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LISEZ_MOI" sheetId="1" state="visible" r:id="rId1"/>
    <sheet xmlns:r="http://schemas.openxmlformats.org/officeDocument/2006/relationships" name="1_Generations" sheetId="2" state="visible" r:id="rId2"/>
    <sheet xmlns:r="http://schemas.openxmlformats.org/officeDocument/2006/relationships" name="2_Comparateur_simple" sheetId="3" state="visible" r:id="rId3"/>
    <sheet xmlns:r="http://schemas.openxmlformats.org/officeDocument/2006/relationships" name="3_Comparateur_detaille" sheetId="4" state="visible" r:id="rId4"/>
    <sheet xmlns:r="http://schemas.openxmlformats.org/officeDocument/2006/relationships" name="Regimes" sheetId="5" state="visible" r:id="rId5"/>
    <sheet xmlns:r="http://schemas.openxmlformats.org/officeDocument/2006/relationships" name="Profils_types" sheetId="6" state="visible" r:id="rId6"/>
    <sheet xmlns:r="http://schemas.openxmlformats.org/officeDocument/2006/relationships" name="Donnees_annuelles" sheetId="7" state="visible" r:id="rId7"/>
    <sheet xmlns:r="http://schemas.openxmlformats.org/officeDocument/2006/relationships" name="Donnees_regimes" sheetId="8" state="visible" r:id="rId8"/>
    <sheet xmlns:r="http://schemas.openxmlformats.org/officeDocument/2006/relationships" name="Donnees_generations" sheetId="9" state="visible" r:id="rId9"/>
    <sheet xmlns:r="http://schemas.openxmlformats.org/officeDocument/2006/relationships" name="Regles_regimes" sheetId="10" state="visible" r:id="rId10"/>
    <sheet xmlns:r="http://schemas.openxmlformats.org/officeDocument/2006/relationships" name="Parametres" sheetId="11" state="visible" r:id="rId11"/>
    <sheet xmlns:r="http://schemas.openxmlformats.org/officeDocument/2006/relationships" name="Dictionnaire" sheetId="12" state="visible" r:id="rId12"/>
    <sheet xmlns:r="http://schemas.openxmlformats.org/officeDocument/2006/relationships" name="Sources" sheetId="13" state="visible" r:id="rId13"/>
  </sheets>
  <definedNames/>
  <calcPr calcId="124519" fullCalcOnLoad="1"/>
</workbook>
</file>

<file path=xl/styles.xml><?xml version="1.0" encoding="utf-8"?>
<styleSheet xmlns="http://schemas.openxmlformats.org/spreadsheetml/2006/main">
  <numFmts count="17">
    <numFmt numFmtId="164" formatCode="0.0%"/>
    <numFmt numFmtId="165" formatCode="0.0"/>
    <numFmt numFmtId="166" formatCode="0.000"/>
    <numFmt numFmtId="167" formatCode="0.0000"/>
    <numFmt numFmtId="168" formatCode="#,##0 &quot;€&quot;"/>
    <numFmt numFmtId="169" formatCode="#,##0.00 &quot;€&quot;"/>
    <numFmt numFmtId="170" formatCode="0.000000"/>
    <numFmt numFmtId="171" formatCode="0.000%"/>
    <numFmt numFmtId="172" formatCode="0.00 &quot;€&quot;"/>
    <numFmt numFmtId="173" formatCode="0.00&quot; ×&quot;"/>
    <numFmt numFmtId="174" formatCode="+#,##0 &quot;€&quot;;-#,##0 &quot;€&quot;;0 &quot;€&quot;"/>
    <numFmt numFmtId="175" formatCode="+0.0%;-0.0%;0.0%"/>
    <numFmt numFmtId="176" formatCode="+0.0&quot; pt&quot;;-0.0&quot; pt&quot;;0.0&quot; pt&quot;"/>
    <numFmt numFmtId="177" formatCode="+0.0;-0.0;0.0"/>
    <numFmt numFmtId="178" formatCode="+0.00 &quot;€&quot;;-0.00 &quot;€&quot;;0.00 &quot;€&quot;"/>
    <numFmt numFmtId="179" formatCode="+#,##0;-#,##0;0"/>
    <numFmt numFmtId="180" formatCode="+0.00;-0.00;0.00"/>
  </numFmts>
  <fonts count="12">
    <font>
      <name val="Calibri"/>
      <family val="2"/>
      <color theme="1"/>
      <sz val="11"/>
      <scheme val="minor"/>
    </font>
    <font>
      <name val="Arial"/>
      <b val="1"/>
      <color rgb="000B3C5D"/>
      <sz val="18"/>
    </font>
    <font>
      <name val="Arial"/>
      <i val="1"/>
      <color rgb="00555555"/>
      <sz val="10"/>
    </font>
    <font>
      <name val="Arial"/>
      <sz val="11"/>
    </font>
    <font>
      <name val="Arial"/>
      <color rgb="000000FF"/>
      <sz val="11"/>
    </font>
    <font>
      <name val="Arial"/>
      <color rgb="00808080"/>
      <sz val="9"/>
    </font>
    <font>
      <name val="Arial"/>
      <b val="1"/>
      <color rgb="00FFFFFF"/>
      <sz val="10"/>
    </font>
    <font>
      <name val="Arial"/>
      <b val="1"/>
      <sz val="11"/>
    </font>
    <font>
      <name val="Arial"/>
      <b val="1"/>
      <color rgb="000B3C5D"/>
      <sz val="13"/>
    </font>
    <font>
      <name val="Arial"/>
      <b val="1"/>
      <color rgb="000B3C5D"/>
      <sz val="12"/>
    </font>
    <font>
      <name val="Arial"/>
      <b val="1"/>
      <color rgb="000000FF"/>
      <sz val="13"/>
    </font>
    <font>
      <name val="Arial"/>
      <color rgb="00808080"/>
      <sz val="10"/>
    </font>
  </fonts>
  <fills count="11">
    <fill>
      <patternFill/>
    </fill>
    <fill>
      <patternFill patternType="gray125"/>
    </fill>
    <fill>
      <patternFill patternType="solid">
        <fgColor rgb="00FFF59D"/>
      </patternFill>
    </fill>
    <fill>
      <patternFill patternType="solid">
        <fgColor rgb="00EEEEEE"/>
      </patternFill>
    </fill>
    <fill>
      <patternFill patternType="solid">
        <fgColor rgb="000B3C5D"/>
      </patternFill>
    </fill>
    <fill>
      <patternFill patternType="solid">
        <fgColor rgb="00D9E2EA"/>
      </patternFill>
    </fill>
    <fill>
      <patternFill patternType="solid">
        <fgColor rgb="00E3F2FD"/>
      </patternFill>
    </fill>
    <fill>
      <patternFill patternType="solid">
        <fgColor rgb="00C8E6C9"/>
      </patternFill>
    </fill>
    <fill>
      <patternFill patternType="solid">
        <fgColor rgb="00FCE4EC"/>
      </patternFill>
    </fill>
    <fill>
      <patternFill patternType="solid">
        <fgColor rgb="00FFE0B2"/>
      </patternFill>
    </fill>
    <fill>
      <patternFill patternType="solid">
        <fgColor rgb="00F5F5F5"/>
      </patternFill>
    </fill>
  </fills>
  <borders count="2">
    <border>
      <left/>
      <right/>
      <top/>
      <bottom/>
      <diagonal/>
    </border>
    <border>
      <left style="thin">
        <color rgb="00BDBDBD"/>
      </left>
      <right style="thin">
        <color rgb="00BDBDBD"/>
      </right>
      <top style="thin">
        <color rgb="00BDBDBD"/>
      </top>
      <bottom style="thin">
        <color rgb="00BDBDBD"/>
      </bottom>
    </border>
  </borders>
  <cellStyleXfs count="1">
    <xf numFmtId="0" fontId="0" fillId="0" borderId="0"/>
  </cellStyleXfs>
  <cellXfs count="128">
    <xf numFmtId="0" fontId="0" fillId="0" borderId="0" pivotButton="0" quotePrefix="0" xfId="0"/>
    <xf numFmtId="0" fontId="1" fillId="0" borderId="0" pivotButton="0" quotePrefix="0" xfId="0"/>
    <xf numFmtId="0" fontId="8" fillId="0" borderId="0" pivotButton="0" quotePrefix="0" xfId="0"/>
    <xf numFmtId="0" fontId="3" fillId="0" borderId="0" applyAlignment="1" pivotButton="0" quotePrefix="0" xfId="0">
      <alignment horizontal="left" vertical="center" wrapText="1"/>
    </xf>
    <xf numFmtId="0" fontId="2" fillId="0" borderId="0" pivotButton="0" quotePrefix="0" xfId="0"/>
    <xf numFmtId="0" fontId="6" fillId="4" borderId="1" applyAlignment="1" pivotButton="0" quotePrefix="0" xfId="0">
      <alignment horizontal="center" vertical="center" wrapText="1"/>
    </xf>
    <xf numFmtId="0" fontId="3" fillId="0" borderId="1" applyAlignment="1" pivotButton="0" quotePrefix="0" xfId="0">
      <alignment horizontal="left" vertical="center" wrapText="1"/>
    </xf>
    <xf numFmtId="0" fontId="3" fillId="0" borderId="1" applyAlignment="1" pivotButton="0" quotePrefix="0" xfId="0">
      <alignment horizontal="center" vertical="center"/>
    </xf>
    <xf numFmtId="165" fontId="3" fillId="0" borderId="1" applyAlignment="1" pivotButton="0" quotePrefix="0" xfId="0">
      <alignment horizontal="center" vertical="center"/>
    </xf>
    <xf numFmtId="175" fontId="3" fillId="0" borderId="1" applyAlignment="1" pivotButton="0" quotePrefix="0" xfId="0">
      <alignment horizontal="center" vertical="center"/>
    </xf>
    <xf numFmtId="0" fontId="7" fillId="0" borderId="1" applyAlignment="1" pivotButton="0" quotePrefix="0" xfId="0">
      <alignment horizontal="left" vertical="center" wrapText="1"/>
    </xf>
    <xf numFmtId="165" fontId="7" fillId="0" borderId="1" applyAlignment="1" pivotButton="0" quotePrefix="0" xfId="0">
      <alignment horizontal="center" vertical="center"/>
    </xf>
    <xf numFmtId="3" fontId="7" fillId="0" borderId="1" applyAlignment="1" pivotButton="0" quotePrefix="0" xfId="0">
      <alignment horizontal="center" vertical="center"/>
    </xf>
    <xf numFmtId="3" fontId="3" fillId="0" borderId="1" applyAlignment="1" pivotButton="0" quotePrefix="0" xfId="0">
      <alignment horizontal="center" vertical="center"/>
    </xf>
    <xf numFmtId="168" fontId="3" fillId="0" borderId="1" applyAlignment="1" pivotButton="0" quotePrefix="0" xfId="0">
      <alignment horizontal="center" vertical="center"/>
    </xf>
    <xf numFmtId="164" fontId="7" fillId="0" borderId="1" applyAlignment="1" pivotButton="0" quotePrefix="0" xfId="0">
      <alignment horizontal="center" vertical="center"/>
    </xf>
    <xf numFmtId="168" fontId="7" fillId="0" borderId="1" applyAlignment="1" pivotButton="0" quotePrefix="0" xfId="0">
      <alignment horizontal="center" vertical="center"/>
    </xf>
    <xf numFmtId="172" fontId="3" fillId="0" borderId="1" applyAlignment="1" pivotButton="0" quotePrefix="0" xfId="0">
      <alignment horizontal="center" vertical="center"/>
    </xf>
    <xf numFmtId="172" fontId="7" fillId="7" borderId="1" applyAlignment="1" pivotButton="0" quotePrefix="0" xfId="0">
      <alignment horizontal="center" vertical="center"/>
    </xf>
    <xf numFmtId="0" fontId="9" fillId="0" borderId="0" pivotButton="0" quotePrefix="0" xfId="0"/>
    <xf numFmtId="175" fontId="7" fillId="7" borderId="1" applyAlignment="1" pivotButton="0" quotePrefix="0" xfId="0">
      <alignment horizontal="center" vertical="center"/>
    </xf>
    <xf numFmtId="176" fontId="3" fillId="0" borderId="1" applyAlignment="1" pivotButton="0" quotePrefix="0" xfId="0">
      <alignment horizontal="center" vertical="center"/>
    </xf>
    <xf numFmtId="177" fontId="3" fillId="0" borderId="1" applyAlignment="1" pivotButton="0" quotePrefix="0" xfId="0">
      <alignment horizontal="center" vertical="center"/>
    </xf>
    <xf numFmtId="0" fontId="7" fillId="0" borderId="0" pivotButton="0" quotePrefix="0" xfId="0"/>
    <xf numFmtId="0" fontId="2" fillId="0" borderId="1" applyAlignment="1" pivotButton="0" quotePrefix="0" xfId="0">
      <alignment horizontal="center" vertical="center" wrapText="1"/>
    </xf>
    <xf numFmtId="0" fontId="2" fillId="6" borderId="1" applyAlignment="1" pivotButton="0" quotePrefix="0" xfId="0">
      <alignment horizontal="center" vertical="center" wrapText="1"/>
    </xf>
    <xf numFmtId="0" fontId="2" fillId="0" borderId="0" applyAlignment="1" pivotButton="0" quotePrefix="0" xfId="0">
      <alignment horizontal="left" vertical="center" wrapText="1"/>
    </xf>
    <xf numFmtId="0" fontId="6" fillId="4" borderId="1" applyAlignment="1" pivotButton="0" quotePrefix="0" xfId="0">
      <alignment horizontal="left" vertical="center" wrapText="1"/>
    </xf>
    <xf numFmtId="172" fontId="7" fillId="0" borderId="1" applyAlignment="1" pivotButton="0" quotePrefix="0" xfId="0">
      <alignment horizontal="center" vertical="center"/>
    </xf>
    <xf numFmtId="172" fontId="3" fillId="7" borderId="1" applyAlignment="1" pivotButton="0" quotePrefix="0" xfId="0">
      <alignment horizontal="center" vertical="center"/>
    </xf>
    <xf numFmtId="172" fontId="3" fillId="8" borderId="1" applyAlignment="1" pivotButton="0" quotePrefix="0" xfId="0">
      <alignment horizontal="center" vertical="center"/>
    </xf>
    <xf numFmtId="178" fontId="3" fillId="0" borderId="1" applyAlignment="1" pivotButton="0" quotePrefix="0" xfId="0">
      <alignment horizontal="center" vertical="center"/>
    </xf>
    <xf numFmtId="164" fontId="3" fillId="8" borderId="1" applyAlignment="1" pivotButton="0" quotePrefix="0" xfId="0">
      <alignment horizontal="center" vertical="center"/>
    </xf>
    <xf numFmtId="164" fontId="3" fillId="0" borderId="1" applyAlignment="1" pivotButton="0" quotePrefix="0" xfId="0">
      <alignment horizontal="center" vertical="center"/>
    </xf>
    <xf numFmtId="175" fontId="7" fillId="0" borderId="1" applyAlignment="1" pivotButton="0" quotePrefix="0" xfId="0">
      <alignment horizontal="center" vertical="center"/>
    </xf>
    <xf numFmtId="175" fontId="3" fillId="9" borderId="1" applyAlignment="1" pivotButton="0" quotePrefix="0" xfId="0">
      <alignment horizontal="center" vertical="center"/>
    </xf>
    <xf numFmtId="173" fontId="3" fillId="0" borderId="1" applyAlignment="1" pivotButton="0" quotePrefix="0" xfId="0">
      <alignment horizontal="center" vertical="center"/>
    </xf>
    <xf numFmtId="174" fontId="7" fillId="9" borderId="1" applyAlignment="1" pivotButton="0" quotePrefix="0" xfId="0">
      <alignment horizontal="center" vertical="center"/>
    </xf>
    <xf numFmtId="175" fontId="7" fillId="9" borderId="1" applyAlignment="1" pivotButton="0" quotePrefix="0" xfId="0">
      <alignment horizontal="center" vertical="center"/>
    </xf>
    <xf numFmtId="174" fontId="3" fillId="0" borderId="1" applyAlignment="1" pivotButton="0" quotePrefix="0" xfId="0">
      <alignment horizontal="center" vertical="center"/>
    </xf>
    <xf numFmtId="1" fontId="10" fillId="2" borderId="1" applyAlignment="1" pivotButton="0" quotePrefix="0" xfId="0">
      <alignment horizontal="center" vertical="center"/>
    </xf>
    <xf numFmtId="0" fontId="10" fillId="2" borderId="1" applyAlignment="1" pivotButton="0" quotePrefix="0" xfId="0">
      <alignment horizontal="center" vertical="center" wrapText="1"/>
    </xf>
    <xf numFmtId="0" fontId="11" fillId="10" borderId="1" applyAlignment="1" pivotButton="0" quotePrefix="0" xfId="0">
      <alignment horizontal="left" vertical="center" wrapText="1"/>
    </xf>
    <xf numFmtId="0" fontId="11" fillId="10" borderId="1" applyAlignment="1" pivotButton="0" quotePrefix="0" xfId="0">
      <alignment horizontal="center" vertical="center"/>
    </xf>
    <xf numFmtId="1" fontId="11" fillId="10" borderId="1" applyAlignment="1" pivotButton="0" quotePrefix="0" xfId="0">
      <alignment horizontal="center" vertical="center"/>
    </xf>
    <xf numFmtId="165" fontId="11" fillId="10" borderId="1" applyAlignment="1" pivotButton="0" quotePrefix="0" xfId="0">
      <alignment horizontal="center" vertical="center"/>
    </xf>
    <xf numFmtId="165" fontId="7" fillId="7" borderId="1" applyAlignment="1" pivotButton="0" quotePrefix="0" xfId="0">
      <alignment horizontal="center" vertical="center"/>
    </xf>
    <xf numFmtId="177" fontId="7" fillId="7" borderId="1" applyAlignment="1" pivotButton="0" quotePrefix="0" xfId="0">
      <alignment horizontal="center" vertical="center"/>
    </xf>
    <xf numFmtId="166" fontId="11" fillId="10" borderId="1" applyAlignment="1" pivotButton="0" quotePrefix="0" xfId="0">
      <alignment horizontal="center" vertical="center"/>
    </xf>
    <xf numFmtId="3" fontId="7" fillId="7" borderId="1" applyAlignment="1" pivotButton="0" quotePrefix="0" xfId="0">
      <alignment horizontal="center" vertical="center"/>
    </xf>
    <xf numFmtId="179" fontId="7" fillId="7" borderId="1" applyAlignment="1" pivotButton="0" quotePrefix="0" xfId="0">
      <alignment horizontal="center" vertical="center"/>
    </xf>
    <xf numFmtId="179" fontId="3" fillId="0" borderId="1" applyAlignment="1" pivotButton="0" quotePrefix="0" xfId="0">
      <alignment horizontal="center" vertical="center"/>
    </xf>
    <xf numFmtId="168" fontId="7" fillId="7" borderId="1" applyAlignment="1" pivotButton="0" quotePrefix="0" xfId="0">
      <alignment horizontal="center" vertical="center"/>
    </xf>
    <xf numFmtId="174" fontId="7" fillId="7" borderId="1" applyAlignment="1" pivotButton="0" quotePrefix="0" xfId="0">
      <alignment horizontal="center" vertical="center"/>
    </xf>
    <xf numFmtId="164" fontId="7" fillId="7" borderId="1" applyAlignment="1" pivotButton="0" quotePrefix="0" xfId="0">
      <alignment horizontal="center" vertical="center"/>
    </xf>
    <xf numFmtId="176" fontId="7" fillId="7" borderId="1" applyAlignment="1" pivotButton="0" quotePrefix="0" xfId="0">
      <alignment horizontal="center" vertical="center"/>
    </xf>
    <xf numFmtId="0" fontId="3" fillId="8" borderId="1" applyAlignment="1" pivotButton="0" quotePrefix="0" xfId="0">
      <alignment horizontal="left" vertical="center" wrapText="1"/>
    </xf>
    <xf numFmtId="168" fontId="3" fillId="8" borderId="1" applyAlignment="1" pivotButton="0" quotePrefix="0" xfId="0">
      <alignment horizontal="center" vertical="center"/>
    </xf>
    <xf numFmtId="174" fontId="3" fillId="8" borderId="1" applyAlignment="1" pivotButton="0" quotePrefix="0" xfId="0">
      <alignment horizontal="center" vertical="center"/>
    </xf>
    <xf numFmtId="175" fontId="3" fillId="8" borderId="1" applyAlignment="1" pivotButton="0" quotePrefix="0" xfId="0">
      <alignment horizontal="center" vertical="center"/>
    </xf>
    <xf numFmtId="168" fontId="11" fillId="10" borderId="1" applyAlignment="1" pivotButton="0" quotePrefix="0" xfId="0">
      <alignment horizontal="center" vertical="center"/>
    </xf>
    <xf numFmtId="2" fontId="11" fillId="10" borderId="1" applyAlignment="1" pivotButton="0" quotePrefix="0" xfId="0">
      <alignment horizontal="center" vertical="center"/>
    </xf>
    <xf numFmtId="178" fontId="7" fillId="7" borderId="1" applyAlignment="1" pivotButton="0" quotePrefix="0" xfId="0">
      <alignment horizontal="center" vertical="center"/>
    </xf>
    <xf numFmtId="178" fontId="3" fillId="8" borderId="1" applyAlignment="1" pivotButton="0" quotePrefix="0" xfId="0">
      <alignment horizontal="center" vertical="center"/>
    </xf>
    <xf numFmtId="176" fontId="3" fillId="8" borderId="1" applyAlignment="1" pivotButton="0" quotePrefix="0" xfId="0">
      <alignment horizontal="center" vertical="center"/>
    </xf>
    <xf numFmtId="0" fontId="6" fillId="4" borderId="1" pivotButton="0" quotePrefix="0" xfId="0"/>
    <xf numFmtId="0" fontId="7" fillId="9" borderId="1" applyAlignment="1" pivotButton="0" quotePrefix="0" xfId="0">
      <alignment horizontal="left" vertical="center" wrapText="1"/>
    </xf>
    <xf numFmtId="168" fontId="7" fillId="9" borderId="1" applyAlignment="1" pivotButton="0" quotePrefix="0" xfId="0">
      <alignment horizontal="center" vertical="center"/>
    </xf>
    <xf numFmtId="0" fontId="3" fillId="0" borderId="0" pivotButton="0" quotePrefix="0" xfId="0"/>
    <xf numFmtId="0" fontId="7" fillId="7" borderId="0" pivotButton="0" quotePrefix="0" xfId="0"/>
    <xf numFmtId="0" fontId="7" fillId="9" borderId="0" pivotButton="0" quotePrefix="0" xfId="0"/>
    <xf numFmtId="1" fontId="4" fillId="2" borderId="1" applyAlignment="1" pivotButton="0" quotePrefix="0" xfId="0">
      <alignment horizontal="center" vertical="center" wrapText="1"/>
    </xf>
    <xf numFmtId="165" fontId="4" fillId="2" borderId="1" applyAlignment="1" pivotButton="0" quotePrefix="0" xfId="0">
      <alignment horizontal="center" vertical="center" wrapText="1"/>
    </xf>
    <xf numFmtId="0" fontId="4" fillId="2" borderId="1" applyAlignment="1" pivotButton="0" quotePrefix="0" xfId="0">
      <alignment horizontal="center" vertical="center" wrapText="1"/>
    </xf>
    <xf numFmtId="2" fontId="4" fillId="2" borderId="1" applyAlignment="1" pivotButton="0" quotePrefix="0" xfId="0">
      <alignment horizontal="center" vertical="center" wrapText="1"/>
    </xf>
    <xf numFmtId="2" fontId="3" fillId="0" borderId="1" applyAlignment="1" pivotButton="0" quotePrefix="0" xfId="0">
      <alignment horizontal="center" vertical="center"/>
    </xf>
    <xf numFmtId="180" fontId="3" fillId="0" borderId="1" applyAlignment="1" pivotButton="0" quotePrefix="0" xfId="0">
      <alignment horizontal="center" vertical="center"/>
    </xf>
    <xf numFmtId="1" fontId="3" fillId="0" borderId="1" applyAlignment="1" pivotButton="0" quotePrefix="0" xfId="0">
      <alignment horizontal="center" vertical="center"/>
    </xf>
    <xf numFmtId="171" fontId="11" fillId="10" borderId="1" applyAlignment="1" pivotButton="0" quotePrefix="0" xfId="0">
      <alignment horizontal="center" vertical="center"/>
    </xf>
    <xf numFmtId="10" fontId="11" fillId="10" borderId="1" applyAlignment="1" pivotButton="0" quotePrefix="0" xfId="0">
      <alignment horizontal="center" vertical="center"/>
    </xf>
    <xf numFmtId="2" fontId="7" fillId="7" borderId="1" applyAlignment="1" pivotButton="0" quotePrefix="0" xfId="0">
      <alignment horizontal="center" vertical="center"/>
    </xf>
    <xf numFmtId="180" fontId="7" fillId="7" borderId="1" applyAlignment="1" pivotButton="0" quotePrefix="0" xfId="0">
      <alignment horizontal="center" vertical="center"/>
    </xf>
    <xf numFmtId="164" fontId="11" fillId="10" borderId="1" applyAlignment="1" pivotButton="0" quotePrefix="0" xfId="0">
      <alignment horizontal="center" vertical="center"/>
    </xf>
    <xf numFmtId="0" fontId="5" fillId="5" borderId="1" applyAlignment="1" pivotButton="0" quotePrefix="0" xfId="0">
      <alignment horizontal="center" vertical="center" wrapText="1"/>
    </xf>
    <xf numFmtId="0" fontId="7" fillId="0" borderId="1" applyAlignment="1" pivotButton="0" quotePrefix="0" xfId="0">
      <alignment horizontal="center" vertical="center"/>
    </xf>
    <xf numFmtId="1" fontId="4" fillId="0" borderId="1" applyAlignment="1" pivotButton="0" quotePrefix="0" xfId="0">
      <alignment horizontal="center" vertical="center"/>
    </xf>
    <xf numFmtId="164" fontId="4" fillId="0" borderId="1" applyAlignment="1" pivotButton="0" quotePrefix="0" xfId="0">
      <alignment horizontal="center" vertical="center"/>
    </xf>
    <xf numFmtId="166" fontId="4" fillId="0" borderId="1" applyAlignment="1" pivotButton="0" quotePrefix="0" xfId="0">
      <alignment horizontal="center" vertical="center"/>
    </xf>
    <xf numFmtId="1" fontId="7" fillId="0" borderId="1" applyAlignment="1" pivotButton="0" quotePrefix="0" xfId="0">
      <alignment horizontal="center" vertical="center"/>
    </xf>
    <xf numFmtId="166" fontId="3" fillId="0" borderId="1" applyAlignment="1" pivotButton="0" quotePrefix="0" xfId="0">
      <alignment horizontal="center" vertical="center"/>
    </xf>
    <xf numFmtId="0" fontId="2" fillId="0" borderId="1" applyAlignment="1" pivotButton="0" quotePrefix="0" xfId="0">
      <alignment horizontal="center" vertical="center"/>
    </xf>
    <xf numFmtId="167" fontId="4" fillId="0" borderId="1" applyAlignment="1" pivotButton="0" quotePrefix="0" xfId="0">
      <alignment horizontal="center" vertical="center"/>
    </xf>
    <xf numFmtId="168" fontId="4" fillId="0" borderId="1" applyAlignment="1" pivotButton="0" quotePrefix="0" xfId="0">
      <alignment horizontal="center" vertical="center"/>
    </xf>
    <xf numFmtId="10" fontId="4" fillId="0" borderId="1" applyAlignment="1" pivotButton="0" quotePrefix="0" xfId="0">
      <alignment horizontal="center" vertical="center"/>
    </xf>
    <xf numFmtId="10" fontId="3" fillId="0" borderId="1" applyAlignment="1" pivotButton="0" quotePrefix="0" xfId="0">
      <alignment horizontal="center" vertical="center"/>
    </xf>
    <xf numFmtId="2" fontId="4" fillId="0" borderId="1" applyAlignment="1" pivotButton="0" quotePrefix="0" xfId="0">
      <alignment horizontal="center" vertical="center"/>
    </xf>
    <xf numFmtId="3" fontId="4" fillId="0" borderId="1" applyAlignment="1" pivotButton="0" quotePrefix="0" xfId="0">
      <alignment horizontal="center" vertical="center"/>
    </xf>
    <xf numFmtId="167" fontId="3" fillId="0" borderId="1" applyAlignment="1" pivotButton="0" quotePrefix="0" xfId="0">
      <alignment horizontal="center" vertical="center"/>
    </xf>
    <xf numFmtId="169" fontId="3" fillId="0" borderId="1" applyAlignment="1" pivotButton="0" quotePrefix="0" xfId="0">
      <alignment horizontal="center" vertical="center"/>
    </xf>
    <xf numFmtId="168" fontId="11" fillId="0" borderId="1" applyAlignment="1" pivotButton="0" quotePrefix="0" xfId="0">
      <alignment horizontal="center" vertical="center"/>
    </xf>
    <xf numFmtId="170" fontId="11" fillId="0" borderId="1" applyAlignment="1" pivotButton="0" quotePrefix="0" xfId="0">
      <alignment horizontal="center" vertical="center"/>
    </xf>
    <xf numFmtId="1" fontId="7" fillId="6" borderId="1" applyAlignment="1" pivotButton="0" quotePrefix="0" xfId="0">
      <alignment horizontal="center" vertical="center"/>
    </xf>
    <xf numFmtId="0" fontId="2" fillId="6" borderId="1" applyAlignment="1" pivotButton="0" quotePrefix="0" xfId="0">
      <alignment horizontal="center" vertical="center"/>
    </xf>
    <xf numFmtId="167" fontId="3" fillId="6" borderId="1" applyAlignment="1" pivotButton="0" quotePrefix="0" xfId="0">
      <alignment horizontal="center" vertical="center"/>
    </xf>
    <xf numFmtId="168" fontId="4" fillId="6" borderId="1" applyAlignment="1" pivotButton="0" quotePrefix="0" xfId="0">
      <alignment horizontal="center" vertical="center"/>
    </xf>
    <xf numFmtId="10" fontId="4" fillId="6" borderId="1" applyAlignment="1" pivotButton="0" quotePrefix="0" xfId="0">
      <alignment horizontal="center" vertical="center"/>
    </xf>
    <xf numFmtId="168" fontId="3" fillId="6" borderId="1" applyAlignment="1" pivotButton="0" quotePrefix="0" xfId="0">
      <alignment horizontal="center" vertical="center"/>
    </xf>
    <xf numFmtId="10" fontId="3" fillId="6" borderId="1" applyAlignment="1" pivotButton="0" quotePrefix="0" xfId="0">
      <alignment horizontal="center" vertical="center"/>
    </xf>
    <xf numFmtId="2" fontId="4" fillId="6" borderId="1" applyAlignment="1" pivotButton="0" quotePrefix="0" xfId="0">
      <alignment horizontal="center" vertical="center"/>
    </xf>
    <xf numFmtId="1" fontId="4" fillId="6" borderId="1" applyAlignment="1" pivotButton="0" quotePrefix="0" xfId="0">
      <alignment horizontal="center" vertical="center"/>
    </xf>
    <xf numFmtId="3" fontId="4" fillId="6" borderId="1" applyAlignment="1" pivotButton="0" quotePrefix="0" xfId="0">
      <alignment horizontal="center" vertical="center"/>
    </xf>
    <xf numFmtId="169" fontId="3" fillId="6" borderId="1" applyAlignment="1" pivotButton="0" quotePrefix="0" xfId="0">
      <alignment horizontal="center" vertical="center"/>
    </xf>
    <xf numFmtId="168" fontId="11" fillId="6" borderId="1" applyAlignment="1" pivotButton="0" quotePrefix="0" xfId="0">
      <alignment horizontal="center" vertical="center"/>
    </xf>
    <xf numFmtId="170" fontId="11" fillId="6" borderId="1" applyAlignment="1" pivotButton="0" quotePrefix="0" xfId="0">
      <alignment horizontal="center" vertical="center"/>
    </xf>
    <xf numFmtId="170" fontId="3" fillId="0" borderId="1" applyAlignment="1" pivotButton="0" quotePrefix="0" xfId="0">
      <alignment horizontal="center" vertical="center"/>
    </xf>
    <xf numFmtId="0" fontId="7" fillId="6" borderId="1" applyAlignment="1" pivotButton="0" quotePrefix="0" xfId="0">
      <alignment horizontal="center" vertical="center"/>
    </xf>
    <xf numFmtId="0" fontId="3" fillId="6" borderId="1" applyAlignment="1" pivotButton="0" quotePrefix="0" xfId="0">
      <alignment horizontal="center" vertical="center"/>
    </xf>
    <xf numFmtId="166" fontId="4" fillId="6" borderId="1" applyAlignment="1" pivotButton="0" quotePrefix="0" xfId="0">
      <alignment horizontal="center" vertical="center"/>
    </xf>
    <xf numFmtId="170" fontId="3" fillId="6" borderId="1" applyAlignment="1" pivotButton="0" quotePrefix="0" xfId="0">
      <alignment horizontal="center" vertical="center"/>
    </xf>
    <xf numFmtId="166" fontId="3" fillId="6" borderId="1" applyAlignment="1" pivotButton="0" quotePrefix="0" xfId="0">
      <alignment horizontal="center" vertical="center"/>
    </xf>
    <xf numFmtId="171" fontId="4" fillId="0" borderId="1" applyAlignment="1" pivotButton="0" quotePrefix="0" xfId="0">
      <alignment horizontal="center" vertical="center"/>
    </xf>
    <xf numFmtId="1" fontId="4" fillId="2" borderId="1" applyAlignment="1" pivotButton="0" quotePrefix="0" xfId="0">
      <alignment horizontal="center" vertical="center"/>
    </xf>
    <xf numFmtId="0" fontId="5" fillId="0" borderId="0" pivotButton="0" quotePrefix="0" xfId="0"/>
    <xf numFmtId="164" fontId="4" fillId="3" borderId="1" applyAlignment="1" pivotButton="0" quotePrefix="0" xfId="0">
      <alignment horizontal="center" vertical="center"/>
    </xf>
    <xf numFmtId="165" fontId="4" fillId="2" borderId="1" applyAlignment="1" pivotButton="0" quotePrefix="0" xfId="0">
      <alignment horizontal="center" vertical="center"/>
    </xf>
    <xf numFmtId="1" fontId="4" fillId="3" borderId="1" applyAlignment="1" pivotButton="0" quotePrefix="0" xfId="0">
      <alignment horizontal="center" vertical="center"/>
    </xf>
    <xf numFmtId="164" fontId="4" fillId="2" borderId="1" applyAlignment="1" pivotButton="0" quotePrefix="0" xfId="0">
      <alignment horizontal="center" vertical="center"/>
    </xf>
    <xf numFmtId="0" fontId="5" fillId="0"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6"/>
  <sheetViews>
    <sheetView workbookViewId="0">
      <selection activeCell="A1" sqref="A1"/>
    </sheetView>
  </sheetViews>
  <sheetFormatPr baseColWidth="8" defaultRowHeight="15"/>
  <cols>
    <col width="150" customWidth="1" min="1" max="1"/>
  </cols>
  <sheetData>
    <row r="1">
      <c r="A1" s="1" t="inlineStr">
        <is>
          <t>OCEAN 1968 — Comparateur des générations et des régimes : mode d'emploi</t>
        </is>
      </c>
    </row>
    <row r="3">
      <c r="A3" s="2" t="inlineStr">
        <is>
          <t>À quoi sert ce classeur</t>
        </is>
      </c>
    </row>
    <row r="4" ht="45" customHeight="1">
      <c r="A4" s="3" t="inlineStr">
        <is>
          <t>Il rassemble les données du livre OCEAN 1968 (cotisations vieillesse, heures travaillées, durée des carrières, salaires, taux de retour) pour six régimes : salariés du privé, fonctionnaires de l'État, fonctionnaires territoriaux et hospitaliers (CNRACL), SNCF, RATP et industries électriques et gazières (IEG). Il sert de base au site web comparateur.</t>
        </is>
      </c>
    </row>
    <row r="5" ht="30" customHeight="1">
      <c r="A5" s="3" t="inlineStr">
        <is>
          <t>Tous les montants sont en euros constants de 2026 : ils représentent un pouvoir d'achat d'aujourd'hui, quelle que soit l'année. Les régimes sont comparés à salaire brut égal (salaire moyen du privé), pour isoler l'effet des règles de chaque régime.</t>
        </is>
      </c>
    </row>
    <row r="6">
      <c r="A6" s="2" t="inlineStr">
        <is>
          <t>Les trois pages</t>
        </is>
      </c>
    </row>
    <row r="7" ht="30" customHeight="1">
      <c r="A7" s="3" t="inlineStr">
        <is>
          <t>1_Generations : synthèse par grande génération (silencieuse, baby-boomers, X, Y, Z, Alpha). Partie 1 : privé ; partie 2 : les six régimes ; partie 3 : ce qu'aurait donné un placement en actions des mêmes cotisations. Aucune saisie.</t>
        </is>
      </c>
    </row>
    <row r="8" ht="30" customHeight="1">
      <c r="A8" s="3" t="inlineStr">
        <is>
          <t>2_Comparateur_simple : l'utilisateur choisit deux années de début de carrière et deux régimes. Tout le reste est automatique (profil type du régime, durée réelle de carrière, temps de travail réel, salaire moyen, règles de l'époque).</t>
        </is>
      </c>
    </row>
    <row r="9" ht="45" customHeight="1">
      <c r="A9" s="3" t="inlineStr">
        <is>
          <t>3_Comparateur_detaille : deux personnes saisissent leurs propres informations (année et âge de début, régime, catégorie, sexe, enfants, interruptions, chômage/maladie, service militaire, statut, niveau de salaire, âge de départ souhaité). Sans saisie des interruptions, la durée de carrière intègre les interruptions moyennes des salariés ayant commencé la même année, comme la page 2.</t>
        </is>
      </c>
    </row>
    <row r="10">
      <c r="A10" s="2" t="inlineStr">
        <is>
          <t>Les onglets de données (à ne pas modifier sauf mise à jour)</t>
        </is>
      </c>
    </row>
    <row r="11" ht="16" customHeight="1">
      <c r="A11" s="3" t="inlineStr">
        <is>
          <t>Regimes : liste des régimes, année de fermeture aux nouveaux embauchés, catégorie du profil type, coefficient de pension à salaire égal et sa source.</t>
        </is>
      </c>
    </row>
    <row r="12" ht="30" customHeight="1">
      <c r="A12" s="3" t="inlineStr">
        <is>
          <t>Donnees_annuelles : une ligne par année (1945-2130) : salaire moyen (en euros 2026 et en euros de l'époque), plafond, taux du privé, heures légales et réelles, pensions moyennes, rendements et indices des actions françaises.</t>
        </is>
      </c>
    </row>
    <row r="13" ht="30" customHeight="1">
      <c r="A13" s="3" t="inlineStr">
        <is>
          <t>Donnees_regimes : une ligne par régime et par année : taux salarié et employeur, part des primes, subvention d'équilibre, coefficient de pension, cotisations au salaire moyen, contributions à la capitalisation.</t>
        </is>
      </c>
    </row>
    <row r="14" ht="30" customHeight="1">
      <c r="A14" s="3" t="inlineStr">
        <is>
          <t>Donnees_generations : une ligne par année de naissance (1915-2025) : règles du privé, carrières longues, durée réelle de carrière, âge réel de départ, espérance de vie par âge et par sexe.</t>
        </is>
      </c>
    </row>
    <row r="15" ht="30" customHeight="1">
      <c r="A15" s="3" t="inlineStr">
        <is>
          <t>Regles_regimes : une ligne par régime, catégorie et génération : âge d'ouverture, âge d'annulation de la décote, trimestres requis, décote, surcote, âge réel de départ, temps de travail, bonification.</t>
        </is>
      </c>
    </row>
    <row r="16" ht="30" customHeight="1">
      <c r="A16" s="3" t="inlineStr">
        <is>
          <t>Profils_types : le calcul de la page 2 appliqué à chaque régime et à chaque année de naissance (1928-2025) ; la page 1 en fait la moyenne par génération.</t>
        </is>
      </c>
    </row>
    <row r="17" ht="30" customHeight="1">
      <c r="A17" s="3" t="inlineStr">
        <is>
          <t>Parametres : hypothèses communes (modifiables). Dictionnaire : chaque variable, son unité, sa définition, son calcul et sa source. Sources : références complètes.</t>
        </is>
      </c>
    </row>
    <row r="18">
      <c r="A18" s="2" t="inlineStr">
        <is>
          <t>Indicateurs principaux</t>
        </is>
      </c>
    </row>
    <row r="19" ht="30" customHeight="1">
      <c r="A19" s="3" t="inlineStr">
        <is>
          <t>« Cotisations versées pour recevoir 1 € de pension » = cotisations vieillesse totales (parts salariale et patronale, CSG/CRDS vieillesse) ÷ pensions totales reçues sur la durée moyenne de retraite.</t>
        </is>
      </c>
    </row>
    <row r="20" ht="45" customHeight="1">
      <c r="A20" s="3" t="inlineStr">
        <is>
          <t>La subvention d'équilibre n'est jamais comptée dans les cotisations : c'est de l'argent public (impôts et taxes payés par tous les Français, ou taxe CTA sur les factures d'énergie pour les IEG) qui s'ajoute aux cotisations pour équilibrer le régime. Elle comprend la subvention de l'État à la SNCF et à la RATP, la CTA des IEG, le déficit de la CNRACL et la part du taux employeur de l'État au-delà de celui d'un employeur privé. Elle est montrée à part : « argent public ajouté pour 1 € de pension » et « part de l'argent public dans le financement ». Elle compense surtout le déséquilibre démographique de ces régimes.</t>
        </is>
      </c>
    </row>
    <row r="21" ht="45" customHeight="1">
      <c r="A21" s="3" t="inlineStr">
        <is>
          <t>« Capital si les cotisations avaient été placées » : chaque mois, la totalité des cotisations, calculées sur le salaire réellement versé à l'époque (en euros de l'époque), est investie en actions françaises, dividendes réinvestis ; le capital est évalué la veille du départ et converti en euros 2026. Pour chaque personne, il est comparé à ce qu'elle reçoit en répartition : « en plus ou en moins avec la capitalisation » = capital − pensions totales reçues ; par mois = capital réparti sur la durée de retraite − pension mensuelle. Ce bloc compare deux systèmes pour une même carrière, pas deux personnes entre elles. Hypothèse prudente : le capital n'est plus placé pendant la retraite ; en contrepartie, la pension de répartition est garantie à vie, alors que le placement en actions comporte un risque.</t>
        </is>
      </c>
    </row>
    <row r="22">
      <c r="A22" s="2" t="inlineStr">
        <is>
          <t>Pour une IA qui construit le site</t>
        </is>
      </c>
    </row>
    <row r="23" ht="30" customHeight="1">
      <c r="A23" s="3" t="inlineStr">
        <is>
          <t>Chaque tableau de données a deux lignes d'en-tête : ligne 1 = libellé lisible, ligne 2 = identifiant technique (snake_case). Les données commencent en ligne 3. Utilisez les identifiants comme clés JSON.</t>
        </is>
      </c>
    </row>
    <row r="24" ht="45" customHeight="1">
      <c r="A24" s="3" t="inlineStr">
        <is>
          <t>Les pages 2 et 3 sont des formules Excel ; leur logique est décrite ligne par ligne dans le Dictionnaire (colonne « Calcul »). Recommandation : exporter Donnees_annuelles, Donnees_regimes, Donnees_generations, Regles_regimes, Regimes et Parametres en JSON et réimplémenter les calculs en JavaScript à l'identique.</t>
        </is>
      </c>
    </row>
    <row r="25" ht="30" customHeight="1">
      <c r="A25" s="3" t="inlineStr">
        <is>
          <t>Page 2 — entrées : start (année) et reg_in (régime) pour A et B. Sorties prioritaires : dur, hours, taux, cot, dep, retr, pension_m, cot_eur, subv_eur, subv_part ; puis, pour chaque carrière séparément : cap, pens_tot, cap_vs_rep, cap_vs_rep_pct, rente_m, rente_vs_rep_m.</t>
        </is>
      </c>
    </row>
    <row r="26" ht="45" customHeight="1">
      <c r="A26" s="3" t="inlineStr">
        <is>
          <t>Page 3 — entrées : start, sa, reg_in, cat_in, sexe, enfants, interr, assim, sm_in, statut, mult, souhait. Mêmes sorties, plus les règles de retraite. interr vide = interruptions moyennes : durée de carrière = (âge de départ − âge de début) × taux de carrière réelle (tcr) des salariés ayant commencé la même année ; interr saisi (0 compris) = carrière continue moins les années indiquées.</t>
        </is>
      </c>
    </row>
    <row r="27" ht="30" customHeight="1">
      <c r="A27" s="3" t="inlineStr">
        <is>
          <t>Couleurs : jaune = saisie ; vert = résultat principal ; rose = argent public ajouté (hors cotisations) ; orange = placement en actions ; gris = hypothèse automatique ; bleu clair = projection ; texte bleu = donnée source.</t>
        </is>
      </c>
    </row>
    <row r="28">
      <c r="A28" s="2" t="inlineStr">
        <is>
          <t>Hypothèses principales</t>
        </is>
      </c>
    </row>
    <row r="29" ht="30" customHeight="1">
      <c r="A29" s="3" t="inlineStr">
        <is>
          <t>Même salaire brut total pour tous les régimes (salaire moyen du privé). Dans le public, les primes (10 à 25 % du brut) ne comptent pas pour la retraite, sauf le RAFP des fonctionnaires depuis 2005.</t>
        </is>
      </c>
    </row>
    <row r="30" ht="30" customHeight="1">
      <c r="A30" s="3" t="inlineStr">
        <is>
          <t>Privé : durée réelle moyenne de carrière de la génération ; 41,2 ans pour un début en 2010 et 43 ans à partir de 2026 ; départ au plus tôt à 65 ans pour les carrières commencées à partir de 2000.</t>
        </is>
      </c>
    </row>
    <row r="31" ht="30" customHeight="1">
      <c r="A31" s="3" t="inlineStr">
        <is>
          <t>Régimes publics : départ à l'âge d'ouverture des droits de la catégorie + délai moyen observé ; durée de carrière = années entre le début et le départ × taux de carrière réelle du privé de la même génération (mêmes interruptions).</t>
        </is>
      </c>
    </row>
    <row r="32" ht="30" customHeight="1">
      <c r="A32" s="3" t="inlineStr">
        <is>
          <t>Pension des régimes publics : pension d'une carrière complète du privé × coefficient du régime (rapport des taux de remplacement des carrières complètes : Cour des comptes 2019 pour SNCF, RATP, IEG ; cas types COR pour les fonctionnaires) × durée validée ÷ durée requise.</t>
        </is>
      </c>
    </row>
    <row r="33" ht="30" customHeight="1">
      <c r="A33" s="3" t="inlineStr">
        <is>
          <t>Taux employeur avant les taux explicites (État avant 2006, RATP avant 2006, IEG avant 2005) : taux implicites estimés (IPP pour l'État 1995-2005, analogie avec le taux normalisé de la SNCF avant). Ces valeurs sont des estimations, signalées dans Donnees_regimes.</t>
        </is>
      </c>
    </row>
    <row r="34" ht="30" customHeight="1">
      <c r="A34" s="3" t="inlineStr">
        <is>
          <t>Actions : CAC 40 dividendes réinvestis (Euronext) depuis 1988, grandes valeurs françaises (base Jordà-Schularick-Taylor) de 1945 à 1987 ; après 2026, rendement réel de 4,3 %/an (moyenne 1970-2025) et inflation de 2 %/an. Sans frais ni impôts.</t>
        </is>
      </c>
    </row>
    <row r="35" ht="16" customHeight="1">
      <c r="A35" s="3" t="inlineStr">
        <is>
          <t>Espérance de vie : tables INSEE par génération, identiques pour tous les régimes (écarts faibles selon la Cour des comptes).</t>
        </is>
      </c>
    </row>
    <row r="36" ht="30" customHeight="1">
      <c r="A36" s="3" t="inlineStr">
        <is>
          <t>Limites : pensions de réversion, minimum vieillesse et impôts exclus ; pas d'actualisation ; données anciennes des régimes spéciaux en partie estimées ; les générations Z et Alpha sont des projections.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24"/>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64" customWidth="1" min="1" max="1"/>
    <col width="17" customWidth="1" min="2" max="2"/>
    <col width="17" customWidth="1" min="3" max="3"/>
    <col width="17" customWidth="1" min="4" max="4"/>
    <col width="17" customWidth="1" min="5" max="5"/>
    <col width="17" customWidth="1" min="6" max="6"/>
    <col width="17" customWidth="1" min="7" max="7"/>
    <col width="18" customWidth="1" min="8" max="8"/>
  </cols>
  <sheetData>
    <row r="1">
      <c r="A1" s="1" t="inlineStr">
        <is>
          <t>OCEAN 1968 — Ce qui a changé d'une génération à l'autre</t>
        </is>
      </c>
    </row>
    <row r="2">
      <c r="A2" s="4" t="inlineStr">
        <is>
          <t>Salarié moyen à temps complet, durées réelles de carrière et de travail. Montants en euros constants de 2026 (pouvoir d'achat d'aujourd'hui).</t>
        </is>
      </c>
    </row>
    <row r="3">
      <c r="A3" s="4" t="inlineStr">
        <is>
          <t>Partie 1 : salarié du privé. Partie 2 : même comparaison pour chaque régime (profil type du régime, même salaire). Partie 3 : si les cotisations avaient été placées en actions.</t>
        </is>
      </c>
    </row>
    <row r="5">
      <c r="A5" s="2" t="inlineStr">
        <is>
          <t>1. Salarié du privé</t>
        </is>
      </c>
    </row>
    <row r="6" ht="40" customHeight="1">
      <c r="A6" s="5" t="inlineStr">
        <is>
          <t>Indicateur</t>
        </is>
      </c>
      <c r="B6" s="5" t="inlineStr">
        <is>
          <t>Génération silencieuse
nés 1928-1945</t>
        </is>
      </c>
      <c r="C6" s="5" t="inlineStr">
        <is>
          <t>Baby-boomers
nés 1946-1964</t>
        </is>
      </c>
      <c r="D6" s="5" t="inlineStr">
        <is>
          <t>Génération X
nés 1965-1980</t>
        </is>
      </c>
      <c r="E6" s="5" t="inlineStr">
        <is>
          <t>Génération Y
nés 1981-1996</t>
        </is>
      </c>
      <c r="F6" s="5" t="inlineStr">
        <is>
          <t>Génération Z
nés 1997-2012</t>
        </is>
      </c>
      <c r="G6" s="5" t="inlineStr">
        <is>
          <t>Génération Alpha
nés 2013-2025</t>
        </is>
      </c>
      <c r="H6" s="5" t="inlineStr">
        <is>
          <t>Évolution Silencieuse → Alpha</t>
        </is>
      </c>
    </row>
    <row r="7">
      <c r="A7" s="6" t="inlineStr">
        <is>
          <t>Années typiques de début de carrière</t>
        </is>
      </c>
      <c r="B7" s="7">
        <f>_xlfn.MINIFS(Profils_types!$G$3:$G$590,Profils_types!$A$3:$A$590,"Génération silencieuse",Profils_types!$B$3:$B$590,"Privé")&amp;" - "&amp;_xlfn.MAXIFS(Profils_types!$G$3:$G$590,Profils_types!$A$3:$A$590,"Génération silencieuse",Profils_types!$B$3:$B$590,"Privé")</f>
        <v/>
      </c>
      <c r="C7" s="7">
        <f>_xlfn.MINIFS(Profils_types!$G$3:$G$590,Profils_types!$A$3:$A$590,"Baby-boomers",Profils_types!$B$3:$B$590,"Privé")&amp;" - "&amp;_xlfn.MAXIFS(Profils_types!$G$3:$G$590,Profils_types!$A$3:$A$590,"Baby-boomers",Profils_types!$B$3:$B$590,"Privé")</f>
        <v/>
      </c>
      <c r="D7" s="7">
        <f>_xlfn.MINIFS(Profils_types!$G$3:$G$590,Profils_types!$A$3:$A$590,"Génération X",Profils_types!$B$3:$B$590,"Privé")&amp;" - "&amp;_xlfn.MAXIFS(Profils_types!$G$3:$G$590,Profils_types!$A$3:$A$590,"Génération X",Profils_types!$B$3:$B$590,"Privé")</f>
        <v/>
      </c>
      <c r="E7" s="7">
        <f>_xlfn.MINIFS(Profils_types!$G$3:$G$590,Profils_types!$A$3:$A$590,"Génération Y",Profils_types!$B$3:$B$590,"Privé")&amp;" - "&amp;_xlfn.MAXIFS(Profils_types!$G$3:$G$590,Profils_types!$A$3:$A$590,"Génération Y",Profils_types!$B$3:$B$590,"Privé")</f>
        <v/>
      </c>
      <c r="F7" s="7">
        <f>_xlfn.MINIFS(Profils_types!$G$3:$G$590,Profils_types!$A$3:$A$590,"Génération Z",Profils_types!$B$3:$B$590,"Privé")&amp;" - "&amp;_xlfn.MAXIFS(Profils_types!$G$3:$G$590,Profils_types!$A$3:$A$590,"Génération Z",Profils_types!$B$3:$B$590,"Privé")</f>
        <v/>
      </c>
      <c r="G7" s="7">
        <f>_xlfn.MINIFS(Profils_types!$G$3:$G$590,Profils_types!$A$3:$A$590,"Génération Alpha",Profils_types!$B$3:$B$590,"Privé")&amp;" - "&amp;_xlfn.MAXIFS(Profils_types!$G$3:$G$590,Profils_types!$A$3:$A$590,"Génération Alpha",Profils_types!$B$3:$B$590,"Privé")</f>
        <v/>
      </c>
    </row>
    <row r="8">
      <c r="A8" s="6" t="inlineStr">
        <is>
          <t>Âge moyen de début de carrière</t>
        </is>
      </c>
      <c r="B8" s="8">
        <f>AVERAGEIFS(Profils_types!$F$3:$F$590,Profils_types!$A$3:$A$590,"Génération silencieuse",Profils_types!$B$3:$B$590,"Privé")</f>
        <v/>
      </c>
      <c r="C8" s="8">
        <f>AVERAGEIFS(Profils_types!$F$3:$F$590,Profils_types!$A$3:$A$590,"Baby-boomers",Profils_types!$B$3:$B$590,"Privé")</f>
        <v/>
      </c>
      <c r="D8" s="8">
        <f>AVERAGEIFS(Profils_types!$F$3:$F$590,Profils_types!$A$3:$A$590,"Génération X",Profils_types!$B$3:$B$590,"Privé")</f>
        <v/>
      </c>
      <c r="E8" s="8">
        <f>AVERAGEIFS(Profils_types!$F$3:$F$590,Profils_types!$A$3:$A$590,"Génération Y",Profils_types!$B$3:$B$590,"Privé")</f>
        <v/>
      </c>
      <c r="F8" s="8">
        <f>AVERAGEIFS(Profils_types!$F$3:$F$590,Profils_types!$A$3:$A$590,"Génération Z",Profils_types!$B$3:$B$590,"Privé")</f>
        <v/>
      </c>
      <c r="G8" s="8">
        <f>AVERAGEIFS(Profils_types!$F$3:$F$590,Profils_types!$A$3:$A$590,"Génération Alpha",Profils_types!$B$3:$B$590,"Privé")</f>
        <v/>
      </c>
      <c r="H8" s="9">
        <f>IF(B8=0,"",G8/B8-1)</f>
        <v/>
      </c>
    </row>
    <row r="9">
      <c r="A9" s="10" t="inlineStr">
        <is>
          <t>Durée réelle de carrière (années)</t>
        </is>
      </c>
      <c r="B9" s="11">
        <f>AVERAGEIFS(Profils_types!$L$3:$L$590,Profils_types!$A$3:$A$590,"Génération silencieuse",Profils_types!$B$3:$B$590,"Privé")</f>
        <v/>
      </c>
      <c r="C9" s="11">
        <f>AVERAGEIFS(Profils_types!$L$3:$L$590,Profils_types!$A$3:$A$590,"Baby-boomers",Profils_types!$B$3:$B$590,"Privé")</f>
        <v/>
      </c>
      <c r="D9" s="11">
        <f>AVERAGEIFS(Profils_types!$L$3:$L$590,Profils_types!$A$3:$A$590,"Génération X",Profils_types!$B$3:$B$590,"Privé")</f>
        <v/>
      </c>
      <c r="E9" s="11">
        <f>AVERAGEIFS(Profils_types!$L$3:$L$590,Profils_types!$A$3:$A$590,"Génération Y",Profils_types!$B$3:$B$590,"Privé")</f>
        <v/>
      </c>
      <c r="F9" s="11">
        <f>AVERAGEIFS(Profils_types!$L$3:$L$590,Profils_types!$A$3:$A$590,"Génération Z",Profils_types!$B$3:$B$590,"Privé")</f>
        <v/>
      </c>
      <c r="G9" s="11">
        <f>AVERAGEIFS(Profils_types!$L$3:$L$590,Profils_types!$A$3:$A$590,"Génération Alpha",Profils_types!$B$3:$B$590,"Privé")</f>
        <v/>
      </c>
      <c r="H9" s="9">
        <f>IF(B9=0,"",G9/B9-1)</f>
        <v/>
      </c>
    </row>
    <row r="10">
      <c r="A10" s="10" t="inlineStr">
        <is>
          <t>Heures réellement travaillées sur la carrière</t>
        </is>
      </c>
      <c r="B10" s="12">
        <f>AVERAGEIFS(Profils_types!$P$3:$P$590,Profils_types!$A$3:$A$590,"Génération silencieuse",Profils_types!$B$3:$B$590,"Privé")</f>
        <v/>
      </c>
      <c r="C10" s="12">
        <f>AVERAGEIFS(Profils_types!$P$3:$P$590,Profils_types!$A$3:$A$590,"Baby-boomers",Profils_types!$B$3:$B$590,"Privé")</f>
        <v/>
      </c>
      <c r="D10" s="12">
        <f>AVERAGEIFS(Profils_types!$P$3:$P$590,Profils_types!$A$3:$A$590,"Génération X",Profils_types!$B$3:$B$590,"Privé")</f>
        <v/>
      </c>
      <c r="E10" s="12">
        <f>AVERAGEIFS(Profils_types!$P$3:$P$590,Profils_types!$A$3:$A$590,"Génération Y",Profils_types!$B$3:$B$590,"Privé")</f>
        <v/>
      </c>
      <c r="F10" s="12">
        <f>AVERAGEIFS(Profils_types!$P$3:$P$590,Profils_types!$A$3:$A$590,"Génération Z",Profils_types!$B$3:$B$590,"Privé")</f>
        <v/>
      </c>
      <c r="G10" s="12">
        <f>AVERAGEIFS(Profils_types!$P$3:$P$590,Profils_types!$A$3:$A$590,"Génération Alpha",Profils_types!$B$3:$B$590,"Privé")</f>
        <v/>
      </c>
      <c r="H10" s="9">
        <f>IF(B10=0,"",G10/B10-1)</f>
        <v/>
      </c>
    </row>
    <row r="11">
      <c r="A11" s="6" t="inlineStr">
        <is>
          <t>Heures travaillées par an</t>
        </is>
      </c>
      <c r="B11" s="13">
        <f>AVERAGEIFS(Profils_types!$R$3:$R$590,Profils_types!$A$3:$A$590,"Génération silencieuse",Profils_types!$B$3:$B$590,"Privé")</f>
        <v/>
      </c>
      <c r="C11" s="13">
        <f>AVERAGEIFS(Profils_types!$R$3:$R$590,Profils_types!$A$3:$A$590,"Baby-boomers",Profils_types!$B$3:$B$590,"Privé")</f>
        <v/>
      </c>
      <c r="D11" s="13">
        <f>AVERAGEIFS(Profils_types!$R$3:$R$590,Profils_types!$A$3:$A$590,"Génération X",Profils_types!$B$3:$B$590,"Privé")</f>
        <v/>
      </c>
      <c r="E11" s="13">
        <f>AVERAGEIFS(Profils_types!$R$3:$R$590,Profils_types!$A$3:$A$590,"Génération Y",Profils_types!$B$3:$B$590,"Privé")</f>
        <v/>
      </c>
      <c r="F11" s="13">
        <f>AVERAGEIFS(Profils_types!$R$3:$R$590,Profils_types!$A$3:$A$590,"Génération Z",Profils_types!$B$3:$B$590,"Privé")</f>
        <v/>
      </c>
      <c r="G11" s="13">
        <f>AVERAGEIFS(Profils_types!$R$3:$R$590,Profils_types!$A$3:$A$590,"Génération Alpha",Profils_types!$B$3:$B$590,"Privé")</f>
        <v/>
      </c>
      <c r="H11" s="9">
        <f>IF(B11=0,"",G11/B11-1)</f>
        <v/>
      </c>
    </row>
    <row r="12">
      <c r="A12" s="6" t="inlineStr">
        <is>
          <t>Salaire brut cumulé sur la carrière (€ 2026)</t>
        </is>
      </c>
      <c r="B12" s="14">
        <f>AVERAGEIFS(Profils_types!$S$3:$S$590,Profils_types!$A$3:$A$590,"Génération silencieuse",Profils_types!$B$3:$B$590,"Privé")</f>
        <v/>
      </c>
      <c r="C12" s="14">
        <f>AVERAGEIFS(Profils_types!$S$3:$S$590,Profils_types!$A$3:$A$590,"Baby-boomers",Profils_types!$B$3:$B$590,"Privé")</f>
        <v/>
      </c>
      <c r="D12" s="14">
        <f>AVERAGEIFS(Profils_types!$S$3:$S$590,Profils_types!$A$3:$A$590,"Génération X",Profils_types!$B$3:$B$590,"Privé")</f>
        <v/>
      </c>
      <c r="E12" s="14">
        <f>AVERAGEIFS(Profils_types!$S$3:$S$590,Profils_types!$A$3:$A$590,"Génération Y",Profils_types!$B$3:$B$590,"Privé")</f>
        <v/>
      </c>
      <c r="F12" s="14">
        <f>AVERAGEIFS(Profils_types!$S$3:$S$590,Profils_types!$A$3:$A$590,"Génération Z",Profils_types!$B$3:$B$590,"Privé")</f>
        <v/>
      </c>
      <c r="G12" s="14">
        <f>AVERAGEIFS(Profils_types!$S$3:$S$590,Profils_types!$A$3:$A$590,"Génération Alpha",Profils_types!$B$3:$B$590,"Privé")</f>
        <v/>
      </c>
      <c r="H12" s="9">
        <f>IF(B12=0,"",G12/B12-1)</f>
        <v/>
      </c>
    </row>
    <row r="13">
      <c r="A13" s="10" t="inlineStr">
        <is>
          <t>Taux moyen de cotisation vieillesse (salarial + patronal)</t>
        </is>
      </c>
      <c r="B13" s="15">
        <f>AVERAGEIFS(Profils_types!$W$3:$W$590,Profils_types!$A$3:$A$590,"Génération silencieuse",Profils_types!$B$3:$B$590,"Privé")</f>
        <v/>
      </c>
      <c r="C13" s="15">
        <f>AVERAGEIFS(Profils_types!$W$3:$W$590,Profils_types!$A$3:$A$590,"Baby-boomers",Profils_types!$B$3:$B$590,"Privé")</f>
        <v/>
      </c>
      <c r="D13" s="15">
        <f>AVERAGEIFS(Profils_types!$W$3:$W$590,Profils_types!$A$3:$A$590,"Génération X",Profils_types!$B$3:$B$590,"Privé")</f>
        <v/>
      </c>
      <c r="E13" s="15">
        <f>AVERAGEIFS(Profils_types!$W$3:$W$590,Profils_types!$A$3:$A$590,"Génération Y",Profils_types!$B$3:$B$590,"Privé")</f>
        <v/>
      </c>
      <c r="F13" s="15">
        <f>AVERAGEIFS(Profils_types!$W$3:$W$590,Profils_types!$A$3:$A$590,"Génération Z",Profils_types!$B$3:$B$590,"Privé")</f>
        <v/>
      </c>
      <c r="G13" s="15">
        <f>AVERAGEIFS(Profils_types!$W$3:$W$590,Profils_types!$A$3:$A$590,"Génération Alpha",Profils_types!$B$3:$B$590,"Privé")</f>
        <v/>
      </c>
      <c r="H13" s="9">
        <f>IF(B13=0,"",G13/B13-1)</f>
        <v/>
      </c>
    </row>
    <row r="14">
      <c r="A14" s="10" t="inlineStr">
        <is>
          <t>Cotisations vieillesse totales versées (€ 2026)</t>
        </is>
      </c>
      <c r="B14" s="16">
        <f>AVERAGEIFS(Profils_types!$V$3:$V$590,Profils_types!$A$3:$A$590,"Génération silencieuse",Profils_types!$B$3:$B$590,"Privé")</f>
        <v/>
      </c>
      <c r="C14" s="16">
        <f>AVERAGEIFS(Profils_types!$V$3:$V$590,Profils_types!$A$3:$A$590,"Baby-boomers",Profils_types!$B$3:$B$590,"Privé")</f>
        <v/>
      </c>
      <c r="D14" s="16">
        <f>AVERAGEIFS(Profils_types!$V$3:$V$590,Profils_types!$A$3:$A$590,"Génération X",Profils_types!$B$3:$B$590,"Privé")</f>
        <v/>
      </c>
      <c r="E14" s="16">
        <f>AVERAGEIFS(Profils_types!$V$3:$V$590,Profils_types!$A$3:$A$590,"Génération Y",Profils_types!$B$3:$B$590,"Privé")</f>
        <v/>
      </c>
      <c r="F14" s="16">
        <f>AVERAGEIFS(Profils_types!$V$3:$V$590,Profils_types!$A$3:$A$590,"Génération Z",Profils_types!$B$3:$B$590,"Privé")</f>
        <v/>
      </c>
      <c r="G14" s="16">
        <f>AVERAGEIFS(Profils_types!$V$3:$V$590,Profils_types!$A$3:$A$590,"Génération Alpha",Profils_types!$B$3:$B$590,"Privé")</f>
        <v/>
      </c>
      <c r="H14" s="9">
        <f>IF(B14=0,"",G14/B14-1)</f>
        <v/>
      </c>
    </row>
    <row r="15">
      <c r="A15" s="6" t="inlineStr">
        <is>
          <t>Cotisations vieillesse par heure travaillée (€ 2026)</t>
        </is>
      </c>
      <c r="B15" s="17">
        <f>AVERAGEIFS(Profils_types!$Y$3:$Y$590,Profils_types!$A$3:$A$590,"Génération silencieuse",Profils_types!$B$3:$B$590,"Privé")</f>
        <v/>
      </c>
      <c r="C15" s="17">
        <f>AVERAGEIFS(Profils_types!$Y$3:$Y$590,Profils_types!$A$3:$A$590,"Baby-boomers",Profils_types!$B$3:$B$590,"Privé")</f>
        <v/>
      </c>
      <c r="D15" s="17">
        <f>AVERAGEIFS(Profils_types!$Y$3:$Y$590,Profils_types!$A$3:$A$590,"Génération X",Profils_types!$B$3:$B$590,"Privé")</f>
        <v/>
      </c>
      <c r="E15" s="17">
        <f>AVERAGEIFS(Profils_types!$Y$3:$Y$590,Profils_types!$A$3:$A$590,"Génération Y",Profils_types!$B$3:$B$590,"Privé")</f>
        <v/>
      </c>
      <c r="F15" s="17">
        <f>AVERAGEIFS(Profils_types!$Y$3:$Y$590,Profils_types!$A$3:$A$590,"Génération Z",Profils_types!$B$3:$B$590,"Privé")</f>
        <v/>
      </c>
      <c r="G15" s="17">
        <f>AVERAGEIFS(Profils_types!$Y$3:$Y$590,Profils_types!$A$3:$A$590,"Génération Alpha",Profils_types!$B$3:$B$590,"Privé")</f>
        <v/>
      </c>
      <c r="H15" s="9">
        <f>IF(B15=0,"",G15/B15-1)</f>
        <v/>
      </c>
    </row>
    <row r="16">
      <c r="A16" s="6" t="inlineStr">
        <is>
          <t>Coût employeur retraite sur la carrière (€ 2026)</t>
        </is>
      </c>
      <c r="B16" s="14">
        <f>AVERAGEIFS(Profils_types!$X$3:$X$590,Profils_types!$A$3:$A$590,"Génération silencieuse",Profils_types!$B$3:$B$590,"Privé")</f>
        <v/>
      </c>
      <c r="C16" s="14">
        <f>AVERAGEIFS(Profils_types!$X$3:$X$590,Profils_types!$A$3:$A$590,"Baby-boomers",Profils_types!$B$3:$B$590,"Privé")</f>
        <v/>
      </c>
      <c r="D16" s="14">
        <f>AVERAGEIFS(Profils_types!$X$3:$X$590,Profils_types!$A$3:$A$590,"Génération X",Profils_types!$B$3:$B$590,"Privé")</f>
        <v/>
      </c>
      <c r="E16" s="14">
        <f>AVERAGEIFS(Profils_types!$X$3:$X$590,Profils_types!$A$3:$A$590,"Génération Y",Profils_types!$B$3:$B$590,"Privé")</f>
        <v/>
      </c>
      <c r="F16" s="14">
        <f>AVERAGEIFS(Profils_types!$X$3:$X$590,Profils_types!$A$3:$A$590,"Génération Z",Profils_types!$B$3:$B$590,"Privé")</f>
        <v/>
      </c>
      <c r="G16" s="14">
        <f>AVERAGEIFS(Profils_types!$X$3:$X$590,Profils_types!$A$3:$A$590,"Génération Alpha",Profils_types!$B$3:$B$590,"Privé")</f>
        <v/>
      </c>
      <c r="H16" s="9">
        <f>IF(B16=0,"",G16/B16-1)</f>
        <v/>
      </c>
    </row>
    <row r="17">
      <c r="A17" s="6" t="inlineStr">
        <is>
          <t>Âge de départ à la retraite</t>
        </is>
      </c>
      <c r="B17" s="8">
        <f>AVERAGEIFS(Profils_types!$K$3:$K$590,Profils_types!$A$3:$A$590,"Génération silencieuse",Profils_types!$B$3:$B$590,"Privé")</f>
        <v/>
      </c>
      <c r="C17" s="8">
        <f>AVERAGEIFS(Profils_types!$K$3:$K$590,Profils_types!$A$3:$A$590,"Baby-boomers",Profils_types!$B$3:$B$590,"Privé")</f>
        <v/>
      </c>
      <c r="D17" s="8">
        <f>AVERAGEIFS(Profils_types!$K$3:$K$590,Profils_types!$A$3:$A$590,"Génération X",Profils_types!$B$3:$B$590,"Privé")</f>
        <v/>
      </c>
      <c r="E17" s="8">
        <f>AVERAGEIFS(Profils_types!$K$3:$K$590,Profils_types!$A$3:$A$590,"Génération Y",Profils_types!$B$3:$B$590,"Privé")</f>
        <v/>
      </c>
      <c r="F17" s="8">
        <f>AVERAGEIFS(Profils_types!$K$3:$K$590,Profils_types!$A$3:$A$590,"Génération Z",Profils_types!$B$3:$B$590,"Privé")</f>
        <v/>
      </c>
      <c r="G17" s="8">
        <f>AVERAGEIFS(Profils_types!$K$3:$K$590,Profils_types!$A$3:$A$590,"Génération Alpha",Profils_types!$B$3:$B$590,"Privé")</f>
        <v/>
      </c>
      <c r="H17" s="9">
        <f>IF(B17=0,"",G17/B17-1)</f>
        <v/>
      </c>
    </row>
    <row r="18">
      <c r="A18" s="10" t="inlineStr">
        <is>
          <t>Durée moyenne de retraite (années)</t>
        </is>
      </c>
      <c r="B18" s="11">
        <f>AVERAGEIFS(Profils_types!$AJ$3:$AJ$590,Profils_types!$A$3:$A$590,"Génération silencieuse",Profils_types!$B$3:$B$590,"Privé")</f>
        <v/>
      </c>
      <c r="C18" s="11">
        <f>AVERAGEIFS(Profils_types!$AJ$3:$AJ$590,Profils_types!$A$3:$A$590,"Baby-boomers",Profils_types!$B$3:$B$590,"Privé")</f>
        <v/>
      </c>
      <c r="D18" s="11">
        <f>AVERAGEIFS(Profils_types!$AJ$3:$AJ$590,Profils_types!$A$3:$A$590,"Génération X",Profils_types!$B$3:$B$590,"Privé")</f>
        <v/>
      </c>
      <c r="E18" s="11">
        <f>AVERAGEIFS(Profils_types!$AJ$3:$AJ$590,Profils_types!$A$3:$A$590,"Génération Y",Profils_types!$B$3:$B$590,"Privé")</f>
        <v/>
      </c>
      <c r="F18" s="11">
        <f>AVERAGEIFS(Profils_types!$AJ$3:$AJ$590,Profils_types!$A$3:$A$590,"Génération Z",Profils_types!$B$3:$B$590,"Privé")</f>
        <v/>
      </c>
      <c r="G18" s="11">
        <f>AVERAGEIFS(Profils_types!$AJ$3:$AJ$590,Profils_types!$A$3:$A$590,"Génération Alpha",Profils_types!$B$3:$B$590,"Privé")</f>
        <v/>
      </c>
      <c r="H18" s="9">
        <f>IF(B18=0,"",G18/B18-1)</f>
        <v/>
      </c>
    </row>
    <row r="19">
      <c r="A19" s="6" t="inlineStr">
        <is>
          <t>Pension mensuelle (€ 2026)</t>
        </is>
      </c>
      <c r="B19" s="14">
        <f>AVERAGEIFS(Profils_types!$AF$3:$AF$590,Profils_types!$A$3:$A$590,"Génération silencieuse",Profils_types!$B$3:$B$590,"Privé")</f>
        <v/>
      </c>
      <c r="C19" s="14">
        <f>AVERAGEIFS(Profils_types!$AF$3:$AF$590,Profils_types!$A$3:$A$590,"Baby-boomers",Profils_types!$B$3:$B$590,"Privé")</f>
        <v/>
      </c>
      <c r="D19" s="14">
        <f>AVERAGEIFS(Profils_types!$AF$3:$AF$590,Profils_types!$A$3:$A$590,"Génération X",Profils_types!$B$3:$B$590,"Privé")</f>
        <v/>
      </c>
      <c r="E19" s="14">
        <f>AVERAGEIFS(Profils_types!$AF$3:$AF$590,Profils_types!$A$3:$A$590,"Génération Y",Profils_types!$B$3:$B$590,"Privé")</f>
        <v/>
      </c>
      <c r="F19" s="14">
        <f>AVERAGEIFS(Profils_types!$AF$3:$AF$590,Profils_types!$A$3:$A$590,"Génération Z",Profils_types!$B$3:$B$590,"Privé")</f>
        <v/>
      </c>
      <c r="G19" s="14">
        <f>AVERAGEIFS(Profils_types!$AF$3:$AF$590,Profils_types!$A$3:$A$590,"Génération Alpha",Profils_types!$B$3:$B$590,"Privé")</f>
        <v/>
      </c>
      <c r="H19" s="9">
        <f>IF(B19=0,"",G19/B19-1)</f>
        <v/>
      </c>
    </row>
    <row r="20">
      <c r="A20" s="6" t="inlineStr">
        <is>
          <t>Pensions totales reçues (€ 2026)</t>
        </is>
      </c>
      <c r="B20" s="14">
        <f>AVERAGEIFS(Profils_types!$AL$3:$AL$590,Profils_types!$A$3:$A$590,"Génération silencieuse",Profils_types!$B$3:$B$590,"Privé")</f>
        <v/>
      </c>
      <c r="C20" s="14">
        <f>AVERAGEIFS(Profils_types!$AL$3:$AL$590,Profils_types!$A$3:$A$590,"Baby-boomers",Profils_types!$B$3:$B$590,"Privé")</f>
        <v/>
      </c>
      <c r="D20" s="14">
        <f>AVERAGEIFS(Profils_types!$AL$3:$AL$590,Profils_types!$A$3:$A$590,"Génération X",Profils_types!$B$3:$B$590,"Privé")</f>
        <v/>
      </c>
      <c r="E20" s="14">
        <f>AVERAGEIFS(Profils_types!$AL$3:$AL$590,Profils_types!$A$3:$A$590,"Génération Y",Profils_types!$B$3:$B$590,"Privé")</f>
        <v/>
      </c>
      <c r="F20" s="14">
        <f>AVERAGEIFS(Profils_types!$AL$3:$AL$590,Profils_types!$A$3:$A$590,"Génération Z",Profils_types!$B$3:$B$590,"Privé")</f>
        <v/>
      </c>
      <c r="G20" s="14">
        <f>AVERAGEIFS(Profils_types!$AL$3:$AL$590,Profils_types!$A$3:$A$590,"Génération Alpha",Profils_types!$B$3:$B$590,"Privé")</f>
        <v/>
      </c>
      <c r="H20" s="9">
        <f>IF(B20=0,"",G20/B20-1)</f>
        <v/>
      </c>
    </row>
    <row r="21">
      <c r="A21" s="10" t="inlineStr">
        <is>
          <t>COTISATIONS VERSÉES POUR RECEVOIR 1 € DE PENSION</t>
        </is>
      </c>
      <c r="B21" s="18">
        <f>AVERAGEIFS(Profils_types!$AM$3:$AM$590,Profils_types!$A$3:$A$590,"Génération silencieuse",Profils_types!$B$3:$B$590,"Privé")</f>
        <v/>
      </c>
      <c r="C21" s="18">
        <f>AVERAGEIFS(Profils_types!$AM$3:$AM$590,Profils_types!$A$3:$A$590,"Baby-boomers",Profils_types!$B$3:$B$590,"Privé")</f>
        <v/>
      </c>
      <c r="D21" s="18">
        <f>AVERAGEIFS(Profils_types!$AM$3:$AM$590,Profils_types!$A$3:$A$590,"Génération X",Profils_types!$B$3:$B$590,"Privé")</f>
        <v/>
      </c>
      <c r="E21" s="18">
        <f>AVERAGEIFS(Profils_types!$AM$3:$AM$590,Profils_types!$A$3:$A$590,"Génération Y",Profils_types!$B$3:$B$590,"Privé")</f>
        <v/>
      </c>
      <c r="F21" s="18">
        <f>AVERAGEIFS(Profils_types!$AM$3:$AM$590,Profils_types!$A$3:$A$590,"Génération Z",Profils_types!$B$3:$B$590,"Privé")</f>
        <v/>
      </c>
      <c r="G21" s="18">
        <f>AVERAGEIFS(Profils_types!$AM$3:$AM$590,Profils_types!$A$3:$A$590,"Génération Alpha",Profils_types!$B$3:$B$590,"Privé")</f>
        <v/>
      </c>
      <c r="H21" s="9">
        <f>IF(B21=0,"",G21/B21-1)</f>
        <v/>
      </c>
    </row>
    <row r="22">
      <c r="A22" s="6" t="inlineStr">
        <is>
          <t>Pensions reçues pour 100 € cotisés</t>
        </is>
      </c>
      <c r="B22" s="14">
        <f>AVERAGEIFS(Profils_types!$AP$3:$AP$590,Profils_types!$A$3:$A$590,"Génération silencieuse",Profils_types!$B$3:$B$590,"Privé")</f>
        <v/>
      </c>
      <c r="C22" s="14">
        <f>AVERAGEIFS(Profils_types!$AP$3:$AP$590,Profils_types!$A$3:$A$590,"Baby-boomers",Profils_types!$B$3:$B$590,"Privé")</f>
        <v/>
      </c>
      <c r="D22" s="14">
        <f>AVERAGEIFS(Profils_types!$AP$3:$AP$590,Profils_types!$A$3:$A$590,"Génération X",Profils_types!$B$3:$B$590,"Privé")</f>
        <v/>
      </c>
      <c r="E22" s="14">
        <f>AVERAGEIFS(Profils_types!$AP$3:$AP$590,Profils_types!$A$3:$A$590,"Génération Y",Profils_types!$B$3:$B$590,"Privé")</f>
        <v/>
      </c>
      <c r="F22" s="14">
        <f>AVERAGEIFS(Profils_types!$AP$3:$AP$590,Profils_types!$A$3:$A$590,"Génération Z",Profils_types!$B$3:$B$590,"Privé")</f>
        <v/>
      </c>
      <c r="G22" s="14">
        <f>AVERAGEIFS(Profils_types!$AP$3:$AP$590,Profils_types!$A$3:$A$590,"Génération Alpha",Profils_types!$B$3:$B$590,"Privé")</f>
        <v/>
      </c>
      <c r="H22" s="9">
        <f>IF(B22=0,"",G22/B22-1)</f>
        <v/>
      </c>
    </row>
    <row r="23">
      <c r="A23" s="6" t="inlineStr">
        <is>
          <t>Heures de travail pour 1 000 € de pension</t>
        </is>
      </c>
      <c r="B23" s="8">
        <f>AVERAGEIFS(Profils_types!$AQ$3:$AQ$590,Profils_types!$A$3:$A$590,"Génération silencieuse",Profils_types!$B$3:$B$590,"Privé")</f>
        <v/>
      </c>
      <c r="C23" s="8">
        <f>AVERAGEIFS(Profils_types!$AQ$3:$AQ$590,Profils_types!$A$3:$A$590,"Baby-boomers",Profils_types!$B$3:$B$590,"Privé")</f>
        <v/>
      </c>
      <c r="D23" s="8">
        <f>AVERAGEIFS(Profils_types!$AQ$3:$AQ$590,Profils_types!$A$3:$A$590,"Génération X",Profils_types!$B$3:$B$590,"Privé")</f>
        <v/>
      </c>
      <c r="E23" s="8">
        <f>AVERAGEIFS(Profils_types!$AQ$3:$AQ$590,Profils_types!$A$3:$A$590,"Génération Y",Profils_types!$B$3:$B$590,"Privé")</f>
        <v/>
      </c>
      <c r="F23" s="8">
        <f>AVERAGEIFS(Profils_types!$AQ$3:$AQ$590,Profils_types!$A$3:$A$590,"Génération Z",Profils_types!$B$3:$B$590,"Privé")</f>
        <v/>
      </c>
      <c r="G23" s="8">
        <f>AVERAGEIFS(Profils_types!$AQ$3:$AQ$590,Profils_types!$A$3:$A$590,"Génération Alpha",Profils_types!$B$3:$B$590,"Privé")</f>
        <v/>
      </c>
      <c r="H23" s="9">
        <f>IF(B23=0,"",G23/B23-1)</f>
        <v/>
      </c>
    </row>
    <row r="25">
      <c r="A25" s="19" t="inlineStr">
        <is>
          <t>Écart avec les baby-boomers (privé)</t>
        </is>
      </c>
    </row>
    <row r="26">
      <c r="A26" s="10" t="inlineStr">
        <is>
          <t>Pour recevoir la même pension, cotisations à verser par rapport aux baby-boomers</t>
        </is>
      </c>
      <c r="B26" s="20">
        <f>B21/C21-1</f>
        <v/>
      </c>
      <c r="C26" s="20">
        <f>C21/C21-1</f>
        <v/>
      </c>
      <c r="D26" s="20">
        <f>D21/C21-1</f>
        <v/>
      </c>
      <c r="E26" s="20">
        <f>E21/C21-1</f>
        <v/>
      </c>
      <c r="F26" s="20">
        <f>F21/C21-1</f>
        <v/>
      </c>
      <c r="G26" s="20">
        <f>G21/C21-1</f>
        <v/>
      </c>
    </row>
    <row r="27">
      <c r="A27" s="6" t="inlineStr">
        <is>
          <t>Heures réellement travaillées sur la carrière, par rapport aux baby-boomers</t>
        </is>
      </c>
      <c r="B27" s="9">
        <f>B10/C10-1</f>
        <v/>
      </c>
      <c r="C27" s="9">
        <f>C10/C10-1</f>
        <v/>
      </c>
      <c r="D27" s="9">
        <f>D10/C10-1</f>
        <v/>
      </c>
      <c r="E27" s="9">
        <f>E10/C10-1</f>
        <v/>
      </c>
      <c r="F27" s="9">
        <f>F10/C10-1</f>
        <v/>
      </c>
      <c r="G27" s="9">
        <f>G10/C10-1</f>
        <v/>
      </c>
    </row>
    <row r="28">
      <c r="A28" s="6" t="inlineStr">
        <is>
          <t>Taux moyen de cotisation vieillesse, par rapport aux baby-boomers (points)</t>
        </is>
      </c>
      <c r="B28" s="21">
        <f>(B13-C13)*100</f>
        <v/>
      </c>
      <c r="C28" s="21">
        <f>(C13-C13)*100</f>
        <v/>
      </c>
      <c r="D28" s="21">
        <f>(D13-C13)*100</f>
        <v/>
      </c>
      <c r="E28" s="21">
        <f>(E13-C13)*100</f>
        <v/>
      </c>
      <c r="F28" s="21">
        <f>(F13-C13)*100</f>
        <v/>
      </c>
      <c r="G28" s="21">
        <f>(G13-C13)*100</f>
        <v/>
      </c>
    </row>
    <row r="29">
      <c r="A29" s="6" t="inlineStr">
        <is>
          <t>Durée moyenne de retraite, par rapport aux baby-boomers (années)</t>
        </is>
      </c>
      <c r="B29" s="22">
        <f>B18-C18</f>
        <v/>
      </c>
      <c r="C29" s="22">
        <f>C18-C18</f>
        <v/>
      </c>
      <c r="D29" s="22">
        <f>D18-C18</f>
        <v/>
      </c>
      <c r="E29" s="22">
        <f>E18-C18</f>
        <v/>
      </c>
      <c r="F29" s="22">
        <f>F18-C18</f>
        <v/>
      </c>
      <c r="G29" s="22">
        <f>G18-C18</f>
        <v/>
      </c>
    </row>
    <row r="31" ht="45" customHeight="1">
      <c r="A31" s="23" t="inlineStr">
        <is>
          <t>Fiabilité des données</t>
        </is>
      </c>
      <c r="B31" s="24" t="inlineStr">
        <is>
          <t>observé</t>
        </is>
      </c>
      <c r="C31" s="24" t="inlineStr">
        <is>
          <t>observé</t>
        </is>
      </c>
      <c r="D31" s="25" t="inlineStr">
        <is>
          <t>observé pour l'essentiel, retraite en partie projetée</t>
        </is>
      </c>
      <c r="E31" s="25" t="inlineStr">
        <is>
          <t>carrière en cours, retraite projetée</t>
        </is>
      </c>
      <c r="F31" s="25" t="inlineStr">
        <is>
          <t>début de carrière en cours ou à venir : projection</t>
        </is>
      </c>
      <c r="G31" s="25" t="inlineStr">
        <is>
          <t>aucune carrière commencée : projection complète</t>
        </is>
      </c>
    </row>
    <row r="33">
      <c r="A33" s="2" t="inlineStr">
        <is>
          <t>2. Comparaison des régimes (même salaire brut, profil type de chaque régime)</t>
        </is>
      </c>
    </row>
    <row r="34" ht="30" customHeight="1">
      <c r="A34" s="26" t="inlineStr">
        <is>
          <t>Profil type : catégorie la plus fréquente du régime (sédentaires, sauf RATP : conduite). Régimes fermés aux nouveaux embauchés (SNCF depuis 2020, RATP et IEG depuis septembre 2023) : les carrières commencées ensuite sont calculées au régime général.</t>
        </is>
      </c>
    </row>
    <row r="35" ht="40" customHeight="1">
      <c r="A35" s="27" t="inlineStr">
        <is>
          <t>Cotisations versées pour recevoir 1 € de pension</t>
        </is>
      </c>
      <c r="B35" s="5" t="inlineStr">
        <is>
          <t>Génération silencieuse
nés 1928-1945</t>
        </is>
      </c>
      <c r="C35" s="5" t="inlineStr">
        <is>
          <t>Baby-boomers
nés 1946-1964</t>
        </is>
      </c>
      <c r="D35" s="5" t="inlineStr">
        <is>
          <t>Génération X
nés 1965-1980</t>
        </is>
      </c>
      <c r="E35" s="5" t="inlineStr">
        <is>
          <t>Génération Y
nés 1981-1996</t>
        </is>
      </c>
      <c r="F35" s="5" t="inlineStr">
        <is>
          <t>Génération Z
nés 1997-2012</t>
        </is>
      </c>
      <c r="G35" s="5" t="inlineStr">
        <is>
          <t>Génération Alpha
nés 2013-2025</t>
        </is>
      </c>
      <c r="H35" s="5" t="inlineStr">
        <is>
          <t>Écart avec le privé (même génération, moyenne)</t>
        </is>
      </c>
    </row>
    <row r="36">
      <c r="A36" s="10" t="inlineStr">
        <is>
          <t>Privé</t>
        </is>
      </c>
      <c r="B36" s="28">
        <f>AVERAGEIFS(Profils_types!$AM$3:$AM$590,Profils_types!$A$3:$A$590,"Génération silencieuse",Profils_types!$B$3:$B$590,"Privé")</f>
        <v/>
      </c>
      <c r="C36" s="28">
        <f>AVERAGEIFS(Profils_types!$AM$3:$AM$590,Profils_types!$A$3:$A$590,"Baby-boomers",Profils_types!$B$3:$B$590,"Privé")</f>
        <v/>
      </c>
      <c r="D36" s="28">
        <f>AVERAGEIFS(Profils_types!$AM$3:$AM$590,Profils_types!$A$3:$A$590,"Génération X",Profils_types!$B$3:$B$590,"Privé")</f>
        <v/>
      </c>
      <c r="E36" s="28">
        <f>AVERAGEIFS(Profils_types!$AM$3:$AM$590,Profils_types!$A$3:$A$590,"Génération Y",Profils_types!$B$3:$B$590,"Privé")</f>
        <v/>
      </c>
      <c r="F36" s="28">
        <f>AVERAGEIFS(Profils_types!$AM$3:$AM$590,Profils_types!$A$3:$A$590,"Génération Z",Profils_types!$B$3:$B$590,"Privé")</f>
        <v/>
      </c>
      <c r="G36" s="28">
        <f>AVERAGEIFS(Profils_types!$AM$3:$AM$590,Profils_types!$A$3:$A$590,"Génération Alpha",Profils_types!$B$3:$B$590,"Privé")</f>
        <v/>
      </c>
    </row>
    <row r="37">
      <c r="A37" s="6" t="inlineStr">
        <is>
          <t>Fonction publique d'État</t>
        </is>
      </c>
      <c r="B37" s="29">
        <f>AVERAGEIFS(Profils_types!$AM$3:$AM$590,Profils_types!$A$3:$A$590,"Génération silencieuse",Profils_types!$B$3:$B$590,"Fonction publique d'État")</f>
        <v/>
      </c>
      <c r="C37" s="29">
        <f>AVERAGEIFS(Profils_types!$AM$3:$AM$590,Profils_types!$A$3:$A$590,"Baby-boomers",Profils_types!$B$3:$B$590,"Fonction publique d'État")</f>
        <v/>
      </c>
      <c r="D37" s="29">
        <f>AVERAGEIFS(Profils_types!$AM$3:$AM$590,Profils_types!$A$3:$A$590,"Génération X",Profils_types!$B$3:$B$590,"Fonction publique d'État")</f>
        <v/>
      </c>
      <c r="E37" s="29">
        <f>AVERAGEIFS(Profils_types!$AM$3:$AM$590,Profils_types!$A$3:$A$590,"Génération Y",Profils_types!$B$3:$B$590,"Fonction publique d'État")</f>
        <v/>
      </c>
      <c r="F37" s="29">
        <f>AVERAGEIFS(Profils_types!$AM$3:$AM$590,Profils_types!$A$3:$A$590,"Génération Z",Profils_types!$B$3:$B$590,"Fonction publique d'État")</f>
        <v/>
      </c>
      <c r="G37" s="29">
        <f>AVERAGEIFS(Profils_types!$AM$3:$AM$590,Profils_types!$A$3:$A$590,"Génération Alpha",Profils_types!$B$3:$B$590,"Fonction publique d'État")</f>
        <v/>
      </c>
      <c r="H37" s="9">
        <f>AVERAGE(B37/B36-1,C37/C36-1,D37/D36-1,E37/E36-1)</f>
        <v/>
      </c>
    </row>
    <row r="38">
      <c r="A38" s="6" t="inlineStr">
        <is>
          <t>Fonction publique territoriale et hospitalière</t>
        </is>
      </c>
      <c r="B38" s="29">
        <f>AVERAGEIFS(Profils_types!$AM$3:$AM$590,Profils_types!$A$3:$A$590,"Génération silencieuse",Profils_types!$B$3:$B$590,"Fonction publique territoriale et hospitalière")</f>
        <v/>
      </c>
      <c r="C38" s="29">
        <f>AVERAGEIFS(Profils_types!$AM$3:$AM$590,Profils_types!$A$3:$A$590,"Baby-boomers",Profils_types!$B$3:$B$590,"Fonction publique territoriale et hospitalière")</f>
        <v/>
      </c>
      <c r="D38" s="29">
        <f>AVERAGEIFS(Profils_types!$AM$3:$AM$590,Profils_types!$A$3:$A$590,"Génération X",Profils_types!$B$3:$B$590,"Fonction publique territoriale et hospitalière")</f>
        <v/>
      </c>
      <c r="E38" s="29">
        <f>AVERAGEIFS(Profils_types!$AM$3:$AM$590,Profils_types!$A$3:$A$590,"Génération Y",Profils_types!$B$3:$B$590,"Fonction publique territoriale et hospitalière")</f>
        <v/>
      </c>
      <c r="F38" s="29">
        <f>AVERAGEIFS(Profils_types!$AM$3:$AM$590,Profils_types!$A$3:$A$590,"Génération Z",Profils_types!$B$3:$B$590,"Fonction publique territoriale et hospitalière")</f>
        <v/>
      </c>
      <c r="G38" s="29">
        <f>AVERAGEIFS(Profils_types!$AM$3:$AM$590,Profils_types!$A$3:$A$590,"Génération Alpha",Profils_types!$B$3:$B$590,"Fonction publique territoriale et hospitalière")</f>
        <v/>
      </c>
      <c r="H38" s="9">
        <f>AVERAGE(B38/B36-1,C38/C36-1,D38/D36-1,E38/E36-1)</f>
        <v/>
      </c>
    </row>
    <row r="39">
      <c r="A39" s="6" t="inlineStr">
        <is>
          <t>SNCF</t>
        </is>
      </c>
      <c r="B39" s="29">
        <f>AVERAGEIFS(Profils_types!$AM$3:$AM$590,Profils_types!$A$3:$A$590,"Génération silencieuse",Profils_types!$B$3:$B$590,"SNCF")</f>
        <v/>
      </c>
      <c r="C39" s="29">
        <f>AVERAGEIFS(Profils_types!$AM$3:$AM$590,Profils_types!$A$3:$A$590,"Baby-boomers",Profils_types!$B$3:$B$590,"SNCF")</f>
        <v/>
      </c>
      <c r="D39" s="29">
        <f>AVERAGEIFS(Profils_types!$AM$3:$AM$590,Profils_types!$A$3:$A$590,"Génération X",Profils_types!$B$3:$B$590,"SNCF")</f>
        <v/>
      </c>
      <c r="E39" s="29">
        <f>AVERAGEIFS(Profils_types!$AM$3:$AM$590,Profils_types!$A$3:$A$590,"Génération Y",Profils_types!$B$3:$B$590,"SNCF")</f>
        <v/>
      </c>
      <c r="F39" s="29">
        <f>AVERAGEIFS(Profils_types!$AM$3:$AM$590,Profils_types!$A$3:$A$590,"Génération Z",Profils_types!$B$3:$B$590,"SNCF")</f>
        <v/>
      </c>
      <c r="G39" s="29">
        <f>AVERAGEIFS(Profils_types!$AM$3:$AM$590,Profils_types!$A$3:$A$590,"Génération Alpha",Profils_types!$B$3:$B$590,"SNCF")</f>
        <v/>
      </c>
      <c r="H39" s="9">
        <f>AVERAGE(B39/B36-1,C39/C36-1,D39/D36-1,E39/E36-1)</f>
        <v/>
      </c>
    </row>
    <row r="40">
      <c r="A40" s="6" t="inlineStr">
        <is>
          <t>RATP</t>
        </is>
      </c>
      <c r="B40" s="29">
        <f>AVERAGEIFS(Profils_types!$AM$3:$AM$590,Profils_types!$A$3:$A$590,"Génération silencieuse",Profils_types!$B$3:$B$590,"RATP")</f>
        <v/>
      </c>
      <c r="C40" s="29">
        <f>AVERAGEIFS(Profils_types!$AM$3:$AM$590,Profils_types!$A$3:$A$590,"Baby-boomers",Profils_types!$B$3:$B$590,"RATP")</f>
        <v/>
      </c>
      <c r="D40" s="29">
        <f>AVERAGEIFS(Profils_types!$AM$3:$AM$590,Profils_types!$A$3:$A$590,"Génération X",Profils_types!$B$3:$B$590,"RATP")</f>
        <v/>
      </c>
      <c r="E40" s="29">
        <f>AVERAGEIFS(Profils_types!$AM$3:$AM$590,Profils_types!$A$3:$A$590,"Génération Y",Profils_types!$B$3:$B$590,"RATP")</f>
        <v/>
      </c>
      <c r="F40" s="29">
        <f>AVERAGEIFS(Profils_types!$AM$3:$AM$590,Profils_types!$A$3:$A$590,"Génération Z",Profils_types!$B$3:$B$590,"RATP")</f>
        <v/>
      </c>
      <c r="G40" s="29">
        <f>AVERAGEIFS(Profils_types!$AM$3:$AM$590,Profils_types!$A$3:$A$590,"Génération Alpha",Profils_types!$B$3:$B$590,"RATP")</f>
        <v/>
      </c>
      <c r="H40" s="9">
        <f>AVERAGE(B40/B36-1,C40/C36-1,D40/D36-1,E40/E36-1)</f>
        <v/>
      </c>
    </row>
    <row r="41">
      <c r="A41" s="6" t="inlineStr">
        <is>
          <t>IEG</t>
        </is>
      </c>
      <c r="B41" s="29">
        <f>AVERAGEIFS(Profils_types!$AM$3:$AM$590,Profils_types!$A$3:$A$590,"Génération silencieuse",Profils_types!$B$3:$B$590,"IEG")</f>
        <v/>
      </c>
      <c r="C41" s="29">
        <f>AVERAGEIFS(Profils_types!$AM$3:$AM$590,Profils_types!$A$3:$A$590,"Baby-boomers",Profils_types!$B$3:$B$590,"IEG")</f>
        <v/>
      </c>
      <c r="D41" s="29">
        <f>AVERAGEIFS(Profils_types!$AM$3:$AM$590,Profils_types!$A$3:$A$590,"Génération X",Profils_types!$B$3:$B$590,"IEG")</f>
        <v/>
      </c>
      <c r="E41" s="29">
        <f>AVERAGEIFS(Profils_types!$AM$3:$AM$590,Profils_types!$A$3:$A$590,"Génération Y",Profils_types!$B$3:$B$590,"IEG")</f>
        <v/>
      </c>
      <c r="F41" s="29">
        <f>AVERAGEIFS(Profils_types!$AM$3:$AM$590,Profils_types!$A$3:$A$590,"Génération Z",Profils_types!$B$3:$B$590,"IEG")</f>
        <v/>
      </c>
      <c r="G41" s="29">
        <f>AVERAGEIFS(Profils_types!$AM$3:$AM$590,Profils_types!$A$3:$A$590,"Génération Alpha",Profils_types!$B$3:$B$590,"IEG")</f>
        <v/>
      </c>
      <c r="H41" s="9">
        <f>AVERAGE(B41/B36-1,C41/C36-1,D41/D36-1,E41/E36-1)</f>
        <v/>
      </c>
    </row>
    <row r="43" ht="40" customHeight="1">
      <c r="A43" s="27" t="inlineStr">
        <is>
          <t>Argent public (impôts et taxes) ajouté pour 1 € de pension, en plus des cotisations</t>
        </is>
      </c>
      <c r="B43" s="5" t="inlineStr">
        <is>
          <t>Génération silencieuse
nés 1928-1945</t>
        </is>
      </c>
      <c r="C43" s="5" t="inlineStr">
        <is>
          <t>Baby-boomers
nés 1946-1964</t>
        </is>
      </c>
      <c r="D43" s="5" t="inlineStr">
        <is>
          <t>Génération X
nés 1965-1980</t>
        </is>
      </c>
      <c r="E43" s="5" t="inlineStr">
        <is>
          <t>Génération Y
nés 1981-1996</t>
        </is>
      </c>
      <c r="F43" s="5" t="inlineStr">
        <is>
          <t>Génération Z
nés 1997-2012</t>
        </is>
      </c>
      <c r="G43" s="5" t="inlineStr">
        <is>
          <t>Génération Alpha
nés 2013-2025</t>
        </is>
      </c>
      <c r="H43" s="5" t="inlineStr">
        <is>
          <t>Écart avec le privé (même génération, moyenne)</t>
        </is>
      </c>
    </row>
    <row r="44">
      <c r="A44" s="10" t="inlineStr">
        <is>
          <t>Privé</t>
        </is>
      </c>
      <c r="B44" s="28">
        <f>AVERAGEIFS(Profils_types!$AN$3:$AN$590,Profils_types!$A$3:$A$590,"Génération silencieuse",Profils_types!$B$3:$B$590,"Privé")</f>
        <v/>
      </c>
      <c r="C44" s="28">
        <f>AVERAGEIFS(Profils_types!$AN$3:$AN$590,Profils_types!$A$3:$A$590,"Baby-boomers",Profils_types!$B$3:$B$590,"Privé")</f>
        <v/>
      </c>
      <c r="D44" s="28">
        <f>AVERAGEIFS(Profils_types!$AN$3:$AN$590,Profils_types!$A$3:$A$590,"Génération X",Profils_types!$B$3:$B$590,"Privé")</f>
        <v/>
      </c>
      <c r="E44" s="28">
        <f>AVERAGEIFS(Profils_types!$AN$3:$AN$590,Profils_types!$A$3:$A$590,"Génération Y",Profils_types!$B$3:$B$590,"Privé")</f>
        <v/>
      </c>
      <c r="F44" s="28">
        <f>AVERAGEIFS(Profils_types!$AN$3:$AN$590,Profils_types!$A$3:$A$590,"Génération Z",Profils_types!$B$3:$B$590,"Privé")</f>
        <v/>
      </c>
      <c r="G44" s="28">
        <f>AVERAGEIFS(Profils_types!$AN$3:$AN$590,Profils_types!$A$3:$A$590,"Génération Alpha",Profils_types!$B$3:$B$590,"Privé")</f>
        <v/>
      </c>
    </row>
    <row r="45">
      <c r="A45" s="6" t="inlineStr">
        <is>
          <t>Fonction publique d'État</t>
        </is>
      </c>
      <c r="B45" s="30">
        <f>AVERAGEIFS(Profils_types!$AN$3:$AN$590,Profils_types!$A$3:$A$590,"Génération silencieuse",Profils_types!$B$3:$B$590,"Fonction publique d'État")</f>
        <v/>
      </c>
      <c r="C45" s="30">
        <f>AVERAGEIFS(Profils_types!$AN$3:$AN$590,Profils_types!$A$3:$A$590,"Baby-boomers",Profils_types!$B$3:$B$590,"Fonction publique d'État")</f>
        <v/>
      </c>
      <c r="D45" s="30">
        <f>AVERAGEIFS(Profils_types!$AN$3:$AN$590,Profils_types!$A$3:$A$590,"Génération X",Profils_types!$B$3:$B$590,"Fonction publique d'État")</f>
        <v/>
      </c>
      <c r="E45" s="30">
        <f>AVERAGEIFS(Profils_types!$AN$3:$AN$590,Profils_types!$A$3:$A$590,"Génération Y",Profils_types!$B$3:$B$590,"Fonction publique d'État")</f>
        <v/>
      </c>
      <c r="F45" s="30">
        <f>AVERAGEIFS(Profils_types!$AN$3:$AN$590,Profils_types!$A$3:$A$590,"Génération Z",Profils_types!$B$3:$B$590,"Fonction publique d'État")</f>
        <v/>
      </c>
      <c r="G45" s="30">
        <f>AVERAGEIFS(Profils_types!$AN$3:$AN$590,Profils_types!$A$3:$A$590,"Génération Alpha",Profils_types!$B$3:$B$590,"Fonction publique d'État")</f>
        <v/>
      </c>
      <c r="H45" s="31">
        <f>AVERAGE(B45-B44,C45-C44,D45-D44,E45-E44)</f>
        <v/>
      </c>
    </row>
    <row r="46">
      <c r="A46" s="6" t="inlineStr">
        <is>
          <t>Fonction publique territoriale et hospitalière</t>
        </is>
      </c>
      <c r="B46" s="30">
        <f>AVERAGEIFS(Profils_types!$AN$3:$AN$590,Profils_types!$A$3:$A$590,"Génération silencieuse",Profils_types!$B$3:$B$590,"Fonction publique territoriale et hospitalière")</f>
        <v/>
      </c>
      <c r="C46" s="30">
        <f>AVERAGEIFS(Profils_types!$AN$3:$AN$590,Profils_types!$A$3:$A$590,"Baby-boomers",Profils_types!$B$3:$B$590,"Fonction publique territoriale et hospitalière")</f>
        <v/>
      </c>
      <c r="D46" s="30">
        <f>AVERAGEIFS(Profils_types!$AN$3:$AN$590,Profils_types!$A$3:$A$590,"Génération X",Profils_types!$B$3:$B$590,"Fonction publique territoriale et hospitalière")</f>
        <v/>
      </c>
      <c r="E46" s="30">
        <f>AVERAGEIFS(Profils_types!$AN$3:$AN$590,Profils_types!$A$3:$A$590,"Génération Y",Profils_types!$B$3:$B$590,"Fonction publique territoriale et hospitalière")</f>
        <v/>
      </c>
      <c r="F46" s="30">
        <f>AVERAGEIFS(Profils_types!$AN$3:$AN$590,Profils_types!$A$3:$A$590,"Génération Z",Profils_types!$B$3:$B$590,"Fonction publique territoriale et hospitalière")</f>
        <v/>
      </c>
      <c r="G46" s="30">
        <f>AVERAGEIFS(Profils_types!$AN$3:$AN$590,Profils_types!$A$3:$A$590,"Génération Alpha",Profils_types!$B$3:$B$590,"Fonction publique territoriale et hospitalière")</f>
        <v/>
      </c>
      <c r="H46" s="31">
        <f>AVERAGE(B46-B44,C46-C44,D46-D44,E46-E44)</f>
        <v/>
      </c>
    </row>
    <row r="47">
      <c r="A47" s="6" t="inlineStr">
        <is>
          <t>SNCF</t>
        </is>
      </c>
      <c r="B47" s="30">
        <f>AVERAGEIFS(Profils_types!$AN$3:$AN$590,Profils_types!$A$3:$A$590,"Génération silencieuse",Profils_types!$B$3:$B$590,"SNCF")</f>
        <v/>
      </c>
      <c r="C47" s="30">
        <f>AVERAGEIFS(Profils_types!$AN$3:$AN$590,Profils_types!$A$3:$A$590,"Baby-boomers",Profils_types!$B$3:$B$590,"SNCF")</f>
        <v/>
      </c>
      <c r="D47" s="30">
        <f>AVERAGEIFS(Profils_types!$AN$3:$AN$590,Profils_types!$A$3:$A$590,"Génération X",Profils_types!$B$3:$B$590,"SNCF")</f>
        <v/>
      </c>
      <c r="E47" s="30">
        <f>AVERAGEIFS(Profils_types!$AN$3:$AN$590,Profils_types!$A$3:$A$590,"Génération Y",Profils_types!$B$3:$B$590,"SNCF")</f>
        <v/>
      </c>
      <c r="F47" s="30">
        <f>AVERAGEIFS(Profils_types!$AN$3:$AN$590,Profils_types!$A$3:$A$590,"Génération Z",Profils_types!$B$3:$B$590,"SNCF")</f>
        <v/>
      </c>
      <c r="G47" s="30">
        <f>AVERAGEIFS(Profils_types!$AN$3:$AN$590,Profils_types!$A$3:$A$590,"Génération Alpha",Profils_types!$B$3:$B$590,"SNCF")</f>
        <v/>
      </c>
      <c r="H47" s="31">
        <f>AVERAGE(B47-B44,C47-C44,D47-D44,E47-E44)</f>
        <v/>
      </c>
    </row>
    <row r="48">
      <c r="A48" s="6" t="inlineStr">
        <is>
          <t>RATP</t>
        </is>
      </c>
      <c r="B48" s="30">
        <f>AVERAGEIFS(Profils_types!$AN$3:$AN$590,Profils_types!$A$3:$A$590,"Génération silencieuse",Profils_types!$B$3:$B$590,"RATP")</f>
        <v/>
      </c>
      <c r="C48" s="30">
        <f>AVERAGEIFS(Profils_types!$AN$3:$AN$590,Profils_types!$A$3:$A$590,"Baby-boomers",Profils_types!$B$3:$B$590,"RATP")</f>
        <v/>
      </c>
      <c r="D48" s="30">
        <f>AVERAGEIFS(Profils_types!$AN$3:$AN$590,Profils_types!$A$3:$A$590,"Génération X",Profils_types!$B$3:$B$590,"RATP")</f>
        <v/>
      </c>
      <c r="E48" s="30">
        <f>AVERAGEIFS(Profils_types!$AN$3:$AN$590,Profils_types!$A$3:$A$590,"Génération Y",Profils_types!$B$3:$B$590,"RATP")</f>
        <v/>
      </c>
      <c r="F48" s="30">
        <f>AVERAGEIFS(Profils_types!$AN$3:$AN$590,Profils_types!$A$3:$A$590,"Génération Z",Profils_types!$B$3:$B$590,"RATP")</f>
        <v/>
      </c>
      <c r="G48" s="30">
        <f>AVERAGEIFS(Profils_types!$AN$3:$AN$590,Profils_types!$A$3:$A$590,"Génération Alpha",Profils_types!$B$3:$B$590,"RATP")</f>
        <v/>
      </c>
      <c r="H48" s="31">
        <f>AVERAGE(B48-B44,C48-C44,D48-D44,E48-E44)</f>
        <v/>
      </c>
    </row>
    <row r="49">
      <c r="A49" s="6" t="inlineStr">
        <is>
          <t>IEG</t>
        </is>
      </c>
      <c r="B49" s="30">
        <f>AVERAGEIFS(Profils_types!$AN$3:$AN$590,Profils_types!$A$3:$A$590,"Génération silencieuse",Profils_types!$B$3:$B$590,"IEG")</f>
        <v/>
      </c>
      <c r="C49" s="30">
        <f>AVERAGEIFS(Profils_types!$AN$3:$AN$590,Profils_types!$A$3:$A$590,"Baby-boomers",Profils_types!$B$3:$B$590,"IEG")</f>
        <v/>
      </c>
      <c r="D49" s="30">
        <f>AVERAGEIFS(Profils_types!$AN$3:$AN$590,Profils_types!$A$3:$A$590,"Génération X",Profils_types!$B$3:$B$590,"IEG")</f>
        <v/>
      </c>
      <c r="E49" s="30">
        <f>AVERAGEIFS(Profils_types!$AN$3:$AN$590,Profils_types!$A$3:$A$590,"Génération Y",Profils_types!$B$3:$B$590,"IEG")</f>
        <v/>
      </c>
      <c r="F49" s="30">
        <f>AVERAGEIFS(Profils_types!$AN$3:$AN$590,Profils_types!$A$3:$A$590,"Génération Z",Profils_types!$B$3:$B$590,"IEG")</f>
        <v/>
      </c>
      <c r="G49" s="30">
        <f>AVERAGEIFS(Profils_types!$AN$3:$AN$590,Profils_types!$A$3:$A$590,"Génération Alpha",Profils_types!$B$3:$B$590,"IEG")</f>
        <v/>
      </c>
      <c r="H49" s="31">
        <f>AVERAGE(B49-B44,C49-C44,D49-D44,E49-E44)</f>
        <v/>
      </c>
    </row>
    <row r="51" ht="40" customHeight="1">
      <c r="A51" s="27" t="inlineStr">
        <is>
          <t>Part de l'argent public dans le financement de la carrière</t>
        </is>
      </c>
      <c r="B51" s="5" t="inlineStr">
        <is>
          <t>Génération silencieuse
nés 1928-1945</t>
        </is>
      </c>
      <c r="C51" s="5" t="inlineStr">
        <is>
          <t>Baby-boomers
nés 1946-1964</t>
        </is>
      </c>
      <c r="D51" s="5" t="inlineStr">
        <is>
          <t>Génération X
nés 1965-1980</t>
        </is>
      </c>
      <c r="E51" s="5" t="inlineStr">
        <is>
          <t>Génération Y
nés 1981-1996</t>
        </is>
      </c>
      <c r="F51" s="5" t="inlineStr">
        <is>
          <t>Génération Z
nés 1997-2012</t>
        </is>
      </c>
      <c r="G51" s="5" t="inlineStr">
        <is>
          <t>Génération Alpha
nés 2013-2025</t>
        </is>
      </c>
      <c r="H51" s="5" t="inlineStr">
        <is>
          <t>Écart avec le privé (même génération, moyenne)</t>
        </is>
      </c>
    </row>
    <row r="52">
      <c r="A52" s="10" t="inlineStr">
        <is>
          <t>Privé</t>
        </is>
      </c>
      <c r="B52" s="15">
        <f>AVERAGEIFS(Profils_types!$AO$3:$AO$590,Profils_types!$A$3:$A$590,"Génération silencieuse",Profils_types!$B$3:$B$590,"Privé")</f>
        <v/>
      </c>
      <c r="C52" s="15">
        <f>AVERAGEIFS(Profils_types!$AO$3:$AO$590,Profils_types!$A$3:$A$590,"Baby-boomers",Profils_types!$B$3:$B$590,"Privé")</f>
        <v/>
      </c>
      <c r="D52" s="15">
        <f>AVERAGEIFS(Profils_types!$AO$3:$AO$590,Profils_types!$A$3:$A$590,"Génération X",Profils_types!$B$3:$B$590,"Privé")</f>
        <v/>
      </c>
      <c r="E52" s="15">
        <f>AVERAGEIFS(Profils_types!$AO$3:$AO$590,Profils_types!$A$3:$A$590,"Génération Y",Profils_types!$B$3:$B$590,"Privé")</f>
        <v/>
      </c>
      <c r="F52" s="15">
        <f>AVERAGEIFS(Profils_types!$AO$3:$AO$590,Profils_types!$A$3:$A$590,"Génération Z",Profils_types!$B$3:$B$590,"Privé")</f>
        <v/>
      </c>
      <c r="G52" s="15">
        <f>AVERAGEIFS(Profils_types!$AO$3:$AO$590,Profils_types!$A$3:$A$590,"Génération Alpha",Profils_types!$B$3:$B$590,"Privé")</f>
        <v/>
      </c>
    </row>
    <row r="53">
      <c r="A53" s="6" t="inlineStr">
        <is>
          <t>Fonction publique d'État</t>
        </is>
      </c>
      <c r="B53" s="32">
        <f>AVERAGEIFS(Profils_types!$AO$3:$AO$590,Profils_types!$A$3:$A$590,"Génération silencieuse",Profils_types!$B$3:$B$590,"Fonction publique d'État")</f>
        <v/>
      </c>
      <c r="C53" s="32">
        <f>AVERAGEIFS(Profils_types!$AO$3:$AO$590,Profils_types!$A$3:$A$590,"Baby-boomers",Profils_types!$B$3:$B$590,"Fonction publique d'État")</f>
        <v/>
      </c>
      <c r="D53" s="32">
        <f>AVERAGEIFS(Profils_types!$AO$3:$AO$590,Profils_types!$A$3:$A$590,"Génération X",Profils_types!$B$3:$B$590,"Fonction publique d'État")</f>
        <v/>
      </c>
      <c r="E53" s="32">
        <f>AVERAGEIFS(Profils_types!$AO$3:$AO$590,Profils_types!$A$3:$A$590,"Génération Y",Profils_types!$B$3:$B$590,"Fonction publique d'État")</f>
        <v/>
      </c>
      <c r="F53" s="32">
        <f>AVERAGEIFS(Profils_types!$AO$3:$AO$590,Profils_types!$A$3:$A$590,"Génération Z",Profils_types!$B$3:$B$590,"Fonction publique d'État")</f>
        <v/>
      </c>
      <c r="G53" s="32">
        <f>AVERAGEIFS(Profils_types!$AO$3:$AO$590,Profils_types!$A$3:$A$590,"Génération Alpha",Profils_types!$B$3:$B$590,"Fonction publique d'État")</f>
        <v/>
      </c>
      <c r="H53" s="21">
        <f>AVERAGE(B53-B52,C53-C52,D53-D52,E53-E52)*100</f>
        <v/>
      </c>
    </row>
    <row r="54">
      <c r="A54" s="6" t="inlineStr">
        <is>
          <t>Fonction publique territoriale et hospitalière</t>
        </is>
      </c>
      <c r="B54" s="32">
        <f>AVERAGEIFS(Profils_types!$AO$3:$AO$590,Profils_types!$A$3:$A$590,"Génération silencieuse",Profils_types!$B$3:$B$590,"Fonction publique territoriale et hospitalière")</f>
        <v/>
      </c>
      <c r="C54" s="32">
        <f>AVERAGEIFS(Profils_types!$AO$3:$AO$590,Profils_types!$A$3:$A$590,"Baby-boomers",Profils_types!$B$3:$B$590,"Fonction publique territoriale et hospitalière")</f>
        <v/>
      </c>
      <c r="D54" s="32">
        <f>AVERAGEIFS(Profils_types!$AO$3:$AO$590,Profils_types!$A$3:$A$590,"Génération X",Profils_types!$B$3:$B$590,"Fonction publique territoriale et hospitalière")</f>
        <v/>
      </c>
      <c r="E54" s="32">
        <f>AVERAGEIFS(Profils_types!$AO$3:$AO$590,Profils_types!$A$3:$A$590,"Génération Y",Profils_types!$B$3:$B$590,"Fonction publique territoriale et hospitalière")</f>
        <v/>
      </c>
      <c r="F54" s="32">
        <f>AVERAGEIFS(Profils_types!$AO$3:$AO$590,Profils_types!$A$3:$A$590,"Génération Z",Profils_types!$B$3:$B$590,"Fonction publique territoriale et hospitalière")</f>
        <v/>
      </c>
      <c r="G54" s="32">
        <f>AVERAGEIFS(Profils_types!$AO$3:$AO$590,Profils_types!$A$3:$A$590,"Génération Alpha",Profils_types!$B$3:$B$590,"Fonction publique territoriale et hospitalière")</f>
        <v/>
      </c>
      <c r="H54" s="21">
        <f>AVERAGE(B54-B52,C54-C52,D54-D52,E54-E52)*100</f>
        <v/>
      </c>
    </row>
    <row r="55">
      <c r="A55" s="6" t="inlineStr">
        <is>
          <t>SNCF</t>
        </is>
      </c>
      <c r="B55" s="32">
        <f>AVERAGEIFS(Profils_types!$AO$3:$AO$590,Profils_types!$A$3:$A$590,"Génération silencieuse",Profils_types!$B$3:$B$590,"SNCF")</f>
        <v/>
      </c>
      <c r="C55" s="32">
        <f>AVERAGEIFS(Profils_types!$AO$3:$AO$590,Profils_types!$A$3:$A$590,"Baby-boomers",Profils_types!$B$3:$B$590,"SNCF")</f>
        <v/>
      </c>
      <c r="D55" s="32">
        <f>AVERAGEIFS(Profils_types!$AO$3:$AO$590,Profils_types!$A$3:$A$590,"Génération X",Profils_types!$B$3:$B$590,"SNCF")</f>
        <v/>
      </c>
      <c r="E55" s="32">
        <f>AVERAGEIFS(Profils_types!$AO$3:$AO$590,Profils_types!$A$3:$A$590,"Génération Y",Profils_types!$B$3:$B$590,"SNCF")</f>
        <v/>
      </c>
      <c r="F55" s="32">
        <f>AVERAGEIFS(Profils_types!$AO$3:$AO$590,Profils_types!$A$3:$A$590,"Génération Z",Profils_types!$B$3:$B$590,"SNCF")</f>
        <v/>
      </c>
      <c r="G55" s="32">
        <f>AVERAGEIFS(Profils_types!$AO$3:$AO$590,Profils_types!$A$3:$A$590,"Génération Alpha",Profils_types!$B$3:$B$590,"SNCF")</f>
        <v/>
      </c>
      <c r="H55" s="21">
        <f>AVERAGE(B55-B52,C55-C52,D55-D52,E55-E52)*100</f>
        <v/>
      </c>
    </row>
    <row r="56">
      <c r="A56" s="6" t="inlineStr">
        <is>
          <t>RATP</t>
        </is>
      </c>
      <c r="B56" s="32">
        <f>AVERAGEIFS(Profils_types!$AO$3:$AO$590,Profils_types!$A$3:$A$590,"Génération silencieuse",Profils_types!$B$3:$B$590,"RATP")</f>
        <v/>
      </c>
      <c r="C56" s="32">
        <f>AVERAGEIFS(Profils_types!$AO$3:$AO$590,Profils_types!$A$3:$A$590,"Baby-boomers",Profils_types!$B$3:$B$590,"RATP")</f>
        <v/>
      </c>
      <c r="D56" s="32">
        <f>AVERAGEIFS(Profils_types!$AO$3:$AO$590,Profils_types!$A$3:$A$590,"Génération X",Profils_types!$B$3:$B$590,"RATP")</f>
        <v/>
      </c>
      <c r="E56" s="32">
        <f>AVERAGEIFS(Profils_types!$AO$3:$AO$590,Profils_types!$A$3:$A$590,"Génération Y",Profils_types!$B$3:$B$590,"RATP")</f>
        <v/>
      </c>
      <c r="F56" s="32">
        <f>AVERAGEIFS(Profils_types!$AO$3:$AO$590,Profils_types!$A$3:$A$590,"Génération Z",Profils_types!$B$3:$B$590,"RATP")</f>
        <v/>
      </c>
      <c r="G56" s="32">
        <f>AVERAGEIFS(Profils_types!$AO$3:$AO$590,Profils_types!$A$3:$A$590,"Génération Alpha",Profils_types!$B$3:$B$590,"RATP")</f>
        <v/>
      </c>
      <c r="H56" s="21">
        <f>AVERAGE(B56-B52,C56-C52,D56-D52,E56-E52)*100</f>
        <v/>
      </c>
    </row>
    <row r="57">
      <c r="A57" s="6" t="inlineStr">
        <is>
          <t>IEG</t>
        </is>
      </c>
      <c r="B57" s="32">
        <f>AVERAGEIFS(Profils_types!$AO$3:$AO$590,Profils_types!$A$3:$A$590,"Génération silencieuse",Profils_types!$B$3:$B$590,"IEG")</f>
        <v/>
      </c>
      <c r="C57" s="32">
        <f>AVERAGEIFS(Profils_types!$AO$3:$AO$590,Profils_types!$A$3:$A$590,"Baby-boomers",Profils_types!$B$3:$B$590,"IEG")</f>
        <v/>
      </c>
      <c r="D57" s="32">
        <f>AVERAGEIFS(Profils_types!$AO$3:$AO$590,Profils_types!$A$3:$A$590,"Génération X",Profils_types!$B$3:$B$590,"IEG")</f>
        <v/>
      </c>
      <c r="E57" s="32">
        <f>AVERAGEIFS(Profils_types!$AO$3:$AO$590,Profils_types!$A$3:$A$590,"Génération Y",Profils_types!$B$3:$B$590,"IEG")</f>
        <v/>
      </c>
      <c r="F57" s="32">
        <f>AVERAGEIFS(Profils_types!$AO$3:$AO$590,Profils_types!$A$3:$A$590,"Génération Z",Profils_types!$B$3:$B$590,"IEG")</f>
        <v/>
      </c>
      <c r="G57" s="32">
        <f>AVERAGEIFS(Profils_types!$AO$3:$AO$590,Profils_types!$A$3:$A$590,"Génération Alpha",Profils_types!$B$3:$B$590,"IEG")</f>
        <v/>
      </c>
      <c r="H57" s="21">
        <f>AVERAGE(B57-B52,C57-C52,D57-D52,E57-E52)*100</f>
        <v/>
      </c>
    </row>
    <row r="59" ht="40" customHeight="1">
      <c r="A59" s="27" t="inlineStr">
        <is>
          <t>Âge de départ à la retraite</t>
        </is>
      </c>
      <c r="B59" s="5" t="inlineStr">
        <is>
          <t>Génération silencieuse
nés 1928-1945</t>
        </is>
      </c>
      <c r="C59" s="5" t="inlineStr">
        <is>
          <t>Baby-boomers
nés 1946-1964</t>
        </is>
      </c>
      <c r="D59" s="5" t="inlineStr">
        <is>
          <t>Génération X
nés 1965-1980</t>
        </is>
      </c>
      <c r="E59" s="5" t="inlineStr">
        <is>
          <t>Génération Y
nés 1981-1996</t>
        </is>
      </c>
      <c r="F59" s="5" t="inlineStr">
        <is>
          <t>Génération Z
nés 1997-2012</t>
        </is>
      </c>
      <c r="G59" s="5" t="inlineStr">
        <is>
          <t>Génération Alpha
nés 2013-2025</t>
        </is>
      </c>
      <c r="H59" s="5" t="inlineStr">
        <is>
          <t>Écart avec le privé (même génération, moyenne)</t>
        </is>
      </c>
    </row>
    <row r="60">
      <c r="A60" s="10" t="inlineStr">
        <is>
          <t>Privé</t>
        </is>
      </c>
      <c r="B60" s="11">
        <f>AVERAGEIFS(Profils_types!$K$3:$K$590,Profils_types!$A$3:$A$590,"Génération silencieuse",Profils_types!$B$3:$B$590,"Privé")</f>
        <v/>
      </c>
      <c r="C60" s="11">
        <f>AVERAGEIFS(Profils_types!$K$3:$K$590,Profils_types!$A$3:$A$590,"Baby-boomers",Profils_types!$B$3:$B$590,"Privé")</f>
        <v/>
      </c>
      <c r="D60" s="11">
        <f>AVERAGEIFS(Profils_types!$K$3:$K$590,Profils_types!$A$3:$A$590,"Génération X",Profils_types!$B$3:$B$590,"Privé")</f>
        <v/>
      </c>
      <c r="E60" s="11">
        <f>AVERAGEIFS(Profils_types!$K$3:$K$590,Profils_types!$A$3:$A$590,"Génération Y",Profils_types!$B$3:$B$590,"Privé")</f>
        <v/>
      </c>
      <c r="F60" s="11">
        <f>AVERAGEIFS(Profils_types!$K$3:$K$590,Profils_types!$A$3:$A$590,"Génération Z",Profils_types!$B$3:$B$590,"Privé")</f>
        <v/>
      </c>
      <c r="G60" s="11">
        <f>AVERAGEIFS(Profils_types!$K$3:$K$590,Profils_types!$A$3:$A$590,"Génération Alpha",Profils_types!$B$3:$B$590,"Privé")</f>
        <v/>
      </c>
    </row>
    <row r="61">
      <c r="A61" s="6" t="inlineStr">
        <is>
          <t>Fonction publique d'État</t>
        </is>
      </c>
      <c r="B61" s="8">
        <f>AVERAGEIFS(Profils_types!$K$3:$K$590,Profils_types!$A$3:$A$590,"Génération silencieuse",Profils_types!$B$3:$B$590,"Fonction publique d'État")</f>
        <v/>
      </c>
      <c r="C61" s="8">
        <f>AVERAGEIFS(Profils_types!$K$3:$K$590,Profils_types!$A$3:$A$590,"Baby-boomers",Profils_types!$B$3:$B$590,"Fonction publique d'État")</f>
        <v/>
      </c>
      <c r="D61" s="8">
        <f>AVERAGEIFS(Profils_types!$K$3:$K$590,Profils_types!$A$3:$A$590,"Génération X",Profils_types!$B$3:$B$590,"Fonction publique d'État")</f>
        <v/>
      </c>
      <c r="E61" s="8">
        <f>AVERAGEIFS(Profils_types!$K$3:$K$590,Profils_types!$A$3:$A$590,"Génération Y",Profils_types!$B$3:$B$590,"Fonction publique d'État")</f>
        <v/>
      </c>
      <c r="F61" s="8">
        <f>AVERAGEIFS(Profils_types!$K$3:$K$590,Profils_types!$A$3:$A$590,"Génération Z",Profils_types!$B$3:$B$590,"Fonction publique d'État")</f>
        <v/>
      </c>
      <c r="G61" s="8">
        <f>AVERAGEIFS(Profils_types!$K$3:$K$590,Profils_types!$A$3:$A$590,"Génération Alpha",Profils_types!$B$3:$B$590,"Fonction publique d'État")</f>
        <v/>
      </c>
      <c r="H61" s="22">
        <f>AVERAGE(B61-B60,C61-C60,D61-D60,E61-E60)</f>
        <v/>
      </c>
    </row>
    <row r="62">
      <c r="A62" s="6" t="inlineStr">
        <is>
          <t>Fonction publique territoriale et hospitalière</t>
        </is>
      </c>
      <c r="B62" s="8">
        <f>AVERAGEIFS(Profils_types!$K$3:$K$590,Profils_types!$A$3:$A$590,"Génération silencieuse",Profils_types!$B$3:$B$590,"Fonction publique territoriale et hospitalière")</f>
        <v/>
      </c>
      <c r="C62" s="8">
        <f>AVERAGEIFS(Profils_types!$K$3:$K$590,Profils_types!$A$3:$A$590,"Baby-boomers",Profils_types!$B$3:$B$590,"Fonction publique territoriale et hospitalière")</f>
        <v/>
      </c>
      <c r="D62" s="8">
        <f>AVERAGEIFS(Profils_types!$K$3:$K$590,Profils_types!$A$3:$A$590,"Génération X",Profils_types!$B$3:$B$590,"Fonction publique territoriale et hospitalière")</f>
        <v/>
      </c>
      <c r="E62" s="8">
        <f>AVERAGEIFS(Profils_types!$K$3:$K$590,Profils_types!$A$3:$A$590,"Génération Y",Profils_types!$B$3:$B$590,"Fonction publique territoriale et hospitalière")</f>
        <v/>
      </c>
      <c r="F62" s="8">
        <f>AVERAGEIFS(Profils_types!$K$3:$K$590,Profils_types!$A$3:$A$590,"Génération Z",Profils_types!$B$3:$B$590,"Fonction publique territoriale et hospitalière")</f>
        <v/>
      </c>
      <c r="G62" s="8">
        <f>AVERAGEIFS(Profils_types!$K$3:$K$590,Profils_types!$A$3:$A$590,"Génération Alpha",Profils_types!$B$3:$B$590,"Fonction publique territoriale et hospitalière")</f>
        <v/>
      </c>
      <c r="H62" s="22">
        <f>AVERAGE(B62-B60,C62-C60,D62-D60,E62-E60)</f>
        <v/>
      </c>
    </row>
    <row r="63">
      <c r="A63" s="6" t="inlineStr">
        <is>
          <t>SNCF</t>
        </is>
      </c>
      <c r="B63" s="8">
        <f>AVERAGEIFS(Profils_types!$K$3:$K$590,Profils_types!$A$3:$A$590,"Génération silencieuse",Profils_types!$B$3:$B$590,"SNCF")</f>
        <v/>
      </c>
      <c r="C63" s="8">
        <f>AVERAGEIFS(Profils_types!$K$3:$K$590,Profils_types!$A$3:$A$590,"Baby-boomers",Profils_types!$B$3:$B$590,"SNCF")</f>
        <v/>
      </c>
      <c r="D63" s="8">
        <f>AVERAGEIFS(Profils_types!$K$3:$K$590,Profils_types!$A$3:$A$590,"Génération X",Profils_types!$B$3:$B$590,"SNCF")</f>
        <v/>
      </c>
      <c r="E63" s="8">
        <f>AVERAGEIFS(Profils_types!$K$3:$K$590,Profils_types!$A$3:$A$590,"Génération Y",Profils_types!$B$3:$B$590,"SNCF")</f>
        <v/>
      </c>
      <c r="F63" s="8">
        <f>AVERAGEIFS(Profils_types!$K$3:$K$590,Profils_types!$A$3:$A$590,"Génération Z",Profils_types!$B$3:$B$590,"SNCF")</f>
        <v/>
      </c>
      <c r="G63" s="8">
        <f>AVERAGEIFS(Profils_types!$K$3:$K$590,Profils_types!$A$3:$A$590,"Génération Alpha",Profils_types!$B$3:$B$590,"SNCF")</f>
        <v/>
      </c>
      <c r="H63" s="22">
        <f>AVERAGE(B63-B60,C63-C60,D63-D60,E63-E60)</f>
        <v/>
      </c>
    </row>
    <row r="64">
      <c r="A64" s="6" t="inlineStr">
        <is>
          <t>RATP</t>
        </is>
      </c>
      <c r="B64" s="8">
        <f>AVERAGEIFS(Profils_types!$K$3:$K$590,Profils_types!$A$3:$A$590,"Génération silencieuse",Profils_types!$B$3:$B$590,"RATP")</f>
        <v/>
      </c>
      <c r="C64" s="8">
        <f>AVERAGEIFS(Profils_types!$K$3:$K$590,Profils_types!$A$3:$A$590,"Baby-boomers",Profils_types!$B$3:$B$590,"RATP")</f>
        <v/>
      </c>
      <c r="D64" s="8">
        <f>AVERAGEIFS(Profils_types!$K$3:$K$590,Profils_types!$A$3:$A$590,"Génération X",Profils_types!$B$3:$B$590,"RATP")</f>
        <v/>
      </c>
      <c r="E64" s="8">
        <f>AVERAGEIFS(Profils_types!$K$3:$K$590,Profils_types!$A$3:$A$590,"Génération Y",Profils_types!$B$3:$B$590,"RATP")</f>
        <v/>
      </c>
      <c r="F64" s="8">
        <f>AVERAGEIFS(Profils_types!$K$3:$K$590,Profils_types!$A$3:$A$590,"Génération Z",Profils_types!$B$3:$B$590,"RATP")</f>
        <v/>
      </c>
      <c r="G64" s="8">
        <f>AVERAGEIFS(Profils_types!$K$3:$K$590,Profils_types!$A$3:$A$590,"Génération Alpha",Profils_types!$B$3:$B$590,"RATP")</f>
        <v/>
      </c>
      <c r="H64" s="22">
        <f>AVERAGE(B64-B60,C64-C60,D64-D60,E64-E60)</f>
        <v/>
      </c>
    </row>
    <row r="65">
      <c r="A65" s="6" t="inlineStr">
        <is>
          <t>IEG</t>
        </is>
      </c>
      <c r="B65" s="8">
        <f>AVERAGEIFS(Profils_types!$K$3:$K$590,Profils_types!$A$3:$A$590,"Génération silencieuse",Profils_types!$B$3:$B$590,"IEG")</f>
        <v/>
      </c>
      <c r="C65" s="8">
        <f>AVERAGEIFS(Profils_types!$K$3:$K$590,Profils_types!$A$3:$A$590,"Baby-boomers",Profils_types!$B$3:$B$590,"IEG")</f>
        <v/>
      </c>
      <c r="D65" s="8">
        <f>AVERAGEIFS(Profils_types!$K$3:$K$590,Profils_types!$A$3:$A$590,"Génération X",Profils_types!$B$3:$B$590,"IEG")</f>
        <v/>
      </c>
      <c r="E65" s="8">
        <f>AVERAGEIFS(Profils_types!$K$3:$K$590,Profils_types!$A$3:$A$590,"Génération Y",Profils_types!$B$3:$B$590,"IEG")</f>
        <v/>
      </c>
      <c r="F65" s="8">
        <f>AVERAGEIFS(Profils_types!$K$3:$K$590,Profils_types!$A$3:$A$590,"Génération Z",Profils_types!$B$3:$B$590,"IEG")</f>
        <v/>
      </c>
      <c r="G65" s="8">
        <f>AVERAGEIFS(Profils_types!$K$3:$K$590,Profils_types!$A$3:$A$590,"Génération Alpha",Profils_types!$B$3:$B$590,"IEG")</f>
        <v/>
      </c>
      <c r="H65" s="22">
        <f>AVERAGE(B65-B60,C65-C60,D65-D60,E65-E60)</f>
        <v/>
      </c>
    </row>
    <row r="67" ht="40" customHeight="1">
      <c r="A67" s="27" t="inlineStr">
        <is>
          <t>Durée réelle de carrière (années)</t>
        </is>
      </c>
      <c r="B67" s="5" t="inlineStr">
        <is>
          <t>Génération silencieuse
nés 1928-1945</t>
        </is>
      </c>
      <c r="C67" s="5" t="inlineStr">
        <is>
          <t>Baby-boomers
nés 1946-1964</t>
        </is>
      </c>
      <c r="D67" s="5" t="inlineStr">
        <is>
          <t>Génération X
nés 1965-1980</t>
        </is>
      </c>
      <c r="E67" s="5" t="inlineStr">
        <is>
          <t>Génération Y
nés 1981-1996</t>
        </is>
      </c>
      <c r="F67" s="5" t="inlineStr">
        <is>
          <t>Génération Z
nés 1997-2012</t>
        </is>
      </c>
      <c r="G67" s="5" t="inlineStr">
        <is>
          <t>Génération Alpha
nés 2013-2025</t>
        </is>
      </c>
      <c r="H67" s="5" t="inlineStr">
        <is>
          <t>Écart avec le privé (même génération, moyenne)</t>
        </is>
      </c>
    </row>
    <row r="68">
      <c r="A68" s="10" t="inlineStr">
        <is>
          <t>Privé</t>
        </is>
      </c>
      <c r="B68" s="11">
        <f>AVERAGEIFS(Profils_types!$L$3:$L$590,Profils_types!$A$3:$A$590,"Génération silencieuse",Profils_types!$B$3:$B$590,"Privé")</f>
        <v/>
      </c>
      <c r="C68" s="11">
        <f>AVERAGEIFS(Profils_types!$L$3:$L$590,Profils_types!$A$3:$A$590,"Baby-boomers",Profils_types!$B$3:$B$590,"Privé")</f>
        <v/>
      </c>
      <c r="D68" s="11">
        <f>AVERAGEIFS(Profils_types!$L$3:$L$590,Profils_types!$A$3:$A$590,"Génération X",Profils_types!$B$3:$B$590,"Privé")</f>
        <v/>
      </c>
      <c r="E68" s="11">
        <f>AVERAGEIFS(Profils_types!$L$3:$L$590,Profils_types!$A$3:$A$590,"Génération Y",Profils_types!$B$3:$B$590,"Privé")</f>
        <v/>
      </c>
      <c r="F68" s="11">
        <f>AVERAGEIFS(Profils_types!$L$3:$L$590,Profils_types!$A$3:$A$590,"Génération Z",Profils_types!$B$3:$B$590,"Privé")</f>
        <v/>
      </c>
      <c r="G68" s="11">
        <f>AVERAGEIFS(Profils_types!$L$3:$L$590,Profils_types!$A$3:$A$590,"Génération Alpha",Profils_types!$B$3:$B$590,"Privé")</f>
        <v/>
      </c>
    </row>
    <row r="69">
      <c r="A69" s="6" t="inlineStr">
        <is>
          <t>Fonction publique d'État</t>
        </is>
      </c>
      <c r="B69" s="8">
        <f>AVERAGEIFS(Profils_types!$L$3:$L$590,Profils_types!$A$3:$A$590,"Génération silencieuse",Profils_types!$B$3:$B$590,"Fonction publique d'État")</f>
        <v/>
      </c>
      <c r="C69" s="8">
        <f>AVERAGEIFS(Profils_types!$L$3:$L$590,Profils_types!$A$3:$A$590,"Baby-boomers",Profils_types!$B$3:$B$590,"Fonction publique d'État")</f>
        <v/>
      </c>
      <c r="D69" s="8">
        <f>AVERAGEIFS(Profils_types!$L$3:$L$590,Profils_types!$A$3:$A$590,"Génération X",Profils_types!$B$3:$B$590,"Fonction publique d'État")</f>
        <v/>
      </c>
      <c r="E69" s="8">
        <f>AVERAGEIFS(Profils_types!$L$3:$L$590,Profils_types!$A$3:$A$590,"Génération Y",Profils_types!$B$3:$B$590,"Fonction publique d'État")</f>
        <v/>
      </c>
      <c r="F69" s="8">
        <f>AVERAGEIFS(Profils_types!$L$3:$L$590,Profils_types!$A$3:$A$590,"Génération Z",Profils_types!$B$3:$B$590,"Fonction publique d'État")</f>
        <v/>
      </c>
      <c r="G69" s="8">
        <f>AVERAGEIFS(Profils_types!$L$3:$L$590,Profils_types!$A$3:$A$590,"Génération Alpha",Profils_types!$B$3:$B$590,"Fonction publique d'État")</f>
        <v/>
      </c>
      <c r="H69" s="22">
        <f>AVERAGE(B69-B68,C69-C68,D69-D68,E69-E68)</f>
        <v/>
      </c>
    </row>
    <row r="70">
      <c r="A70" s="6" t="inlineStr">
        <is>
          <t>Fonction publique territoriale et hospitalière</t>
        </is>
      </c>
      <c r="B70" s="8">
        <f>AVERAGEIFS(Profils_types!$L$3:$L$590,Profils_types!$A$3:$A$590,"Génération silencieuse",Profils_types!$B$3:$B$590,"Fonction publique territoriale et hospitalière")</f>
        <v/>
      </c>
      <c r="C70" s="8">
        <f>AVERAGEIFS(Profils_types!$L$3:$L$590,Profils_types!$A$3:$A$590,"Baby-boomers",Profils_types!$B$3:$B$590,"Fonction publique territoriale et hospitalière")</f>
        <v/>
      </c>
      <c r="D70" s="8">
        <f>AVERAGEIFS(Profils_types!$L$3:$L$590,Profils_types!$A$3:$A$590,"Génération X",Profils_types!$B$3:$B$590,"Fonction publique territoriale et hospitalière")</f>
        <v/>
      </c>
      <c r="E70" s="8">
        <f>AVERAGEIFS(Profils_types!$L$3:$L$590,Profils_types!$A$3:$A$590,"Génération Y",Profils_types!$B$3:$B$590,"Fonction publique territoriale et hospitalière")</f>
        <v/>
      </c>
      <c r="F70" s="8">
        <f>AVERAGEIFS(Profils_types!$L$3:$L$590,Profils_types!$A$3:$A$590,"Génération Z",Profils_types!$B$3:$B$590,"Fonction publique territoriale et hospitalière")</f>
        <v/>
      </c>
      <c r="G70" s="8">
        <f>AVERAGEIFS(Profils_types!$L$3:$L$590,Profils_types!$A$3:$A$590,"Génération Alpha",Profils_types!$B$3:$B$590,"Fonction publique territoriale et hospitalière")</f>
        <v/>
      </c>
      <c r="H70" s="22">
        <f>AVERAGE(B70-B68,C70-C68,D70-D68,E70-E68)</f>
        <v/>
      </c>
    </row>
    <row r="71">
      <c r="A71" s="6" t="inlineStr">
        <is>
          <t>SNCF</t>
        </is>
      </c>
      <c r="B71" s="8">
        <f>AVERAGEIFS(Profils_types!$L$3:$L$590,Profils_types!$A$3:$A$590,"Génération silencieuse",Profils_types!$B$3:$B$590,"SNCF")</f>
        <v/>
      </c>
      <c r="C71" s="8">
        <f>AVERAGEIFS(Profils_types!$L$3:$L$590,Profils_types!$A$3:$A$590,"Baby-boomers",Profils_types!$B$3:$B$590,"SNCF")</f>
        <v/>
      </c>
      <c r="D71" s="8">
        <f>AVERAGEIFS(Profils_types!$L$3:$L$590,Profils_types!$A$3:$A$590,"Génération X",Profils_types!$B$3:$B$590,"SNCF")</f>
        <v/>
      </c>
      <c r="E71" s="8">
        <f>AVERAGEIFS(Profils_types!$L$3:$L$590,Profils_types!$A$3:$A$590,"Génération Y",Profils_types!$B$3:$B$590,"SNCF")</f>
        <v/>
      </c>
      <c r="F71" s="8">
        <f>AVERAGEIFS(Profils_types!$L$3:$L$590,Profils_types!$A$3:$A$590,"Génération Z",Profils_types!$B$3:$B$590,"SNCF")</f>
        <v/>
      </c>
      <c r="G71" s="8">
        <f>AVERAGEIFS(Profils_types!$L$3:$L$590,Profils_types!$A$3:$A$590,"Génération Alpha",Profils_types!$B$3:$B$590,"SNCF")</f>
        <v/>
      </c>
      <c r="H71" s="22">
        <f>AVERAGE(B71-B68,C71-C68,D71-D68,E71-E68)</f>
        <v/>
      </c>
    </row>
    <row r="72">
      <c r="A72" s="6" t="inlineStr">
        <is>
          <t>RATP</t>
        </is>
      </c>
      <c r="B72" s="8">
        <f>AVERAGEIFS(Profils_types!$L$3:$L$590,Profils_types!$A$3:$A$590,"Génération silencieuse",Profils_types!$B$3:$B$590,"RATP")</f>
        <v/>
      </c>
      <c r="C72" s="8">
        <f>AVERAGEIFS(Profils_types!$L$3:$L$590,Profils_types!$A$3:$A$590,"Baby-boomers",Profils_types!$B$3:$B$590,"RATP")</f>
        <v/>
      </c>
      <c r="D72" s="8">
        <f>AVERAGEIFS(Profils_types!$L$3:$L$590,Profils_types!$A$3:$A$590,"Génération X",Profils_types!$B$3:$B$590,"RATP")</f>
        <v/>
      </c>
      <c r="E72" s="8">
        <f>AVERAGEIFS(Profils_types!$L$3:$L$590,Profils_types!$A$3:$A$590,"Génération Y",Profils_types!$B$3:$B$590,"RATP")</f>
        <v/>
      </c>
      <c r="F72" s="8">
        <f>AVERAGEIFS(Profils_types!$L$3:$L$590,Profils_types!$A$3:$A$590,"Génération Z",Profils_types!$B$3:$B$590,"RATP")</f>
        <v/>
      </c>
      <c r="G72" s="8">
        <f>AVERAGEIFS(Profils_types!$L$3:$L$590,Profils_types!$A$3:$A$590,"Génération Alpha",Profils_types!$B$3:$B$590,"RATP")</f>
        <v/>
      </c>
      <c r="H72" s="22">
        <f>AVERAGE(B72-B68,C72-C68,D72-D68,E72-E68)</f>
        <v/>
      </c>
    </row>
    <row r="73">
      <c r="A73" s="6" t="inlineStr">
        <is>
          <t>IEG</t>
        </is>
      </c>
      <c r="B73" s="8">
        <f>AVERAGEIFS(Profils_types!$L$3:$L$590,Profils_types!$A$3:$A$590,"Génération silencieuse",Profils_types!$B$3:$B$590,"IEG")</f>
        <v/>
      </c>
      <c r="C73" s="8">
        <f>AVERAGEIFS(Profils_types!$L$3:$L$590,Profils_types!$A$3:$A$590,"Baby-boomers",Profils_types!$B$3:$B$590,"IEG")</f>
        <v/>
      </c>
      <c r="D73" s="8">
        <f>AVERAGEIFS(Profils_types!$L$3:$L$590,Profils_types!$A$3:$A$590,"Génération X",Profils_types!$B$3:$B$590,"IEG")</f>
        <v/>
      </c>
      <c r="E73" s="8">
        <f>AVERAGEIFS(Profils_types!$L$3:$L$590,Profils_types!$A$3:$A$590,"Génération Y",Profils_types!$B$3:$B$590,"IEG")</f>
        <v/>
      </c>
      <c r="F73" s="8">
        <f>AVERAGEIFS(Profils_types!$L$3:$L$590,Profils_types!$A$3:$A$590,"Génération Z",Profils_types!$B$3:$B$590,"IEG")</f>
        <v/>
      </c>
      <c r="G73" s="8">
        <f>AVERAGEIFS(Profils_types!$L$3:$L$590,Profils_types!$A$3:$A$590,"Génération Alpha",Profils_types!$B$3:$B$590,"IEG")</f>
        <v/>
      </c>
      <c r="H73" s="22">
        <f>AVERAGE(B73-B68,C73-C68,D73-D68,E73-E68)</f>
        <v/>
      </c>
    </row>
    <row r="75" ht="40" customHeight="1">
      <c r="A75" s="27" t="inlineStr">
        <is>
          <t>Durée moyenne de retraite (années)</t>
        </is>
      </c>
      <c r="B75" s="5" t="inlineStr">
        <is>
          <t>Génération silencieuse
nés 1928-1945</t>
        </is>
      </c>
      <c r="C75" s="5" t="inlineStr">
        <is>
          <t>Baby-boomers
nés 1946-1964</t>
        </is>
      </c>
      <c r="D75" s="5" t="inlineStr">
        <is>
          <t>Génération X
nés 1965-1980</t>
        </is>
      </c>
      <c r="E75" s="5" t="inlineStr">
        <is>
          <t>Génération Y
nés 1981-1996</t>
        </is>
      </c>
      <c r="F75" s="5" t="inlineStr">
        <is>
          <t>Génération Z
nés 1997-2012</t>
        </is>
      </c>
      <c r="G75" s="5" t="inlineStr">
        <is>
          <t>Génération Alpha
nés 2013-2025</t>
        </is>
      </c>
      <c r="H75" s="5" t="inlineStr">
        <is>
          <t>Écart avec le privé (même génération, moyenne)</t>
        </is>
      </c>
    </row>
    <row r="76">
      <c r="A76" s="10" t="inlineStr">
        <is>
          <t>Privé</t>
        </is>
      </c>
      <c r="B76" s="11">
        <f>AVERAGEIFS(Profils_types!$AJ$3:$AJ$590,Profils_types!$A$3:$A$590,"Génération silencieuse",Profils_types!$B$3:$B$590,"Privé")</f>
        <v/>
      </c>
      <c r="C76" s="11">
        <f>AVERAGEIFS(Profils_types!$AJ$3:$AJ$590,Profils_types!$A$3:$A$590,"Baby-boomers",Profils_types!$B$3:$B$590,"Privé")</f>
        <v/>
      </c>
      <c r="D76" s="11">
        <f>AVERAGEIFS(Profils_types!$AJ$3:$AJ$590,Profils_types!$A$3:$A$590,"Génération X",Profils_types!$B$3:$B$590,"Privé")</f>
        <v/>
      </c>
      <c r="E76" s="11">
        <f>AVERAGEIFS(Profils_types!$AJ$3:$AJ$590,Profils_types!$A$3:$A$590,"Génération Y",Profils_types!$B$3:$B$590,"Privé")</f>
        <v/>
      </c>
      <c r="F76" s="11">
        <f>AVERAGEIFS(Profils_types!$AJ$3:$AJ$590,Profils_types!$A$3:$A$590,"Génération Z",Profils_types!$B$3:$B$590,"Privé")</f>
        <v/>
      </c>
      <c r="G76" s="11">
        <f>AVERAGEIFS(Profils_types!$AJ$3:$AJ$590,Profils_types!$A$3:$A$590,"Génération Alpha",Profils_types!$B$3:$B$590,"Privé")</f>
        <v/>
      </c>
    </row>
    <row r="77">
      <c r="A77" s="6" t="inlineStr">
        <is>
          <t>Fonction publique d'État</t>
        </is>
      </c>
      <c r="B77" s="8">
        <f>AVERAGEIFS(Profils_types!$AJ$3:$AJ$590,Profils_types!$A$3:$A$590,"Génération silencieuse",Profils_types!$B$3:$B$590,"Fonction publique d'État")</f>
        <v/>
      </c>
      <c r="C77" s="8">
        <f>AVERAGEIFS(Profils_types!$AJ$3:$AJ$590,Profils_types!$A$3:$A$590,"Baby-boomers",Profils_types!$B$3:$B$590,"Fonction publique d'État")</f>
        <v/>
      </c>
      <c r="D77" s="8">
        <f>AVERAGEIFS(Profils_types!$AJ$3:$AJ$590,Profils_types!$A$3:$A$590,"Génération X",Profils_types!$B$3:$B$590,"Fonction publique d'État")</f>
        <v/>
      </c>
      <c r="E77" s="8">
        <f>AVERAGEIFS(Profils_types!$AJ$3:$AJ$590,Profils_types!$A$3:$A$590,"Génération Y",Profils_types!$B$3:$B$590,"Fonction publique d'État")</f>
        <v/>
      </c>
      <c r="F77" s="8">
        <f>AVERAGEIFS(Profils_types!$AJ$3:$AJ$590,Profils_types!$A$3:$A$590,"Génération Z",Profils_types!$B$3:$B$590,"Fonction publique d'État")</f>
        <v/>
      </c>
      <c r="G77" s="8">
        <f>AVERAGEIFS(Profils_types!$AJ$3:$AJ$590,Profils_types!$A$3:$A$590,"Génération Alpha",Profils_types!$B$3:$B$590,"Fonction publique d'État")</f>
        <v/>
      </c>
      <c r="H77" s="22">
        <f>AVERAGE(B77-B76,C77-C76,D77-D76,E77-E76)</f>
        <v/>
      </c>
    </row>
    <row r="78">
      <c r="A78" s="6" t="inlineStr">
        <is>
          <t>Fonction publique territoriale et hospitalière</t>
        </is>
      </c>
      <c r="B78" s="8">
        <f>AVERAGEIFS(Profils_types!$AJ$3:$AJ$590,Profils_types!$A$3:$A$590,"Génération silencieuse",Profils_types!$B$3:$B$590,"Fonction publique territoriale et hospitalière")</f>
        <v/>
      </c>
      <c r="C78" s="8">
        <f>AVERAGEIFS(Profils_types!$AJ$3:$AJ$590,Profils_types!$A$3:$A$590,"Baby-boomers",Profils_types!$B$3:$B$590,"Fonction publique territoriale et hospitalière")</f>
        <v/>
      </c>
      <c r="D78" s="8">
        <f>AVERAGEIFS(Profils_types!$AJ$3:$AJ$590,Profils_types!$A$3:$A$590,"Génération X",Profils_types!$B$3:$B$590,"Fonction publique territoriale et hospitalière")</f>
        <v/>
      </c>
      <c r="E78" s="8">
        <f>AVERAGEIFS(Profils_types!$AJ$3:$AJ$590,Profils_types!$A$3:$A$590,"Génération Y",Profils_types!$B$3:$B$590,"Fonction publique territoriale et hospitalière")</f>
        <v/>
      </c>
      <c r="F78" s="8">
        <f>AVERAGEIFS(Profils_types!$AJ$3:$AJ$590,Profils_types!$A$3:$A$590,"Génération Z",Profils_types!$B$3:$B$590,"Fonction publique territoriale et hospitalière")</f>
        <v/>
      </c>
      <c r="G78" s="8">
        <f>AVERAGEIFS(Profils_types!$AJ$3:$AJ$590,Profils_types!$A$3:$A$590,"Génération Alpha",Profils_types!$B$3:$B$590,"Fonction publique territoriale et hospitalière")</f>
        <v/>
      </c>
      <c r="H78" s="22">
        <f>AVERAGE(B78-B76,C78-C76,D78-D76,E78-E76)</f>
        <v/>
      </c>
    </row>
    <row r="79">
      <c r="A79" s="6" t="inlineStr">
        <is>
          <t>SNCF</t>
        </is>
      </c>
      <c r="B79" s="8">
        <f>AVERAGEIFS(Profils_types!$AJ$3:$AJ$590,Profils_types!$A$3:$A$590,"Génération silencieuse",Profils_types!$B$3:$B$590,"SNCF")</f>
        <v/>
      </c>
      <c r="C79" s="8">
        <f>AVERAGEIFS(Profils_types!$AJ$3:$AJ$590,Profils_types!$A$3:$A$590,"Baby-boomers",Profils_types!$B$3:$B$590,"SNCF")</f>
        <v/>
      </c>
      <c r="D79" s="8">
        <f>AVERAGEIFS(Profils_types!$AJ$3:$AJ$590,Profils_types!$A$3:$A$590,"Génération X",Profils_types!$B$3:$B$590,"SNCF")</f>
        <v/>
      </c>
      <c r="E79" s="8">
        <f>AVERAGEIFS(Profils_types!$AJ$3:$AJ$590,Profils_types!$A$3:$A$590,"Génération Y",Profils_types!$B$3:$B$590,"SNCF")</f>
        <v/>
      </c>
      <c r="F79" s="8">
        <f>AVERAGEIFS(Profils_types!$AJ$3:$AJ$590,Profils_types!$A$3:$A$590,"Génération Z",Profils_types!$B$3:$B$590,"SNCF")</f>
        <v/>
      </c>
      <c r="G79" s="8">
        <f>AVERAGEIFS(Profils_types!$AJ$3:$AJ$590,Profils_types!$A$3:$A$590,"Génération Alpha",Profils_types!$B$3:$B$590,"SNCF")</f>
        <v/>
      </c>
      <c r="H79" s="22">
        <f>AVERAGE(B79-B76,C79-C76,D79-D76,E79-E76)</f>
        <v/>
      </c>
    </row>
    <row r="80">
      <c r="A80" s="6" t="inlineStr">
        <is>
          <t>RATP</t>
        </is>
      </c>
      <c r="B80" s="8">
        <f>AVERAGEIFS(Profils_types!$AJ$3:$AJ$590,Profils_types!$A$3:$A$590,"Génération silencieuse",Profils_types!$B$3:$B$590,"RATP")</f>
        <v/>
      </c>
      <c r="C80" s="8">
        <f>AVERAGEIFS(Profils_types!$AJ$3:$AJ$590,Profils_types!$A$3:$A$590,"Baby-boomers",Profils_types!$B$3:$B$590,"RATP")</f>
        <v/>
      </c>
      <c r="D80" s="8">
        <f>AVERAGEIFS(Profils_types!$AJ$3:$AJ$590,Profils_types!$A$3:$A$590,"Génération X",Profils_types!$B$3:$B$590,"RATP")</f>
        <v/>
      </c>
      <c r="E80" s="8">
        <f>AVERAGEIFS(Profils_types!$AJ$3:$AJ$590,Profils_types!$A$3:$A$590,"Génération Y",Profils_types!$B$3:$B$590,"RATP")</f>
        <v/>
      </c>
      <c r="F80" s="8">
        <f>AVERAGEIFS(Profils_types!$AJ$3:$AJ$590,Profils_types!$A$3:$A$590,"Génération Z",Profils_types!$B$3:$B$590,"RATP")</f>
        <v/>
      </c>
      <c r="G80" s="8">
        <f>AVERAGEIFS(Profils_types!$AJ$3:$AJ$590,Profils_types!$A$3:$A$590,"Génération Alpha",Profils_types!$B$3:$B$590,"RATP")</f>
        <v/>
      </c>
      <c r="H80" s="22">
        <f>AVERAGE(B80-B76,C80-C76,D80-D76,E80-E76)</f>
        <v/>
      </c>
    </row>
    <row r="81">
      <c r="A81" s="6" t="inlineStr">
        <is>
          <t>IEG</t>
        </is>
      </c>
      <c r="B81" s="8">
        <f>AVERAGEIFS(Profils_types!$AJ$3:$AJ$590,Profils_types!$A$3:$A$590,"Génération silencieuse",Profils_types!$B$3:$B$590,"IEG")</f>
        <v/>
      </c>
      <c r="C81" s="8">
        <f>AVERAGEIFS(Profils_types!$AJ$3:$AJ$590,Profils_types!$A$3:$A$590,"Baby-boomers",Profils_types!$B$3:$B$590,"IEG")</f>
        <v/>
      </c>
      <c r="D81" s="8">
        <f>AVERAGEIFS(Profils_types!$AJ$3:$AJ$590,Profils_types!$A$3:$A$590,"Génération X",Profils_types!$B$3:$B$590,"IEG")</f>
        <v/>
      </c>
      <c r="E81" s="8">
        <f>AVERAGEIFS(Profils_types!$AJ$3:$AJ$590,Profils_types!$A$3:$A$590,"Génération Y",Profils_types!$B$3:$B$590,"IEG")</f>
        <v/>
      </c>
      <c r="F81" s="8">
        <f>AVERAGEIFS(Profils_types!$AJ$3:$AJ$590,Profils_types!$A$3:$A$590,"Génération Z",Profils_types!$B$3:$B$590,"IEG")</f>
        <v/>
      </c>
      <c r="G81" s="8">
        <f>AVERAGEIFS(Profils_types!$AJ$3:$AJ$590,Profils_types!$A$3:$A$590,"Génération Alpha",Profils_types!$B$3:$B$590,"IEG")</f>
        <v/>
      </c>
      <c r="H81" s="22">
        <f>AVERAGE(B81-B76,C81-C76,D81-D76,E81-E76)</f>
        <v/>
      </c>
    </row>
    <row r="83" ht="40" customHeight="1">
      <c r="A83" s="27" t="inlineStr">
        <is>
          <t>Pension mensuelle (€ 2026)</t>
        </is>
      </c>
      <c r="B83" s="5" t="inlineStr">
        <is>
          <t>Génération silencieuse
nés 1928-1945</t>
        </is>
      </c>
      <c r="C83" s="5" t="inlineStr">
        <is>
          <t>Baby-boomers
nés 1946-1964</t>
        </is>
      </c>
      <c r="D83" s="5" t="inlineStr">
        <is>
          <t>Génération X
nés 1965-1980</t>
        </is>
      </c>
      <c r="E83" s="5" t="inlineStr">
        <is>
          <t>Génération Y
nés 1981-1996</t>
        </is>
      </c>
      <c r="F83" s="5" t="inlineStr">
        <is>
          <t>Génération Z
nés 1997-2012</t>
        </is>
      </c>
      <c r="G83" s="5" t="inlineStr">
        <is>
          <t>Génération Alpha
nés 2013-2025</t>
        </is>
      </c>
      <c r="H83" s="5" t="inlineStr">
        <is>
          <t>Écart avec le privé (même génération, moyenne)</t>
        </is>
      </c>
    </row>
    <row r="84">
      <c r="A84" s="10" t="inlineStr">
        <is>
          <t>Privé</t>
        </is>
      </c>
      <c r="B84" s="16">
        <f>AVERAGEIFS(Profils_types!$AF$3:$AF$590,Profils_types!$A$3:$A$590,"Génération silencieuse",Profils_types!$B$3:$B$590,"Privé")</f>
        <v/>
      </c>
      <c r="C84" s="16">
        <f>AVERAGEIFS(Profils_types!$AF$3:$AF$590,Profils_types!$A$3:$A$590,"Baby-boomers",Profils_types!$B$3:$B$590,"Privé")</f>
        <v/>
      </c>
      <c r="D84" s="16">
        <f>AVERAGEIFS(Profils_types!$AF$3:$AF$590,Profils_types!$A$3:$A$590,"Génération X",Profils_types!$B$3:$B$590,"Privé")</f>
        <v/>
      </c>
      <c r="E84" s="16">
        <f>AVERAGEIFS(Profils_types!$AF$3:$AF$590,Profils_types!$A$3:$A$590,"Génération Y",Profils_types!$B$3:$B$590,"Privé")</f>
        <v/>
      </c>
      <c r="F84" s="16">
        <f>AVERAGEIFS(Profils_types!$AF$3:$AF$590,Profils_types!$A$3:$A$590,"Génération Z",Profils_types!$B$3:$B$590,"Privé")</f>
        <v/>
      </c>
      <c r="G84" s="16">
        <f>AVERAGEIFS(Profils_types!$AF$3:$AF$590,Profils_types!$A$3:$A$590,"Génération Alpha",Profils_types!$B$3:$B$590,"Privé")</f>
        <v/>
      </c>
    </row>
    <row r="85">
      <c r="A85" s="6" t="inlineStr">
        <is>
          <t>Fonction publique d'État</t>
        </is>
      </c>
      <c r="B85" s="14">
        <f>AVERAGEIFS(Profils_types!$AF$3:$AF$590,Profils_types!$A$3:$A$590,"Génération silencieuse",Profils_types!$B$3:$B$590,"Fonction publique d'État")</f>
        <v/>
      </c>
      <c r="C85" s="14">
        <f>AVERAGEIFS(Profils_types!$AF$3:$AF$590,Profils_types!$A$3:$A$590,"Baby-boomers",Profils_types!$B$3:$B$590,"Fonction publique d'État")</f>
        <v/>
      </c>
      <c r="D85" s="14">
        <f>AVERAGEIFS(Profils_types!$AF$3:$AF$590,Profils_types!$A$3:$A$590,"Génération X",Profils_types!$B$3:$B$590,"Fonction publique d'État")</f>
        <v/>
      </c>
      <c r="E85" s="14">
        <f>AVERAGEIFS(Profils_types!$AF$3:$AF$590,Profils_types!$A$3:$A$590,"Génération Y",Profils_types!$B$3:$B$590,"Fonction publique d'État")</f>
        <v/>
      </c>
      <c r="F85" s="14">
        <f>AVERAGEIFS(Profils_types!$AF$3:$AF$590,Profils_types!$A$3:$A$590,"Génération Z",Profils_types!$B$3:$B$590,"Fonction publique d'État")</f>
        <v/>
      </c>
      <c r="G85" s="14">
        <f>AVERAGEIFS(Profils_types!$AF$3:$AF$590,Profils_types!$A$3:$A$590,"Génération Alpha",Profils_types!$B$3:$B$590,"Fonction publique d'État")</f>
        <v/>
      </c>
      <c r="H85" s="9">
        <f>AVERAGE(B85/B84-1,C85/C84-1,D85/D84-1,E85/E84-1)</f>
        <v/>
      </c>
    </row>
    <row r="86">
      <c r="A86" s="6" t="inlineStr">
        <is>
          <t>Fonction publique territoriale et hospitalière</t>
        </is>
      </c>
      <c r="B86" s="14">
        <f>AVERAGEIFS(Profils_types!$AF$3:$AF$590,Profils_types!$A$3:$A$590,"Génération silencieuse",Profils_types!$B$3:$B$590,"Fonction publique territoriale et hospitalière")</f>
        <v/>
      </c>
      <c r="C86" s="14">
        <f>AVERAGEIFS(Profils_types!$AF$3:$AF$590,Profils_types!$A$3:$A$590,"Baby-boomers",Profils_types!$B$3:$B$590,"Fonction publique territoriale et hospitalière")</f>
        <v/>
      </c>
      <c r="D86" s="14">
        <f>AVERAGEIFS(Profils_types!$AF$3:$AF$590,Profils_types!$A$3:$A$590,"Génération X",Profils_types!$B$3:$B$590,"Fonction publique territoriale et hospitalière")</f>
        <v/>
      </c>
      <c r="E86" s="14">
        <f>AVERAGEIFS(Profils_types!$AF$3:$AF$590,Profils_types!$A$3:$A$590,"Génération Y",Profils_types!$B$3:$B$590,"Fonction publique territoriale et hospitalière")</f>
        <v/>
      </c>
      <c r="F86" s="14">
        <f>AVERAGEIFS(Profils_types!$AF$3:$AF$590,Profils_types!$A$3:$A$590,"Génération Z",Profils_types!$B$3:$B$590,"Fonction publique territoriale et hospitalière")</f>
        <v/>
      </c>
      <c r="G86" s="14">
        <f>AVERAGEIFS(Profils_types!$AF$3:$AF$590,Profils_types!$A$3:$A$590,"Génération Alpha",Profils_types!$B$3:$B$590,"Fonction publique territoriale et hospitalière")</f>
        <v/>
      </c>
      <c r="H86" s="9">
        <f>AVERAGE(B86/B84-1,C86/C84-1,D86/D84-1,E86/E84-1)</f>
        <v/>
      </c>
    </row>
    <row r="87">
      <c r="A87" s="6" t="inlineStr">
        <is>
          <t>SNCF</t>
        </is>
      </c>
      <c r="B87" s="14">
        <f>AVERAGEIFS(Profils_types!$AF$3:$AF$590,Profils_types!$A$3:$A$590,"Génération silencieuse",Profils_types!$B$3:$B$590,"SNCF")</f>
        <v/>
      </c>
      <c r="C87" s="14">
        <f>AVERAGEIFS(Profils_types!$AF$3:$AF$590,Profils_types!$A$3:$A$590,"Baby-boomers",Profils_types!$B$3:$B$590,"SNCF")</f>
        <v/>
      </c>
      <c r="D87" s="14">
        <f>AVERAGEIFS(Profils_types!$AF$3:$AF$590,Profils_types!$A$3:$A$590,"Génération X",Profils_types!$B$3:$B$590,"SNCF")</f>
        <v/>
      </c>
      <c r="E87" s="14">
        <f>AVERAGEIFS(Profils_types!$AF$3:$AF$590,Profils_types!$A$3:$A$590,"Génération Y",Profils_types!$B$3:$B$590,"SNCF")</f>
        <v/>
      </c>
      <c r="F87" s="14">
        <f>AVERAGEIFS(Profils_types!$AF$3:$AF$590,Profils_types!$A$3:$A$590,"Génération Z",Profils_types!$B$3:$B$590,"SNCF")</f>
        <v/>
      </c>
      <c r="G87" s="14">
        <f>AVERAGEIFS(Profils_types!$AF$3:$AF$590,Profils_types!$A$3:$A$590,"Génération Alpha",Profils_types!$B$3:$B$590,"SNCF")</f>
        <v/>
      </c>
      <c r="H87" s="9">
        <f>AVERAGE(B87/B84-1,C87/C84-1,D87/D84-1,E87/E84-1)</f>
        <v/>
      </c>
    </row>
    <row r="88">
      <c r="A88" s="6" t="inlineStr">
        <is>
          <t>RATP</t>
        </is>
      </c>
      <c r="B88" s="14">
        <f>AVERAGEIFS(Profils_types!$AF$3:$AF$590,Profils_types!$A$3:$A$590,"Génération silencieuse",Profils_types!$B$3:$B$590,"RATP")</f>
        <v/>
      </c>
      <c r="C88" s="14">
        <f>AVERAGEIFS(Profils_types!$AF$3:$AF$590,Profils_types!$A$3:$A$590,"Baby-boomers",Profils_types!$B$3:$B$590,"RATP")</f>
        <v/>
      </c>
      <c r="D88" s="14">
        <f>AVERAGEIFS(Profils_types!$AF$3:$AF$590,Profils_types!$A$3:$A$590,"Génération X",Profils_types!$B$3:$B$590,"RATP")</f>
        <v/>
      </c>
      <c r="E88" s="14">
        <f>AVERAGEIFS(Profils_types!$AF$3:$AF$590,Profils_types!$A$3:$A$590,"Génération Y",Profils_types!$B$3:$B$590,"RATP")</f>
        <v/>
      </c>
      <c r="F88" s="14">
        <f>AVERAGEIFS(Profils_types!$AF$3:$AF$590,Profils_types!$A$3:$A$590,"Génération Z",Profils_types!$B$3:$B$590,"RATP")</f>
        <v/>
      </c>
      <c r="G88" s="14">
        <f>AVERAGEIFS(Profils_types!$AF$3:$AF$590,Profils_types!$A$3:$A$590,"Génération Alpha",Profils_types!$B$3:$B$590,"RATP")</f>
        <v/>
      </c>
      <c r="H88" s="9">
        <f>AVERAGE(B88/B84-1,C88/C84-1,D88/D84-1,E88/E84-1)</f>
        <v/>
      </c>
    </row>
    <row r="89">
      <c r="A89" s="6" t="inlineStr">
        <is>
          <t>IEG</t>
        </is>
      </c>
      <c r="B89" s="14">
        <f>AVERAGEIFS(Profils_types!$AF$3:$AF$590,Profils_types!$A$3:$A$590,"Génération silencieuse",Profils_types!$B$3:$B$590,"IEG")</f>
        <v/>
      </c>
      <c r="C89" s="14">
        <f>AVERAGEIFS(Profils_types!$AF$3:$AF$590,Profils_types!$A$3:$A$590,"Baby-boomers",Profils_types!$B$3:$B$590,"IEG")</f>
        <v/>
      </c>
      <c r="D89" s="14">
        <f>AVERAGEIFS(Profils_types!$AF$3:$AF$590,Profils_types!$A$3:$A$590,"Génération X",Profils_types!$B$3:$B$590,"IEG")</f>
        <v/>
      </c>
      <c r="E89" s="14">
        <f>AVERAGEIFS(Profils_types!$AF$3:$AF$590,Profils_types!$A$3:$A$590,"Génération Y",Profils_types!$B$3:$B$590,"IEG")</f>
        <v/>
      </c>
      <c r="F89" s="14">
        <f>AVERAGEIFS(Profils_types!$AF$3:$AF$590,Profils_types!$A$3:$A$590,"Génération Z",Profils_types!$B$3:$B$590,"IEG")</f>
        <v/>
      </c>
      <c r="G89" s="14">
        <f>AVERAGEIFS(Profils_types!$AF$3:$AF$590,Profils_types!$A$3:$A$590,"Génération Alpha",Profils_types!$B$3:$B$590,"IEG")</f>
        <v/>
      </c>
      <c r="H89" s="9">
        <f>AVERAGE(B89/B84-1,C89/C84-1,D89/D84-1,E89/E84-1)</f>
        <v/>
      </c>
    </row>
    <row r="91" ht="40" customHeight="1">
      <c r="A91" s="27" t="inlineStr">
        <is>
          <t>Taux moyen de cotisation vieillesse</t>
        </is>
      </c>
      <c r="B91" s="5" t="inlineStr">
        <is>
          <t>Génération silencieuse
nés 1928-1945</t>
        </is>
      </c>
      <c r="C91" s="5" t="inlineStr">
        <is>
          <t>Baby-boomers
nés 1946-1964</t>
        </is>
      </c>
      <c r="D91" s="5" t="inlineStr">
        <is>
          <t>Génération X
nés 1965-1980</t>
        </is>
      </c>
      <c r="E91" s="5" t="inlineStr">
        <is>
          <t>Génération Y
nés 1981-1996</t>
        </is>
      </c>
      <c r="F91" s="5" t="inlineStr">
        <is>
          <t>Génération Z
nés 1997-2012</t>
        </is>
      </c>
      <c r="G91" s="5" t="inlineStr">
        <is>
          <t>Génération Alpha
nés 2013-2025</t>
        </is>
      </c>
      <c r="H91" s="5" t="inlineStr">
        <is>
          <t>Écart avec le privé (même génération, moyenne)</t>
        </is>
      </c>
    </row>
    <row r="92">
      <c r="A92" s="10" t="inlineStr">
        <is>
          <t>Privé</t>
        </is>
      </c>
      <c r="B92" s="15">
        <f>AVERAGEIFS(Profils_types!$W$3:$W$590,Profils_types!$A$3:$A$590,"Génération silencieuse",Profils_types!$B$3:$B$590,"Privé")</f>
        <v/>
      </c>
      <c r="C92" s="15">
        <f>AVERAGEIFS(Profils_types!$W$3:$W$590,Profils_types!$A$3:$A$590,"Baby-boomers",Profils_types!$B$3:$B$590,"Privé")</f>
        <v/>
      </c>
      <c r="D92" s="15">
        <f>AVERAGEIFS(Profils_types!$W$3:$W$590,Profils_types!$A$3:$A$590,"Génération X",Profils_types!$B$3:$B$590,"Privé")</f>
        <v/>
      </c>
      <c r="E92" s="15">
        <f>AVERAGEIFS(Profils_types!$W$3:$W$590,Profils_types!$A$3:$A$590,"Génération Y",Profils_types!$B$3:$B$590,"Privé")</f>
        <v/>
      </c>
      <c r="F92" s="15">
        <f>AVERAGEIFS(Profils_types!$W$3:$W$590,Profils_types!$A$3:$A$590,"Génération Z",Profils_types!$B$3:$B$590,"Privé")</f>
        <v/>
      </c>
      <c r="G92" s="15">
        <f>AVERAGEIFS(Profils_types!$W$3:$W$590,Profils_types!$A$3:$A$590,"Génération Alpha",Profils_types!$B$3:$B$590,"Privé")</f>
        <v/>
      </c>
    </row>
    <row r="93">
      <c r="A93" s="6" t="inlineStr">
        <is>
          <t>Fonction publique d'État</t>
        </is>
      </c>
      <c r="B93" s="33">
        <f>AVERAGEIFS(Profils_types!$W$3:$W$590,Profils_types!$A$3:$A$590,"Génération silencieuse",Profils_types!$B$3:$B$590,"Fonction publique d'État")</f>
        <v/>
      </c>
      <c r="C93" s="33">
        <f>AVERAGEIFS(Profils_types!$W$3:$W$590,Profils_types!$A$3:$A$590,"Baby-boomers",Profils_types!$B$3:$B$590,"Fonction publique d'État")</f>
        <v/>
      </c>
      <c r="D93" s="33">
        <f>AVERAGEIFS(Profils_types!$W$3:$W$590,Profils_types!$A$3:$A$590,"Génération X",Profils_types!$B$3:$B$590,"Fonction publique d'État")</f>
        <v/>
      </c>
      <c r="E93" s="33">
        <f>AVERAGEIFS(Profils_types!$W$3:$W$590,Profils_types!$A$3:$A$590,"Génération Y",Profils_types!$B$3:$B$590,"Fonction publique d'État")</f>
        <v/>
      </c>
      <c r="F93" s="33">
        <f>AVERAGEIFS(Profils_types!$W$3:$W$590,Profils_types!$A$3:$A$590,"Génération Z",Profils_types!$B$3:$B$590,"Fonction publique d'État")</f>
        <v/>
      </c>
      <c r="G93" s="33">
        <f>AVERAGEIFS(Profils_types!$W$3:$W$590,Profils_types!$A$3:$A$590,"Génération Alpha",Profils_types!$B$3:$B$590,"Fonction publique d'État")</f>
        <v/>
      </c>
      <c r="H93" s="21">
        <f>AVERAGE(B93-B92,C93-C92,D93-D92,E93-E92)*100</f>
        <v/>
      </c>
    </row>
    <row r="94">
      <c r="A94" s="6" t="inlineStr">
        <is>
          <t>Fonction publique territoriale et hospitalière</t>
        </is>
      </c>
      <c r="B94" s="33">
        <f>AVERAGEIFS(Profils_types!$W$3:$W$590,Profils_types!$A$3:$A$590,"Génération silencieuse",Profils_types!$B$3:$B$590,"Fonction publique territoriale et hospitalière")</f>
        <v/>
      </c>
      <c r="C94" s="33">
        <f>AVERAGEIFS(Profils_types!$W$3:$W$590,Profils_types!$A$3:$A$590,"Baby-boomers",Profils_types!$B$3:$B$590,"Fonction publique territoriale et hospitalière")</f>
        <v/>
      </c>
      <c r="D94" s="33">
        <f>AVERAGEIFS(Profils_types!$W$3:$W$590,Profils_types!$A$3:$A$590,"Génération X",Profils_types!$B$3:$B$590,"Fonction publique territoriale et hospitalière")</f>
        <v/>
      </c>
      <c r="E94" s="33">
        <f>AVERAGEIFS(Profils_types!$W$3:$W$590,Profils_types!$A$3:$A$590,"Génération Y",Profils_types!$B$3:$B$590,"Fonction publique territoriale et hospitalière")</f>
        <v/>
      </c>
      <c r="F94" s="33">
        <f>AVERAGEIFS(Profils_types!$W$3:$W$590,Profils_types!$A$3:$A$590,"Génération Z",Profils_types!$B$3:$B$590,"Fonction publique territoriale et hospitalière")</f>
        <v/>
      </c>
      <c r="G94" s="33">
        <f>AVERAGEIFS(Profils_types!$W$3:$W$590,Profils_types!$A$3:$A$590,"Génération Alpha",Profils_types!$B$3:$B$590,"Fonction publique territoriale et hospitalière")</f>
        <v/>
      </c>
      <c r="H94" s="21">
        <f>AVERAGE(B94-B92,C94-C92,D94-D92,E94-E92)*100</f>
        <v/>
      </c>
    </row>
    <row r="95">
      <c r="A95" s="6" t="inlineStr">
        <is>
          <t>SNCF</t>
        </is>
      </c>
      <c r="B95" s="33">
        <f>AVERAGEIFS(Profils_types!$W$3:$W$590,Profils_types!$A$3:$A$590,"Génération silencieuse",Profils_types!$B$3:$B$590,"SNCF")</f>
        <v/>
      </c>
      <c r="C95" s="33">
        <f>AVERAGEIFS(Profils_types!$W$3:$W$590,Profils_types!$A$3:$A$590,"Baby-boomers",Profils_types!$B$3:$B$590,"SNCF")</f>
        <v/>
      </c>
      <c r="D95" s="33">
        <f>AVERAGEIFS(Profils_types!$W$3:$W$590,Profils_types!$A$3:$A$590,"Génération X",Profils_types!$B$3:$B$590,"SNCF")</f>
        <v/>
      </c>
      <c r="E95" s="33">
        <f>AVERAGEIFS(Profils_types!$W$3:$W$590,Profils_types!$A$3:$A$590,"Génération Y",Profils_types!$B$3:$B$590,"SNCF")</f>
        <v/>
      </c>
      <c r="F95" s="33">
        <f>AVERAGEIFS(Profils_types!$W$3:$W$590,Profils_types!$A$3:$A$590,"Génération Z",Profils_types!$B$3:$B$590,"SNCF")</f>
        <v/>
      </c>
      <c r="G95" s="33">
        <f>AVERAGEIFS(Profils_types!$W$3:$W$590,Profils_types!$A$3:$A$590,"Génération Alpha",Profils_types!$B$3:$B$590,"SNCF")</f>
        <v/>
      </c>
      <c r="H95" s="21">
        <f>AVERAGE(B95-B92,C95-C92,D95-D92,E95-E92)*100</f>
        <v/>
      </c>
    </row>
    <row r="96">
      <c r="A96" s="6" t="inlineStr">
        <is>
          <t>RATP</t>
        </is>
      </c>
      <c r="B96" s="33">
        <f>AVERAGEIFS(Profils_types!$W$3:$W$590,Profils_types!$A$3:$A$590,"Génération silencieuse",Profils_types!$B$3:$B$590,"RATP")</f>
        <v/>
      </c>
      <c r="C96" s="33">
        <f>AVERAGEIFS(Profils_types!$W$3:$W$590,Profils_types!$A$3:$A$590,"Baby-boomers",Profils_types!$B$3:$B$590,"RATP")</f>
        <v/>
      </c>
      <c r="D96" s="33">
        <f>AVERAGEIFS(Profils_types!$W$3:$W$590,Profils_types!$A$3:$A$590,"Génération X",Profils_types!$B$3:$B$590,"RATP")</f>
        <v/>
      </c>
      <c r="E96" s="33">
        <f>AVERAGEIFS(Profils_types!$W$3:$W$590,Profils_types!$A$3:$A$590,"Génération Y",Profils_types!$B$3:$B$590,"RATP")</f>
        <v/>
      </c>
      <c r="F96" s="33">
        <f>AVERAGEIFS(Profils_types!$W$3:$W$590,Profils_types!$A$3:$A$590,"Génération Z",Profils_types!$B$3:$B$590,"RATP")</f>
        <v/>
      </c>
      <c r="G96" s="33">
        <f>AVERAGEIFS(Profils_types!$W$3:$W$590,Profils_types!$A$3:$A$590,"Génération Alpha",Profils_types!$B$3:$B$590,"RATP")</f>
        <v/>
      </c>
      <c r="H96" s="21">
        <f>AVERAGE(B96-B92,C96-C92,D96-D92,E96-E92)*100</f>
        <v/>
      </c>
    </row>
    <row r="97">
      <c r="A97" s="6" t="inlineStr">
        <is>
          <t>IEG</t>
        </is>
      </c>
      <c r="B97" s="33">
        <f>AVERAGEIFS(Profils_types!$W$3:$W$590,Profils_types!$A$3:$A$590,"Génération silencieuse",Profils_types!$B$3:$B$590,"IEG")</f>
        <v/>
      </c>
      <c r="C97" s="33">
        <f>AVERAGEIFS(Profils_types!$W$3:$W$590,Profils_types!$A$3:$A$590,"Baby-boomers",Profils_types!$B$3:$B$590,"IEG")</f>
        <v/>
      </c>
      <c r="D97" s="33">
        <f>AVERAGEIFS(Profils_types!$W$3:$W$590,Profils_types!$A$3:$A$590,"Génération X",Profils_types!$B$3:$B$590,"IEG")</f>
        <v/>
      </c>
      <c r="E97" s="33">
        <f>AVERAGEIFS(Profils_types!$W$3:$W$590,Profils_types!$A$3:$A$590,"Génération Y",Profils_types!$B$3:$B$590,"IEG")</f>
        <v/>
      </c>
      <c r="F97" s="33">
        <f>AVERAGEIFS(Profils_types!$W$3:$W$590,Profils_types!$A$3:$A$590,"Génération Z",Profils_types!$B$3:$B$590,"IEG")</f>
        <v/>
      </c>
      <c r="G97" s="33">
        <f>AVERAGEIFS(Profils_types!$W$3:$W$590,Profils_types!$A$3:$A$590,"Génération Alpha",Profils_types!$B$3:$B$590,"IEG")</f>
        <v/>
      </c>
      <c r="H97" s="21">
        <f>AVERAGE(B97-B92,C97-C92,D97-D92,E97-E92)*100</f>
        <v/>
      </c>
    </row>
    <row r="99" ht="40" customHeight="1">
      <c r="A99" s="27" t="inlineStr">
        <is>
          <t>Capitalisation : en plus ou en moins par rapport à la répartition (même carrière)</t>
        </is>
      </c>
      <c r="B99" s="5" t="inlineStr">
        <is>
          <t>Génération silencieuse
nés 1928-1945</t>
        </is>
      </c>
      <c r="C99" s="5" t="inlineStr">
        <is>
          <t>Baby-boomers
nés 1946-1964</t>
        </is>
      </c>
      <c r="D99" s="5" t="inlineStr">
        <is>
          <t>Génération X
nés 1965-1980</t>
        </is>
      </c>
      <c r="E99" s="5" t="inlineStr">
        <is>
          <t>Génération Y
nés 1981-1996</t>
        </is>
      </c>
      <c r="F99" s="5" t="inlineStr">
        <is>
          <t>Génération Z
nés 1997-2012</t>
        </is>
      </c>
      <c r="G99" s="5" t="inlineStr">
        <is>
          <t>Génération Alpha
nés 2013-2025</t>
        </is>
      </c>
      <c r="H99" s="5" t="inlineStr">
        <is>
          <t>Écart avec le privé (même génération, moyenne)</t>
        </is>
      </c>
    </row>
    <row r="100">
      <c r="A100" s="10" t="inlineStr">
        <is>
          <t>Privé</t>
        </is>
      </c>
      <c r="B100" s="34">
        <f>AVERAGEIFS(Profils_types!$AW$3:$AW$590,Profils_types!$A$3:$A$590,"Génération silencieuse",Profils_types!$B$3:$B$590,"Privé")</f>
        <v/>
      </c>
      <c r="C100" s="34">
        <f>AVERAGEIFS(Profils_types!$AW$3:$AW$590,Profils_types!$A$3:$A$590,"Baby-boomers",Profils_types!$B$3:$B$590,"Privé")</f>
        <v/>
      </c>
      <c r="D100" s="34">
        <f>AVERAGEIFS(Profils_types!$AW$3:$AW$590,Profils_types!$A$3:$A$590,"Génération X",Profils_types!$B$3:$B$590,"Privé")</f>
        <v/>
      </c>
      <c r="E100" s="34">
        <f>AVERAGEIFS(Profils_types!$AW$3:$AW$590,Profils_types!$A$3:$A$590,"Génération Y",Profils_types!$B$3:$B$590,"Privé")</f>
        <v/>
      </c>
      <c r="F100" s="34">
        <f>AVERAGEIFS(Profils_types!$AW$3:$AW$590,Profils_types!$A$3:$A$590,"Génération Z",Profils_types!$B$3:$B$590,"Privé")</f>
        <v/>
      </c>
      <c r="G100" s="34">
        <f>AVERAGEIFS(Profils_types!$AW$3:$AW$590,Profils_types!$A$3:$A$590,"Génération Alpha",Profils_types!$B$3:$B$590,"Privé")</f>
        <v/>
      </c>
    </row>
    <row r="101">
      <c r="A101" s="6" t="inlineStr">
        <is>
          <t>Fonction publique d'État</t>
        </is>
      </c>
      <c r="B101" s="35">
        <f>AVERAGEIFS(Profils_types!$AW$3:$AW$590,Profils_types!$A$3:$A$590,"Génération silencieuse",Profils_types!$B$3:$B$590,"Fonction publique d'État")</f>
        <v/>
      </c>
      <c r="C101" s="35">
        <f>AVERAGEIFS(Profils_types!$AW$3:$AW$590,Profils_types!$A$3:$A$590,"Baby-boomers",Profils_types!$B$3:$B$590,"Fonction publique d'État")</f>
        <v/>
      </c>
      <c r="D101" s="35">
        <f>AVERAGEIFS(Profils_types!$AW$3:$AW$590,Profils_types!$A$3:$A$590,"Génération X",Profils_types!$B$3:$B$590,"Fonction publique d'État")</f>
        <v/>
      </c>
      <c r="E101" s="35">
        <f>AVERAGEIFS(Profils_types!$AW$3:$AW$590,Profils_types!$A$3:$A$590,"Génération Y",Profils_types!$B$3:$B$590,"Fonction publique d'État")</f>
        <v/>
      </c>
      <c r="F101" s="35">
        <f>AVERAGEIFS(Profils_types!$AW$3:$AW$590,Profils_types!$A$3:$A$590,"Génération Z",Profils_types!$B$3:$B$590,"Fonction publique d'État")</f>
        <v/>
      </c>
      <c r="G101" s="35">
        <f>AVERAGEIFS(Profils_types!$AW$3:$AW$590,Profils_types!$A$3:$A$590,"Génération Alpha",Profils_types!$B$3:$B$590,"Fonction publique d'État")</f>
        <v/>
      </c>
      <c r="H101" s="21">
        <f>AVERAGE(B101-B100,C101-C100,D101-D100,E101-E100)*100</f>
        <v/>
      </c>
    </row>
    <row r="102">
      <c r="A102" s="6" t="inlineStr">
        <is>
          <t>Fonction publique territoriale et hospitalière</t>
        </is>
      </c>
      <c r="B102" s="35">
        <f>AVERAGEIFS(Profils_types!$AW$3:$AW$590,Profils_types!$A$3:$A$590,"Génération silencieuse",Profils_types!$B$3:$B$590,"Fonction publique territoriale et hospitalière")</f>
        <v/>
      </c>
      <c r="C102" s="35">
        <f>AVERAGEIFS(Profils_types!$AW$3:$AW$590,Profils_types!$A$3:$A$590,"Baby-boomers",Profils_types!$B$3:$B$590,"Fonction publique territoriale et hospitalière")</f>
        <v/>
      </c>
      <c r="D102" s="35">
        <f>AVERAGEIFS(Profils_types!$AW$3:$AW$590,Profils_types!$A$3:$A$590,"Génération X",Profils_types!$B$3:$B$590,"Fonction publique territoriale et hospitalière")</f>
        <v/>
      </c>
      <c r="E102" s="35">
        <f>AVERAGEIFS(Profils_types!$AW$3:$AW$590,Profils_types!$A$3:$A$590,"Génération Y",Profils_types!$B$3:$B$590,"Fonction publique territoriale et hospitalière")</f>
        <v/>
      </c>
      <c r="F102" s="35">
        <f>AVERAGEIFS(Profils_types!$AW$3:$AW$590,Profils_types!$A$3:$A$590,"Génération Z",Profils_types!$B$3:$B$590,"Fonction publique territoriale et hospitalière")</f>
        <v/>
      </c>
      <c r="G102" s="35">
        <f>AVERAGEIFS(Profils_types!$AW$3:$AW$590,Profils_types!$A$3:$A$590,"Génération Alpha",Profils_types!$B$3:$B$590,"Fonction publique territoriale et hospitalière")</f>
        <v/>
      </c>
      <c r="H102" s="21">
        <f>AVERAGE(B102-B100,C102-C100,D102-D100,E102-E100)*100</f>
        <v/>
      </c>
    </row>
    <row r="103">
      <c r="A103" s="6" t="inlineStr">
        <is>
          <t>SNCF</t>
        </is>
      </c>
      <c r="B103" s="35">
        <f>AVERAGEIFS(Profils_types!$AW$3:$AW$590,Profils_types!$A$3:$A$590,"Génération silencieuse",Profils_types!$B$3:$B$590,"SNCF")</f>
        <v/>
      </c>
      <c r="C103" s="35">
        <f>AVERAGEIFS(Profils_types!$AW$3:$AW$590,Profils_types!$A$3:$A$590,"Baby-boomers",Profils_types!$B$3:$B$590,"SNCF")</f>
        <v/>
      </c>
      <c r="D103" s="35">
        <f>AVERAGEIFS(Profils_types!$AW$3:$AW$590,Profils_types!$A$3:$A$590,"Génération X",Profils_types!$B$3:$B$590,"SNCF")</f>
        <v/>
      </c>
      <c r="E103" s="35">
        <f>AVERAGEIFS(Profils_types!$AW$3:$AW$590,Profils_types!$A$3:$A$590,"Génération Y",Profils_types!$B$3:$B$590,"SNCF")</f>
        <v/>
      </c>
      <c r="F103" s="35">
        <f>AVERAGEIFS(Profils_types!$AW$3:$AW$590,Profils_types!$A$3:$A$590,"Génération Z",Profils_types!$B$3:$B$590,"SNCF")</f>
        <v/>
      </c>
      <c r="G103" s="35">
        <f>AVERAGEIFS(Profils_types!$AW$3:$AW$590,Profils_types!$A$3:$A$590,"Génération Alpha",Profils_types!$B$3:$B$590,"SNCF")</f>
        <v/>
      </c>
      <c r="H103" s="21">
        <f>AVERAGE(B103-B100,C103-C100,D103-D100,E103-E100)*100</f>
        <v/>
      </c>
    </row>
    <row r="104">
      <c r="A104" s="6" t="inlineStr">
        <is>
          <t>RATP</t>
        </is>
      </c>
      <c r="B104" s="35">
        <f>AVERAGEIFS(Profils_types!$AW$3:$AW$590,Profils_types!$A$3:$A$590,"Génération silencieuse",Profils_types!$B$3:$B$590,"RATP")</f>
        <v/>
      </c>
      <c r="C104" s="35">
        <f>AVERAGEIFS(Profils_types!$AW$3:$AW$590,Profils_types!$A$3:$A$590,"Baby-boomers",Profils_types!$B$3:$B$590,"RATP")</f>
        <v/>
      </c>
      <c r="D104" s="35">
        <f>AVERAGEIFS(Profils_types!$AW$3:$AW$590,Profils_types!$A$3:$A$590,"Génération X",Profils_types!$B$3:$B$590,"RATP")</f>
        <v/>
      </c>
      <c r="E104" s="35">
        <f>AVERAGEIFS(Profils_types!$AW$3:$AW$590,Profils_types!$A$3:$A$590,"Génération Y",Profils_types!$B$3:$B$590,"RATP")</f>
        <v/>
      </c>
      <c r="F104" s="35">
        <f>AVERAGEIFS(Profils_types!$AW$3:$AW$590,Profils_types!$A$3:$A$590,"Génération Z",Profils_types!$B$3:$B$590,"RATP")</f>
        <v/>
      </c>
      <c r="G104" s="35">
        <f>AVERAGEIFS(Profils_types!$AW$3:$AW$590,Profils_types!$A$3:$A$590,"Génération Alpha",Profils_types!$B$3:$B$590,"RATP")</f>
        <v/>
      </c>
      <c r="H104" s="21">
        <f>AVERAGE(B104-B100,C104-C100,D104-D100,E104-E100)*100</f>
        <v/>
      </c>
    </row>
    <row r="105">
      <c r="A105" s="6" t="inlineStr">
        <is>
          <t>IEG</t>
        </is>
      </c>
      <c r="B105" s="35">
        <f>AVERAGEIFS(Profils_types!$AW$3:$AW$590,Profils_types!$A$3:$A$590,"Génération silencieuse",Profils_types!$B$3:$B$590,"IEG")</f>
        <v/>
      </c>
      <c r="C105" s="35">
        <f>AVERAGEIFS(Profils_types!$AW$3:$AW$590,Profils_types!$A$3:$A$590,"Baby-boomers",Profils_types!$B$3:$B$590,"IEG")</f>
        <v/>
      </c>
      <c r="D105" s="35">
        <f>AVERAGEIFS(Profils_types!$AW$3:$AW$590,Profils_types!$A$3:$A$590,"Génération X",Profils_types!$B$3:$B$590,"IEG")</f>
        <v/>
      </c>
      <c r="E105" s="35">
        <f>AVERAGEIFS(Profils_types!$AW$3:$AW$590,Profils_types!$A$3:$A$590,"Génération Y",Profils_types!$B$3:$B$590,"IEG")</f>
        <v/>
      </c>
      <c r="F105" s="35">
        <f>AVERAGEIFS(Profils_types!$AW$3:$AW$590,Profils_types!$A$3:$A$590,"Génération Z",Profils_types!$B$3:$B$590,"IEG")</f>
        <v/>
      </c>
      <c r="G105" s="35">
        <f>AVERAGEIFS(Profils_types!$AW$3:$AW$590,Profils_types!$A$3:$A$590,"Génération Alpha",Profils_types!$B$3:$B$590,"IEG")</f>
        <v/>
      </c>
      <c r="H105" s="21">
        <f>AVERAGE(B105-B100,C105-C100,D105-D100,E105-E100)*100</f>
        <v/>
      </c>
    </row>
    <row r="107" ht="30" customHeight="1">
      <c r="A107" s="26" t="inlineStr">
        <is>
          <t>Écart avec le privé : moyenne sur les générations silencieuse, baby-boomers, X et Y (générations Z et Alpha calculées au régime général pour la SNCF, la RATP et les IEG).</t>
        </is>
      </c>
    </row>
    <row r="109">
      <c r="A109" s="2" t="inlineStr">
        <is>
          <t>3. Répartition ou capitalisation ? Ce que chaque génération aurait eu en plus ou en moins (salarié du privé)</t>
        </is>
      </c>
    </row>
    <row r="110" ht="45" customHeight="1">
      <c r="A110" s="26" t="inlineStr">
        <is>
          <t>Chaque mois, la totalité des cotisations vieillesse (salariales, patronales, complémentaires, part vieillesse de la CSG et de la CRDS), calculées sur le salaire réellement versé à l'époque, est investie en actions françaises (CAC 40 dividendes réinvestis ; grandes valeurs françaises avant 1988). Le capital est évalué la veille du départ, converti en euros 2026 et comparé, pour la même carrière, aux pensions reçues en répartition.</t>
        </is>
      </c>
    </row>
    <row r="111" ht="40" customHeight="1">
      <c r="A111" s="5" t="inlineStr">
        <is>
          <t>Indicateur</t>
        </is>
      </c>
      <c r="B111" s="5" t="inlineStr">
        <is>
          <t>Génération silencieuse
nés 1928-1945</t>
        </is>
      </c>
      <c r="C111" s="5" t="inlineStr">
        <is>
          <t>Baby-boomers
nés 1946-1964</t>
        </is>
      </c>
      <c r="D111" s="5" t="inlineStr">
        <is>
          <t>Génération X
nés 1965-1980</t>
        </is>
      </c>
      <c r="E111" s="5" t="inlineStr">
        <is>
          <t>Génération Y
nés 1981-1996</t>
        </is>
      </c>
      <c r="F111" s="5" t="inlineStr">
        <is>
          <t>Génération Z
nés 1997-2012</t>
        </is>
      </c>
      <c r="G111" s="5" t="inlineStr">
        <is>
          <t>Génération Alpha
nés 2013-2025</t>
        </is>
      </c>
      <c r="H111" s="5" t="inlineStr">
        <is>
          <t>Évolution Silencieuse → Alpha</t>
        </is>
      </c>
    </row>
    <row r="112">
      <c r="A112" s="6" t="inlineStr">
        <is>
          <t>Cotisations vieillesse totales versées (€ 2026)</t>
        </is>
      </c>
      <c r="B112" s="14">
        <f>AVERAGEIFS(Profils_types!$V$3:$V$590,Profils_types!$A$3:$A$590,"Génération silencieuse",Profils_types!$B$3:$B$590,"Privé")</f>
        <v/>
      </c>
      <c r="C112" s="14">
        <f>AVERAGEIFS(Profils_types!$V$3:$V$590,Profils_types!$A$3:$A$590,"Baby-boomers",Profils_types!$B$3:$B$590,"Privé")</f>
        <v/>
      </c>
      <c r="D112" s="14">
        <f>AVERAGEIFS(Profils_types!$V$3:$V$590,Profils_types!$A$3:$A$590,"Génération X",Profils_types!$B$3:$B$590,"Privé")</f>
        <v/>
      </c>
      <c r="E112" s="14">
        <f>AVERAGEIFS(Profils_types!$V$3:$V$590,Profils_types!$A$3:$A$590,"Génération Y",Profils_types!$B$3:$B$590,"Privé")</f>
        <v/>
      </c>
      <c r="F112" s="14">
        <f>AVERAGEIFS(Profils_types!$V$3:$V$590,Profils_types!$A$3:$A$590,"Génération Z",Profils_types!$B$3:$B$590,"Privé")</f>
        <v/>
      </c>
      <c r="G112" s="14">
        <f>AVERAGEIFS(Profils_types!$V$3:$V$590,Profils_types!$A$3:$A$590,"Génération Alpha",Profils_types!$B$3:$B$590,"Privé")</f>
        <v/>
      </c>
      <c r="H112" s="9">
        <f>IF(B112=0,"",G112/B112-1)</f>
        <v/>
      </c>
    </row>
    <row r="113">
      <c r="A113" s="6" t="inlineStr">
        <is>
          <t>Capitalisation : capital au départ (dividendes réinvestis, € 2026)</t>
        </is>
      </c>
      <c r="B113" s="14">
        <f>AVERAGEIFS(Profils_types!$AS$3:$AS$590,Profils_types!$A$3:$A$590,"Génération silencieuse",Profils_types!$B$3:$B$590,"Privé")</f>
        <v/>
      </c>
      <c r="C113" s="14">
        <f>AVERAGEIFS(Profils_types!$AS$3:$AS$590,Profils_types!$A$3:$A$590,"Baby-boomers",Profils_types!$B$3:$B$590,"Privé")</f>
        <v/>
      </c>
      <c r="D113" s="14">
        <f>AVERAGEIFS(Profils_types!$AS$3:$AS$590,Profils_types!$A$3:$A$590,"Génération X",Profils_types!$B$3:$B$590,"Privé")</f>
        <v/>
      </c>
      <c r="E113" s="14">
        <f>AVERAGEIFS(Profils_types!$AS$3:$AS$590,Profils_types!$A$3:$A$590,"Génération Y",Profils_types!$B$3:$B$590,"Privé")</f>
        <v/>
      </c>
      <c r="F113" s="14">
        <f>AVERAGEIFS(Profils_types!$AS$3:$AS$590,Profils_types!$A$3:$A$590,"Génération Z",Profils_types!$B$3:$B$590,"Privé")</f>
        <v/>
      </c>
      <c r="G113" s="14">
        <f>AVERAGEIFS(Profils_types!$AS$3:$AS$590,Profils_types!$A$3:$A$590,"Génération Alpha",Profils_types!$B$3:$B$590,"Privé")</f>
        <v/>
      </c>
      <c r="H113" s="9">
        <f>IF(B113=0,"",G113/B113-1)</f>
        <v/>
      </c>
    </row>
    <row r="114">
      <c r="A114" s="6" t="inlineStr">
        <is>
          <t>Capital ÷ cotisations versées</t>
        </is>
      </c>
      <c r="B114" s="36">
        <f>AVERAGEIFS(Profils_types!$AT$3:$AT$590,Profils_types!$A$3:$A$590,"Génération silencieuse",Profils_types!$B$3:$B$590,"Privé")</f>
        <v/>
      </c>
      <c r="C114" s="36">
        <f>AVERAGEIFS(Profils_types!$AT$3:$AT$590,Profils_types!$A$3:$A$590,"Baby-boomers",Profils_types!$B$3:$B$590,"Privé")</f>
        <v/>
      </c>
      <c r="D114" s="36">
        <f>AVERAGEIFS(Profils_types!$AT$3:$AT$590,Profils_types!$A$3:$A$590,"Génération X",Profils_types!$B$3:$B$590,"Privé")</f>
        <v/>
      </c>
      <c r="E114" s="36">
        <f>AVERAGEIFS(Profils_types!$AT$3:$AT$590,Profils_types!$A$3:$A$590,"Génération Y",Profils_types!$B$3:$B$590,"Privé")</f>
        <v/>
      </c>
      <c r="F114" s="36">
        <f>AVERAGEIFS(Profils_types!$AT$3:$AT$590,Profils_types!$A$3:$A$590,"Génération Z",Profils_types!$B$3:$B$590,"Privé")</f>
        <v/>
      </c>
      <c r="G114" s="36">
        <f>AVERAGEIFS(Profils_types!$AT$3:$AT$590,Profils_types!$A$3:$A$590,"Génération Alpha",Profils_types!$B$3:$B$590,"Privé")</f>
        <v/>
      </c>
      <c r="H114" s="9">
        <f>IF(B114=0,"",G114/B114-1)</f>
        <v/>
      </c>
    </row>
    <row r="115">
      <c r="A115" s="6" t="inlineStr">
        <is>
          <t>Répartition : pensions totales reçues (€ 2026)</t>
        </is>
      </c>
      <c r="B115" s="14">
        <f>AVERAGEIFS(Profils_types!$AL$3:$AL$590,Profils_types!$A$3:$A$590,"Génération silencieuse",Profils_types!$B$3:$B$590,"Privé")</f>
        <v/>
      </c>
      <c r="C115" s="14">
        <f>AVERAGEIFS(Profils_types!$AL$3:$AL$590,Profils_types!$A$3:$A$590,"Baby-boomers",Profils_types!$B$3:$B$590,"Privé")</f>
        <v/>
      </c>
      <c r="D115" s="14">
        <f>AVERAGEIFS(Profils_types!$AL$3:$AL$590,Profils_types!$A$3:$A$590,"Génération X",Profils_types!$B$3:$B$590,"Privé")</f>
        <v/>
      </c>
      <c r="E115" s="14">
        <f>AVERAGEIFS(Profils_types!$AL$3:$AL$590,Profils_types!$A$3:$A$590,"Génération Y",Profils_types!$B$3:$B$590,"Privé")</f>
        <v/>
      </c>
      <c r="F115" s="14">
        <f>AVERAGEIFS(Profils_types!$AL$3:$AL$590,Profils_types!$A$3:$A$590,"Génération Z",Profils_types!$B$3:$B$590,"Privé")</f>
        <v/>
      </c>
      <c r="G115" s="14">
        <f>AVERAGEIFS(Profils_types!$AL$3:$AL$590,Profils_types!$A$3:$A$590,"Génération Alpha",Profils_types!$B$3:$B$590,"Privé")</f>
        <v/>
      </c>
      <c r="H115" s="9">
        <f>IF(B115=0,"",G115/B115-1)</f>
        <v/>
      </c>
    </row>
    <row r="116">
      <c r="A116" s="10" t="inlineStr">
        <is>
          <t>EN PLUS (+) OU EN MOINS (−) AVEC LA CAPITALISATION, sur toute la retraite (€ 2026)</t>
        </is>
      </c>
      <c r="B116" s="37">
        <f>AVERAGEIFS(Profils_types!$AV$3:$AV$590,Profils_types!$A$3:$A$590,"Génération silencieuse",Profils_types!$B$3:$B$590,"Privé")</f>
        <v/>
      </c>
      <c r="C116" s="37">
        <f>AVERAGEIFS(Profils_types!$AV$3:$AV$590,Profils_types!$A$3:$A$590,"Baby-boomers",Profils_types!$B$3:$B$590,"Privé")</f>
        <v/>
      </c>
      <c r="D116" s="37">
        <f>AVERAGEIFS(Profils_types!$AV$3:$AV$590,Profils_types!$A$3:$A$590,"Génération X",Profils_types!$B$3:$B$590,"Privé")</f>
        <v/>
      </c>
      <c r="E116" s="37">
        <f>AVERAGEIFS(Profils_types!$AV$3:$AV$590,Profils_types!$A$3:$A$590,"Génération Y",Profils_types!$B$3:$B$590,"Privé")</f>
        <v/>
      </c>
      <c r="F116" s="37">
        <f>AVERAGEIFS(Profils_types!$AV$3:$AV$590,Profils_types!$A$3:$A$590,"Génération Z",Profils_types!$B$3:$B$590,"Privé")</f>
        <v/>
      </c>
      <c r="G116" s="37">
        <f>AVERAGEIFS(Profils_types!$AV$3:$AV$590,Profils_types!$A$3:$A$590,"Génération Alpha",Profils_types!$B$3:$B$590,"Privé")</f>
        <v/>
      </c>
    </row>
    <row r="117">
      <c r="A117" s="10" t="inlineStr">
        <is>
          <t>Écart capitalisation / répartition</t>
        </is>
      </c>
      <c r="B117" s="38">
        <f>AVERAGEIFS(Profils_types!$AW$3:$AW$590,Profils_types!$A$3:$A$590,"Génération silencieuse",Profils_types!$B$3:$B$590,"Privé")</f>
        <v/>
      </c>
      <c r="C117" s="38">
        <f>AVERAGEIFS(Profils_types!$AW$3:$AW$590,Profils_types!$A$3:$A$590,"Baby-boomers",Profils_types!$B$3:$B$590,"Privé")</f>
        <v/>
      </c>
      <c r="D117" s="38">
        <f>AVERAGEIFS(Profils_types!$AW$3:$AW$590,Profils_types!$A$3:$A$590,"Génération X",Profils_types!$B$3:$B$590,"Privé")</f>
        <v/>
      </c>
      <c r="E117" s="38">
        <f>AVERAGEIFS(Profils_types!$AW$3:$AW$590,Profils_types!$A$3:$A$590,"Génération Y",Profils_types!$B$3:$B$590,"Privé")</f>
        <v/>
      </c>
      <c r="F117" s="38">
        <f>AVERAGEIFS(Profils_types!$AW$3:$AW$590,Profils_types!$A$3:$A$590,"Génération Z",Profils_types!$B$3:$B$590,"Privé")</f>
        <v/>
      </c>
      <c r="G117" s="38">
        <f>AVERAGEIFS(Profils_types!$AW$3:$AW$590,Profils_types!$A$3:$A$590,"Génération Alpha",Profils_types!$B$3:$B$590,"Privé")</f>
        <v/>
      </c>
    </row>
    <row r="118">
      <c r="A118" s="6" t="inlineStr">
        <is>
          <t>Capitalisation : revenu mensuel pendant la retraite (€ 2026)</t>
        </is>
      </c>
      <c r="B118" s="14">
        <f>AVERAGEIFS(Profils_types!$AX$3:$AX$590,Profils_types!$A$3:$A$590,"Génération silencieuse",Profils_types!$B$3:$B$590,"Privé")</f>
        <v/>
      </c>
      <c r="C118" s="14">
        <f>AVERAGEIFS(Profils_types!$AX$3:$AX$590,Profils_types!$A$3:$A$590,"Baby-boomers",Profils_types!$B$3:$B$590,"Privé")</f>
        <v/>
      </c>
      <c r="D118" s="14">
        <f>AVERAGEIFS(Profils_types!$AX$3:$AX$590,Profils_types!$A$3:$A$590,"Génération X",Profils_types!$B$3:$B$590,"Privé")</f>
        <v/>
      </c>
      <c r="E118" s="14">
        <f>AVERAGEIFS(Profils_types!$AX$3:$AX$590,Profils_types!$A$3:$A$590,"Génération Y",Profils_types!$B$3:$B$590,"Privé")</f>
        <v/>
      </c>
      <c r="F118" s="14">
        <f>AVERAGEIFS(Profils_types!$AX$3:$AX$590,Profils_types!$A$3:$A$590,"Génération Z",Profils_types!$B$3:$B$590,"Privé")</f>
        <v/>
      </c>
      <c r="G118" s="14">
        <f>AVERAGEIFS(Profils_types!$AX$3:$AX$590,Profils_types!$A$3:$A$590,"Génération Alpha",Profils_types!$B$3:$B$590,"Privé")</f>
        <v/>
      </c>
      <c r="H118" s="9">
        <f>IF(B118=0,"",G118/B118-1)</f>
        <v/>
      </c>
    </row>
    <row r="119">
      <c r="A119" s="6" t="inlineStr">
        <is>
          <t>Répartition : pension mensuelle (€ 2026)</t>
        </is>
      </c>
      <c r="B119" s="14">
        <f>AVERAGEIFS(Profils_types!$AF$3:$AF$590,Profils_types!$A$3:$A$590,"Génération silencieuse",Profils_types!$B$3:$B$590,"Privé")</f>
        <v/>
      </c>
      <c r="C119" s="14">
        <f>AVERAGEIFS(Profils_types!$AF$3:$AF$590,Profils_types!$A$3:$A$590,"Baby-boomers",Profils_types!$B$3:$B$590,"Privé")</f>
        <v/>
      </c>
      <c r="D119" s="14">
        <f>AVERAGEIFS(Profils_types!$AF$3:$AF$590,Profils_types!$A$3:$A$590,"Génération X",Profils_types!$B$3:$B$590,"Privé")</f>
        <v/>
      </c>
      <c r="E119" s="14">
        <f>AVERAGEIFS(Profils_types!$AF$3:$AF$590,Profils_types!$A$3:$A$590,"Génération Y",Profils_types!$B$3:$B$590,"Privé")</f>
        <v/>
      </c>
      <c r="F119" s="14">
        <f>AVERAGEIFS(Profils_types!$AF$3:$AF$590,Profils_types!$A$3:$A$590,"Génération Z",Profils_types!$B$3:$B$590,"Privé")</f>
        <v/>
      </c>
      <c r="G119" s="14">
        <f>AVERAGEIFS(Profils_types!$AF$3:$AF$590,Profils_types!$A$3:$A$590,"Génération Alpha",Profils_types!$B$3:$B$590,"Privé")</f>
        <v/>
      </c>
      <c r="H119" s="9">
        <f>IF(B119=0,"",G119/B119-1)</f>
        <v/>
      </c>
    </row>
    <row r="120">
      <c r="A120" s="10" t="inlineStr">
        <is>
          <t>En plus (+) ou en moins (−) chaque mois avec la capitalisation (€ 2026)</t>
        </is>
      </c>
      <c r="B120" s="37">
        <f>AVERAGEIFS(Profils_types!$AZ$3:$AZ$590,Profils_types!$A$3:$A$590,"Génération silencieuse",Profils_types!$B$3:$B$590,"Privé")</f>
        <v/>
      </c>
      <c r="C120" s="37">
        <f>AVERAGEIFS(Profils_types!$AZ$3:$AZ$590,Profils_types!$A$3:$A$590,"Baby-boomers",Profils_types!$B$3:$B$590,"Privé")</f>
        <v/>
      </c>
      <c r="D120" s="37">
        <f>AVERAGEIFS(Profils_types!$AZ$3:$AZ$590,Profils_types!$A$3:$A$590,"Génération X",Profils_types!$B$3:$B$590,"Privé")</f>
        <v/>
      </c>
      <c r="E120" s="37">
        <f>AVERAGEIFS(Profils_types!$AZ$3:$AZ$590,Profils_types!$A$3:$A$590,"Génération Y",Profils_types!$B$3:$B$590,"Privé")</f>
        <v/>
      </c>
      <c r="F120" s="37">
        <f>AVERAGEIFS(Profils_types!$AZ$3:$AZ$590,Profils_types!$A$3:$A$590,"Génération Z",Profils_types!$B$3:$B$590,"Privé")</f>
        <v/>
      </c>
      <c r="G120" s="37">
        <f>AVERAGEIFS(Profils_types!$AZ$3:$AZ$590,Profils_types!$A$3:$A$590,"Génération Alpha",Profils_types!$B$3:$B$590,"Privé")</f>
        <v/>
      </c>
    </row>
    <row r="121">
      <c r="A121" s="6" t="inlineStr">
        <is>
          <t>Pour mémoire : en plus ou en moins avec le cours seul, sans dividendes (€ 2026)</t>
        </is>
      </c>
      <c r="B121" s="39">
        <f>AVERAGEIFS(Profils_types!$BB$3:$BB$590,Profils_types!$A$3:$A$590,"Génération silencieuse",Profils_types!$B$3:$B$590,"Privé")</f>
        <v/>
      </c>
      <c r="C121" s="39">
        <f>AVERAGEIFS(Profils_types!$BB$3:$BB$590,Profils_types!$A$3:$A$590,"Baby-boomers",Profils_types!$B$3:$B$590,"Privé")</f>
        <v/>
      </c>
      <c r="D121" s="39">
        <f>AVERAGEIFS(Profils_types!$BB$3:$BB$590,Profils_types!$A$3:$A$590,"Génération X",Profils_types!$B$3:$B$590,"Privé")</f>
        <v/>
      </c>
      <c r="E121" s="39">
        <f>AVERAGEIFS(Profils_types!$BB$3:$BB$590,Profils_types!$A$3:$A$590,"Génération Y",Profils_types!$B$3:$B$590,"Privé")</f>
        <v/>
      </c>
      <c r="F121" s="39">
        <f>AVERAGEIFS(Profils_types!$BB$3:$BB$590,Profils_types!$A$3:$A$590,"Génération Z",Profils_types!$B$3:$B$590,"Privé")</f>
        <v/>
      </c>
      <c r="G121" s="39">
        <f>AVERAGEIFS(Profils_types!$BB$3:$BB$590,Profils_types!$A$3:$A$590,"Génération Alpha",Profils_types!$B$3:$B$590,"Privé")</f>
        <v/>
      </c>
    </row>
    <row r="123" ht="30" customHeight="1">
      <c r="A123" s="26" t="inlineStr">
        <is>
          <t>Lecture : la ligne verte indique combien il a fallu cotiser pour recevoir 1 € de pension ; les lignes roses montrent l'argent public (impôts et taxes) ajouté en plus des cotisations pour équilibrer les régimes publics ; les lignes orange montrent ce qu'aurait donné un placement en actions des mêmes cotisations.</t>
        </is>
      </c>
    </row>
    <row r="124">
      <c r="A124" s="26" t="inlineStr">
        <is>
          <t>Méthode : profil type de chaque année de naissance (âge moyen de début de l'époque, durée réelle moyenne de carrière, salaire moyen), puis moyenne par groupe. Détails : LISEZ_MOI, Regimes et Dictionnaire.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73"/>
  <sheetViews>
    <sheetView workbookViewId="0">
      <pane xSplit="1" ySplit="7" topLeftCell="B8" activePane="bottomRight" state="frozen"/>
      <selection pane="topRight"/>
      <selection pane="bottomLeft"/>
      <selection pane="bottomRight" activeCell="A1" sqref="A1"/>
    </sheetView>
  </sheetViews>
  <sheetFormatPr baseColWidth="8" defaultRowHeight="15"/>
  <cols>
    <col width="62" customWidth="1" min="1" max="1"/>
    <col width="19" customWidth="1" min="2" max="2"/>
    <col width="19" customWidth="1" min="3" max="3"/>
    <col width="19" customWidth="1" min="4" max="4"/>
    <col width="19" customWidth="1" min="5" max="5"/>
  </cols>
  <sheetData>
    <row r="1">
      <c r="A1" s="1" t="inlineStr">
        <is>
          <t>OCEAN 1968 — Comparez deux carrières</t>
        </is>
      </c>
    </row>
    <row r="2" ht="30" customHeight="1">
      <c r="A2" s="26" t="inlineStr">
        <is>
          <t>Choisissez deux années de début de carrière et deux régimes (cases jaunes). Tout le reste est automatique : durée réelle de carrière, temps de travail réel, salaire moyen, règles de l'époque et du régime. Euros constants de 2026.</t>
        </is>
      </c>
    </row>
    <row r="4">
      <c r="A4" s="19" t="inlineStr">
        <is>
          <t>Année de début de carrière</t>
        </is>
      </c>
      <c r="B4" s="40" t="n">
        <v>1968</v>
      </c>
      <c r="C4" s="40" t="n">
        <v>1995</v>
      </c>
    </row>
    <row r="5" ht="34" customHeight="1">
      <c r="A5" s="19" t="inlineStr">
        <is>
          <t>Régime</t>
        </is>
      </c>
      <c r="B5" s="41" t="inlineStr">
        <is>
          <t>Privé</t>
        </is>
      </c>
      <c r="C5" s="41" t="inlineStr">
        <is>
          <t>Privé</t>
        </is>
      </c>
    </row>
    <row r="7">
      <c r="A7" s="5" t="inlineStr">
        <is>
          <t>Résultat</t>
        </is>
      </c>
      <c r="B7" s="5" t="inlineStr">
        <is>
          <t>Carrière A</t>
        </is>
      </c>
      <c r="C7" s="5" t="inlineStr">
        <is>
          <t>Carrière B</t>
        </is>
      </c>
      <c r="D7" s="5" t="inlineStr">
        <is>
          <t>Écart B − A</t>
        </is>
      </c>
      <c r="E7" s="5" t="inlineStr">
        <is>
          <t>Écart en %</t>
        </is>
      </c>
    </row>
    <row r="8">
      <c r="A8" s="42" t="inlineStr">
        <is>
          <t>Régime choisi</t>
        </is>
      </c>
      <c r="B8" s="43">
        <f>B5</f>
        <v/>
      </c>
      <c r="C8" s="43">
        <f>C5</f>
        <v/>
      </c>
    </row>
    <row r="9">
      <c r="A9" s="42" t="inlineStr">
        <is>
          <t>Régime appliqué (régime général si le régime était déjà fermé aux nouveaux embauchés)</t>
        </is>
      </c>
      <c r="B9" s="43">
        <f>IF(B13&gt;=SUMIFS(Regimes!$C$5:$C$10,Regimes!$A$5:$A$10,B8),"Privé",B8)</f>
        <v/>
      </c>
      <c r="C9" s="43">
        <f>IF(C13&gt;=SUMIFS(Regimes!$C$5:$C$10,Regimes!$A$5:$A$10,C8),"Privé",C8)</f>
        <v/>
      </c>
    </row>
    <row r="10">
      <c r="A10" s="42" t="inlineStr">
        <is>
          <t>Catégorie du profil type</t>
        </is>
      </c>
      <c r="B10" s="43">
        <f>INDEX(Regimes!$D$5:$D$10,MATCH(B9,Regimes!$A$5:$A$10,0))</f>
        <v/>
      </c>
      <c r="C10" s="43">
        <f>INDEX(Regimes!$D$5:$D$10,MATCH(C9,Regimes!$A$5:$A$10,0))</f>
        <v/>
      </c>
    </row>
    <row r="11">
      <c r="A11" s="42" t="inlineStr">
        <is>
          <t>Année de naissance (génération type)</t>
        </is>
      </c>
      <c r="B11" s="44">
        <f>ROUND(B13-B12,0)</f>
        <v/>
      </c>
      <c r="C11" s="44">
        <f>ROUND(C13-C12,0)</f>
        <v/>
      </c>
    </row>
    <row r="12">
      <c r="A12" s="42" t="inlineStr">
        <is>
          <t>Âge moyen de début de carrière à cette époque</t>
        </is>
      </c>
      <c r="B12" s="45">
        <f>SUMIFS(Donnees_annuelles!$Z$3:$Z$188,Donnees_annuelles!$A$3:$A$188,B13)</f>
        <v/>
      </c>
      <c r="C12" s="45">
        <f>SUMIFS(Donnees_annuelles!$Z$3:$Z$188,Donnees_annuelles!$A$3:$A$188,C13)</f>
        <v/>
      </c>
    </row>
    <row r="13">
      <c r="A13" s="42" t="inlineStr">
        <is>
          <t>Année de début de carrière</t>
        </is>
      </c>
      <c r="B13" s="44">
        <f>B4</f>
        <v/>
      </c>
      <c r="C13" s="44">
        <f>C4</f>
        <v/>
      </c>
    </row>
    <row r="14">
      <c r="A14" s="42" t="inlineStr">
        <is>
          <t>Durée réelle de carrière d'un salarié du privé de la même génération</t>
        </is>
      </c>
      <c r="B14" s="45">
        <f>SUMIFS(Donnees_generations!$S$3:$S$113,Donnees_generations!$A$3:$A$113,MAX(1915,MIN(2025,B11)))</f>
        <v/>
      </c>
      <c r="C14" s="45">
        <f>SUMIFS(Donnees_generations!$S$3:$S$113,Donnees_generations!$A$3:$A$113,MAX(1915,MIN(2025,C11)))</f>
        <v/>
      </c>
    </row>
    <row r="15">
      <c r="A15" s="42" t="inlineStr">
        <is>
          <t>Âge moyen réel de départ dans le privé</t>
        </is>
      </c>
      <c r="B15" s="45">
        <f>SUMIFS(Donnees_generations!$T$3:$T$113,Donnees_generations!$A$3:$A$113,MAX(1915,MIN(2025,B11)))</f>
        <v/>
      </c>
      <c r="C15" s="45">
        <f>SUMIFS(Donnees_generations!$T$3:$T$113,Donnees_generations!$A$3:$A$113,MAX(1915,MIN(2025,C11)))</f>
        <v/>
      </c>
    </row>
    <row r="16">
      <c r="A16" s="42" t="inlineStr">
        <is>
          <t>Âge de départ d'un salarié du privé de la même génération</t>
        </is>
      </c>
      <c r="B16" s="45">
        <f>IF(B13&gt;=2000,MAX(B15,Parametres!$B$3),B15)</f>
        <v/>
      </c>
      <c r="C16" s="45">
        <f>IF(C13&gt;=2000,MAX(C15,Parametres!$B$3),C15)</f>
        <v/>
      </c>
    </row>
    <row r="17">
      <c r="A17" s="10" t="inlineStr">
        <is>
          <t>Âge de départ à la retraite</t>
        </is>
      </c>
      <c r="B17" s="46">
        <f>IF(B9="Privé",B16,SUMIFS(Regles_regimes!$J$3:$J$2000,Regles_regimes!$A$3:$A$2000,B9,Regles_regimes!$B$3:$B$2000,B10,Regles_regimes!$C$3:$C$2000,MAX(1915,MIN(2025,B11))))</f>
        <v/>
      </c>
      <c r="C17" s="46">
        <f>IF(C9="Privé",C16,SUMIFS(Regles_regimes!$J$3:$J$2000,Regles_regimes!$A$3:$A$2000,C9,Regles_regimes!$B$3:$B$2000,C10,Regles_regimes!$C$3:$C$2000,MAX(1915,MIN(2025,C11))))</f>
        <v/>
      </c>
      <c r="D17" s="47">
        <f>C17-B17</f>
        <v/>
      </c>
      <c r="E17" s="20">
        <f>IF(B17=0,0,C17/B17-1)</f>
        <v/>
      </c>
    </row>
    <row r="18">
      <c r="A18" s="10" t="inlineStr">
        <is>
          <t>Durée réelle de carrière (années validées)</t>
        </is>
      </c>
      <c r="B18" s="46">
        <f>IF(B9="Privé",B14,(B17-B12)*B14/(B16-B12))</f>
        <v/>
      </c>
      <c r="C18" s="46">
        <f>IF(C9="Privé",C14,(C17-C12)*C14/(C16-C12))</f>
        <v/>
      </c>
      <c r="D18" s="47">
        <f>C18-B18</f>
        <v/>
      </c>
      <c r="E18" s="20">
        <f>IF(B18=0,0,C18/B18-1)</f>
        <v/>
      </c>
    </row>
    <row r="19">
      <c r="A19" s="42" t="inlineStr">
        <is>
          <t>Année de départ à la retraite</t>
        </is>
      </c>
      <c r="B19" s="44">
        <f>INT(B11+B17)</f>
        <v/>
      </c>
      <c r="C19" s="44">
        <f>INT(C11+C17)</f>
        <v/>
      </c>
    </row>
    <row r="20">
      <c r="A20" s="42" t="inlineStr">
        <is>
          <t>Dernière année de cotisation</t>
        </is>
      </c>
      <c r="B20" s="44">
        <f>B13+ROUNDUP(B18,0)-1</f>
        <v/>
      </c>
      <c r="C20" s="44">
        <f>C13+ROUNDUP(C18,0)-1</f>
        <v/>
      </c>
    </row>
    <row r="21">
      <c r="A21" s="42" t="inlineStr">
        <is>
          <t>Temps de travail annuel par rapport au privé</t>
        </is>
      </c>
      <c r="B21" s="48">
        <f>SUMIFS(Regles_regimes!$K$3:$K$2000,Regles_regimes!$A$3:$A$2000,B9,Regles_regimes!$B$3:$B$2000,B10,Regles_regimes!$C$3:$C$2000,MAX(1915,MIN(2025,B11)))</f>
        <v/>
      </c>
      <c r="C21" s="48">
        <f>SUMIFS(Regles_regimes!$K$3:$K$2000,Regles_regimes!$A$3:$A$2000,C9,Regles_regimes!$B$3:$B$2000,C10,Regles_regimes!$C$3:$C$2000,MAX(1915,MIN(2025,C11)))</f>
        <v/>
      </c>
    </row>
    <row r="22">
      <c r="A22" s="10" t="inlineStr">
        <is>
          <t>Heures réellement travaillées sur la carrière</t>
        </is>
      </c>
      <c r="B22" s="49">
        <f>SUMIFS(Donnees_annuelles!$W$3:$W$188,Donnees_annuelles!$A$3:$A$188,"&gt;="&amp;B13,Donnees_annuelles!$A$3:$A$188,"&lt;="&amp;B20)*B18/ROUNDUP(B18,0)*B21</f>
        <v/>
      </c>
      <c r="C22" s="49">
        <f>SUMIFS(Donnees_annuelles!$W$3:$W$188,Donnees_annuelles!$A$3:$A$188,"&gt;="&amp;C13,Donnees_annuelles!$A$3:$A$188,"&lt;="&amp;C20)*C18/ROUNDUP(C18,0)*C21</f>
        <v/>
      </c>
      <c r="D22" s="50">
        <f>C22-B22</f>
        <v/>
      </c>
      <c r="E22" s="20">
        <f>IF(B22=0,0,C22/B22-1)</f>
        <v/>
      </c>
    </row>
    <row r="23">
      <c r="A23" s="6" t="inlineStr">
        <is>
          <t>Heures selon la durée légale sur la carrière</t>
        </is>
      </c>
      <c r="B23" s="13">
        <f>SUMIFS(Donnees_annuelles!$V$3:$V$188,Donnees_annuelles!$A$3:$A$188,"&gt;="&amp;B13,Donnees_annuelles!$A$3:$A$188,"&lt;="&amp;B20)*B18/ROUNDUP(B18,0)</f>
        <v/>
      </c>
      <c r="C23" s="13">
        <f>SUMIFS(Donnees_annuelles!$V$3:$V$188,Donnees_annuelles!$A$3:$A$188,"&gt;="&amp;C13,Donnees_annuelles!$A$3:$A$188,"&lt;="&amp;C20)*C18/ROUNDUP(C18,0)</f>
        <v/>
      </c>
      <c r="D23" s="51">
        <f>C23-B23</f>
        <v/>
      </c>
      <c r="E23" s="9">
        <f>IF(B23=0,0,C23/B23-1)</f>
        <v/>
      </c>
    </row>
    <row r="24">
      <c r="A24" s="6" t="inlineStr">
        <is>
          <t>Heures réellement travaillées par an (moyenne)</t>
        </is>
      </c>
      <c r="B24" s="13">
        <f>B22/B18</f>
        <v/>
      </c>
      <c r="C24" s="13">
        <f>C22/C18</f>
        <v/>
      </c>
      <c r="D24" s="51">
        <f>C24-B24</f>
        <v/>
      </c>
      <c r="E24" s="9">
        <f>IF(B24=0,0,C24/B24-1)</f>
        <v/>
      </c>
    </row>
    <row r="25">
      <c r="A25" s="6" t="inlineStr">
        <is>
          <t>Salaire brut cumulé sur la carrière (€ 2026)</t>
        </is>
      </c>
      <c r="B25" s="14">
        <f>SUMIFS(Donnees_annuelles!$D$3:$D$188,Donnees_annuelles!$A$3:$A$188,"&gt;="&amp;B13,Donnees_annuelles!$A$3:$A$188,"&lt;="&amp;B20)*B18/ROUNDUP(B18,0)</f>
        <v/>
      </c>
      <c r="C25" s="14">
        <f>SUMIFS(Donnees_annuelles!$D$3:$D$188,Donnees_annuelles!$A$3:$A$188,"&gt;="&amp;C13,Donnees_annuelles!$A$3:$A$188,"&lt;="&amp;C20)*C18/ROUNDUP(C18,0)</f>
        <v/>
      </c>
      <c r="D25" s="39">
        <f>C25-B25</f>
        <v/>
      </c>
      <c r="E25" s="9">
        <f>IF(B25=0,0,C25/B25-1)</f>
        <v/>
      </c>
    </row>
    <row r="26">
      <c r="A26" s="6" t="inlineStr">
        <is>
          <t>dont cotisations vieillesse salariales (€ 2026)</t>
        </is>
      </c>
      <c r="B26" s="14">
        <f>SUMIFS(Donnees_regimes!$N$3:$N$1118,Donnees_regimes!$A$3:$A$1118,B9,Donnees_regimes!$B$3:$B$1118,"&gt;="&amp;B13,Donnees_regimes!$B$3:$B$1118,"&lt;="&amp;B20)*B18/ROUNDUP(B18,0)</f>
        <v/>
      </c>
      <c r="C26" s="14">
        <f>SUMIFS(Donnees_regimes!$N$3:$N$1118,Donnees_regimes!$A$3:$A$1118,C9,Donnees_regimes!$B$3:$B$1118,"&gt;="&amp;C13,Donnees_regimes!$B$3:$B$1118,"&lt;="&amp;C20)*C18/ROUNDUP(C18,0)</f>
        <v/>
      </c>
      <c r="D26" s="39">
        <f>C26-B26</f>
        <v/>
      </c>
      <c r="E26" s="9">
        <f>IF(B26=0,0,C26/B26-1)</f>
        <v/>
      </c>
    </row>
    <row r="27">
      <c r="A27" s="6" t="inlineStr">
        <is>
          <t>dont cotisations vieillesse patronales (€ 2026)</t>
        </is>
      </c>
      <c r="B27" s="14">
        <f>SUMIFS(Donnees_regimes!$O$3:$O$1118,Donnees_regimes!$A$3:$A$1118,B9,Donnees_regimes!$B$3:$B$1118,"&gt;="&amp;B13,Donnees_regimes!$B$3:$B$1118,"&lt;="&amp;B20)*B18/ROUNDUP(B18,0)</f>
        <v/>
      </c>
      <c r="C27" s="14">
        <f>SUMIFS(Donnees_regimes!$O$3:$O$1118,Donnees_regimes!$A$3:$A$1118,C9,Donnees_regimes!$B$3:$B$1118,"&gt;="&amp;C13,Donnees_regimes!$B$3:$B$1118,"&lt;="&amp;C20)*C18/ROUNDUP(C18,0)</f>
        <v/>
      </c>
      <c r="D27" s="39">
        <f>C27-B27</f>
        <v/>
      </c>
      <c r="E27" s="9">
        <f>IF(B27=0,0,C27/B27-1)</f>
        <v/>
      </c>
    </row>
    <row r="28">
      <c r="A28" s="10" t="inlineStr">
        <is>
          <t>Cotisations vieillesse totales versées (€ 2026)</t>
        </is>
      </c>
      <c r="B28" s="52">
        <f>B26+B27</f>
        <v/>
      </c>
      <c r="C28" s="52">
        <f>C26+C27</f>
        <v/>
      </c>
      <c r="D28" s="53">
        <f>C28-B28</f>
        <v/>
      </c>
      <c r="E28" s="20">
        <f>IF(B28=0,0,C28/B28-1)</f>
        <v/>
      </c>
    </row>
    <row r="29">
      <c r="A29" s="10" t="inlineStr">
        <is>
          <t>Taux moyen de cotisation vieillesse (salarial + patronal)</t>
        </is>
      </c>
      <c r="B29" s="54">
        <f>B28/B25</f>
        <v/>
      </c>
      <c r="C29" s="54">
        <f>C28/C25</f>
        <v/>
      </c>
      <c r="D29" s="55">
        <f>(C29-B29)*100</f>
        <v/>
      </c>
    </row>
    <row r="30">
      <c r="A30" s="6" t="inlineStr">
        <is>
          <t>Coût employeur retraite sur la carrière (€ 2026)</t>
        </is>
      </c>
      <c r="B30" s="14">
        <f>B25+B27</f>
        <v/>
      </c>
      <c r="C30" s="14">
        <f>C25+C27</f>
        <v/>
      </c>
      <c r="D30" s="39">
        <f>C30-B30</f>
        <v/>
      </c>
      <c r="E30" s="9">
        <f>IF(B30=0,0,C30/B30-1)</f>
        <v/>
      </c>
    </row>
    <row r="31">
      <c r="A31" s="6" t="inlineStr">
        <is>
          <t>Cotisations vieillesse par heure travaillée (€ 2026)</t>
        </is>
      </c>
      <c r="B31" s="17">
        <f>B28/B22</f>
        <v/>
      </c>
      <c r="C31" s="17">
        <f>C28/C22</f>
        <v/>
      </c>
      <c r="D31" s="31">
        <f>C31-B31</f>
        <v/>
      </c>
      <c r="E31" s="9">
        <f>IF(B31=0,0,C31/B31-1)</f>
        <v/>
      </c>
    </row>
    <row r="32">
      <c r="A32" s="56" t="inlineStr">
        <is>
          <t>Argent public ajouté pour équilibrer le régime, financé par les impôts et taxes (€ 2026, non compté dans les cotisations)</t>
        </is>
      </c>
      <c r="B32" s="57">
        <f>SUMIFS(Donnees_regimes!$Q$3:$Q$1118,Donnees_regimes!$A$3:$A$1118,B9,Donnees_regimes!$B$3:$B$1118,"&gt;="&amp;B13,Donnees_regimes!$B$3:$B$1118,"&lt;="&amp;B20)*B18/ROUNDUP(B18,0)</f>
        <v/>
      </c>
      <c r="C32" s="57">
        <f>SUMIFS(Donnees_regimes!$Q$3:$Q$1118,Donnees_regimes!$A$3:$A$1118,C9,Donnees_regimes!$B$3:$B$1118,"&gt;="&amp;C13,Donnees_regimes!$B$3:$B$1118,"&lt;="&amp;C20)*C18/ROUNDUP(C18,0)</f>
        <v/>
      </c>
      <c r="D32" s="58">
        <f>C32-B32</f>
        <v/>
      </c>
      <c r="E32" s="59">
        <f>IF(B32=0,0,C32/B32-1)</f>
        <v/>
      </c>
    </row>
    <row r="33">
      <c r="A33" s="42" t="inlineStr">
        <is>
          <t>Trimestres requis dans le régime</t>
        </is>
      </c>
      <c r="B33" s="44">
        <f>SUMIFS(Regles_regimes!$F$3:$F$2000,Regles_regimes!$A$3:$A$2000,B9,Regles_regimes!$B$3:$B$2000,B10,Regles_regimes!$C$3:$C$2000,MAX(1915,MIN(2025,B11)))</f>
        <v/>
      </c>
      <c r="C33" s="44">
        <f>SUMIFS(Regles_regimes!$F$3:$F$2000,Regles_regimes!$A$3:$A$2000,C9,Regles_regimes!$B$3:$B$2000,C10,Regles_regimes!$C$3:$C$2000,MAX(1915,MIN(2025,C11)))</f>
        <v/>
      </c>
    </row>
    <row r="34">
      <c r="A34" s="42" t="inlineStr">
        <is>
          <t>Bonification de durée pour services actifs (trimestres)</t>
        </is>
      </c>
      <c r="B34" s="44">
        <f>IF(AND(SUMIFS(Regles_regimes!$L$3:$L$2000,Regles_regimes!$A$3:$A$2000,B9,Regles_regimes!$B$3:$B$2000,B10,Regles_regimes!$C$3:$C$2000,MAX(1915,MIN(2025,B11)))=1,B13&lt;2009,B9&lt;&gt;"Privé"),MIN(20,B18*4/5),0)</f>
        <v/>
      </c>
      <c r="C34" s="44">
        <f>IF(AND(SUMIFS(Regles_regimes!$L$3:$L$2000,Regles_regimes!$A$3:$A$2000,C9,Regles_regimes!$B$3:$B$2000,C10,Regles_regimes!$C$3:$C$2000,MAX(1915,MIN(2025,C11)))=1,C13&lt;2009,C9&lt;&gt;"Privé"),MIN(20,C18*4/5),0)</f>
        <v/>
      </c>
    </row>
    <row r="35">
      <c r="A35" s="42" t="inlineStr">
        <is>
          <t>Coefficient de pension du régime (à salaire égal, carrière complète)</t>
        </is>
      </c>
      <c r="B35" s="48">
        <f>SUMIFS(Donnees_regimes!$M$3:$M$1118,Donnees_regimes!$A$3:$A$1118,B9,Donnees_regimes!$B$3:$B$1118,B19)</f>
        <v/>
      </c>
      <c r="C35" s="48">
        <f>SUMIFS(Donnees_regimes!$M$3:$M$1118,Donnees_regimes!$A$3:$A$1118,C9,Donnees_regimes!$B$3:$B$1118,C19)</f>
        <v/>
      </c>
    </row>
    <row r="36">
      <c r="A36" s="42" t="inlineStr">
        <is>
          <t>Pension d'une carrière complète dans le privé, la même année (€ 2026)</t>
        </is>
      </c>
      <c r="B36" s="60">
        <f>SUMIFS(Donnees_annuelles!$Y$3:$Y$188,Donnees_annuelles!$A$3:$A$188,B19)*SUMIFS(Donnees_generations!$I$3:$I$113,Donnees_generations!$A$3:$A$113,MAX(1915,MIN(2025,B11)))/B14</f>
        <v/>
      </c>
      <c r="C36" s="60">
        <f>SUMIFS(Donnees_annuelles!$Y$3:$Y$188,Donnees_annuelles!$A$3:$A$188,C19)*SUMIFS(Donnees_generations!$I$3:$I$113,Donnees_generations!$A$3:$A$113,MAX(1915,MIN(2025,C11)))/C14</f>
        <v/>
      </c>
    </row>
    <row r="37">
      <c r="A37" s="10" t="inlineStr">
        <is>
          <t>Pension annuelle (€ 2026)</t>
        </is>
      </c>
      <c r="B37" s="52">
        <f>IF(B9="Privé",SUMIFS(Donnees_annuelles!$Y$3:$Y$188,Donnees_annuelles!$A$3:$A$188,B19)*MIN(B18,SUMIFS(Donnees_generations!$I$3:$I$113,Donnees_generations!$A$3:$A$113,MAX(1915,MIN(2025,B11))))/B18,B36*B35*MIN(IF(B34&gt;0,0.8/0.75,1),(B18*4+B34)/B33))</f>
        <v/>
      </c>
      <c r="C37" s="52">
        <f>IF(C9="Privé",SUMIFS(Donnees_annuelles!$Y$3:$Y$188,Donnees_annuelles!$A$3:$A$188,C19)*MIN(C18,SUMIFS(Donnees_generations!$I$3:$I$113,Donnees_generations!$A$3:$A$113,MAX(1915,MIN(2025,C11))))/C18,C36*C35*MIN(IF(C34&gt;0,0.8/0.75,1),(C18*4+C34)/C33))</f>
        <v/>
      </c>
      <c r="D37" s="53">
        <f>C37-B37</f>
        <v/>
      </c>
      <c r="E37" s="20">
        <f>IF(B37=0,0,C37/B37-1)</f>
        <v/>
      </c>
    </row>
    <row r="38">
      <c r="A38" s="6" t="inlineStr">
        <is>
          <t>Pension mensuelle (€ 2026)</t>
        </is>
      </c>
      <c r="B38" s="14">
        <f>B37/12</f>
        <v/>
      </c>
      <c r="C38" s="14">
        <f>C37/12</f>
        <v/>
      </c>
      <c r="D38" s="39">
        <f>C38-B38</f>
        <v/>
      </c>
      <c r="E38" s="9">
        <f>IF(B38=0,0,C38/B38-1)</f>
        <v/>
      </c>
    </row>
    <row r="39">
      <c r="A39" s="42" t="inlineStr">
        <is>
          <t>Âge pair de référence (tables INSEE)</t>
        </is>
      </c>
      <c r="B39" s="44">
        <f>MIN(68,MAX(56,2*INT(B17/2)))</f>
        <v/>
      </c>
      <c r="C39" s="44">
        <f>MIN(68,MAX(56,2*INT(C17/2)))</f>
        <v/>
      </c>
    </row>
    <row r="40">
      <c r="A40" s="42" t="inlineStr">
        <is>
          <t>Espérance de vie à l'âge de référence</t>
        </is>
      </c>
      <c r="B40" s="61">
        <f>(CHOOSE((B39-56)/2+1,SUMIFS(Donnees_generations!$U$3:$U$113,Donnees_generations!$A$3:$A$113,MAX(1915,MIN(2025,B11))),SUMIFS(Donnees_generations!$V$3:$V$113,Donnees_generations!$A$3:$A$113,MAX(1915,MIN(2025,B11))),SUMIFS(Donnees_generations!$W$3:$W$113,Donnees_generations!$A$3:$A$113,MAX(1915,MIN(2025,B11))),SUMIFS(Donnees_generations!$X$3:$X$113,Donnees_generations!$A$3:$A$113,MAX(1915,MIN(2025,B11))),SUMIFS(Donnees_generations!$Y$3:$Y$113,Donnees_generations!$A$3:$A$113,MAX(1915,MIN(2025,B11))),SUMIFS(Donnees_generations!$Z$3:$Z$113,Donnees_generations!$A$3:$A$113,MAX(1915,MIN(2025,B11))),SUMIFS(Donnees_generations!$AA$3:$AA$113,Donnees_generations!$A$3:$A$113,MAX(1915,MIN(2025,B11))),SUMIFS(Donnees_generations!$AB$3:$AB$113,Donnees_generations!$A$3:$A$113,MAX(1915,MIN(2025,B11))))+CHOOSE((B39-56)/2+1,SUMIFS(Donnees_generations!$AC$3:$AC$113,Donnees_generations!$A$3:$A$113,MAX(1915,MIN(2025,B11))),SUMIFS(Donnees_generations!$AD$3:$AD$113,Donnees_generations!$A$3:$A$113,MAX(1915,MIN(2025,B11))),SUMIFS(Donnees_generations!$AE$3:$AE$113,Donnees_generations!$A$3:$A$113,MAX(1915,MIN(2025,B11))),SUMIFS(Donnees_generations!$AF$3:$AF$113,Donnees_generations!$A$3:$A$113,MAX(1915,MIN(2025,B11))),SUMIFS(Donnees_generations!$AG$3:$AG$113,Donnees_generations!$A$3:$A$113,MAX(1915,MIN(2025,B11))),SUMIFS(Donnees_generations!$AH$3:$AH$113,Donnees_generations!$A$3:$A$113,MAX(1915,MIN(2025,B11))),SUMIFS(Donnees_generations!$AI$3:$AI$113,Donnees_generations!$A$3:$A$113,MAX(1915,MIN(2025,B11))),SUMIFS(Donnees_generations!$AJ$3:$AJ$113,Donnees_generations!$A$3:$A$113,MAX(1915,MIN(2025,B11)))))/2</f>
        <v/>
      </c>
      <c r="C40" s="61">
        <f>(CHOOSE((C39-56)/2+1,SUMIFS(Donnees_generations!$U$3:$U$113,Donnees_generations!$A$3:$A$113,MAX(1915,MIN(2025,C11))),SUMIFS(Donnees_generations!$V$3:$V$113,Donnees_generations!$A$3:$A$113,MAX(1915,MIN(2025,C11))),SUMIFS(Donnees_generations!$W$3:$W$113,Donnees_generations!$A$3:$A$113,MAX(1915,MIN(2025,C11))),SUMIFS(Donnees_generations!$X$3:$X$113,Donnees_generations!$A$3:$A$113,MAX(1915,MIN(2025,C11))),SUMIFS(Donnees_generations!$Y$3:$Y$113,Donnees_generations!$A$3:$A$113,MAX(1915,MIN(2025,C11))),SUMIFS(Donnees_generations!$Z$3:$Z$113,Donnees_generations!$A$3:$A$113,MAX(1915,MIN(2025,C11))),SUMIFS(Donnees_generations!$AA$3:$AA$113,Donnees_generations!$A$3:$A$113,MAX(1915,MIN(2025,C11))),SUMIFS(Donnees_generations!$AB$3:$AB$113,Donnees_generations!$A$3:$A$113,MAX(1915,MIN(2025,C11))))+CHOOSE((C39-56)/2+1,SUMIFS(Donnees_generations!$AC$3:$AC$113,Donnees_generations!$A$3:$A$113,MAX(1915,MIN(2025,C11))),SUMIFS(Donnees_generations!$AD$3:$AD$113,Donnees_generations!$A$3:$A$113,MAX(1915,MIN(2025,C11))),SUMIFS(Donnees_generations!$AE$3:$AE$113,Donnees_generations!$A$3:$A$113,MAX(1915,MIN(2025,C11))),SUMIFS(Donnees_generations!$AF$3:$AF$113,Donnees_generations!$A$3:$A$113,MAX(1915,MIN(2025,C11))),SUMIFS(Donnees_generations!$AG$3:$AG$113,Donnees_generations!$A$3:$A$113,MAX(1915,MIN(2025,C11))),SUMIFS(Donnees_generations!$AH$3:$AH$113,Donnees_generations!$A$3:$A$113,MAX(1915,MIN(2025,C11))),SUMIFS(Donnees_generations!$AI$3:$AI$113,Donnees_generations!$A$3:$A$113,MAX(1915,MIN(2025,C11))),SUMIFS(Donnees_generations!$AJ$3:$AJ$113,Donnees_generations!$A$3:$A$113,MAX(1915,MIN(2025,C11)))))/2</f>
        <v/>
      </c>
    </row>
    <row r="41">
      <c r="A41" s="42" t="inlineStr">
        <is>
          <t>Espérance de vie à l'âge de référence + 2</t>
        </is>
      </c>
      <c r="B41" s="61">
        <f>(CHOOSE(((B39+2)-56)/2+1,SUMIFS(Donnees_generations!$U$3:$U$113,Donnees_generations!$A$3:$A$113,MAX(1915,MIN(2025,B11))),SUMIFS(Donnees_generations!$V$3:$V$113,Donnees_generations!$A$3:$A$113,MAX(1915,MIN(2025,B11))),SUMIFS(Donnees_generations!$W$3:$W$113,Donnees_generations!$A$3:$A$113,MAX(1915,MIN(2025,B11))),SUMIFS(Donnees_generations!$X$3:$X$113,Donnees_generations!$A$3:$A$113,MAX(1915,MIN(2025,B11))),SUMIFS(Donnees_generations!$Y$3:$Y$113,Donnees_generations!$A$3:$A$113,MAX(1915,MIN(2025,B11))),SUMIFS(Donnees_generations!$Z$3:$Z$113,Donnees_generations!$A$3:$A$113,MAX(1915,MIN(2025,B11))),SUMIFS(Donnees_generations!$AA$3:$AA$113,Donnees_generations!$A$3:$A$113,MAX(1915,MIN(2025,B11))),SUMIFS(Donnees_generations!$AB$3:$AB$113,Donnees_generations!$A$3:$A$113,MAX(1915,MIN(2025,B11))))+CHOOSE(((B39+2)-56)/2+1,SUMIFS(Donnees_generations!$AC$3:$AC$113,Donnees_generations!$A$3:$A$113,MAX(1915,MIN(2025,B11))),SUMIFS(Donnees_generations!$AD$3:$AD$113,Donnees_generations!$A$3:$A$113,MAX(1915,MIN(2025,B11))),SUMIFS(Donnees_generations!$AE$3:$AE$113,Donnees_generations!$A$3:$A$113,MAX(1915,MIN(2025,B11))),SUMIFS(Donnees_generations!$AF$3:$AF$113,Donnees_generations!$A$3:$A$113,MAX(1915,MIN(2025,B11))),SUMIFS(Donnees_generations!$AG$3:$AG$113,Donnees_generations!$A$3:$A$113,MAX(1915,MIN(2025,B11))),SUMIFS(Donnees_generations!$AH$3:$AH$113,Donnees_generations!$A$3:$A$113,MAX(1915,MIN(2025,B11))),SUMIFS(Donnees_generations!$AI$3:$AI$113,Donnees_generations!$A$3:$A$113,MAX(1915,MIN(2025,B11))),SUMIFS(Donnees_generations!$AJ$3:$AJ$113,Donnees_generations!$A$3:$A$113,MAX(1915,MIN(2025,B11)))))/2</f>
        <v/>
      </c>
      <c r="C41" s="61">
        <f>(CHOOSE(((C39+2)-56)/2+1,SUMIFS(Donnees_generations!$U$3:$U$113,Donnees_generations!$A$3:$A$113,MAX(1915,MIN(2025,C11))),SUMIFS(Donnees_generations!$V$3:$V$113,Donnees_generations!$A$3:$A$113,MAX(1915,MIN(2025,C11))),SUMIFS(Donnees_generations!$W$3:$W$113,Donnees_generations!$A$3:$A$113,MAX(1915,MIN(2025,C11))),SUMIFS(Donnees_generations!$X$3:$X$113,Donnees_generations!$A$3:$A$113,MAX(1915,MIN(2025,C11))),SUMIFS(Donnees_generations!$Y$3:$Y$113,Donnees_generations!$A$3:$A$113,MAX(1915,MIN(2025,C11))),SUMIFS(Donnees_generations!$Z$3:$Z$113,Donnees_generations!$A$3:$A$113,MAX(1915,MIN(2025,C11))),SUMIFS(Donnees_generations!$AA$3:$AA$113,Donnees_generations!$A$3:$A$113,MAX(1915,MIN(2025,C11))),SUMIFS(Donnees_generations!$AB$3:$AB$113,Donnees_generations!$A$3:$A$113,MAX(1915,MIN(2025,C11))))+CHOOSE(((C39+2)-56)/2+1,SUMIFS(Donnees_generations!$AC$3:$AC$113,Donnees_generations!$A$3:$A$113,MAX(1915,MIN(2025,C11))),SUMIFS(Donnees_generations!$AD$3:$AD$113,Donnees_generations!$A$3:$A$113,MAX(1915,MIN(2025,C11))),SUMIFS(Donnees_generations!$AE$3:$AE$113,Donnees_generations!$A$3:$A$113,MAX(1915,MIN(2025,C11))),SUMIFS(Donnees_generations!$AF$3:$AF$113,Donnees_generations!$A$3:$A$113,MAX(1915,MIN(2025,C11))),SUMIFS(Donnees_generations!$AG$3:$AG$113,Donnees_generations!$A$3:$A$113,MAX(1915,MIN(2025,C11))),SUMIFS(Donnees_generations!$AH$3:$AH$113,Donnees_generations!$A$3:$A$113,MAX(1915,MIN(2025,C11))),SUMIFS(Donnees_generations!$AI$3:$AI$113,Donnees_generations!$A$3:$A$113,MAX(1915,MIN(2025,C11))),SUMIFS(Donnees_generations!$AJ$3:$AJ$113,Donnees_generations!$A$3:$A$113,MAX(1915,MIN(2025,C11)))))/2</f>
        <v/>
      </c>
    </row>
    <row r="42">
      <c r="A42" s="10" t="inlineStr">
        <is>
          <t>Durée moyenne de retraite (années)</t>
        </is>
      </c>
      <c r="B42" s="46">
        <f>MAX(0,B40+(B41-B40)*(B17-B39)/2)</f>
        <v/>
      </c>
      <c r="C42" s="46">
        <f>MAX(0,C40+(C41-C40)*(C17-C39)/2)</f>
        <v/>
      </c>
      <c r="D42" s="47">
        <f>C42-B42</f>
        <v/>
      </c>
      <c r="E42" s="20">
        <f>IF(B42=0,0,C42/B42-1)</f>
        <v/>
      </c>
    </row>
    <row r="43">
      <c r="A43" s="6" t="inlineStr">
        <is>
          <t>Âge moyen au décès</t>
        </is>
      </c>
      <c r="B43" s="8">
        <f>B17+B42</f>
        <v/>
      </c>
      <c r="C43" s="8">
        <f>C17+C42</f>
        <v/>
      </c>
      <c r="D43" s="22">
        <f>C43-B43</f>
        <v/>
      </c>
      <c r="E43" s="9">
        <f>IF(B43=0,0,C43/B43-1)</f>
        <v/>
      </c>
    </row>
    <row r="44">
      <c r="A44" s="10" t="inlineStr">
        <is>
          <t>Pensions totales reçues (€ 2026)</t>
        </is>
      </c>
      <c r="B44" s="52">
        <f>B37*B42</f>
        <v/>
      </c>
      <c r="C44" s="52">
        <f>C37*C42</f>
        <v/>
      </c>
      <c r="D44" s="53">
        <f>C44-B44</f>
        <v/>
      </c>
      <c r="E44" s="20">
        <f>IF(B44=0,0,C44/B44-1)</f>
        <v/>
      </c>
    </row>
    <row r="45">
      <c r="A45" s="10" t="inlineStr">
        <is>
          <t>Cotisations versées pour recevoir 1 € de pension</t>
        </is>
      </c>
      <c r="B45" s="18">
        <f>B28/B44</f>
        <v/>
      </c>
      <c r="C45" s="18">
        <f>C28/C44</f>
        <v/>
      </c>
      <c r="D45" s="62">
        <f>C45-B45</f>
        <v/>
      </c>
      <c r="E45" s="20">
        <f>IF(B45=0,0,C45/B45-1)</f>
        <v/>
      </c>
    </row>
    <row r="46">
      <c r="A46" s="56" t="inlineStr">
        <is>
          <t>Argent public (impôts et taxes) ajouté pour 1 € de pension</t>
        </is>
      </c>
      <c r="B46" s="30">
        <f>B32/B44</f>
        <v/>
      </c>
      <c r="C46" s="30">
        <f>C32/C44</f>
        <v/>
      </c>
      <c r="D46" s="63">
        <f>C46-B46</f>
        <v/>
      </c>
      <c r="E46" s="59">
        <f>IF(B46=0,0,C46/B46-1)</f>
        <v/>
      </c>
    </row>
    <row r="47">
      <c r="A47" s="56" t="inlineStr">
        <is>
          <t>Part de l'argent public dans le financement de la carrière</t>
        </is>
      </c>
      <c r="B47" s="32">
        <f>IF(B28+B32=0,0,B32/(B28+B32))</f>
        <v/>
      </c>
      <c r="C47" s="32">
        <f>IF(C28+C32=0,0,C32/(C28+C32))</f>
        <v/>
      </c>
      <c r="D47" s="64">
        <f>(C47-B47)*100</f>
        <v/>
      </c>
    </row>
    <row r="48">
      <c r="A48" s="6" t="inlineStr">
        <is>
          <t>Pensions reçues pour 100 € cotisés</t>
        </is>
      </c>
      <c r="B48" s="14">
        <f>B44/B28*100</f>
        <v/>
      </c>
      <c r="C48" s="14">
        <f>C44/C28*100</f>
        <v/>
      </c>
      <c r="D48" s="39">
        <f>C48-B48</f>
        <v/>
      </c>
      <c r="E48" s="9">
        <f>IF(B48=0,0,C48/B48-1)</f>
        <v/>
      </c>
    </row>
    <row r="49">
      <c r="A49" s="6" t="inlineStr">
        <is>
          <t>Heures de travail pour 1 000 € de pension</t>
        </is>
      </c>
      <c r="B49" s="8">
        <f>B22/B44*1000</f>
        <v/>
      </c>
      <c r="C49" s="8">
        <f>C22/C44*1000</f>
        <v/>
      </c>
      <c r="D49" s="22">
        <f>C49-B49</f>
        <v/>
      </c>
      <c r="E49" s="9">
        <f>IF(B49=0,0,C49/B49-1)</f>
        <v/>
      </c>
    </row>
    <row r="50" ht="30" customHeight="1">
      <c r="A50" s="27" t="inlineStr">
        <is>
          <t>RÉPARTITION OU CAPITALISATION ? — pour cette même carrière (pas de comparaison entre A et B)</t>
        </is>
      </c>
      <c r="B50" s="65" t="n"/>
      <c r="C50" s="65" t="n"/>
      <c r="D50" s="65" t="n"/>
      <c r="E50" s="65" t="n"/>
    </row>
    <row r="51">
      <c r="A51" s="42" t="inlineStr">
        <is>
          <t>Année où le capital est évalué (veille du départ)</t>
        </is>
      </c>
      <c r="B51" s="44">
        <f>MAX(B20,B19-1)</f>
        <v/>
      </c>
      <c r="C51" s="44">
        <f>MAX(C20,C19-1)</f>
        <v/>
      </c>
    </row>
    <row r="52">
      <c r="A52" s="66" t="inlineStr">
        <is>
          <t>Capital si ces mêmes cotisations avaient été placées chaque mois en actions (dividendes réinvestis, € 2026)</t>
        </is>
      </c>
      <c r="B52" s="67">
        <f>SUMIFS(Donnees_regimes!$R$3:$R$1118,Donnees_regimes!$A$3:$A$1118,B9,Donnees_regimes!$B$3:$B$1118,"&gt;="&amp;B13,Donnees_regimes!$B$3:$B$1118,"&lt;="&amp;B20)*B18/ROUNDUP(B18,0)*SUMIFS(Donnees_annuelles!$AG$3:$AG$188,Donnees_annuelles!$A$3:$A$188,B51)*SUMIFS(Donnees_annuelles!$AA$3:$AA$188,Donnees_annuelles!$A$3:$A$188,B51)</f>
        <v/>
      </c>
      <c r="C52" s="67">
        <f>SUMIFS(Donnees_regimes!$R$3:$R$1118,Donnees_regimes!$A$3:$A$1118,C9,Donnees_regimes!$B$3:$B$1118,"&gt;="&amp;C13,Donnees_regimes!$B$3:$B$1118,"&lt;="&amp;C20)*C18/ROUNDUP(C18,0)*SUMIFS(Donnees_annuelles!$AG$3:$AG$188,Donnees_annuelles!$A$3:$A$188,C51)*SUMIFS(Donnees_annuelles!$AA$3:$AA$188,Donnees_annuelles!$A$3:$A$188,C51)</f>
        <v/>
      </c>
    </row>
    <row r="53">
      <c r="A53" s="6" t="inlineStr">
        <is>
          <t>Capital ÷ cotisations versées</t>
        </is>
      </c>
      <c r="B53" s="36">
        <f>B52/B28</f>
        <v/>
      </c>
      <c r="C53" s="36">
        <f>C52/C28</f>
        <v/>
      </c>
    </row>
    <row r="54">
      <c r="A54" s="6" t="inlineStr">
        <is>
          <t>Répartition : pensions totales reçues pendant la retraite (€ 2026)</t>
        </is>
      </c>
      <c r="B54" s="14">
        <f>B44</f>
        <v/>
      </c>
      <c r="C54" s="14">
        <f>C44</f>
        <v/>
      </c>
    </row>
    <row r="55">
      <c r="A55" s="66" t="inlineStr">
        <is>
          <t>EN PLUS (+) OU EN MOINS (−) AVEC LA CAPITALISATION, sur toute la retraite (€ 2026)</t>
        </is>
      </c>
      <c r="B55" s="37">
        <f>B52-B44</f>
        <v/>
      </c>
      <c r="C55" s="37">
        <f>C52-C44</f>
        <v/>
      </c>
    </row>
    <row r="56">
      <c r="A56" s="66" t="inlineStr">
        <is>
          <t>Écart capitalisation / répartition</t>
        </is>
      </c>
      <c r="B56" s="38">
        <f>B52/B44-1</f>
        <v/>
      </c>
      <c r="C56" s="38">
        <f>C52/C44-1</f>
        <v/>
      </c>
    </row>
    <row r="57">
      <c r="A57" s="6" t="inlineStr">
        <is>
          <t>Capitalisation : revenu mensuel pendant la retraite (capital réparti sur la durée de retraite, € 2026)</t>
        </is>
      </c>
      <c r="B57" s="14">
        <f>B52/B42/12</f>
        <v/>
      </c>
      <c r="C57" s="14">
        <f>C52/C42/12</f>
        <v/>
      </c>
    </row>
    <row r="58">
      <c r="A58" s="6" t="inlineStr">
        <is>
          <t>Répartition : pension mensuelle (€ 2026)</t>
        </is>
      </c>
      <c r="B58" s="14">
        <f>B38</f>
        <v/>
      </c>
      <c r="C58" s="14">
        <f>C38</f>
        <v/>
      </c>
    </row>
    <row r="59">
      <c r="A59" s="66" t="inlineStr">
        <is>
          <t>En plus (+) ou en moins (−) chaque mois avec la capitalisation (€ 2026)</t>
        </is>
      </c>
      <c r="B59" s="37">
        <f>B57-B38</f>
        <v/>
      </c>
      <c r="C59" s="37">
        <f>C57-C38</f>
        <v/>
      </c>
    </row>
    <row r="60">
      <c r="A60" s="6" t="inlineStr">
        <is>
          <t>Pour mémoire : capital avec le cours seul, sans les dividendes (€ 2026)</t>
        </is>
      </c>
      <c r="B60" s="14">
        <f>SUMIFS(Donnees_regimes!$S$3:$S$1118,Donnees_regimes!$A$3:$A$1118,B9,Donnees_regimes!$B$3:$B$1118,"&gt;="&amp;B13,Donnees_regimes!$B$3:$B$1118,"&lt;="&amp;B20)*B18/ROUNDUP(B18,0)*SUMIFS(Donnees_annuelles!$AH$3:$AH$188,Donnees_annuelles!$A$3:$A$188,B51)*SUMIFS(Donnees_annuelles!$AA$3:$AA$188,Donnees_annuelles!$A$3:$A$188,B51)</f>
        <v/>
      </c>
      <c r="C60" s="14">
        <f>SUMIFS(Donnees_regimes!$S$3:$S$1118,Donnees_regimes!$A$3:$A$1118,C9,Donnees_regimes!$B$3:$B$1118,"&gt;="&amp;C13,Donnees_regimes!$B$3:$B$1118,"&lt;="&amp;C20)*C18/ROUNDUP(C18,0)*SUMIFS(Donnees_annuelles!$AH$3:$AH$188,Donnees_annuelles!$A$3:$A$188,C51)*SUMIFS(Donnees_annuelles!$AA$3:$AA$188,Donnees_annuelles!$A$3:$A$188,C51)</f>
        <v/>
      </c>
    </row>
    <row r="61">
      <c r="A61" s="6" t="inlineStr">
        <is>
          <t>Pour mémoire : en plus ou en moins avec le cours seul (€ 2026)</t>
        </is>
      </c>
      <c r="B61" s="39">
        <f>B60-B44</f>
        <v/>
      </c>
      <c r="C61" s="39">
        <f>C60-C44</f>
        <v/>
      </c>
    </row>
    <row r="63">
      <c r="A63" s="2" t="inlineStr">
        <is>
          <t>En clair</t>
        </is>
      </c>
    </row>
    <row r="64">
      <c r="A64" s="68">
        <f>"Carrière A, commencée en "&amp;B4&amp;" ("&amp;B9&amp;")"&amp;" : environ "&amp;ROUND(B18,0)&amp;" ans de carrière réelle et "&amp;ROUND(B22,-2)&amp;" heures de travail ; carrière B, commencée en "&amp;C4&amp;" ("&amp;C9&amp;")"&amp;" : "&amp;ROUND(C18,0)&amp;" ans et "&amp;ROUND(C22,-2)&amp;" heures ("&amp;IF(E22&gt;=0,"+","")&amp;ROUND(E22*100,1)&amp;" %)."</f>
        <v/>
      </c>
    </row>
    <row r="65">
      <c r="A65" s="68">
        <f>"Taux de cotisation vieillesse moyen : "&amp;ROUND(B29*100,1)&amp;" % pour A, "&amp;ROUND(C29*100,1)&amp;" % pour B."</f>
        <v/>
      </c>
    </row>
    <row r="66">
      <c r="A66" s="68">
        <f>"Cotisations vieillesse versées sur la carrière : "&amp;ROUND(B28,-3)&amp;" € contre "&amp;ROUND(C28,-3)&amp;" € (euros 2026)."</f>
        <v/>
      </c>
    </row>
    <row r="67">
      <c r="A67" s="68">
        <f>"Retraite : départ vers "&amp;ROUND(B17,1)&amp;" ans et "&amp;ROUND(B42,1)&amp;" ans de retraite pour A ; vers "&amp;ROUND(C17,1)&amp;" ans et "&amp;ROUND(C42,1)&amp;" ans pour B."</f>
        <v/>
      </c>
    </row>
    <row r="68">
      <c r="A68" s="69">
        <f>"Pour recevoir la même pension, la carrière B a dû cotiser "&amp;ROUND(ABS(E45)*100,0)&amp;" % "&amp;IF(E45&gt;=0,"de plus","de moins")&amp;" que la carrière A ("&amp;ROUND(C45,2)&amp;" € contre "&amp;ROUND(B45,2)&amp;" € pour 1 € de pension)."</f>
        <v/>
      </c>
    </row>
    <row r="69">
      <c r="A69" s="68">
        <f>"Argent public ajouté par l'État ou les usagers pour équilibrer le régime (non payé par l'affilié, donc hors cotisations) : "&amp;ROUND(B46,2)&amp;" € (A) et "&amp;ROUND(C46,2)&amp;" € (B) pour 1 € de pension, soit "&amp;ROUND(B47*100,0)&amp;" % et "&amp;ROUND(C47*100,0)&amp;" % du financement de la carrière."</f>
        <v/>
      </c>
    </row>
    <row r="70">
      <c r="A70" s="70">
        <f>"Carrière A en capitalisation : "&amp;ROUND(B52,-3)&amp;" € au départ contre "&amp;ROUND(B44,-3)&amp;" € de pensions reçues en répartition, soit "&amp;IF(B55&gt;=0,"+","")&amp;ROUND(B55,-3)&amp;" € ("&amp;IF(B56&gt;=0,"+","")&amp;ROUND(B56*100,0)&amp;" %) ; environ "&amp;ROUND(B57,-1)&amp;" € par mois au lieu de "&amp;ROUND(B38,-1)&amp;" €."</f>
        <v/>
      </c>
    </row>
    <row r="71">
      <c r="A71" s="70">
        <f>"Carrière B en capitalisation : "&amp;ROUND(C52,-3)&amp;" € au départ contre "&amp;ROUND(C44,-3)&amp;" € de pensions reçues en répartition, soit "&amp;IF(C55&gt;=0,"+","")&amp;ROUND(C55,-3)&amp;" € ("&amp;IF(C56&gt;=0,"+","")&amp;ROUND(C56*100,0)&amp;" %) ; environ "&amp;ROUND(C57,-1)&amp;" € par mois au lieu de "&amp;ROUND(C38,-1)&amp;" €."</f>
        <v/>
      </c>
    </row>
    <row r="73">
      <c r="A73" s="4" t="inlineStr">
        <is>
          <t>Lignes grises : hypothèses automatiques. Vert : résultats principaux. Rose : argent public ajouté (hors cotisations). Orange : placement en actions. Méthode : onglets LISEZ_MOI et Regimes.</t>
        </is>
      </c>
    </row>
  </sheetData>
  <dataValidations count="2">
    <dataValidation sqref="B4 C4" showDropDown="0" showInputMessage="0" showErrorMessage="0" allowBlank="0" type="whole" operator="between">
      <formula1>1945</formula1>
      <formula2>2026</formula2>
    </dataValidation>
    <dataValidation sqref="B5 C5" showDropDown="0" showInputMessage="0" showErrorMessage="0" allowBlank="0" type="list">
      <formula1>=Regimes!$A$5:$A$10</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00"/>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64" customWidth="1" min="1" max="1"/>
    <col width="19" customWidth="1" min="2" max="2"/>
    <col width="19" customWidth="1" min="3" max="3"/>
    <col width="19" customWidth="1" min="4" max="4"/>
    <col width="19" customWidth="1" min="5" max="5"/>
  </cols>
  <sheetData>
    <row r="1">
      <c r="A1" s="1" t="inlineStr">
        <is>
          <t>OCEAN 1968 — Comparez deux personnes réelles</t>
        </is>
      </c>
    </row>
    <row r="2" ht="30" customHeight="1">
      <c r="A2" s="26" t="inlineStr">
        <is>
          <t>Saisissez les informations de chaque personne (cases jaunes). Règles de retraite de sa génération et de son régime, interruptions de carrière moyennes de sa génération (sauf si vous indiquez les vôtres), temps de travail réel, salaire moyen × multiple. Euros constants de 2026.</t>
        </is>
      </c>
    </row>
    <row r="5">
      <c r="A5" s="5" t="inlineStr">
        <is>
          <t>Informations personnelles</t>
        </is>
      </c>
      <c r="B5" s="5" t="inlineStr">
        <is>
          <t>Personne A</t>
        </is>
      </c>
      <c r="C5" s="5" t="inlineStr">
        <is>
          <t>Personne B</t>
        </is>
      </c>
      <c r="D5" s="5" t="inlineStr">
        <is>
          <t>Écart B − A</t>
        </is>
      </c>
      <c r="E5" s="5" t="inlineStr">
        <is>
          <t>Écart en %</t>
        </is>
      </c>
    </row>
    <row r="6">
      <c r="A6" s="68" t="inlineStr">
        <is>
          <t>Année de début de carrière</t>
        </is>
      </c>
      <c r="B6" s="71" t="n">
        <v>1968</v>
      </c>
      <c r="C6" s="71" t="n">
        <v>1995</v>
      </c>
    </row>
    <row r="7">
      <c r="A7" s="68" t="inlineStr">
        <is>
          <t>Âge au début de carrière</t>
        </is>
      </c>
      <c r="B7" s="72" t="n">
        <v>16</v>
      </c>
      <c r="C7" s="72" t="n">
        <v>21</v>
      </c>
    </row>
    <row r="8" ht="32" customHeight="1">
      <c r="A8" s="68" t="inlineStr">
        <is>
          <t>Régime de retraite</t>
        </is>
      </c>
      <c r="B8" s="73" t="inlineStr">
        <is>
          <t>Privé</t>
        </is>
      </c>
      <c r="C8" s="73" t="inlineStr">
        <is>
          <t>SNCF</t>
        </is>
      </c>
    </row>
    <row r="9">
      <c r="A9" s="68" t="inlineStr">
        <is>
          <t>Catégorie (régimes publics)</t>
        </is>
      </c>
      <c r="B9" s="73" t="inlineStr">
        <is>
          <t>sédentaire</t>
        </is>
      </c>
      <c r="C9" s="73" t="inlineStr">
        <is>
          <t>sédentaire</t>
        </is>
      </c>
    </row>
    <row r="10">
      <c r="A10" s="68" t="inlineStr">
        <is>
          <t>Sexe (H, F ou ensemble)</t>
        </is>
      </c>
      <c r="B10" s="73" t="inlineStr">
        <is>
          <t>H</t>
        </is>
      </c>
      <c r="C10" s="73" t="inlineStr">
        <is>
          <t>F</t>
        </is>
      </c>
    </row>
    <row r="11">
      <c r="A11" s="68" t="inlineStr">
        <is>
          <t>Nombre d'enfants</t>
        </is>
      </c>
      <c r="B11" s="71" t="n">
        <v>0</v>
      </c>
      <c r="C11" s="71" t="n">
        <v>2</v>
      </c>
    </row>
    <row r="12">
      <c r="A12" s="68" t="inlineStr">
        <is>
          <t>Années sans aucun trimestre (vide = moyenne des salariés ayant commencé la même année)</t>
        </is>
      </c>
      <c r="B12" s="72" t="n"/>
      <c r="C12" s="72" t="n"/>
    </row>
    <row r="13">
      <c r="A13" s="68" t="inlineStr">
        <is>
          <t>Trimestres de chômage, maladie... (non cotisés)</t>
        </is>
      </c>
      <c r="B13" s="71" t="n">
        <v>0</v>
      </c>
      <c r="C13" s="71" t="n">
        <v>0</v>
      </c>
    </row>
    <row r="14">
      <c r="A14" s="68" t="inlineStr">
        <is>
          <t>Service militaire en trimestres (vide = estimation automatique)</t>
        </is>
      </c>
      <c r="B14" s="71" t="n"/>
      <c r="C14" s="71" t="n"/>
    </row>
    <row r="15">
      <c r="A15" s="68" t="inlineStr">
        <is>
          <t>Statut dans le privé (non-cadre ou cadre)</t>
        </is>
      </c>
      <c r="B15" s="73" t="inlineStr">
        <is>
          <t>non-cadre</t>
        </is>
      </c>
      <c r="C15" s="73" t="inlineStr">
        <is>
          <t>non-cadre</t>
        </is>
      </c>
    </row>
    <row r="16">
      <c r="A16" s="68" t="inlineStr">
        <is>
          <t>Salaire en multiple du salaire moyen (1 = moyen)</t>
        </is>
      </c>
      <c r="B16" s="74" t="n">
        <v>1</v>
      </c>
      <c r="C16" s="74" t="n">
        <v>1</v>
      </c>
    </row>
    <row r="17">
      <c r="A17" s="68" t="inlineStr">
        <is>
          <t>Âge de départ souhaité (vide = dès le taux plein)</t>
        </is>
      </c>
      <c r="B17" s="74" t="n"/>
      <c r="C17" s="74" t="n"/>
    </row>
    <row r="19">
      <c r="A19" s="27" t="inlineStr">
        <is>
          <t>Régime et règles de retraite de sa génération</t>
        </is>
      </c>
      <c r="B19" s="65" t="n"/>
      <c r="C19" s="65" t="n"/>
      <c r="D19" s="65" t="n"/>
      <c r="E19" s="65" t="n"/>
    </row>
    <row r="20">
      <c r="A20" s="6" t="inlineStr">
        <is>
          <t>Régime appliqué (régime général si le régime était déjà fermé aux nouveaux embauchés)</t>
        </is>
      </c>
      <c r="B20" s="7">
        <f>IF(B6&gt;=SUMIFS(Regimes!$C$5:$C$10,Regimes!$A$5:$A$10,B8),"Privé",B8)</f>
        <v/>
      </c>
      <c r="C20" s="7">
        <f>IF(C6&gt;=SUMIFS(Regimes!$C$5:$C$10,Regimes!$A$5:$A$10,C8),"Privé",C8)</f>
        <v/>
      </c>
    </row>
    <row r="21">
      <c r="A21" s="42" t="inlineStr">
        <is>
          <t>Catégorie appliquée</t>
        </is>
      </c>
      <c r="B21" s="43">
        <f>IF(B20="Privé","sédentaire",B9)</f>
        <v/>
      </c>
      <c r="C21" s="43">
        <f>IF(C20="Privé","sédentaire",C9)</f>
        <v/>
      </c>
    </row>
    <row r="22">
      <c r="A22" s="42" t="inlineStr">
        <is>
          <t>Année de naissance</t>
        </is>
      </c>
      <c r="B22" s="44">
        <f>ROUND(B6-B7,0)</f>
        <v/>
      </c>
      <c r="C22" s="44">
        <f>ROUND(C6-C7,0)</f>
        <v/>
      </c>
    </row>
    <row r="23">
      <c r="A23" s="6" t="inlineStr">
        <is>
          <t>Âge légal / d'ouverture des droits</t>
        </is>
      </c>
      <c r="B23" s="75">
        <f>IF(B20="Privé",IF(B6&gt;=2000,MAX(SUMIFS(Donnees_generations!$E$3:$E$113,Donnees_generations!$A$3:$A$113,MAX(1915,MIN(2025,B22))),Parametres!$B$3),SUMIFS(Donnees_generations!$E$3:$E$113,Donnees_generations!$A$3:$A$113,MAX(1915,MIN(2025,B22)))),SUMIFS(Regles_regimes!$D$3:$D$2000,Regles_regimes!$A$3:$A$2000,B20,Regles_regimes!$B$3:$B$2000,B21,Regles_regimes!$C$3:$C$2000,MAX(1915,MIN(2025,B22))))</f>
        <v/>
      </c>
      <c r="C23" s="75">
        <f>IF(C20="Privé",IF(C6&gt;=2000,MAX(SUMIFS(Donnees_generations!$E$3:$E$113,Donnees_generations!$A$3:$A$113,MAX(1915,MIN(2025,C22))),Parametres!$B$3),SUMIFS(Donnees_generations!$E$3:$E$113,Donnees_generations!$A$3:$A$113,MAX(1915,MIN(2025,C22)))),SUMIFS(Regles_regimes!$D$3:$D$2000,Regles_regimes!$A$3:$A$2000,C20,Regles_regimes!$B$3:$B$2000,C21,Regles_regimes!$C$3:$C$2000,MAX(1915,MIN(2025,C22))))</f>
        <v/>
      </c>
      <c r="D23" s="76">
        <f>C23-B23</f>
        <v/>
      </c>
      <c r="E23" s="9">
        <f>IF(B23=0,0,C23/B23-1)</f>
        <v/>
      </c>
    </row>
    <row r="24">
      <c r="A24" s="6" t="inlineStr">
        <is>
          <t>Âge du taux plein automatique (annulation de la décote)</t>
        </is>
      </c>
      <c r="B24" s="75">
        <f>IF(B20="Privé",SUMIFS(Donnees_generations!$F$3:$F$113,Donnees_generations!$A$3:$A$113,MAX(1915,MIN(2025,B22))),SUMIFS(Regles_regimes!$E$3:$E$2000,Regles_regimes!$A$3:$A$2000,B20,Regles_regimes!$B$3:$B$2000,B21,Regles_regimes!$C$3:$C$2000,MAX(1915,MIN(2025,B22))))</f>
        <v/>
      </c>
      <c r="C24" s="75">
        <f>IF(C20="Privé",SUMIFS(Donnees_generations!$F$3:$F$113,Donnees_generations!$A$3:$A$113,MAX(1915,MIN(2025,C22))),SUMIFS(Regles_regimes!$E$3:$E$2000,Regles_regimes!$A$3:$A$2000,C20,Regles_regimes!$B$3:$B$2000,C21,Regles_regimes!$C$3:$C$2000,MAX(1915,MIN(2025,C22))))</f>
        <v/>
      </c>
      <c r="D24" s="76">
        <f>C24-B24</f>
        <v/>
      </c>
      <c r="E24" s="9">
        <f>IF(B24=0,0,C24/B24-1)</f>
        <v/>
      </c>
    </row>
    <row r="25">
      <c r="A25" s="42" t="inlineStr">
        <is>
          <t>Âge minimal du taux plein par la durée</t>
        </is>
      </c>
      <c r="B25" s="61">
        <f>IF(B20="Privé",IF(B6&gt;=2000,MAX(SUMIFS(Donnees_generations!$G$3:$G$113,Donnees_generations!$A$3:$A$113,MAX(1915,MIN(2025,B22))),Parametres!$B$3),SUMIFS(Donnees_generations!$G$3:$G$113,Donnees_generations!$A$3:$A$113,MAX(1915,MIN(2025,B22)))),B23)</f>
        <v/>
      </c>
      <c r="C25" s="61">
        <f>IF(C20="Privé",IF(C6&gt;=2000,MAX(SUMIFS(Donnees_generations!$G$3:$G$113,Donnees_generations!$A$3:$A$113,MAX(1915,MIN(2025,C22))),Parametres!$B$3),SUMIFS(Donnees_generations!$G$3:$G$113,Donnees_generations!$A$3:$A$113,MAX(1915,MIN(2025,C22)))),C23)</f>
        <v/>
      </c>
    </row>
    <row r="26">
      <c r="A26" s="6" t="inlineStr">
        <is>
          <t>Trimestres requis pour le taux plein</t>
        </is>
      </c>
      <c r="B26" s="77">
        <f>IF(B20="Privé",SUMIFS(Donnees_generations!$H$3:$H$113,Donnees_generations!$A$3:$A$113,MAX(1915,MIN(2025,B22))),SUMIFS(Regles_regimes!$F$3:$F$2000,Regles_regimes!$A$3:$A$2000,B20,Regles_regimes!$B$3:$B$2000,B21,Regles_regimes!$C$3:$C$2000,MAX(1915,MIN(2025,B22))))</f>
        <v/>
      </c>
      <c r="C26" s="77">
        <f>IF(C20="Privé",SUMIFS(Donnees_generations!$H$3:$H$113,Donnees_generations!$A$3:$A$113,MAX(1915,MIN(2025,C22))),SUMIFS(Regles_regimes!$F$3:$F$2000,Regles_regimes!$A$3:$A$2000,C20,Regles_regimes!$B$3:$B$2000,C21,Regles_regimes!$C$3:$C$2000,MAX(1915,MIN(2025,C22))))</f>
        <v/>
      </c>
      <c r="D26" s="51">
        <f>C26-B26</f>
        <v/>
      </c>
    </row>
    <row r="27">
      <c r="A27" s="42" t="inlineStr">
        <is>
          <t>Décote par trimestre manquant</t>
        </is>
      </c>
      <c r="B27" s="78">
        <f>IF(B20="Privé",SUMIFS(Donnees_generations!$J$3:$J$113,Donnees_generations!$A$3:$A$113,MAX(1915,MIN(2025,B22))),SUMIFS(Regles_regimes!$G$3:$G$2000,Regles_regimes!$A$3:$A$2000,B20,Regles_regimes!$B$3:$B$2000,B21,Regles_regimes!$C$3:$C$2000,MAX(1915,MIN(2025,B22))))</f>
        <v/>
      </c>
      <c r="C27" s="78">
        <f>IF(C20="Privé",SUMIFS(Donnees_generations!$J$3:$J$113,Donnees_generations!$A$3:$A$113,MAX(1915,MIN(2025,C22))),SUMIFS(Regles_regimes!$G$3:$G$2000,Regles_regimes!$A$3:$A$2000,C20,Regles_regimes!$B$3:$B$2000,C21,Regles_regimes!$C$3:$C$2000,MAX(1915,MIN(2025,C22))))</f>
        <v/>
      </c>
    </row>
    <row r="28">
      <c r="A28" s="42" t="inlineStr">
        <is>
          <t>Surcote par trimestre supplémentaire</t>
        </is>
      </c>
      <c r="B28" s="79">
        <f>IF(B20="Privé",SUMIFS(Donnees_generations!$K$3:$K$113,Donnees_generations!$A$3:$A$113,MAX(1915,MIN(2025,B22))),SUMIFS(Regles_regimes!$H$3:$H$2000,Regles_regimes!$A$3:$A$2000,B20,Regles_regimes!$B$3:$B$2000,B21,Regles_regimes!$C$3:$C$2000,MAX(1915,MIN(2025,B22))))</f>
        <v/>
      </c>
      <c r="C28" s="79">
        <f>IF(C20="Privé",SUMIFS(Donnees_generations!$K$3:$K$113,Donnees_generations!$A$3:$A$113,MAX(1915,MIN(2025,C22))),SUMIFS(Regles_regimes!$H$3:$H$2000,Regles_regimes!$A$3:$A$2000,C20,Regles_regimes!$B$3:$B$2000,C21,Regles_regimes!$C$3:$C$2000,MAX(1915,MIN(2025,C22))))</f>
        <v/>
      </c>
    </row>
    <row r="29">
      <c r="A29" s="6" t="inlineStr">
        <is>
          <t>Trimestres pour enfants (mère)</t>
        </is>
      </c>
      <c r="B29" s="77">
        <f>IF(B10="F",B11*IF(B20="Privé",Parametres!$B$4,Parametres!$B$15),0)</f>
        <v/>
      </c>
      <c r="C29" s="77">
        <f>IF(C10="F",C11*IF(C20="Privé",Parametres!$B$4,Parametres!$B$15),0)</f>
        <v/>
      </c>
      <c r="D29" s="51">
        <f>C29-B29</f>
        <v/>
      </c>
    </row>
    <row r="30">
      <c r="A30" s="6" t="inlineStr">
        <is>
          <t>Service militaire retenu (trimestres)</t>
        </is>
      </c>
      <c r="B30" s="77">
        <f>IF(B14="",IF(B10="H",SUMIFS(Donnees_generations!$R$3:$R$113,Donnees_generations!$A$3:$A$113,MAX(1915,MIN(2025,B22))),0),B14)</f>
        <v/>
      </c>
      <c r="C30" s="77">
        <f>IF(C14="",IF(C10="H",SUMIFS(Donnees_generations!$R$3:$R$113,Donnees_generations!$A$3:$A$113,MAX(1915,MIN(2025,C22))),0),C14)</f>
        <v/>
      </c>
      <c r="D30" s="51">
        <f>C30-B30</f>
        <v/>
      </c>
    </row>
    <row r="31">
      <c r="A31" s="42" t="inlineStr">
        <is>
          <t>Âge où la durée requise est atteinte</t>
        </is>
      </c>
      <c r="B31" s="61">
        <f>B7+IF(B12="",0,B12)+(B26-B29)/4</f>
        <v/>
      </c>
      <c r="C31" s="61">
        <f>C7+IF(C12="",0,C12)+(C26-C29)/4</f>
        <v/>
      </c>
    </row>
    <row r="32">
      <c r="A32" s="42" t="inlineStr">
        <is>
          <t>Âge du taux plein</t>
        </is>
      </c>
      <c r="B32" s="61">
        <f>MIN(B24,MAX(B25,B31))</f>
        <v/>
      </c>
      <c r="C32" s="61">
        <f>MIN(C24,MAX(C25,C31))</f>
        <v/>
      </c>
    </row>
    <row r="33">
      <c r="A33" s="42" t="inlineStr">
        <is>
          <t>Âge carrière longue (99 = non éligible)</t>
        </is>
      </c>
      <c r="B33" s="61">
        <f>IF(OR(B20="Privé",B20="Fonction publique d'État",B20="Fonction publique territoriale et hospitalière"),MIN(IF(AND(B7&lt;16,SUMIFS(Donnees_generations!$L$3:$L$113,Donnees_generations!$A$3:$A$113,MAX(1915,MIN(2025,B22)))&gt;0),MAX(SUMIFS(Donnees_generations!$L$3:$L$113,Donnees_generations!$A$3:$A$113,MAX(1915,MIN(2025,B22))),B7+IF(B12="",0,B12)+(SUMIFS(Donnees_generations!$Q$3:$Q$113,Donnees_generations!$A$3:$A$113,MAX(1915,MIN(2025,B22)))+B13+B30)/4),99),IF(AND(B7&lt;17,SUMIFS(Donnees_generations!$M$3:$M$113,Donnees_generations!$A$3:$A$113,MAX(1915,MIN(2025,B22)))&gt;0),MAX(SUMIFS(Donnees_generations!$M$3:$M$113,Donnees_generations!$A$3:$A$113,MAX(1915,MIN(2025,B22))),B7+IF(B12="",0,B12)+(SUMIFS(Donnees_generations!$Q$3:$Q$113,Donnees_generations!$A$3:$A$113,MAX(1915,MIN(2025,B22)))+B13+B30)/4),99),IF(AND(B7&lt;18,SUMIFS(Donnees_generations!$N$3:$N$113,Donnees_generations!$A$3:$A$113,MAX(1915,MIN(2025,B22)))&gt;0),MAX(SUMIFS(Donnees_generations!$N$3:$N$113,Donnees_generations!$A$3:$A$113,MAX(1915,MIN(2025,B22))),B7+IF(B12="",0,B12)+(SUMIFS(Donnees_generations!$Q$3:$Q$113,Donnees_generations!$A$3:$A$113,MAX(1915,MIN(2025,B22)))+B13+B30)/4),99),IF(AND(B7&lt;20,SUMIFS(Donnees_generations!$O$3:$O$113,Donnees_generations!$A$3:$A$113,MAX(1915,MIN(2025,B22)))&gt;0),MAX(SUMIFS(Donnees_generations!$O$3:$O$113,Donnees_generations!$A$3:$A$113,MAX(1915,MIN(2025,B22))),B7+IF(B12="",0,B12)+(SUMIFS(Donnees_generations!$Q$3:$Q$113,Donnees_generations!$A$3:$A$113,MAX(1915,MIN(2025,B22)))+B13+B30)/4),99),IF(AND(B7&lt;21,SUMIFS(Donnees_generations!$P$3:$P$113,Donnees_generations!$A$3:$A$113,MAX(1915,MIN(2025,B22)))&gt;0),MAX(SUMIFS(Donnees_generations!$P$3:$P$113,Donnees_generations!$A$3:$A$113,MAX(1915,MIN(2025,B22))),B7+IF(B12="",0,B12)+(SUMIFS(Donnees_generations!$Q$3:$Q$113,Donnees_generations!$A$3:$A$113,MAX(1915,MIN(2025,B22)))+B13+B30)/4),99)),99)</f>
        <v/>
      </c>
      <c r="C33" s="61">
        <f>IF(OR(C20="Privé",C20="Fonction publique d'État",C20="Fonction publique territoriale et hospitalière"),MIN(IF(AND(C7&lt;16,SUMIFS(Donnees_generations!$L$3:$L$113,Donnees_generations!$A$3:$A$113,MAX(1915,MIN(2025,C22)))&gt;0),MAX(SUMIFS(Donnees_generations!$L$3:$L$113,Donnees_generations!$A$3:$A$113,MAX(1915,MIN(2025,C22))),C7+IF(C12="",0,C12)+(SUMIFS(Donnees_generations!$Q$3:$Q$113,Donnees_generations!$A$3:$A$113,MAX(1915,MIN(2025,C22)))+C13+C30)/4),99),IF(AND(C7&lt;17,SUMIFS(Donnees_generations!$M$3:$M$113,Donnees_generations!$A$3:$A$113,MAX(1915,MIN(2025,C22)))&gt;0),MAX(SUMIFS(Donnees_generations!$M$3:$M$113,Donnees_generations!$A$3:$A$113,MAX(1915,MIN(2025,C22))),C7+IF(C12="",0,C12)+(SUMIFS(Donnees_generations!$Q$3:$Q$113,Donnees_generations!$A$3:$A$113,MAX(1915,MIN(2025,C22)))+C13+C30)/4),99),IF(AND(C7&lt;18,SUMIFS(Donnees_generations!$N$3:$N$113,Donnees_generations!$A$3:$A$113,MAX(1915,MIN(2025,C22)))&gt;0),MAX(SUMIFS(Donnees_generations!$N$3:$N$113,Donnees_generations!$A$3:$A$113,MAX(1915,MIN(2025,C22))),C7+IF(C12="",0,C12)+(SUMIFS(Donnees_generations!$Q$3:$Q$113,Donnees_generations!$A$3:$A$113,MAX(1915,MIN(2025,C22)))+C13+C30)/4),99),IF(AND(C7&lt;20,SUMIFS(Donnees_generations!$O$3:$O$113,Donnees_generations!$A$3:$A$113,MAX(1915,MIN(2025,C22)))&gt;0),MAX(SUMIFS(Donnees_generations!$O$3:$O$113,Donnees_generations!$A$3:$A$113,MAX(1915,MIN(2025,C22))),C7+IF(C12="",0,C12)+(SUMIFS(Donnees_generations!$Q$3:$Q$113,Donnees_generations!$A$3:$A$113,MAX(1915,MIN(2025,C22)))+C13+C30)/4),99),IF(AND(C7&lt;21,SUMIFS(Donnees_generations!$P$3:$P$113,Donnees_generations!$A$3:$A$113,MAX(1915,MIN(2025,C22)))&gt;0),MAX(SUMIFS(Donnees_generations!$P$3:$P$113,Donnees_generations!$A$3:$A$113,MAX(1915,MIN(2025,C22))),C7+IF(C12="",0,C12)+(SUMIFS(Donnees_generations!$Q$3:$Q$113,Donnees_generations!$A$3:$A$113,MAX(1915,MIN(2025,C22)))+C13+C30)/4),99)),99)</f>
        <v/>
      </c>
    </row>
    <row r="34">
      <c r="A34" s="27" t="inlineStr">
        <is>
          <t>Carrière</t>
        </is>
      </c>
      <c r="B34" s="65" t="n"/>
      <c r="C34" s="65" t="n"/>
      <c r="D34" s="65" t="n"/>
      <c r="E34" s="65" t="n"/>
    </row>
    <row r="35">
      <c r="A35" s="10" t="inlineStr">
        <is>
          <t>ÂGE DE DÉPART À LA RETRAITE</t>
        </is>
      </c>
      <c r="B35" s="80">
        <f>IF(B17="",MIN(B32,B33),MAX(B17,MIN(B23,B33)))</f>
        <v/>
      </c>
      <c r="C35" s="80">
        <f>IF(C17="",MIN(C32,C33),MAX(C17,MIN(C23,C33)))</f>
        <v/>
      </c>
      <c r="D35" s="81">
        <f>C35-B35</f>
        <v/>
      </c>
    </row>
    <row r="36">
      <c r="A36" s="6" t="inlineStr">
        <is>
          <t>Départ anticipé pour carrière longue ?</t>
        </is>
      </c>
      <c r="B36" s="7">
        <f>IF(AND(B33&lt;B32,B35&gt;=B33,B35&lt;B23),"oui","non")</f>
        <v/>
      </c>
      <c r="C36" s="7">
        <f>IF(AND(C33&lt;C32,C35&gt;=C33,C35&lt;C23),"oui","non")</f>
        <v/>
      </c>
    </row>
    <row r="37">
      <c r="A37" s="6" t="inlineStr">
        <is>
          <t>Année de départ</t>
        </is>
      </c>
      <c r="B37" s="77">
        <f>INT(B22+B35)</f>
        <v/>
      </c>
      <c r="C37" s="77">
        <f>INT(C22+C35)</f>
        <v/>
      </c>
      <c r="D37" s="51">
        <f>C37-B37</f>
        <v/>
      </c>
    </row>
    <row r="38">
      <c r="A38" s="42" t="inlineStr">
        <is>
          <t>Années entre le début et le départ</t>
        </is>
      </c>
      <c r="B38" s="61">
        <f>B35-B7</f>
        <v/>
      </c>
      <c r="C38" s="61">
        <f>C35-C7</f>
        <v/>
      </c>
    </row>
    <row r="39">
      <c r="A39" s="42" t="inlineStr">
        <is>
          <t>Âge moyen de début de carrière la même année (profil type)</t>
        </is>
      </c>
      <c r="B39" s="45">
        <f>SUMIFS(Donnees_annuelles!$Z$3:$Z$188,Donnees_annuelles!$A$3:$A$188,B6)</f>
        <v/>
      </c>
      <c r="C39" s="45">
        <f>SUMIFS(Donnees_annuelles!$Z$3:$Z$188,Donnees_annuelles!$A$3:$A$188,C6)</f>
        <v/>
      </c>
    </row>
    <row r="40">
      <c r="A40" s="42" t="inlineStr">
        <is>
          <t>Génération type d'un début de carrière la même année</t>
        </is>
      </c>
      <c r="B40" s="44">
        <f>ROUND(B6-B39,0)</f>
        <v/>
      </c>
      <c r="C40" s="44">
        <f>ROUND(C6-C39,0)</f>
        <v/>
      </c>
    </row>
    <row r="41">
      <c r="A41" s="42" t="inlineStr">
        <is>
          <t>Taux de carrière réelle des salariés ayant commencé la même année (durée réelle moyenne ÷ années entre le début et le départ)</t>
        </is>
      </c>
      <c r="B41" s="82">
        <f>MIN(1,SUMIFS(Donnees_generations!$S$3:$S$113,Donnees_generations!$A$3:$A$113,MAX(1915,MIN(2025,B40)))/(IF(B6&gt;=2000,MAX(SUMIFS(Donnees_generations!$T$3:$T$113,Donnees_generations!$A$3:$A$113,MAX(1915,MIN(2025,B40))),Parametres!$B$3),SUMIFS(Donnees_generations!$T$3:$T$113,Donnees_generations!$A$3:$A$113,MAX(1915,MIN(2025,B40))))-B39))</f>
        <v/>
      </c>
      <c r="C41" s="82">
        <f>MIN(1,SUMIFS(Donnees_generations!$S$3:$S$113,Donnees_generations!$A$3:$A$113,MAX(1915,MIN(2025,C40)))/(IF(C6&gt;=2000,MAX(SUMIFS(Donnees_generations!$T$3:$T$113,Donnees_generations!$A$3:$A$113,MAX(1915,MIN(2025,C40))),Parametres!$B$3),SUMIFS(Donnees_generations!$T$3:$T$113,Donnees_generations!$A$3:$A$113,MAX(1915,MIN(2025,C40))))-C39))</f>
        <v/>
      </c>
    </row>
    <row r="42">
      <c r="A42" s="10" t="inlineStr">
        <is>
          <t>DURÉE RÉELLE DE CARRIÈRE (années validées)</t>
        </is>
      </c>
      <c r="B42" s="80">
        <f>IF(B12="",B38*B41,B38-B12)</f>
        <v/>
      </c>
      <c r="C42" s="80">
        <f>IF(C12="",C38*C41,C38-C12)</f>
        <v/>
      </c>
      <c r="D42" s="81">
        <f>C42-B42</f>
        <v/>
      </c>
      <c r="E42" s="20">
        <f>IF(B42=0,0,C42/B42-1)</f>
        <v/>
      </c>
    </row>
    <row r="43">
      <c r="A43" s="6" t="inlineStr">
        <is>
          <t>Années sans aucun trimestre retenues (moyenne de la génération si la case est vide)</t>
        </is>
      </c>
      <c r="B43" s="75">
        <f>B38-B42</f>
        <v/>
      </c>
      <c r="C43" s="75">
        <f>C38-C42</f>
        <v/>
      </c>
      <c r="D43" s="76">
        <f>C43-B43</f>
        <v/>
      </c>
      <c r="E43" s="9">
        <f>IF(B43=0,0,C43/B43-1)</f>
        <v/>
      </c>
    </row>
    <row r="44">
      <c r="A44" s="6" t="inlineStr">
        <is>
          <t>Trimestres validés</t>
        </is>
      </c>
      <c r="B44" s="77">
        <f>ROUND(B42*4+B29,0)</f>
        <v/>
      </c>
      <c r="C44" s="77">
        <f>ROUND(C42*4+C29,0)</f>
        <v/>
      </c>
      <c r="D44" s="51">
        <f>C44-B44</f>
        <v/>
      </c>
    </row>
    <row r="45">
      <c r="A45" s="6" t="inlineStr">
        <is>
          <t>Trimestres cotisés (réellement travaillés)</t>
        </is>
      </c>
      <c r="B45" s="77">
        <f>MAX(0,ROUND(B42*4-B13-B30,0))</f>
        <v/>
      </c>
      <c r="C45" s="77">
        <f>MAX(0,ROUND(C42*4-C13-C30,0))</f>
        <v/>
      </c>
      <c r="D45" s="51">
        <f>C45-B45</f>
        <v/>
      </c>
    </row>
    <row r="46">
      <c r="A46" s="6" t="inlineStr">
        <is>
          <t>Bonification pour services actifs (trimestres)</t>
        </is>
      </c>
      <c r="B46" s="77">
        <f>IF(AND(SUMIFS(Regles_regimes!$L$3:$L$2000,Regles_regimes!$A$3:$A$2000,B20,Regles_regimes!$B$3:$B$2000,B21,Regles_regimes!$C$3:$C$2000,MAX(1915,MIN(2025,B22)))=1,B6&lt;2009,NOT(B20="Privé")),MIN(20,ROUND(B42*4/5,0)),0)</f>
        <v/>
      </c>
      <c r="C46" s="77">
        <f>IF(AND(SUMIFS(Regles_regimes!$L$3:$L$2000,Regles_regimes!$A$3:$A$2000,C20,Regles_regimes!$B$3:$B$2000,C21,Regles_regimes!$C$3:$C$2000,MAX(1915,MIN(2025,C22)))=1,C6&lt;2009,NOT(C20="Privé")),MIN(20,ROUND(C42*4/5,0)),0)</f>
        <v/>
      </c>
      <c r="D46" s="51">
        <f>C46-B46</f>
        <v/>
      </c>
    </row>
    <row r="47">
      <c r="A47" s="42" t="inlineStr">
        <is>
          <t>Dernière année de la période de carrière</t>
        </is>
      </c>
      <c r="B47" s="44">
        <f>B6+ROUNDUP(B38,0)-1</f>
        <v/>
      </c>
      <c r="C47" s="44">
        <f>C6+ROUNDUP(C38,0)-1</f>
        <v/>
      </c>
    </row>
    <row r="48">
      <c r="A48" s="42" t="inlineStr">
        <is>
          <t>Part de la période réellement travaillée</t>
        </is>
      </c>
      <c r="B48" s="82">
        <f>IF(B38=0,0,B45/4/ROUNDUP(B38,0))</f>
        <v/>
      </c>
      <c r="C48" s="82">
        <f>IF(C38=0,0,C45/4/ROUNDUP(C38,0))</f>
        <v/>
      </c>
    </row>
    <row r="49">
      <c r="A49" s="27" t="inlineStr">
        <is>
          <t>Temps de travail et cotisations (euros 2026)</t>
        </is>
      </c>
      <c r="B49" s="65" t="n"/>
      <c r="C49" s="65" t="n"/>
      <c r="D49" s="65" t="n"/>
      <c r="E49" s="65" t="n"/>
    </row>
    <row r="50">
      <c r="A50" s="42" t="inlineStr">
        <is>
          <t>Temps de travail annuel par rapport au privé</t>
        </is>
      </c>
      <c r="B50" s="48">
        <f>SUMIFS(Regles_regimes!$K$3:$K$2000,Regles_regimes!$A$3:$A$2000,B20,Regles_regimes!$B$3:$B$2000,B21,Regles_regimes!$C$3:$C$2000,MAX(1915,MIN(2025,B22)))</f>
        <v/>
      </c>
      <c r="C50" s="48">
        <f>SUMIFS(Regles_regimes!$K$3:$K$2000,Regles_regimes!$A$3:$A$2000,C20,Regles_regimes!$B$3:$B$2000,C21,Regles_regimes!$C$3:$C$2000,MAX(1915,MIN(2025,C22)))</f>
        <v/>
      </c>
    </row>
    <row r="51">
      <c r="A51" s="10" t="inlineStr">
        <is>
          <t>HEURES RÉELLEMENT TRAVAILLÉES SUR LA CARRIÈRE</t>
        </is>
      </c>
      <c r="B51" s="49">
        <f>SUMIFS(Donnees_annuelles!$W$3:$W$188,Donnees_annuelles!$A$3:$A$188,"&gt;="&amp;B6,Donnees_annuelles!$A$3:$A$188,"&lt;="&amp;B47)*B48*B50</f>
        <v/>
      </c>
      <c r="C51" s="49">
        <f>SUMIFS(Donnees_annuelles!$W$3:$W$188,Donnees_annuelles!$A$3:$A$188,"&gt;="&amp;C6,Donnees_annuelles!$A$3:$A$188,"&lt;="&amp;C47)*C48*C50</f>
        <v/>
      </c>
      <c r="D51" s="50">
        <f>C51-B51</f>
        <v/>
      </c>
      <c r="E51" s="20">
        <f>IF(B51=0,0,C51/B51-1)</f>
        <v/>
      </c>
    </row>
    <row r="52">
      <c r="A52" s="6" t="inlineStr">
        <is>
          <t>Salaire brut cumulé</t>
        </is>
      </c>
      <c r="B52" s="14">
        <f>SUMIFS(Donnees_annuelles!$AK$3:$AK$188,Donnees_annuelles!$A$3:$A$188,"&gt;="&amp;B6,Donnees_annuelles!$A$3:$A$188,"&lt;="&amp;B47)*B48</f>
        <v/>
      </c>
      <c r="C52" s="14">
        <f>SUMIFS(Donnees_annuelles!$AQ$3:$AQ$188,Donnees_annuelles!$A$3:$A$188,"&gt;="&amp;C6,Donnees_annuelles!$A$3:$A$188,"&lt;="&amp;C47)*C48</f>
        <v/>
      </c>
      <c r="D52" s="39">
        <f>C52-B52</f>
        <v/>
      </c>
      <c r="E52" s="9">
        <f>IF(B52=0,0,C52/B52-1)</f>
        <v/>
      </c>
    </row>
    <row r="53">
      <c r="A53" s="6" t="inlineStr">
        <is>
          <t>dont cotisations vieillesse salariales</t>
        </is>
      </c>
      <c r="B53" s="14">
        <f>SUMIFS(Donnees_annuelles!$AL$3:$AL$188,Donnees_annuelles!$A$3:$A$188,"&gt;="&amp;B6,Donnees_annuelles!$A$3:$A$188,"&lt;="&amp;B47)*B48</f>
        <v/>
      </c>
      <c r="C53" s="14">
        <f>SUMIFS(Donnees_annuelles!$AR$3:$AR$188,Donnees_annuelles!$A$3:$A$188,"&gt;="&amp;C6,Donnees_annuelles!$A$3:$A$188,"&lt;="&amp;C47)*C48</f>
        <v/>
      </c>
      <c r="D53" s="39">
        <f>C53-B53</f>
        <v/>
      </c>
      <c r="E53" s="9">
        <f>IF(B53=0,0,C53/B53-1)</f>
        <v/>
      </c>
    </row>
    <row r="54">
      <c r="A54" s="6" t="inlineStr">
        <is>
          <t>dont cotisations vieillesse patronales</t>
        </is>
      </c>
      <c r="B54" s="14">
        <f>SUMIFS(Donnees_annuelles!$AM$3:$AM$188,Donnees_annuelles!$A$3:$A$188,"&gt;="&amp;B6,Donnees_annuelles!$A$3:$A$188,"&lt;="&amp;B47)*B48</f>
        <v/>
      </c>
      <c r="C54" s="14">
        <f>SUMIFS(Donnees_annuelles!$AS$3:$AS$188,Donnees_annuelles!$A$3:$A$188,"&gt;="&amp;C6,Donnees_annuelles!$A$3:$A$188,"&lt;="&amp;C47)*C48</f>
        <v/>
      </c>
      <c r="D54" s="39">
        <f>C54-B54</f>
        <v/>
      </c>
      <c r="E54" s="9">
        <f>IF(B54=0,0,C54/B54-1)</f>
        <v/>
      </c>
    </row>
    <row r="55">
      <c r="A55" s="10" t="inlineStr">
        <is>
          <t>COTISATIONS VIEILLESSE TOTALES VERSÉES</t>
        </is>
      </c>
      <c r="B55" s="52">
        <f>B53+B54</f>
        <v/>
      </c>
      <c r="C55" s="52">
        <f>C53+C54</f>
        <v/>
      </c>
      <c r="D55" s="53">
        <f>C55-B55</f>
        <v/>
      </c>
      <c r="E55" s="20">
        <f>IF(B55=0,0,C55/B55-1)</f>
        <v/>
      </c>
    </row>
    <row r="56">
      <c r="A56" s="10" t="inlineStr">
        <is>
          <t>Taux moyen de cotisation vieillesse</t>
        </is>
      </c>
      <c r="B56" s="54">
        <f>IF(B52=0,0,B55/B52)</f>
        <v/>
      </c>
      <c r="C56" s="54">
        <f>IF(C52=0,0,C55/C52)</f>
        <v/>
      </c>
      <c r="D56" s="55">
        <f>(C56-B56)*100</f>
        <v/>
      </c>
    </row>
    <row r="57">
      <c r="A57" s="6" t="inlineStr">
        <is>
          <t>Coût employeur retraite (brut + patronal)</t>
        </is>
      </c>
      <c r="B57" s="14">
        <f>B52+B54</f>
        <v/>
      </c>
      <c r="C57" s="14">
        <f>C52+C54</f>
        <v/>
      </c>
      <c r="D57" s="39">
        <f>C57-B57</f>
        <v/>
      </c>
      <c r="E57" s="9">
        <f>IF(B57=0,0,C57/B57-1)</f>
        <v/>
      </c>
    </row>
    <row r="58">
      <c r="A58" s="56" t="inlineStr">
        <is>
          <t>Argent public ajouté pour équilibrer le régime (impôts et taxes, non compté dans les cotisations)</t>
        </is>
      </c>
      <c r="B58" s="57">
        <f>SUMIFS(Donnees_annuelles!$AN$3:$AN$188,Donnees_annuelles!$A$3:$A$188,"&gt;="&amp;B6,Donnees_annuelles!$A$3:$A$188,"&lt;="&amp;B47)*B48</f>
        <v/>
      </c>
      <c r="C58" s="57">
        <f>SUMIFS(Donnees_annuelles!$AT$3:$AT$188,Donnees_annuelles!$A$3:$A$188,"&gt;="&amp;C6,Donnees_annuelles!$A$3:$A$188,"&lt;="&amp;C47)*C48</f>
        <v/>
      </c>
      <c r="D58" s="58">
        <f>C58-B58</f>
        <v/>
      </c>
      <c r="E58" s="59">
        <f>IF(B58=0,0,C58/B58-1)</f>
        <v/>
      </c>
    </row>
    <row r="59">
      <c r="A59" s="27" t="inlineStr">
        <is>
          <t>Retraite (euros 2026)</t>
        </is>
      </c>
      <c r="B59" s="65" t="n"/>
      <c r="C59" s="65" t="n"/>
      <c r="D59" s="65" t="n"/>
      <c r="E59" s="65" t="n"/>
    </row>
    <row r="60">
      <c r="A60" s="6" t="inlineStr">
        <is>
          <t>Trimestres manquants (décote)</t>
        </is>
      </c>
      <c r="B60" s="77">
        <f>IF(OR(B35&gt;=B32,B36="oui"),0,MAX(0,MIN(20,ROUNDUP(MIN(B26-B44-B46,(B24-B35)*4),0))))</f>
        <v/>
      </c>
      <c r="C60" s="77">
        <f>IF(OR(C35&gt;=C32,C36="oui"),0,MAX(0,MIN(20,ROUNDUP(MIN(C26-C44-C46,(C24-C35)*4),0))))</f>
        <v/>
      </c>
      <c r="D60" s="51">
        <f>C60-B60</f>
        <v/>
      </c>
    </row>
    <row r="61">
      <c r="A61" s="6" t="inlineStr">
        <is>
          <t>Trimestres de surcote</t>
        </is>
      </c>
      <c r="B61" s="77">
        <f>MAX(0,MIN(ROUNDDOWN((B35-MAX(B23,B31))*4,0),ROUNDDOWN((B37-2004)*4,0)))</f>
        <v/>
      </c>
      <c r="C61" s="77">
        <f>MAX(0,MIN(ROUNDDOWN((C35-MAX(C23,C31))*4,0),ROUNDDOWN((C37-2004)*4,0)))</f>
        <v/>
      </c>
      <c r="D61" s="51">
        <f>C61-B61</f>
        <v/>
      </c>
    </row>
    <row r="62">
      <c r="A62" s="42" t="inlineStr">
        <is>
          <t>Durée réelle moyenne de carrière de sa génération (privé)</t>
        </is>
      </c>
      <c r="B62" s="45">
        <f>SUMIFS(Donnees_generations!$S$3:$S$113,Donnees_generations!$A$3:$A$113,MAX(1915,MIN(2025,B22)))</f>
        <v/>
      </c>
      <c r="C62" s="45">
        <f>SUMIFS(Donnees_generations!$S$3:$S$113,Donnees_generations!$A$3:$A$113,MAX(1915,MIN(2025,C22)))</f>
        <v/>
      </c>
    </row>
    <row r="63">
      <c r="A63" s="42" t="inlineStr">
        <is>
          <t>Coefficient de pension du régime (à salaire égal)</t>
        </is>
      </c>
      <c r="B63" s="48">
        <f>SUMIFS(Donnees_regimes!$M$3:$M$1118,Donnees_regimes!$A$3:$A$1118,B20,Donnees_regimes!$B$3:$B$1118,B37)</f>
        <v/>
      </c>
      <c r="C63" s="48">
        <f>SUMIFS(Donnees_regimes!$M$3:$M$1118,Donnees_regimes!$A$3:$A$1118,C20,Donnees_regimes!$B$3:$B$1118,C37)</f>
        <v/>
      </c>
    </row>
    <row r="64">
      <c r="A64" s="42" t="inlineStr">
        <is>
          <t>Pension d'une carrière complète dans le privé, la même année</t>
        </is>
      </c>
      <c r="B64" s="60">
        <f>SUMIFS(Donnees_annuelles!$Y$3:$Y$188,Donnees_annuelles!$A$3:$A$188,B37)*SUMIFS(Donnees_generations!$I$3:$I$113,Donnees_generations!$A$3:$A$113,MAX(1915,MIN(2025,B22)))/B62</f>
        <v/>
      </c>
      <c r="C64" s="60">
        <f>SUMIFS(Donnees_annuelles!$Y$3:$Y$188,Donnees_annuelles!$A$3:$A$188,C37)*SUMIFS(Donnees_generations!$I$3:$I$113,Donnees_generations!$A$3:$A$113,MAX(1915,MIN(2025,C22)))/C62</f>
        <v/>
      </c>
    </row>
    <row r="65">
      <c r="A65" s="10" t="inlineStr">
        <is>
          <t>PENSION ANNUELLE ESTIMÉE</t>
        </is>
      </c>
      <c r="B65" s="52">
        <f>IF(B20="Privé",SUMIFS(Donnees_annuelles!$Y$3:$Y$188,Donnees_annuelles!$A$3:$A$188,B37)*B16*MIN(B44/4,B26/4)/B62*(1-B60*B27)*(1+B61*B28),B64*B16*B63*MIN(IF(B46&gt;0,0.8/0.75,1),(B44+B46)/B26)*(1-B60*B27)*(1+B61*B28))</f>
        <v/>
      </c>
      <c r="C65" s="52">
        <f>IF(C20="Privé",SUMIFS(Donnees_annuelles!$Y$3:$Y$188,Donnees_annuelles!$A$3:$A$188,C37)*C16*MIN(C44/4,C26/4)/C62*(1-C60*C27)*(1+C61*C28),C64*C16*C63*MIN(IF(C46&gt;0,0.8/0.75,1),(C44+C46)/C26)*(1-C60*C27)*(1+C61*C28))</f>
        <v/>
      </c>
      <c r="D65" s="53">
        <f>C65-B65</f>
        <v/>
      </c>
      <c r="E65" s="20">
        <f>IF(B65=0,0,C65/B65-1)</f>
        <v/>
      </c>
    </row>
    <row r="66">
      <c r="A66" s="6" t="inlineStr">
        <is>
          <t>Pension mensuelle estimée</t>
        </is>
      </c>
      <c r="B66" s="14">
        <f>B65/12</f>
        <v/>
      </c>
      <c r="C66" s="14">
        <f>C65/12</f>
        <v/>
      </c>
      <c r="D66" s="39">
        <f>C66-B66</f>
        <v/>
      </c>
      <c r="E66" s="9">
        <f>IF(B66=0,0,C66/B66-1)</f>
        <v/>
      </c>
    </row>
    <row r="67">
      <c r="A67" s="42" t="inlineStr">
        <is>
          <t>Âge pair de référence (tables INSEE)</t>
        </is>
      </c>
      <c r="B67" s="44">
        <f>MIN(68,MAX(56,2*INT(B35/2)))</f>
        <v/>
      </c>
      <c r="C67" s="44">
        <f>MIN(68,MAX(56,2*INT(C35/2)))</f>
        <v/>
      </c>
    </row>
    <row r="68">
      <c r="A68" s="42" t="inlineStr">
        <is>
          <t>Espérance de vie à l'âge de référence</t>
        </is>
      </c>
      <c r="B68" s="61">
        <f>IF(B10="H",CHOOSE((B67-56)/2+1,SUMIFS(Donnees_generations!$U$3:$U$113,Donnees_generations!$A$3:$A$113,MAX(1915,MIN(2025,B22))),SUMIFS(Donnees_generations!$V$3:$V$113,Donnees_generations!$A$3:$A$113,MAX(1915,MIN(2025,B22))),SUMIFS(Donnees_generations!$W$3:$W$113,Donnees_generations!$A$3:$A$113,MAX(1915,MIN(2025,B22))),SUMIFS(Donnees_generations!$X$3:$X$113,Donnees_generations!$A$3:$A$113,MAX(1915,MIN(2025,B22))),SUMIFS(Donnees_generations!$Y$3:$Y$113,Donnees_generations!$A$3:$A$113,MAX(1915,MIN(2025,B22))),SUMIFS(Donnees_generations!$Z$3:$Z$113,Donnees_generations!$A$3:$A$113,MAX(1915,MIN(2025,B22))),SUMIFS(Donnees_generations!$AA$3:$AA$113,Donnees_generations!$A$3:$A$113,MAX(1915,MIN(2025,B22))),SUMIFS(Donnees_generations!$AB$3:$AB$113,Donnees_generations!$A$3:$A$113,MAX(1915,MIN(2025,B22)))),IF(B10="F",CHOOSE((B67-56)/2+1,SUMIFS(Donnees_generations!$AC$3:$AC$113,Donnees_generations!$A$3:$A$113,MAX(1915,MIN(2025,B22))),SUMIFS(Donnees_generations!$AD$3:$AD$113,Donnees_generations!$A$3:$A$113,MAX(1915,MIN(2025,B22))),SUMIFS(Donnees_generations!$AE$3:$AE$113,Donnees_generations!$A$3:$A$113,MAX(1915,MIN(2025,B22))),SUMIFS(Donnees_generations!$AF$3:$AF$113,Donnees_generations!$A$3:$A$113,MAX(1915,MIN(2025,B22))),SUMIFS(Donnees_generations!$AG$3:$AG$113,Donnees_generations!$A$3:$A$113,MAX(1915,MIN(2025,B22))),SUMIFS(Donnees_generations!$AH$3:$AH$113,Donnees_generations!$A$3:$A$113,MAX(1915,MIN(2025,B22))),SUMIFS(Donnees_generations!$AI$3:$AI$113,Donnees_generations!$A$3:$A$113,MAX(1915,MIN(2025,B22))),SUMIFS(Donnees_generations!$AJ$3:$AJ$113,Donnees_generations!$A$3:$A$113,MAX(1915,MIN(2025,B22)))),(CHOOSE((B67-56)/2+1,SUMIFS(Donnees_generations!$U$3:$U$113,Donnees_generations!$A$3:$A$113,MAX(1915,MIN(2025,B22))),SUMIFS(Donnees_generations!$V$3:$V$113,Donnees_generations!$A$3:$A$113,MAX(1915,MIN(2025,B22))),SUMIFS(Donnees_generations!$W$3:$W$113,Donnees_generations!$A$3:$A$113,MAX(1915,MIN(2025,B22))),SUMIFS(Donnees_generations!$X$3:$X$113,Donnees_generations!$A$3:$A$113,MAX(1915,MIN(2025,B22))),SUMIFS(Donnees_generations!$Y$3:$Y$113,Donnees_generations!$A$3:$A$113,MAX(1915,MIN(2025,B22))),SUMIFS(Donnees_generations!$Z$3:$Z$113,Donnees_generations!$A$3:$A$113,MAX(1915,MIN(2025,B22))),SUMIFS(Donnees_generations!$AA$3:$AA$113,Donnees_generations!$A$3:$A$113,MAX(1915,MIN(2025,B22))),SUMIFS(Donnees_generations!$AB$3:$AB$113,Donnees_generations!$A$3:$A$113,MAX(1915,MIN(2025,B22))))+CHOOSE((B67-56)/2+1,SUMIFS(Donnees_generations!$AC$3:$AC$113,Donnees_generations!$A$3:$A$113,MAX(1915,MIN(2025,B22))),SUMIFS(Donnees_generations!$AD$3:$AD$113,Donnees_generations!$A$3:$A$113,MAX(1915,MIN(2025,B22))),SUMIFS(Donnees_generations!$AE$3:$AE$113,Donnees_generations!$A$3:$A$113,MAX(1915,MIN(2025,B22))),SUMIFS(Donnees_generations!$AF$3:$AF$113,Donnees_generations!$A$3:$A$113,MAX(1915,MIN(2025,B22))),SUMIFS(Donnees_generations!$AG$3:$AG$113,Donnees_generations!$A$3:$A$113,MAX(1915,MIN(2025,B22))),SUMIFS(Donnees_generations!$AH$3:$AH$113,Donnees_generations!$A$3:$A$113,MAX(1915,MIN(2025,B22))),SUMIFS(Donnees_generations!$AI$3:$AI$113,Donnees_generations!$A$3:$A$113,MAX(1915,MIN(2025,B22))),SUMIFS(Donnees_generations!$AJ$3:$AJ$113,Donnees_generations!$A$3:$A$113,MAX(1915,MIN(2025,B22)))))/2))</f>
        <v/>
      </c>
      <c r="C68" s="61">
        <f>IF(C10="H",CHOOSE((C67-56)/2+1,SUMIFS(Donnees_generations!$U$3:$U$113,Donnees_generations!$A$3:$A$113,MAX(1915,MIN(2025,C22))),SUMIFS(Donnees_generations!$V$3:$V$113,Donnees_generations!$A$3:$A$113,MAX(1915,MIN(2025,C22))),SUMIFS(Donnees_generations!$W$3:$W$113,Donnees_generations!$A$3:$A$113,MAX(1915,MIN(2025,C22))),SUMIFS(Donnees_generations!$X$3:$X$113,Donnees_generations!$A$3:$A$113,MAX(1915,MIN(2025,C22))),SUMIFS(Donnees_generations!$Y$3:$Y$113,Donnees_generations!$A$3:$A$113,MAX(1915,MIN(2025,C22))),SUMIFS(Donnees_generations!$Z$3:$Z$113,Donnees_generations!$A$3:$A$113,MAX(1915,MIN(2025,C22))),SUMIFS(Donnees_generations!$AA$3:$AA$113,Donnees_generations!$A$3:$A$113,MAX(1915,MIN(2025,C22))),SUMIFS(Donnees_generations!$AB$3:$AB$113,Donnees_generations!$A$3:$A$113,MAX(1915,MIN(2025,C22)))),IF(C10="F",CHOOSE((C67-56)/2+1,SUMIFS(Donnees_generations!$AC$3:$AC$113,Donnees_generations!$A$3:$A$113,MAX(1915,MIN(2025,C22))),SUMIFS(Donnees_generations!$AD$3:$AD$113,Donnees_generations!$A$3:$A$113,MAX(1915,MIN(2025,C22))),SUMIFS(Donnees_generations!$AE$3:$AE$113,Donnees_generations!$A$3:$A$113,MAX(1915,MIN(2025,C22))),SUMIFS(Donnees_generations!$AF$3:$AF$113,Donnees_generations!$A$3:$A$113,MAX(1915,MIN(2025,C22))),SUMIFS(Donnees_generations!$AG$3:$AG$113,Donnees_generations!$A$3:$A$113,MAX(1915,MIN(2025,C22))),SUMIFS(Donnees_generations!$AH$3:$AH$113,Donnees_generations!$A$3:$A$113,MAX(1915,MIN(2025,C22))),SUMIFS(Donnees_generations!$AI$3:$AI$113,Donnees_generations!$A$3:$A$113,MAX(1915,MIN(2025,C22))),SUMIFS(Donnees_generations!$AJ$3:$AJ$113,Donnees_generations!$A$3:$A$113,MAX(1915,MIN(2025,C22)))),(CHOOSE((C67-56)/2+1,SUMIFS(Donnees_generations!$U$3:$U$113,Donnees_generations!$A$3:$A$113,MAX(1915,MIN(2025,C22))),SUMIFS(Donnees_generations!$V$3:$V$113,Donnees_generations!$A$3:$A$113,MAX(1915,MIN(2025,C22))),SUMIFS(Donnees_generations!$W$3:$W$113,Donnees_generations!$A$3:$A$113,MAX(1915,MIN(2025,C22))),SUMIFS(Donnees_generations!$X$3:$X$113,Donnees_generations!$A$3:$A$113,MAX(1915,MIN(2025,C22))),SUMIFS(Donnees_generations!$Y$3:$Y$113,Donnees_generations!$A$3:$A$113,MAX(1915,MIN(2025,C22))),SUMIFS(Donnees_generations!$Z$3:$Z$113,Donnees_generations!$A$3:$A$113,MAX(1915,MIN(2025,C22))),SUMIFS(Donnees_generations!$AA$3:$AA$113,Donnees_generations!$A$3:$A$113,MAX(1915,MIN(2025,C22))),SUMIFS(Donnees_generations!$AB$3:$AB$113,Donnees_generations!$A$3:$A$113,MAX(1915,MIN(2025,C22))))+CHOOSE((C67-56)/2+1,SUMIFS(Donnees_generations!$AC$3:$AC$113,Donnees_generations!$A$3:$A$113,MAX(1915,MIN(2025,C22))),SUMIFS(Donnees_generations!$AD$3:$AD$113,Donnees_generations!$A$3:$A$113,MAX(1915,MIN(2025,C22))),SUMIFS(Donnees_generations!$AE$3:$AE$113,Donnees_generations!$A$3:$A$113,MAX(1915,MIN(2025,C22))),SUMIFS(Donnees_generations!$AF$3:$AF$113,Donnees_generations!$A$3:$A$113,MAX(1915,MIN(2025,C22))),SUMIFS(Donnees_generations!$AG$3:$AG$113,Donnees_generations!$A$3:$A$113,MAX(1915,MIN(2025,C22))),SUMIFS(Donnees_generations!$AH$3:$AH$113,Donnees_generations!$A$3:$A$113,MAX(1915,MIN(2025,C22))),SUMIFS(Donnees_generations!$AI$3:$AI$113,Donnees_generations!$A$3:$A$113,MAX(1915,MIN(2025,C22))),SUMIFS(Donnees_generations!$AJ$3:$AJ$113,Donnees_generations!$A$3:$A$113,MAX(1915,MIN(2025,C22)))))/2))</f>
        <v/>
      </c>
    </row>
    <row r="69">
      <c r="A69" s="42" t="inlineStr">
        <is>
          <t>Espérance de vie à l'âge de référence + 2</t>
        </is>
      </c>
      <c r="B69" s="61">
        <f>IF(B10="H",CHOOSE(((B67+2)-56)/2+1,SUMIFS(Donnees_generations!$U$3:$U$113,Donnees_generations!$A$3:$A$113,MAX(1915,MIN(2025,B22))),SUMIFS(Donnees_generations!$V$3:$V$113,Donnees_generations!$A$3:$A$113,MAX(1915,MIN(2025,B22))),SUMIFS(Donnees_generations!$W$3:$W$113,Donnees_generations!$A$3:$A$113,MAX(1915,MIN(2025,B22))),SUMIFS(Donnees_generations!$X$3:$X$113,Donnees_generations!$A$3:$A$113,MAX(1915,MIN(2025,B22))),SUMIFS(Donnees_generations!$Y$3:$Y$113,Donnees_generations!$A$3:$A$113,MAX(1915,MIN(2025,B22))),SUMIFS(Donnees_generations!$Z$3:$Z$113,Donnees_generations!$A$3:$A$113,MAX(1915,MIN(2025,B22))),SUMIFS(Donnees_generations!$AA$3:$AA$113,Donnees_generations!$A$3:$A$113,MAX(1915,MIN(2025,B22))),SUMIFS(Donnees_generations!$AB$3:$AB$113,Donnees_generations!$A$3:$A$113,MAX(1915,MIN(2025,B22)))),IF(B10="F",CHOOSE(((B67+2)-56)/2+1,SUMIFS(Donnees_generations!$AC$3:$AC$113,Donnees_generations!$A$3:$A$113,MAX(1915,MIN(2025,B22))),SUMIFS(Donnees_generations!$AD$3:$AD$113,Donnees_generations!$A$3:$A$113,MAX(1915,MIN(2025,B22))),SUMIFS(Donnees_generations!$AE$3:$AE$113,Donnees_generations!$A$3:$A$113,MAX(1915,MIN(2025,B22))),SUMIFS(Donnees_generations!$AF$3:$AF$113,Donnees_generations!$A$3:$A$113,MAX(1915,MIN(2025,B22))),SUMIFS(Donnees_generations!$AG$3:$AG$113,Donnees_generations!$A$3:$A$113,MAX(1915,MIN(2025,B22))),SUMIFS(Donnees_generations!$AH$3:$AH$113,Donnees_generations!$A$3:$A$113,MAX(1915,MIN(2025,B22))),SUMIFS(Donnees_generations!$AI$3:$AI$113,Donnees_generations!$A$3:$A$113,MAX(1915,MIN(2025,B22))),SUMIFS(Donnees_generations!$AJ$3:$AJ$113,Donnees_generations!$A$3:$A$113,MAX(1915,MIN(2025,B22)))),(CHOOSE(((B67+2)-56)/2+1,SUMIFS(Donnees_generations!$U$3:$U$113,Donnees_generations!$A$3:$A$113,MAX(1915,MIN(2025,B22))),SUMIFS(Donnees_generations!$V$3:$V$113,Donnees_generations!$A$3:$A$113,MAX(1915,MIN(2025,B22))),SUMIFS(Donnees_generations!$W$3:$W$113,Donnees_generations!$A$3:$A$113,MAX(1915,MIN(2025,B22))),SUMIFS(Donnees_generations!$X$3:$X$113,Donnees_generations!$A$3:$A$113,MAX(1915,MIN(2025,B22))),SUMIFS(Donnees_generations!$Y$3:$Y$113,Donnees_generations!$A$3:$A$113,MAX(1915,MIN(2025,B22))),SUMIFS(Donnees_generations!$Z$3:$Z$113,Donnees_generations!$A$3:$A$113,MAX(1915,MIN(2025,B22))),SUMIFS(Donnees_generations!$AA$3:$AA$113,Donnees_generations!$A$3:$A$113,MAX(1915,MIN(2025,B22))),SUMIFS(Donnees_generations!$AB$3:$AB$113,Donnees_generations!$A$3:$A$113,MAX(1915,MIN(2025,B22))))+CHOOSE(((B67+2)-56)/2+1,SUMIFS(Donnees_generations!$AC$3:$AC$113,Donnees_generations!$A$3:$A$113,MAX(1915,MIN(2025,B22))),SUMIFS(Donnees_generations!$AD$3:$AD$113,Donnees_generations!$A$3:$A$113,MAX(1915,MIN(2025,B22))),SUMIFS(Donnees_generations!$AE$3:$AE$113,Donnees_generations!$A$3:$A$113,MAX(1915,MIN(2025,B22))),SUMIFS(Donnees_generations!$AF$3:$AF$113,Donnees_generations!$A$3:$A$113,MAX(1915,MIN(2025,B22))),SUMIFS(Donnees_generations!$AG$3:$AG$113,Donnees_generations!$A$3:$A$113,MAX(1915,MIN(2025,B22))),SUMIFS(Donnees_generations!$AH$3:$AH$113,Donnees_generations!$A$3:$A$113,MAX(1915,MIN(2025,B22))),SUMIFS(Donnees_generations!$AI$3:$AI$113,Donnees_generations!$A$3:$A$113,MAX(1915,MIN(2025,B22))),SUMIFS(Donnees_generations!$AJ$3:$AJ$113,Donnees_generations!$A$3:$A$113,MAX(1915,MIN(2025,B22)))))/2))</f>
        <v/>
      </c>
      <c r="C69" s="61">
        <f>IF(C10="H",CHOOSE(((C67+2)-56)/2+1,SUMIFS(Donnees_generations!$U$3:$U$113,Donnees_generations!$A$3:$A$113,MAX(1915,MIN(2025,C22))),SUMIFS(Donnees_generations!$V$3:$V$113,Donnees_generations!$A$3:$A$113,MAX(1915,MIN(2025,C22))),SUMIFS(Donnees_generations!$W$3:$W$113,Donnees_generations!$A$3:$A$113,MAX(1915,MIN(2025,C22))),SUMIFS(Donnees_generations!$X$3:$X$113,Donnees_generations!$A$3:$A$113,MAX(1915,MIN(2025,C22))),SUMIFS(Donnees_generations!$Y$3:$Y$113,Donnees_generations!$A$3:$A$113,MAX(1915,MIN(2025,C22))),SUMIFS(Donnees_generations!$Z$3:$Z$113,Donnees_generations!$A$3:$A$113,MAX(1915,MIN(2025,C22))),SUMIFS(Donnees_generations!$AA$3:$AA$113,Donnees_generations!$A$3:$A$113,MAX(1915,MIN(2025,C22))),SUMIFS(Donnees_generations!$AB$3:$AB$113,Donnees_generations!$A$3:$A$113,MAX(1915,MIN(2025,C22)))),IF(C10="F",CHOOSE(((C67+2)-56)/2+1,SUMIFS(Donnees_generations!$AC$3:$AC$113,Donnees_generations!$A$3:$A$113,MAX(1915,MIN(2025,C22))),SUMIFS(Donnees_generations!$AD$3:$AD$113,Donnees_generations!$A$3:$A$113,MAX(1915,MIN(2025,C22))),SUMIFS(Donnees_generations!$AE$3:$AE$113,Donnees_generations!$A$3:$A$113,MAX(1915,MIN(2025,C22))),SUMIFS(Donnees_generations!$AF$3:$AF$113,Donnees_generations!$A$3:$A$113,MAX(1915,MIN(2025,C22))),SUMIFS(Donnees_generations!$AG$3:$AG$113,Donnees_generations!$A$3:$A$113,MAX(1915,MIN(2025,C22))),SUMIFS(Donnees_generations!$AH$3:$AH$113,Donnees_generations!$A$3:$A$113,MAX(1915,MIN(2025,C22))),SUMIFS(Donnees_generations!$AI$3:$AI$113,Donnees_generations!$A$3:$A$113,MAX(1915,MIN(2025,C22))),SUMIFS(Donnees_generations!$AJ$3:$AJ$113,Donnees_generations!$A$3:$A$113,MAX(1915,MIN(2025,C22)))),(CHOOSE(((C67+2)-56)/2+1,SUMIFS(Donnees_generations!$U$3:$U$113,Donnees_generations!$A$3:$A$113,MAX(1915,MIN(2025,C22))),SUMIFS(Donnees_generations!$V$3:$V$113,Donnees_generations!$A$3:$A$113,MAX(1915,MIN(2025,C22))),SUMIFS(Donnees_generations!$W$3:$W$113,Donnees_generations!$A$3:$A$113,MAX(1915,MIN(2025,C22))),SUMIFS(Donnees_generations!$X$3:$X$113,Donnees_generations!$A$3:$A$113,MAX(1915,MIN(2025,C22))),SUMIFS(Donnees_generations!$Y$3:$Y$113,Donnees_generations!$A$3:$A$113,MAX(1915,MIN(2025,C22))),SUMIFS(Donnees_generations!$Z$3:$Z$113,Donnees_generations!$A$3:$A$113,MAX(1915,MIN(2025,C22))),SUMIFS(Donnees_generations!$AA$3:$AA$113,Donnees_generations!$A$3:$A$113,MAX(1915,MIN(2025,C22))),SUMIFS(Donnees_generations!$AB$3:$AB$113,Donnees_generations!$A$3:$A$113,MAX(1915,MIN(2025,C22))))+CHOOSE(((C67+2)-56)/2+1,SUMIFS(Donnees_generations!$AC$3:$AC$113,Donnees_generations!$A$3:$A$113,MAX(1915,MIN(2025,C22))),SUMIFS(Donnees_generations!$AD$3:$AD$113,Donnees_generations!$A$3:$A$113,MAX(1915,MIN(2025,C22))),SUMIFS(Donnees_generations!$AE$3:$AE$113,Donnees_generations!$A$3:$A$113,MAX(1915,MIN(2025,C22))),SUMIFS(Donnees_generations!$AF$3:$AF$113,Donnees_generations!$A$3:$A$113,MAX(1915,MIN(2025,C22))),SUMIFS(Donnees_generations!$AG$3:$AG$113,Donnees_generations!$A$3:$A$113,MAX(1915,MIN(2025,C22))),SUMIFS(Donnees_generations!$AH$3:$AH$113,Donnees_generations!$A$3:$A$113,MAX(1915,MIN(2025,C22))),SUMIFS(Donnees_generations!$AI$3:$AI$113,Donnees_generations!$A$3:$A$113,MAX(1915,MIN(2025,C22))),SUMIFS(Donnees_generations!$AJ$3:$AJ$113,Donnees_generations!$A$3:$A$113,MAX(1915,MIN(2025,C22)))))/2))</f>
        <v/>
      </c>
    </row>
    <row r="70">
      <c r="A70" s="10" t="inlineStr">
        <is>
          <t>DURÉE MOYENNE DE RETRAITE (années)</t>
        </is>
      </c>
      <c r="B70" s="46">
        <f>MAX(0,B68+(B69-B68)*(B35-B67)/2)</f>
        <v/>
      </c>
      <c r="C70" s="46">
        <f>MAX(0,C68+(C69-C68)*(C35-C67)/2)</f>
        <v/>
      </c>
      <c r="D70" s="47">
        <f>C70-B70</f>
        <v/>
      </c>
      <c r="E70" s="20">
        <f>IF(B70=0,0,C70/B70-1)</f>
        <v/>
      </c>
    </row>
    <row r="71">
      <c r="A71" s="10" t="inlineStr">
        <is>
          <t>PENSIONS TOTALES REÇUES</t>
        </is>
      </c>
      <c r="B71" s="52">
        <f>B65*B70</f>
        <v/>
      </c>
      <c r="C71" s="52">
        <f>C65*C70</f>
        <v/>
      </c>
      <c r="D71" s="53">
        <f>C71-B71</f>
        <v/>
      </c>
      <c r="E71" s="20">
        <f>IF(B71=0,0,C71/B71-1)</f>
        <v/>
      </c>
    </row>
    <row r="72">
      <c r="A72" s="27" t="inlineStr">
        <is>
          <t>Comparaison</t>
        </is>
      </c>
      <c r="B72" s="65" t="n"/>
      <c r="C72" s="65" t="n"/>
      <c r="D72" s="65" t="n"/>
      <c r="E72" s="65" t="n"/>
    </row>
    <row r="73">
      <c r="A73" s="10" t="inlineStr">
        <is>
          <t>COTISATIONS VERSÉES POUR RECEVOIR 1 € DE PENSION</t>
        </is>
      </c>
      <c r="B73" s="18">
        <f>IF(B71=0,0,B55/B71)</f>
        <v/>
      </c>
      <c r="C73" s="18">
        <f>IF(C71=0,0,C55/C71)</f>
        <v/>
      </c>
      <c r="D73" s="62">
        <f>C73-B73</f>
        <v/>
      </c>
      <c r="E73" s="20">
        <f>IF(B73=0,0,C73/B73-1)</f>
        <v/>
      </c>
    </row>
    <row r="74">
      <c r="A74" s="56" t="inlineStr">
        <is>
          <t>Argent public (impôts et taxes) ajouté pour 1 € de pension</t>
        </is>
      </c>
      <c r="B74" s="30">
        <f>IF(B71=0,0,B58/B71)</f>
        <v/>
      </c>
      <c r="C74" s="30">
        <f>IF(C71=0,0,C58/C71)</f>
        <v/>
      </c>
      <c r="D74" s="63">
        <f>C74-B74</f>
        <v/>
      </c>
      <c r="E74" s="59">
        <f>IF(B74=0,0,C74/B74-1)</f>
        <v/>
      </c>
    </row>
    <row r="75">
      <c r="A75" s="56" t="inlineStr">
        <is>
          <t>Part de l'argent public dans le financement de la carrière</t>
        </is>
      </c>
      <c r="B75" s="32">
        <f>IF(B55+B58=0,0,B58/(B55+B58))</f>
        <v/>
      </c>
      <c r="C75" s="32">
        <f>IF(C55+C58=0,0,C58/(C55+C58))</f>
        <v/>
      </c>
      <c r="D75" s="64">
        <f>(C75-B75)*100</f>
        <v/>
      </c>
    </row>
    <row r="76">
      <c r="A76" s="6" t="inlineStr">
        <is>
          <t>Pensions reçues pour 100 € cotisés</t>
        </is>
      </c>
      <c r="B76" s="14">
        <f>IF(B55=0,0,B71/B55*100)</f>
        <v/>
      </c>
      <c r="C76" s="14">
        <f>IF(C55=0,0,C71/C55*100)</f>
        <v/>
      </c>
      <c r="D76" s="39">
        <f>C76-B76</f>
        <v/>
      </c>
      <c r="E76" s="9">
        <f>IF(B76=0,0,C76/B76-1)</f>
        <v/>
      </c>
    </row>
    <row r="77">
      <c r="A77" s="6" t="inlineStr">
        <is>
          <t>Heures de travail pour 1 000 € de pension</t>
        </is>
      </c>
      <c r="B77" s="8">
        <f>IF(B71=0,0,B51/B71*1000)</f>
        <v/>
      </c>
      <c r="C77" s="8">
        <f>IF(C71=0,0,C51/C71*1000)</f>
        <v/>
      </c>
      <c r="D77" s="22">
        <f>C77-B77</f>
        <v/>
      </c>
      <c r="E77" s="9">
        <f>IF(B77=0,0,C77/B77-1)</f>
        <v/>
      </c>
    </row>
    <row r="78">
      <c r="A78" s="27" t="inlineStr">
        <is>
          <t>RÉPARTITION OU CAPITALISATION ? — pour cette même personne (pas de comparaison entre A et B)</t>
        </is>
      </c>
      <c r="B78" s="65" t="n"/>
      <c r="C78" s="65" t="n"/>
      <c r="D78" s="65" t="n"/>
      <c r="E78" s="65" t="n"/>
    </row>
    <row r="79">
      <c r="A79" s="42" t="inlineStr">
        <is>
          <t>Année où le capital est évalué (veille du départ)</t>
        </is>
      </c>
      <c r="B79" s="44">
        <f>MAX(B47,B37-1)</f>
        <v/>
      </c>
      <c r="C79" s="44">
        <f>MAX(C47,C37-1)</f>
        <v/>
      </c>
    </row>
    <row r="80">
      <c r="A80" s="66" t="inlineStr">
        <is>
          <t>Capital si ces mêmes cotisations avaient été placées chaque mois en actions (dividendes réinvestis, € 2026)</t>
        </is>
      </c>
      <c r="B80" s="67">
        <f>SUMIFS(Donnees_annuelles!$AO$3:$AO$188,Donnees_annuelles!$A$3:$A$188,"&gt;="&amp;B6,Donnees_annuelles!$A$3:$A$188,"&lt;="&amp;B47)*B48*SUMIFS(Donnees_annuelles!$AG$3:$AG$188,Donnees_annuelles!$A$3:$A$188,B79)*SUMIFS(Donnees_annuelles!$AA$3:$AA$188,Donnees_annuelles!$A$3:$A$188,B79)</f>
        <v/>
      </c>
      <c r="C80" s="67">
        <f>SUMIFS(Donnees_annuelles!$AU$3:$AU$188,Donnees_annuelles!$A$3:$A$188,"&gt;="&amp;C6,Donnees_annuelles!$A$3:$A$188,"&lt;="&amp;C47)*C48*SUMIFS(Donnees_annuelles!$AG$3:$AG$188,Donnees_annuelles!$A$3:$A$188,C79)*SUMIFS(Donnees_annuelles!$AA$3:$AA$188,Donnees_annuelles!$A$3:$A$188,C79)</f>
        <v/>
      </c>
    </row>
    <row r="81">
      <c r="A81" s="6" t="inlineStr">
        <is>
          <t>Capital ÷ cotisations versées</t>
        </is>
      </c>
      <c r="B81" s="36">
        <f>IF(B55=0,0,B80/B55)</f>
        <v/>
      </c>
      <c r="C81" s="36">
        <f>IF(C55=0,0,C80/C55)</f>
        <v/>
      </c>
    </row>
    <row r="82">
      <c r="A82" s="6" t="inlineStr">
        <is>
          <t>Répartition : pensions totales reçues pendant la retraite (€ 2026)</t>
        </is>
      </c>
      <c r="B82" s="14">
        <f>B71</f>
        <v/>
      </c>
      <c r="C82" s="14">
        <f>C71</f>
        <v/>
      </c>
    </row>
    <row r="83">
      <c r="A83" s="66" t="inlineStr">
        <is>
          <t>EN PLUS (+) OU EN MOINS (−) AVEC LA CAPITALISATION, sur toute la retraite (€ 2026)</t>
        </is>
      </c>
      <c r="B83" s="37">
        <f>B80-B71</f>
        <v/>
      </c>
      <c r="C83" s="37">
        <f>C80-C71</f>
        <v/>
      </c>
    </row>
    <row r="84">
      <c r="A84" s="66" t="inlineStr">
        <is>
          <t>Écart capitalisation / répartition</t>
        </is>
      </c>
      <c r="B84" s="38">
        <f>IF(B71=0,0,B80/B71-1)</f>
        <v/>
      </c>
      <c r="C84" s="38">
        <f>IF(C71=0,0,C80/C71-1)</f>
        <v/>
      </c>
    </row>
    <row r="85">
      <c r="A85" s="6" t="inlineStr">
        <is>
          <t>Capitalisation : revenu mensuel pendant la retraite (capital réparti sur la durée de retraite, € 2026)</t>
        </is>
      </c>
      <c r="B85" s="14">
        <f>IF(B70=0,0,B80/B70/12)</f>
        <v/>
      </c>
      <c r="C85" s="14">
        <f>IF(C70=0,0,C80/C70/12)</f>
        <v/>
      </c>
    </row>
    <row r="86">
      <c r="A86" s="6" t="inlineStr">
        <is>
          <t>Répartition : pension mensuelle (€ 2026)</t>
        </is>
      </c>
      <c r="B86" s="14">
        <f>B66</f>
        <v/>
      </c>
      <c r="C86" s="14">
        <f>C66</f>
        <v/>
      </c>
    </row>
    <row r="87">
      <c r="A87" s="66" t="inlineStr">
        <is>
          <t>En plus (+) ou en moins (−) chaque mois avec la capitalisation (€ 2026)</t>
        </is>
      </c>
      <c r="B87" s="37">
        <f>B85-B66</f>
        <v/>
      </c>
      <c r="C87" s="37">
        <f>C85-C66</f>
        <v/>
      </c>
    </row>
    <row r="88">
      <c r="A88" s="6" t="inlineStr">
        <is>
          <t>Pour mémoire : capital avec le cours seul, sans les dividendes (€ 2026)</t>
        </is>
      </c>
      <c r="B88" s="14">
        <f>SUMIFS(Donnees_annuelles!$AP$3:$AP$188,Donnees_annuelles!$A$3:$A$188,"&gt;="&amp;B6,Donnees_annuelles!$A$3:$A$188,"&lt;="&amp;B47)*B48*SUMIFS(Donnees_annuelles!$AH$3:$AH$188,Donnees_annuelles!$A$3:$A$188,B79)*SUMIFS(Donnees_annuelles!$AA$3:$AA$188,Donnees_annuelles!$A$3:$A$188,B79)</f>
        <v/>
      </c>
      <c r="C88" s="14">
        <f>SUMIFS(Donnees_annuelles!$AV$3:$AV$188,Donnees_annuelles!$A$3:$A$188,"&gt;="&amp;C6,Donnees_annuelles!$A$3:$A$188,"&lt;="&amp;C47)*C48*SUMIFS(Donnees_annuelles!$AH$3:$AH$188,Donnees_annuelles!$A$3:$A$188,C79)*SUMIFS(Donnees_annuelles!$AA$3:$AA$188,Donnees_annuelles!$A$3:$A$188,C79)</f>
        <v/>
      </c>
    </row>
    <row r="89">
      <c r="A89" s="6" t="inlineStr">
        <is>
          <t>Pour mémoire : en plus ou en moins avec le cours seul (€ 2026)</t>
        </is>
      </c>
      <c r="B89" s="39">
        <f>B88-B71</f>
        <v/>
      </c>
      <c r="C89" s="39">
        <f>C88-C71</f>
        <v/>
      </c>
    </row>
    <row r="91">
      <c r="A91" s="2" t="inlineStr">
        <is>
          <t>En clair</t>
        </is>
      </c>
    </row>
    <row r="92">
      <c r="A92" s="68">
        <f>"Personne A ("&amp;B20&amp;") : "&amp;ROUND(B42,1)&amp;" ans de carrière, "&amp;ROUND(B51,-2)&amp;" heures travaillées, départ à "&amp;INT(B35)&amp;" ans et "&amp;ROUND((B35-INT(B35))*12,0)&amp;" mois, "&amp;ROUND(B70,1)&amp;" ans de retraite."</f>
        <v/>
      </c>
    </row>
    <row r="93">
      <c r="A93" s="68">
        <f>"Personne B ("&amp;C20&amp;") : "&amp;ROUND(C42,1)&amp;" ans de carrière, "&amp;ROUND(C51,-2)&amp;" heures travaillées, départ à "&amp;INT(C35)&amp;" ans et "&amp;ROUND((C35-INT(C35))*12,0)&amp;" mois, "&amp;ROUND(C70,1)&amp;" ans de retraite."</f>
        <v/>
      </c>
    </row>
    <row r="94">
      <c r="A94" s="68">
        <f>"Cotisations vieillesse versées : "&amp;ROUND(B55,-3)&amp;" € (A) contre "&amp;ROUND(C55,-3)&amp;" € (B) ; pensions attendues : "&amp;ROUND(B71,-3)&amp;" € contre "&amp;ROUND(C71,-3)&amp;" €."</f>
        <v/>
      </c>
    </row>
    <row r="95">
      <c r="A95" s="69">
        <f>"Pour recevoir la même pension, la personne B a dû cotiser "&amp;ROUND(ABS(E73)*100,0)&amp;" % "&amp;IF(E73&gt;=0,"de plus","de moins")&amp;" que la personne A ("&amp;ROUND(C73,2)&amp;" € contre "&amp;ROUND(B73,2)&amp;" € pour 1 € de pension)."</f>
        <v/>
      </c>
    </row>
    <row r="96">
      <c r="A96" s="68">
        <f>"Argent public ajouté pour équilibrer le régime (non payé par la personne, donc hors cotisations) : "&amp;ROUND(B74,2)&amp;" € (A) et "&amp;ROUND(C74,2)&amp;" € (B) pour 1 € de pension, soit "&amp;ROUND(B75*100,0)&amp;" % et "&amp;ROUND(C75*100,0)&amp;" % du financement."</f>
        <v/>
      </c>
    </row>
    <row r="97">
      <c r="A97" s="70">
        <f>"Personne A en capitalisation : "&amp;ROUND(B80,-3)&amp;" € au départ contre "&amp;ROUND(B71,-3)&amp;" € de pensions en répartition, soit "&amp;IF(B83&gt;=0,"+","")&amp;ROUND(B83,-3)&amp;" € ("&amp;IF(B84&gt;=0,"+","")&amp;ROUND(B84*100,0)&amp;" %) ; environ "&amp;ROUND(B85,-1)&amp;" € par mois au lieu de "&amp;ROUND(B66,-1)&amp;" €."</f>
        <v/>
      </c>
    </row>
    <row r="98">
      <c r="A98" s="70">
        <f>"Personne B en capitalisation : "&amp;ROUND(C80,-3)&amp;" € au départ contre "&amp;ROUND(C71,-3)&amp;" € de pensions en répartition, soit "&amp;IF(C83&gt;=0,"+","")&amp;ROUND(C83,-3)&amp;" € ("&amp;IF(C84&gt;=0,"+","")&amp;ROUND(C84*100,0)&amp;" %) ; environ "&amp;ROUND(C85,-1)&amp;" € par mois au lieu de "&amp;ROUND(C66,-1)&amp;" €."</f>
        <v/>
      </c>
    </row>
    <row r="100" ht="30" customHeight="1">
      <c r="A100" s="26" t="inlineStr">
        <is>
          <t>Hypothèses : départ selon les règles de la génération ; entre le début et le départ, la carrière comprend les interruptions moyennes des salariés du privé qui ont commencé la même année (taux de carrière réelle, comme en page 2), sauf si vous indiquez vos propres années sans trimestre (0 = carrière continue) ; durée hebdomadaire réellement effectuée de chaque année ; départ au plus tôt à 65 ans pour les carrières du privé commencées à partir de 2000 (Parametres). Estimation pédagogique fondée sur des moyennes, pas un calcul de droits.</t>
        </is>
      </c>
    </row>
  </sheetData>
  <dataValidations count="4">
    <dataValidation sqref="B10 C10" showDropDown="0" showInputMessage="0" showErrorMessage="0" allowBlank="0" type="list">
      <formula1>"H,F,ensemble"</formula1>
    </dataValidation>
    <dataValidation sqref="B15 C15" showDropDown="0" showInputMessage="0" showErrorMessage="0" allowBlank="0" type="list">
      <formula1>"non-cadre,cadre"</formula1>
    </dataValidation>
    <dataValidation sqref="B8 C8" showDropDown="0" showInputMessage="0" showErrorMessage="0" allowBlank="0" type="list">
      <formula1>=Regimes!$A$5:$A$10</formula1>
    </dataValidation>
    <dataValidation sqref="B9 C9" showDropDown="0" showInputMessage="0" showErrorMessage="0" allowBlank="0" type="list">
      <formula1>=Regimes!$L$5:$L$7</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10"/>
  <sheetViews>
    <sheetView workbookViewId="0">
      <selection activeCell="A1" sqref="A1"/>
    </sheetView>
  </sheetViews>
  <sheetFormatPr baseColWidth="8" defaultRowHeight="15"/>
  <cols>
    <col width="34" customWidth="1" min="1" max="1"/>
    <col width="50" customWidth="1" min="2" max="2"/>
    <col width="16" customWidth="1" min="3" max="3"/>
    <col width="16" customWidth="1" min="4" max="4"/>
    <col width="14" customWidth="1" min="5" max="5"/>
    <col width="14" customWidth="1" min="6" max="6"/>
    <col width="14" customWidth="1" min="7" max="7"/>
    <col width="11" customWidth="1" min="8" max="8"/>
    <col width="70" customWidth="1" min="9" max="9"/>
    <col width="50" customWidth="1" min="10" max="10"/>
    <col width="2" customWidth="1" min="11" max="11"/>
    <col width="26" customWidth="1" min="12" max="12"/>
  </cols>
  <sheetData>
    <row r="1">
      <c r="A1" s="1" t="inlineStr">
        <is>
          <t>Les régimes comparés</t>
        </is>
      </c>
    </row>
    <row r="2">
      <c r="A2" s="4" t="inlineStr">
        <is>
          <t>Une ligne par régime. Le coefficient de pension compare, à salaire égal et pour une carrière complète, la pension du régime à celle d'un non-cadre du privé.</t>
        </is>
      </c>
    </row>
    <row r="3" ht="75" customHeight="1">
      <c r="A3" s="5" t="inlineStr">
        <is>
          <t>Régime (valeur à choisir dans les pages 2 et 3)</t>
        </is>
      </c>
      <c r="B3" s="5" t="inlineStr">
        <is>
          <t>Description</t>
        </is>
      </c>
      <c r="C3" s="5" t="inlineStr">
        <is>
          <t>Première année de début de carrière calculée au régime général (régime fermé aux nouveaux embauchés)</t>
        </is>
      </c>
      <c r="D3" s="5" t="inlineStr">
        <is>
          <t>Catégorie du profil type (page 2 et synthèse)</t>
        </is>
      </c>
      <c r="E3" s="5" t="inlineStr">
        <is>
          <t>Taux de remplacement d'une carrière complète dans le régime</t>
        </is>
      </c>
      <c r="F3" s="5" t="inlineStr">
        <is>
          <t>Taux de remplacement de référence d'un non-cadre du privé (même mesure)</t>
        </is>
      </c>
      <c r="G3" s="5" t="inlineStr">
        <is>
          <t>Coefficient de pension à salaire égal (année de calibrage)</t>
        </is>
      </c>
      <c r="H3" s="5" t="inlineStr">
        <is>
          <t>Année de calibrage</t>
        </is>
      </c>
      <c r="I3" s="5" t="inlineStr">
        <is>
          <t>Source du coefficient</t>
        </is>
      </c>
      <c r="J3" s="5" t="inlineStr">
        <is>
          <t>Fermeture aux nouveaux embauchés</t>
        </is>
      </c>
      <c r="L3" s="5" t="inlineStr">
        <is>
          <t>Catégories</t>
        </is>
      </c>
    </row>
    <row r="4">
      <c r="A4" s="83" t="inlineStr">
        <is>
          <t>regime</t>
        </is>
      </c>
      <c r="B4" s="83" t="inlineStr">
        <is>
          <t>libelle</t>
        </is>
      </c>
      <c r="C4" s="83" t="inlineStr">
        <is>
          <t>annee_fermeture</t>
        </is>
      </c>
      <c r="D4" s="83" t="inlineStr">
        <is>
          <t>categorie_type</t>
        </is>
      </c>
      <c r="E4" s="83" t="inlineStr">
        <is>
          <t>taux_remplacement_regime</t>
        </is>
      </c>
      <c r="F4" s="83" t="inlineStr">
        <is>
          <t>taux_remplacement_prive_reference</t>
        </is>
      </c>
      <c r="G4" s="83" t="inlineStr">
        <is>
          <t>coef_pension_calibrage</t>
        </is>
      </c>
      <c r="H4" s="83" t="inlineStr">
        <is>
          <t>annee_calibrage</t>
        </is>
      </c>
      <c r="I4" s="83" t="inlineStr">
        <is>
          <t>source_coef</t>
        </is>
      </c>
      <c r="J4" s="83" t="inlineStr">
        <is>
          <t>fermeture_detail</t>
        </is>
      </c>
    </row>
    <row r="5">
      <c r="A5" s="84" t="inlineStr">
        <is>
          <t>Privé</t>
        </is>
      </c>
      <c r="B5" s="6" t="inlineStr">
        <is>
          <t>Salarié du privé (régime général + Agirc-Arrco)</t>
        </is>
      </c>
      <c r="C5" s="85" t="n">
        <v>9999</v>
      </c>
      <c r="D5" s="7" t="inlineStr">
        <is>
          <t>sédentaire</t>
        </is>
      </c>
      <c r="E5" s="86" t="n">
        <v>0.754</v>
      </c>
      <c r="F5" s="86" t="n">
        <v>0.754</v>
      </c>
      <c r="G5" s="87" t="n">
        <v>1</v>
      </c>
      <c r="H5" s="85" t="n">
        <v>2023</v>
      </c>
      <c r="I5" s="6" t="inlineStr">
        <is>
          <t>Référence : cas type n°2 du COR (non-cadre, génération 1960) ; la pension du privé vient des données DREES</t>
        </is>
      </c>
      <c r="J5" s="6" t="inlineStr">
        <is>
          <t>—</t>
        </is>
      </c>
      <c r="L5" s="7" t="inlineStr">
        <is>
          <t>sédentaire</t>
        </is>
      </c>
    </row>
    <row r="6">
      <c r="A6" s="84" t="inlineStr">
        <is>
          <t>Fonction publique d'État</t>
        </is>
      </c>
      <c r="B6" s="6" t="inlineStr">
        <is>
          <t>Fonctionnaire d'État (SRE, pensions civiles)</t>
        </is>
      </c>
      <c r="C6" s="85" t="n">
        <v>9999</v>
      </c>
      <c r="D6" s="7" t="inlineStr">
        <is>
          <t>sédentaire</t>
        </is>
      </c>
      <c r="E6" s="86" t="n">
        <v>0.66</v>
      </c>
      <c r="F6" s="86" t="n">
        <v>0.754</v>
      </c>
      <c r="G6" s="87" t="n">
        <v>0.8753</v>
      </c>
      <c r="H6" s="85" t="n">
        <v>2020</v>
      </c>
      <c r="I6" s="6" t="inlineStr">
        <is>
          <t>Cas types COR (génération 1958, carrières complètes) : 66 % en moyenne pour les fonctionnaires de l'État (primes exclues du calcul), rapporté à 75,4 % (non-cadre du privé, net)</t>
        </is>
      </c>
      <c r="J6" s="6" t="inlineStr">
        <is>
          <t>Régime ouvert</t>
        </is>
      </c>
      <c r="L6" s="7" t="inlineStr">
        <is>
          <t>actif</t>
        </is>
      </c>
    </row>
    <row r="7">
      <c r="A7" s="84" t="inlineStr">
        <is>
          <t>Fonction publique territoriale et hospitalière</t>
        </is>
      </c>
      <c r="B7" s="6" t="inlineStr">
        <is>
          <t>Fonctionnaire territorial ou hospitalier (CNRACL)</t>
        </is>
      </c>
      <c r="C7" s="85" t="n">
        <v>9999</v>
      </c>
      <c r="D7" s="7" t="inlineStr">
        <is>
          <t>sédentaire</t>
        </is>
      </c>
      <c r="E7" s="86" t="n">
        <v>0.66</v>
      </c>
      <c r="F7" s="86" t="n">
        <v>0.754</v>
      </c>
      <c r="G7" s="87" t="n">
        <v>0.8753</v>
      </c>
      <c r="H7" s="85" t="n">
        <v>2020</v>
      </c>
      <c r="I7" s="6" t="inlineStr">
        <is>
          <t>Mêmes règles que l'État (cas types territoriaux et hospitaliers : 21 à 28 % de primes) ; 66 % rapporté à 75,4 %</t>
        </is>
      </c>
      <c r="J7" s="6" t="inlineStr">
        <is>
          <t>Régime ouvert</t>
        </is>
      </c>
      <c r="L7" s="7" t="inlineStr">
        <is>
          <t>conduite ou super-actif</t>
        </is>
      </c>
    </row>
    <row r="8">
      <c r="A8" s="84" t="inlineStr">
        <is>
          <t>SNCF</t>
        </is>
      </c>
      <c r="B8" s="6" t="inlineStr">
        <is>
          <t>Agent SNCF au statut (CPR)</t>
        </is>
      </c>
      <c r="C8" s="85" t="n">
        <v>2020</v>
      </c>
      <c r="D8" s="7" t="inlineStr">
        <is>
          <t>sédentaire</t>
        </is>
      </c>
      <c r="E8" s="86" t="n">
        <v>0.73</v>
      </c>
      <c r="F8" s="86" t="n">
        <v>0.654</v>
      </c>
      <c r="G8" s="87" t="n">
        <v>1.1162</v>
      </c>
      <c r="H8" s="85" t="n">
        <v>2017</v>
      </c>
      <c r="I8" s="6" t="inlineStr">
        <is>
          <t>Cour des comptes 2019 : taux de remplacement brut moyen des carrières complètes, nouveaux retraités 2017 (73 %), rapporté au taux brut d'un non-cadre du privé (≈ 65,4 %)</t>
        </is>
      </c>
      <c r="J8" s="6" t="inlineStr">
        <is>
          <t>Plus d'embauches au statut depuis le 1er janvier 2020 (loi 2018-515)</t>
        </is>
      </c>
    </row>
    <row r="9">
      <c r="A9" s="84" t="inlineStr">
        <is>
          <t>RATP</t>
        </is>
      </c>
      <c r="B9" s="6" t="inlineStr">
        <is>
          <t>Agent RATP au statut (CRP RATP)</t>
        </is>
      </c>
      <c r="C9" s="85" t="n">
        <v>2024</v>
      </c>
      <c r="D9" s="7" t="inlineStr">
        <is>
          <t>conduite ou super-actif</t>
        </is>
      </c>
      <c r="E9" s="86" t="n">
        <v>0.88</v>
      </c>
      <c r="F9" s="86" t="n">
        <v>0.654</v>
      </c>
      <c r="G9" s="87" t="n">
        <v>1.3456</v>
      </c>
      <c r="H9" s="85" t="n">
        <v>2017</v>
      </c>
      <c r="I9" s="6" t="inlineStr">
        <is>
          <t>Cour des comptes 2019 : 88 % (brut, carrières complètes, 2017), rapporté à 65,4 %</t>
        </is>
      </c>
      <c r="J9" s="6" t="inlineStr">
        <is>
          <t>Embauchés depuis le 1er septembre 2023 : régime général (loi 2023-270)</t>
        </is>
      </c>
      <c r="L9" s="26" t="inlineStr">
        <is>
          <t>sédentaire : cas général ; actif : services actifs (policiers, infirmiers, agents de maintenance…) ; conduite ou super-actif : conducteurs SNCF et RATP, policiers, surveillants pénitentiaires, égoutiers.</t>
        </is>
      </c>
    </row>
    <row r="10">
      <c r="A10" s="84" t="inlineStr">
        <is>
          <t>IEG</t>
        </is>
      </c>
      <c r="B10" s="6" t="inlineStr">
        <is>
          <t>Industries électriques et gazières : EDF, Engie, Enedis… (CNIEG)</t>
        </is>
      </c>
      <c r="C10" s="85" t="n">
        <v>2024</v>
      </c>
      <c r="D10" s="7" t="inlineStr">
        <is>
          <t>sédentaire</t>
        </is>
      </c>
      <c r="E10" s="86" t="n">
        <v>0.704</v>
      </c>
      <c r="F10" s="86" t="n">
        <v>0.654</v>
      </c>
      <c r="G10" s="87" t="n">
        <v>1.0765</v>
      </c>
      <c r="H10" s="85" t="n">
        <v>2017</v>
      </c>
      <c r="I10" s="6" t="inlineStr">
        <is>
          <t>Cour des comptes 2019 : 70,4 % (brut, carrières complètes 2010-2017), rapporté à 65,4 %</t>
        </is>
      </c>
      <c r="J10" s="6" t="inlineStr">
        <is>
          <t>Embauchés depuis le 1er septembre 2023 : régime général (loi 2023-270)</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C590"/>
  <sheetViews>
    <sheetView workbookViewId="0">
      <pane xSplit="3" ySplit="2" topLeftCell="D3" activePane="bottomRight" state="frozen"/>
      <selection pane="topRight"/>
      <selection pane="bottomLeft"/>
      <selection pane="bottomRight" activeCell="A1" sqref="A1"/>
    </sheetView>
  </sheetViews>
  <sheetFormatPr baseColWidth="8" defaultRowHeight="15"/>
  <cols>
    <col width="20" customWidth="1" min="1" max="1"/>
    <col width="28" customWidth="1" min="2" max="2"/>
    <col width="15"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 width="15" customWidth="1" min="31" max="31"/>
    <col width="15" customWidth="1" min="32" max="32"/>
    <col width="15" customWidth="1" min="33" max="33"/>
    <col width="15" customWidth="1" min="34" max="34"/>
    <col width="15" customWidth="1" min="35" max="35"/>
    <col width="15" customWidth="1" min="36" max="36"/>
    <col width="15" customWidth="1" min="37" max="37"/>
    <col width="15" customWidth="1" min="38" max="38"/>
    <col width="15" customWidth="1" min="39" max="39"/>
    <col width="15" customWidth="1" min="40" max="40"/>
    <col width="15" customWidth="1" min="41" max="41"/>
    <col width="15" customWidth="1" min="42" max="42"/>
    <col width="15" customWidth="1" min="43" max="43"/>
    <col width="15" customWidth="1" min="44" max="44"/>
    <col width="15" customWidth="1" min="45" max="45"/>
    <col width="15" customWidth="1" min="46" max="46"/>
    <col width="15" customWidth="1" min="47" max="47"/>
    <col width="15" customWidth="1" min="48" max="48"/>
    <col width="15" customWidth="1" min="49" max="49"/>
    <col width="15" customWidth="1" min="50" max="50"/>
    <col width="15" customWidth="1" min="51" max="51"/>
    <col width="15" customWidth="1" min="52" max="52"/>
    <col width="15" customWidth="1" min="53" max="53"/>
    <col width="15" customWidth="1" min="54" max="54"/>
    <col width="15" customWidth="1" min="55" max="55"/>
  </cols>
  <sheetData>
    <row r="1" ht="80" customHeight="1">
      <c r="A1" s="5" t="inlineStr">
        <is>
          <t>Groupe de génération</t>
        </is>
      </c>
      <c r="B1" s="5" t="inlineStr">
        <is>
          <t>Régime choisi</t>
        </is>
      </c>
      <c r="C1" s="5" t="inlineStr">
        <is>
          <t>Régime appliqué (régime général si le régime était déjà fermé aux nouveaux embauchés)</t>
        </is>
      </c>
      <c r="D1" s="5" t="inlineStr">
        <is>
          <t>Catégorie du profil type</t>
        </is>
      </c>
      <c r="E1" s="5" t="inlineStr">
        <is>
          <t>Année de naissance (génération type)</t>
        </is>
      </c>
      <c r="F1" s="5" t="inlineStr">
        <is>
          <t>Âge moyen de début de carrière à cette époque</t>
        </is>
      </c>
      <c r="G1" s="5" t="inlineStr">
        <is>
          <t>Année de début de carrière</t>
        </is>
      </c>
      <c r="H1" s="5" t="inlineStr">
        <is>
          <t>Durée réelle de carrière d'un salarié du privé de la même génération</t>
        </is>
      </c>
      <c r="I1" s="5" t="inlineStr">
        <is>
          <t>Âge moyen réel de départ dans le privé</t>
        </is>
      </c>
      <c r="J1" s="5" t="inlineStr">
        <is>
          <t>Âge de départ d'un salarié du privé de la même génération</t>
        </is>
      </c>
      <c r="K1" s="5" t="inlineStr">
        <is>
          <t>Âge de départ à la retraite</t>
        </is>
      </c>
      <c r="L1" s="5" t="inlineStr">
        <is>
          <t>Durée réelle de carrière (années validées)</t>
        </is>
      </c>
      <c r="M1" s="5" t="inlineStr">
        <is>
          <t>Année de départ à la retraite</t>
        </is>
      </c>
      <c r="N1" s="5" t="inlineStr">
        <is>
          <t>Dernière année de cotisation</t>
        </is>
      </c>
      <c r="O1" s="5" t="inlineStr">
        <is>
          <t>Temps de travail annuel par rapport au privé</t>
        </is>
      </c>
      <c r="P1" s="5" t="inlineStr">
        <is>
          <t>Heures réellement travaillées sur la carrière</t>
        </is>
      </c>
      <c r="Q1" s="5" t="inlineStr">
        <is>
          <t>Heures selon la durée légale sur la carrière</t>
        </is>
      </c>
      <c r="R1" s="5" t="inlineStr">
        <is>
          <t>Heures réellement travaillées par an (moyenne)</t>
        </is>
      </c>
      <c r="S1" s="5" t="inlineStr">
        <is>
          <t>Salaire brut cumulé sur la carrière (€ 2026)</t>
        </is>
      </c>
      <c r="T1" s="5" t="inlineStr">
        <is>
          <t>dont cotisations vieillesse salariales (€ 2026)</t>
        </is>
      </c>
      <c r="U1" s="5" t="inlineStr">
        <is>
          <t>dont cotisations vieillesse patronales (€ 2026)</t>
        </is>
      </c>
      <c r="V1" s="5" t="inlineStr">
        <is>
          <t>Cotisations vieillesse totales versées (€ 2026)</t>
        </is>
      </c>
      <c r="W1" s="5" t="inlineStr">
        <is>
          <t>Taux moyen de cotisation vieillesse (salarial + patronal)</t>
        </is>
      </c>
      <c r="X1" s="5" t="inlineStr">
        <is>
          <t>Coût employeur retraite sur la carrière (€ 2026)</t>
        </is>
      </c>
      <c r="Y1" s="5" t="inlineStr">
        <is>
          <t>Cotisations vieillesse par heure travaillée (€ 2026)</t>
        </is>
      </c>
      <c r="Z1" s="5" t="inlineStr">
        <is>
          <t>Argent public ajouté pour équilibrer le régime, financé par les impôts et taxes (€ 2026, non compté dans les cotisations)</t>
        </is>
      </c>
      <c r="AA1" s="5" t="inlineStr">
        <is>
          <t>Trimestres requis dans le régime</t>
        </is>
      </c>
      <c r="AB1" s="5" t="inlineStr">
        <is>
          <t>Bonification de durée pour services actifs (trimestres)</t>
        </is>
      </c>
      <c r="AC1" s="5" t="inlineStr">
        <is>
          <t>Coefficient de pension du régime (à salaire égal, carrière complète)</t>
        </is>
      </c>
      <c r="AD1" s="5" t="inlineStr">
        <is>
          <t>Pension d'une carrière complète dans le privé, la même année (€ 2026)</t>
        </is>
      </c>
      <c r="AE1" s="5" t="inlineStr">
        <is>
          <t>Pension annuelle (€ 2026)</t>
        </is>
      </c>
      <c r="AF1" s="5" t="inlineStr">
        <is>
          <t>Pension mensuelle (€ 2026)</t>
        </is>
      </c>
      <c r="AG1" s="5" t="inlineStr">
        <is>
          <t>Âge pair de référence (tables INSEE)</t>
        </is>
      </c>
      <c r="AH1" s="5" t="inlineStr">
        <is>
          <t>Espérance de vie à l'âge de référence</t>
        </is>
      </c>
      <c r="AI1" s="5" t="inlineStr">
        <is>
          <t>Espérance de vie à l'âge de référence + 2</t>
        </is>
      </c>
      <c r="AJ1" s="5" t="inlineStr">
        <is>
          <t>Durée moyenne de retraite (années)</t>
        </is>
      </c>
      <c r="AK1" s="5" t="inlineStr">
        <is>
          <t>Âge moyen au décès</t>
        </is>
      </c>
      <c r="AL1" s="5" t="inlineStr">
        <is>
          <t>Pensions totales reçues (€ 2026)</t>
        </is>
      </c>
      <c r="AM1" s="5" t="inlineStr">
        <is>
          <t>Cotisations versées pour recevoir 1 € de pension</t>
        </is>
      </c>
      <c r="AN1" s="5" t="inlineStr">
        <is>
          <t>Argent public (impôts et taxes) ajouté pour 1 € de pension</t>
        </is>
      </c>
      <c r="AO1" s="5" t="inlineStr">
        <is>
          <t>Part de l'argent public dans le financement de la carrière</t>
        </is>
      </c>
      <c r="AP1" s="5" t="inlineStr">
        <is>
          <t>Pensions reçues pour 100 € cotisés</t>
        </is>
      </c>
      <c r="AQ1" s="5" t="inlineStr">
        <is>
          <t>Heures de travail pour 1 000 € de pension</t>
        </is>
      </c>
      <c r="AR1" s="5" t="inlineStr">
        <is>
          <t>Année où le capital est évalué (veille du départ)</t>
        </is>
      </c>
      <c r="AS1" s="5" t="inlineStr">
        <is>
          <t>Capital si ces mêmes cotisations avaient été placées chaque mois en actions (dividendes réinvestis, € 2026)</t>
        </is>
      </c>
      <c r="AT1" s="5" t="inlineStr">
        <is>
          <t>Capital ÷ cotisations versées</t>
        </is>
      </c>
      <c r="AU1" s="5" t="inlineStr">
        <is>
          <t>Répartition : pensions totales reçues pendant la retraite (€ 2026)</t>
        </is>
      </c>
      <c r="AV1" s="5" t="inlineStr">
        <is>
          <t>EN PLUS (+) OU EN MOINS (−) AVEC LA CAPITALISATION, sur toute la retraite (€ 2026)</t>
        </is>
      </c>
      <c r="AW1" s="5" t="inlineStr">
        <is>
          <t>Écart capitalisation / répartition</t>
        </is>
      </c>
      <c r="AX1" s="5" t="inlineStr">
        <is>
          <t>Capitalisation : revenu mensuel pendant la retraite (capital réparti sur la durée de retraite, € 2026)</t>
        </is>
      </c>
      <c r="AY1" s="5" t="inlineStr">
        <is>
          <t>Répartition : pension mensuelle (€ 2026)</t>
        </is>
      </c>
      <c r="AZ1" s="5" t="inlineStr">
        <is>
          <t>En plus (+) ou en moins (−) chaque mois avec la capitalisation (€ 2026)</t>
        </is>
      </c>
      <c r="BA1" s="5" t="inlineStr">
        <is>
          <t>Pour mémoire : capital avec le cours seul, sans les dividendes (€ 2026)</t>
        </is>
      </c>
      <c r="BB1" s="5" t="inlineStr">
        <is>
          <t>Pour mémoire : en plus ou en moins avec le cours seul (€ 2026)</t>
        </is>
      </c>
      <c r="BC1" s="5" t="inlineStr">
        <is>
          <t>Données projetées ?</t>
        </is>
      </c>
    </row>
    <row r="2" ht="22" customHeight="1">
      <c r="A2" s="83" t="inlineStr">
        <is>
          <t>groupe</t>
        </is>
      </c>
      <c r="B2" s="83" t="inlineStr">
        <is>
          <t>reg_in</t>
        </is>
      </c>
      <c r="C2" s="83" t="inlineStr">
        <is>
          <t>reg</t>
        </is>
      </c>
      <c r="D2" s="83" t="inlineStr">
        <is>
          <t>cat</t>
        </is>
      </c>
      <c r="E2" s="83" t="inlineStr">
        <is>
          <t>gen</t>
        </is>
      </c>
      <c r="F2" s="83" t="inlineStr">
        <is>
          <t>sa</t>
        </is>
      </c>
      <c r="G2" s="83" t="inlineStr">
        <is>
          <t>start</t>
        </is>
      </c>
      <c r="H2" s="83" t="inlineStr">
        <is>
          <t>dur_p</t>
        </is>
      </c>
      <c r="I2" s="83" t="inlineStr">
        <is>
          <t>rage</t>
        </is>
      </c>
      <c r="J2" s="83" t="inlineStr">
        <is>
          <t>dep_p</t>
        </is>
      </c>
      <c r="K2" s="83" t="inlineStr">
        <is>
          <t>dep</t>
        </is>
      </c>
      <c r="L2" s="83" t="inlineStr">
        <is>
          <t>dur</t>
        </is>
      </c>
      <c r="M2" s="83" t="inlineStr">
        <is>
          <t>ydep</t>
        </is>
      </c>
      <c r="N2" s="83" t="inlineStr">
        <is>
          <t>last</t>
        </is>
      </c>
      <c r="O2" s="83" t="inlineStr">
        <is>
          <t>rh</t>
        </is>
      </c>
      <c r="P2" s="83" t="inlineStr">
        <is>
          <t>hours</t>
        </is>
      </c>
      <c r="Q2" s="83" t="inlineStr">
        <is>
          <t>hours_leg</t>
        </is>
      </c>
      <c r="R2" s="83" t="inlineStr">
        <is>
          <t>h_an</t>
        </is>
      </c>
      <c r="S2" s="83" t="inlineStr">
        <is>
          <t>brut</t>
        </is>
      </c>
      <c r="T2" s="83" t="inlineStr">
        <is>
          <t>sal</t>
        </is>
      </c>
      <c r="U2" s="83" t="inlineStr">
        <is>
          <t>pat</t>
        </is>
      </c>
      <c r="V2" s="83" t="inlineStr">
        <is>
          <t>cot</t>
        </is>
      </c>
      <c r="W2" s="83" t="inlineStr">
        <is>
          <t>taux</t>
        </is>
      </c>
      <c r="X2" s="83" t="inlineStr">
        <is>
          <t>cout</t>
        </is>
      </c>
      <c r="Y2" s="83" t="inlineStr">
        <is>
          <t>cot_h</t>
        </is>
      </c>
      <c r="Z2" s="83" t="inlineStr">
        <is>
          <t>subv</t>
        </is>
      </c>
      <c r="AA2" s="83" t="inlineStr">
        <is>
          <t>trimr</t>
        </is>
      </c>
      <c r="AB2" s="83" t="inlineStr">
        <is>
          <t>bonq</t>
        </is>
      </c>
      <c r="AC2" s="83" t="inlineStr">
        <is>
          <t>coefp</t>
        </is>
      </c>
      <c r="AD2" s="83" t="inlineStr">
        <is>
          <t>fullp</t>
        </is>
      </c>
      <c r="AE2" s="83" t="inlineStr">
        <is>
          <t>pension</t>
        </is>
      </c>
      <c r="AF2" s="83" t="inlineStr">
        <is>
          <t>pension_m</t>
        </is>
      </c>
      <c r="AG2" s="83" t="inlineStr">
        <is>
          <t>a0</t>
        </is>
      </c>
      <c r="AH2" s="83" t="inlineStr">
        <is>
          <t>ev0</t>
        </is>
      </c>
      <c r="AI2" s="83" t="inlineStr">
        <is>
          <t>ev2</t>
        </is>
      </c>
      <c r="AJ2" s="83" t="inlineStr">
        <is>
          <t>retr</t>
        </is>
      </c>
      <c r="AK2" s="83" t="inlineStr">
        <is>
          <t>age_dc</t>
        </is>
      </c>
      <c r="AL2" s="83" t="inlineStr">
        <is>
          <t>pens_tot</t>
        </is>
      </c>
      <c r="AM2" s="83" t="inlineStr">
        <is>
          <t>cot_eur</t>
        </is>
      </c>
      <c r="AN2" s="83" t="inlineStr">
        <is>
          <t>subv_eur</t>
        </is>
      </c>
      <c r="AO2" s="83" t="inlineStr">
        <is>
          <t>subv_part</t>
        </is>
      </c>
      <c r="AP2" s="83" t="inlineStr">
        <is>
          <t>ret100</t>
        </is>
      </c>
      <c r="AQ2" s="83" t="inlineStr">
        <is>
          <t>h_1000</t>
        </is>
      </c>
      <c r="AR2" s="83" t="inlineStr">
        <is>
          <t>capT</t>
        </is>
      </c>
      <c r="AS2" s="83" t="inlineStr">
        <is>
          <t>cap</t>
        </is>
      </c>
      <c r="AT2" s="83" t="inlineStr">
        <is>
          <t>cap_mult</t>
        </is>
      </c>
      <c r="AU2" s="83" t="inlineStr">
        <is>
          <t>rep_tot</t>
        </is>
      </c>
      <c r="AV2" s="83" t="inlineStr">
        <is>
          <t>cap_vs_rep</t>
        </is>
      </c>
      <c r="AW2" s="83" t="inlineStr">
        <is>
          <t>cap_vs_rep_pct</t>
        </is>
      </c>
      <c r="AX2" s="83" t="inlineStr">
        <is>
          <t>rente_m</t>
        </is>
      </c>
      <c r="AY2" s="83" t="inlineStr">
        <is>
          <t>rep_m</t>
        </is>
      </c>
      <c r="AZ2" s="83" t="inlineStr">
        <is>
          <t>rente_vs_rep_m</t>
        </is>
      </c>
      <c r="BA2" s="83" t="inlineStr">
        <is>
          <t>cap_px</t>
        </is>
      </c>
      <c r="BB2" s="83" t="inlineStr">
        <is>
          <t>cap_px_vs_rep</t>
        </is>
      </c>
      <c r="BC2" s="83" t="inlineStr">
        <is>
          <t>projete</t>
        </is>
      </c>
    </row>
    <row r="3">
      <c r="A3" s="7" t="inlineStr">
        <is>
          <t>Génération silencieuse</t>
        </is>
      </c>
      <c r="B3" s="84" t="inlineStr">
        <is>
          <t>Privé</t>
        </is>
      </c>
      <c r="C3" s="7">
        <f>IF(G3&gt;=SUMIFS(Regimes!$C$5:$C$10,Regimes!$A$5:$A$10,B3),"Privé",B3)</f>
        <v/>
      </c>
      <c r="D3" s="7">
        <f>INDEX(Regimes!$D$5:$D$10,MATCH(C3,Regimes!$A$5:$A$10,0))</f>
        <v/>
      </c>
      <c r="E3" s="88" t="n">
        <v>1928</v>
      </c>
      <c r="F3" s="8">
        <f>Donnees_generations!C16</f>
        <v/>
      </c>
      <c r="G3" s="77">
        <f>Donnees_generations!D16</f>
        <v/>
      </c>
      <c r="H3" s="8">
        <f>SUMIFS(Donnees_generations!$S$3:$S$113,Donnees_generations!$A$3:$A$113,MAX(1915,MIN(2025,E3)))</f>
        <v/>
      </c>
      <c r="I3" s="8">
        <f>SUMIFS(Donnees_generations!$T$3:$T$113,Donnees_generations!$A$3:$A$113,MAX(1915,MIN(2025,E3)))</f>
        <v/>
      </c>
      <c r="J3" s="8">
        <f>IF(G3&gt;=2000,MAX(I3,Parametres!$B$3),I3)</f>
        <v/>
      </c>
      <c r="K3" s="8">
        <f>IF(C3="Privé",J3,SUMIFS(Regles_regimes!$J$3:$J$2000,Regles_regimes!$A$3:$A$2000,C3,Regles_regimes!$B$3:$B$2000,D3,Regles_regimes!$C$3:$C$2000,MAX(1915,MIN(2025,E3))))</f>
        <v/>
      </c>
      <c r="L3" s="8">
        <f>IF(C3="Privé",H3,(K3-F3)*H3/(J3-F3))</f>
        <v/>
      </c>
      <c r="M3" s="77">
        <f>INT(E3+K3)</f>
        <v/>
      </c>
      <c r="N3" s="77">
        <f>G3+ROUNDUP(L3,0)-1</f>
        <v/>
      </c>
      <c r="O3" s="89">
        <f>SUMIFS(Regles_regimes!$K$3:$K$2000,Regles_regimes!$A$3:$A$2000,C3,Regles_regimes!$B$3:$B$2000,D3,Regles_regimes!$C$3:$C$2000,MAX(1915,MIN(2025,E3)))</f>
        <v/>
      </c>
      <c r="P3" s="13">
        <f>SUMIFS(Donnees_annuelles!$W$3:$W$188,Donnees_annuelles!$A$3:$A$188,"&gt;="&amp;G3,Donnees_annuelles!$A$3:$A$188,"&lt;="&amp;N3)*L3/ROUNDUP(L3,0)*O3</f>
        <v/>
      </c>
      <c r="Q3" s="13">
        <f>SUMIFS(Donnees_annuelles!$V$3:$V$188,Donnees_annuelles!$A$3:$A$188,"&gt;="&amp;G3,Donnees_annuelles!$A$3:$A$188,"&lt;="&amp;N3)*L3/ROUNDUP(L3,0)</f>
        <v/>
      </c>
      <c r="R3" s="13">
        <f>P3/L3</f>
        <v/>
      </c>
      <c r="S3" s="14">
        <f>SUMIFS(Donnees_annuelles!$D$3:$D$188,Donnees_annuelles!$A$3:$A$188,"&gt;="&amp;G3,Donnees_annuelles!$A$3:$A$188,"&lt;="&amp;N3)*L3/ROUNDUP(L3,0)</f>
        <v/>
      </c>
      <c r="T3" s="14">
        <f>SUMIFS(Donnees_regimes!$N$3:$N$1118,Donnees_regimes!$A$3:$A$1118,C3,Donnees_regimes!$B$3:$B$1118,"&gt;="&amp;G3,Donnees_regimes!$B$3:$B$1118,"&lt;="&amp;N3)*L3/ROUNDUP(L3,0)</f>
        <v/>
      </c>
      <c r="U3" s="14">
        <f>SUMIFS(Donnees_regimes!$O$3:$O$1118,Donnees_regimes!$A$3:$A$1118,C3,Donnees_regimes!$B$3:$B$1118,"&gt;="&amp;G3,Donnees_regimes!$B$3:$B$1118,"&lt;="&amp;N3)*L3/ROUNDUP(L3,0)</f>
        <v/>
      </c>
      <c r="V3" s="14">
        <f>T3+U3</f>
        <v/>
      </c>
      <c r="W3" s="33">
        <f>V3/S3</f>
        <v/>
      </c>
      <c r="X3" s="14">
        <f>S3+U3</f>
        <v/>
      </c>
      <c r="Y3" s="17">
        <f>V3/P3</f>
        <v/>
      </c>
      <c r="Z3" s="14">
        <f>SUMIFS(Donnees_regimes!$Q$3:$Q$1118,Donnees_regimes!$A$3:$A$1118,C3,Donnees_regimes!$B$3:$B$1118,"&gt;="&amp;G3,Donnees_regimes!$B$3:$B$1118,"&lt;="&amp;N3)*L3/ROUNDUP(L3,0)</f>
        <v/>
      </c>
      <c r="AA3" s="77">
        <f>SUMIFS(Regles_regimes!$F$3:$F$2000,Regles_regimes!$A$3:$A$2000,C3,Regles_regimes!$B$3:$B$2000,D3,Regles_regimes!$C$3:$C$2000,MAX(1915,MIN(2025,E3)))</f>
        <v/>
      </c>
      <c r="AB3" s="77">
        <f>IF(AND(SUMIFS(Regles_regimes!$L$3:$L$2000,Regles_regimes!$A$3:$A$2000,C3,Regles_regimes!$B$3:$B$2000,D3,Regles_regimes!$C$3:$C$2000,MAX(1915,MIN(2025,E3)))=1,G3&lt;2009,C3&lt;&gt;"Privé"),MIN(20,L3*4/5),0)</f>
        <v/>
      </c>
      <c r="AC3" s="89">
        <f>SUMIFS(Donnees_regimes!$M$3:$M$1118,Donnees_regimes!$A$3:$A$1118,C3,Donnees_regimes!$B$3:$B$1118,M3)</f>
        <v/>
      </c>
      <c r="AD3" s="14">
        <f>SUMIFS(Donnees_annuelles!$Y$3:$Y$188,Donnees_annuelles!$A$3:$A$188,M3)*SUMIFS(Donnees_generations!$I$3:$I$113,Donnees_generations!$A$3:$A$113,MAX(1915,MIN(2025,E3)))/H3</f>
        <v/>
      </c>
      <c r="AE3" s="14">
        <f>IF(C3="Privé",SUMIFS(Donnees_annuelles!$Y$3:$Y$188,Donnees_annuelles!$A$3:$A$188,M3)*MIN(L3,SUMIFS(Donnees_generations!$I$3:$I$113,Donnees_generations!$A$3:$A$113,MAX(1915,MIN(2025,E3))))/L3,AD3*AC3*MIN(IF(AB3&gt;0,0.8/0.75,1),(L3*4+AB3)/AA3))</f>
        <v/>
      </c>
      <c r="AF3" s="14">
        <f>AE3/12</f>
        <v/>
      </c>
      <c r="AG3" s="77">
        <f>MIN(68,MAX(56,2*INT(K3/2)))</f>
        <v/>
      </c>
      <c r="AH3" s="75">
        <f>(CHOOSE((AG3-56)/2+1,SUMIFS(Donnees_generations!$U$3:$U$113,Donnees_generations!$A$3:$A$113,MAX(1915,MIN(2025,E3))),SUMIFS(Donnees_generations!$V$3:$V$113,Donnees_generations!$A$3:$A$113,MAX(1915,MIN(2025,E3))),SUMIFS(Donnees_generations!$W$3:$W$113,Donnees_generations!$A$3:$A$113,MAX(1915,MIN(2025,E3))),SUMIFS(Donnees_generations!$X$3:$X$113,Donnees_generations!$A$3:$A$113,MAX(1915,MIN(2025,E3))),SUMIFS(Donnees_generations!$Y$3:$Y$113,Donnees_generations!$A$3:$A$113,MAX(1915,MIN(2025,E3))),SUMIFS(Donnees_generations!$Z$3:$Z$113,Donnees_generations!$A$3:$A$113,MAX(1915,MIN(2025,E3))),SUMIFS(Donnees_generations!$AA$3:$AA$113,Donnees_generations!$A$3:$A$113,MAX(1915,MIN(2025,E3))),SUMIFS(Donnees_generations!$AB$3:$AB$113,Donnees_generations!$A$3:$A$113,MAX(1915,MIN(2025,E3))))+CHOOSE((AG3-56)/2+1,SUMIFS(Donnees_generations!$AC$3:$AC$113,Donnees_generations!$A$3:$A$113,MAX(1915,MIN(2025,E3))),SUMIFS(Donnees_generations!$AD$3:$AD$113,Donnees_generations!$A$3:$A$113,MAX(1915,MIN(2025,E3))),SUMIFS(Donnees_generations!$AE$3:$AE$113,Donnees_generations!$A$3:$A$113,MAX(1915,MIN(2025,E3))),SUMIFS(Donnees_generations!$AF$3:$AF$113,Donnees_generations!$A$3:$A$113,MAX(1915,MIN(2025,E3))),SUMIFS(Donnees_generations!$AG$3:$AG$113,Donnees_generations!$A$3:$A$113,MAX(1915,MIN(2025,E3))),SUMIFS(Donnees_generations!$AH$3:$AH$113,Donnees_generations!$A$3:$A$113,MAX(1915,MIN(2025,E3))),SUMIFS(Donnees_generations!$AI$3:$AI$113,Donnees_generations!$A$3:$A$113,MAX(1915,MIN(2025,E3))),SUMIFS(Donnees_generations!$AJ$3:$AJ$113,Donnees_generations!$A$3:$A$113,MAX(1915,MIN(2025,E3)))))/2</f>
        <v/>
      </c>
      <c r="AI3" s="75">
        <f>(CHOOSE(((AG3+2)-56)/2+1,SUMIFS(Donnees_generations!$U$3:$U$113,Donnees_generations!$A$3:$A$113,MAX(1915,MIN(2025,E3))),SUMIFS(Donnees_generations!$V$3:$V$113,Donnees_generations!$A$3:$A$113,MAX(1915,MIN(2025,E3))),SUMIFS(Donnees_generations!$W$3:$W$113,Donnees_generations!$A$3:$A$113,MAX(1915,MIN(2025,E3))),SUMIFS(Donnees_generations!$X$3:$X$113,Donnees_generations!$A$3:$A$113,MAX(1915,MIN(2025,E3))),SUMIFS(Donnees_generations!$Y$3:$Y$113,Donnees_generations!$A$3:$A$113,MAX(1915,MIN(2025,E3))),SUMIFS(Donnees_generations!$Z$3:$Z$113,Donnees_generations!$A$3:$A$113,MAX(1915,MIN(2025,E3))),SUMIFS(Donnees_generations!$AA$3:$AA$113,Donnees_generations!$A$3:$A$113,MAX(1915,MIN(2025,E3))),SUMIFS(Donnees_generations!$AB$3:$AB$113,Donnees_generations!$A$3:$A$113,MAX(1915,MIN(2025,E3))))+CHOOSE(((AG3+2)-56)/2+1,SUMIFS(Donnees_generations!$AC$3:$AC$113,Donnees_generations!$A$3:$A$113,MAX(1915,MIN(2025,E3))),SUMIFS(Donnees_generations!$AD$3:$AD$113,Donnees_generations!$A$3:$A$113,MAX(1915,MIN(2025,E3))),SUMIFS(Donnees_generations!$AE$3:$AE$113,Donnees_generations!$A$3:$A$113,MAX(1915,MIN(2025,E3))),SUMIFS(Donnees_generations!$AF$3:$AF$113,Donnees_generations!$A$3:$A$113,MAX(1915,MIN(2025,E3))),SUMIFS(Donnees_generations!$AG$3:$AG$113,Donnees_generations!$A$3:$A$113,MAX(1915,MIN(2025,E3))),SUMIFS(Donnees_generations!$AH$3:$AH$113,Donnees_generations!$A$3:$A$113,MAX(1915,MIN(2025,E3))),SUMIFS(Donnees_generations!$AI$3:$AI$113,Donnees_generations!$A$3:$A$113,MAX(1915,MIN(2025,E3))),SUMIFS(Donnees_generations!$AJ$3:$AJ$113,Donnees_generations!$A$3:$A$113,MAX(1915,MIN(2025,E3)))))/2</f>
        <v/>
      </c>
      <c r="AJ3" s="8">
        <f>MAX(0,AH3+(AI3-AH3)*(K3-AG3)/2)</f>
        <v/>
      </c>
      <c r="AK3" s="8">
        <f>K3+AJ3</f>
        <v/>
      </c>
      <c r="AL3" s="14">
        <f>AE3*AJ3</f>
        <v/>
      </c>
      <c r="AM3" s="17">
        <f>V3/AL3</f>
        <v/>
      </c>
      <c r="AN3" s="17">
        <f>Z3/AL3</f>
        <v/>
      </c>
      <c r="AO3" s="33">
        <f>IF(V3+Z3=0,0,Z3/(V3+Z3))</f>
        <v/>
      </c>
      <c r="AP3" s="14">
        <f>AL3/V3*100</f>
        <v/>
      </c>
      <c r="AQ3" s="8">
        <f>P3/AL3*1000</f>
        <v/>
      </c>
      <c r="AR3" s="77">
        <f>MAX(N3,M3-1)</f>
        <v/>
      </c>
      <c r="AS3" s="14">
        <f>SUMIFS(Donnees_regimes!$R$3:$R$1118,Donnees_regimes!$A$3:$A$1118,C3,Donnees_regimes!$B$3:$B$1118,"&gt;="&amp;G3,Donnees_regimes!$B$3:$B$1118,"&lt;="&amp;N3)*L3/ROUNDUP(L3,0)*SUMIFS(Donnees_annuelles!$AG$3:$AG$188,Donnees_annuelles!$A$3:$A$188,AR3)*SUMIFS(Donnees_annuelles!$AA$3:$AA$188,Donnees_annuelles!$A$3:$A$188,AR3)</f>
        <v/>
      </c>
      <c r="AT3" s="36">
        <f>AS3/V3</f>
        <v/>
      </c>
      <c r="AU3" s="14">
        <f>AL3</f>
        <v/>
      </c>
      <c r="AV3" s="39">
        <f>AS3-AL3</f>
        <v/>
      </c>
      <c r="AW3" s="9">
        <f>AS3/AL3-1</f>
        <v/>
      </c>
      <c r="AX3" s="14">
        <f>AS3/AJ3/12</f>
        <v/>
      </c>
      <c r="AY3" s="14">
        <f>AF3</f>
        <v/>
      </c>
      <c r="AZ3" s="39">
        <f>AX3-AF3</f>
        <v/>
      </c>
      <c r="BA3" s="14">
        <f>SUMIFS(Donnees_regimes!$S$3:$S$1118,Donnees_regimes!$A$3:$A$1118,C3,Donnees_regimes!$B$3:$B$1118,"&gt;="&amp;G3,Donnees_regimes!$B$3:$B$1118,"&lt;="&amp;N3)*L3/ROUNDUP(L3,0)*SUMIFS(Donnees_annuelles!$AH$3:$AH$188,Donnees_annuelles!$A$3:$A$188,AR3)*SUMIFS(Donnees_annuelles!$AA$3:$AA$188,Donnees_annuelles!$A$3:$A$188,AR3)</f>
        <v/>
      </c>
      <c r="BB3" s="39">
        <f>BA3-AL3</f>
        <v/>
      </c>
      <c r="BC3" s="7">
        <f>IF(M3+AJ3&gt;2026,IF(G3&gt;2026,"entièrement projeté","en partie projeté"),"observé")</f>
        <v/>
      </c>
    </row>
    <row r="4">
      <c r="A4" s="7" t="inlineStr">
        <is>
          <t>Génération silencieuse</t>
        </is>
      </c>
      <c r="B4" s="84" t="inlineStr">
        <is>
          <t>Privé</t>
        </is>
      </c>
      <c r="C4" s="7">
        <f>IF(G4&gt;=SUMIFS(Regimes!$C$5:$C$10,Regimes!$A$5:$A$10,B4),"Privé",B4)</f>
        <v/>
      </c>
      <c r="D4" s="7">
        <f>INDEX(Regimes!$D$5:$D$10,MATCH(C4,Regimes!$A$5:$A$10,0))</f>
        <v/>
      </c>
      <c r="E4" s="88" t="n">
        <v>1929</v>
      </c>
      <c r="F4" s="8">
        <f>Donnees_generations!C17</f>
        <v/>
      </c>
      <c r="G4" s="77">
        <f>Donnees_generations!D17</f>
        <v/>
      </c>
      <c r="H4" s="8">
        <f>SUMIFS(Donnees_generations!$S$3:$S$113,Donnees_generations!$A$3:$A$113,MAX(1915,MIN(2025,E4)))</f>
        <v/>
      </c>
      <c r="I4" s="8">
        <f>SUMIFS(Donnees_generations!$T$3:$T$113,Donnees_generations!$A$3:$A$113,MAX(1915,MIN(2025,E4)))</f>
        <v/>
      </c>
      <c r="J4" s="8">
        <f>IF(G4&gt;=2000,MAX(I4,Parametres!$B$3),I4)</f>
        <v/>
      </c>
      <c r="K4" s="8">
        <f>IF(C4="Privé",J4,SUMIFS(Regles_regimes!$J$3:$J$2000,Regles_regimes!$A$3:$A$2000,C4,Regles_regimes!$B$3:$B$2000,D4,Regles_regimes!$C$3:$C$2000,MAX(1915,MIN(2025,E4))))</f>
        <v/>
      </c>
      <c r="L4" s="8">
        <f>IF(C4="Privé",H4,(K4-F4)*H4/(J4-F4))</f>
        <v/>
      </c>
      <c r="M4" s="77">
        <f>INT(E4+K4)</f>
        <v/>
      </c>
      <c r="N4" s="77">
        <f>G4+ROUNDUP(L4,0)-1</f>
        <v/>
      </c>
      <c r="O4" s="89">
        <f>SUMIFS(Regles_regimes!$K$3:$K$2000,Regles_regimes!$A$3:$A$2000,C4,Regles_regimes!$B$3:$B$2000,D4,Regles_regimes!$C$3:$C$2000,MAX(1915,MIN(2025,E4)))</f>
        <v/>
      </c>
      <c r="P4" s="13">
        <f>SUMIFS(Donnees_annuelles!$W$3:$W$188,Donnees_annuelles!$A$3:$A$188,"&gt;="&amp;G4,Donnees_annuelles!$A$3:$A$188,"&lt;="&amp;N4)*L4/ROUNDUP(L4,0)*O4</f>
        <v/>
      </c>
      <c r="Q4" s="13">
        <f>SUMIFS(Donnees_annuelles!$V$3:$V$188,Donnees_annuelles!$A$3:$A$188,"&gt;="&amp;G4,Donnees_annuelles!$A$3:$A$188,"&lt;="&amp;N4)*L4/ROUNDUP(L4,0)</f>
        <v/>
      </c>
      <c r="R4" s="13">
        <f>P4/L4</f>
        <v/>
      </c>
      <c r="S4" s="14">
        <f>SUMIFS(Donnees_annuelles!$D$3:$D$188,Donnees_annuelles!$A$3:$A$188,"&gt;="&amp;G4,Donnees_annuelles!$A$3:$A$188,"&lt;="&amp;N4)*L4/ROUNDUP(L4,0)</f>
        <v/>
      </c>
      <c r="T4" s="14">
        <f>SUMIFS(Donnees_regimes!$N$3:$N$1118,Donnees_regimes!$A$3:$A$1118,C4,Donnees_regimes!$B$3:$B$1118,"&gt;="&amp;G4,Donnees_regimes!$B$3:$B$1118,"&lt;="&amp;N4)*L4/ROUNDUP(L4,0)</f>
        <v/>
      </c>
      <c r="U4" s="14">
        <f>SUMIFS(Donnees_regimes!$O$3:$O$1118,Donnees_regimes!$A$3:$A$1118,C4,Donnees_regimes!$B$3:$B$1118,"&gt;="&amp;G4,Donnees_regimes!$B$3:$B$1118,"&lt;="&amp;N4)*L4/ROUNDUP(L4,0)</f>
        <v/>
      </c>
      <c r="V4" s="14">
        <f>T4+U4</f>
        <v/>
      </c>
      <c r="W4" s="33">
        <f>V4/S4</f>
        <v/>
      </c>
      <c r="X4" s="14">
        <f>S4+U4</f>
        <v/>
      </c>
      <c r="Y4" s="17">
        <f>V4/P4</f>
        <v/>
      </c>
      <c r="Z4" s="14">
        <f>SUMIFS(Donnees_regimes!$Q$3:$Q$1118,Donnees_regimes!$A$3:$A$1118,C4,Donnees_regimes!$B$3:$B$1118,"&gt;="&amp;G4,Donnees_regimes!$B$3:$B$1118,"&lt;="&amp;N4)*L4/ROUNDUP(L4,0)</f>
        <v/>
      </c>
      <c r="AA4" s="77">
        <f>SUMIFS(Regles_regimes!$F$3:$F$2000,Regles_regimes!$A$3:$A$2000,C4,Regles_regimes!$B$3:$B$2000,D4,Regles_regimes!$C$3:$C$2000,MAX(1915,MIN(2025,E4)))</f>
        <v/>
      </c>
      <c r="AB4" s="77">
        <f>IF(AND(SUMIFS(Regles_regimes!$L$3:$L$2000,Regles_regimes!$A$3:$A$2000,C4,Regles_regimes!$B$3:$B$2000,D4,Regles_regimes!$C$3:$C$2000,MAX(1915,MIN(2025,E4)))=1,G4&lt;2009,C4&lt;&gt;"Privé"),MIN(20,L4*4/5),0)</f>
        <v/>
      </c>
      <c r="AC4" s="89">
        <f>SUMIFS(Donnees_regimes!$M$3:$M$1118,Donnees_regimes!$A$3:$A$1118,C4,Donnees_regimes!$B$3:$B$1118,M4)</f>
        <v/>
      </c>
      <c r="AD4" s="14">
        <f>SUMIFS(Donnees_annuelles!$Y$3:$Y$188,Donnees_annuelles!$A$3:$A$188,M4)*SUMIFS(Donnees_generations!$I$3:$I$113,Donnees_generations!$A$3:$A$113,MAX(1915,MIN(2025,E4)))/H4</f>
        <v/>
      </c>
      <c r="AE4" s="14">
        <f>IF(C4="Privé",SUMIFS(Donnees_annuelles!$Y$3:$Y$188,Donnees_annuelles!$A$3:$A$188,M4)*MIN(L4,SUMIFS(Donnees_generations!$I$3:$I$113,Donnees_generations!$A$3:$A$113,MAX(1915,MIN(2025,E4))))/L4,AD4*AC4*MIN(IF(AB4&gt;0,0.8/0.75,1),(L4*4+AB4)/AA4))</f>
        <v/>
      </c>
      <c r="AF4" s="14">
        <f>AE4/12</f>
        <v/>
      </c>
      <c r="AG4" s="77">
        <f>MIN(68,MAX(56,2*INT(K4/2)))</f>
        <v/>
      </c>
      <c r="AH4" s="75">
        <f>(CHOOSE((AG4-56)/2+1,SUMIFS(Donnees_generations!$U$3:$U$113,Donnees_generations!$A$3:$A$113,MAX(1915,MIN(2025,E4))),SUMIFS(Donnees_generations!$V$3:$V$113,Donnees_generations!$A$3:$A$113,MAX(1915,MIN(2025,E4))),SUMIFS(Donnees_generations!$W$3:$W$113,Donnees_generations!$A$3:$A$113,MAX(1915,MIN(2025,E4))),SUMIFS(Donnees_generations!$X$3:$X$113,Donnees_generations!$A$3:$A$113,MAX(1915,MIN(2025,E4))),SUMIFS(Donnees_generations!$Y$3:$Y$113,Donnees_generations!$A$3:$A$113,MAX(1915,MIN(2025,E4))),SUMIFS(Donnees_generations!$Z$3:$Z$113,Donnees_generations!$A$3:$A$113,MAX(1915,MIN(2025,E4))),SUMIFS(Donnees_generations!$AA$3:$AA$113,Donnees_generations!$A$3:$A$113,MAX(1915,MIN(2025,E4))),SUMIFS(Donnees_generations!$AB$3:$AB$113,Donnees_generations!$A$3:$A$113,MAX(1915,MIN(2025,E4))))+CHOOSE((AG4-56)/2+1,SUMIFS(Donnees_generations!$AC$3:$AC$113,Donnees_generations!$A$3:$A$113,MAX(1915,MIN(2025,E4))),SUMIFS(Donnees_generations!$AD$3:$AD$113,Donnees_generations!$A$3:$A$113,MAX(1915,MIN(2025,E4))),SUMIFS(Donnees_generations!$AE$3:$AE$113,Donnees_generations!$A$3:$A$113,MAX(1915,MIN(2025,E4))),SUMIFS(Donnees_generations!$AF$3:$AF$113,Donnees_generations!$A$3:$A$113,MAX(1915,MIN(2025,E4))),SUMIFS(Donnees_generations!$AG$3:$AG$113,Donnees_generations!$A$3:$A$113,MAX(1915,MIN(2025,E4))),SUMIFS(Donnees_generations!$AH$3:$AH$113,Donnees_generations!$A$3:$A$113,MAX(1915,MIN(2025,E4))),SUMIFS(Donnees_generations!$AI$3:$AI$113,Donnees_generations!$A$3:$A$113,MAX(1915,MIN(2025,E4))),SUMIFS(Donnees_generations!$AJ$3:$AJ$113,Donnees_generations!$A$3:$A$113,MAX(1915,MIN(2025,E4)))))/2</f>
        <v/>
      </c>
      <c r="AI4" s="75">
        <f>(CHOOSE(((AG4+2)-56)/2+1,SUMIFS(Donnees_generations!$U$3:$U$113,Donnees_generations!$A$3:$A$113,MAX(1915,MIN(2025,E4))),SUMIFS(Donnees_generations!$V$3:$V$113,Donnees_generations!$A$3:$A$113,MAX(1915,MIN(2025,E4))),SUMIFS(Donnees_generations!$W$3:$W$113,Donnees_generations!$A$3:$A$113,MAX(1915,MIN(2025,E4))),SUMIFS(Donnees_generations!$X$3:$X$113,Donnees_generations!$A$3:$A$113,MAX(1915,MIN(2025,E4))),SUMIFS(Donnees_generations!$Y$3:$Y$113,Donnees_generations!$A$3:$A$113,MAX(1915,MIN(2025,E4))),SUMIFS(Donnees_generations!$Z$3:$Z$113,Donnees_generations!$A$3:$A$113,MAX(1915,MIN(2025,E4))),SUMIFS(Donnees_generations!$AA$3:$AA$113,Donnees_generations!$A$3:$A$113,MAX(1915,MIN(2025,E4))),SUMIFS(Donnees_generations!$AB$3:$AB$113,Donnees_generations!$A$3:$A$113,MAX(1915,MIN(2025,E4))))+CHOOSE(((AG4+2)-56)/2+1,SUMIFS(Donnees_generations!$AC$3:$AC$113,Donnees_generations!$A$3:$A$113,MAX(1915,MIN(2025,E4))),SUMIFS(Donnees_generations!$AD$3:$AD$113,Donnees_generations!$A$3:$A$113,MAX(1915,MIN(2025,E4))),SUMIFS(Donnees_generations!$AE$3:$AE$113,Donnees_generations!$A$3:$A$113,MAX(1915,MIN(2025,E4))),SUMIFS(Donnees_generations!$AF$3:$AF$113,Donnees_generations!$A$3:$A$113,MAX(1915,MIN(2025,E4))),SUMIFS(Donnees_generations!$AG$3:$AG$113,Donnees_generations!$A$3:$A$113,MAX(1915,MIN(2025,E4))),SUMIFS(Donnees_generations!$AH$3:$AH$113,Donnees_generations!$A$3:$A$113,MAX(1915,MIN(2025,E4))),SUMIFS(Donnees_generations!$AI$3:$AI$113,Donnees_generations!$A$3:$A$113,MAX(1915,MIN(2025,E4))),SUMIFS(Donnees_generations!$AJ$3:$AJ$113,Donnees_generations!$A$3:$A$113,MAX(1915,MIN(2025,E4)))))/2</f>
        <v/>
      </c>
      <c r="AJ4" s="8">
        <f>MAX(0,AH4+(AI4-AH4)*(K4-AG4)/2)</f>
        <v/>
      </c>
      <c r="AK4" s="8">
        <f>K4+AJ4</f>
        <v/>
      </c>
      <c r="AL4" s="14">
        <f>AE4*AJ4</f>
        <v/>
      </c>
      <c r="AM4" s="17">
        <f>V4/AL4</f>
        <v/>
      </c>
      <c r="AN4" s="17">
        <f>Z4/AL4</f>
        <v/>
      </c>
      <c r="AO4" s="33">
        <f>IF(V4+Z4=0,0,Z4/(V4+Z4))</f>
        <v/>
      </c>
      <c r="AP4" s="14">
        <f>AL4/V4*100</f>
        <v/>
      </c>
      <c r="AQ4" s="8">
        <f>P4/AL4*1000</f>
        <v/>
      </c>
      <c r="AR4" s="77">
        <f>MAX(N4,M4-1)</f>
        <v/>
      </c>
      <c r="AS4" s="14">
        <f>SUMIFS(Donnees_regimes!$R$3:$R$1118,Donnees_regimes!$A$3:$A$1118,C4,Donnees_regimes!$B$3:$B$1118,"&gt;="&amp;G4,Donnees_regimes!$B$3:$B$1118,"&lt;="&amp;N4)*L4/ROUNDUP(L4,0)*SUMIFS(Donnees_annuelles!$AG$3:$AG$188,Donnees_annuelles!$A$3:$A$188,AR4)*SUMIFS(Donnees_annuelles!$AA$3:$AA$188,Donnees_annuelles!$A$3:$A$188,AR4)</f>
        <v/>
      </c>
      <c r="AT4" s="36">
        <f>AS4/V4</f>
        <v/>
      </c>
      <c r="AU4" s="14">
        <f>AL4</f>
        <v/>
      </c>
      <c r="AV4" s="39">
        <f>AS4-AL4</f>
        <v/>
      </c>
      <c r="AW4" s="9">
        <f>AS4/AL4-1</f>
        <v/>
      </c>
      <c r="AX4" s="14">
        <f>AS4/AJ4/12</f>
        <v/>
      </c>
      <c r="AY4" s="14">
        <f>AF4</f>
        <v/>
      </c>
      <c r="AZ4" s="39">
        <f>AX4-AF4</f>
        <v/>
      </c>
      <c r="BA4" s="14">
        <f>SUMIFS(Donnees_regimes!$S$3:$S$1118,Donnees_regimes!$A$3:$A$1118,C4,Donnees_regimes!$B$3:$B$1118,"&gt;="&amp;G4,Donnees_regimes!$B$3:$B$1118,"&lt;="&amp;N4)*L4/ROUNDUP(L4,0)*SUMIFS(Donnees_annuelles!$AH$3:$AH$188,Donnees_annuelles!$A$3:$A$188,AR4)*SUMIFS(Donnees_annuelles!$AA$3:$AA$188,Donnees_annuelles!$A$3:$A$188,AR4)</f>
        <v/>
      </c>
      <c r="BB4" s="39">
        <f>BA4-AL4</f>
        <v/>
      </c>
      <c r="BC4" s="7">
        <f>IF(M4+AJ4&gt;2026,IF(G4&gt;2026,"entièrement projeté","en partie projeté"),"observé")</f>
        <v/>
      </c>
    </row>
    <row r="5">
      <c r="A5" s="7" t="inlineStr">
        <is>
          <t>Génération silencieuse</t>
        </is>
      </c>
      <c r="B5" s="84" t="inlineStr">
        <is>
          <t>Privé</t>
        </is>
      </c>
      <c r="C5" s="7">
        <f>IF(G5&gt;=SUMIFS(Regimes!$C$5:$C$10,Regimes!$A$5:$A$10,B5),"Privé",B5)</f>
        <v/>
      </c>
      <c r="D5" s="7">
        <f>INDEX(Regimes!$D$5:$D$10,MATCH(C5,Regimes!$A$5:$A$10,0))</f>
        <v/>
      </c>
      <c r="E5" s="88" t="n">
        <v>1930</v>
      </c>
      <c r="F5" s="8">
        <f>Donnees_generations!C18</f>
        <v/>
      </c>
      <c r="G5" s="77">
        <f>Donnees_generations!D18</f>
        <v/>
      </c>
      <c r="H5" s="8">
        <f>SUMIFS(Donnees_generations!$S$3:$S$113,Donnees_generations!$A$3:$A$113,MAX(1915,MIN(2025,E5)))</f>
        <v/>
      </c>
      <c r="I5" s="8">
        <f>SUMIFS(Donnees_generations!$T$3:$T$113,Donnees_generations!$A$3:$A$113,MAX(1915,MIN(2025,E5)))</f>
        <v/>
      </c>
      <c r="J5" s="8">
        <f>IF(G5&gt;=2000,MAX(I5,Parametres!$B$3),I5)</f>
        <v/>
      </c>
      <c r="K5" s="8">
        <f>IF(C5="Privé",J5,SUMIFS(Regles_regimes!$J$3:$J$2000,Regles_regimes!$A$3:$A$2000,C5,Regles_regimes!$B$3:$B$2000,D5,Regles_regimes!$C$3:$C$2000,MAX(1915,MIN(2025,E5))))</f>
        <v/>
      </c>
      <c r="L5" s="8">
        <f>IF(C5="Privé",H5,(K5-F5)*H5/(J5-F5))</f>
        <v/>
      </c>
      <c r="M5" s="77">
        <f>INT(E5+K5)</f>
        <v/>
      </c>
      <c r="N5" s="77">
        <f>G5+ROUNDUP(L5,0)-1</f>
        <v/>
      </c>
      <c r="O5" s="89">
        <f>SUMIFS(Regles_regimes!$K$3:$K$2000,Regles_regimes!$A$3:$A$2000,C5,Regles_regimes!$B$3:$B$2000,D5,Regles_regimes!$C$3:$C$2000,MAX(1915,MIN(2025,E5)))</f>
        <v/>
      </c>
      <c r="P5" s="13">
        <f>SUMIFS(Donnees_annuelles!$W$3:$W$188,Donnees_annuelles!$A$3:$A$188,"&gt;="&amp;G5,Donnees_annuelles!$A$3:$A$188,"&lt;="&amp;N5)*L5/ROUNDUP(L5,0)*O5</f>
        <v/>
      </c>
      <c r="Q5" s="13">
        <f>SUMIFS(Donnees_annuelles!$V$3:$V$188,Donnees_annuelles!$A$3:$A$188,"&gt;="&amp;G5,Donnees_annuelles!$A$3:$A$188,"&lt;="&amp;N5)*L5/ROUNDUP(L5,0)</f>
        <v/>
      </c>
      <c r="R5" s="13">
        <f>P5/L5</f>
        <v/>
      </c>
      <c r="S5" s="14">
        <f>SUMIFS(Donnees_annuelles!$D$3:$D$188,Donnees_annuelles!$A$3:$A$188,"&gt;="&amp;G5,Donnees_annuelles!$A$3:$A$188,"&lt;="&amp;N5)*L5/ROUNDUP(L5,0)</f>
        <v/>
      </c>
      <c r="T5" s="14">
        <f>SUMIFS(Donnees_regimes!$N$3:$N$1118,Donnees_regimes!$A$3:$A$1118,C5,Donnees_regimes!$B$3:$B$1118,"&gt;="&amp;G5,Donnees_regimes!$B$3:$B$1118,"&lt;="&amp;N5)*L5/ROUNDUP(L5,0)</f>
        <v/>
      </c>
      <c r="U5" s="14">
        <f>SUMIFS(Donnees_regimes!$O$3:$O$1118,Donnees_regimes!$A$3:$A$1118,C5,Donnees_regimes!$B$3:$B$1118,"&gt;="&amp;G5,Donnees_regimes!$B$3:$B$1118,"&lt;="&amp;N5)*L5/ROUNDUP(L5,0)</f>
        <v/>
      </c>
      <c r="V5" s="14">
        <f>T5+U5</f>
        <v/>
      </c>
      <c r="W5" s="33">
        <f>V5/S5</f>
        <v/>
      </c>
      <c r="X5" s="14">
        <f>S5+U5</f>
        <v/>
      </c>
      <c r="Y5" s="17">
        <f>V5/P5</f>
        <v/>
      </c>
      <c r="Z5" s="14">
        <f>SUMIFS(Donnees_regimes!$Q$3:$Q$1118,Donnees_regimes!$A$3:$A$1118,C5,Donnees_regimes!$B$3:$B$1118,"&gt;="&amp;G5,Donnees_regimes!$B$3:$B$1118,"&lt;="&amp;N5)*L5/ROUNDUP(L5,0)</f>
        <v/>
      </c>
      <c r="AA5" s="77">
        <f>SUMIFS(Regles_regimes!$F$3:$F$2000,Regles_regimes!$A$3:$A$2000,C5,Regles_regimes!$B$3:$B$2000,D5,Regles_regimes!$C$3:$C$2000,MAX(1915,MIN(2025,E5)))</f>
        <v/>
      </c>
      <c r="AB5" s="77">
        <f>IF(AND(SUMIFS(Regles_regimes!$L$3:$L$2000,Regles_regimes!$A$3:$A$2000,C5,Regles_regimes!$B$3:$B$2000,D5,Regles_regimes!$C$3:$C$2000,MAX(1915,MIN(2025,E5)))=1,G5&lt;2009,C5&lt;&gt;"Privé"),MIN(20,L5*4/5),0)</f>
        <v/>
      </c>
      <c r="AC5" s="89">
        <f>SUMIFS(Donnees_regimes!$M$3:$M$1118,Donnees_regimes!$A$3:$A$1118,C5,Donnees_regimes!$B$3:$B$1118,M5)</f>
        <v/>
      </c>
      <c r="AD5" s="14">
        <f>SUMIFS(Donnees_annuelles!$Y$3:$Y$188,Donnees_annuelles!$A$3:$A$188,M5)*SUMIFS(Donnees_generations!$I$3:$I$113,Donnees_generations!$A$3:$A$113,MAX(1915,MIN(2025,E5)))/H5</f>
        <v/>
      </c>
      <c r="AE5" s="14">
        <f>IF(C5="Privé",SUMIFS(Donnees_annuelles!$Y$3:$Y$188,Donnees_annuelles!$A$3:$A$188,M5)*MIN(L5,SUMIFS(Donnees_generations!$I$3:$I$113,Donnees_generations!$A$3:$A$113,MAX(1915,MIN(2025,E5))))/L5,AD5*AC5*MIN(IF(AB5&gt;0,0.8/0.75,1),(L5*4+AB5)/AA5))</f>
        <v/>
      </c>
      <c r="AF5" s="14">
        <f>AE5/12</f>
        <v/>
      </c>
      <c r="AG5" s="77">
        <f>MIN(68,MAX(56,2*INT(K5/2)))</f>
        <v/>
      </c>
      <c r="AH5" s="75">
        <f>(CHOOSE((AG5-56)/2+1,SUMIFS(Donnees_generations!$U$3:$U$113,Donnees_generations!$A$3:$A$113,MAX(1915,MIN(2025,E5))),SUMIFS(Donnees_generations!$V$3:$V$113,Donnees_generations!$A$3:$A$113,MAX(1915,MIN(2025,E5))),SUMIFS(Donnees_generations!$W$3:$W$113,Donnees_generations!$A$3:$A$113,MAX(1915,MIN(2025,E5))),SUMIFS(Donnees_generations!$X$3:$X$113,Donnees_generations!$A$3:$A$113,MAX(1915,MIN(2025,E5))),SUMIFS(Donnees_generations!$Y$3:$Y$113,Donnees_generations!$A$3:$A$113,MAX(1915,MIN(2025,E5))),SUMIFS(Donnees_generations!$Z$3:$Z$113,Donnees_generations!$A$3:$A$113,MAX(1915,MIN(2025,E5))),SUMIFS(Donnees_generations!$AA$3:$AA$113,Donnees_generations!$A$3:$A$113,MAX(1915,MIN(2025,E5))),SUMIFS(Donnees_generations!$AB$3:$AB$113,Donnees_generations!$A$3:$A$113,MAX(1915,MIN(2025,E5))))+CHOOSE((AG5-56)/2+1,SUMIFS(Donnees_generations!$AC$3:$AC$113,Donnees_generations!$A$3:$A$113,MAX(1915,MIN(2025,E5))),SUMIFS(Donnees_generations!$AD$3:$AD$113,Donnees_generations!$A$3:$A$113,MAX(1915,MIN(2025,E5))),SUMIFS(Donnees_generations!$AE$3:$AE$113,Donnees_generations!$A$3:$A$113,MAX(1915,MIN(2025,E5))),SUMIFS(Donnees_generations!$AF$3:$AF$113,Donnees_generations!$A$3:$A$113,MAX(1915,MIN(2025,E5))),SUMIFS(Donnees_generations!$AG$3:$AG$113,Donnees_generations!$A$3:$A$113,MAX(1915,MIN(2025,E5))),SUMIFS(Donnees_generations!$AH$3:$AH$113,Donnees_generations!$A$3:$A$113,MAX(1915,MIN(2025,E5))),SUMIFS(Donnees_generations!$AI$3:$AI$113,Donnees_generations!$A$3:$A$113,MAX(1915,MIN(2025,E5))),SUMIFS(Donnees_generations!$AJ$3:$AJ$113,Donnees_generations!$A$3:$A$113,MAX(1915,MIN(2025,E5)))))/2</f>
        <v/>
      </c>
      <c r="AI5" s="75">
        <f>(CHOOSE(((AG5+2)-56)/2+1,SUMIFS(Donnees_generations!$U$3:$U$113,Donnees_generations!$A$3:$A$113,MAX(1915,MIN(2025,E5))),SUMIFS(Donnees_generations!$V$3:$V$113,Donnees_generations!$A$3:$A$113,MAX(1915,MIN(2025,E5))),SUMIFS(Donnees_generations!$W$3:$W$113,Donnees_generations!$A$3:$A$113,MAX(1915,MIN(2025,E5))),SUMIFS(Donnees_generations!$X$3:$X$113,Donnees_generations!$A$3:$A$113,MAX(1915,MIN(2025,E5))),SUMIFS(Donnees_generations!$Y$3:$Y$113,Donnees_generations!$A$3:$A$113,MAX(1915,MIN(2025,E5))),SUMIFS(Donnees_generations!$Z$3:$Z$113,Donnees_generations!$A$3:$A$113,MAX(1915,MIN(2025,E5))),SUMIFS(Donnees_generations!$AA$3:$AA$113,Donnees_generations!$A$3:$A$113,MAX(1915,MIN(2025,E5))),SUMIFS(Donnees_generations!$AB$3:$AB$113,Donnees_generations!$A$3:$A$113,MAX(1915,MIN(2025,E5))))+CHOOSE(((AG5+2)-56)/2+1,SUMIFS(Donnees_generations!$AC$3:$AC$113,Donnees_generations!$A$3:$A$113,MAX(1915,MIN(2025,E5))),SUMIFS(Donnees_generations!$AD$3:$AD$113,Donnees_generations!$A$3:$A$113,MAX(1915,MIN(2025,E5))),SUMIFS(Donnees_generations!$AE$3:$AE$113,Donnees_generations!$A$3:$A$113,MAX(1915,MIN(2025,E5))),SUMIFS(Donnees_generations!$AF$3:$AF$113,Donnees_generations!$A$3:$A$113,MAX(1915,MIN(2025,E5))),SUMIFS(Donnees_generations!$AG$3:$AG$113,Donnees_generations!$A$3:$A$113,MAX(1915,MIN(2025,E5))),SUMIFS(Donnees_generations!$AH$3:$AH$113,Donnees_generations!$A$3:$A$113,MAX(1915,MIN(2025,E5))),SUMIFS(Donnees_generations!$AI$3:$AI$113,Donnees_generations!$A$3:$A$113,MAX(1915,MIN(2025,E5))),SUMIFS(Donnees_generations!$AJ$3:$AJ$113,Donnees_generations!$A$3:$A$113,MAX(1915,MIN(2025,E5)))))/2</f>
        <v/>
      </c>
      <c r="AJ5" s="8">
        <f>MAX(0,AH5+(AI5-AH5)*(K5-AG5)/2)</f>
        <v/>
      </c>
      <c r="AK5" s="8">
        <f>K5+AJ5</f>
        <v/>
      </c>
      <c r="AL5" s="14">
        <f>AE5*AJ5</f>
        <v/>
      </c>
      <c r="AM5" s="17">
        <f>V5/AL5</f>
        <v/>
      </c>
      <c r="AN5" s="17">
        <f>Z5/AL5</f>
        <v/>
      </c>
      <c r="AO5" s="33">
        <f>IF(V5+Z5=0,0,Z5/(V5+Z5))</f>
        <v/>
      </c>
      <c r="AP5" s="14">
        <f>AL5/V5*100</f>
        <v/>
      </c>
      <c r="AQ5" s="8">
        <f>P5/AL5*1000</f>
        <v/>
      </c>
      <c r="AR5" s="77">
        <f>MAX(N5,M5-1)</f>
        <v/>
      </c>
      <c r="AS5" s="14">
        <f>SUMIFS(Donnees_regimes!$R$3:$R$1118,Donnees_regimes!$A$3:$A$1118,C5,Donnees_regimes!$B$3:$B$1118,"&gt;="&amp;G5,Donnees_regimes!$B$3:$B$1118,"&lt;="&amp;N5)*L5/ROUNDUP(L5,0)*SUMIFS(Donnees_annuelles!$AG$3:$AG$188,Donnees_annuelles!$A$3:$A$188,AR5)*SUMIFS(Donnees_annuelles!$AA$3:$AA$188,Donnees_annuelles!$A$3:$A$188,AR5)</f>
        <v/>
      </c>
      <c r="AT5" s="36">
        <f>AS5/V5</f>
        <v/>
      </c>
      <c r="AU5" s="14">
        <f>AL5</f>
        <v/>
      </c>
      <c r="AV5" s="39">
        <f>AS5-AL5</f>
        <v/>
      </c>
      <c r="AW5" s="9">
        <f>AS5/AL5-1</f>
        <v/>
      </c>
      <c r="AX5" s="14">
        <f>AS5/AJ5/12</f>
        <v/>
      </c>
      <c r="AY5" s="14">
        <f>AF5</f>
        <v/>
      </c>
      <c r="AZ5" s="39">
        <f>AX5-AF5</f>
        <v/>
      </c>
      <c r="BA5" s="14">
        <f>SUMIFS(Donnees_regimes!$S$3:$S$1118,Donnees_regimes!$A$3:$A$1118,C5,Donnees_regimes!$B$3:$B$1118,"&gt;="&amp;G5,Donnees_regimes!$B$3:$B$1118,"&lt;="&amp;N5)*L5/ROUNDUP(L5,0)*SUMIFS(Donnees_annuelles!$AH$3:$AH$188,Donnees_annuelles!$A$3:$A$188,AR5)*SUMIFS(Donnees_annuelles!$AA$3:$AA$188,Donnees_annuelles!$A$3:$A$188,AR5)</f>
        <v/>
      </c>
      <c r="BB5" s="39">
        <f>BA5-AL5</f>
        <v/>
      </c>
      <c r="BC5" s="7">
        <f>IF(M5+AJ5&gt;2026,IF(G5&gt;2026,"entièrement projeté","en partie projeté"),"observé")</f>
        <v/>
      </c>
    </row>
    <row r="6">
      <c r="A6" s="7" t="inlineStr">
        <is>
          <t>Génération silencieuse</t>
        </is>
      </c>
      <c r="B6" s="84" t="inlineStr">
        <is>
          <t>Privé</t>
        </is>
      </c>
      <c r="C6" s="7">
        <f>IF(G6&gt;=SUMIFS(Regimes!$C$5:$C$10,Regimes!$A$5:$A$10,B6),"Privé",B6)</f>
        <v/>
      </c>
      <c r="D6" s="7">
        <f>INDEX(Regimes!$D$5:$D$10,MATCH(C6,Regimes!$A$5:$A$10,0))</f>
        <v/>
      </c>
      <c r="E6" s="88" t="n">
        <v>1931</v>
      </c>
      <c r="F6" s="8">
        <f>Donnees_generations!C19</f>
        <v/>
      </c>
      <c r="G6" s="77">
        <f>Donnees_generations!D19</f>
        <v/>
      </c>
      <c r="H6" s="8">
        <f>SUMIFS(Donnees_generations!$S$3:$S$113,Donnees_generations!$A$3:$A$113,MAX(1915,MIN(2025,E6)))</f>
        <v/>
      </c>
      <c r="I6" s="8">
        <f>SUMIFS(Donnees_generations!$T$3:$T$113,Donnees_generations!$A$3:$A$113,MAX(1915,MIN(2025,E6)))</f>
        <v/>
      </c>
      <c r="J6" s="8">
        <f>IF(G6&gt;=2000,MAX(I6,Parametres!$B$3),I6)</f>
        <v/>
      </c>
      <c r="K6" s="8">
        <f>IF(C6="Privé",J6,SUMIFS(Regles_regimes!$J$3:$J$2000,Regles_regimes!$A$3:$A$2000,C6,Regles_regimes!$B$3:$B$2000,D6,Regles_regimes!$C$3:$C$2000,MAX(1915,MIN(2025,E6))))</f>
        <v/>
      </c>
      <c r="L6" s="8">
        <f>IF(C6="Privé",H6,(K6-F6)*H6/(J6-F6))</f>
        <v/>
      </c>
      <c r="M6" s="77">
        <f>INT(E6+K6)</f>
        <v/>
      </c>
      <c r="N6" s="77">
        <f>G6+ROUNDUP(L6,0)-1</f>
        <v/>
      </c>
      <c r="O6" s="89">
        <f>SUMIFS(Regles_regimes!$K$3:$K$2000,Regles_regimes!$A$3:$A$2000,C6,Regles_regimes!$B$3:$B$2000,D6,Regles_regimes!$C$3:$C$2000,MAX(1915,MIN(2025,E6)))</f>
        <v/>
      </c>
      <c r="P6" s="13">
        <f>SUMIFS(Donnees_annuelles!$W$3:$W$188,Donnees_annuelles!$A$3:$A$188,"&gt;="&amp;G6,Donnees_annuelles!$A$3:$A$188,"&lt;="&amp;N6)*L6/ROUNDUP(L6,0)*O6</f>
        <v/>
      </c>
      <c r="Q6" s="13">
        <f>SUMIFS(Donnees_annuelles!$V$3:$V$188,Donnees_annuelles!$A$3:$A$188,"&gt;="&amp;G6,Donnees_annuelles!$A$3:$A$188,"&lt;="&amp;N6)*L6/ROUNDUP(L6,0)</f>
        <v/>
      </c>
      <c r="R6" s="13">
        <f>P6/L6</f>
        <v/>
      </c>
      <c r="S6" s="14">
        <f>SUMIFS(Donnees_annuelles!$D$3:$D$188,Donnees_annuelles!$A$3:$A$188,"&gt;="&amp;G6,Donnees_annuelles!$A$3:$A$188,"&lt;="&amp;N6)*L6/ROUNDUP(L6,0)</f>
        <v/>
      </c>
      <c r="T6" s="14">
        <f>SUMIFS(Donnees_regimes!$N$3:$N$1118,Donnees_regimes!$A$3:$A$1118,C6,Donnees_regimes!$B$3:$B$1118,"&gt;="&amp;G6,Donnees_regimes!$B$3:$B$1118,"&lt;="&amp;N6)*L6/ROUNDUP(L6,0)</f>
        <v/>
      </c>
      <c r="U6" s="14">
        <f>SUMIFS(Donnees_regimes!$O$3:$O$1118,Donnees_regimes!$A$3:$A$1118,C6,Donnees_regimes!$B$3:$B$1118,"&gt;="&amp;G6,Donnees_regimes!$B$3:$B$1118,"&lt;="&amp;N6)*L6/ROUNDUP(L6,0)</f>
        <v/>
      </c>
      <c r="V6" s="14">
        <f>T6+U6</f>
        <v/>
      </c>
      <c r="W6" s="33">
        <f>V6/S6</f>
        <v/>
      </c>
      <c r="X6" s="14">
        <f>S6+U6</f>
        <v/>
      </c>
      <c r="Y6" s="17">
        <f>V6/P6</f>
        <v/>
      </c>
      <c r="Z6" s="14">
        <f>SUMIFS(Donnees_regimes!$Q$3:$Q$1118,Donnees_regimes!$A$3:$A$1118,C6,Donnees_regimes!$B$3:$B$1118,"&gt;="&amp;G6,Donnees_regimes!$B$3:$B$1118,"&lt;="&amp;N6)*L6/ROUNDUP(L6,0)</f>
        <v/>
      </c>
      <c r="AA6" s="77">
        <f>SUMIFS(Regles_regimes!$F$3:$F$2000,Regles_regimes!$A$3:$A$2000,C6,Regles_regimes!$B$3:$B$2000,D6,Regles_regimes!$C$3:$C$2000,MAX(1915,MIN(2025,E6)))</f>
        <v/>
      </c>
      <c r="AB6" s="77">
        <f>IF(AND(SUMIFS(Regles_regimes!$L$3:$L$2000,Regles_regimes!$A$3:$A$2000,C6,Regles_regimes!$B$3:$B$2000,D6,Regles_regimes!$C$3:$C$2000,MAX(1915,MIN(2025,E6)))=1,G6&lt;2009,C6&lt;&gt;"Privé"),MIN(20,L6*4/5),0)</f>
        <v/>
      </c>
      <c r="AC6" s="89">
        <f>SUMIFS(Donnees_regimes!$M$3:$M$1118,Donnees_regimes!$A$3:$A$1118,C6,Donnees_regimes!$B$3:$B$1118,M6)</f>
        <v/>
      </c>
      <c r="AD6" s="14">
        <f>SUMIFS(Donnees_annuelles!$Y$3:$Y$188,Donnees_annuelles!$A$3:$A$188,M6)*SUMIFS(Donnees_generations!$I$3:$I$113,Donnees_generations!$A$3:$A$113,MAX(1915,MIN(2025,E6)))/H6</f>
        <v/>
      </c>
      <c r="AE6" s="14">
        <f>IF(C6="Privé",SUMIFS(Donnees_annuelles!$Y$3:$Y$188,Donnees_annuelles!$A$3:$A$188,M6)*MIN(L6,SUMIFS(Donnees_generations!$I$3:$I$113,Donnees_generations!$A$3:$A$113,MAX(1915,MIN(2025,E6))))/L6,AD6*AC6*MIN(IF(AB6&gt;0,0.8/0.75,1),(L6*4+AB6)/AA6))</f>
        <v/>
      </c>
      <c r="AF6" s="14">
        <f>AE6/12</f>
        <v/>
      </c>
      <c r="AG6" s="77">
        <f>MIN(68,MAX(56,2*INT(K6/2)))</f>
        <v/>
      </c>
      <c r="AH6" s="75">
        <f>(CHOOSE((AG6-56)/2+1,SUMIFS(Donnees_generations!$U$3:$U$113,Donnees_generations!$A$3:$A$113,MAX(1915,MIN(2025,E6))),SUMIFS(Donnees_generations!$V$3:$V$113,Donnees_generations!$A$3:$A$113,MAX(1915,MIN(2025,E6))),SUMIFS(Donnees_generations!$W$3:$W$113,Donnees_generations!$A$3:$A$113,MAX(1915,MIN(2025,E6))),SUMIFS(Donnees_generations!$X$3:$X$113,Donnees_generations!$A$3:$A$113,MAX(1915,MIN(2025,E6))),SUMIFS(Donnees_generations!$Y$3:$Y$113,Donnees_generations!$A$3:$A$113,MAX(1915,MIN(2025,E6))),SUMIFS(Donnees_generations!$Z$3:$Z$113,Donnees_generations!$A$3:$A$113,MAX(1915,MIN(2025,E6))),SUMIFS(Donnees_generations!$AA$3:$AA$113,Donnees_generations!$A$3:$A$113,MAX(1915,MIN(2025,E6))),SUMIFS(Donnees_generations!$AB$3:$AB$113,Donnees_generations!$A$3:$A$113,MAX(1915,MIN(2025,E6))))+CHOOSE((AG6-56)/2+1,SUMIFS(Donnees_generations!$AC$3:$AC$113,Donnees_generations!$A$3:$A$113,MAX(1915,MIN(2025,E6))),SUMIFS(Donnees_generations!$AD$3:$AD$113,Donnees_generations!$A$3:$A$113,MAX(1915,MIN(2025,E6))),SUMIFS(Donnees_generations!$AE$3:$AE$113,Donnees_generations!$A$3:$A$113,MAX(1915,MIN(2025,E6))),SUMIFS(Donnees_generations!$AF$3:$AF$113,Donnees_generations!$A$3:$A$113,MAX(1915,MIN(2025,E6))),SUMIFS(Donnees_generations!$AG$3:$AG$113,Donnees_generations!$A$3:$A$113,MAX(1915,MIN(2025,E6))),SUMIFS(Donnees_generations!$AH$3:$AH$113,Donnees_generations!$A$3:$A$113,MAX(1915,MIN(2025,E6))),SUMIFS(Donnees_generations!$AI$3:$AI$113,Donnees_generations!$A$3:$A$113,MAX(1915,MIN(2025,E6))),SUMIFS(Donnees_generations!$AJ$3:$AJ$113,Donnees_generations!$A$3:$A$113,MAX(1915,MIN(2025,E6)))))/2</f>
        <v/>
      </c>
      <c r="AI6" s="75">
        <f>(CHOOSE(((AG6+2)-56)/2+1,SUMIFS(Donnees_generations!$U$3:$U$113,Donnees_generations!$A$3:$A$113,MAX(1915,MIN(2025,E6))),SUMIFS(Donnees_generations!$V$3:$V$113,Donnees_generations!$A$3:$A$113,MAX(1915,MIN(2025,E6))),SUMIFS(Donnees_generations!$W$3:$W$113,Donnees_generations!$A$3:$A$113,MAX(1915,MIN(2025,E6))),SUMIFS(Donnees_generations!$X$3:$X$113,Donnees_generations!$A$3:$A$113,MAX(1915,MIN(2025,E6))),SUMIFS(Donnees_generations!$Y$3:$Y$113,Donnees_generations!$A$3:$A$113,MAX(1915,MIN(2025,E6))),SUMIFS(Donnees_generations!$Z$3:$Z$113,Donnees_generations!$A$3:$A$113,MAX(1915,MIN(2025,E6))),SUMIFS(Donnees_generations!$AA$3:$AA$113,Donnees_generations!$A$3:$A$113,MAX(1915,MIN(2025,E6))),SUMIFS(Donnees_generations!$AB$3:$AB$113,Donnees_generations!$A$3:$A$113,MAX(1915,MIN(2025,E6))))+CHOOSE(((AG6+2)-56)/2+1,SUMIFS(Donnees_generations!$AC$3:$AC$113,Donnees_generations!$A$3:$A$113,MAX(1915,MIN(2025,E6))),SUMIFS(Donnees_generations!$AD$3:$AD$113,Donnees_generations!$A$3:$A$113,MAX(1915,MIN(2025,E6))),SUMIFS(Donnees_generations!$AE$3:$AE$113,Donnees_generations!$A$3:$A$113,MAX(1915,MIN(2025,E6))),SUMIFS(Donnees_generations!$AF$3:$AF$113,Donnees_generations!$A$3:$A$113,MAX(1915,MIN(2025,E6))),SUMIFS(Donnees_generations!$AG$3:$AG$113,Donnees_generations!$A$3:$A$113,MAX(1915,MIN(2025,E6))),SUMIFS(Donnees_generations!$AH$3:$AH$113,Donnees_generations!$A$3:$A$113,MAX(1915,MIN(2025,E6))),SUMIFS(Donnees_generations!$AI$3:$AI$113,Donnees_generations!$A$3:$A$113,MAX(1915,MIN(2025,E6))),SUMIFS(Donnees_generations!$AJ$3:$AJ$113,Donnees_generations!$A$3:$A$113,MAX(1915,MIN(2025,E6)))))/2</f>
        <v/>
      </c>
      <c r="AJ6" s="8">
        <f>MAX(0,AH6+(AI6-AH6)*(K6-AG6)/2)</f>
        <v/>
      </c>
      <c r="AK6" s="8">
        <f>K6+AJ6</f>
        <v/>
      </c>
      <c r="AL6" s="14">
        <f>AE6*AJ6</f>
        <v/>
      </c>
      <c r="AM6" s="17">
        <f>V6/AL6</f>
        <v/>
      </c>
      <c r="AN6" s="17">
        <f>Z6/AL6</f>
        <v/>
      </c>
      <c r="AO6" s="33">
        <f>IF(V6+Z6=0,0,Z6/(V6+Z6))</f>
        <v/>
      </c>
      <c r="AP6" s="14">
        <f>AL6/V6*100</f>
        <v/>
      </c>
      <c r="AQ6" s="8">
        <f>P6/AL6*1000</f>
        <v/>
      </c>
      <c r="AR6" s="77">
        <f>MAX(N6,M6-1)</f>
        <v/>
      </c>
      <c r="AS6" s="14">
        <f>SUMIFS(Donnees_regimes!$R$3:$R$1118,Donnees_regimes!$A$3:$A$1118,C6,Donnees_regimes!$B$3:$B$1118,"&gt;="&amp;G6,Donnees_regimes!$B$3:$B$1118,"&lt;="&amp;N6)*L6/ROUNDUP(L6,0)*SUMIFS(Donnees_annuelles!$AG$3:$AG$188,Donnees_annuelles!$A$3:$A$188,AR6)*SUMIFS(Donnees_annuelles!$AA$3:$AA$188,Donnees_annuelles!$A$3:$A$188,AR6)</f>
        <v/>
      </c>
      <c r="AT6" s="36">
        <f>AS6/V6</f>
        <v/>
      </c>
      <c r="AU6" s="14">
        <f>AL6</f>
        <v/>
      </c>
      <c r="AV6" s="39">
        <f>AS6-AL6</f>
        <v/>
      </c>
      <c r="AW6" s="9">
        <f>AS6/AL6-1</f>
        <v/>
      </c>
      <c r="AX6" s="14">
        <f>AS6/AJ6/12</f>
        <v/>
      </c>
      <c r="AY6" s="14">
        <f>AF6</f>
        <v/>
      </c>
      <c r="AZ6" s="39">
        <f>AX6-AF6</f>
        <v/>
      </c>
      <c r="BA6" s="14">
        <f>SUMIFS(Donnees_regimes!$S$3:$S$1118,Donnees_regimes!$A$3:$A$1118,C6,Donnees_regimes!$B$3:$B$1118,"&gt;="&amp;G6,Donnees_regimes!$B$3:$B$1118,"&lt;="&amp;N6)*L6/ROUNDUP(L6,0)*SUMIFS(Donnees_annuelles!$AH$3:$AH$188,Donnees_annuelles!$A$3:$A$188,AR6)*SUMIFS(Donnees_annuelles!$AA$3:$AA$188,Donnees_annuelles!$A$3:$A$188,AR6)</f>
        <v/>
      </c>
      <c r="BB6" s="39">
        <f>BA6-AL6</f>
        <v/>
      </c>
      <c r="BC6" s="7">
        <f>IF(M6+AJ6&gt;2026,IF(G6&gt;2026,"entièrement projeté","en partie projeté"),"observé")</f>
        <v/>
      </c>
    </row>
    <row r="7">
      <c r="A7" s="7" t="inlineStr">
        <is>
          <t>Génération silencieuse</t>
        </is>
      </c>
      <c r="B7" s="84" t="inlineStr">
        <is>
          <t>Privé</t>
        </is>
      </c>
      <c r="C7" s="7">
        <f>IF(G7&gt;=SUMIFS(Regimes!$C$5:$C$10,Regimes!$A$5:$A$10,B7),"Privé",B7)</f>
        <v/>
      </c>
      <c r="D7" s="7">
        <f>INDEX(Regimes!$D$5:$D$10,MATCH(C7,Regimes!$A$5:$A$10,0))</f>
        <v/>
      </c>
      <c r="E7" s="88" t="n">
        <v>1932</v>
      </c>
      <c r="F7" s="8">
        <f>Donnees_generations!C20</f>
        <v/>
      </c>
      <c r="G7" s="77">
        <f>Donnees_generations!D20</f>
        <v/>
      </c>
      <c r="H7" s="8">
        <f>SUMIFS(Donnees_generations!$S$3:$S$113,Donnees_generations!$A$3:$A$113,MAX(1915,MIN(2025,E7)))</f>
        <v/>
      </c>
      <c r="I7" s="8">
        <f>SUMIFS(Donnees_generations!$T$3:$T$113,Donnees_generations!$A$3:$A$113,MAX(1915,MIN(2025,E7)))</f>
        <v/>
      </c>
      <c r="J7" s="8">
        <f>IF(G7&gt;=2000,MAX(I7,Parametres!$B$3),I7)</f>
        <v/>
      </c>
      <c r="K7" s="8">
        <f>IF(C7="Privé",J7,SUMIFS(Regles_regimes!$J$3:$J$2000,Regles_regimes!$A$3:$A$2000,C7,Regles_regimes!$B$3:$B$2000,D7,Regles_regimes!$C$3:$C$2000,MAX(1915,MIN(2025,E7))))</f>
        <v/>
      </c>
      <c r="L7" s="8">
        <f>IF(C7="Privé",H7,(K7-F7)*H7/(J7-F7))</f>
        <v/>
      </c>
      <c r="M7" s="77">
        <f>INT(E7+K7)</f>
        <v/>
      </c>
      <c r="N7" s="77">
        <f>G7+ROUNDUP(L7,0)-1</f>
        <v/>
      </c>
      <c r="O7" s="89">
        <f>SUMIFS(Regles_regimes!$K$3:$K$2000,Regles_regimes!$A$3:$A$2000,C7,Regles_regimes!$B$3:$B$2000,D7,Regles_regimes!$C$3:$C$2000,MAX(1915,MIN(2025,E7)))</f>
        <v/>
      </c>
      <c r="P7" s="13">
        <f>SUMIFS(Donnees_annuelles!$W$3:$W$188,Donnees_annuelles!$A$3:$A$188,"&gt;="&amp;G7,Donnees_annuelles!$A$3:$A$188,"&lt;="&amp;N7)*L7/ROUNDUP(L7,0)*O7</f>
        <v/>
      </c>
      <c r="Q7" s="13">
        <f>SUMIFS(Donnees_annuelles!$V$3:$V$188,Donnees_annuelles!$A$3:$A$188,"&gt;="&amp;G7,Donnees_annuelles!$A$3:$A$188,"&lt;="&amp;N7)*L7/ROUNDUP(L7,0)</f>
        <v/>
      </c>
      <c r="R7" s="13">
        <f>P7/L7</f>
        <v/>
      </c>
      <c r="S7" s="14">
        <f>SUMIFS(Donnees_annuelles!$D$3:$D$188,Donnees_annuelles!$A$3:$A$188,"&gt;="&amp;G7,Donnees_annuelles!$A$3:$A$188,"&lt;="&amp;N7)*L7/ROUNDUP(L7,0)</f>
        <v/>
      </c>
      <c r="T7" s="14">
        <f>SUMIFS(Donnees_regimes!$N$3:$N$1118,Donnees_regimes!$A$3:$A$1118,C7,Donnees_regimes!$B$3:$B$1118,"&gt;="&amp;G7,Donnees_regimes!$B$3:$B$1118,"&lt;="&amp;N7)*L7/ROUNDUP(L7,0)</f>
        <v/>
      </c>
      <c r="U7" s="14">
        <f>SUMIFS(Donnees_regimes!$O$3:$O$1118,Donnees_regimes!$A$3:$A$1118,C7,Donnees_regimes!$B$3:$B$1118,"&gt;="&amp;G7,Donnees_regimes!$B$3:$B$1118,"&lt;="&amp;N7)*L7/ROUNDUP(L7,0)</f>
        <v/>
      </c>
      <c r="V7" s="14">
        <f>T7+U7</f>
        <v/>
      </c>
      <c r="W7" s="33">
        <f>V7/S7</f>
        <v/>
      </c>
      <c r="X7" s="14">
        <f>S7+U7</f>
        <v/>
      </c>
      <c r="Y7" s="17">
        <f>V7/P7</f>
        <v/>
      </c>
      <c r="Z7" s="14">
        <f>SUMIFS(Donnees_regimes!$Q$3:$Q$1118,Donnees_regimes!$A$3:$A$1118,C7,Donnees_regimes!$B$3:$B$1118,"&gt;="&amp;G7,Donnees_regimes!$B$3:$B$1118,"&lt;="&amp;N7)*L7/ROUNDUP(L7,0)</f>
        <v/>
      </c>
      <c r="AA7" s="77">
        <f>SUMIFS(Regles_regimes!$F$3:$F$2000,Regles_regimes!$A$3:$A$2000,C7,Regles_regimes!$B$3:$B$2000,D7,Regles_regimes!$C$3:$C$2000,MAX(1915,MIN(2025,E7)))</f>
        <v/>
      </c>
      <c r="AB7" s="77">
        <f>IF(AND(SUMIFS(Regles_regimes!$L$3:$L$2000,Regles_regimes!$A$3:$A$2000,C7,Regles_regimes!$B$3:$B$2000,D7,Regles_regimes!$C$3:$C$2000,MAX(1915,MIN(2025,E7)))=1,G7&lt;2009,C7&lt;&gt;"Privé"),MIN(20,L7*4/5),0)</f>
        <v/>
      </c>
      <c r="AC7" s="89">
        <f>SUMIFS(Donnees_regimes!$M$3:$M$1118,Donnees_regimes!$A$3:$A$1118,C7,Donnees_regimes!$B$3:$B$1118,M7)</f>
        <v/>
      </c>
      <c r="AD7" s="14">
        <f>SUMIFS(Donnees_annuelles!$Y$3:$Y$188,Donnees_annuelles!$A$3:$A$188,M7)*SUMIFS(Donnees_generations!$I$3:$I$113,Donnees_generations!$A$3:$A$113,MAX(1915,MIN(2025,E7)))/H7</f>
        <v/>
      </c>
      <c r="AE7" s="14">
        <f>IF(C7="Privé",SUMIFS(Donnees_annuelles!$Y$3:$Y$188,Donnees_annuelles!$A$3:$A$188,M7)*MIN(L7,SUMIFS(Donnees_generations!$I$3:$I$113,Donnees_generations!$A$3:$A$113,MAX(1915,MIN(2025,E7))))/L7,AD7*AC7*MIN(IF(AB7&gt;0,0.8/0.75,1),(L7*4+AB7)/AA7))</f>
        <v/>
      </c>
      <c r="AF7" s="14">
        <f>AE7/12</f>
        <v/>
      </c>
      <c r="AG7" s="77">
        <f>MIN(68,MAX(56,2*INT(K7/2)))</f>
        <v/>
      </c>
      <c r="AH7" s="75">
        <f>(CHOOSE((AG7-56)/2+1,SUMIFS(Donnees_generations!$U$3:$U$113,Donnees_generations!$A$3:$A$113,MAX(1915,MIN(2025,E7))),SUMIFS(Donnees_generations!$V$3:$V$113,Donnees_generations!$A$3:$A$113,MAX(1915,MIN(2025,E7))),SUMIFS(Donnees_generations!$W$3:$W$113,Donnees_generations!$A$3:$A$113,MAX(1915,MIN(2025,E7))),SUMIFS(Donnees_generations!$X$3:$X$113,Donnees_generations!$A$3:$A$113,MAX(1915,MIN(2025,E7))),SUMIFS(Donnees_generations!$Y$3:$Y$113,Donnees_generations!$A$3:$A$113,MAX(1915,MIN(2025,E7))),SUMIFS(Donnees_generations!$Z$3:$Z$113,Donnees_generations!$A$3:$A$113,MAX(1915,MIN(2025,E7))),SUMIFS(Donnees_generations!$AA$3:$AA$113,Donnees_generations!$A$3:$A$113,MAX(1915,MIN(2025,E7))),SUMIFS(Donnees_generations!$AB$3:$AB$113,Donnees_generations!$A$3:$A$113,MAX(1915,MIN(2025,E7))))+CHOOSE((AG7-56)/2+1,SUMIFS(Donnees_generations!$AC$3:$AC$113,Donnees_generations!$A$3:$A$113,MAX(1915,MIN(2025,E7))),SUMIFS(Donnees_generations!$AD$3:$AD$113,Donnees_generations!$A$3:$A$113,MAX(1915,MIN(2025,E7))),SUMIFS(Donnees_generations!$AE$3:$AE$113,Donnees_generations!$A$3:$A$113,MAX(1915,MIN(2025,E7))),SUMIFS(Donnees_generations!$AF$3:$AF$113,Donnees_generations!$A$3:$A$113,MAX(1915,MIN(2025,E7))),SUMIFS(Donnees_generations!$AG$3:$AG$113,Donnees_generations!$A$3:$A$113,MAX(1915,MIN(2025,E7))),SUMIFS(Donnees_generations!$AH$3:$AH$113,Donnees_generations!$A$3:$A$113,MAX(1915,MIN(2025,E7))),SUMIFS(Donnees_generations!$AI$3:$AI$113,Donnees_generations!$A$3:$A$113,MAX(1915,MIN(2025,E7))),SUMIFS(Donnees_generations!$AJ$3:$AJ$113,Donnees_generations!$A$3:$A$113,MAX(1915,MIN(2025,E7)))))/2</f>
        <v/>
      </c>
      <c r="AI7" s="75">
        <f>(CHOOSE(((AG7+2)-56)/2+1,SUMIFS(Donnees_generations!$U$3:$U$113,Donnees_generations!$A$3:$A$113,MAX(1915,MIN(2025,E7))),SUMIFS(Donnees_generations!$V$3:$V$113,Donnees_generations!$A$3:$A$113,MAX(1915,MIN(2025,E7))),SUMIFS(Donnees_generations!$W$3:$W$113,Donnees_generations!$A$3:$A$113,MAX(1915,MIN(2025,E7))),SUMIFS(Donnees_generations!$X$3:$X$113,Donnees_generations!$A$3:$A$113,MAX(1915,MIN(2025,E7))),SUMIFS(Donnees_generations!$Y$3:$Y$113,Donnees_generations!$A$3:$A$113,MAX(1915,MIN(2025,E7))),SUMIFS(Donnees_generations!$Z$3:$Z$113,Donnees_generations!$A$3:$A$113,MAX(1915,MIN(2025,E7))),SUMIFS(Donnees_generations!$AA$3:$AA$113,Donnees_generations!$A$3:$A$113,MAX(1915,MIN(2025,E7))),SUMIFS(Donnees_generations!$AB$3:$AB$113,Donnees_generations!$A$3:$A$113,MAX(1915,MIN(2025,E7))))+CHOOSE(((AG7+2)-56)/2+1,SUMIFS(Donnees_generations!$AC$3:$AC$113,Donnees_generations!$A$3:$A$113,MAX(1915,MIN(2025,E7))),SUMIFS(Donnees_generations!$AD$3:$AD$113,Donnees_generations!$A$3:$A$113,MAX(1915,MIN(2025,E7))),SUMIFS(Donnees_generations!$AE$3:$AE$113,Donnees_generations!$A$3:$A$113,MAX(1915,MIN(2025,E7))),SUMIFS(Donnees_generations!$AF$3:$AF$113,Donnees_generations!$A$3:$A$113,MAX(1915,MIN(2025,E7))),SUMIFS(Donnees_generations!$AG$3:$AG$113,Donnees_generations!$A$3:$A$113,MAX(1915,MIN(2025,E7))),SUMIFS(Donnees_generations!$AH$3:$AH$113,Donnees_generations!$A$3:$A$113,MAX(1915,MIN(2025,E7))),SUMIFS(Donnees_generations!$AI$3:$AI$113,Donnees_generations!$A$3:$A$113,MAX(1915,MIN(2025,E7))),SUMIFS(Donnees_generations!$AJ$3:$AJ$113,Donnees_generations!$A$3:$A$113,MAX(1915,MIN(2025,E7)))))/2</f>
        <v/>
      </c>
      <c r="AJ7" s="8">
        <f>MAX(0,AH7+(AI7-AH7)*(K7-AG7)/2)</f>
        <v/>
      </c>
      <c r="AK7" s="8">
        <f>K7+AJ7</f>
        <v/>
      </c>
      <c r="AL7" s="14">
        <f>AE7*AJ7</f>
        <v/>
      </c>
      <c r="AM7" s="17">
        <f>V7/AL7</f>
        <v/>
      </c>
      <c r="AN7" s="17">
        <f>Z7/AL7</f>
        <v/>
      </c>
      <c r="AO7" s="33">
        <f>IF(V7+Z7=0,0,Z7/(V7+Z7))</f>
        <v/>
      </c>
      <c r="AP7" s="14">
        <f>AL7/V7*100</f>
        <v/>
      </c>
      <c r="AQ7" s="8">
        <f>P7/AL7*1000</f>
        <v/>
      </c>
      <c r="AR7" s="77">
        <f>MAX(N7,M7-1)</f>
        <v/>
      </c>
      <c r="AS7" s="14">
        <f>SUMIFS(Donnees_regimes!$R$3:$R$1118,Donnees_regimes!$A$3:$A$1118,C7,Donnees_regimes!$B$3:$B$1118,"&gt;="&amp;G7,Donnees_regimes!$B$3:$B$1118,"&lt;="&amp;N7)*L7/ROUNDUP(L7,0)*SUMIFS(Donnees_annuelles!$AG$3:$AG$188,Donnees_annuelles!$A$3:$A$188,AR7)*SUMIFS(Donnees_annuelles!$AA$3:$AA$188,Donnees_annuelles!$A$3:$A$188,AR7)</f>
        <v/>
      </c>
      <c r="AT7" s="36">
        <f>AS7/V7</f>
        <v/>
      </c>
      <c r="AU7" s="14">
        <f>AL7</f>
        <v/>
      </c>
      <c r="AV7" s="39">
        <f>AS7-AL7</f>
        <v/>
      </c>
      <c r="AW7" s="9">
        <f>AS7/AL7-1</f>
        <v/>
      </c>
      <c r="AX7" s="14">
        <f>AS7/AJ7/12</f>
        <v/>
      </c>
      <c r="AY7" s="14">
        <f>AF7</f>
        <v/>
      </c>
      <c r="AZ7" s="39">
        <f>AX7-AF7</f>
        <v/>
      </c>
      <c r="BA7" s="14">
        <f>SUMIFS(Donnees_regimes!$S$3:$S$1118,Donnees_regimes!$A$3:$A$1118,C7,Donnees_regimes!$B$3:$B$1118,"&gt;="&amp;G7,Donnees_regimes!$B$3:$B$1118,"&lt;="&amp;N7)*L7/ROUNDUP(L7,0)*SUMIFS(Donnees_annuelles!$AH$3:$AH$188,Donnees_annuelles!$A$3:$A$188,AR7)*SUMIFS(Donnees_annuelles!$AA$3:$AA$188,Donnees_annuelles!$A$3:$A$188,AR7)</f>
        <v/>
      </c>
      <c r="BB7" s="39">
        <f>BA7-AL7</f>
        <v/>
      </c>
      <c r="BC7" s="7">
        <f>IF(M7+AJ7&gt;2026,IF(G7&gt;2026,"entièrement projeté","en partie projeté"),"observé")</f>
        <v/>
      </c>
    </row>
    <row r="8">
      <c r="A8" s="7" t="inlineStr">
        <is>
          <t>Génération silencieuse</t>
        </is>
      </c>
      <c r="B8" s="84" t="inlineStr">
        <is>
          <t>Privé</t>
        </is>
      </c>
      <c r="C8" s="7">
        <f>IF(G8&gt;=SUMIFS(Regimes!$C$5:$C$10,Regimes!$A$5:$A$10,B8),"Privé",B8)</f>
        <v/>
      </c>
      <c r="D8" s="7">
        <f>INDEX(Regimes!$D$5:$D$10,MATCH(C8,Regimes!$A$5:$A$10,0))</f>
        <v/>
      </c>
      <c r="E8" s="88" t="n">
        <v>1933</v>
      </c>
      <c r="F8" s="8">
        <f>Donnees_generations!C21</f>
        <v/>
      </c>
      <c r="G8" s="77">
        <f>Donnees_generations!D21</f>
        <v/>
      </c>
      <c r="H8" s="8">
        <f>SUMIFS(Donnees_generations!$S$3:$S$113,Donnees_generations!$A$3:$A$113,MAX(1915,MIN(2025,E8)))</f>
        <v/>
      </c>
      <c r="I8" s="8">
        <f>SUMIFS(Donnees_generations!$T$3:$T$113,Donnees_generations!$A$3:$A$113,MAX(1915,MIN(2025,E8)))</f>
        <v/>
      </c>
      <c r="J8" s="8">
        <f>IF(G8&gt;=2000,MAX(I8,Parametres!$B$3),I8)</f>
        <v/>
      </c>
      <c r="K8" s="8">
        <f>IF(C8="Privé",J8,SUMIFS(Regles_regimes!$J$3:$J$2000,Regles_regimes!$A$3:$A$2000,C8,Regles_regimes!$B$3:$B$2000,D8,Regles_regimes!$C$3:$C$2000,MAX(1915,MIN(2025,E8))))</f>
        <v/>
      </c>
      <c r="L8" s="8">
        <f>IF(C8="Privé",H8,(K8-F8)*H8/(J8-F8))</f>
        <v/>
      </c>
      <c r="M8" s="77">
        <f>INT(E8+K8)</f>
        <v/>
      </c>
      <c r="N8" s="77">
        <f>G8+ROUNDUP(L8,0)-1</f>
        <v/>
      </c>
      <c r="O8" s="89">
        <f>SUMIFS(Regles_regimes!$K$3:$K$2000,Regles_regimes!$A$3:$A$2000,C8,Regles_regimes!$B$3:$B$2000,D8,Regles_regimes!$C$3:$C$2000,MAX(1915,MIN(2025,E8)))</f>
        <v/>
      </c>
      <c r="P8" s="13">
        <f>SUMIFS(Donnees_annuelles!$W$3:$W$188,Donnees_annuelles!$A$3:$A$188,"&gt;="&amp;G8,Donnees_annuelles!$A$3:$A$188,"&lt;="&amp;N8)*L8/ROUNDUP(L8,0)*O8</f>
        <v/>
      </c>
      <c r="Q8" s="13">
        <f>SUMIFS(Donnees_annuelles!$V$3:$V$188,Donnees_annuelles!$A$3:$A$188,"&gt;="&amp;G8,Donnees_annuelles!$A$3:$A$188,"&lt;="&amp;N8)*L8/ROUNDUP(L8,0)</f>
        <v/>
      </c>
      <c r="R8" s="13">
        <f>P8/L8</f>
        <v/>
      </c>
      <c r="S8" s="14">
        <f>SUMIFS(Donnees_annuelles!$D$3:$D$188,Donnees_annuelles!$A$3:$A$188,"&gt;="&amp;G8,Donnees_annuelles!$A$3:$A$188,"&lt;="&amp;N8)*L8/ROUNDUP(L8,0)</f>
        <v/>
      </c>
      <c r="T8" s="14">
        <f>SUMIFS(Donnees_regimes!$N$3:$N$1118,Donnees_regimes!$A$3:$A$1118,C8,Donnees_regimes!$B$3:$B$1118,"&gt;="&amp;G8,Donnees_regimes!$B$3:$B$1118,"&lt;="&amp;N8)*L8/ROUNDUP(L8,0)</f>
        <v/>
      </c>
      <c r="U8" s="14">
        <f>SUMIFS(Donnees_regimes!$O$3:$O$1118,Donnees_regimes!$A$3:$A$1118,C8,Donnees_regimes!$B$3:$B$1118,"&gt;="&amp;G8,Donnees_regimes!$B$3:$B$1118,"&lt;="&amp;N8)*L8/ROUNDUP(L8,0)</f>
        <v/>
      </c>
      <c r="V8" s="14">
        <f>T8+U8</f>
        <v/>
      </c>
      <c r="W8" s="33">
        <f>V8/S8</f>
        <v/>
      </c>
      <c r="X8" s="14">
        <f>S8+U8</f>
        <v/>
      </c>
      <c r="Y8" s="17">
        <f>V8/P8</f>
        <v/>
      </c>
      <c r="Z8" s="14">
        <f>SUMIFS(Donnees_regimes!$Q$3:$Q$1118,Donnees_regimes!$A$3:$A$1118,C8,Donnees_regimes!$B$3:$B$1118,"&gt;="&amp;G8,Donnees_regimes!$B$3:$B$1118,"&lt;="&amp;N8)*L8/ROUNDUP(L8,0)</f>
        <v/>
      </c>
      <c r="AA8" s="77">
        <f>SUMIFS(Regles_regimes!$F$3:$F$2000,Regles_regimes!$A$3:$A$2000,C8,Regles_regimes!$B$3:$B$2000,D8,Regles_regimes!$C$3:$C$2000,MAX(1915,MIN(2025,E8)))</f>
        <v/>
      </c>
      <c r="AB8" s="77">
        <f>IF(AND(SUMIFS(Regles_regimes!$L$3:$L$2000,Regles_regimes!$A$3:$A$2000,C8,Regles_regimes!$B$3:$B$2000,D8,Regles_regimes!$C$3:$C$2000,MAX(1915,MIN(2025,E8)))=1,G8&lt;2009,C8&lt;&gt;"Privé"),MIN(20,L8*4/5),0)</f>
        <v/>
      </c>
      <c r="AC8" s="89">
        <f>SUMIFS(Donnees_regimes!$M$3:$M$1118,Donnees_regimes!$A$3:$A$1118,C8,Donnees_regimes!$B$3:$B$1118,M8)</f>
        <v/>
      </c>
      <c r="AD8" s="14">
        <f>SUMIFS(Donnees_annuelles!$Y$3:$Y$188,Donnees_annuelles!$A$3:$A$188,M8)*SUMIFS(Donnees_generations!$I$3:$I$113,Donnees_generations!$A$3:$A$113,MAX(1915,MIN(2025,E8)))/H8</f>
        <v/>
      </c>
      <c r="AE8" s="14">
        <f>IF(C8="Privé",SUMIFS(Donnees_annuelles!$Y$3:$Y$188,Donnees_annuelles!$A$3:$A$188,M8)*MIN(L8,SUMIFS(Donnees_generations!$I$3:$I$113,Donnees_generations!$A$3:$A$113,MAX(1915,MIN(2025,E8))))/L8,AD8*AC8*MIN(IF(AB8&gt;0,0.8/0.75,1),(L8*4+AB8)/AA8))</f>
        <v/>
      </c>
      <c r="AF8" s="14">
        <f>AE8/12</f>
        <v/>
      </c>
      <c r="AG8" s="77">
        <f>MIN(68,MAX(56,2*INT(K8/2)))</f>
        <v/>
      </c>
      <c r="AH8" s="75">
        <f>(CHOOSE((AG8-56)/2+1,SUMIFS(Donnees_generations!$U$3:$U$113,Donnees_generations!$A$3:$A$113,MAX(1915,MIN(2025,E8))),SUMIFS(Donnees_generations!$V$3:$V$113,Donnees_generations!$A$3:$A$113,MAX(1915,MIN(2025,E8))),SUMIFS(Donnees_generations!$W$3:$W$113,Donnees_generations!$A$3:$A$113,MAX(1915,MIN(2025,E8))),SUMIFS(Donnees_generations!$X$3:$X$113,Donnees_generations!$A$3:$A$113,MAX(1915,MIN(2025,E8))),SUMIFS(Donnees_generations!$Y$3:$Y$113,Donnees_generations!$A$3:$A$113,MAX(1915,MIN(2025,E8))),SUMIFS(Donnees_generations!$Z$3:$Z$113,Donnees_generations!$A$3:$A$113,MAX(1915,MIN(2025,E8))),SUMIFS(Donnees_generations!$AA$3:$AA$113,Donnees_generations!$A$3:$A$113,MAX(1915,MIN(2025,E8))),SUMIFS(Donnees_generations!$AB$3:$AB$113,Donnees_generations!$A$3:$A$113,MAX(1915,MIN(2025,E8))))+CHOOSE((AG8-56)/2+1,SUMIFS(Donnees_generations!$AC$3:$AC$113,Donnees_generations!$A$3:$A$113,MAX(1915,MIN(2025,E8))),SUMIFS(Donnees_generations!$AD$3:$AD$113,Donnees_generations!$A$3:$A$113,MAX(1915,MIN(2025,E8))),SUMIFS(Donnees_generations!$AE$3:$AE$113,Donnees_generations!$A$3:$A$113,MAX(1915,MIN(2025,E8))),SUMIFS(Donnees_generations!$AF$3:$AF$113,Donnees_generations!$A$3:$A$113,MAX(1915,MIN(2025,E8))),SUMIFS(Donnees_generations!$AG$3:$AG$113,Donnees_generations!$A$3:$A$113,MAX(1915,MIN(2025,E8))),SUMIFS(Donnees_generations!$AH$3:$AH$113,Donnees_generations!$A$3:$A$113,MAX(1915,MIN(2025,E8))),SUMIFS(Donnees_generations!$AI$3:$AI$113,Donnees_generations!$A$3:$A$113,MAX(1915,MIN(2025,E8))),SUMIFS(Donnees_generations!$AJ$3:$AJ$113,Donnees_generations!$A$3:$A$113,MAX(1915,MIN(2025,E8)))))/2</f>
        <v/>
      </c>
      <c r="AI8" s="75">
        <f>(CHOOSE(((AG8+2)-56)/2+1,SUMIFS(Donnees_generations!$U$3:$U$113,Donnees_generations!$A$3:$A$113,MAX(1915,MIN(2025,E8))),SUMIFS(Donnees_generations!$V$3:$V$113,Donnees_generations!$A$3:$A$113,MAX(1915,MIN(2025,E8))),SUMIFS(Donnees_generations!$W$3:$W$113,Donnees_generations!$A$3:$A$113,MAX(1915,MIN(2025,E8))),SUMIFS(Donnees_generations!$X$3:$X$113,Donnees_generations!$A$3:$A$113,MAX(1915,MIN(2025,E8))),SUMIFS(Donnees_generations!$Y$3:$Y$113,Donnees_generations!$A$3:$A$113,MAX(1915,MIN(2025,E8))),SUMIFS(Donnees_generations!$Z$3:$Z$113,Donnees_generations!$A$3:$A$113,MAX(1915,MIN(2025,E8))),SUMIFS(Donnees_generations!$AA$3:$AA$113,Donnees_generations!$A$3:$A$113,MAX(1915,MIN(2025,E8))),SUMIFS(Donnees_generations!$AB$3:$AB$113,Donnees_generations!$A$3:$A$113,MAX(1915,MIN(2025,E8))))+CHOOSE(((AG8+2)-56)/2+1,SUMIFS(Donnees_generations!$AC$3:$AC$113,Donnees_generations!$A$3:$A$113,MAX(1915,MIN(2025,E8))),SUMIFS(Donnees_generations!$AD$3:$AD$113,Donnees_generations!$A$3:$A$113,MAX(1915,MIN(2025,E8))),SUMIFS(Donnees_generations!$AE$3:$AE$113,Donnees_generations!$A$3:$A$113,MAX(1915,MIN(2025,E8))),SUMIFS(Donnees_generations!$AF$3:$AF$113,Donnees_generations!$A$3:$A$113,MAX(1915,MIN(2025,E8))),SUMIFS(Donnees_generations!$AG$3:$AG$113,Donnees_generations!$A$3:$A$113,MAX(1915,MIN(2025,E8))),SUMIFS(Donnees_generations!$AH$3:$AH$113,Donnees_generations!$A$3:$A$113,MAX(1915,MIN(2025,E8))),SUMIFS(Donnees_generations!$AI$3:$AI$113,Donnees_generations!$A$3:$A$113,MAX(1915,MIN(2025,E8))),SUMIFS(Donnees_generations!$AJ$3:$AJ$113,Donnees_generations!$A$3:$A$113,MAX(1915,MIN(2025,E8)))))/2</f>
        <v/>
      </c>
      <c r="AJ8" s="8">
        <f>MAX(0,AH8+(AI8-AH8)*(K8-AG8)/2)</f>
        <v/>
      </c>
      <c r="AK8" s="8">
        <f>K8+AJ8</f>
        <v/>
      </c>
      <c r="AL8" s="14">
        <f>AE8*AJ8</f>
        <v/>
      </c>
      <c r="AM8" s="17">
        <f>V8/AL8</f>
        <v/>
      </c>
      <c r="AN8" s="17">
        <f>Z8/AL8</f>
        <v/>
      </c>
      <c r="AO8" s="33">
        <f>IF(V8+Z8=0,0,Z8/(V8+Z8))</f>
        <v/>
      </c>
      <c r="AP8" s="14">
        <f>AL8/V8*100</f>
        <v/>
      </c>
      <c r="AQ8" s="8">
        <f>P8/AL8*1000</f>
        <v/>
      </c>
      <c r="AR8" s="77">
        <f>MAX(N8,M8-1)</f>
        <v/>
      </c>
      <c r="AS8" s="14">
        <f>SUMIFS(Donnees_regimes!$R$3:$R$1118,Donnees_regimes!$A$3:$A$1118,C8,Donnees_regimes!$B$3:$B$1118,"&gt;="&amp;G8,Donnees_regimes!$B$3:$B$1118,"&lt;="&amp;N8)*L8/ROUNDUP(L8,0)*SUMIFS(Donnees_annuelles!$AG$3:$AG$188,Donnees_annuelles!$A$3:$A$188,AR8)*SUMIFS(Donnees_annuelles!$AA$3:$AA$188,Donnees_annuelles!$A$3:$A$188,AR8)</f>
        <v/>
      </c>
      <c r="AT8" s="36">
        <f>AS8/V8</f>
        <v/>
      </c>
      <c r="AU8" s="14">
        <f>AL8</f>
        <v/>
      </c>
      <c r="AV8" s="39">
        <f>AS8-AL8</f>
        <v/>
      </c>
      <c r="AW8" s="9">
        <f>AS8/AL8-1</f>
        <v/>
      </c>
      <c r="AX8" s="14">
        <f>AS8/AJ8/12</f>
        <v/>
      </c>
      <c r="AY8" s="14">
        <f>AF8</f>
        <v/>
      </c>
      <c r="AZ8" s="39">
        <f>AX8-AF8</f>
        <v/>
      </c>
      <c r="BA8" s="14">
        <f>SUMIFS(Donnees_regimes!$S$3:$S$1118,Donnees_regimes!$A$3:$A$1118,C8,Donnees_regimes!$B$3:$B$1118,"&gt;="&amp;G8,Donnees_regimes!$B$3:$B$1118,"&lt;="&amp;N8)*L8/ROUNDUP(L8,0)*SUMIFS(Donnees_annuelles!$AH$3:$AH$188,Donnees_annuelles!$A$3:$A$188,AR8)*SUMIFS(Donnees_annuelles!$AA$3:$AA$188,Donnees_annuelles!$A$3:$A$188,AR8)</f>
        <v/>
      </c>
      <c r="BB8" s="39">
        <f>BA8-AL8</f>
        <v/>
      </c>
      <c r="BC8" s="7">
        <f>IF(M8+AJ8&gt;2026,IF(G8&gt;2026,"entièrement projeté","en partie projeté"),"observé")</f>
        <v/>
      </c>
    </row>
    <row r="9">
      <c r="A9" s="7" t="inlineStr">
        <is>
          <t>Génération silencieuse</t>
        </is>
      </c>
      <c r="B9" s="84" t="inlineStr">
        <is>
          <t>Privé</t>
        </is>
      </c>
      <c r="C9" s="7">
        <f>IF(G9&gt;=SUMIFS(Regimes!$C$5:$C$10,Regimes!$A$5:$A$10,B9),"Privé",B9)</f>
        <v/>
      </c>
      <c r="D9" s="7">
        <f>INDEX(Regimes!$D$5:$D$10,MATCH(C9,Regimes!$A$5:$A$10,0))</f>
        <v/>
      </c>
      <c r="E9" s="88" t="n">
        <v>1934</v>
      </c>
      <c r="F9" s="8">
        <f>Donnees_generations!C22</f>
        <v/>
      </c>
      <c r="G9" s="77">
        <f>Donnees_generations!D22</f>
        <v/>
      </c>
      <c r="H9" s="8">
        <f>SUMIFS(Donnees_generations!$S$3:$S$113,Donnees_generations!$A$3:$A$113,MAX(1915,MIN(2025,E9)))</f>
        <v/>
      </c>
      <c r="I9" s="8">
        <f>SUMIFS(Donnees_generations!$T$3:$T$113,Donnees_generations!$A$3:$A$113,MAX(1915,MIN(2025,E9)))</f>
        <v/>
      </c>
      <c r="J9" s="8">
        <f>IF(G9&gt;=2000,MAX(I9,Parametres!$B$3),I9)</f>
        <v/>
      </c>
      <c r="K9" s="8">
        <f>IF(C9="Privé",J9,SUMIFS(Regles_regimes!$J$3:$J$2000,Regles_regimes!$A$3:$A$2000,C9,Regles_regimes!$B$3:$B$2000,D9,Regles_regimes!$C$3:$C$2000,MAX(1915,MIN(2025,E9))))</f>
        <v/>
      </c>
      <c r="L9" s="8">
        <f>IF(C9="Privé",H9,(K9-F9)*H9/(J9-F9))</f>
        <v/>
      </c>
      <c r="M9" s="77">
        <f>INT(E9+K9)</f>
        <v/>
      </c>
      <c r="N9" s="77">
        <f>G9+ROUNDUP(L9,0)-1</f>
        <v/>
      </c>
      <c r="O9" s="89">
        <f>SUMIFS(Regles_regimes!$K$3:$K$2000,Regles_regimes!$A$3:$A$2000,C9,Regles_regimes!$B$3:$B$2000,D9,Regles_regimes!$C$3:$C$2000,MAX(1915,MIN(2025,E9)))</f>
        <v/>
      </c>
      <c r="P9" s="13">
        <f>SUMIFS(Donnees_annuelles!$W$3:$W$188,Donnees_annuelles!$A$3:$A$188,"&gt;="&amp;G9,Donnees_annuelles!$A$3:$A$188,"&lt;="&amp;N9)*L9/ROUNDUP(L9,0)*O9</f>
        <v/>
      </c>
      <c r="Q9" s="13">
        <f>SUMIFS(Donnees_annuelles!$V$3:$V$188,Donnees_annuelles!$A$3:$A$188,"&gt;="&amp;G9,Donnees_annuelles!$A$3:$A$188,"&lt;="&amp;N9)*L9/ROUNDUP(L9,0)</f>
        <v/>
      </c>
      <c r="R9" s="13">
        <f>P9/L9</f>
        <v/>
      </c>
      <c r="S9" s="14">
        <f>SUMIFS(Donnees_annuelles!$D$3:$D$188,Donnees_annuelles!$A$3:$A$188,"&gt;="&amp;G9,Donnees_annuelles!$A$3:$A$188,"&lt;="&amp;N9)*L9/ROUNDUP(L9,0)</f>
        <v/>
      </c>
      <c r="T9" s="14">
        <f>SUMIFS(Donnees_regimes!$N$3:$N$1118,Donnees_regimes!$A$3:$A$1118,C9,Donnees_regimes!$B$3:$B$1118,"&gt;="&amp;G9,Donnees_regimes!$B$3:$B$1118,"&lt;="&amp;N9)*L9/ROUNDUP(L9,0)</f>
        <v/>
      </c>
      <c r="U9" s="14">
        <f>SUMIFS(Donnees_regimes!$O$3:$O$1118,Donnees_regimes!$A$3:$A$1118,C9,Donnees_regimes!$B$3:$B$1118,"&gt;="&amp;G9,Donnees_regimes!$B$3:$B$1118,"&lt;="&amp;N9)*L9/ROUNDUP(L9,0)</f>
        <v/>
      </c>
      <c r="V9" s="14">
        <f>T9+U9</f>
        <v/>
      </c>
      <c r="W9" s="33">
        <f>V9/S9</f>
        <v/>
      </c>
      <c r="X9" s="14">
        <f>S9+U9</f>
        <v/>
      </c>
      <c r="Y9" s="17">
        <f>V9/P9</f>
        <v/>
      </c>
      <c r="Z9" s="14">
        <f>SUMIFS(Donnees_regimes!$Q$3:$Q$1118,Donnees_regimes!$A$3:$A$1118,C9,Donnees_regimes!$B$3:$B$1118,"&gt;="&amp;G9,Donnees_regimes!$B$3:$B$1118,"&lt;="&amp;N9)*L9/ROUNDUP(L9,0)</f>
        <v/>
      </c>
      <c r="AA9" s="77">
        <f>SUMIFS(Regles_regimes!$F$3:$F$2000,Regles_regimes!$A$3:$A$2000,C9,Regles_regimes!$B$3:$B$2000,D9,Regles_regimes!$C$3:$C$2000,MAX(1915,MIN(2025,E9)))</f>
        <v/>
      </c>
      <c r="AB9" s="77">
        <f>IF(AND(SUMIFS(Regles_regimes!$L$3:$L$2000,Regles_regimes!$A$3:$A$2000,C9,Regles_regimes!$B$3:$B$2000,D9,Regles_regimes!$C$3:$C$2000,MAX(1915,MIN(2025,E9)))=1,G9&lt;2009,C9&lt;&gt;"Privé"),MIN(20,L9*4/5),0)</f>
        <v/>
      </c>
      <c r="AC9" s="89">
        <f>SUMIFS(Donnees_regimes!$M$3:$M$1118,Donnees_regimes!$A$3:$A$1118,C9,Donnees_regimes!$B$3:$B$1118,M9)</f>
        <v/>
      </c>
      <c r="AD9" s="14">
        <f>SUMIFS(Donnees_annuelles!$Y$3:$Y$188,Donnees_annuelles!$A$3:$A$188,M9)*SUMIFS(Donnees_generations!$I$3:$I$113,Donnees_generations!$A$3:$A$113,MAX(1915,MIN(2025,E9)))/H9</f>
        <v/>
      </c>
      <c r="AE9" s="14">
        <f>IF(C9="Privé",SUMIFS(Donnees_annuelles!$Y$3:$Y$188,Donnees_annuelles!$A$3:$A$188,M9)*MIN(L9,SUMIFS(Donnees_generations!$I$3:$I$113,Donnees_generations!$A$3:$A$113,MAX(1915,MIN(2025,E9))))/L9,AD9*AC9*MIN(IF(AB9&gt;0,0.8/0.75,1),(L9*4+AB9)/AA9))</f>
        <v/>
      </c>
      <c r="AF9" s="14">
        <f>AE9/12</f>
        <v/>
      </c>
      <c r="AG9" s="77">
        <f>MIN(68,MAX(56,2*INT(K9/2)))</f>
        <v/>
      </c>
      <c r="AH9" s="75">
        <f>(CHOOSE((AG9-56)/2+1,SUMIFS(Donnees_generations!$U$3:$U$113,Donnees_generations!$A$3:$A$113,MAX(1915,MIN(2025,E9))),SUMIFS(Donnees_generations!$V$3:$V$113,Donnees_generations!$A$3:$A$113,MAX(1915,MIN(2025,E9))),SUMIFS(Donnees_generations!$W$3:$W$113,Donnees_generations!$A$3:$A$113,MAX(1915,MIN(2025,E9))),SUMIFS(Donnees_generations!$X$3:$X$113,Donnees_generations!$A$3:$A$113,MAX(1915,MIN(2025,E9))),SUMIFS(Donnees_generations!$Y$3:$Y$113,Donnees_generations!$A$3:$A$113,MAX(1915,MIN(2025,E9))),SUMIFS(Donnees_generations!$Z$3:$Z$113,Donnees_generations!$A$3:$A$113,MAX(1915,MIN(2025,E9))),SUMIFS(Donnees_generations!$AA$3:$AA$113,Donnees_generations!$A$3:$A$113,MAX(1915,MIN(2025,E9))),SUMIFS(Donnees_generations!$AB$3:$AB$113,Donnees_generations!$A$3:$A$113,MAX(1915,MIN(2025,E9))))+CHOOSE((AG9-56)/2+1,SUMIFS(Donnees_generations!$AC$3:$AC$113,Donnees_generations!$A$3:$A$113,MAX(1915,MIN(2025,E9))),SUMIFS(Donnees_generations!$AD$3:$AD$113,Donnees_generations!$A$3:$A$113,MAX(1915,MIN(2025,E9))),SUMIFS(Donnees_generations!$AE$3:$AE$113,Donnees_generations!$A$3:$A$113,MAX(1915,MIN(2025,E9))),SUMIFS(Donnees_generations!$AF$3:$AF$113,Donnees_generations!$A$3:$A$113,MAX(1915,MIN(2025,E9))),SUMIFS(Donnees_generations!$AG$3:$AG$113,Donnees_generations!$A$3:$A$113,MAX(1915,MIN(2025,E9))),SUMIFS(Donnees_generations!$AH$3:$AH$113,Donnees_generations!$A$3:$A$113,MAX(1915,MIN(2025,E9))),SUMIFS(Donnees_generations!$AI$3:$AI$113,Donnees_generations!$A$3:$A$113,MAX(1915,MIN(2025,E9))),SUMIFS(Donnees_generations!$AJ$3:$AJ$113,Donnees_generations!$A$3:$A$113,MAX(1915,MIN(2025,E9)))))/2</f>
        <v/>
      </c>
      <c r="AI9" s="75">
        <f>(CHOOSE(((AG9+2)-56)/2+1,SUMIFS(Donnees_generations!$U$3:$U$113,Donnees_generations!$A$3:$A$113,MAX(1915,MIN(2025,E9))),SUMIFS(Donnees_generations!$V$3:$V$113,Donnees_generations!$A$3:$A$113,MAX(1915,MIN(2025,E9))),SUMIFS(Donnees_generations!$W$3:$W$113,Donnees_generations!$A$3:$A$113,MAX(1915,MIN(2025,E9))),SUMIFS(Donnees_generations!$X$3:$X$113,Donnees_generations!$A$3:$A$113,MAX(1915,MIN(2025,E9))),SUMIFS(Donnees_generations!$Y$3:$Y$113,Donnees_generations!$A$3:$A$113,MAX(1915,MIN(2025,E9))),SUMIFS(Donnees_generations!$Z$3:$Z$113,Donnees_generations!$A$3:$A$113,MAX(1915,MIN(2025,E9))),SUMIFS(Donnees_generations!$AA$3:$AA$113,Donnees_generations!$A$3:$A$113,MAX(1915,MIN(2025,E9))),SUMIFS(Donnees_generations!$AB$3:$AB$113,Donnees_generations!$A$3:$A$113,MAX(1915,MIN(2025,E9))))+CHOOSE(((AG9+2)-56)/2+1,SUMIFS(Donnees_generations!$AC$3:$AC$113,Donnees_generations!$A$3:$A$113,MAX(1915,MIN(2025,E9))),SUMIFS(Donnees_generations!$AD$3:$AD$113,Donnees_generations!$A$3:$A$113,MAX(1915,MIN(2025,E9))),SUMIFS(Donnees_generations!$AE$3:$AE$113,Donnees_generations!$A$3:$A$113,MAX(1915,MIN(2025,E9))),SUMIFS(Donnees_generations!$AF$3:$AF$113,Donnees_generations!$A$3:$A$113,MAX(1915,MIN(2025,E9))),SUMIFS(Donnees_generations!$AG$3:$AG$113,Donnees_generations!$A$3:$A$113,MAX(1915,MIN(2025,E9))),SUMIFS(Donnees_generations!$AH$3:$AH$113,Donnees_generations!$A$3:$A$113,MAX(1915,MIN(2025,E9))),SUMIFS(Donnees_generations!$AI$3:$AI$113,Donnees_generations!$A$3:$A$113,MAX(1915,MIN(2025,E9))),SUMIFS(Donnees_generations!$AJ$3:$AJ$113,Donnees_generations!$A$3:$A$113,MAX(1915,MIN(2025,E9)))))/2</f>
        <v/>
      </c>
      <c r="AJ9" s="8">
        <f>MAX(0,AH9+(AI9-AH9)*(K9-AG9)/2)</f>
        <v/>
      </c>
      <c r="AK9" s="8">
        <f>K9+AJ9</f>
        <v/>
      </c>
      <c r="AL9" s="14">
        <f>AE9*AJ9</f>
        <v/>
      </c>
      <c r="AM9" s="17">
        <f>V9/AL9</f>
        <v/>
      </c>
      <c r="AN9" s="17">
        <f>Z9/AL9</f>
        <v/>
      </c>
      <c r="AO9" s="33">
        <f>IF(V9+Z9=0,0,Z9/(V9+Z9))</f>
        <v/>
      </c>
      <c r="AP9" s="14">
        <f>AL9/V9*100</f>
        <v/>
      </c>
      <c r="AQ9" s="8">
        <f>P9/AL9*1000</f>
        <v/>
      </c>
      <c r="AR9" s="77">
        <f>MAX(N9,M9-1)</f>
        <v/>
      </c>
      <c r="AS9" s="14">
        <f>SUMIFS(Donnees_regimes!$R$3:$R$1118,Donnees_regimes!$A$3:$A$1118,C9,Donnees_regimes!$B$3:$B$1118,"&gt;="&amp;G9,Donnees_regimes!$B$3:$B$1118,"&lt;="&amp;N9)*L9/ROUNDUP(L9,0)*SUMIFS(Donnees_annuelles!$AG$3:$AG$188,Donnees_annuelles!$A$3:$A$188,AR9)*SUMIFS(Donnees_annuelles!$AA$3:$AA$188,Donnees_annuelles!$A$3:$A$188,AR9)</f>
        <v/>
      </c>
      <c r="AT9" s="36">
        <f>AS9/V9</f>
        <v/>
      </c>
      <c r="AU9" s="14">
        <f>AL9</f>
        <v/>
      </c>
      <c r="AV9" s="39">
        <f>AS9-AL9</f>
        <v/>
      </c>
      <c r="AW9" s="9">
        <f>AS9/AL9-1</f>
        <v/>
      </c>
      <c r="AX9" s="14">
        <f>AS9/AJ9/12</f>
        <v/>
      </c>
      <c r="AY9" s="14">
        <f>AF9</f>
        <v/>
      </c>
      <c r="AZ9" s="39">
        <f>AX9-AF9</f>
        <v/>
      </c>
      <c r="BA9" s="14">
        <f>SUMIFS(Donnees_regimes!$S$3:$S$1118,Donnees_regimes!$A$3:$A$1118,C9,Donnees_regimes!$B$3:$B$1118,"&gt;="&amp;G9,Donnees_regimes!$B$3:$B$1118,"&lt;="&amp;N9)*L9/ROUNDUP(L9,0)*SUMIFS(Donnees_annuelles!$AH$3:$AH$188,Donnees_annuelles!$A$3:$A$188,AR9)*SUMIFS(Donnees_annuelles!$AA$3:$AA$188,Donnees_annuelles!$A$3:$A$188,AR9)</f>
        <v/>
      </c>
      <c r="BB9" s="39">
        <f>BA9-AL9</f>
        <v/>
      </c>
      <c r="BC9" s="7">
        <f>IF(M9+AJ9&gt;2026,IF(G9&gt;2026,"entièrement projeté","en partie projeté"),"observé")</f>
        <v/>
      </c>
    </row>
    <row r="10">
      <c r="A10" s="7" t="inlineStr">
        <is>
          <t>Génération silencieuse</t>
        </is>
      </c>
      <c r="B10" s="84" t="inlineStr">
        <is>
          <t>Privé</t>
        </is>
      </c>
      <c r="C10" s="7">
        <f>IF(G10&gt;=SUMIFS(Regimes!$C$5:$C$10,Regimes!$A$5:$A$10,B10),"Privé",B10)</f>
        <v/>
      </c>
      <c r="D10" s="7">
        <f>INDEX(Regimes!$D$5:$D$10,MATCH(C10,Regimes!$A$5:$A$10,0))</f>
        <v/>
      </c>
      <c r="E10" s="88" t="n">
        <v>1935</v>
      </c>
      <c r="F10" s="8">
        <f>Donnees_generations!C23</f>
        <v/>
      </c>
      <c r="G10" s="77">
        <f>Donnees_generations!D23</f>
        <v/>
      </c>
      <c r="H10" s="8">
        <f>SUMIFS(Donnees_generations!$S$3:$S$113,Donnees_generations!$A$3:$A$113,MAX(1915,MIN(2025,E10)))</f>
        <v/>
      </c>
      <c r="I10" s="8">
        <f>SUMIFS(Donnees_generations!$T$3:$T$113,Donnees_generations!$A$3:$A$113,MAX(1915,MIN(2025,E10)))</f>
        <v/>
      </c>
      <c r="J10" s="8">
        <f>IF(G10&gt;=2000,MAX(I10,Parametres!$B$3),I10)</f>
        <v/>
      </c>
      <c r="K10" s="8">
        <f>IF(C10="Privé",J10,SUMIFS(Regles_regimes!$J$3:$J$2000,Regles_regimes!$A$3:$A$2000,C10,Regles_regimes!$B$3:$B$2000,D10,Regles_regimes!$C$3:$C$2000,MAX(1915,MIN(2025,E10))))</f>
        <v/>
      </c>
      <c r="L10" s="8">
        <f>IF(C10="Privé",H10,(K10-F10)*H10/(J10-F10))</f>
        <v/>
      </c>
      <c r="M10" s="77">
        <f>INT(E10+K10)</f>
        <v/>
      </c>
      <c r="N10" s="77">
        <f>G10+ROUNDUP(L10,0)-1</f>
        <v/>
      </c>
      <c r="O10" s="89">
        <f>SUMIFS(Regles_regimes!$K$3:$K$2000,Regles_regimes!$A$3:$A$2000,C10,Regles_regimes!$B$3:$B$2000,D10,Regles_regimes!$C$3:$C$2000,MAX(1915,MIN(2025,E10)))</f>
        <v/>
      </c>
      <c r="P10" s="13">
        <f>SUMIFS(Donnees_annuelles!$W$3:$W$188,Donnees_annuelles!$A$3:$A$188,"&gt;="&amp;G10,Donnees_annuelles!$A$3:$A$188,"&lt;="&amp;N10)*L10/ROUNDUP(L10,0)*O10</f>
        <v/>
      </c>
      <c r="Q10" s="13">
        <f>SUMIFS(Donnees_annuelles!$V$3:$V$188,Donnees_annuelles!$A$3:$A$188,"&gt;="&amp;G10,Donnees_annuelles!$A$3:$A$188,"&lt;="&amp;N10)*L10/ROUNDUP(L10,0)</f>
        <v/>
      </c>
      <c r="R10" s="13">
        <f>P10/L10</f>
        <v/>
      </c>
      <c r="S10" s="14">
        <f>SUMIFS(Donnees_annuelles!$D$3:$D$188,Donnees_annuelles!$A$3:$A$188,"&gt;="&amp;G10,Donnees_annuelles!$A$3:$A$188,"&lt;="&amp;N10)*L10/ROUNDUP(L10,0)</f>
        <v/>
      </c>
      <c r="T10" s="14">
        <f>SUMIFS(Donnees_regimes!$N$3:$N$1118,Donnees_regimes!$A$3:$A$1118,C10,Donnees_regimes!$B$3:$B$1118,"&gt;="&amp;G10,Donnees_regimes!$B$3:$B$1118,"&lt;="&amp;N10)*L10/ROUNDUP(L10,0)</f>
        <v/>
      </c>
      <c r="U10" s="14">
        <f>SUMIFS(Donnees_regimes!$O$3:$O$1118,Donnees_regimes!$A$3:$A$1118,C10,Donnees_regimes!$B$3:$B$1118,"&gt;="&amp;G10,Donnees_regimes!$B$3:$B$1118,"&lt;="&amp;N10)*L10/ROUNDUP(L10,0)</f>
        <v/>
      </c>
      <c r="V10" s="14">
        <f>T10+U10</f>
        <v/>
      </c>
      <c r="W10" s="33">
        <f>V10/S10</f>
        <v/>
      </c>
      <c r="X10" s="14">
        <f>S10+U10</f>
        <v/>
      </c>
      <c r="Y10" s="17">
        <f>V10/P10</f>
        <v/>
      </c>
      <c r="Z10" s="14">
        <f>SUMIFS(Donnees_regimes!$Q$3:$Q$1118,Donnees_regimes!$A$3:$A$1118,C10,Donnees_regimes!$B$3:$B$1118,"&gt;="&amp;G10,Donnees_regimes!$B$3:$B$1118,"&lt;="&amp;N10)*L10/ROUNDUP(L10,0)</f>
        <v/>
      </c>
      <c r="AA10" s="77">
        <f>SUMIFS(Regles_regimes!$F$3:$F$2000,Regles_regimes!$A$3:$A$2000,C10,Regles_regimes!$B$3:$B$2000,D10,Regles_regimes!$C$3:$C$2000,MAX(1915,MIN(2025,E10)))</f>
        <v/>
      </c>
      <c r="AB10" s="77">
        <f>IF(AND(SUMIFS(Regles_regimes!$L$3:$L$2000,Regles_regimes!$A$3:$A$2000,C10,Regles_regimes!$B$3:$B$2000,D10,Regles_regimes!$C$3:$C$2000,MAX(1915,MIN(2025,E10)))=1,G10&lt;2009,C10&lt;&gt;"Privé"),MIN(20,L10*4/5),0)</f>
        <v/>
      </c>
      <c r="AC10" s="89">
        <f>SUMIFS(Donnees_regimes!$M$3:$M$1118,Donnees_regimes!$A$3:$A$1118,C10,Donnees_regimes!$B$3:$B$1118,M10)</f>
        <v/>
      </c>
      <c r="AD10" s="14">
        <f>SUMIFS(Donnees_annuelles!$Y$3:$Y$188,Donnees_annuelles!$A$3:$A$188,M10)*SUMIFS(Donnees_generations!$I$3:$I$113,Donnees_generations!$A$3:$A$113,MAX(1915,MIN(2025,E10)))/H10</f>
        <v/>
      </c>
      <c r="AE10" s="14">
        <f>IF(C10="Privé",SUMIFS(Donnees_annuelles!$Y$3:$Y$188,Donnees_annuelles!$A$3:$A$188,M10)*MIN(L10,SUMIFS(Donnees_generations!$I$3:$I$113,Donnees_generations!$A$3:$A$113,MAX(1915,MIN(2025,E10))))/L10,AD10*AC10*MIN(IF(AB10&gt;0,0.8/0.75,1),(L10*4+AB10)/AA10))</f>
        <v/>
      </c>
      <c r="AF10" s="14">
        <f>AE10/12</f>
        <v/>
      </c>
      <c r="AG10" s="77">
        <f>MIN(68,MAX(56,2*INT(K10/2)))</f>
        <v/>
      </c>
      <c r="AH10" s="75">
        <f>(CHOOSE((AG10-56)/2+1,SUMIFS(Donnees_generations!$U$3:$U$113,Donnees_generations!$A$3:$A$113,MAX(1915,MIN(2025,E10))),SUMIFS(Donnees_generations!$V$3:$V$113,Donnees_generations!$A$3:$A$113,MAX(1915,MIN(2025,E10))),SUMIFS(Donnees_generations!$W$3:$W$113,Donnees_generations!$A$3:$A$113,MAX(1915,MIN(2025,E10))),SUMIFS(Donnees_generations!$X$3:$X$113,Donnees_generations!$A$3:$A$113,MAX(1915,MIN(2025,E10))),SUMIFS(Donnees_generations!$Y$3:$Y$113,Donnees_generations!$A$3:$A$113,MAX(1915,MIN(2025,E10))),SUMIFS(Donnees_generations!$Z$3:$Z$113,Donnees_generations!$A$3:$A$113,MAX(1915,MIN(2025,E10))),SUMIFS(Donnees_generations!$AA$3:$AA$113,Donnees_generations!$A$3:$A$113,MAX(1915,MIN(2025,E10))),SUMIFS(Donnees_generations!$AB$3:$AB$113,Donnees_generations!$A$3:$A$113,MAX(1915,MIN(2025,E10))))+CHOOSE((AG10-56)/2+1,SUMIFS(Donnees_generations!$AC$3:$AC$113,Donnees_generations!$A$3:$A$113,MAX(1915,MIN(2025,E10))),SUMIFS(Donnees_generations!$AD$3:$AD$113,Donnees_generations!$A$3:$A$113,MAX(1915,MIN(2025,E10))),SUMIFS(Donnees_generations!$AE$3:$AE$113,Donnees_generations!$A$3:$A$113,MAX(1915,MIN(2025,E10))),SUMIFS(Donnees_generations!$AF$3:$AF$113,Donnees_generations!$A$3:$A$113,MAX(1915,MIN(2025,E10))),SUMIFS(Donnees_generations!$AG$3:$AG$113,Donnees_generations!$A$3:$A$113,MAX(1915,MIN(2025,E10))),SUMIFS(Donnees_generations!$AH$3:$AH$113,Donnees_generations!$A$3:$A$113,MAX(1915,MIN(2025,E10))),SUMIFS(Donnees_generations!$AI$3:$AI$113,Donnees_generations!$A$3:$A$113,MAX(1915,MIN(2025,E10))),SUMIFS(Donnees_generations!$AJ$3:$AJ$113,Donnees_generations!$A$3:$A$113,MAX(1915,MIN(2025,E10)))))/2</f>
        <v/>
      </c>
      <c r="AI10" s="75">
        <f>(CHOOSE(((AG10+2)-56)/2+1,SUMIFS(Donnees_generations!$U$3:$U$113,Donnees_generations!$A$3:$A$113,MAX(1915,MIN(2025,E10))),SUMIFS(Donnees_generations!$V$3:$V$113,Donnees_generations!$A$3:$A$113,MAX(1915,MIN(2025,E10))),SUMIFS(Donnees_generations!$W$3:$W$113,Donnees_generations!$A$3:$A$113,MAX(1915,MIN(2025,E10))),SUMIFS(Donnees_generations!$X$3:$X$113,Donnees_generations!$A$3:$A$113,MAX(1915,MIN(2025,E10))),SUMIFS(Donnees_generations!$Y$3:$Y$113,Donnees_generations!$A$3:$A$113,MAX(1915,MIN(2025,E10))),SUMIFS(Donnees_generations!$Z$3:$Z$113,Donnees_generations!$A$3:$A$113,MAX(1915,MIN(2025,E10))),SUMIFS(Donnees_generations!$AA$3:$AA$113,Donnees_generations!$A$3:$A$113,MAX(1915,MIN(2025,E10))),SUMIFS(Donnees_generations!$AB$3:$AB$113,Donnees_generations!$A$3:$A$113,MAX(1915,MIN(2025,E10))))+CHOOSE(((AG10+2)-56)/2+1,SUMIFS(Donnees_generations!$AC$3:$AC$113,Donnees_generations!$A$3:$A$113,MAX(1915,MIN(2025,E10))),SUMIFS(Donnees_generations!$AD$3:$AD$113,Donnees_generations!$A$3:$A$113,MAX(1915,MIN(2025,E10))),SUMIFS(Donnees_generations!$AE$3:$AE$113,Donnees_generations!$A$3:$A$113,MAX(1915,MIN(2025,E10))),SUMIFS(Donnees_generations!$AF$3:$AF$113,Donnees_generations!$A$3:$A$113,MAX(1915,MIN(2025,E10))),SUMIFS(Donnees_generations!$AG$3:$AG$113,Donnees_generations!$A$3:$A$113,MAX(1915,MIN(2025,E10))),SUMIFS(Donnees_generations!$AH$3:$AH$113,Donnees_generations!$A$3:$A$113,MAX(1915,MIN(2025,E10))),SUMIFS(Donnees_generations!$AI$3:$AI$113,Donnees_generations!$A$3:$A$113,MAX(1915,MIN(2025,E10))),SUMIFS(Donnees_generations!$AJ$3:$AJ$113,Donnees_generations!$A$3:$A$113,MAX(1915,MIN(2025,E10)))))/2</f>
        <v/>
      </c>
      <c r="AJ10" s="8">
        <f>MAX(0,AH10+(AI10-AH10)*(K10-AG10)/2)</f>
        <v/>
      </c>
      <c r="AK10" s="8">
        <f>K10+AJ10</f>
        <v/>
      </c>
      <c r="AL10" s="14">
        <f>AE10*AJ10</f>
        <v/>
      </c>
      <c r="AM10" s="17">
        <f>V10/AL10</f>
        <v/>
      </c>
      <c r="AN10" s="17">
        <f>Z10/AL10</f>
        <v/>
      </c>
      <c r="AO10" s="33">
        <f>IF(V10+Z10=0,0,Z10/(V10+Z10))</f>
        <v/>
      </c>
      <c r="AP10" s="14">
        <f>AL10/V10*100</f>
        <v/>
      </c>
      <c r="AQ10" s="8">
        <f>P10/AL10*1000</f>
        <v/>
      </c>
      <c r="AR10" s="77">
        <f>MAX(N10,M10-1)</f>
        <v/>
      </c>
      <c r="AS10" s="14">
        <f>SUMIFS(Donnees_regimes!$R$3:$R$1118,Donnees_regimes!$A$3:$A$1118,C10,Donnees_regimes!$B$3:$B$1118,"&gt;="&amp;G10,Donnees_regimes!$B$3:$B$1118,"&lt;="&amp;N10)*L10/ROUNDUP(L10,0)*SUMIFS(Donnees_annuelles!$AG$3:$AG$188,Donnees_annuelles!$A$3:$A$188,AR10)*SUMIFS(Donnees_annuelles!$AA$3:$AA$188,Donnees_annuelles!$A$3:$A$188,AR10)</f>
        <v/>
      </c>
      <c r="AT10" s="36">
        <f>AS10/V10</f>
        <v/>
      </c>
      <c r="AU10" s="14">
        <f>AL10</f>
        <v/>
      </c>
      <c r="AV10" s="39">
        <f>AS10-AL10</f>
        <v/>
      </c>
      <c r="AW10" s="9">
        <f>AS10/AL10-1</f>
        <v/>
      </c>
      <c r="AX10" s="14">
        <f>AS10/AJ10/12</f>
        <v/>
      </c>
      <c r="AY10" s="14">
        <f>AF10</f>
        <v/>
      </c>
      <c r="AZ10" s="39">
        <f>AX10-AF10</f>
        <v/>
      </c>
      <c r="BA10" s="14">
        <f>SUMIFS(Donnees_regimes!$S$3:$S$1118,Donnees_regimes!$A$3:$A$1118,C10,Donnees_regimes!$B$3:$B$1118,"&gt;="&amp;G10,Donnees_regimes!$B$3:$B$1118,"&lt;="&amp;N10)*L10/ROUNDUP(L10,0)*SUMIFS(Donnees_annuelles!$AH$3:$AH$188,Donnees_annuelles!$A$3:$A$188,AR10)*SUMIFS(Donnees_annuelles!$AA$3:$AA$188,Donnees_annuelles!$A$3:$A$188,AR10)</f>
        <v/>
      </c>
      <c r="BB10" s="39">
        <f>BA10-AL10</f>
        <v/>
      </c>
      <c r="BC10" s="7">
        <f>IF(M10+AJ10&gt;2026,IF(G10&gt;2026,"entièrement projeté","en partie projeté"),"observé")</f>
        <v/>
      </c>
    </row>
    <row r="11">
      <c r="A11" s="7" t="inlineStr">
        <is>
          <t>Génération silencieuse</t>
        </is>
      </c>
      <c r="B11" s="84" t="inlineStr">
        <is>
          <t>Privé</t>
        </is>
      </c>
      <c r="C11" s="7">
        <f>IF(G11&gt;=SUMIFS(Regimes!$C$5:$C$10,Regimes!$A$5:$A$10,B11),"Privé",B11)</f>
        <v/>
      </c>
      <c r="D11" s="7">
        <f>INDEX(Regimes!$D$5:$D$10,MATCH(C11,Regimes!$A$5:$A$10,0))</f>
        <v/>
      </c>
      <c r="E11" s="88" t="n">
        <v>1936</v>
      </c>
      <c r="F11" s="8">
        <f>Donnees_generations!C24</f>
        <v/>
      </c>
      <c r="G11" s="77">
        <f>Donnees_generations!D24</f>
        <v/>
      </c>
      <c r="H11" s="8">
        <f>SUMIFS(Donnees_generations!$S$3:$S$113,Donnees_generations!$A$3:$A$113,MAX(1915,MIN(2025,E11)))</f>
        <v/>
      </c>
      <c r="I11" s="8">
        <f>SUMIFS(Donnees_generations!$T$3:$T$113,Donnees_generations!$A$3:$A$113,MAX(1915,MIN(2025,E11)))</f>
        <v/>
      </c>
      <c r="J11" s="8">
        <f>IF(G11&gt;=2000,MAX(I11,Parametres!$B$3),I11)</f>
        <v/>
      </c>
      <c r="K11" s="8">
        <f>IF(C11="Privé",J11,SUMIFS(Regles_regimes!$J$3:$J$2000,Regles_regimes!$A$3:$A$2000,C11,Regles_regimes!$B$3:$B$2000,D11,Regles_regimes!$C$3:$C$2000,MAX(1915,MIN(2025,E11))))</f>
        <v/>
      </c>
      <c r="L11" s="8">
        <f>IF(C11="Privé",H11,(K11-F11)*H11/(J11-F11))</f>
        <v/>
      </c>
      <c r="M11" s="77">
        <f>INT(E11+K11)</f>
        <v/>
      </c>
      <c r="N11" s="77">
        <f>G11+ROUNDUP(L11,0)-1</f>
        <v/>
      </c>
      <c r="O11" s="89">
        <f>SUMIFS(Regles_regimes!$K$3:$K$2000,Regles_regimes!$A$3:$A$2000,C11,Regles_regimes!$B$3:$B$2000,D11,Regles_regimes!$C$3:$C$2000,MAX(1915,MIN(2025,E11)))</f>
        <v/>
      </c>
      <c r="P11" s="13">
        <f>SUMIFS(Donnees_annuelles!$W$3:$W$188,Donnees_annuelles!$A$3:$A$188,"&gt;="&amp;G11,Donnees_annuelles!$A$3:$A$188,"&lt;="&amp;N11)*L11/ROUNDUP(L11,0)*O11</f>
        <v/>
      </c>
      <c r="Q11" s="13">
        <f>SUMIFS(Donnees_annuelles!$V$3:$V$188,Donnees_annuelles!$A$3:$A$188,"&gt;="&amp;G11,Donnees_annuelles!$A$3:$A$188,"&lt;="&amp;N11)*L11/ROUNDUP(L11,0)</f>
        <v/>
      </c>
      <c r="R11" s="13">
        <f>P11/L11</f>
        <v/>
      </c>
      <c r="S11" s="14">
        <f>SUMIFS(Donnees_annuelles!$D$3:$D$188,Donnees_annuelles!$A$3:$A$188,"&gt;="&amp;G11,Donnees_annuelles!$A$3:$A$188,"&lt;="&amp;N11)*L11/ROUNDUP(L11,0)</f>
        <v/>
      </c>
      <c r="T11" s="14">
        <f>SUMIFS(Donnees_regimes!$N$3:$N$1118,Donnees_regimes!$A$3:$A$1118,C11,Donnees_regimes!$B$3:$B$1118,"&gt;="&amp;G11,Donnees_regimes!$B$3:$B$1118,"&lt;="&amp;N11)*L11/ROUNDUP(L11,0)</f>
        <v/>
      </c>
      <c r="U11" s="14">
        <f>SUMIFS(Donnees_regimes!$O$3:$O$1118,Donnees_regimes!$A$3:$A$1118,C11,Donnees_regimes!$B$3:$B$1118,"&gt;="&amp;G11,Donnees_regimes!$B$3:$B$1118,"&lt;="&amp;N11)*L11/ROUNDUP(L11,0)</f>
        <v/>
      </c>
      <c r="V11" s="14">
        <f>T11+U11</f>
        <v/>
      </c>
      <c r="W11" s="33">
        <f>V11/S11</f>
        <v/>
      </c>
      <c r="X11" s="14">
        <f>S11+U11</f>
        <v/>
      </c>
      <c r="Y11" s="17">
        <f>V11/P11</f>
        <v/>
      </c>
      <c r="Z11" s="14">
        <f>SUMIFS(Donnees_regimes!$Q$3:$Q$1118,Donnees_regimes!$A$3:$A$1118,C11,Donnees_regimes!$B$3:$B$1118,"&gt;="&amp;G11,Donnees_regimes!$B$3:$B$1118,"&lt;="&amp;N11)*L11/ROUNDUP(L11,0)</f>
        <v/>
      </c>
      <c r="AA11" s="77">
        <f>SUMIFS(Regles_regimes!$F$3:$F$2000,Regles_regimes!$A$3:$A$2000,C11,Regles_regimes!$B$3:$B$2000,D11,Regles_regimes!$C$3:$C$2000,MAX(1915,MIN(2025,E11)))</f>
        <v/>
      </c>
      <c r="AB11" s="77">
        <f>IF(AND(SUMIFS(Regles_regimes!$L$3:$L$2000,Regles_regimes!$A$3:$A$2000,C11,Regles_regimes!$B$3:$B$2000,D11,Regles_regimes!$C$3:$C$2000,MAX(1915,MIN(2025,E11)))=1,G11&lt;2009,C11&lt;&gt;"Privé"),MIN(20,L11*4/5),0)</f>
        <v/>
      </c>
      <c r="AC11" s="89">
        <f>SUMIFS(Donnees_regimes!$M$3:$M$1118,Donnees_regimes!$A$3:$A$1118,C11,Donnees_regimes!$B$3:$B$1118,M11)</f>
        <v/>
      </c>
      <c r="AD11" s="14">
        <f>SUMIFS(Donnees_annuelles!$Y$3:$Y$188,Donnees_annuelles!$A$3:$A$188,M11)*SUMIFS(Donnees_generations!$I$3:$I$113,Donnees_generations!$A$3:$A$113,MAX(1915,MIN(2025,E11)))/H11</f>
        <v/>
      </c>
      <c r="AE11" s="14">
        <f>IF(C11="Privé",SUMIFS(Donnees_annuelles!$Y$3:$Y$188,Donnees_annuelles!$A$3:$A$188,M11)*MIN(L11,SUMIFS(Donnees_generations!$I$3:$I$113,Donnees_generations!$A$3:$A$113,MAX(1915,MIN(2025,E11))))/L11,AD11*AC11*MIN(IF(AB11&gt;0,0.8/0.75,1),(L11*4+AB11)/AA11))</f>
        <v/>
      </c>
      <c r="AF11" s="14">
        <f>AE11/12</f>
        <v/>
      </c>
      <c r="AG11" s="77">
        <f>MIN(68,MAX(56,2*INT(K11/2)))</f>
        <v/>
      </c>
      <c r="AH11" s="75">
        <f>(CHOOSE((AG11-56)/2+1,SUMIFS(Donnees_generations!$U$3:$U$113,Donnees_generations!$A$3:$A$113,MAX(1915,MIN(2025,E11))),SUMIFS(Donnees_generations!$V$3:$V$113,Donnees_generations!$A$3:$A$113,MAX(1915,MIN(2025,E11))),SUMIFS(Donnees_generations!$W$3:$W$113,Donnees_generations!$A$3:$A$113,MAX(1915,MIN(2025,E11))),SUMIFS(Donnees_generations!$X$3:$X$113,Donnees_generations!$A$3:$A$113,MAX(1915,MIN(2025,E11))),SUMIFS(Donnees_generations!$Y$3:$Y$113,Donnees_generations!$A$3:$A$113,MAX(1915,MIN(2025,E11))),SUMIFS(Donnees_generations!$Z$3:$Z$113,Donnees_generations!$A$3:$A$113,MAX(1915,MIN(2025,E11))),SUMIFS(Donnees_generations!$AA$3:$AA$113,Donnees_generations!$A$3:$A$113,MAX(1915,MIN(2025,E11))),SUMIFS(Donnees_generations!$AB$3:$AB$113,Donnees_generations!$A$3:$A$113,MAX(1915,MIN(2025,E11))))+CHOOSE((AG11-56)/2+1,SUMIFS(Donnees_generations!$AC$3:$AC$113,Donnees_generations!$A$3:$A$113,MAX(1915,MIN(2025,E11))),SUMIFS(Donnees_generations!$AD$3:$AD$113,Donnees_generations!$A$3:$A$113,MAX(1915,MIN(2025,E11))),SUMIFS(Donnees_generations!$AE$3:$AE$113,Donnees_generations!$A$3:$A$113,MAX(1915,MIN(2025,E11))),SUMIFS(Donnees_generations!$AF$3:$AF$113,Donnees_generations!$A$3:$A$113,MAX(1915,MIN(2025,E11))),SUMIFS(Donnees_generations!$AG$3:$AG$113,Donnees_generations!$A$3:$A$113,MAX(1915,MIN(2025,E11))),SUMIFS(Donnees_generations!$AH$3:$AH$113,Donnees_generations!$A$3:$A$113,MAX(1915,MIN(2025,E11))),SUMIFS(Donnees_generations!$AI$3:$AI$113,Donnees_generations!$A$3:$A$113,MAX(1915,MIN(2025,E11))),SUMIFS(Donnees_generations!$AJ$3:$AJ$113,Donnees_generations!$A$3:$A$113,MAX(1915,MIN(2025,E11)))))/2</f>
        <v/>
      </c>
      <c r="AI11" s="75">
        <f>(CHOOSE(((AG11+2)-56)/2+1,SUMIFS(Donnees_generations!$U$3:$U$113,Donnees_generations!$A$3:$A$113,MAX(1915,MIN(2025,E11))),SUMIFS(Donnees_generations!$V$3:$V$113,Donnees_generations!$A$3:$A$113,MAX(1915,MIN(2025,E11))),SUMIFS(Donnees_generations!$W$3:$W$113,Donnees_generations!$A$3:$A$113,MAX(1915,MIN(2025,E11))),SUMIFS(Donnees_generations!$X$3:$X$113,Donnees_generations!$A$3:$A$113,MAX(1915,MIN(2025,E11))),SUMIFS(Donnees_generations!$Y$3:$Y$113,Donnees_generations!$A$3:$A$113,MAX(1915,MIN(2025,E11))),SUMIFS(Donnees_generations!$Z$3:$Z$113,Donnees_generations!$A$3:$A$113,MAX(1915,MIN(2025,E11))),SUMIFS(Donnees_generations!$AA$3:$AA$113,Donnees_generations!$A$3:$A$113,MAX(1915,MIN(2025,E11))),SUMIFS(Donnees_generations!$AB$3:$AB$113,Donnees_generations!$A$3:$A$113,MAX(1915,MIN(2025,E11))))+CHOOSE(((AG11+2)-56)/2+1,SUMIFS(Donnees_generations!$AC$3:$AC$113,Donnees_generations!$A$3:$A$113,MAX(1915,MIN(2025,E11))),SUMIFS(Donnees_generations!$AD$3:$AD$113,Donnees_generations!$A$3:$A$113,MAX(1915,MIN(2025,E11))),SUMIFS(Donnees_generations!$AE$3:$AE$113,Donnees_generations!$A$3:$A$113,MAX(1915,MIN(2025,E11))),SUMIFS(Donnees_generations!$AF$3:$AF$113,Donnees_generations!$A$3:$A$113,MAX(1915,MIN(2025,E11))),SUMIFS(Donnees_generations!$AG$3:$AG$113,Donnees_generations!$A$3:$A$113,MAX(1915,MIN(2025,E11))),SUMIFS(Donnees_generations!$AH$3:$AH$113,Donnees_generations!$A$3:$A$113,MAX(1915,MIN(2025,E11))),SUMIFS(Donnees_generations!$AI$3:$AI$113,Donnees_generations!$A$3:$A$113,MAX(1915,MIN(2025,E11))),SUMIFS(Donnees_generations!$AJ$3:$AJ$113,Donnees_generations!$A$3:$A$113,MAX(1915,MIN(2025,E11)))))/2</f>
        <v/>
      </c>
      <c r="AJ11" s="8">
        <f>MAX(0,AH11+(AI11-AH11)*(K11-AG11)/2)</f>
        <v/>
      </c>
      <c r="AK11" s="8">
        <f>K11+AJ11</f>
        <v/>
      </c>
      <c r="AL11" s="14">
        <f>AE11*AJ11</f>
        <v/>
      </c>
      <c r="AM11" s="17">
        <f>V11/AL11</f>
        <v/>
      </c>
      <c r="AN11" s="17">
        <f>Z11/AL11</f>
        <v/>
      </c>
      <c r="AO11" s="33">
        <f>IF(V11+Z11=0,0,Z11/(V11+Z11))</f>
        <v/>
      </c>
      <c r="AP11" s="14">
        <f>AL11/V11*100</f>
        <v/>
      </c>
      <c r="AQ11" s="8">
        <f>P11/AL11*1000</f>
        <v/>
      </c>
      <c r="AR11" s="77">
        <f>MAX(N11,M11-1)</f>
        <v/>
      </c>
      <c r="AS11" s="14">
        <f>SUMIFS(Donnees_regimes!$R$3:$R$1118,Donnees_regimes!$A$3:$A$1118,C11,Donnees_regimes!$B$3:$B$1118,"&gt;="&amp;G11,Donnees_regimes!$B$3:$B$1118,"&lt;="&amp;N11)*L11/ROUNDUP(L11,0)*SUMIFS(Donnees_annuelles!$AG$3:$AG$188,Donnees_annuelles!$A$3:$A$188,AR11)*SUMIFS(Donnees_annuelles!$AA$3:$AA$188,Donnees_annuelles!$A$3:$A$188,AR11)</f>
        <v/>
      </c>
      <c r="AT11" s="36">
        <f>AS11/V11</f>
        <v/>
      </c>
      <c r="AU11" s="14">
        <f>AL11</f>
        <v/>
      </c>
      <c r="AV11" s="39">
        <f>AS11-AL11</f>
        <v/>
      </c>
      <c r="AW11" s="9">
        <f>AS11/AL11-1</f>
        <v/>
      </c>
      <c r="AX11" s="14">
        <f>AS11/AJ11/12</f>
        <v/>
      </c>
      <c r="AY11" s="14">
        <f>AF11</f>
        <v/>
      </c>
      <c r="AZ11" s="39">
        <f>AX11-AF11</f>
        <v/>
      </c>
      <c r="BA11" s="14">
        <f>SUMIFS(Donnees_regimes!$S$3:$S$1118,Donnees_regimes!$A$3:$A$1118,C11,Donnees_regimes!$B$3:$B$1118,"&gt;="&amp;G11,Donnees_regimes!$B$3:$B$1118,"&lt;="&amp;N11)*L11/ROUNDUP(L11,0)*SUMIFS(Donnees_annuelles!$AH$3:$AH$188,Donnees_annuelles!$A$3:$A$188,AR11)*SUMIFS(Donnees_annuelles!$AA$3:$AA$188,Donnees_annuelles!$A$3:$A$188,AR11)</f>
        <v/>
      </c>
      <c r="BB11" s="39">
        <f>BA11-AL11</f>
        <v/>
      </c>
      <c r="BC11" s="7">
        <f>IF(M11+AJ11&gt;2026,IF(G11&gt;2026,"entièrement projeté","en partie projeté"),"observé")</f>
        <v/>
      </c>
    </row>
    <row r="12">
      <c r="A12" s="7" t="inlineStr">
        <is>
          <t>Génération silencieuse</t>
        </is>
      </c>
      <c r="B12" s="84" t="inlineStr">
        <is>
          <t>Privé</t>
        </is>
      </c>
      <c r="C12" s="7">
        <f>IF(G12&gt;=SUMIFS(Regimes!$C$5:$C$10,Regimes!$A$5:$A$10,B12),"Privé",B12)</f>
        <v/>
      </c>
      <c r="D12" s="7">
        <f>INDEX(Regimes!$D$5:$D$10,MATCH(C12,Regimes!$A$5:$A$10,0))</f>
        <v/>
      </c>
      <c r="E12" s="88" t="n">
        <v>1937</v>
      </c>
      <c r="F12" s="8">
        <f>Donnees_generations!C25</f>
        <v/>
      </c>
      <c r="G12" s="77">
        <f>Donnees_generations!D25</f>
        <v/>
      </c>
      <c r="H12" s="8">
        <f>SUMIFS(Donnees_generations!$S$3:$S$113,Donnees_generations!$A$3:$A$113,MAX(1915,MIN(2025,E12)))</f>
        <v/>
      </c>
      <c r="I12" s="8">
        <f>SUMIFS(Donnees_generations!$T$3:$T$113,Donnees_generations!$A$3:$A$113,MAX(1915,MIN(2025,E12)))</f>
        <v/>
      </c>
      <c r="J12" s="8">
        <f>IF(G12&gt;=2000,MAX(I12,Parametres!$B$3),I12)</f>
        <v/>
      </c>
      <c r="K12" s="8">
        <f>IF(C12="Privé",J12,SUMIFS(Regles_regimes!$J$3:$J$2000,Regles_regimes!$A$3:$A$2000,C12,Regles_regimes!$B$3:$B$2000,D12,Regles_regimes!$C$3:$C$2000,MAX(1915,MIN(2025,E12))))</f>
        <v/>
      </c>
      <c r="L12" s="8">
        <f>IF(C12="Privé",H12,(K12-F12)*H12/(J12-F12))</f>
        <v/>
      </c>
      <c r="M12" s="77">
        <f>INT(E12+K12)</f>
        <v/>
      </c>
      <c r="N12" s="77">
        <f>G12+ROUNDUP(L12,0)-1</f>
        <v/>
      </c>
      <c r="O12" s="89">
        <f>SUMIFS(Regles_regimes!$K$3:$K$2000,Regles_regimes!$A$3:$A$2000,C12,Regles_regimes!$B$3:$B$2000,D12,Regles_regimes!$C$3:$C$2000,MAX(1915,MIN(2025,E12)))</f>
        <v/>
      </c>
      <c r="P12" s="13">
        <f>SUMIFS(Donnees_annuelles!$W$3:$W$188,Donnees_annuelles!$A$3:$A$188,"&gt;="&amp;G12,Donnees_annuelles!$A$3:$A$188,"&lt;="&amp;N12)*L12/ROUNDUP(L12,0)*O12</f>
        <v/>
      </c>
      <c r="Q12" s="13">
        <f>SUMIFS(Donnees_annuelles!$V$3:$V$188,Donnees_annuelles!$A$3:$A$188,"&gt;="&amp;G12,Donnees_annuelles!$A$3:$A$188,"&lt;="&amp;N12)*L12/ROUNDUP(L12,0)</f>
        <v/>
      </c>
      <c r="R12" s="13">
        <f>P12/L12</f>
        <v/>
      </c>
      <c r="S12" s="14">
        <f>SUMIFS(Donnees_annuelles!$D$3:$D$188,Donnees_annuelles!$A$3:$A$188,"&gt;="&amp;G12,Donnees_annuelles!$A$3:$A$188,"&lt;="&amp;N12)*L12/ROUNDUP(L12,0)</f>
        <v/>
      </c>
      <c r="T12" s="14">
        <f>SUMIFS(Donnees_regimes!$N$3:$N$1118,Donnees_regimes!$A$3:$A$1118,C12,Donnees_regimes!$B$3:$B$1118,"&gt;="&amp;G12,Donnees_regimes!$B$3:$B$1118,"&lt;="&amp;N12)*L12/ROUNDUP(L12,0)</f>
        <v/>
      </c>
      <c r="U12" s="14">
        <f>SUMIFS(Donnees_regimes!$O$3:$O$1118,Donnees_regimes!$A$3:$A$1118,C12,Donnees_regimes!$B$3:$B$1118,"&gt;="&amp;G12,Donnees_regimes!$B$3:$B$1118,"&lt;="&amp;N12)*L12/ROUNDUP(L12,0)</f>
        <v/>
      </c>
      <c r="V12" s="14">
        <f>T12+U12</f>
        <v/>
      </c>
      <c r="W12" s="33">
        <f>V12/S12</f>
        <v/>
      </c>
      <c r="X12" s="14">
        <f>S12+U12</f>
        <v/>
      </c>
      <c r="Y12" s="17">
        <f>V12/P12</f>
        <v/>
      </c>
      <c r="Z12" s="14">
        <f>SUMIFS(Donnees_regimes!$Q$3:$Q$1118,Donnees_regimes!$A$3:$A$1118,C12,Donnees_regimes!$B$3:$B$1118,"&gt;="&amp;G12,Donnees_regimes!$B$3:$B$1118,"&lt;="&amp;N12)*L12/ROUNDUP(L12,0)</f>
        <v/>
      </c>
      <c r="AA12" s="77">
        <f>SUMIFS(Regles_regimes!$F$3:$F$2000,Regles_regimes!$A$3:$A$2000,C12,Regles_regimes!$B$3:$B$2000,D12,Regles_regimes!$C$3:$C$2000,MAX(1915,MIN(2025,E12)))</f>
        <v/>
      </c>
      <c r="AB12" s="77">
        <f>IF(AND(SUMIFS(Regles_regimes!$L$3:$L$2000,Regles_regimes!$A$3:$A$2000,C12,Regles_regimes!$B$3:$B$2000,D12,Regles_regimes!$C$3:$C$2000,MAX(1915,MIN(2025,E12)))=1,G12&lt;2009,C12&lt;&gt;"Privé"),MIN(20,L12*4/5),0)</f>
        <v/>
      </c>
      <c r="AC12" s="89">
        <f>SUMIFS(Donnees_regimes!$M$3:$M$1118,Donnees_regimes!$A$3:$A$1118,C12,Donnees_regimes!$B$3:$B$1118,M12)</f>
        <v/>
      </c>
      <c r="AD12" s="14">
        <f>SUMIFS(Donnees_annuelles!$Y$3:$Y$188,Donnees_annuelles!$A$3:$A$188,M12)*SUMIFS(Donnees_generations!$I$3:$I$113,Donnees_generations!$A$3:$A$113,MAX(1915,MIN(2025,E12)))/H12</f>
        <v/>
      </c>
      <c r="AE12" s="14">
        <f>IF(C12="Privé",SUMIFS(Donnees_annuelles!$Y$3:$Y$188,Donnees_annuelles!$A$3:$A$188,M12)*MIN(L12,SUMIFS(Donnees_generations!$I$3:$I$113,Donnees_generations!$A$3:$A$113,MAX(1915,MIN(2025,E12))))/L12,AD12*AC12*MIN(IF(AB12&gt;0,0.8/0.75,1),(L12*4+AB12)/AA12))</f>
        <v/>
      </c>
      <c r="AF12" s="14">
        <f>AE12/12</f>
        <v/>
      </c>
      <c r="AG12" s="77">
        <f>MIN(68,MAX(56,2*INT(K12/2)))</f>
        <v/>
      </c>
      <c r="AH12" s="75">
        <f>(CHOOSE((AG12-56)/2+1,SUMIFS(Donnees_generations!$U$3:$U$113,Donnees_generations!$A$3:$A$113,MAX(1915,MIN(2025,E12))),SUMIFS(Donnees_generations!$V$3:$V$113,Donnees_generations!$A$3:$A$113,MAX(1915,MIN(2025,E12))),SUMIFS(Donnees_generations!$W$3:$W$113,Donnees_generations!$A$3:$A$113,MAX(1915,MIN(2025,E12))),SUMIFS(Donnees_generations!$X$3:$X$113,Donnees_generations!$A$3:$A$113,MAX(1915,MIN(2025,E12))),SUMIFS(Donnees_generations!$Y$3:$Y$113,Donnees_generations!$A$3:$A$113,MAX(1915,MIN(2025,E12))),SUMIFS(Donnees_generations!$Z$3:$Z$113,Donnees_generations!$A$3:$A$113,MAX(1915,MIN(2025,E12))),SUMIFS(Donnees_generations!$AA$3:$AA$113,Donnees_generations!$A$3:$A$113,MAX(1915,MIN(2025,E12))),SUMIFS(Donnees_generations!$AB$3:$AB$113,Donnees_generations!$A$3:$A$113,MAX(1915,MIN(2025,E12))))+CHOOSE((AG12-56)/2+1,SUMIFS(Donnees_generations!$AC$3:$AC$113,Donnees_generations!$A$3:$A$113,MAX(1915,MIN(2025,E12))),SUMIFS(Donnees_generations!$AD$3:$AD$113,Donnees_generations!$A$3:$A$113,MAX(1915,MIN(2025,E12))),SUMIFS(Donnees_generations!$AE$3:$AE$113,Donnees_generations!$A$3:$A$113,MAX(1915,MIN(2025,E12))),SUMIFS(Donnees_generations!$AF$3:$AF$113,Donnees_generations!$A$3:$A$113,MAX(1915,MIN(2025,E12))),SUMIFS(Donnees_generations!$AG$3:$AG$113,Donnees_generations!$A$3:$A$113,MAX(1915,MIN(2025,E12))),SUMIFS(Donnees_generations!$AH$3:$AH$113,Donnees_generations!$A$3:$A$113,MAX(1915,MIN(2025,E12))),SUMIFS(Donnees_generations!$AI$3:$AI$113,Donnees_generations!$A$3:$A$113,MAX(1915,MIN(2025,E12))),SUMIFS(Donnees_generations!$AJ$3:$AJ$113,Donnees_generations!$A$3:$A$113,MAX(1915,MIN(2025,E12)))))/2</f>
        <v/>
      </c>
      <c r="AI12" s="75">
        <f>(CHOOSE(((AG12+2)-56)/2+1,SUMIFS(Donnees_generations!$U$3:$U$113,Donnees_generations!$A$3:$A$113,MAX(1915,MIN(2025,E12))),SUMIFS(Donnees_generations!$V$3:$V$113,Donnees_generations!$A$3:$A$113,MAX(1915,MIN(2025,E12))),SUMIFS(Donnees_generations!$W$3:$W$113,Donnees_generations!$A$3:$A$113,MAX(1915,MIN(2025,E12))),SUMIFS(Donnees_generations!$X$3:$X$113,Donnees_generations!$A$3:$A$113,MAX(1915,MIN(2025,E12))),SUMIFS(Donnees_generations!$Y$3:$Y$113,Donnees_generations!$A$3:$A$113,MAX(1915,MIN(2025,E12))),SUMIFS(Donnees_generations!$Z$3:$Z$113,Donnees_generations!$A$3:$A$113,MAX(1915,MIN(2025,E12))),SUMIFS(Donnees_generations!$AA$3:$AA$113,Donnees_generations!$A$3:$A$113,MAX(1915,MIN(2025,E12))),SUMIFS(Donnees_generations!$AB$3:$AB$113,Donnees_generations!$A$3:$A$113,MAX(1915,MIN(2025,E12))))+CHOOSE(((AG12+2)-56)/2+1,SUMIFS(Donnees_generations!$AC$3:$AC$113,Donnees_generations!$A$3:$A$113,MAX(1915,MIN(2025,E12))),SUMIFS(Donnees_generations!$AD$3:$AD$113,Donnees_generations!$A$3:$A$113,MAX(1915,MIN(2025,E12))),SUMIFS(Donnees_generations!$AE$3:$AE$113,Donnees_generations!$A$3:$A$113,MAX(1915,MIN(2025,E12))),SUMIFS(Donnees_generations!$AF$3:$AF$113,Donnees_generations!$A$3:$A$113,MAX(1915,MIN(2025,E12))),SUMIFS(Donnees_generations!$AG$3:$AG$113,Donnees_generations!$A$3:$A$113,MAX(1915,MIN(2025,E12))),SUMIFS(Donnees_generations!$AH$3:$AH$113,Donnees_generations!$A$3:$A$113,MAX(1915,MIN(2025,E12))),SUMIFS(Donnees_generations!$AI$3:$AI$113,Donnees_generations!$A$3:$A$113,MAX(1915,MIN(2025,E12))),SUMIFS(Donnees_generations!$AJ$3:$AJ$113,Donnees_generations!$A$3:$A$113,MAX(1915,MIN(2025,E12)))))/2</f>
        <v/>
      </c>
      <c r="AJ12" s="8">
        <f>MAX(0,AH12+(AI12-AH12)*(K12-AG12)/2)</f>
        <v/>
      </c>
      <c r="AK12" s="8">
        <f>K12+AJ12</f>
        <v/>
      </c>
      <c r="AL12" s="14">
        <f>AE12*AJ12</f>
        <v/>
      </c>
      <c r="AM12" s="17">
        <f>V12/AL12</f>
        <v/>
      </c>
      <c r="AN12" s="17">
        <f>Z12/AL12</f>
        <v/>
      </c>
      <c r="AO12" s="33">
        <f>IF(V12+Z12=0,0,Z12/(V12+Z12))</f>
        <v/>
      </c>
      <c r="AP12" s="14">
        <f>AL12/V12*100</f>
        <v/>
      </c>
      <c r="AQ12" s="8">
        <f>P12/AL12*1000</f>
        <v/>
      </c>
      <c r="AR12" s="77">
        <f>MAX(N12,M12-1)</f>
        <v/>
      </c>
      <c r="AS12" s="14">
        <f>SUMIFS(Donnees_regimes!$R$3:$R$1118,Donnees_regimes!$A$3:$A$1118,C12,Donnees_regimes!$B$3:$B$1118,"&gt;="&amp;G12,Donnees_regimes!$B$3:$B$1118,"&lt;="&amp;N12)*L12/ROUNDUP(L12,0)*SUMIFS(Donnees_annuelles!$AG$3:$AG$188,Donnees_annuelles!$A$3:$A$188,AR12)*SUMIFS(Donnees_annuelles!$AA$3:$AA$188,Donnees_annuelles!$A$3:$A$188,AR12)</f>
        <v/>
      </c>
      <c r="AT12" s="36">
        <f>AS12/V12</f>
        <v/>
      </c>
      <c r="AU12" s="14">
        <f>AL12</f>
        <v/>
      </c>
      <c r="AV12" s="39">
        <f>AS12-AL12</f>
        <v/>
      </c>
      <c r="AW12" s="9">
        <f>AS12/AL12-1</f>
        <v/>
      </c>
      <c r="AX12" s="14">
        <f>AS12/AJ12/12</f>
        <v/>
      </c>
      <c r="AY12" s="14">
        <f>AF12</f>
        <v/>
      </c>
      <c r="AZ12" s="39">
        <f>AX12-AF12</f>
        <v/>
      </c>
      <c r="BA12" s="14">
        <f>SUMIFS(Donnees_regimes!$S$3:$S$1118,Donnees_regimes!$A$3:$A$1118,C12,Donnees_regimes!$B$3:$B$1118,"&gt;="&amp;G12,Donnees_regimes!$B$3:$B$1118,"&lt;="&amp;N12)*L12/ROUNDUP(L12,0)*SUMIFS(Donnees_annuelles!$AH$3:$AH$188,Donnees_annuelles!$A$3:$A$188,AR12)*SUMIFS(Donnees_annuelles!$AA$3:$AA$188,Donnees_annuelles!$A$3:$A$188,AR12)</f>
        <v/>
      </c>
      <c r="BB12" s="39">
        <f>BA12-AL12</f>
        <v/>
      </c>
      <c r="BC12" s="7">
        <f>IF(M12+AJ12&gt;2026,IF(G12&gt;2026,"entièrement projeté","en partie projeté"),"observé")</f>
        <v/>
      </c>
    </row>
    <row r="13">
      <c r="A13" s="7" t="inlineStr">
        <is>
          <t>Génération silencieuse</t>
        </is>
      </c>
      <c r="B13" s="84" t="inlineStr">
        <is>
          <t>Privé</t>
        </is>
      </c>
      <c r="C13" s="7">
        <f>IF(G13&gt;=SUMIFS(Regimes!$C$5:$C$10,Regimes!$A$5:$A$10,B13),"Privé",B13)</f>
        <v/>
      </c>
      <c r="D13" s="7">
        <f>INDEX(Regimes!$D$5:$D$10,MATCH(C13,Regimes!$A$5:$A$10,0))</f>
        <v/>
      </c>
      <c r="E13" s="88" t="n">
        <v>1938</v>
      </c>
      <c r="F13" s="8">
        <f>Donnees_generations!C26</f>
        <v/>
      </c>
      <c r="G13" s="77">
        <f>Donnees_generations!D26</f>
        <v/>
      </c>
      <c r="H13" s="8">
        <f>SUMIFS(Donnees_generations!$S$3:$S$113,Donnees_generations!$A$3:$A$113,MAX(1915,MIN(2025,E13)))</f>
        <v/>
      </c>
      <c r="I13" s="8">
        <f>SUMIFS(Donnees_generations!$T$3:$T$113,Donnees_generations!$A$3:$A$113,MAX(1915,MIN(2025,E13)))</f>
        <v/>
      </c>
      <c r="J13" s="8">
        <f>IF(G13&gt;=2000,MAX(I13,Parametres!$B$3),I13)</f>
        <v/>
      </c>
      <c r="K13" s="8">
        <f>IF(C13="Privé",J13,SUMIFS(Regles_regimes!$J$3:$J$2000,Regles_regimes!$A$3:$A$2000,C13,Regles_regimes!$B$3:$B$2000,D13,Regles_regimes!$C$3:$C$2000,MAX(1915,MIN(2025,E13))))</f>
        <v/>
      </c>
      <c r="L13" s="8">
        <f>IF(C13="Privé",H13,(K13-F13)*H13/(J13-F13))</f>
        <v/>
      </c>
      <c r="M13" s="77">
        <f>INT(E13+K13)</f>
        <v/>
      </c>
      <c r="N13" s="77">
        <f>G13+ROUNDUP(L13,0)-1</f>
        <v/>
      </c>
      <c r="O13" s="89">
        <f>SUMIFS(Regles_regimes!$K$3:$K$2000,Regles_regimes!$A$3:$A$2000,C13,Regles_regimes!$B$3:$B$2000,D13,Regles_regimes!$C$3:$C$2000,MAX(1915,MIN(2025,E13)))</f>
        <v/>
      </c>
      <c r="P13" s="13">
        <f>SUMIFS(Donnees_annuelles!$W$3:$W$188,Donnees_annuelles!$A$3:$A$188,"&gt;="&amp;G13,Donnees_annuelles!$A$3:$A$188,"&lt;="&amp;N13)*L13/ROUNDUP(L13,0)*O13</f>
        <v/>
      </c>
      <c r="Q13" s="13">
        <f>SUMIFS(Donnees_annuelles!$V$3:$V$188,Donnees_annuelles!$A$3:$A$188,"&gt;="&amp;G13,Donnees_annuelles!$A$3:$A$188,"&lt;="&amp;N13)*L13/ROUNDUP(L13,0)</f>
        <v/>
      </c>
      <c r="R13" s="13">
        <f>P13/L13</f>
        <v/>
      </c>
      <c r="S13" s="14">
        <f>SUMIFS(Donnees_annuelles!$D$3:$D$188,Donnees_annuelles!$A$3:$A$188,"&gt;="&amp;G13,Donnees_annuelles!$A$3:$A$188,"&lt;="&amp;N13)*L13/ROUNDUP(L13,0)</f>
        <v/>
      </c>
      <c r="T13" s="14">
        <f>SUMIFS(Donnees_regimes!$N$3:$N$1118,Donnees_regimes!$A$3:$A$1118,C13,Donnees_regimes!$B$3:$B$1118,"&gt;="&amp;G13,Donnees_regimes!$B$3:$B$1118,"&lt;="&amp;N13)*L13/ROUNDUP(L13,0)</f>
        <v/>
      </c>
      <c r="U13" s="14">
        <f>SUMIFS(Donnees_regimes!$O$3:$O$1118,Donnees_regimes!$A$3:$A$1118,C13,Donnees_regimes!$B$3:$B$1118,"&gt;="&amp;G13,Donnees_regimes!$B$3:$B$1118,"&lt;="&amp;N13)*L13/ROUNDUP(L13,0)</f>
        <v/>
      </c>
      <c r="V13" s="14">
        <f>T13+U13</f>
        <v/>
      </c>
      <c r="W13" s="33">
        <f>V13/S13</f>
        <v/>
      </c>
      <c r="X13" s="14">
        <f>S13+U13</f>
        <v/>
      </c>
      <c r="Y13" s="17">
        <f>V13/P13</f>
        <v/>
      </c>
      <c r="Z13" s="14">
        <f>SUMIFS(Donnees_regimes!$Q$3:$Q$1118,Donnees_regimes!$A$3:$A$1118,C13,Donnees_regimes!$B$3:$B$1118,"&gt;="&amp;G13,Donnees_regimes!$B$3:$B$1118,"&lt;="&amp;N13)*L13/ROUNDUP(L13,0)</f>
        <v/>
      </c>
      <c r="AA13" s="77">
        <f>SUMIFS(Regles_regimes!$F$3:$F$2000,Regles_regimes!$A$3:$A$2000,C13,Regles_regimes!$B$3:$B$2000,D13,Regles_regimes!$C$3:$C$2000,MAX(1915,MIN(2025,E13)))</f>
        <v/>
      </c>
      <c r="AB13" s="77">
        <f>IF(AND(SUMIFS(Regles_regimes!$L$3:$L$2000,Regles_regimes!$A$3:$A$2000,C13,Regles_regimes!$B$3:$B$2000,D13,Regles_regimes!$C$3:$C$2000,MAX(1915,MIN(2025,E13)))=1,G13&lt;2009,C13&lt;&gt;"Privé"),MIN(20,L13*4/5),0)</f>
        <v/>
      </c>
      <c r="AC13" s="89">
        <f>SUMIFS(Donnees_regimes!$M$3:$M$1118,Donnees_regimes!$A$3:$A$1118,C13,Donnees_regimes!$B$3:$B$1118,M13)</f>
        <v/>
      </c>
      <c r="AD13" s="14">
        <f>SUMIFS(Donnees_annuelles!$Y$3:$Y$188,Donnees_annuelles!$A$3:$A$188,M13)*SUMIFS(Donnees_generations!$I$3:$I$113,Donnees_generations!$A$3:$A$113,MAX(1915,MIN(2025,E13)))/H13</f>
        <v/>
      </c>
      <c r="AE13" s="14">
        <f>IF(C13="Privé",SUMIFS(Donnees_annuelles!$Y$3:$Y$188,Donnees_annuelles!$A$3:$A$188,M13)*MIN(L13,SUMIFS(Donnees_generations!$I$3:$I$113,Donnees_generations!$A$3:$A$113,MAX(1915,MIN(2025,E13))))/L13,AD13*AC13*MIN(IF(AB13&gt;0,0.8/0.75,1),(L13*4+AB13)/AA13))</f>
        <v/>
      </c>
      <c r="AF13" s="14">
        <f>AE13/12</f>
        <v/>
      </c>
      <c r="AG13" s="77">
        <f>MIN(68,MAX(56,2*INT(K13/2)))</f>
        <v/>
      </c>
      <c r="AH13" s="75">
        <f>(CHOOSE((AG13-56)/2+1,SUMIFS(Donnees_generations!$U$3:$U$113,Donnees_generations!$A$3:$A$113,MAX(1915,MIN(2025,E13))),SUMIFS(Donnees_generations!$V$3:$V$113,Donnees_generations!$A$3:$A$113,MAX(1915,MIN(2025,E13))),SUMIFS(Donnees_generations!$W$3:$W$113,Donnees_generations!$A$3:$A$113,MAX(1915,MIN(2025,E13))),SUMIFS(Donnees_generations!$X$3:$X$113,Donnees_generations!$A$3:$A$113,MAX(1915,MIN(2025,E13))),SUMIFS(Donnees_generations!$Y$3:$Y$113,Donnees_generations!$A$3:$A$113,MAX(1915,MIN(2025,E13))),SUMIFS(Donnees_generations!$Z$3:$Z$113,Donnees_generations!$A$3:$A$113,MAX(1915,MIN(2025,E13))),SUMIFS(Donnees_generations!$AA$3:$AA$113,Donnees_generations!$A$3:$A$113,MAX(1915,MIN(2025,E13))),SUMIFS(Donnees_generations!$AB$3:$AB$113,Donnees_generations!$A$3:$A$113,MAX(1915,MIN(2025,E13))))+CHOOSE((AG13-56)/2+1,SUMIFS(Donnees_generations!$AC$3:$AC$113,Donnees_generations!$A$3:$A$113,MAX(1915,MIN(2025,E13))),SUMIFS(Donnees_generations!$AD$3:$AD$113,Donnees_generations!$A$3:$A$113,MAX(1915,MIN(2025,E13))),SUMIFS(Donnees_generations!$AE$3:$AE$113,Donnees_generations!$A$3:$A$113,MAX(1915,MIN(2025,E13))),SUMIFS(Donnees_generations!$AF$3:$AF$113,Donnees_generations!$A$3:$A$113,MAX(1915,MIN(2025,E13))),SUMIFS(Donnees_generations!$AG$3:$AG$113,Donnees_generations!$A$3:$A$113,MAX(1915,MIN(2025,E13))),SUMIFS(Donnees_generations!$AH$3:$AH$113,Donnees_generations!$A$3:$A$113,MAX(1915,MIN(2025,E13))),SUMIFS(Donnees_generations!$AI$3:$AI$113,Donnees_generations!$A$3:$A$113,MAX(1915,MIN(2025,E13))),SUMIFS(Donnees_generations!$AJ$3:$AJ$113,Donnees_generations!$A$3:$A$113,MAX(1915,MIN(2025,E13)))))/2</f>
        <v/>
      </c>
      <c r="AI13" s="75">
        <f>(CHOOSE(((AG13+2)-56)/2+1,SUMIFS(Donnees_generations!$U$3:$U$113,Donnees_generations!$A$3:$A$113,MAX(1915,MIN(2025,E13))),SUMIFS(Donnees_generations!$V$3:$V$113,Donnees_generations!$A$3:$A$113,MAX(1915,MIN(2025,E13))),SUMIFS(Donnees_generations!$W$3:$W$113,Donnees_generations!$A$3:$A$113,MAX(1915,MIN(2025,E13))),SUMIFS(Donnees_generations!$X$3:$X$113,Donnees_generations!$A$3:$A$113,MAX(1915,MIN(2025,E13))),SUMIFS(Donnees_generations!$Y$3:$Y$113,Donnees_generations!$A$3:$A$113,MAX(1915,MIN(2025,E13))),SUMIFS(Donnees_generations!$Z$3:$Z$113,Donnees_generations!$A$3:$A$113,MAX(1915,MIN(2025,E13))),SUMIFS(Donnees_generations!$AA$3:$AA$113,Donnees_generations!$A$3:$A$113,MAX(1915,MIN(2025,E13))),SUMIFS(Donnees_generations!$AB$3:$AB$113,Donnees_generations!$A$3:$A$113,MAX(1915,MIN(2025,E13))))+CHOOSE(((AG13+2)-56)/2+1,SUMIFS(Donnees_generations!$AC$3:$AC$113,Donnees_generations!$A$3:$A$113,MAX(1915,MIN(2025,E13))),SUMIFS(Donnees_generations!$AD$3:$AD$113,Donnees_generations!$A$3:$A$113,MAX(1915,MIN(2025,E13))),SUMIFS(Donnees_generations!$AE$3:$AE$113,Donnees_generations!$A$3:$A$113,MAX(1915,MIN(2025,E13))),SUMIFS(Donnees_generations!$AF$3:$AF$113,Donnees_generations!$A$3:$A$113,MAX(1915,MIN(2025,E13))),SUMIFS(Donnees_generations!$AG$3:$AG$113,Donnees_generations!$A$3:$A$113,MAX(1915,MIN(2025,E13))),SUMIFS(Donnees_generations!$AH$3:$AH$113,Donnees_generations!$A$3:$A$113,MAX(1915,MIN(2025,E13))),SUMIFS(Donnees_generations!$AI$3:$AI$113,Donnees_generations!$A$3:$A$113,MAX(1915,MIN(2025,E13))),SUMIFS(Donnees_generations!$AJ$3:$AJ$113,Donnees_generations!$A$3:$A$113,MAX(1915,MIN(2025,E13)))))/2</f>
        <v/>
      </c>
      <c r="AJ13" s="8">
        <f>MAX(0,AH13+(AI13-AH13)*(K13-AG13)/2)</f>
        <v/>
      </c>
      <c r="AK13" s="8">
        <f>K13+AJ13</f>
        <v/>
      </c>
      <c r="AL13" s="14">
        <f>AE13*AJ13</f>
        <v/>
      </c>
      <c r="AM13" s="17">
        <f>V13/AL13</f>
        <v/>
      </c>
      <c r="AN13" s="17">
        <f>Z13/AL13</f>
        <v/>
      </c>
      <c r="AO13" s="33">
        <f>IF(V13+Z13=0,0,Z13/(V13+Z13))</f>
        <v/>
      </c>
      <c r="AP13" s="14">
        <f>AL13/V13*100</f>
        <v/>
      </c>
      <c r="AQ13" s="8">
        <f>P13/AL13*1000</f>
        <v/>
      </c>
      <c r="AR13" s="77">
        <f>MAX(N13,M13-1)</f>
        <v/>
      </c>
      <c r="AS13" s="14">
        <f>SUMIFS(Donnees_regimes!$R$3:$R$1118,Donnees_regimes!$A$3:$A$1118,C13,Donnees_regimes!$B$3:$B$1118,"&gt;="&amp;G13,Donnees_regimes!$B$3:$B$1118,"&lt;="&amp;N13)*L13/ROUNDUP(L13,0)*SUMIFS(Donnees_annuelles!$AG$3:$AG$188,Donnees_annuelles!$A$3:$A$188,AR13)*SUMIFS(Donnees_annuelles!$AA$3:$AA$188,Donnees_annuelles!$A$3:$A$188,AR13)</f>
        <v/>
      </c>
      <c r="AT13" s="36">
        <f>AS13/V13</f>
        <v/>
      </c>
      <c r="AU13" s="14">
        <f>AL13</f>
        <v/>
      </c>
      <c r="AV13" s="39">
        <f>AS13-AL13</f>
        <v/>
      </c>
      <c r="AW13" s="9">
        <f>AS13/AL13-1</f>
        <v/>
      </c>
      <c r="AX13" s="14">
        <f>AS13/AJ13/12</f>
        <v/>
      </c>
      <c r="AY13" s="14">
        <f>AF13</f>
        <v/>
      </c>
      <c r="AZ13" s="39">
        <f>AX13-AF13</f>
        <v/>
      </c>
      <c r="BA13" s="14">
        <f>SUMIFS(Donnees_regimes!$S$3:$S$1118,Donnees_regimes!$A$3:$A$1118,C13,Donnees_regimes!$B$3:$B$1118,"&gt;="&amp;G13,Donnees_regimes!$B$3:$B$1118,"&lt;="&amp;N13)*L13/ROUNDUP(L13,0)*SUMIFS(Donnees_annuelles!$AH$3:$AH$188,Donnees_annuelles!$A$3:$A$188,AR13)*SUMIFS(Donnees_annuelles!$AA$3:$AA$188,Donnees_annuelles!$A$3:$A$188,AR13)</f>
        <v/>
      </c>
      <c r="BB13" s="39">
        <f>BA13-AL13</f>
        <v/>
      </c>
      <c r="BC13" s="7">
        <f>IF(M13+AJ13&gt;2026,IF(G13&gt;2026,"entièrement projeté","en partie projeté"),"observé")</f>
        <v/>
      </c>
    </row>
    <row r="14">
      <c r="A14" s="7" t="inlineStr">
        <is>
          <t>Génération silencieuse</t>
        </is>
      </c>
      <c r="B14" s="84" t="inlineStr">
        <is>
          <t>Privé</t>
        </is>
      </c>
      <c r="C14" s="7">
        <f>IF(G14&gt;=SUMIFS(Regimes!$C$5:$C$10,Regimes!$A$5:$A$10,B14),"Privé",B14)</f>
        <v/>
      </c>
      <c r="D14" s="7">
        <f>INDEX(Regimes!$D$5:$D$10,MATCH(C14,Regimes!$A$5:$A$10,0))</f>
        <v/>
      </c>
      <c r="E14" s="88" t="n">
        <v>1939</v>
      </c>
      <c r="F14" s="8">
        <f>Donnees_generations!C27</f>
        <v/>
      </c>
      <c r="G14" s="77">
        <f>Donnees_generations!D27</f>
        <v/>
      </c>
      <c r="H14" s="8">
        <f>SUMIFS(Donnees_generations!$S$3:$S$113,Donnees_generations!$A$3:$A$113,MAX(1915,MIN(2025,E14)))</f>
        <v/>
      </c>
      <c r="I14" s="8">
        <f>SUMIFS(Donnees_generations!$T$3:$T$113,Donnees_generations!$A$3:$A$113,MAX(1915,MIN(2025,E14)))</f>
        <v/>
      </c>
      <c r="J14" s="8">
        <f>IF(G14&gt;=2000,MAX(I14,Parametres!$B$3),I14)</f>
        <v/>
      </c>
      <c r="K14" s="8">
        <f>IF(C14="Privé",J14,SUMIFS(Regles_regimes!$J$3:$J$2000,Regles_regimes!$A$3:$A$2000,C14,Regles_regimes!$B$3:$B$2000,D14,Regles_regimes!$C$3:$C$2000,MAX(1915,MIN(2025,E14))))</f>
        <v/>
      </c>
      <c r="L14" s="8">
        <f>IF(C14="Privé",H14,(K14-F14)*H14/(J14-F14))</f>
        <v/>
      </c>
      <c r="M14" s="77">
        <f>INT(E14+K14)</f>
        <v/>
      </c>
      <c r="N14" s="77">
        <f>G14+ROUNDUP(L14,0)-1</f>
        <v/>
      </c>
      <c r="O14" s="89">
        <f>SUMIFS(Regles_regimes!$K$3:$K$2000,Regles_regimes!$A$3:$A$2000,C14,Regles_regimes!$B$3:$B$2000,D14,Regles_regimes!$C$3:$C$2000,MAX(1915,MIN(2025,E14)))</f>
        <v/>
      </c>
      <c r="P14" s="13">
        <f>SUMIFS(Donnees_annuelles!$W$3:$W$188,Donnees_annuelles!$A$3:$A$188,"&gt;="&amp;G14,Donnees_annuelles!$A$3:$A$188,"&lt;="&amp;N14)*L14/ROUNDUP(L14,0)*O14</f>
        <v/>
      </c>
      <c r="Q14" s="13">
        <f>SUMIFS(Donnees_annuelles!$V$3:$V$188,Donnees_annuelles!$A$3:$A$188,"&gt;="&amp;G14,Donnees_annuelles!$A$3:$A$188,"&lt;="&amp;N14)*L14/ROUNDUP(L14,0)</f>
        <v/>
      </c>
      <c r="R14" s="13">
        <f>P14/L14</f>
        <v/>
      </c>
      <c r="S14" s="14">
        <f>SUMIFS(Donnees_annuelles!$D$3:$D$188,Donnees_annuelles!$A$3:$A$188,"&gt;="&amp;G14,Donnees_annuelles!$A$3:$A$188,"&lt;="&amp;N14)*L14/ROUNDUP(L14,0)</f>
        <v/>
      </c>
      <c r="T14" s="14">
        <f>SUMIFS(Donnees_regimes!$N$3:$N$1118,Donnees_regimes!$A$3:$A$1118,C14,Donnees_regimes!$B$3:$B$1118,"&gt;="&amp;G14,Donnees_regimes!$B$3:$B$1118,"&lt;="&amp;N14)*L14/ROUNDUP(L14,0)</f>
        <v/>
      </c>
      <c r="U14" s="14">
        <f>SUMIFS(Donnees_regimes!$O$3:$O$1118,Donnees_regimes!$A$3:$A$1118,C14,Donnees_regimes!$B$3:$B$1118,"&gt;="&amp;G14,Donnees_regimes!$B$3:$B$1118,"&lt;="&amp;N14)*L14/ROUNDUP(L14,0)</f>
        <v/>
      </c>
      <c r="V14" s="14">
        <f>T14+U14</f>
        <v/>
      </c>
      <c r="W14" s="33">
        <f>V14/S14</f>
        <v/>
      </c>
      <c r="X14" s="14">
        <f>S14+U14</f>
        <v/>
      </c>
      <c r="Y14" s="17">
        <f>V14/P14</f>
        <v/>
      </c>
      <c r="Z14" s="14">
        <f>SUMIFS(Donnees_regimes!$Q$3:$Q$1118,Donnees_regimes!$A$3:$A$1118,C14,Donnees_regimes!$B$3:$B$1118,"&gt;="&amp;G14,Donnees_regimes!$B$3:$B$1118,"&lt;="&amp;N14)*L14/ROUNDUP(L14,0)</f>
        <v/>
      </c>
      <c r="AA14" s="77">
        <f>SUMIFS(Regles_regimes!$F$3:$F$2000,Regles_regimes!$A$3:$A$2000,C14,Regles_regimes!$B$3:$B$2000,D14,Regles_regimes!$C$3:$C$2000,MAX(1915,MIN(2025,E14)))</f>
        <v/>
      </c>
      <c r="AB14" s="77">
        <f>IF(AND(SUMIFS(Regles_regimes!$L$3:$L$2000,Regles_regimes!$A$3:$A$2000,C14,Regles_regimes!$B$3:$B$2000,D14,Regles_regimes!$C$3:$C$2000,MAX(1915,MIN(2025,E14)))=1,G14&lt;2009,C14&lt;&gt;"Privé"),MIN(20,L14*4/5),0)</f>
        <v/>
      </c>
      <c r="AC14" s="89">
        <f>SUMIFS(Donnees_regimes!$M$3:$M$1118,Donnees_regimes!$A$3:$A$1118,C14,Donnees_regimes!$B$3:$B$1118,M14)</f>
        <v/>
      </c>
      <c r="AD14" s="14">
        <f>SUMIFS(Donnees_annuelles!$Y$3:$Y$188,Donnees_annuelles!$A$3:$A$188,M14)*SUMIFS(Donnees_generations!$I$3:$I$113,Donnees_generations!$A$3:$A$113,MAX(1915,MIN(2025,E14)))/H14</f>
        <v/>
      </c>
      <c r="AE14" s="14">
        <f>IF(C14="Privé",SUMIFS(Donnees_annuelles!$Y$3:$Y$188,Donnees_annuelles!$A$3:$A$188,M14)*MIN(L14,SUMIFS(Donnees_generations!$I$3:$I$113,Donnees_generations!$A$3:$A$113,MAX(1915,MIN(2025,E14))))/L14,AD14*AC14*MIN(IF(AB14&gt;0,0.8/0.75,1),(L14*4+AB14)/AA14))</f>
        <v/>
      </c>
      <c r="AF14" s="14">
        <f>AE14/12</f>
        <v/>
      </c>
      <c r="AG14" s="77">
        <f>MIN(68,MAX(56,2*INT(K14/2)))</f>
        <v/>
      </c>
      <c r="AH14" s="75">
        <f>(CHOOSE((AG14-56)/2+1,SUMIFS(Donnees_generations!$U$3:$U$113,Donnees_generations!$A$3:$A$113,MAX(1915,MIN(2025,E14))),SUMIFS(Donnees_generations!$V$3:$V$113,Donnees_generations!$A$3:$A$113,MAX(1915,MIN(2025,E14))),SUMIFS(Donnees_generations!$W$3:$W$113,Donnees_generations!$A$3:$A$113,MAX(1915,MIN(2025,E14))),SUMIFS(Donnees_generations!$X$3:$X$113,Donnees_generations!$A$3:$A$113,MAX(1915,MIN(2025,E14))),SUMIFS(Donnees_generations!$Y$3:$Y$113,Donnees_generations!$A$3:$A$113,MAX(1915,MIN(2025,E14))),SUMIFS(Donnees_generations!$Z$3:$Z$113,Donnees_generations!$A$3:$A$113,MAX(1915,MIN(2025,E14))),SUMIFS(Donnees_generations!$AA$3:$AA$113,Donnees_generations!$A$3:$A$113,MAX(1915,MIN(2025,E14))),SUMIFS(Donnees_generations!$AB$3:$AB$113,Donnees_generations!$A$3:$A$113,MAX(1915,MIN(2025,E14))))+CHOOSE((AG14-56)/2+1,SUMIFS(Donnees_generations!$AC$3:$AC$113,Donnees_generations!$A$3:$A$113,MAX(1915,MIN(2025,E14))),SUMIFS(Donnees_generations!$AD$3:$AD$113,Donnees_generations!$A$3:$A$113,MAX(1915,MIN(2025,E14))),SUMIFS(Donnees_generations!$AE$3:$AE$113,Donnees_generations!$A$3:$A$113,MAX(1915,MIN(2025,E14))),SUMIFS(Donnees_generations!$AF$3:$AF$113,Donnees_generations!$A$3:$A$113,MAX(1915,MIN(2025,E14))),SUMIFS(Donnees_generations!$AG$3:$AG$113,Donnees_generations!$A$3:$A$113,MAX(1915,MIN(2025,E14))),SUMIFS(Donnees_generations!$AH$3:$AH$113,Donnees_generations!$A$3:$A$113,MAX(1915,MIN(2025,E14))),SUMIFS(Donnees_generations!$AI$3:$AI$113,Donnees_generations!$A$3:$A$113,MAX(1915,MIN(2025,E14))),SUMIFS(Donnees_generations!$AJ$3:$AJ$113,Donnees_generations!$A$3:$A$113,MAX(1915,MIN(2025,E14)))))/2</f>
        <v/>
      </c>
      <c r="AI14" s="75">
        <f>(CHOOSE(((AG14+2)-56)/2+1,SUMIFS(Donnees_generations!$U$3:$U$113,Donnees_generations!$A$3:$A$113,MAX(1915,MIN(2025,E14))),SUMIFS(Donnees_generations!$V$3:$V$113,Donnees_generations!$A$3:$A$113,MAX(1915,MIN(2025,E14))),SUMIFS(Donnees_generations!$W$3:$W$113,Donnees_generations!$A$3:$A$113,MAX(1915,MIN(2025,E14))),SUMIFS(Donnees_generations!$X$3:$X$113,Donnees_generations!$A$3:$A$113,MAX(1915,MIN(2025,E14))),SUMIFS(Donnees_generations!$Y$3:$Y$113,Donnees_generations!$A$3:$A$113,MAX(1915,MIN(2025,E14))),SUMIFS(Donnees_generations!$Z$3:$Z$113,Donnees_generations!$A$3:$A$113,MAX(1915,MIN(2025,E14))),SUMIFS(Donnees_generations!$AA$3:$AA$113,Donnees_generations!$A$3:$A$113,MAX(1915,MIN(2025,E14))),SUMIFS(Donnees_generations!$AB$3:$AB$113,Donnees_generations!$A$3:$A$113,MAX(1915,MIN(2025,E14))))+CHOOSE(((AG14+2)-56)/2+1,SUMIFS(Donnees_generations!$AC$3:$AC$113,Donnees_generations!$A$3:$A$113,MAX(1915,MIN(2025,E14))),SUMIFS(Donnees_generations!$AD$3:$AD$113,Donnees_generations!$A$3:$A$113,MAX(1915,MIN(2025,E14))),SUMIFS(Donnees_generations!$AE$3:$AE$113,Donnees_generations!$A$3:$A$113,MAX(1915,MIN(2025,E14))),SUMIFS(Donnees_generations!$AF$3:$AF$113,Donnees_generations!$A$3:$A$113,MAX(1915,MIN(2025,E14))),SUMIFS(Donnees_generations!$AG$3:$AG$113,Donnees_generations!$A$3:$A$113,MAX(1915,MIN(2025,E14))),SUMIFS(Donnees_generations!$AH$3:$AH$113,Donnees_generations!$A$3:$A$113,MAX(1915,MIN(2025,E14))),SUMIFS(Donnees_generations!$AI$3:$AI$113,Donnees_generations!$A$3:$A$113,MAX(1915,MIN(2025,E14))),SUMIFS(Donnees_generations!$AJ$3:$AJ$113,Donnees_generations!$A$3:$A$113,MAX(1915,MIN(2025,E14)))))/2</f>
        <v/>
      </c>
      <c r="AJ14" s="8">
        <f>MAX(0,AH14+(AI14-AH14)*(K14-AG14)/2)</f>
        <v/>
      </c>
      <c r="AK14" s="8">
        <f>K14+AJ14</f>
        <v/>
      </c>
      <c r="AL14" s="14">
        <f>AE14*AJ14</f>
        <v/>
      </c>
      <c r="AM14" s="17">
        <f>V14/AL14</f>
        <v/>
      </c>
      <c r="AN14" s="17">
        <f>Z14/AL14</f>
        <v/>
      </c>
      <c r="AO14" s="33">
        <f>IF(V14+Z14=0,0,Z14/(V14+Z14))</f>
        <v/>
      </c>
      <c r="AP14" s="14">
        <f>AL14/V14*100</f>
        <v/>
      </c>
      <c r="AQ14" s="8">
        <f>P14/AL14*1000</f>
        <v/>
      </c>
      <c r="AR14" s="77">
        <f>MAX(N14,M14-1)</f>
        <v/>
      </c>
      <c r="AS14" s="14">
        <f>SUMIFS(Donnees_regimes!$R$3:$R$1118,Donnees_regimes!$A$3:$A$1118,C14,Donnees_regimes!$B$3:$B$1118,"&gt;="&amp;G14,Donnees_regimes!$B$3:$B$1118,"&lt;="&amp;N14)*L14/ROUNDUP(L14,0)*SUMIFS(Donnees_annuelles!$AG$3:$AG$188,Donnees_annuelles!$A$3:$A$188,AR14)*SUMIFS(Donnees_annuelles!$AA$3:$AA$188,Donnees_annuelles!$A$3:$A$188,AR14)</f>
        <v/>
      </c>
      <c r="AT14" s="36">
        <f>AS14/V14</f>
        <v/>
      </c>
      <c r="AU14" s="14">
        <f>AL14</f>
        <v/>
      </c>
      <c r="AV14" s="39">
        <f>AS14-AL14</f>
        <v/>
      </c>
      <c r="AW14" s="9">
        <f>AS14/AL14-1</f>
        <v/>
      </c>
      <c r="AX14" s="14">
        <f>AS14/AJ14/12</f>
        <v/>
      </c>
      <c r="AY14" s="14">
        <f>AF14</f>
        <v/>
      </c>
      <c r="AZ14" s="39">
        <f>AX14-AF14</f>
        <v/>
      </c>
      <c r="BA14" s="14">
        <f>SUMIFS(Donnees_regimes!$S$3:$S$1118,Donnees_regimes!$A$3:$A$1118,C14,Donnees_regimes!$B$3:$B$1118,"&gt;="&amp;G14,Donnees_regimes!$B$3:$B$1118,"&lt;="&amp;N14)*L14/ROUNDUP(L14,0)*SUMIFS(Donnees_annuelles!$AH$3:$AH$188,Donnees_annuelles!$A$3:$A$188,AR14)*SUMIFS(Donnees_annuelles!$AA$3:$AA$188,Donnees_annuelles!$A$3:$A$188,AR14)</f>
        <v/>
      </c>
      <c r="BB14" s="39">
        <f>BA14-AL14</f>
        <v/>
      </c>
      <c r="BC14" s="7">
        <f>IF(M14+AJ14&gt;2026,IF(G14&gt;2026,"entièrement projeté","en partie projeté"),"observé")</f>
        <v/>
      </c>
    </row>
    <row r="15">
      <c r="A15" s="7" t="inlineStr">
        <is>
          <t>Génération silencieuse</t>
        </is>
      </c>
      <c r="B15" s="84" t="inlineStr">
        <is>
          <t>Privé</t>
        </is>
      </c>
      <c r="C15" s="7">
        <f>IF(G15&gt;=SUMIFS(Regimes!$C$5:$C$10,Regimes!$A$5:$A$10,B15),"Privé",B15)</f>
        <v/>
      </c>
      <c r="D15" s="7">
        <f>INDEX(Regimes!$D$5:$D$10,MATCH(C15,Regimes!$A$5:$A$10,0))</f>
        <v/>
      </c>
      <c r="E15" s="88" t="n">
        <v>1940</v>
      </c>
      <c r="F15" s="8">
        <f>Donnees_generations!C28</f>
        <v/>
      </c>
      <c r="G15" s="77">
        <f>Donnees_generations!D28</f>
        <v/>
      </c>
      <c r="H15" s="8">
        <f>SUMIFS(Donnees_generations!$S$3:$S$113,Donnees_generations!$A$3:$A$113,MAX(1915,MIN(2025,E15)))</f>
        <v/>
      </c>
      <c r="I15" s="8">
        <f>SUMIFS(Donnees_generations!$T$3:$T$113,Donnees_generations!$A$3:$A$113,MAX(1915,MIN(2025,E15)))</f>
        <v/>
      </c>
      <c r="J15" s="8">
        <f>IF(G15&gt;=2000,MAX(I15,Parametres!$B$3),I15)</f>
        <v/>
      </c>
      <c r="K15" s="8">
        <f>IF(C15="Privé",J15,SUMIFS(Regles_regimes!$J$3:$J$2000,Regles_regimes!$A$3:$A$2000,C15,Regles_regimes!$B$3:$B$2000,D15,Regles_regimes!$C$3:$C$2000,MAX(1915,MIN(2025,E15))))</f>
        <v/>
      </c>
      <c r="L15" s="8">
        <f>IF(C15="Privé",H15,(K15-F15)*H15/(J15-F15))</f>
        <v/>
      </c>
      <c r="M15" s="77">
        <f>INT(E15+K15)</f>
        <v/>
      </c>
      <c r="N15" s="77">
        <f>G15+ROUNDUP(L15,0)-1</f>
        <v/>
      </c>
      <c r="O15" s="89">
        <f>SUMIFS(Regles_regimes!$K$3:$K$2000,Regles_regimes!$A$3:$A$2000,C15,Regles_regimes!$B$3:$B$2000,D15,Regles_regimes!$C$3:$C$2000,MAX(1915,MIN(2025,E15)))</f>
        <v/>
      </c>
      <c r="P15" s="13">
        <f>SUMIFS(Donnees_annuelles!$W$3:$W$188,Donnees_annuelles!$A$3:$A$188,"&gt;="&amp;G15,Donnees_annuelles!$A$3:$A$188,"&lt;="&amp;N15)*L15/ROUNDUP(L15,0)*O15</f>
        <v/>
      </c>
      <c r="Q15" s="13">
        <f>SUMIFS(Donnees_annuelles!$V$3:$V$188,Donnees_annuelles!$A$3:$A$188,"&gt;="&amp;G15,Donnees_annuelles!$A$3:$A$188,"&lt;="&amp;N15)*L15/ROUNDUP(L15,0)</f>
        <v/>
      </c>
      <c r="R15" s="13">
        <f>P15/L15</f>
        <v/>
      </c>
      <c r="S15" s="14">
        <f>SUMIFS(Donnees_annuelles!$D$3:$D$188,Donnees_annuelles!$A$3:$A$188,"&gt;="&amp;G15,Donnees_annuelles!$A$3:$A$188,"&lt;="&amp;N15)*L15/ROUNDUP(L15,0)</f>
        <v/>
      </c>
      <c r="T15" s="14">
        <f>SUMIFS(Donnees_regimes!$N$3:$N$1118,Donnees_regimes!$A$3:$A$1118,C15,Donnees_regimes!$B$3:$B$1118,"&gt;="&amp;G15,Donnees_regimes!$B$3:$B$1118,"&lt;="&amp;N15)*L15/ROUNDUP(L15,0)</f>
        <v/>
      </c>
      <c r="U15" s="14">
        <f>SUMIFS(Donnees_regimes!$O$3:$O$1118,Donnees_regimes!$A$3:$A$1118,C15,Donnees_regimes!$B$3:$B$1118,"&gt;="&amp;G15,Donnees_regimes!$B$3:$B$1118,"&lt;="&amp;N15)*L15/ROUNDUP(L15,0)</f>
        <v/>
      </c>
      <c r="V15" s="14">
        <f>T15+U15</f>
        <v/>
      </c>
      <c r="W15" s="33">
        <f>V15/S15</f>
        <v/>
      </c>
      <c r="X15" s="14">
        <f>S15+U15</f>
        <v/>
      </c>
      <c r="Y15" s="17">
        <f>V15/P15</f>
        <v/>
      </c>
      <c r="Z15" s="14">
        <f>SUMIFS(Donnees_regimes!$Q$3:$Q$1118,Donnees_regimes!$A$3:$A$1118,C15,Donnees_regimes!$B$3:$B$1118,"&gt;="&amp;G15,Donnees_regimes!$B$3:$B$1118,"&lt;="&amp;N15)*L15/ROUNDUP(L15,0)</f>
        <v/>
      </c>
      <c r="AA15" s="77">
        <f>SUMIFS(Regles_regimes!$F$3:$F$2000,Regles_regimes!$A$3:$A$2000,C15,Regles_regimes!$B$3:$B$2000,D15,Regles_regimes!$C$3:$C$2000,MAX(1915,MIN(2025,E15)))</f>
        <v/>
      </c>
      <c r="AB15" s="77">
        <f>IF(AND(SUMIFS(Regles_regimes!$L$3:$L$2000,Regles_regimes!$A$3:$A$2000,C15,Regles_regimes!$B$3:$B$2000,D15,Regles_regimes!$C$3:$C$2000,MAX(1915,MIN(2025,E15)))=1,G15&lt;2009,C15&lt;&gt;"Privé"),MIN(20,L15*4/5),0)</f>
        <v/>
      </c>
      <c r="AC15" s="89">
        <f>SUMIFS(Donnees_regimes!$M$3:$M$1118,Donnees_regimes!$A$3:$A$1118,C15,Donnees_regimes!$B$3:$B$1118,M15)</f>
        <v/>
      </c>
      <c r="AD15" s="14">
        <f>SUMIFS(Donnees_annuelles!$Y$3:$Y$188,Donnees_annuelles!$A$3:$A$188,M15)*SUMIFS(Donnees_generations!$I$3:$I$113,Donnees_generations!$A$3:$A$113,MAX(1915,MIN(2025,E15)))/H15</f>
        <v/>
      </c>
      <c r="AE15" s="14">
        <f>IF(C15="Privé",SUMIFS(Donnees_annuelles!$Y$3:$Y$188,Donnees_annuelles!$A$3:$A$188,M15)*MIN(L15,SUMIFS(Donnees_generations!$I$3:$I$113,Donnees_generations!$A$3:$A$113,MAX(1915,MIN(2025,E15))))/L15,AD15*AC15*MIN(IF(AB15&gt;0,0.8/0.75,1),(L15*4+AB15)/AA15))</f>
        <v/>
      </c>
      <c r="AF15" s="14">
        <f>AE15/12</f>
        <v/>
      </c>
      <c r="AG15" s="77">
        <f>MIN(68,MAX(56,2*INT(K15/2)))</f>
        <v/>
      </c>
      <c r="AH15" s="75">
        <f>(CHOOSE((AG15-56)/2+1,SUMIFS(Donnees_generations!$U$3:$U$113,Donnees_generations!$A$3:$A$113,MAX(1915,MIN(2025,E15))),SUMIFS(Donnees_generations!$V$3:$V$113,Donnees_generations!$A$3:$A$113,MAX(1915,MIN(2025,E15))),SUMIFS(Donnees_generations!$W$3:$W$113,Donnees_generations!$A$3:$A$113,MAX(1915,MIN(2025,E15))),SUMIFS(Donnees_generations!$X$3:$X$113,Donnees_generations!$A$3:$A$113,MAX(1915,MIN(2025,E15))),SUMIFS(Donnees_generations!$Y$3:$Y$113,Donnees_generations!$A$3:$A$113,MAX(1915,MIN(2025,E15))),SUMIFS(Donnees_generations!$Z$3:$Z$113,Donnees_generations!$A$3:$A$113,MAX(1915,MIN(2025,E15))),SUMIFS(Donnees_generations!$AA$3:$AA$113,Donnees_generations!$A$3:$A$113,MAX(1915,MIN(2025,E15))),SUMIFS(Donnees_generations!$AB$3:$AB$113,Donnees_generations!$A$3:$A$113,MAX(1915,MIN(2025,E15))))+CHOOSE((AG15-56)/2+1,SUMIFS(Donnees_generations!$AC$3:$AC$113,Donnees_generations!$A$3:$A$113,MAX(1915,MIN(2025,E15))),SUMIFS(Donnees_generations!$AD$3:$AD$113,Donnees_generations!$A$3:$A$113,MAX(1915,MIN(2025,E15))),SUMIFS(Donnees_generations!$AE$3:$AE$113,Donnees_generations!$A$3:$A$113,MAX(1915,MIN(2025,E15))),SUMIFS(Donnees_generations!$AF$3:$AF$113,Donnees_generations!$A$3:$A$113,MAX(1915,MIN(2025,E15))),SUMIFS(Donnees_generations!$AG$3:$AG$113,Donnees_generations!$A$3:$A$113,MAX(1915,MIN(2025,E15))),SUMIFS(Donnees_generations!$AH$3:$AH$113,Donnees_generations!$A$3:$A$113,MAX(1915,MIN(2025,E15))),SUMIFS(Donnees_generations!$AI$3:$AI$113,Donnees_generations!$A$3:$A$113,MAX(1915,MIN(2025,E15))),SUMIFS(Donnees_generations!$AJ$3:$AJ$113,Donnees_generations!$A$3:$A$113,MAX(1915,MIN(2025,E15)))))/2</f>
        <v/>
      </c>
      <c r="AI15" s="75">
        <f>(CHOOSE(((AG15+2)-56)/2+1,SUMIFS(Donnees_generations!$U$3:$U$113,Donnees_generations!$A$3:$A$113,MAX(1915,MIN(2025,E15))),SUMIFS(Donnees_generations!$V$3:$V$113,Donnees_generations!$A$3:$A$113,MAX(1915,MIN(2025,E15))),SUMIFS(Donnees_generations!$W$3:$W$113,Donnees_generations!$A$3:$A$113,MAX(1915,MIN(2025,E15))),SUMIFS(Donnees_generations!$X$3:$X$113,Donnees_generations!$A$3:$A$113,MAX(1915,MIN(2025,E15))),SUMIFS(Donnees_generations!$Y$3:$Y$113,Donnees_generations!$A$3:$A$113,MAX(1915,MIN(2025,E15))),SUMIFS(Donnees_generations!$Z$3:$Z$113,Donnees_generations!$A$3:$A$113,MAX(1915,MIN(2025,E15))),SUMIFS(Donnees_generations!$AA$3:$AA$113,Donnees_generations!$A$3:$A$113,MAX(1915,MIN(2025,E15))),SUMIFS(Donnees_generations!$AB$3:$AB$113,Donnees_generations!$A$3:$A$113,MAX(1915,MIN(2025,E15))))+CHOOSE(((AG15+2)-56)/2+1,SUMIFS(Donnees_generations!$AC$3:$AC$113,Donnees_generations!$A$3:$A$113,MAX(1915,MIN(2025,E15))),SUMIFS(Donnees_generations!$AD$3:$AD$113,Donnees_generations!$A$3:$A$113,MAX(1915,MIN(2025,E15))),SUMIFS(Donnees_generations!$AE$3:$AE$113,Donnees_generations!$A$3:$A$113,MAX(1915,MIN(2025,E15))),SUMIFS(Donnees_generations!$AF$3:$AF$113,Donnees_generations!$A$3:$A$113,MAX(1915,MIN(2025,E15))),SUMIFS(Donnees_generations!$AG$3:$AG$113,Donnees_generations!$A$3:$A$113,MAX(1915,MIN(2025,E15))),SUMIFS(Donnees_generations!$AH$3:$AH$113,Donnees_generations!$A$3:$A$113,MAX(1915,MIN(2025,E15))),SUMIFS(Donnees_generations!$AI$3:$AI$113,Donnees_generations!$A$3:$A$113,MAX(1915,MIN(2025,E15))),SUMIFS(Donnees_generations!$AJ$3:$AJ$113,Donnees_generations!$A$3:$A$113,MAX(1915,MIN(2025,E15)))))/2</f>
        <v/>
      </c>
      <c r="AJ15" s="8">
        <f>MAX(0,AH15+(AI15-AH15)*(K15-AG15)/2)</f>
        <v/>
      </c>
      <c r="AK15" s="8">
        <f>K15+AJ15</f>
        <v/>
      </c>
      <c r="AL15" s="14">
        <f>AE15*AJ15</f>
        <v/>
      </c>
      <c r="AM15" s="17">
        <f>V15/AL15</f>
        <v/>
      </c>
      <c r="AN15" s="17">
        <f>Z15/AL15</f>
        <v/>
      </c>
      <c r="AO15" s="33">
        <f>IF(V15+Z15=0,0,Z15/(V15+Z15))</f>
        <v/>
      </c>
      <c r="AP15" s="14">
        <f>AL15/V15*100</f>
        <v/>
      </c>
      <c r="AQ15" s="8">
        <f>P15/AL15*1000</f>
        <v/>
      </c>
      <c r="AR15" s="77">
        <f>MAX(N15,M15-1)</f>
        <v/>
      </c>
      <c r="AS15" s="14">
        <f>SUMIFS(Donnees_regimes!$R$3:$R$1118,Donnees_regimes!$A$3:$A$1118,C15,Donnees_regimes!$B$3:$B$1118,"&gt;="&amp;G15,Donnees_regimes!$B$3:$B$1118,"&lt;="&amp;N15)*L15/ROUNDUP(L15,0)*SUMIFS(Donnees_annuelles!$AG$3:$AG$188,Donnees_annuelles!$A$3:$A$188,AR15)*SUMIFS(Donnees_annuelles!$AA$3:$AA$188,Donnees_annuelles!$A$3:$A$188,AR15)</f>
        <v/>
      </c>
      <c r="AT15" s="36">
        <f>AS15/V15</f>
        <v/>
      </c>
      <c r="AU15" s="14">
        <f>AL15</f>
        <v/>
      </c>
      <c r="AV15" s="39">
        <f>AS15-AL15</f>
        <v/>
      </c>
      <c r="AW15" s="9">
        <f>AS15/AL15-1</f>
        <v/>
      </c>
      <c r="AX15" s="14">
        <f>AS15/AJ15/12</f>
        <v/>
      </c>
      <c r="AY15" s="14">
        <f>AF15</f>
        <v/>
      </c>
      <c r="AZ15" s="39">
        <f>AX15-AF15</f>
        <v/>
      </c>
      <c r="BA15" s="14">
        <f>SUMIFS(Donnees_regimes!$S$3:$S$1118,Donnees_regimes!$A$3:$A$1118,C15,Donnees_regimes!$B$3:$B$1118,"&gt;="&amp;G15,Donnees_regimes!$B$3:$B$1118,"&lt;="&amp;N15)*L15/ROUNDUP(L15,0)*SUMIFS(Donnees_annuelles!$AH$3:$AH$188,Donnees_annuelles!$A$3:$A$188,AR15)*SUMIFS(Donnees_annuelles!$AA$3:$AA$188,Donnees_annuelles!$A$3:$A$188,AR15)</f>
        <v/>
      </c>
      <c r="BB15" s="39">
        <f>BA15-AL15</f>
        <v/>
      </c>
      <c r="BC15" s="7">
        <f>IF(M15+AJ15&gt;2026,IF(G15&gt;2026,"entièrement projeté","en partie projeté"),"observé")</f>
        <v/>
      </c>
    </row>
    <row r="16">
      <c r="A16" s="7" t="inlineStr">
        <is>
          <t>Génération silencieuse</t>
        </is>
      </c>
      <c r="B16" s="84" t="inlineStr">
        <is>
          <t>Privé</t>
        </is>
      </c>
      <c r="C16" s="7">
        <f>IF(G16&gt;=SUMIFS(Regimes!$C$5:$C$10,Regimes!$A$5:$A$10,B16),"Privé",B16)</f>
        <v/>
      </c>
      <c r="D16" s="7">
        <f>INDEX(Regimes!$D$5:$D$10,MATCH(C16,Regimes!$A$5:$A$10,0))</f>
        <v/>
      </c>
      <c r="E16" s="88" t="n">
        <v>1941</v>
      </c>
      <c r="F16" s="8">
        <f>Donnees_generations!C29</f>
        <v/>
      </c>
      <c r="G16" s="77">
        <f>Donnees_generations!D29</f>
        <v/>
      </c>
      <c r="H16" s="8">
        <f>SUMIFS(Donnees_generations!$S$3:$S$113,Donnees_generations!$A$3:$A$113,MAX(1915,MIN(2025,E16)))</f>
        <v/>
      </c>
      <c r="I16" s="8">
        <f>SUMIFS(Donnees_generations!$T$3:$T$113,Donnees_generations!$A$3:$A$113,MAX(1915,MIN(2025,E16)))</f>
        <v/>
      </c>
      <c r="J16" s="8">
        <f>IF(G16&gt;=2000,MAX(I16,Parametres!$B$3),I16)</f>
        <v/>
      </c>
      <c r="K16" s="8">
        <f>IF(C16="Privé",J16,SUMIFS(Regles_regimes!$J$3:$J$2000,Regles_regimes!$A$3:$A$2000,C16,Regles_regimes!$B$3:$B$2000,D16,Regles_regimes!$C$3:$C$2000,MAX(1915,MIN(2025,E16))))</f>
        <v/>
      </c>
      <c r="L16" s="8">
        <f>IF(C16="Privé",H16,(K16-F16)*H16/(J16-F16))</f>
        <v/>
      </c>
      <c r="M16" s="77">
        <f>INT(E16+K16)</f>
        <v/>
      </c>
      <c r="N16" s="77">
        <f>G16+ROUNDUP(L16,0)-1</f>
        <v/>
      </c>
      <c r="O16" s="89">
        <f>SUMIFS(Regles_regimes!$K$3:$K$2000,Regles_regimes!$A$3:$A$2000,C16,Regles_regimes!$B$3:$B$2000,D16,Regles_regimes!$C$3:$C$2000,MAX(1915,MIN(2025,E16)))</f>
        <v/>
      </c>
      <c r="P16" s="13">
        <f>SUMIFS(Donnees_annuelles!$W$3:$W$188,Donnees_annuelles!$A$3:$A$188,"&gt;="&amp;G16,Donnees_annuelles!$A$3:$A$188,"&lt;="&amp;N16)*L16/ROUNDUP(L16,0)*O16</f>
        <v/>
      </c>
      <c r="Q16" s="13">
        <f>SUMIFS(Donnees_annuelles!$V$3:$V$188,Donnees_annuelles!$A$3:$A$188,"&gt;="&amp;G16,Donnees_annuelles!$A$3:$A$188,"&lt;="&amp;N16)*L16/ROUNDUP(L16,0)</f>
        <v/>
      </c>
      <c r="R16" s="13">
        <f>P16/L16</f>
        <v/>
      </c>
      <c r="S16" s="14">
        <f>SUMIFS(Donnees_annuelles!$D$3:$D$188,Donnees_annuelles!$A$3:$A$188,"&gt;="&amp;G16,Donnees_annuelles!$A$3:$A$188,"&lt;="&amp;N16)*L16/ROUNDUP(L16,0)</f>
        <v/>
      </c>
      <c r="T16" s="14">
        <f>SUMIFS(Donnees_regimes!$N$3:$N$1118,Donnees_regimes!$A$3:$A$1118,C16,Donnees_regimes!$B$3:$B$1118,"&gt;="&amp;G16,Donnees_regimes!$B$3:$B$1118,"&lt;="&amp;N16)*L16/ROUNDUP(L16,0)</f>
        <v/>
      </c>
      <c r="U16" s="14">
        <f>SUMIFS(Donnees_regimes!$O$3:$O$1118,Donnees_regimes!$A$3:$A$1118,C16,Donnees_regimes!$B$3:$B$1118,"&gt;="&amp;G16,Donnees_regimes!$B$3:$B$1118,"&lt;="&amp;N16)*L16/ROUNDUP(L16,0)</f>
        <v/>
      </c>
      <c r="V16" s="14">
        <f>T16+U16</f>
        <v/>
      </c>
      <c r="W16" s="33">
        <f>V16/S16</f>
        <v/>
      </c>
      <c r="X16" s="14">
        <f>S16+U16</f>
        <v/>
      </c>
      <c r="Y16" s="17">
        <f>V16/P16</f>
        <v/>
      </c>
      <c r="Z16" s="14">
        <f>SUMIFS(Donnees_regimes!$Q$3:$Q$1118,Donnees_regimes!$A$3:$A$1118,C16,Donnees_regimes!$B$3:$B$1118,"&gt;="&amp;G16,Donnees_regimes!$B$3:$B$1118,"&lt;="&amp;N16)*L16/ROUNDUP(L16,0)</f>
        <v/>
      </c>
      <c r="AA16" s="77">
        <f>SUMIFS(Regles_regimes!$F$3:$F$2000,Regles_regimes!$A$3:$A$2000,C16,Regles_regimes!$B$3:$B$2000,D16,Regles_regimes!$C$3:$C$2000,MAX(1915,MIN(2025,E16)))</f>
        <v/>
      </c>
      <c r="AB16" s="77">
        <f>IF(AND(SUMIFS(Regles_regimes!$L$3:$L$2000,Regles_regimes!$A$3:$A$2000,C16,Regles_regimes!$B$3:$B$2000,D16,Regles_regimes!$C$3:$C$2000,MAX(1915,MIN(2025,E16)))=1,G16&lt;2009,C16&lt;&gt;"Privé"),MIN(20,L16*4/5),0)</f>
        <v/>
      </c>
      <c r="AC16" s="89">
        <f>SUMIFS(Donnees_regimes!$M$3:$M$1118,Donnees_regimes!$A$3:$A$1118,C16,Donnees_regimes!$B$3:$B$1118,M16)</f>
        <v/>
      </c>
      <c r="AD16" s="14">
        <f>SUMIFS(Donnees_annuelles!$Y$3:$Y$188,Donnees_annuelles!$A$3:$A$188,M16)*SUMIFS(Donnees_generations!$I$3:$I$113,Donnees_generations!$A$3:$A$113,MAX(1915,MIN(2025,E16)))/H16</f>
        <v/>
      </c>
      <c r="AE16" s="14">
        <f>IF(C16="Privé",SUMIFS(Donnees_annuelles!$Y$3:$Y$188,Donnees_annuelles!$A$3:$A$188,M16)*MIN(L16,SUMIFS(Donnees_generations!$I$3:$I$113,Donnees_generations!$A$3:$A$113,MAX(1915,MIN(2025,E16))))/L16,AD16*AC16*MIN(IF(AB16&gt;0,0.8/0.75,1),(L16*4+AB16)/AA16))</f>
        <v/>
      </c>
      <c r="AF16" s="14">
        <f>AE16/12</f>
        <v/>
      </c>
      <c r="AG16" s="77">
        <f>MIN(68,MAX(56,2*INT(K16/2)))</f>
        <v/>
      </c>
      <c r="AH16" s="75">
        <f>(CHOOSE((AG16-56)/2+1,SUMIFS(Donnees_generations!$U$3:$U$113,Donnees_generations!$A$3:$A$113,MAX(1915,MIN(2025,E16))),SUMIFS(Donnees_generations!$V$3:$V$113,Donnees_generations!$A$3:$A$113,MAX(1915,MIN(2025,E16))),SUMIFS(Donnees_generations!$W$3:$W$113,Donnees_generations!$A$3:$A$113,MAX(1915,MIN(2025,E16))),SUMIFS(Donnees_generations!$X$3:$X$113,Donnees_generations!$A$3:$A$113,MAX(1915,MIN(2025,E16))),SUMIFS(Donnees_generations!$Y$3:$Y$113,Donnees_generations!$A$3:$A$113,MAX(1915,MIN(2025,E16))),SUMIFS(Donnees_generations!$Z$3:$Z$113,Donnees_generations!$A$3:$A$113,MAX(1915,MIN(2025,E16))),SUMIFS(Donnees_generations!$AA$3:$AA$113,Donnees_generations!$A$3:$A$113,MAX(1915,MIN(2025,E16))),SUMIFS(Donnees_generations!$AB$3:$AB$113,Donnees_generations!$A$3:$A$113,MAX(1915,MIN(2025,E16))))+CHOOSE((AG16-56)/2+1,SUMIFS(Donnees_generations!$AC$3:$AC$113,Donnees_generations!$A$3:$A$113,MAX(1915,MIN(2025,E16))),SUMIFS(Donnees_generations!$AD$3:$AD$113,Donnees_generations!$A$3:$A$113,MAX(1915,MIN(2025,E16))),SUMIFS(Donnees_generations!$AE$3:$AE$113,Donnees_generations!$A$3:$A$113,MAX(1915,MIN(2025,E16))),SUMIFS(Donnees_generations!$AF$3:$AF$113,Donnees_generations!$A$3:$A$113,MAX(1915,MIN(2025,E16))),SUMIFS(Donnees_generations!$AG$3:$AG$113,Donnees_generations!$A$3:$A$113,MAX(1915,MIN(2025,E16))),SUMIFS(Donnees_generations!$AH$3:$AH$113,Donnees_generations!$A$3:$A$113,MAX(1915,MIN(2025,E16))),SUMIFS(Donnees_generations!$AI$3:$AI$113,Donnees_generations!$A$3:$A$113,MAX(1915,MIN(2025,E16))),SUMIFS(Donnees_generations!$AJ$3:$AJ$113,Donnees_generations!$A$3:$A$113,MAX(1915,MIN(2025,E16)))))/2</f>
        <v/>
      </c>
      <c r="AI16" s="75">
        <f>(CHOOSE(((AG16+2)-56)/2+1,SUMIFS(Donnees_generations!$U$3:$U$113,Donnees_generations!$A$3:$A$113,MAX(1915,MIN(2025,E16))),SUMIFS(Donnees_generations!$V$3:$V$113,Donnees_generations!$A$3:$A$113,MAX(1915,MIN(2025,E16))),SUMIFS(Donnees_generations!$W$3:$W$113,Donnees_generations!$A$3:$A$113,MAX(1915,MIN(2025,E16))),SUMIFS(Donnees_generations!$X$3:$X$113,Donnees_generations!$A$3:$A$113,MAX(1915,MIN(2025,E16))),SUMIFS(Donnees_generations!$Y$3:$Y$113,Donnees_generations!$A$3:$A$113,MAX(1915,MIN(2025,E16))),SUMIFS(Donnees_generations!$Z$3:$Z$113,Donnees_generations!$A$3:$A$113,MAX(1915,MIN(2025,E16))),SUMIFS(Donnees_generations!$AA$3:$AA$113,Donnees_generations!$A$3:$A$113,MAX(1915,MIN(2025,E16))),SUMIFS(Donnees_generations!$AB$3:$AB$113,Donnees_generations!$A$3:$A$113,MAX(1915,MIN(2025,E16))))+CHOOSE(((AG16+2)-56)/2+1,SUMIFS(Donnees_generations!$AC$3:$AC$113,Donnees_generations!$A$3:$A$113,MAX(1915,MIN(2025,E16))),SUMIFS(Donnees_generations!$AD$3:$AD$113,Donnees_generations!$A$3:$A$113,MAX(1915,MIN(2025,E16))),SUMIFS(Donnees_generations!$AE$3:$AE$113,Donnees_generations!$A$3:$A$113,MAX(1915,MIN(2025,E16))),SUMIFS(Donnees_generations!$AF$3:$AF$113,Donnees_generations!$A$3:$A$113,MAX(1915,MIN(2025,E16))),SUMIFS(Donnees_generations!$AG$3:$AG$113,Donnees_generations!$A$3:$A$113,MAX(1915,MIN(2025,E16))),SUMIFS(Donnees_generations!$AH$3:$AH$113,Donnees_generations!$A$3:$A$113,MAX(1915,MIN(2025,E16))),SUMIFS(Donnees_generations!$AI$3:$AI$113,Donnees_generations!$A$3:$A$113,MAX(1915,MIN(2025,E16))),SUMIFS(Donnees_generations!$AJ$3:$AJ$113,Donnees_generations!$A$3:$A$113,MAX(1915,MIN(2025,E16)))))/2</f>
        <v/>
      </c>
      <c r="AJ16" s="8">
        <f>MAX(0,AH16+(AI16-AH16)*(K16-AG16)/2)</f>
        <v/>
      </c>
      <c r="AK16" s="8">
        <f>K16+AJ16</f>
        <v/>
      </c>
      <c r="AL16" s="14">
        <f>AE16*AJ16</f>
        <v/>
      </c>
      <c r="AM16" s="17">
        <f>V16/AL16</f>
        <v/>
      </c>
      <c r="AN16" s="17">
        <f>Z16/AL16</f>
        <v/>
      </c>
      <c r="AO16" s="33">
        <f>IF(V16+Z16=0,0,Z16/(V16+Z16))</f>
        <v/>
      </c>
      <c r="AP16" s="14">
        <f>AL16/V16*100</f>
        <v/>
      </c>
      <c r="AQ16" s="8">
        <f>P16/AL16*1000</f>
        <v/>
      </c>
      <c r="AR16" s="77">
        <f>MAX(N16,M16-1)</f>
        <v/>
      </c>
      <c r="AS16" s="14">
        <f>SUMIFS(Donnees_regimes!$R$3:$R$1118,Donnees_regimes!$A$3:$A$1118,C16,Donnees_regimes!$B$3:$B$1118,"&gt;="&amp;G16,Donnees_regimes!$B$3:$B$1118,"&lt;="&amp;N16)*L16/ROUNDUP(L16,0)*SUMIFS(Donnees_annuelles!$AG$3:$AG$188,Donnees_annuelles!$A$3:$A$188,AR16)*SUMIFS(Donnees_annuelles!$AA$3:$AA$188,Donnees_annuelles!$A$3:$A$188,AR16)</f>
        <v/>
      </c>
      <c r="AT16" s="36">
        <f>AS16/V16</f>
        <v/>
      </c>
      <c r="AU16" s="14">
        <f>AL16</f>
        <v/>
      </c>
      <c r="AV16" s="39">
        <f>AS16-AL16</f>
        <v/>
      </c>
      <c r="AW16" s="9">
        <f>AS16/AL16-1</f>
        <v/>
      </c>
      <c r="AX16" s="14">
        <f>AS16/AJ16/12</f>
        <v/>
      </c>
      <c r="AY16" s="14">
        <f>AF16</f>
        <v/>
      </c>
      <c r="AZ16" s="39">
        <f>AX16-AF16</f>
        <v/>
      </c>
      <c r="BA16" s="14">
        <f>SUMIFS(Donnees_regimes!$S$3:$S$1118,Donnees_regimes!$A$3:$A$1118,C16,Donnees_regimes!$B$3:$B$1118,"&gt;="&amp;G16,Donnees_regimes!$B$3:$B$1118,"&lt;="&amp;N16)*L16/ROUNDUP(L16,0)*SUMIFS(Donnees_annuelles!$AH$3:$AH$188,Donnees_annuelles!$A$3:$A$188,AR16)*SUMIFS(Donnees_annuelles!$AA$3:$AA$188,Donnees_annuelles!$A$3:$A$188,AR16)</f>
        <v/>
      </c>
      <c r="BB16" s="39">
        <f>BA16-AL16</f>
        <v/>
      </c>
      <c r="BC16" s="7">
        <f>IF(M16+AJ16&gt;2026,IF(G16&gt;2026,"entièrement projeté","en partie projeté"),"observé")</f>
        <v/>
      </c>
    </row>
    <row r="17">
      <c r="A17" s="7" t="inlineStr">
        <is>
          <t>Génération silencieuse</t>
        </is>
      </c>
      <c r="B17" s="84" t="inlineStr">
        <is>
          <t>Privé</t>
        </is>
      </c>
      <c r="C17" s="7">
        <f>IF(G17&gt;=SUMIFS(Regimes!$C$5:$C$10,Regimes!$A$5:$A$10,B17),"Privé",B17)</f>
        <v/>
      </c>
      <c r="D17" s="7">
        <f>INDEX(Regimes!$D$5:$D$10,MATCH(C17,Regimes!$A$5:$A$10,0))</f>
        <v/>
      </c>
      <c r="E17" s="88" t="n">
        <v>1942</v>
      </c>
      <c r="F17" s="8">
        <f>Donnees_generations!C30</f>
        <v/>
      </c>
      <c r="G17" s="77">
        <f>Donnees_generations!D30</f>
        <v/>
      </c>
      <c r="H17" s="8">
        <f>SUMIFS(Donnees_generations!$S$3:$S$113,Donnees_generations!$A$3:$A$113,MAX(1915,MIN(2025,E17)))</f>
        <v/>
      </c>
      <c r="I17" s="8">
        <f>SUMIFS(Donnees_generations!$T$3:$T$113,Donnees_generations!$A$3:$A$113,MAX(1915,MIN(2025,E17)))</f>
        <v/>
      </c>
      <c r="J17" s="8">
        <f>IF(G17&gt;=2000,MAX(I17,Parametres!$B$3),I17)</f>
        <v/>
      </c>
      <c r="K17" s="8">
        <f>IF(C17="Privé",J17,SUMIFS(Regles_regimes!$J$3:$J$2000,Regles_regimes!$A$3:$A$2000,C17,Regles_regimes!$B$3:$B$2000,D17,Regles_regimes!$C$3:$C$2000,MAX(1915,MIN(2025,E17))))</f>
        <v/>
      </c>
      <c r="L17" s="8">
        <f>IF(C17="Privé",H17,(K17-F17)*H17/(J17-F17))</f>
        <v/>
      </c>
      <c r="M17" s="77">
        <f>INT(E17+K17)</f>
        <v/>
      </c>
      <c r="N17" s="77">
        <f>G17+ROUNDUP(L17,0)-1</f>
        <v/>
      </c>
      <c r="O17" s="89">
        <f>SUMIFS(Regles_regimes!$K$3:$K$2000,Regles_regimes!$A$3:$A$2000,C17,Regles_regimes!$B$3:$B$2000,D17,Regles_regimes!$C$3:$C$2000,MAX(1915,MIN(2025,E17)))</f>
        <v/>
      </c>
      <c r="P17" s="13">
        <f>SUMIFS(Donnees_annuelles!$W$3:$W$188,Donnees_annuelles!$A$3:$A$188,"&gt;="&amp;G17,Donnees_annuelles!$A$3:$A$188,"&lt;="&amp;N17)*L17/ROUNDUP(L17,0)*O17</f>
        <v/>
      </c>
      <c r="Q17" s="13">
        <f>SUMIFS(Donnees_annuelles!$V$3:$V$188,Donnees_annuelles!$A$3:$A$188,"&gt;="&amp;G17,Donnees_annuelles!$A$3:$A$188,"&lt;="&amp;N17)*L17/ROUNDUP(L17,0)</f>
        <v/>
      </c>
      <c r="R17" s="13">
        <f>P17/L17</f>
        <v/>
      </c>
      <c r="S17" s="14">
        <f>SUMIFS(Donnees_annuelles!$D$3:$D$188,Donnees_annuelles!$A$3:$A$188,"&gt;="&amp;G17,Donnees_annuelles!$A$3:$A$188,"&lt;="&amp;N17)*L17/ROUNDUP(L17,0)</f>
        <v/>
      </c>
      <c r="T17" s="14">
        <f>SUMIFS(Donnees_regimes!$N$3:$N$1118,Donnees_regimes!$A$3:$A$1118,C17,Donnees_regimes!$B$3:$B$1118,"&gt;="&amp;G17,Donnees_regimes!$B$3:$B$1118,"&lt;="&amp;N17)*L17/ROUNDUP(L17,0)</f>
        <v/>
      </c>
      <c r="U17" s="14">
        <f>SUMIFS(Donnees_regimes!$O$3:$O$1118,Donnees_regimes!$A$3:$A$1118,C17,Donnees_regimes!$B$3:$B$1118,"&gt;="&amp;G17,Donnees_regimes!$B$3:$B$1118,"&lt;="&amp;N17)*L17/ROUNDUP(L17,0)</f>
        <v/>
      </c>
      <c r="V17" s="14">
        <f>T17+U17</f>
        <v/>
      </c>
      <c r="W17" s="33">
        <f>V17/S17</f>
        <v/>
      </c>
      <c r="X17" s="14">
        <f>S17+U17</f>
        <v/>
      </c>
      <c r="Y17" s="17">
        <f>V17/P17</f>
        <v/>
      </c>
      <c r="Z17" s="14">
        <f>SUMIFS(Donnees_regimes!$Q$3:$Q$1118,Donnees_regimes!$A$3:$A$1118,C17,Donnees_regimes!$B$3:$B$1118,"&gt;="&amp;G17,Donnees_regimes!$B$3:$B$1118,"&lt;="&amp;N17)*L17/ROUNDUP(L17,0)</f>
        <v/>
      </c>
      <c r="AA17" s="77">
        <f>SUMIFS(Regles_regimes!$F$3:$F$2000,Regles_regimes!$A$3:$A$2000,C17,Regles_regimes!$B$3:$B$2000,D17,Regles_regimes!$C$3:$C$2000,MAX(1915,MIN(2025,E17)))</f>
        <v/>
      </c>
      <c r="AB17" s="77">
        <f>IF(AND(SUMIFS(Regles_regimes!$L$3:$L$2000,Regles_regimes!$A$3:$A$2000,C17,Regles_regimes!$B$3:$B$2000,D17,Regles_regimes!$C$3:$C$2000,MAX(1915,MIN(2025,E17)))=1,G17&lt;2009,C17&lt;&gt;"Privé"),MIN(20,L17*4/5),0)</f>
        <v/>
      </c>
      <c r="AC17" s="89">
        <f>SUMIFS(Donnees_regimes!$M$3:$M$1118,Donnees_regimes!$A$3:$A$1118,C17,Donnees_regimes!$B$3:$B$1118,M17)</f>
        <v/>
      </c>
      <c r="AD17" s="14">
        <f>SUMIFS(Donnees_annuelles!$Y$3:$Y$188,Donnees_annuelles!$A$3:$A$188,M17)*SUMIFS(Donnees_generations!$I$3:$I$113,Donnees_generations!$A$3:$A$113,MAX(1915,MIN(2025,E17)))/H17</f>
        <v/>
      </c>
      <c r="AE17" s="14">
        <f>IF(C17="Privé",SUMIFS(Donnees_annuelles!$Y$3:$Y$188,Donnees_annuelles!$A$3:$A$188,M17)*MIN(L17,SUMIFS(Donnees_generations!$I$3:$I$113,Donnees_generations!$A$3:$A$113,MAX(1915,MIN(2025,E17))))/L17,AD17*AC17*MIN(IF(AB17&gt;0,0.8/0.75,1),(L17*4+AB17)/AA17))</f>
        <v/>
      </c>
      <c r="AF17" s="14">
        <f>AE17/12</f>
        <v/>
      </c>
      <c r="AG17" s="77">
        <f>MIN(68,MAX(56,2*INT(K17/2)))</f>
        <v/>
      </c>
      <c r="AH17" s="75">
        <f>(CHOOSE((AG17-56)/2+1,SUMIFS(Donnees_generations!$U$3:$U$113,Donnees_generations!$A$3:$A$113,MAX(1915,MIN(2025,E17))),SUMIFS(Donnees_generations!$V$3:$V$113,Donnees_generations!$A$3:$A$113,MAX(1915,MIN(2025,E17))),SUMIFS(Donnees_generations!$W$3:$W$113,Donnees_generations!$A$3:$A$113,MAX(1915,MIN(2025,E17))),SUMIFS(Donnees_generations!$X$3:$X$113,Donnees_generations!$A$3:$A$113,MAX(1915,MIN(2025,E17))),SUMIFS(Donnees_generations!$Y$3:$Y$113,Donnees_generations!$A$3:$A$113,MAX(1915,MIN(2025,E17))),SUMIFS(Donnees_generations!$Z$3:$Z$113,Donnees_generations!$A$3:$A$113,MAX(1915,MIN(2025,E17))),SUMIFS(Donnees_generations!$AA$3:$AA$113,Donnees_generations!$A$3:$A$113,MAX(1915,MIN(2025,E17))),SUMIFS(Donnees_generations!$AB$3:$AB$113,Donnees_generations!$A$3:$A$113,MAX(1915,MIN(2025,E17))))+CHOOSE((AG17-56)/2+1,SUMIFS(Donnees_generations!$AC$3:$AC$113,Donnees_generations!$A$3:$A$113,MAX(1915,MIN(2025,E17))),SUMIFS(Donnees_generations!$AD$3:$AD$113,Donnees_generations!$A$3:$A$113,MAX(1915,MIN(2025,E17))),SUMIFS(Donnees_generations!$AE$3:$AE$113,Donnees_generations!$A$3:$A$113,MAX(1915,MIN(2025,E17))),SUMIFS(Donnees_generations!$AF$3:$AF$113,Donnees_generations!$A$3:$A$113,MAX(1915,MIN(2025,E17))),SUMIFS(Donnees_generations!$AG$3:$AG$113,Donnees_generations!$A$3:$A$113,MAX(1915,MIN(2025,E17))),SUMIFS(Donnees_generations!$AH$3:$AH$113,Donnees_generations!$A$3:$A$113,MAX(1915,MIN(2025,E17))),SUMIFS(Donnees_generations!$AI$3:$AI$113,Donnees_generations!$A$3:$A$113,MAX(1915,MIN(2025,E17))),SUMIFS(Donnees_generations!$AJ$3:$AJ$113,Donnees_generations!$A$3:$A$113,MAX(1915,MIN(2025,E17)))))/2</f>
        <v/>
      </c>
      <c r="AI17" s="75">
        <f>(CHOOSE(((AG17+2)-56)/2+1,SUMIFS(Donnees_generations!$U$3:$U$113,Donnees_generations!$A$3:$A$113,MAX(1915,MIN(2025,E17))),SUMIFS(Donnees_generations!$V$3:$V$113,Donnees_generations!$A$3:$A$113,MAX(1915,MIN(2025,E17))),SUMIFS(Donnees_generations!$W$3:$W$113,Donnees_generations!$A$3:$A$113,MAX(1915,MIN(2025,E17))),SUMIFS(Donnees_generations!$X$3:$X$113,Donnees_generations!$A$3:$A$113,MAX(1915,MIN(2025,E17))),SUMIFS(Donnees_generations!$Y$3:$Y$113,Donnees_generations!$A$3:$A$113,MAX(1915,MIN(2025,E17))),SUMIFS(Donnees_generations!$Z$3:$Z$113,Donnees_generations!$A$3:$A$113,MAX(1915,MIN(2025,E17))),SUMIFS(Donnees_generations!$AA$3:$AA$113,Donnees_generations!$A$3:$A$113,MAX(1915,MIN(2025,E17))),SUMIFS(Donnees_generations!$AB$3:$AB$113,Donnees_generations!$A$3:$A$113,MAX(1915,MIN(2025,E17))))+CHOOSE(((AG17+2)-56)/2+1,SUMIFS(Donnees_generations!$AC$3:$AC$113,Donnees_generations!$A$3:$A$113,MAX(1915,MIN(2025,E17))),SUMIFS(Donnees_generations!$AD$3:$AD$113,Donnees_generations!$A$3:$A$113,MAX(1915,MIN(2025,E17))),SUMIFS(Donnees_generations!$AE$3:$AE$113,Donnees_generations!$A$3:$A$113,MAX(1915,MIN(2025,E17))),SUMIFS(Donnees_generations!$AF$3:$AF$113,Donnees_generations!$A$3:$A$113,MAX(1915,MIN(2025,E17))),SUMIFS(Donnees_generations!$AG$3:$AG$113,Donnees_generations!$A$3:$A$113,MAX(1915,MIN(2025,E17))),SUMIFS(Donnees_generations!$AH$3:$AH$113,Donnees_generations!$A$3:$A$113,MAX(1915,MIN(2025,E17))),SUMIFS(Donnees_generations!$AI$3:$AI$113,Donnees_generations!$A$3:$A$113,MAX(1915,MIN(2025,E17))),SUMIFS(Donnees_generations!$AJ$3:$AJ$113,Donnees_generations!$A$3:$A$113,MAX(1915,MIN(2025,E17)))))/2</f>
        <v/>
      </c>
      <c r="AJ17" s="8">
        <f>MAX(0,AH17+(AI17-AH17)*(K17-AG17)/2)</f>
        <v/>
      </c>
      <c r="AK17" s="8">
        <f>K17+AJ17</f>
        <v/>
      </c>
      <c r="AL17" s="14">
        <f>AE17*AJ17</f>
        <v/>
      </c>
      <c r="AM17" s="17">
        <f>V17/AL17</f>
        <v/>
      </c>
      <c r="AN17" s="17">
        <f>Z17/AL17</f>
        <v/>
      </c>
      <c r="AO17" s="33">
        <f>IF(V17+Z17=0,0,Z17/(V17+Z17))</f>
        <v/>
      </c>
      <c r="AP17" s="14">
        <f>AL17/V17*100</f>
        <v/>
      </c>
      <c r="AQ17" s="8">
        <f>P17/AL17*1000</f>
        <v/>
      </c>
      <c r="AR17" s="77">
        <f>MAX(N17,M17-1)</f>
        <v/>
      </c>
      <c r="AS17" s="14">
        <f>SUMIFS(Donnees_regimes!$R$3:$R$1118,Donnees_regimes!$A$3:$A$1118,C17,Donnees_regimes!$B$3:$B$1118,"&gt;="&amp;G17,Donnees_regimes!$B$3:$B$1118,"&lt;="&amp;N17)*L17/ROUNDUP(L17,0)*SUMIFS(Donnees_annuelles!$AG$3:$AG$188,Donnees_annuelles!$A$3:$A$188,AR17)*SUMIFS(Donnees_annuelles!$AA$3:$AA$188,Donnees_annuelles!$A$3:$A$188,AR17)</f>
        <v/>
      </c>
      <c r="AT17" s="36">
        <f>AS17/V17</f>
        <v/>
      </c>
      <c r="AU17" s="14">
        <f>AL17</f>
        <v/>
      </c>
      <c r="AV17" s="39">
        <f>AS17-AL17</f>
        <v/>
      </c>
      <c r="AW17" s="9">
        <f>AS17/AL17-1</f>
        <v/>
      </c>
      <c r="AX17" s="14">
        <f>AS17/AJ17/12</f>
        <v/>
      </c>
      <c r="AY17" s="14">
        <f>AF17</f>
        <v/>
      </c>
      <c r="AZ17" s="39">
        <f>AX17-AF17</f>
        <v/>
      </c>
      <c r="BA17" s="14">
        <f>SUMIFS(Donnees_regimes!$S$3:$S$1118,Donnees_regimes!$A$3:$A$1118,C17,Donnees_regimes!$B$3:$B$1118,"&gt;="&amp;G17,Donnees_regimes!$B$3:$B$1118,"&lt;="&amp;N17)*L17/ROUNDUP(L17,0)*SUMIFS(Donnees_annuelles!$AH$3:$AH$188,Donnees_annuelles!$A$3:$A$188,AR17)*SUMIFS(Donnees_annuelles!$AA$3:$AA$188,Donnees_annuelles!$A$3:$A$188,AR17)</f>
        <v/>
      </c>
      <c r="BB17" s="39">
        <f>BA17-AL17</f>
        <v/>
      </c>
      <c r="BC17" s="7">
        <f>IF(M17+AJ17&gt;2026,IF(G17&gt;2026,"entièrement projeté","en partie projeté"),"observé")</f>
        <v/>
      </c>
    </row>
    <row r="18">
      <c r="A18" s="7" t="inlineStr">
        <is>
          <t>Génération silencieuse</t>
        </is>
      </c>
      <c r="B18" s="84" t="inlineStr">
        <is>
          <t>Privé</t>
        </is>
      </c>
      <c r="C18" s="7">
        <f>IF(G18&gt;=SUMIFS(Regimes!$C$5:$C$10,Regimes!$A$5:$A$10,B18),"Privé",B18)</f>
        <v/>
      </c>
      <c r="D18" s="7">
        <f>INDEX(Regimes!$D$5:$D$10,MATCH(C18,Regimes!$A$5:$A$10,0))</f>
        <v/>
      </c>
      <c r="E18" s="88" t="n">
        <v>1943</v>
      </c>
      <c r="F18" s="8">
        <f>Donnees_generations!C31</f>
        <v/>
      </c>
      <c r="G18" s="77">
        <f>Donnees_generations!D31</f>
        <v/>
      </c>
      <c r="H18" s="8">
        <f>SUMIFS(Donnees_generations!$S$3:$S$113,Donnees_generations!$A$3:$A$113,MAX(1915,MIN(2025,E18)))</f>
        <v/>
      </c>
      <c r="I18" s="8">
        <f>SUMIFS(Donnees_generations!$T$3:$T$113,Donnees_generations!$A$3:$A$113,MAX(1915,MIN(2025,E18)))</f>
        <v/>
      </c>
      <c r="J18" s="8">
        <f>IF(G18&gt;=2000,MAX(I18,Parametres!$B$3),I18)</f>
        <v/>
      </c>
      <c r="K18" s="8">
        <f>IF(C18="Privé",J18,SUMIFS(Regles_regimes!$J$3:$J$2000,Regles_regimes!$A$3:$A$2000,C18,Regles_regimes!$B$3:$B$2000,D18,Regles_regimes!$C$3:$C$2000,MAX(1915,MIN(2025,E18))))</f>
        <v/>
      </c>
      <c r="L18" s="8">
        <f>IF(C18="Privé",H18,(K18-F18)*H18/(J18-F18))</f>
        <v/>
      </c>
      <c r="M18" s="77">
        <f>INT(E18+K18)</f>
        <v/>
      </c>
      <c r="N18" s="77">
        <f>G18+ROUNDUP(L18,0)-1</f>
        <v/>
      </c>
      <c r="O18" s="89">
        <f>SUMIFS(Regles_regimes!$K$3:$K$2000,Regles_regimes!$A$3:$A$2000,C18,Regles_regimes!$B$3:$B$2000,D18,Regles_regimes!$C$3:$C$2000,MAX(1915,MIN(2025,E18)))</f>
        <v/>
      </c>
      <c r="P18" s="13">
        <f>SUMIFS(Donnees_annuelles!$W$3:$W$188,Donnees_annuelles!$A$3:$A$188,"&gt;="&amp;G18,Donnees_annuelles!$A$3:$A$188,"&lt;="&amp;N18)*L18/ROUNDUP(L18,0)*O18</f>
        <v/>
      </c>
      <c r="Q18" s="13">
        <f>SUMIFS(Donnees_annuelles!$V$3:$V$188,Donnees_annuelles!$A$3:$A$188,"&gt;="&amp;G18,Donnees_annuelles!$A$3:$A$188,"&lt;="&amp;N18)*L18/ROUNDUP(L18,0)</f>
        <v/>
      </c>
      <c r="R18" s="13">
        <f>P18/L18</f>
        <v/>
      </c>
      <c r="S18" s="14">
        <f>SUMIFS(Donnees_annuelles!$D$3:$D$188,Donnees_annuelles!$A$3:$A$188,"&gt;="&amp;G18,Donnees_annuelles!$A$3:$A$188,"&lt;="&amp;N18)*L18/ROUNDUP(L18,0)</f>
        <v/>
      </c>
      <c r="T18" s="14">
        <f>SUMIFS(Donnees_regimes!$N$3:$N$1118,Donnees_regimes!$A$3:$A$1118,C18,Donnees_regimes!$B$3:$B$1118,"&gt;="&amp;G18,Donnees_regimes!$B$3:$B$1118,"&lt;="&amp;N18)*L18/ROUNDUP(L18,0)</f>
        <v/>
      </c>
      <c r="U18" s="14">
        <f>SUMIFS(Donnees_regimes!$O$3:$O$1118,Donnees_regimes!$A$3:$A$1118,C18,Donnees_regimes!$B$3:$B$1118,"&gt;="&amp;G18,Donnees_regimes!$B$3:$B$1118,"&lt;="&amp;N18)*L18/ROUNDUP(L18,0)</f>
        <v/>
      </c>
      <c r="V18" s="14">
        <f>T18+U18</f>
        <v/>
      </c>
      <c r="W18" s="33">
        <f>V18/S18</f>
        <v/>
      </c>
      <c r="X18" s="14">
        <f>S18+U18</f>
        <v/>
      </c>
      <c r="Y18" s="17">
        <f>V18/P18</f>
        <v/>
      </c>
      <c r="Z18" s="14">
        <f>SUMIFS(Donnees_regimes!$Q$3:$Q$1118,Donnees_regimes!$A$3:$A$1118,C18,Donnees_regimes!$B$3:$B$1118,"&gt;="&amp;G18,Donnees_regimes!$B$3:$B$1118,"&lt;="&amp;N18)*L18/ROUNDUP(L18,0)</f>
        <v/>
      </c>
      <c r="AA18" s="77">
        <f>SUMIFS(Regles_regimes!$F$3:$F$2000,Regles_regimes!$A$3:$A$2000,C18,Regles_regimes!$B$3:$B$2000,D18,Regles_regimes!$C$3:$C$2000,MAX(1915,MIN(2025,E18)))</f>
        <v/>
      </c>
      <c r="AB18" s="77">
        <f>IF(AND(SUMIFS(Regles_regimes!$L$3:$L$2000,Regles_regimes!$A$3:$A$2000,C18,Regles_regimes!$B$3:$B$2000,D18,Regles_regimes!$C$3:$C$2000,MAX(1915,MIN(2025,E18)))=1,G18&lt;2009,C18&lt;&gt;"Privé"),MIN(20,L18*4/5),0)</f>
        <v/>
      </c>
      <c r="AC18" s="89">
        <f>SUMIFS(Donnees_regimes!$M$3:$M$1118,Donnees_regimes!$A$3:$A$1118,C18,Donnees_regimes!$B$3:$B$1118,M18)</f>
        <v/>
      </c>
      <c r="AD18" s="14">
        <f>SUMIFS(Donnees_annuelles!$Y$3:$Y$188,Donnees_annuelles!$A$3:$A$188,M18)*SUMIFS(Donnees_generations!$I$3:$I$113,Donnees_generations!$A$3:$A$113,MAX(1915,MIN(2025,E18)))/H18</f>
        <v/>
      </c>
      <c r="AE18" s="14">
        <f>IF(C18="Privé",SUMIFS(Donnees_annuelles!$Y$3:$Y$188,Donnees_annuelles!$A$3:$A$188,M18)*MIN(L18,SUMIFS(Donnees_generations!$I$3:$I$113,Donnees_generations!$A$3:$A$113,MAX(1915,MIN(2025,E18))))/L18,AD18*AC18*MIN(IF(AB18&gt;0,0.8/0.75,1),(L18*4+AB18)/AA18))</f>
        <v/>
      </c>
      <c r="AF18" s="14">
        <f>AE18/12</f>
        <v/>
      </c>
      <c r="AG18" s="77">
        <f>MIN(68,MAX(56,2*INT(K18/2)))</f>
        <v/>
      </c>
      <c r="AH18" s="75">
        <f>(CHOOSE((AG18-56)/2+1,SUMIFS(Donnees_generations!$U$3:$U$113,Donnees_generations!$A$3:$A$113,MAX(1915,MIN(2025,E18))),SUMIFS(Donnees_generations!$V$3:$V$113,Donnees_generations!$A$3:$A$113,MAX(1915,MIN(2025,E18))),SUMIFS(Donnees_generations!$W$3:$W$113,Donnees_generations!$A$3:$A$113,MAX(1915,MIN(2025,E18))),SUMIFS(Donnees_generations!$X$3:$X$113,Donnees_generations!$A$3:$A$113,MAX(1915,MIN(2025,E18))),SUMIFS(Donnees_generations!$Y$3:$Y$113,Donnees_generations!$A$3:$A$113,MAX(1915,MIN(2025,E18))),SUMIFS(Donnees_generations!$Z$3:$Z$113,Donnees_generations!$A$3:$A$113,MAX(1915,MIN(2025,E18))),SUMIFS(Donnees_generations!$AA$3:$AA$113,Donnees_generations!$A$3:$A$113,MAX(1915,MIN(2025,E18))),SUMIFS(Donnees_generations!$AB$3:$AB$113,Donnees_generations!$A$3:$A$113,MAX(1915,MIN(2025,E18))))+CHOOSE((AG18-56)/2+1,SUMIFS(Donnees_generations!$AC$3:$AC$113,Donnees_generations!$A$3:$A$113,MAX(1915,MIN(2025,E18))),SUMIFS(Donnees_generations!$AD$3:$AD$113,Donnees_generations!$A$3:$A$113,MAX(1915,MIN(2025,E18))),SUMIFS(Donnees_generations!$AE$3:$AE$113,Donnees_generations!$A$3:$A$113,MAX(1915,MIN(2025,E18))),SUMIFS(Donnees_generations!$AF$3:$AF$113,Donnees_generations!$A$3:$A$113,MAX(1915,MIN(2025,E18))),SUMIFS(Donnees_generations!$AG$3:$AG$113,Donnees_generations!$A$3:$A$113,MAX(1915,MIN(2025,E18))),SUMIFS(Donnees_generations!$AH$3:$AH$113,Donnees_generations!$A$3:$A$113,MAX(1915,MIN(2025,E18))),SUMIFS(Donnees_generations!$AI$3:$AI$113,Donnees_generations!$A$3:$A$113,MAX(1915,MIN(2025,E18))),SUMIFS(Donnees_generations!$AJ$3:$AJ$113,Donnees_generations!$A$3:$A$113,MAX(1915,MIN(2025,E18)))))/2</f>
        <v/>
      </c>
      <c r="AI18" s="75">
        <f>(CHOOSE(((AG18+2)-56)/2+1,SUMIFS(Donnees_generations!$U$3:$U$113,Donnees_generations!$A$3:$A$113,MAX(1915,MIN(2025,E18))),SUMIFS(Donnees_generations!$V$3:$V$113,Donnees_generations!$A$3:$A$113,MAX(1915,MIN(2025,E18))),SUMIFS(Donnees_generations!$W$3:$W$113,Donnees_generations!$A$3:$A$113,MAX(1915,MIN(2025,E18))),SUMIFS(Donnees_generations!$X$3:$X$113,Donnees_generations!$A$3:$A$113,MAX(1915,MIN(2025,E18))),SUMIFS(Donnees_generations!$Y$3:$Y$113,Donnees_generations!$A$3:$A$113,MAX(1915,MIN(2025,E18))),SUMIFS(Donnees_generations!$Z$3:$Z$113,Donnees_generations!$A$3:$A$113,MAX(1915,MIN(2025,E18))),SUMIFS(Donnees_generations!$AA$3:$AA$113,Donnees_generations!$A$3:$A$113,MAX(1915,MIN(2025,E18))),SUMIFS(Donnees_generations!$AB$3:$AB$113,Donnees_generations!$A$3:$A$113,MAX(1915,MIN(2025,E18))))+CHOOSE(((AG18+2)-56)/2+1,SUMIFS(Donnees_generations!$AC$3:$AC$113,Donnees_generations!$A$3:$A$113,MAX(1915,MIN(2025,E18))),SUMIFS(Donnees_generations!$AD$3:$AD$113,Donnees_generations!$A$3:$A$113,MAX(1915,MIN(2025,E18))),SUMIFS(Donnees_generations!$AE$3:$AE$113,Donnees_generations!$A$3:$A$113,MAX(1915,MIN(2025,E18))),SUMIFS(Donnees_generations!$AF$3:$AF$113,Donnees_generations!$A$3:$A$113,MAX(1915,MIN(2025,E18))),SUMIFS(Donnees_generations!$AG$3:$AG$113,Donnees_generations!$A$3:$A$113,MAX(1915,MIN(2025,E18))),SUMIFS(Donnees_generations!$AH$3:$AH$113,Donnees_generations!$A$3:$A$113,MAX(1915,MIN(2025,E18))),SUMIFS(Donnees_generations!$AI$3:$AI$113,Donnees_generations!$A$3:$A$113,MAX(1915,MIN(2025,E18))),SUMIFS(Donnees_generations!$AJ$3:$AJ$113,Donnees_generations!$A$3:$A$113,MAX(1915,MIN(2025,E18)))))/2</f>
        <v/>
      </c>
      <c r="AJ18" s="8">
        <f>MAX(0,AH18+(AI18-AH18)*(K18-AG18)/2)</f>
        <v/>
      </c>
      <c r="AK18" s="8">
        <f>K18+AJ18</f>
        <v/>
      </c>
      <c r="AL18" s="14">
        <f>AE18*AJ18</f>
        <v/>
      </c>
      <c r="AM18" s="17">
        <f>V18/AL18</f>
        <v/>
      </c>
      <c r="AN18" s="17">
        <f>Z18/AL18</f>
        <v/>
      </c>
      <c r="AO18" s="33">
        <f>IF(V18+Z18=0,0,Z18/(V18+Z18))</f>
        <v/>
      </c>
      <c r="AP18" s="14">
        <f>AL18/V18*100</f>
        <v/>
      </c>
      <c r="AQ18" s="8">
        <f>P18/AL18*1000</f>
        <v/>
      </c>
      <c r="AR18" s="77">
        <f>MAX(N18,M18-1)</f>
        <v/>
      </c>
      <c r="AS18" s="14">
        <f>SUMIFS(Donnees_regimes!$R$3:$R$1118,Donnees_regimes!$A$3:$A$1118,C18,Donnees_regimes!$B$3:$B$1118,"&gt;="&amp;G18,Donnees_regimes!$B$3:$B$1118,"&lt;="&amp;N18)*L18/ROUNDUP(L18,0)*SUMIFS(Donnees_annuelles!$AG$3:$AG$188,Donnees_annuelles!$A$3:$A$188,AR18)*SUMIFS(Donnees_annuelles!$AA$3:$AA$188,Donnees_annuelles!$A$3:$A$188,AR18)</f>
        <v/>
      </c>
      <c r="AT18" s="36">
        <f>AS18/V18</f>
        <v/>
      </c>
      <c r="AU18" s="14">
        <f>AL18</f>
        <v/>
      </c>
      <c r="AV18" s="39">
        <f>AS18-AL18</f>
        <v/>
      </c>
      <c r="AW18" s="9">
        <f>AS18/AL18-1</f>
        <v/>
      </c>
      <c r="AX18" s="14">
        <f>AS18/AJ18/12</f>
        <v/>
      </c>
      <c r="AY18" s="14">
        <f>AF18</f>
        <v/>
      </c>
      <c r="AZ18" s="39">
        <f>AX18-AF18</f>
        <v/>
      </c>
      <c r="BA18" s="14">
        <f>SUMIFS(Donnees_regimes!$S$3:$S$1118,Donnees_regimes!$A$3:$A$1118,C18,Donnees_regimes!$B$3:$B$1118,"&gt;="&amp;G18,Donnees_regimes!$B$3:$B$1118,"&lt;="&amp;N18)*L18/ROUNDUP(L18,0)*SUMIFS(Donnees_annuelles!$AH$3:$AH$188,Donnees_annuelles!$A$3:$A$188,AR18)*SUMIFS(Donnees_annuelles!$AA$3:$AA$188,Donnees_annuelles!$A$3:$A$188,AR18)</f>
        <v/>
      </c>
      <c r="BB18" s="39">
        <f>BA18-AL18</f>
        <v/>
      </c>
      <c r="BC18" s="7">
        <f>IF(M18+AJ18&gt;2026,IF(G18&gt;2026,"entièrement projeté","en partie projeté"),"observé")</f>
        <v/>
      </c>
    </row>
    <row r="19">
      <c r="A19" s="7" t="inlineStr">
        <is>
          <t>Génération silencieuse</t>
        </is>
      </c>
      <c r="B19" s="84" t="inlineStr">
        <is>
          <t>Privé</t>
        </is>
      </c>
      <c r="C19" s="7">
        <f>IF(G19&gt;=SUMIFS(Regimes!$C$5:$C$10,Regimes!$A$5:$A$10,B19),"Privé",B19)</f>
        <v/>
      </c>
      <c r="D19" s="7">
        <f>INDEX(Regimes!$D$5:$D$10,MATCH(C19,Regimes!$A$5:$A$10,0))</f>
        <v/>
      </c>
      <c r="E19" s="88" t="n">
        <v>1944</v>
      </c>
      <c r="F19" s="8">
        <f>Donnees_generations!C32</f>
        <v/>
      </c>
      <c r="G19" s="77">
        <f>Donnees_generations!D32</f>
        <v/>
      </c>
      <c r="H19" s="8">
        <f>SUMIFS(Donnees_generations!$S$3:$S$113,Donnees_generations!$A$3:$A$113,MAX(1915,MIN(2025,E19)))</f>
        <v/>
      </c>
      <c r="I19" s="8">
        <f>SUMIFS(Donnees_generations!$T$3:$T$113,Donnees_generations!$A$3:$A$113,MAX(1915,MIN(2025,E19)))</f>
        <v/>
      </c>
      <c r="J19" s="8">
        <f>IF(G19&gt;=2000,MAX(I19,Parametres!$B$3),I19)</f>
        <v/>
      </c>
      <c r="K19" s="8">
        <f>IF(C19="Privé",J19,SUMIFS(Regles_regimes!$J$3:$J$2000,Regles_regimes!$A$3:$A$2000,C19,Regles_regimes!$B$3:$B$2000,D19,Regles_regimes!$C$3:$C$2000,MAX(1915,MIN(2025,E19))))</f>
        <v/>
      </c>
      <c r="L19" s="8">
        <f>IF(C19="Privé",H19,(K19-F19)*H19/(J19-F19))</f>
        <v/>
      </c>
      <c r="M19" s="77">
        <f>INT(E19+K19)</f>
        <v/>
      </c>
      <c r="N19" s="77">
        <f>G19+ROUNDUP(L19,0)-1</f>
        <v/>
      </c>
      <c r="O19" s="89">
        <f>SUMIFS(Regles_regimes!$K$3:$K$2000,Regles_regimes!$A$3:$A$2000,C19,Regles_regimes!$B$3:$B$2000,D19,Regles_regimes!$C$3:$C$2000,MAX(1915,MIN(2025,E19)))</f>
        <v/>
      </c>
      <c r="P19" s="13">
        <f>SUMIFS(Donnees_annuelles!$W$3:$W$188,Donnees_annuelles!$A$3:$A$188,"&gt;="&amp;G19,Donnees_annuelles!$A$3:$A$188,"&lt;="&amp;N19)*L19/ROUNDUP(L19,0)*O19</f>
        <v/>
      </c>
      <c r="Q19" s="13">
        <f>SUMIFS(Donnees_annuelles!$V$3:$V$188,Donnees_annuelles!$A$3:$A$188,"&gt;="&amp;G19,Donnees_annuelles!$A$3:$A$188,"&lt;="&amp;N19)*L19/ROUNDUP(L19,0)</f>
        <v/>
      </c>
      <c r="R19" s="13">
        <f>P19/L19</f>
        <v/>
      </c>
      <c r="S19" s="14">
        <f>SUMIFS(Donnees_annuelles!$D$3:$D$188,Donnees_annuelles!$A$3:$A$188,"&gt;="&amp;G19,Donnees_annuelles!$A$3:$A$188,"&lt;="&amp;N19)*L19/ROUNDUP(L19,0)</f>
        <v/>
      </c>
      <c r="T19" s="14">
        <f>SUMIFS(Donnees_regimes!$N$3:$N$1118,Donnees_regimes!$A$3:$A$1118,C19,Donnees_regimes!$B$3:$B$1118,"&gt;="&amp;G19,Donnees_regimes!$B$3:$B$1118,"&lt;="&amp;N19)*L19/ROUNDUP(L19,0)</f>
        <v/>
      </c>
      <c r="U19" s="14">
        <f>SUMIFS(Donnees_regimes!$O$3:$O$1118,Donnees_regimes!$A$3:$A$1118,C19,Donnees_regimes!$B$3:$B$1118,"&gt;="&amp;G19,Donnees_regimes!$B$3:$B$1118,"&lt;="&amp;N19)*L19/ROUNDUP(L19,0)</f>
        <v/>
      </c>
      <c r="V19" s="14">
        <f>T19+U19</f>
        <v/>
      </c>
      <c r="W19" s="33">
        <f>V19/S19</f>
        <v/>
      </c>
      <c r="X19" s="14">
        <f>S19+U19</f>
        <v/>
      </c>
      <c r="Y19" s="17">
        <f>V19/P19</f>
        <v/>
      </c>
      <c r="Z19" s="14">
        <f>SUMIFS(Donnees_regimes!$Q$3:$Q$1118,Donnees_regimes!$A$3:$A$1118,C19,Donnees_regimes!$B$3:$B$1118,"&gt;="&amp;G19,Donnees_regimes!$B$3:$B$1118,"&lt;="&amp;N19)*L19/ROUNDUP(L19,0)</f>
        <v/>
      </c>
      <c r="AA19" s="77">
        <f>SUMIFS(Regles_regimes!$F$3:$F$2000,Regles_regimes!$A$3:$A$2000,C19,Regles_regimes!$B$3:$B$2000,D19,Regles_regimes!$C$3:$C$2000,MAX(1915,MIN(2025,E19)))</f>
        <v/>
      </c>
      <c r="AB19" s="77">
        <f>IF(AND(SUMIFS(Regles_regimes!$L$3:$L$2000,Regles_regimes!$A$3:$A$2000,C19,Regles_regimes!$B$3:$B$2000,D19,Regles_regimes!$C$3:$C$2000,MAX(1915,MIN(2025,E19)))=1,G19&lt;2009,C19&lt;&gt;"Privé"),MIN(20,L19*4/5),0)</f>
        <v/>
      </c>
      <c r="AC19" s="89">
        <f>SUMIFS(Donnees_regimes!$M$3:$M$1118,Donnees_regimes!$A$3:$A$1118,C19,Donnees_regimes!$B$3:$B$1118,M19)</f>
        <v/>
      </c>
      <c r="AD19" s="14">
        <f>SUMIFS(Donnees_annuelles!$Y$3:$Y$188,Donnees_annuelles!$A$3:$A$188,M19)*SUMIFS(Donnees_generations!$I$3:$I$113,Donnees_generations!$A$3:$A$113,MAX(1915,MIN(2025,E19)))/H19</f>
        <v/>
      </c>
      <c r="AE19" s="14">
        <f>IF(C19="Privé",SUMIFS(Donnees_annuelles!$Y$3:$Y$188,Donnees_annuelles!$A$3:$A$188,M19)*MIN(L19,SUMIFS(Donnees_generations!$I$3:$I$113,Donnees_generations!$A$3:$A$113,MAX(1915,MIN(2025,E19))))/L19,AD19*AC19*MIN(IF(AB19&gt;0,0.8/0.75,1),(L19*4+AB19)/AA19))</f>
        <v/>
      </c>
      <c r="AF19" s="14">
        <f>AE19/12</f>
        <v/>
      </c>
      <c r="AG19" s="77">
        <f>MIN(68,MAX(56,2*INT(K19/2)))</f>
        <v/>
      </c>
      <c r="AH19" s="75">
        <f>(CHOOSE((AG19-56)/2+1,SUMIFS(Donnees_generations!$U$3:$U$113,Donnees_generations!$A$3:$A$113,MAX(1915,MIN(2025,E19))),SUMIFS(Donnees_generations!$V$3:$V$113,Donnees_generations!$A$3:$A$113,MAX(1915,MIN(2025,E19))),SUMIFS(Donnees_generations!$W$3:$W$113,Donnees_generations!$A$3:$A$113,MAX(1915,MIN(2025,E19))),SUMIFS(Donnees_generations!$X$3:$X$113,Donnees_generations!$A$3:$A$113,MAX(1915,MIN(2025,E19))),SUMIFS(Donnees_generations!$Y$3:$Y$113,Donnees_generations!$A$3:$A$113,MAX(1915,MIN(2025,E19))),SUMIFS(Donnees_generations!$Z$3:$Z$113,Donnees_generations!$A$3:$A$113,MAX(1915,MIN(2025,E19))),SUMIFS(Donnees_generations!$AA$3:$AA$113,Donnees_generations!$A$3:$A$113,MAX(1915,MIN(2025,E19))),SUMIFS(Donnees_generations!$AB$3:$AB$113,Donnees_generations!$A$3:$A$113,MAX(1915,MIN(2025,E19))))+CHOOSE((AG19-56)/2+1,SUMIFS(Donnees_generations!$AC$3:$AC$113,Donnees_generations!$A$3:$A$113,MAX(1915,MIN(2025,E19))),SUMIFS(Donnees_generations!$AD$3:$AD$113,Donnees_generations!$A$3:$A$113,MAX(1915,MIN(2025,E19))),SUMIFS(Donnees_generations!$AE$3:$AE$113,Donnees_generations!$A$3:$A$113,MAX(1915,MIN(2025,E19))),SUMIFS(Donnees_generations!$AF$3:$AF$113,Donnees_generations!$A$3:$A$113,MAX(1915,MIN(2025,E19))),SUMIFS(Donnees_generations!$AG$3:$AG$113,Donnees_generations!$A$3:$A$113,MAX(1915,MIN(2025,E19))),SUMIFS(Donnees_generations!$AH$3:$AH$113,Donnees_generations!$A$3:$A$113,MAX(1915,MIN(2025,E19))),SUMIFS(Donnees_generations!$AI$3:$AI$113,Donnees_generations!$A$3:$A$113,MAX(1915,MIN(2025,E19))),SUMIFS(Donnees_generations!$AJ$3:$AJ$113,Donnees_generations!$A$3:$A$113,MAX(1915,MIN(2025,E19)))))/2</f>
        <v/>
      </c>
      <c r="AI19" s="75">
        <f>(CHOOSE(((AG19+2)-56)/2+1,SUMIFS(Donnees_generations!$U$3:$U$113,Donnees_generations!$A$3:$A$113,MAX(1915,MIN(2025,E19))),SUMIFS(Donnees_generations!$V$3:$V$113,Donnees_generations!$A$3:$A$113,MAX(1915,MIN(2025,E19))),SUMIFS(Donnees_generations!$W$3:$W$113,Donnees_generations!$A$3:$A$113,MAX(1915,MIN(2025,E19))),SUMIFS(Donnees_generations!$X$3:$X$113,Donnees_generations!$A$3:$A$113,MAX(1915,MIN(2025,E19))),SUMIFS(Donnees_generations!$Y$3:$Y$113,Donnees_generations!$A$3:$A$113,MAX(1915,MIN(2025,E19))),SUMIFS(Donnees_generations!$Z$3:$Z$113,Donnees_generations!$A$3:$A$113,MAX(1915,MIN(2025,E19))),SUMIFS(Donnees_generations!$AA$3:$AA$113,Donnees_generations!$A$3:$A$113,MAX(1915,MIN(2025,E19))),SUMIFS(Donnees_generations!$AB$3:$AB$113,Donnees_generations!$A$3:$A$113,MAX(1915,MIN(2025,E19))))+CHOOSE(((AG19+2)-56)/2+1,SUMIFS(Donnees_generations!$AC$3:$AC$113,Donnees_generations!$A$3:$A$113,MAX(1915,MIN(2025,E19))),SUMIFS(Donnees_generations!$AD$3:$AD$113,Donnees_generations!$A$3:$A$113,MAX(1915,MIN(2025,E19))),SUMIFS(Donnees_generations!$AE$3:$AE$113,Donnees_generations!$A$3:$A$113,MAX(1915,MIN(2025,E19))),SUMIFS(Donnees_generations!$AF$3:$AF$113,Donnees_generations!$A$3:$A$113,MAX(1915,MIN(2025,E19))),SUMIFS(Donnees_generations!$AG$3:$AG$113,Donnees_generations!$A$3:$A$113,MAX(1915,MIN(2025,E19))),SUMIFS(Donnees_generations!$AH$3:$AH$113,Donnees_generations!$A$3:$A$113,MAX(1915,MIN(2025,E19))),SUMIFS(Donnees_generations!$AI$3:$AI$113,Donnees_generations!$A$3:$A$113,MAX(1915,MIN(2025,E19))),SUMIFS(Donnees_generations!$AJ$3:$AJ$113,Donnees_generations!$A$3:$A$113,MAX(1915,MIN(2025,E19)))))/2</f>
        <v/>
      </c>
      <c r="AJ19" s="8">
        <f>MAX(0,AH19+(AI19-AH19)*(K19-AG19)/2)</f>
        <v/>
      </c>
      <c r="AK19" s="8">
        <f>K19+AJ19</f>
        <v/>
      </c>
      <c r="AL19" s="14">
        <f>AE19*AJ19</f>
        <v/>
      </c>
      <c r="AM19" s="17">
        <f>V19/AL19</f>
        <v/>
      </c>
      <c r="AN19" s="17">
        <f>Z19/AL19</f>
        <v/>
      </c>
      <c r="AO19" s="33">
        <f>IF(V19+Z19=0,0,Z19/(V19+Z19))</f>
        <v/>
      </c>
      <c r="AP19" s="14">
        <f>AL19/V19*100</f>
        <v/>
      </c>
      <c r="AQ19" s="8">
        <f>P19/AL19*1000</f>
        <v/>
      </c>
      <c r="AR19" s="77">
        <f>MAX(N19,M19-1)</f>
        <v/>
      </c>
      <c r="AS19" s="14">
        <f>SUMIFS(Donnees_regimes!$R$3:$R$1118,Donnees_regimes!$A$3:$A$1118,C19,Donnees_regimes!$B$3:$B$1118,"&gt;="&amp;G19,Donnees_regimes!$B$3:$B$1118,"&lt;="&amp;N19)*L19/ROUNDUP(L19,0)*SUMIFS(Donnees_annuelles!$AG$3:$AG$188,Donnees_annuelles!$A$3:$A$188,AR19)*SUMIFS(Donnees_annuelles!$AA$3:$AA$188,Donnees_annuelles!$A$3:$A$188,AR19)</f>
        <v/>
      </c>
      <c r="AT19" s="36">
        <f>AS19/V19</f>
        <v/>
      </c>
      <c r="AU19" s="14">
        <f>AL19</f>
        <v/>
      </c>
      <c r="AV19" s="39">
        <f>AS19-AL19</f>
        <v/>
      </c>
      <c r="AW19" s="9">
        <f>AS19/AL19-1</f>
        <v/>
      </c>
      <c r="AX19" s="14">
        <f>AS19/AJ19/12</f>
        <v/>
      </c>
      <c r="AY19" s="14">
        <f>AF19</f>
        <v/>
      </c>
      <c r="AZ19" s="39">
        <f>AX19-AF19</f>
        <v/>
      </c>
      <c r="BA19" s="14">
        <f>SUMIFS(Donnees_regimes!$S$3:$S$1118,Donnees_regimes!$A$3:$A$1118,C19,Donnees_regimes!$B$3:$B$1118,"&gt;="&amp;G19,Donnees_regimes!$B$3:$B$1118,"&lt;="&amp;N19)*L19/ROUNDUP(L19,0)*SUMIFS(Donnees_annuelles!$AH$3:$AH$188,Donnees_annuelles!$A$3:$A$188,AR19)*SUMIFS(Donnees_annuelles!$AA$3:$AA$188,Donnees_annuelles!$A$3:$A$188,AR19)</f>
        <v/>
      </c>
      <c r="BB19" s="39">
        <f>BA19-AL19</f>
        <v/>
      </c>
      <c r="BC19" s="7">
        <f>IF(M19+AJ19&gt;2026,IF(G19&gt;2026,"entièrement projeté","en partie projeté"),"observé")</f>
        <v/>
      </c>
    </row>
    <row r="20">
      <c r="A20" s="7" t="inlineStr">
        <is>
          <t>Génération silencieuse</t>
        </is>
      </c>
      <c r="B20" s="84" t="inlineStr">
        <is>
          <t>Privé</t>
        </is>
      </c>
      <c r="C20" s="7">
        <f>IF(G20&gt;=SUMIFS(Regimes!$C$5:$C$10,Regimes!$A$5:$A$10,B20),"Privé",B20)</f>
        <v/>
      </c>
      <c r="D20" s="7">
        <f>INDEX(Regimes!$D$5:$D$10,MATCH(C20,Regimes!$A$5:$A$10,0))</f>
        <v/>
      </c>
      <c r="E20" s="88" t="n">
        <v>1945</v>
      </c>
      <c r="F20" s="8">
        <f>Donnees_generations!C33</f>
        <v/>
      </c>
      <c r="G20" s="77">
        <f>Donnees_generations!D33</f>
        <v/>
      </c>
      <c r="H20" s="8">
        <f>SUMIFS(Donnees_generations!$S$3:$S$113,Donnees_generations!$A$3:$A$113,MAX(1915,MIN(2025,E20)))</f>
        <v/>
      </c>
      <c r="I20" s="8">
        <f>SUMIFS(Donnees_generations!$T$3:$T$113,Donnees_generations!$A$3:$A$113,MAX(1915,MIN(2025,E20)))</f>
        <v/>
      </c>
      <c r="J20" s="8">
        <f>IF(G20&gt;=2000,MAX(I20,Parametres!$B$3),I20)</f>
        <v/>
      </c>
      <c r="K20" s="8">
        <f>IF(C20="Privé",J20,SUMIFS(Regles_regimes!$J$3:$J$2000,Regles_regimes!$A$3:$A$2000,C20,Regles_regimes!$B$3:$B$2000,D20,Regles_regimes!$C$3:$C$2000,MAX(1915,MIN(2025,E20))))</f>
        <v/>
      </c>
      <c r="L20" s="8">
        <f>IF(C20="Privé",H20,(K20-F20)*H20/(J20-F20))</f>
        <v/>
      </c>
      <c r="M20" s="77">
        <f>INT(E20+K20)</f>
        <v/>
      </c>
      <c r="N20" s="77">
        <f>G20+ROUNDUP(L20,0)-1</f>
        <v/>
      </c>
      <c r="O20" s="89">
        <f>SUMIFS(Regles_regimes!$K$3:$K$2000,Regles_regimes!$A$3:$A$2000,C20,Regles_regimes!$B$3:$B$2000,D20,Regles_regimes!$C$3:$C$2000,MAX(1915,MIN(2025,E20)))</f>
        <v/>
      </c>
      <c r="P20" s="13">
        <f>SUMIFS(Donnees_annuelles!$W$3:$W$188,Donnees_annuelles!$A$3:$A$188,"&gt;="&amp;G20,Donnees_annuelles!$A$3:$A$188,"&lt;="&amp;N20)*L20/ROUNDUP(L20,0)*O20</f>
        <v/>
      </c>
      <c r="Q20" s="13">
        <f>SUMIFS(Donnees_annuelles!$V$3:$V$188,Donnees_annuelles!$A$3:$A$188,"&gt;="&amp;G20,Donnees_annuelles!$A$3:$A$188,"&lt;="&amp;N20)*L20/ROUNDUP(L20,0)</f>
        <v/>
      </c>
      <c r="R20" s="13">
        <f>P20/L20</f>
        <v/>
      </c>
      <c r="S20" s="14">
        <f>SUMIFS(Donnees_annuelles!$D$3:$D$188,Donnees_annuelles!$A$3:$A$188,"&gt;="&amp;G20,Donnees_annuelles!$A$3:$A$188,"&lt;="&amp;N20)*L20/ROUNDUP(L20,0)</f>
        <v/>
      </c>
      <c r="T20" s="14">
        <f>SUMIFS(Donnees_regimes!$N$3:$N$1118,Donnees_regimes!$A$3:$A$1118,C20,Donnees_regimes!$B$3:$B$1118,"&gt;="&amp;G20,Donnees_regimes!$B$3:$B$1118,"&lt;="&amp;N20)*L20/ROUNDUP(L20,0)</f>
        <v/>
      </c>
      <c r="U20" s="14">
        <f>SUMIFS(Donnees_regimes!$O$3:$O$1118,Donnees_regimes!$A$3:$A$1118,C20,Donnees_regimes!$B$3:$B$1118,"&gt;="&amp;G20,Donnees_regimes!$B$3:$B$1118,"&lt;="&amp;N20)*L20/ROUNDUP(L20,0)</f>
        <v/>
      </c>
      <c r="V20" s="14">
        <f>T20+U20</f>
        <v/>
      </c>
      <c r="W20" s="33">
        <f>V20/S20</f>
        <v/>
      </c>
      <c r="X20" s="14">
        <f>S20+U20</f>
        <v/>
      </c>
      <c r="Y20" s="17">
        <f>V20/P20</f>
        <v/>
      </c>
      <c r="Z20" s="14">
        <f>SUMIFS(Donnees_regimes!$Q$3:$Q$1118,Donnees_regimes!$A$3:$A$1118,C20,Donnees_regimes!$B$3:$B$1118,"&gt;="&amp;G20,Donnees_regimes!$B$3:$B$1118,"&lt;="&amp;N20)*L20/ROUNDUP(L20,0)</f>
        <v/>
      </c>
      <c r="AA20" s="77">
        <f>SUMIFS(Regles_regimes!$F$3:$F$2000,Regles_regimes!$A$3:$A$2000,C20,Regles_regimes!$B$3:$B$2000,D20,Regles_regimes!$C$3:$C$2000,MAX(1915,MIN(2025,E20)))</f>
        <v/>
      </c>
      <c r="AB20" s="77">
        <f>IF(AND(SUMIFS(Regles_regimes!$L$3:$L$2000,Regles_regimes!$A$3:$A$2000,C20,Regles_regimes!$B$3:$B$2000,D20,Regles_regimes!$C$3:$C$2000,MAX(1915,MIN(2025,E20)))=1,G20&lt;2009,C20&lt;&gt;"Privé"),MIN(20,L20*4/5),0)</f>
        <v/>
      </c>
      <c r="AC20" s="89">
        <f>SUMIFS(Donnees_regimes!$M$3:$M$1118,Donnees_regimes!$A$3:$A$1118,C20,Donnees_regimes!$B$3:$B$1118,M20)</f>
        <v/>
      </c>
      <c r="AD20" s="14">
        <f>SUMIFS(Donnees_annuelles!$Y$3:$Y$188,Donnees_annuelles!$A$3:$A$188,M20)*SUMIFS(Donnees_generations!$I$3:$I$113,Donnees_generations!$A$3:$A$113,MAX(1915,MIN(2025,E20)))/H20</f>
        <v/>
      </c>
      <c r="AE20" s="14">
        <f>IF(C20="Privé",SUMIFS(Donnees_annuelles!$Y$3:$Y$188,Donnees_annuelles!$A$3:$A$188,M20)*MIN(L20,SUMIFS(Donnees_generations!$I$3:$I$113,Donnees_generations!$A$3:$A$113,MAX(1915,MIN(2025,E20))))/L20,AD20*AC20*MIN(IF(AB20&gt;0,0.8/0.75,1),(L20*4+AB20)/AA20))</f>
        <v/>
      </c>
      <c r="AF20" s="14">
        <f>AE20/12</f>
        <v/>
      </c>
      <c r="AG20" s="77">
        <f>MIN(68,MAX(56,2*INT(K20/2)))</f>
        <v/>
      </c>
      <c r="AH20" s="75">
        <f>(CHOOSE((AG20-56)/2+1,SUMIFS(Donnees_generations!$U$3:$U$113,Donnees_generations!$A$3:$A$113,MAX(1915,MIN(2025,E20))),SUMIFS(Donnees_generations!$V$3:$V$113,Donnees_generations!$A$3:$A$113,MAX(1915,MIN(2025,E20))),SUMIFS(Donnees_generations!$W$3:$W$113,Donnees_generations!$A$3:$A$113,MAX(1915,MIN(2025,E20))),SUMIFS(Donnees_generations!$X$3:$X$113,Donnees_generations!$A$3:$A$113,MAX(1915,MIN(2025,E20))),SUMIFS(Donnees_generations!$Y$3:$Y$113,Donnees_generations!$A$3:$A$113,MAX(1915,MIN(2025,E20))),SUMIFS(Donnees_generations!$Z$3:$Z$113,Donnees_generations!$A$3:$A$113,MAX(1915,MIN(2025,E20))),SUMIFS(Donnees_generations!$AA$3:$AA$113,Donnees_generations!$A$3:$A$113,MAX(1915,MIN(2025,E20))),SUMIFS(Donnees_generations!$AB$3:$AB$113,Donnees_generations!$A$3:$A$113,MAX(1915,MIN(2025,E20))))+CHOOSE((AG20-56)/2+1,SUMIFS(Donnees_generations!$AC$3:$AC$113,Donnees_generations!$A$3:$A$113,MAX(1915,MIN(2025,E20))),SUMIFS(Donnees_generations!$AD$3:$AD$113,Donnees_generations!$A$3:$A$113,MAX(1915,MIN(2025,E20))),SUMIFS(Donnees_generations!$AE$3:$AE$113,Donnees_generations!$A$3:$A$113,MAX(1915,MIN(2025,E20))),SUMIFS(Donnees_generations!$AF$3:$AF$113,Donnees_generations!$A$3:$A$113,MAX(1915,MIN(2025,E20))),SUMIFS(Donnees_generations!$AG$3:$AG$113,Donnees_generations!$A$3:$A$113,MAX(1915,MIN(2025,E20))),SUMIFS(Donnees_generations!$AH$3:$AH$113,Donnees_generations!$A$3:$A$113,MAX(1915,MIN(2025,E20))),SUMIFS(Donnees_generations!$AI$3:$AI$113,Donnees_generations!$A$3:$A$113,MAX(1915,MIN(2025,E20))),SUMIFS(Donnees_generations!$AJ$3:$AJ$113,Donnees_generations!$A$3:$A$113,MAX(1915,MIN(2025,E20)))))/2</f>
        <v/>
      </c>
      <c r="AI20" s="75">
        <f>(CHOOSE(((AG20+2)-56)/2+1,SUMIFS(Donnees_generations!$U$3:$U$113,Donnees_generations!$A$3:$A$113,MAX(1915,MIN(2025,E20))),SUMIFS(Donnees_generations!$V$3:$V$113,Donnees_generations!$A$3:$A$113,MAX(1915,MIN(2025,E20))),SUMIFS(Donnees_generations!$W$3:$W$113,Donnees_generations!$A$3:$A$113,MAX(1915,MIN(2025,E20))),SUMIFS(Donnees_generations!$X$3:$X$113,Donnees_generations!$A$3:$A$113,MAX(1915,MIN(2025,E20))),SUMIFS(Donnees_generations!$Y$3:$Y$113,Donnees_generations!$A$3:$A$113,MAX(1915,MIN(2025,E20))),SUMIFS(Donnees_generations!$Z$3:$Z$113,Donnees_generations!$A$3:$A$113,MAX(1915,MIN(2025,E20))),SUMIFS(Donnees_generations!$AA$3:$AA$113,Donnees_generations!$A$3:$A$113,MAX(1915,MIN(2025,E20))),SUMIFS(Donnees_generations!$AB$3:$AB$113,Donnees_generations!$A$3:$A$113,MAX(1915,MIN(2025,E20))))+CHOOSE(((AG20+2)-56)/2+1,SUMIFS(Donnees_generations!$AC$3:$AC$113,Donnees_generations!$A$3:$A$113,MAX(1915,MIN(2025,E20))),SUMIFS(Donnees_generations!$AD$3:$AD$113,Donnees_generations!$A$3:$A$113,MAX(1915,MIN(2025,E20))),SUMIFS(Donnees_generations!$AE$3:$AE$113,Donnees_generations!$A$3:$A$113,MAX(1915,MIN(2025,E20))),SUMIFS(Donnees_generations!$AF$3:$AF$113,Donnees_generations!$A$3:$A$113,MAX(1915,MIN(2025,E20))),SUMIFS(Donnees_generations!$AG$3:$AG$113,Donnees_generations!$A$3:$A$113,MAX(1915,MIN(2025,E20))),SUMIFS(Donnees_generations!$AH$3:$AH$113,Donnees_generations!$A$3:$A$113,MAX(1915,MIN(2025,E20))),SUMIFS(Donnees_generations!$AI$3:$AI$113,Donnees_generations!$A$3:$A$113,MAX(1915,MIN(2025,E20))),SUMIFS(Donnees_generations!$AJ$3:$AJ$113,Donnees_generations!$A$3:$A$113,MAX(1915,MIN(2025,E20)))))/2</f>
        <v/>
      </c>
      <c r="AJ20" s="8">
        <f>MAX(0,AH20+(AI20-AH20)*(K20-AG20)/2)</f>
        <v/>
      </c>
      <c r="AK20" s="8">
        <f>K20+AJ20</f>
        <v/>
      </c>
      <c r="AL20" s="14">
        <f>AE20*AJ20</f>
        <v/>
      </c>
      <c r="AM20" s="17">
        <f>V20/AL20</f>
        <v/>
      </c>
      <c r="AN20" s="17">
        <f>Z20/AL20</f>
        <v/>
      </c>
      <c r="AO20" s="33">
        <f>IF(V20+Z20=0,0,Z20/(V20+Z20))</f>
        <v/>
      </c>
      <c r="AP20" s="14">
        <f>AL20/V20*100</f>
        <v/>
      </c>
      <c r="AQ20" s="8">
        <f>P20/AL20*1000</f>
        <v/>
      </c>
      <c r="AR20" s="77">
        <f>MAX(N20,M20-1)</f>
        <v/>
      </c>
      <c r="AS20" s="14">
        <f>SUMIFS(Donnees_regimes!$R$3:$R$1118,Donnees_regimes!$A$3:$A$1118,C20,Donnees_regimes!$B$3:$B$1118,"&gt;="&amp;G20,Donnees_regimes!$B$3:$B$1118,"&lt;="&amp;N20)*L20/ROUNDUP(L20,0)*SUMIFS(Donnees_annuelles!$AG$3:$AG$188,Donnees_annuelles!$A$3:$A$188,AR20)*SUMIFS(Donnees_annuelles!$AA$3:$AA$188,Donnees_annuelles!$A$3:$A$188,AR20)</f>
        <v/>
      </c>
      <c r="AT20" s="36">
        <f>AS20/V20</f>
        <v/>
      </c>
      <c r="AU20" s="14">
        <f>AL20</f>
        <v/>
      </c>
      <c r="AV20" s="39">
        <f>AS20-AL20</f>
        <v/>
      </c>
      <c r="AW20" s="9">
        <f>AS20/AL20-1</f>
        <v/>
      </c>
      <c r="AX20" s="14">
        <f>AS20/AJ20/12</f>
        <v/>
      </c>
      <c r="AY20" s="14">
        <f>AF20</f>
        <v/>
      </c>
      <c r="AZ20" s="39">
        <f>AX20-AF20</f>
        <v/>
      </c>
      <c r="BA20" s="14">
        <f>SUMIFS(Donnees_regimes!$S$3:$S$1118,Donnees_regimes!$A$3:$A$1118,C20,Donnees_regimes!$B$3:$B$1118,"&gt;="&amp;G20,Donnees_regimes!$B$3:$B$1118,"&lt;="&amp;N20)*L20/ROUNDUP(L20,0)*SUMIFS(Donnees_annuelles!$AH$3:$AH$188,Donnees_annuelles!$A$3:$A$188,AR20)*SUMIFS(Donnees_annuelles!$AA$3:$AA$188,Donnees_annuelles!$A$3:$A$188,AR20)</f>
        <v/>
      </c>
      <c r="BB20" s="39">
        <f>BA20-AL20</f>
        <v/>
      </c>
      <c r="BC20" s="7">
        <f>IF(M20+AJ20&gt;2026,IF(G20&gt;2026,"entièrement projeté","en partie projeté"),"observé")</f>
        <v/>
      </c>
    </row>
    <row r="21">
      <c r="A21" s="7" t="inlineStr">
        <is>
          <t>Baby-boomers</t>
        </is>
      </c>
      <c r="B21" s="84" t="inlineStr">
        <is>
          <t>Privé</t>
        </is>
      </c>
      <c r="C21" s="7">
        <f>IF(G21&gt;=SUMIFS(Regimes!$C$5:$C$10,Regimes!$A$5:$A$10,B21),"Privé",B21)</f>
        <v/>
      </c>
      <c r="D21" s="7">
        <f>INDEX(Regimes!$D$5:$D$10,MATCH(C21,Regimes!$A$5:$A$10,0))</f>
        <v/>
      </c>
      <c r="E21" s="88" t="n">
        <v>1946</v>
      </c>
      <c r="F21" s="8">
        <f>Donnees_generations!C34</f>
        <v/>
      </c>
      <c r="G21" s="77">
        <f>Donnees_generations!D34</f>
        <v/>
      </c>
      <c r="H21" s="8">
        <f>SUMIFS(Donnees_generations!$S$3:$S$113,Donnees_generations!$A$3:$A$113,MAX(1915,MIN(2025,E21)))</f>
        <v/>
      </c>
      <c r="I21" s="8">
        <f>SUMIFS(Donnees_generations!$T$3:$T$113,Donnees_generations!$A$3:$A$113,MAX(1915,MIN(2025,E21)))</f>
        <v/>
      </c>
      <c r="J21" s="8">
        <f>IF(G21&gt;=2000,MAX(I21,Parametres!$B$3),I21)</f>
        <v/>
      </c>
      <c r="K21" s="8">
        <f>IF(C21="Privé",J21,SUMIFS(Regles_regimes!$J$3:$J$2000,Regles_regimes!$A$3:$A$2000,C21,Regles_regimes!$B$3:$B$2000,D21,Regles_regimes!$C$3:$C$2000,MAX(1915,MIN(2025,E21))))</f>
        <v/>
      </c>
      <c r="L21" s="8">
        <f>IF(C21="Privé",H21,(K21-F21)*H21/(J21-F21))</f>
        <v/>
      </c>
      <c r="M21" s="77">
        <f>INT(E21+K21)</f>
        <v/>
      </c>
      <c r="N21" s="77">
        <f>G21+ROUNDUP(L21,0)-1</f>
        <v/>
      </c>
      <c r="O21" s="89">
        <f>SUMIFS(Regles_regimes!$K$3:$K$2000,Regles_regimes!$A$3:$A$2000,C21,Regles_regimes!$B$3:$B$2000,D21,Regles_regimes!$C$3:$C$2000,MAX(1915,MIN(2025,E21)))</f>
        <v/>
      </c>
      <c r="P21" s="13">
        <f>SUMIFS(Donnees_annuelles!$W$3:$W$188,Donnees_annuelles!$A$3:$A$188,"&gt;="&amp;G21,Donnees_annuelles!$A$3:$A$188,"&lt;="&amp;N21)*L21/ROUNDUP(L21,0)*O21</f>
        <v/>
      </c>
      <c r="Q21" s="13">
        <f>SUMIFS(Donnees_annuelles!$V$3:$V$188,Donnees_annuelles!$A$3:$A$188,"&gt;="&amp;G21,Donnees_annuelles!$A$3:$A$188,"&lt;="&amp;N21)*L21/ROUNDUP(L21,0)</f>
        <v/>
      </c>
      <c r="R21" s="13">
        <f>P21/L21</f>
        <v/>
      </c>
      <c r="S21" s="14">
        <f>SUMIFS(Donnees_annuelles!$D$3:$D$188,Donnees_annuelles!$A$3:$A$188,"&gt;="&amp;G21,Donnees_annuelles!$A$3:$A$188,"&lt;="&amp;N21)*L21/ROUNDUP(L21,0)</f>
        <v/>
      </c>
      <c r="T21" s="14">
        <f>SUMIFS(Donnees_regimes!$N$3:$N$1118,Donnees_regimes!$A$3:$A$1118,C21,Donnees_regimes!$B$3:$B$1118,"&gt;="&amp;G21,Donnees_regimes!$B$3:$B$1118,"&lt;="&amp;N21)*L21/ROUNDUP(L21,0)</f>
        <v/>
      </c>
      <c r="U21" s="14">
        <f>SUMIFS(Donnees_regimes!$O$3:$O$1118,Donnees_regimes!$A$3:$A$1118,C21,Donnees_regimes!$B$3:$B$1118,"&gt;="&amp;G21,Donnees_regimes!$B$3:$B$1118,"&lt;="&amp;N21)*L21/ROUNDUP(L21,0)</f>
        <v/>
      </c>
      <c r="V21" s="14">
        <f>T21+U21</f>
        <v/>
      </c>
      <c r="W21" s="33">
        <f>V21/S21</f>
        <v/>
      </c>
      <c r="X21" s="14">
        <f>S21+U21</f>
        <v/>
      </c>
      <c r="Y21" s="17">
        <f>V21/P21</f>
        <v/>
      </c>
      <c r="Z21" s="14">
        <f>SUMIFS(Donnees_regimes!$Q$3:$Q$1118,Donnees_regimes!$A$3:$A$1118,C21,Donnees_regimes!$B$3:$B$1118,"&gt;="&amp;G21,Donnees_regimes!$B$3:$B$1118,"&lt;="&amp;N21)*L21/ROUNDUP(L21,0)</f>
        <v/>
      </c>
      <c r="AA21" s="77">
        <f>SUMIFS(Regles_regimes!$F$3:$F$2000,Regles_regimes!$A$3:$A$2000,C21,Regles_regimes!$B$3:$B$2000,D21,Regles_regimes!$C$3:$C$2000,MAX(1915,MIN(2025,E21)))</f>
        <v/>
      </c>
      <c r="AB21" s="77">
        <f>IF(AND(SUMIFS(Regles_regimes!$L$3:$L$2000,Regles_regimes!$A$3:$A$2000,C21,Regles_regimes!$B$3:$B$2000,D21,Regles_regimes!$C$3:$C$2000,MAX(1915,MIN(2025,E21)))=1,G21&lt;2009,C21&lt;&gt;"Privé"),MIN(20,L21*4/5),0)</f>
        <v/>
      </c>
      <c r="AC21" s="89">
        <f>SUMIFS(Donnees_regimes!$M$3:$M$1118,Donnees_regimes!$A$3:$A$1118,C21,Donnees_regimes!$B$3:$B$1118,M21)</f>
        <v/>
      </c>
      <c r="AD21" s="14">
        <f>SUMIFS(Donnees_annuelles!$Y$3:$Y$188,Donnees_annuelles!$A$3:$A$188,M21)*SUMIFS(Donnees_generations!$I$3:$I$113,Donnees_generations!$A$3:$A$113,MAX(1915,MIN(2025,E21)))/H21</f>
        <v/>
      </c>
      <c r="AE21" s="14">
        <f>IF(C21="Privé",SUMIFS(Donnees_annuelles!$Y$3:$Y$188,Donnees_annuelles!$A$3:$A$188,M21)*MIN(L21,SUMIFS(Donnees_generations!$I$3:$I$113,Donnees_generations!$A$3:$A$113,MAX(1915,MIN(2025,E21))))/L21,AD21*AC21*MIN(IF(AB21&gt;0,0.8/0.75,1),(L21*4+AB21)/AA21))</f>
        <v/>
      </c>
      <c r="AF21" s="14">
        <f>AE21/12</f>
        <v/>
      </c>
      <c r="AG21" s="77">
        <f>MIN(68,MAX(56,2*INT(K21/2)))</f>
        <v/>
      </c>
      <c r="AH21" s="75">
        <f>(CHOOSE((AG21-56)/2+1,SUMIFS(Donnees_generations!$U$3:$U$113,Donnees_generations!$A$3:$A$113,MAX(1915,MIN(2025,E21))),SUMIFS(Donnees_generations!$V$3:$V$113,Donnees_generations!$A$3:$A$113,MAX(1915,MIN(2025,E21))),SUMIFS(Donnees_generations!$W$3:$W$113,Donnees_generations!$A$3:$A$113,MAX(1915,MIN(2025,E21))),SUMIFS(Donnees_generations!$X$3:$X$113,Donnees_generations!$A$3:$A$113,MAX(1915,MIN(2025,E21))),SUMIFS(Donnees_generations!$Y$3:$Y$113,Donnees_generations!$A$3:$A$113,MAX(1915,MIN(2025,E21))),SUMIFS(Donnees_generations!$Z$3:$Z$113,Donnees_generations!$A$3:$A$113,MAX(1915,MIN(2025,E21))),SUMIFS(Donnees_generations!$AA$3:$AA$113,Donnees_generations!$A$3:$A$113,MAX(1915,MIN(2025,E21))),SUMIFS(Donnees_generations!$AB$3:$AB$113,Donnees_generations!$A$3:$A$113,MAX(1915,MIN(2025,E21))))+CHOOSE((AG21-56)/2+1,SUMIFS(Donnees_generations!$AC$3:$AC$113,Donnees_generations!$A$3:$A$113,MAX(1915,MIN(2025,E21))),SUMIFS(Donnees_generations!$AD$3:$AD$113,Donnees_generations!$A$3:$A$113,MAX(1915,MIN(2025,E21))),SUMIFS(Donnees_generations!$AE$3:$AE$113,Donnees_generations!$A$3:$A$113,MAX(1915,MIN(2025,E21))),SUMIFS(Donnees_generations!$AF$3:$AF$113,Donnees_generations!$A$3:$A$113,MAX(1915,MIN(2025,E21))),SUMIFS(Donnees_generations!$AG$3:$AG$113,Donnees_generations!$A$3:$A$113,MAX(1915,MIN(2025,E21))),SUMIFS(Donnees_generations!$AH$3:$AH$113,Donnees_generations!$A$3:$A$113,MAX(1915,MIN(2025,E21))),SUMIFS(Donnees_generations!$AI$3:$AI$113,Donnees_generations!$A$3:$A$113,MAX(1915,MIN(2025,E21))),SUMIFS(Donnees_generations!$AJ$3:$AJ$113,Donnees_generations!$A$3:$A$113,MAX(1915,MIN(2025,E21)))))/2</f>
        <v/>
      </c>
      <c r="AI21" s="75">
        <f>(CHOOSE(((AG21+2)-56)/2+1,SUMIFS(Donnees_generations!$U$3:$U$113,Donnees_generations!$A$3:$A$113,MAX(1915,MIN(2025,E21))),SUMIFS(Donnees_generations!$V$3:$V$113,Donnees_generations!$A$3:$A$113,MAX(1915,MIN(2025,E21))),SUMIFS(Donnees_generations!$W$3:$W$113,Donnees_generations!$A$3:$A$113,MAX(1915,MIN(2025,E21))),SUMIFS(Donnees_generations!$X$3:$X$113,Donnees_generations!$A$3:$A$113,MAX(1915,MIN(2025,E21))),SUMIFS(Donnees_generations!$Y$3:$Y$113,Donnees_generations!$A$3:$A$113,MAX(1915,MIN(2025,E21))),SUMIFS(Donnees_generations!$Z$3:$Z$113,Donnees_generations!$A$3:$A$113,MAX(1915,MIN(2025,E21))),SUMIFS(Donnees_generations!$AA$3:$AA$113,Donnees_generations!$A$3:$A$113,MAX(1915,MIN(2025,E21))),SUMIFS(Donnees_generations!$AB$3:$AB$113,Donnees_generations!$A$3:$A$113,MAX(1915,MIN(2025,E21))))+CHOOSE(((AG21+2)-56)/2+1,SUMIFS(Donnees_generations!$AC$3:$AC$113,Donnees_generations!$A$3:$A$113,MAX(1915,MIN(2025,E21))),SUMIFS(Donnees_generations!$AD$3:$AD$113,Donnees_generations!$A$3:$A$113,MAX(1915,MIN(2025,E21))),SUMIFS(Donnees_generations!$AE$3:$AE$113,Donnees_generations!$A$3:$A$113,MAX(1915,MIN(2025,E21))),SUMIFS(Donnees_generations!$AF$3:$AF$113,Donnees_generations!$A$3:$A$113,MAX(1915,MIN(2025,E21))),SUMIFS(Donnees_generations!$AG$3:$AG$113,Donnees_generations!$A$3:$A$113,MAX(1915,MIN(2025,E21))),SUMIFS(Donnees_generations!$AH$3:$AH$113,Donnees_generations!$A$3:$A$113,MAX(1915,MIN(2025,E21))),SUMIFS(Donnees_generations!$AI$3:$AI$113,Donnees_generations!$A$3:$A$113,MAX(1915,MIN(2025,E21))),SUMIFS(Donnees_generations!$AJ$3:$AJ$113,Donnees_generations!$A$3:$A$113,MAX(1915,MIN(2025,E21)))))/2</f>
        <v/>
      </c>
      <c r="AJ21" s="8">
        <f>MAX(0,AH21+(AI21-AH21)*(K21-AG21)/2)</f>
        <v/>
      </c>
      <c r="AK21" s="8">
        <f>K21+AJ21</f>
        <v/>
      </c>
      <c r="AL21" s="14">
        <f>AE21*AJ21</f>
        <v/>
      </c>
      <c r="AM21" s="17">
        <f>V21/AL21</f>
        <v/>
      </c>
      <c r="AN21" s="17">
        <f>Z21/AL21</f>
        <v/>
      </c>
      <c r="AO21" s="33">
        <f>IF(V21+Z21=0,0,Z21/(V21+Z21))</f>
        <v/>
      </c>
      <c r="AP21" s="14">
        <f>AL21/V21*100</f>
        <v/>
      </c>
      <c r="AQ21" s="8">
        <f>P21/AL21*1000</f>
        <v/>
      </c>
      <c r="AR21" s="77">
        <f>MAX(N21,M21-1)</f>
        <v/>
      </c>
      <c r="AS21" s="14">
        <f>SUMIFS(Donnees_regimes!$R$3:$R$1118,Donnees_regimes!$A$3:$A$1118,C21,Donnees_regimes!$B$3:$B$1118,"&gt;="&amp;G21,Donnees_regimes!$B$3:$B$1118,"&lt;="&amp;N21)*L21/ROUNDUP(L21,0)*SUMIFS(Donnees_annuelles!$AG$3:$AG$188,Donnees_annuelles!$A$3:$A$188,AR21)*SUMIFS(Donnees_annuelles!$AA$3:$AA$188,Donnees_annuelles!$A$3:$A$188,AR21)</f>
        <v/>
      </c>
      <c r="AT21" s="36">
        <f>AS21/V21</f>
        <v/>
      </c>
      <c r="AU21" s="14">
        <f>AL21</f>
        <v/>
      </c>
      <c r="AV21" s="39">
        <f>AS21-AL21</f>
        <v/>
      </c>
      <c r="AW21" s="9">
        <f>AS21/AL21-1</f>
        <v/>
      </c>
      <c r="AX21" s="14">
        <f>AS21/AJ21/12</f>
        <v/>
      </c>
      <c r="AY21" s="14">
        <f>AF21</f>
        <v/>
      </c>
      <c r="AZ21" s="39">
        <f>AX21-AF21</f>
        <v/>
      </c>
      <c r="BA21" s="14">
        <f>SUMIFS(Donnees_regimes!$S$3:$S$1118,Donnees_regimes!$A$3:$A$1118,C21,Donnees_regimes!$B$3:$B$1118,"&gt;="&amp;G21,Donnees_regimes!$B$3:$B$1118,"&lt;="&amp;N21)*L21/ROUNDUP(L21,0)*SUMIFS(Donnees_annuelles!$AH$3:$AH$188,Donnees_annuelles!$A$3:$A$188,AR21)*SUMIFS(Donnees_annuelles!$AA$3:$AA$188,Donnees_annuelles!$A$3:$A$188,AR21)</f>
        <v/>
      </c>
      <c r="BB21" s="39">
        <f>BA21-AL21</f>
        <v/>
      </c>
      <c r="BC21" s="7">
        <f>IF(M21+AJ21&gt;2026,IF(G21&gt;2026,"entièrement projeté","en partie projeté"),"observé")</f>
        <v/>
      </c>
    </row>
    <row r="22">
      <c r="A22" s="7" t="inlineStr">
        <is>
          <t>Baby-boomers</t>
        </is>
      </c>
      <c r="B22" s="84" t="inlineStr">
        <is>
          <t>Privé</t>
        </is>
      </c>
      <c r="C22" s="7">
        <f>IF(G22&gt;=SUMIFS(Regimes!$C$5:$C$10,Regimes!$A$5:$A$10,B22),"Privé",B22)</f>
        <v/>
      </c>
      <c r="D22" s="7">
        <f>INDEX(Regimes!$D$5:$D$10,MATCH(C22,Regimes!$A$5:$A$10,0))</f>
        <v/>
      </c>
      <c r="E22" s="88" t="n">
        <v>1947</v>
      </c>
      <c r="F22" s="8">
        <f>Donnees_generations!C35</f>
        <v/>
      </c>
      <c r="G22" s="77">
        <f>Donnees_generations!D35</f>
        <v/>
      </c>
      <c r="H22" s="8">
        <f>SUMIFS(Donnees_generations!$S$3:$S$113,Donnees_generations!$A$3:$A$113,MAX(1915,MIN(2025,E22)))</f>
        <v/>
      </c>
      <c r="I22" s="8">
        <f>SUMIFS(Donnees_generations!$T$3:$T$113,Donnees_generations!$A$3:$A$113,MAX(1915,MIN(2025,E22)))</f>
        <v/>
      </c>
      <c r="J22" s="8">
        <f>IF(G22&gt;=2000,MAX(I22,Parametres!$B$3),I22)</f>
        <v/>
      </c>
      <c r="K22" s="8">
        <f>IF(C22="Privé",J22,SUMIFS(Regles_regimes!$J$3:$J$2000,Regles_regimes!$A$3:$A$2000,C22,Regles_regimes!$B$3:$B$2000,D22,Regles_regimes!$C$3:$C$2000,MAX(1915,MIN(2025,E22))))</f>
        <v/>
      </c>
      <c r="L22" s="8">
        <f>IF(C22="Privé",H22,(K22-F22)*H22/(J22-F22))</f>
        <v/>
      </c>
      <c r="M22" s="77">
        <f>INT(E22+K22)</f>
        <v/>
      </c>
      <c r="N22" s="77">
        <f>G22+ROUNDUP(L22,0)-1</f>
        <v/>
      </c>
      <c r="O22" s="89">
        <f>SUMIFS(Regles_regimes!$K$3:$K$2000,Regles_regimes!$A$3:$A$2000,C22,Regles_regimes!$B$3:$B$2000,D22,Regles_regimes!$C$3:$C$2000,MAX(1915,MIN(2025,E22)))</f>
        <v/>
      </c>
      <c r="P22" s="13">
        <f>SUMIFS(Donnees_annuelles!$W$3:$W$188,Donnees_annuelles!$A$3:$A$188,"&gt;="&amp;G22,Donnees_annuelles!$A$3:$A$188,"&lt;="&amp;N22)*L22/ROUNDUP(L22,0)*O22</f>
        <v/>
      </c>
      <c r="Q22" s="13">
        <f>SUMIFS(Donnees_annuelles!$V$3:$V$188,Donnees_annuelles!$A$3:$A$188,"&gt;="&amp;G22,Donnees_annuelles!$A$3:$A$188,"&lt;="&amp;N22)*L22/ROUNDUP(L22,0)</f>
        <v/>
      </c>
      <c r="R22" s="13">
        <f>P22/L22</f>
        <v/>
      </c>
      <c r="S22" s="14">
        <f>SUMIFS(Donnees_annuelles!$D$3:$D$188,Donnees_annuelles!$A$3:$A$188,"&gt;="&amp;G22,Donnees_annuelles!$A$3:$A$188,"&lt;="&amp;N22)*L22/ROUNDUP(L22,0)</f>
        <v/>
      </c>
      <c r="T22" s="14">
        <f>SUMIFS(Donnees_regimes!$N$3:$N$1118,Donnees_regimes!$A$3:$A$1118,C22,Donnees_regimes!$B$3:$B$1118,"&gt;="&amp;G22,Donnees_regimes!$B$3:$B$1118,"&lt;="&amp;N22)*L22/ROUNDUP(L22,0)</f>
        <v/>
      </c>
      <c r="U22" s="14">
        <f>SUMIFS(Donnees_regimes!$O$3:$O$1118,Donnees_regimes!$A$3:$A$1118,C22,Donnees_regimes!$B$3:$B$1118,"&gt;="&amp;G22,Donnees_regimes!$B$3:$B$1118,"&lt;="&amp;N22)*L22/ROUNDUP(L22,0)</f>
        <v/>
      </c>
      <c r="V22" s="14">
        <f>T22+U22</f>
        <v/>
      </c>
      <c r="W22" s="33">
        <f>V22/S22</f>
        <v/>
      </c>
      <c r="X22" s="14">
        <f>S22+U22</f>
        <v/>
      </c>
      <c r="Y22" s="17">
        <f>V22/P22</f>
        <v/>
      </c>
      <c r="Z22" s="14">
        <f>SUMIFS(Donnees_regimes!$Q$3:$Q$1118,Donnees_regimes!$A$3:$A$1118,C22,Donnees_regimes!$B$3:$B$1118,"&gt;="&amp;G22,Donnees_regimes!$B$3:$B$1118,"&lt;="&amp;N22)*L22/ROUNDUP(L22,0)</f>
        <v/>
      </c>
      <c r="AA22" s="77">
        <f>SUMIFS(Regles_regimes!$F$3:$F$2000,Regles_regimes!$A$3:$A$2000,C22,Regles_regimes!$B$3:$B$2000,D22,Regles_regimes!$C$3:$C$2000,MAX(1915,MIN(2025,E22)))</f>
        <v/>
      </c>
      <c r="AB22" s="77">
        <f>IF(AND(SUMIFS(Regles_regimes!$L$3:$L$2000,Regles_regimes!$A$3:$A$2000,C22,Regles_regimes!$B$3:$B$2000,D22,Regles_regimes!$C$3:$C$2000,MAX(1915,MIN(2025,E22)))=1,G22&lt;2009,C22&lt;&gt;"Privé"),MIN(20,L22*4/5),0)</f>
        <v/>
      </c>
      <c r="AC22" s="89">
        <f>SUMIFS(Donnees_regimes!$M$3:$M$1118,Donnees_regimes!$A$3:$A$1118,C22,Donnees_regimes!$B$3:$B$1118,M22)</f>
        <v/>
      </c>
      <c r="AD22" s="14">
        <f>SUMIFS(Donnees_annuelles!$Y$3:$Y$188,Donnees_annuelles!$A$3:$A$188,M22)*SUMIFS(Donnees_generations!$I$3:$I$113,Donnees_generations!$A$3:$A$113,MAX(1915,MIN(2025,E22)))/H22</f>
        <v/>
      </c>
      <c r="AE22" s="14">
        <f>IF(C22="Privé",SUMIFS(Donnees_annuelles!$Y$3:$Y$188,Donnees_annuelles!$A$3:$A$188,M22)*MIN(L22,SUMIFS(Donnees_generations!$I$3:$I$113,Donnees_generations!$A$3:$A$113,MAX(1915,MIN(2025,E22))))/L22,AD22*AC22*MIN(IF(AB22&gt;0,0.8/0.75,1),(L22*4+AB22)/AA22))</f>
        <v/>
      </c>
      <c r="AF22" s="14">
        <f>AE22/12</f>
        <v/>
      </c>
      <c r="AG22" s="77">
        <f>MIN(68,MAX(56,2*INT(K22/2)))</f>
        <v/>
      </c>
      <c r="AH22" s="75">
        <f>(CHOOSE((AG22-56)/2+1,SUMIFS(Donnees_generations!$U$3:$U$113,Donnees_generations!$A$3:$A$113,MAX(1915,MIN(2025,E22))),SUMIFS(Donnees_generations!$V$3:$V$113,Donnees_generations!$A$3:$A$113,MAX(1915,MIN(2025,E22))),SUMIFS(Donnees_generations!$W$3:$W$113,Donnees_generations!$A$3:$A$113,MAX(1915,MIN(2025,E22))),SUMIFS(Donnees_generations!$X$3:$X$113,Donnees_generations!$A$3:$A$113,MAX(1915,MIN(2025,E22))),SUMIFS(Donnees_generations!$Y$3:$Y$113,Donnees_generations!$A$3:$A$113,MAX(1915,MIN(2025,E22))),SUMIFS(Donnees_generations!$Z$3:$Z$113,Donnees_generations!$A$3:$A$113,MAX(1915,MIN(2025,E22))),SUMIFS(Donnees_generations!$AA$3:$AA$113,Donnees_generations!$A$3:$A$113,MAX(1915,MIN(2025,E22))),SUMIFS(Donnees_generations!$AB$3:$AB$113,Donnees_generations!$A$3:$A$113,MAX(1915,MIN(2025,E22))))+CHOOSE((AG22-56)/2+1,SUMIFS(Donnees_generations!$AC$3:$AC$113,Donnees_generations!$A$3:$A$113,MAX(1915,MIN(2025,E22))),SUMIFS(Donnees_generations!$AD$3:$AD$113,Donnees_generations!$A$3:$A$113,MAX(1915,MIN(2025,E22))),SUMIFS(Donnees_generations!$AE$3:$AE$113,Donnees_generations!$A$3:$A$113,MAX(1915,MIN(2025,E22))),SUMIFS(Donnees_generations!$AF$3:$AF$113,Donnees_generations!$A$3:$A$113,MAX(1915,MIN(2025,E22))),SUMIFS(Donnees_generations!$AG$3:$AG$113,Donnees_generations!$A$3:$A$113,MAX(1915,MIN(2025,E22))),SUMIFS(Donnees_generations!$AH$3:$AH$113,Donnees_generations!$A$3:$A$113,MAX(1915,MIN(2025,E22))),SUMIFS(Donnees_generations!$AI$3:$AI$113,Donnees_generations!$A$3:$A$113,MAX(1915,MIN(2025,E22))),SUMIFS(Donnees_generations!$AJ$3:$AJ$113,Donnees_generations!$A$3:$A$113,MAX(1915,MIN(2025,E22)))))/2</f>
        <v/>
      </c>
      <c r="AI22" s="75">
        <f>(CHOOSE(((AG22+2)-56)/2+1,SUMIFS(Donnees_generations!$U$3:$U$113,Donnees_generations!$A$3:$A$113,MAX(1915,MIN(2025,E22))),SUMIFS(Donnees_generations!$V$3:$V$113,Donnees_generations!$A$3:$A$113,MAX(1915,MIN(2025,E22))),SUMIFS(Donnees_generations!$W$3:$W$113,Donnees_generations!$A$3:$A$113,MAX(1915,MIN(2025,E22))),SUMIFS(Donnees_generations!$X$3:$X$113,Donnees_generations!$A$3:$A$113,MAX(1915,MIN(2025,E22))),SUMIFS(Donnees_generations!$Y$3:$Y$113,Donnees_generations!$A$3:$A$113,MAX(1915,MIN(2025,E22))),SUMIFS(Donnees_generations!$Z$3:$Z$113,Donnees_generations!$A$3:$A$113,MAX(1915,MIN(2025,E22))),SUMIFS(Donnees_generations!$AA$3:$AA$113,Donnees_generations!$A$3:$A$113,MAX(1915,MIN(2025,E22))),SUMIFS(Donnees_generations!$AB$3:$AB$113,Donnees_generations!$A$3:$A$113,MAX(1915,MIN(2025,E22))))+CHOOSE(((AG22+2)-56)/2+1,SUMIFS(Donnees_generations!$AC$3:$AC$113,Donnees_generations!$A$3:$A$113,MAX(1915,MIN(2025,E22))),SUMIFS(Donnees_generations!$AD$3:$AD$113,Donnees_generations!$A$3:$A$113,MAX(1915,MIN(2025,E22))),SUMIFS(Donnees_generations!$AE$3:$AE$113,Donnees_generations!$A$3:$A$113,MAX(1915,MIN(2025,E22))),SUMIFS(Donnees_generations!$AF$3:$AF$113,Donnees_generations!$A$3:$A$113,MAX(1915,MIN(2025,E22))),SUMIFS(Donnees_generations!$AG$3:$AG$113,Donnees_generations!$A$3:$A$113,MAX(1915,MIN(2025,E22))),SUMIFS(Donnees_generations!$AH$3:$AH$113,Donnees_generations!$A$3:$A$113,MAX(1915,MIN(2025,E22))),SUMIFS(Donnees_generations!$AI$3:$AI$113,Donnees_generations!$A$3:$A$113,MAX(1915,MIN(2025,E22))),SUMIFS(Donnees_generations!$AJ$3:$AJ$113,Donnees_generations!$A$3:$A$113,MAX(1915,MIN(2025,E22)))))/2</f>
        <v/>
      </c>
      <c r="AJ22" s="8">
        <f>MAX(0,AH22+(AI22-AH22)*(K22-AG22)/2)</f>
        <v/>
      </c>
      <c r="AK22" s="8">
        <f>K22+AJ22</f>
        <v/>
      </c>
      <c r="AL22" s="14">
        <f>AE22*AJ22</f>
        <v/>
      </c>
      <c r="AM22" s="17">
        <f>V22/AL22</f>
        <v/>
      </c>
      <c r="AN22" s="17">
        <f>Z22/AL22</f>
        <v/>
      </c>
      <c r="AO22" s="33">
        <f>IF(V22+Z22=0,0,Z22/(V22+Z22))</f>
        <v/>
      </c>
      <c r="AP22" s="14">
        <f>AL22/V22*100</f>
        <v/>
      </c>
      <c r="AQ22" s="8">
        <f>P22/AL22*1000</f>
        <v/>
      </c>
      <c r="AR22" s="77">
        <f>MAX(N22,M22-1)</f>
        <v/>
      </c>
      <c r="AS22" s="14">
        <f>SUMIFS(Donnees_regimes!$R$3:$R$1118,Donnees_regimes!$A$3:$A$1118,C22,Donnees_regimes!$B$3:$B$1118,"&gt;="&amp;G22,Donnees_regimes!$B$3:$B$1118,"&lt;="&amp;N22)*L22/ROUNDUP(L22,0)*SUMIFS(Donnees_annuelles!$AG$3:$AG$188,Donnees_annuelles!$A$3:$A$188,AR22)*SUMIFS(Donnees_annuelles!$AA$3:$AA$188,Donnees_annuelles!$A$3:$A$188,AR22)</f>
        <v/>
      </c>
      <c r="AT22" s="36">
        <f>AS22/V22</f>
        <v/>
      </c>
      <c r="AU22" s="14">
        <f>AL22</f>
        <v/>
      </c>
      <c r="AV22" s="39">
        <f>AS22-AL22</f>
        <v/>
      </c>
      <c r="AW22" s="9">
        <f>AS22/AL22-1</f>
        <v/>
      </c>
      <c r="AX22" s="14">
        <f>AS22/AJ22/12</f>
        <v/>
      </c>
      <c r="AY22" s="14">
        <f>AF22</f>
        <v/>
      </c>
      <c r="AZ22" s="39">
        <f>AX22-AF22</f>
        <v/>
      </c>
      <c r="BA22" s="14">
        <f>SUMIFS(Donnees_regimes!$S$3:$S$1118,Donnees_regimes!$A$3:$A$1118,C22,Donnees_regimes!$B$3:$B$1118,"&gt;="&amp;G22,Donnees_regimes!$B$3:$B$1118,"&lt;="&amp;N22)*L22/ROUNDUP(L22,0)*SUMIFS(Donnees_annuelles!$AH$3:$AH$188,Donnees_annuelles!$A$3:$A$188,AR22)*SUMIFS(Donnees_annuelles!$AA$3:$AA$188,Donnees_annuelles!$A$3:$A$188,AR22)</f>
        <v/>
      </c>
      <c r="BB22" s="39">
        <f>BA22-AL22</f>
        <v/>
      </c>
      <c r="BC22" s="7">
        <f>IF(M22+AJ22&gt;2026,IF(G22&gt;2026,"entièrement projeté","en partie projeté"),"observé")</f>
        <v/>
      </c>
    </row>
    <row r="23">
      <c r="A23" s="7" t="inlineStr">
        <is>
          <t>Baby-boomers</t>
        </is>
      </c>
      <c r="B23" s="84" t="inlineStr">
        <is>
          <t>Privé</t>
        </is>
      </c>
      <c r="C23" s="7">
        <f>IF(G23&gt;=SUMIFS(Regimes!$C$5:$C$10,Regimes!$A$5:$A$10,B23),"Privé",B23)</f>
        <v/>
      </c>
      <c r="D23" s="7">
        <f>INDEX(Regimes!$D$5:$D$10,MATCH(C23,Regimes!$A$5:$A$10,0))</f>
        <v/>
      </c>
      <c r="E23" s="88" t="n">
        <v>1948</v>
      </c>
      <c r="F23" s="8">
        <f>Donnees_generations!C36</f>
        <v/>
      </c>
      <c r="G23" s="77">
        <f>Donnees_generations!D36</f>
        <v/>
      </c>
      <c r="H23" s="8">
        <f>SUMIFS(Donnees_generations!$S$3:$S$113,Donnees_generations!$A$3:$A$113,MAX(1915,MIN(2025,E23)))</f>
        <v/>
      </c>
      <c r="I23" s="8">
        <f>SUMIFS(Donnees_generations!$T$3:$T$113,Donnees_generations!$A$3:$A$113,MAX(1915,MIN(2025,E23)))</f>
        <v/>
      </c>
      <c r="J23" s="8">
        <f>IF(G23&gt;=2000,MAX(I23,Parametres!$B$3),I23)</f>
        <v/>
      </c>
      <c r="K23" s="8">
        <f>IF(C23="Privé",J23,SUMIFS(Regles_regimes!$J$3:$J$2000,Regles_regimes!$A$3:$A$2000,C23,Regles_regimes!$B$3:$B$2000,D23,Regles_regimes!$C$3:$C$2000,MAX(1915,MIN(2025,E23))))</f>
        <v/>
      </c>
      <c r="L23" s="8">
        <f>IF(C23="Privé",H23,(K23-F23)*H23/(J23-F23))</f>
        <v/>
      </c>
      <c r="M23" s="77">
        <f>INT(E23+K23)</f>
        <v/>
      </c>
      <c r="N23" s="77">
        <f>G23+ROUNDUP(L23,0)-1</f>
        <v/>
      </c>
      <c r="O23" s="89">
        <f>SUMIFS(Regles_regimes!$K$3:$K$2000,Regles_regimes!$A$3:$A$2000,C23,Regles_regimes!$B$3:$B$2000,D23,Regles_regimes!$C$3:$C$2000,MAX(1915,MIN(2025,E23)))</f>
        <v/>
      </c>
      <c r="P23" s="13">
        <f>SUMIFS(Donnees_annuelles!$W$3:$W$188,Donnees_annuelles!$A$3:$A$188,"&gt;="&amp;G23,Donnees_annuelles!$A$3:$A$188,"&lt;="&amp;N23)*L23/ROUNDUP(L23,0)*O23</f>
        <v/>
      </c>
      <c r="Q23" s="13">
        <f>SUMIFS(Donnees_annuelles!$V$3:$V$188,Donnees_annuelles!$A$3:$A$188,"&gt;="&amp;G23,Donnees_annuelles!$A$3:$A$188,"&lt;="&amp;N23)*L23/ROUNDUP(L23,0)</f>
        <v/>
      </c>
      <c r="R23" s="13">
        <f>P23/L23</f>
        <v/>
      </c>
      <c r="S23" s="14">
        <f>SUMIFS(Donnees_annuelles!$D$3:$D$188,Donnees_annuelles!$A$3:$A$188,"&gt;="&amp;G23,Donnees_annuelles!$A$3:$A$188,"&lt;="&amp;N23)*L23/ROUNDUP(L23,0)</f>
        <v/>
      </c>
      <c r="T23" s="14">
        <f>SUMIFS(Donnees_regimes!$N$3:$N$1118,Donnees_regimes!$A$3:$A$1118,C23,Donnees_regimes!$B$3:$B$1118,"&gt;="&amp;G23,Donnees_regimes!$B$3:$B$1118,"&lt;="&amp;N23)*L23/ROUNDUP(L23,0)</f>
        <v/>
      </c>
      <c r="U23" s="14">
        <f>SUMIFS(Donnees_regimes!$O$3:$O$1118,Donnees_regimes!$A$3:$A$1118,C23,Donnees_regimes!$B$3:$B$1118,"&gt;="&amp;G23,Donnees_regimes!$B$3:$B$1118,"&lt;="&amp;N23)*L23/ROUNDUP(L23,0)</f>
        <v/>
      </c>
      <c r="V23" s="14">
        <f>T23+U23</f>
        <v/>
      </c>
      <c r="W23" s="33">
        <f>V23/S23</f>
        <v/>
      </c>
      <c r="X23" s="14">
        <f>S23+U23</f>
        <v/>
      </c>
      <c r="Y23" s="17">
        <f>V23/P23</f>
        <v/>
      </c>
      <c r="Z23" s="14">
        <f>SUMIFS(Donnees_regimes!$Q$3:$Q$1118,Donnees_regimes!$A$3:$A$1118,C23,Donnees_regimes!$B$3:$B$1118,"&gt;="&amp;G23,Donnees_regimes!$B$3:$B$1118,"&lt;="&amp;N23)*L23/ROUNDUP(L23,0)</f>
        <v/>
      </c>
      <c r="AA23" s="77">
        <f>SUMIFS(Regles_regimes!$F$3:$F$2000,Regles_regimes!$A$3:$A$2000,C23,Regles_regimes!$B$3:$B$2000,D23,Regles_regimes!$C$3:$C$2000,MAX(1915,MIN(2025,E23)))</f>
        <v/>
      </c>
      <c r="AB23" s="77">
        <f>IF(AND(SUMIFS(Regles_regimes!$L$3:$L$2000,Regles_regimes!$A$3:$A$2000,C23,Regles_regimes!$B$3:$B$2000,D23,Regles_regimes!$C$3:$C$2000,MAX(1915,MIN(2025,E23)))=1,G23&lt;2009,C23&lt;&gt;"Privé"),MIN(20,L23*4/5),0)</f>
        <v/>
      </c>
      <c r="AC23" s="89">
        <f>SUMIFS(Donnees_regimes!$M$3:$M$1118,Donnees_regimes!$A$3:$A$1118,C23,Donnees_regimes!$B$3:$B$1118,M23)</f>
        <v/>
      </c>
      <c r="AD23" s="14">
        <f>SUMIFS(Donnees_annuelles!$Y$3:$Y$188,Donnees_annuelles!$A$3:$A$188,M23)*SUMIFS(Donnees_generations!$I$3:$I$113,Donnees_generations!$A$3:$A$113,MAX(1915,MIN(2025,E23)))/H23</f>
        <v/>
      </c>
      <c r="AE23" s="14">
        <f>IF(C23="Privé",SUMIFS(Donnees_annuelles!$Y$3:$Y$188,Donnees_annuelles!$A$3:$A$188,M23)*MIN(L23,SUMIFS(Donnees_generations!$I$3:$I$113,Donnees_generations!$A$3:$A$113,MAX(1915,MIN(2025,E23))))/L23,AD23*AC23*MIN(IF(AB23&gt;0,0.8/0.75,1),(L23*4+AB23)/AA23))</f>
        <v/>
      </c>
      <c r="AF23" s="14">
        <f>AE23/12</f>
        <v/>
      </c>
      <c r="AG23" s="77">
        <f>MIN(68,MAX(56,2*INT(K23/2)))</f>
        <v/>
      </c>
      <c r="AH23" s="75">
        <f>(CHOOSE((AG23-56)/2+1,SUMIFS(Donnees_generations!$U$3:$U$113,Donnees_generations!$A$3:$A$113,MAX(1915,MIN(2025,E23))),SUMIFS(Donnees_generations!$V$3:$V$113,Donnees_generations!$A$3:$A$113,MAX(1915,MIN(2025,E23))),SUMIFS(Donnees_generations!$W$3:$W$113,Donnees_generations!$A$3:$A$113,MAX(1915,MIN(2025,E23))),SUMIFS(Donnees_generations!$X$3:$X$113,Donnees_generations!$A$3:$A$113,MAX(1915,MIN(2025,E23))),SUMIFS(Donnees_generations!$Y$3:$Y$113,Donnees_generations!$A$3:$A$113,MAX(1915,MIN(2025,E23))),SUMIFS(Donnees_generations!$Z$3:$Z$113,Donnees_generations!$A$3:$A$113,MAX(1915,MIN(2025,E23))),SUMIFS(Donnees_generations!$AA$3:$AA$113,Donnees_generations!$A$3:$A$113,MAX(1915,MIN(2025,E23))),SUMIFS(Donnees_generations!$AB$3:$AB$113,Donnees_generations!$A$3:$A$113,MAX(1915,MIN(2025,E23))))+CHOOSE((AG23-56)/2+1,SUMIFS(Donnees_generations!$AC$3:$AC$113,Donnees_generations!$A$3:$A$113,MAX(1915,MIN(2025,E23))),SUMIFS(Donnees_generations!$AD$3:$AD$113,Donnees_generations!$A$3:$A$113,MAX(1915,MIN(2025,E23))),SUMIFS(Donnees_generations!$AE$3:$AE$113,Donnees_generations!$A$3:$A$113,MAX(1915,MIN(2025,E23))),SUMIFS(Donnees_generations!$AF$3:$AF$113,Donnees_generations!$A$3:$A$113,MAX(1915,MIN(2025,E23))),SUMIFS(Donnees_generations!$AG$3:$AG$113,Donnees_generations!$A$3:$A$113,MAX(1915,MIN(2025,E23))),SUMIFS(Donnees_generations!$AH$3:$AH$113,Donnees_generations!$A$3:$A$113,MAX(1915,MIN(2025,E23))),SUMIFS(Donnees_generations!$AI$3:$AI$113,Donnees_generations!$A$3:$A$113,MAX(1915,MIN(2025,E23))),SUMIFS(Donnees_generations!$AJ$3:$AJ$113,Donnees_generations!$A$3:$A$113,MAX(1915,MIN(2025,E23)))))/2</f>
        <v/>
      </c>
      <c r="AI23" s="75">
        <f>(CHOOSE(((AG23+2)-56)/2+1,SUMIFS(Donnees_generations!$U$3:$U$113,Donnees_generations!$A$3:$A$113,MAX(1915,MIN(2025,E23))),SUMIFS(Donnees_generations!$V$3:$V$113,Donnees_generations!$A$3:$A$113,MAX(1915,MIN(2025,E23))),SUMIFS(Donnees_generations!$W$3:$W$113,Donnees_generations!$A$3:$A$113,MAX(1915,MIN(2025,E23))),SUMIFS(Donnees_generations!$X$3:$X$113,Donnees_generations!$A$3:$A$113,MAX(1915,MIN(2025,E23))),SUMIFS(Donnees_generations!$Y$3:$Y$113,Donnees_generations!$A$3:$A$113,MAX(1915,MIN(2025,E23))),SUMIFS(Donnees_generations!$Z$3:$Z$113,Donnees_generations!$A$3:$A$113,MAX(1915,MIN(2025,E23))),SUMIFS(Donnees_generations!$AA$3:$AA$113,Donnees_generations!$A$3:$A$113,MAX(1915,MIN(2025,E23))),SUMIFS(Donnees_generations!$AB$3:$AB$113,Donnees_generations!$A$3:$A$113,MAX(1915,MIN(2025,E23))))+CHOOSE(((AG23+2)-56)/2+1,SUMIFS(Donnees_generations!$AC$3:$AC$113,Donnees_generations!$A$3:$A$113,MAX(1915,MIN(2025,E23))),SUMIFS(Donnees_generations!$AD$3:$AD$113,Donnees_generations!$A$3:$A$113,MAX(1915,MIN(2025,E23))),SUMIFS(Donnees_generations!$AE$3:$AE$113,Donnees_generations!$A$3:$A$113,MAX(1915,MIN(2025,E23))),SUMIFS(Donnees_generations!$AF$3:$AF$113,Donnees_generations!$A$3:$A$113,MAX(1915,MIN(2025,E23))),SUMIFS(Donnees_generations!$AG$3:$AG$113,Donnees_generations!$A$3:$A$113,MAX(1915,MIN(2025,E23))),SUMIFS(Donnees_generations!$AH$3:$AH$113,Donnees_generations!$A$3:$A$113,MAX(1915,MIN(2025,E23))),SUMIFS(Donnees_generations!$AI$3:$AI$113,Donnees_generations!$A$3:$A$113,MAX(1915,MIN(2025,E23))),SUMIFS(Donnees_generations!$AJ$3:$AJ$113,Donnees_generations!$A$3:$A$113,MAX(1915,MIN(2025,E23)))))/2</f>
        <v/>
      </c>
      <c r="AJ23" s="8">
        <f>MAX(0,AH23+(AI23-AH23)*(K23-AG23)/2)</f>
        <v/>
      </c>
      <c r="AK23" s="8">
        <f>K23+AJ23</f>
        <v/>
      </c>
      <c r="AL23" s="14">
        <f>AE23*AJ23</f>
        <v/>
      </c>
      <c r="AM23" s="17">
        <f>V23/AL23</f>
        <v/>
      </c>
      <c r="AN23" s="17">
        <f>Z23/AL23</f>
        <v/>
      </c>
      <c r="AO23" s="33">
        <f>IF(V23+Z23=0,0,Z23/(V23+Z23))</f>
        <v/>
      </c>
      <c r="AP23" s="14">
        <f>AL23/V23*100</f>
        <v/>
      </c>
      <c r="AQ23" s="8">
        <f>P23/AL23*1000</f>
        <v/>
      </c>
      <c r="AR23" s="77">
        <f>MAX(N23,M23-1)</f>
        <v/>
      </c>
      <c r="AS23" s="14">
        <f>SUMIFS(Donnees_regimes!$R$3:$R$1118,Donnees_regimes!$A$3:$A$1118,C23,Donnees_regimes!$B$3:$B$1118,"&gt;="&amp;G23,Donnees_regimes!$B$3:$B$1118,"&lt;="&amp;N23)*L23/ROUNDUP(L23,0)*SUMIFS(Donnees_annuelles!$AG$3:$AG$188,Donnees_annuelles!$A$3:$A$188,AR23)*SUMIFS(Donnees_annuelles!$AA$3:$AA$188,Donnees_annuelles!$A$3:$A$188,AR23)</f>
        <v/>
      </c>
      <c r="AT23" s="36">
        <f>AS23/V23</f>
        <v/>
      </c>
      <c r="AU23" s="14">
        <f>AL23</f>
        <v/>
      </c>
      <c r="AV23" s="39">
        <f>AS23-AL23</f>
        <v/>
      </c>
      <c r="AW23" s="9">
        <f>AS23/AL23-1</f>
        <v/>
      </c>
      <c r="AX23" s="14">
        <f>AS23/AJ23/12</f>
        <v/>
      </c>
      <c r="AY23" s="14">
        <f>AF23</f>
        <v/>
      </c>
      <c r="AZ23" s="39">
        <f>AX23-AF23</f>
        <v/>
      </c>
      <c r="BA23" s="14">
        <f>SUMIFS(Donnees_regimes!$S$3:$S$1118,Donnees_regimes!$A$3:$A$1118,C23,Donnees_regimes!$B$3:$B$1118,"&gt;="&amp;G23,Donnees_regimes!$B$3:$B$1118,"&lt;="&amp;N23)*L23/ROUNDUP(L23,0)*SUMIFS(Donnees_annuelles!$AH$3:$AH$188,Donnees_annuelles!$A$3:$A$188,AR23)*SUMIFS(Donnees_annuelles!$AA$3:$AA$188,Donnees_annuelles!$A$3:$A$188,AR23)</f>
        <v/>
      </c>
      <c r="BB23" s="39">
        <f>BA23-AL23</f>
        <v/>
      </c>
      <c r="BC23" s="7">
        <f>IF(M23+AJ23&gt;2026,IF(G23&gt;2026,"entièrement projeté","en partie projeté"),"observé")</f>
        <v/>
      </c>
    </row>
    <row r="24">
      <c r="A24" s="7" t="inlineStr">
        <is>
          <t>Baby-boomers</t>
        </is>
      </c>
      <c r="B24" s="84" t="inlineStr">
        <is>
          <t>Privé</t>
        </is>
      </c>
      <c r="C24" s="7">
        <f>IF(G24&gt;=SUMIFS(Regimes!$C$5:$C$10,Regimes!$A$5:$A$10,B24),"Privé",B24)</f>
        <v/>
      </c>
      <c r="D24" s="7">
        <f>INDEX(Regimes!$D$5:$D$10,MATCH(C24,Regimes!$A$5:$A$10,0))</f>
        <v/>
      </c>
      <c r="E24" s="88" t="n">
        <v>1949</v>
      </c>
      <c r="F24" s="8">
        <f>Donnees_generations!C37</f>
        <v/>
      </c>
      <c r="G24" s="77">
        <f>Donnees_generations!D37</f>
        <v/>
      </c>
      <c r="H24" s="8">
        <f>SUMIFS(Donnees_generations!$S$3:$S$113,Donnees_generations!$A$3:$A$113,MAX(1915,MIN(2025,E24)))</f>
        <v/>
      </c>
      <c r="I24" s="8">
        <f>SUMIFS(Donnees_generations!$T$3:$T$113,Donnees_generations!$A$3:$A$113,MAX(1915,MIN(2025,E24)))</f>
        <v/>
      </c>
      <c r="J24" s="8">
        <f>IF(G24&gt;=2000,MAX(I24,Parametres!$B$3),I24)</f>
        <v/>
      </c>
      <c r="K24" s="8">
        <f>IF(C24="Privé",J24,SUMIFS(Regles_regimes!$J$3:$J$2000,Regles_regimes!$A$3:$A$2000,C24,Regles_regimes!$B$3:$B$2000,D24,Regles_regimes!$C$3:$C$2000,MAX(1915,MIN(2025,E24))))</f>
        <v/>
      </c>
      <c r="L24" s="8">
        <f>IF(C24="Privé",H24,(K24-F24)*H24/(J24-F24))</f>
        <v/>
      </c>
      <c r="M24" s="77">
        <f>INT(E24+K24)</f>
        <v/>
      </c>
      <c r="N24" s="77">
        <f>G24+ROUNDUP(L24,0)-1</f>
        <v/>
      </c>
      <c r="O24" s="89">
        <f>SUMIFS(Regles_regimes!$K$3:$K$2000,Regles_regimes!$A$3:$A$2000,C24,Regles_regimes!$B$3:$B$2000,D24,Regles_regimes!$C$3:$C$2000,MAX(1915,MIN(2025,E24)))</f>
        <v/>
      </c>
      <c r="P24" s="13">
        <f>SUMIFS(Donnees_annuelles!$W$3:$W$188,Donnees_annuelles!$A$3:$A$188,"&gt;="&amp;G24,Donnees_annuelles!$A$3:$A$188,"&lt;="&amp;N24)*L24/ROUNDUP(L24,0)*O24</f>
        <v/>
      </c>
      <c r="Q24" s="13">
        <f>SUMIFS(Donnees_annuelles!$V$3:$V$188,Donnees_annuelles!$A$3:$A$188,"&gt;="&amp;G24,Donnees_annuelles!$A$3:$A$188,"&lt;="&amp;N24)*L24/ROUNDUP(L24,0)</f>
        <v/>
      </c>
      <c r="R24" s="13">
        <f>P24/L24</f>
        <v/>
      </c>
      <c r="S24" s="14">
        <f>SUMIFS(Donnees_annuelles!$D$3:$D$188,Donnees_annuelles!$A$3:$A$188,"&gt;="&amp;G24,Donnees_annuelles!$A$3:$A$188,"&lt;="&amp;N24)*L24/ROUNDUP(L24,0)</f>
        <v/>
      </c>
      <c r="T24" s="14">
        <f>SUMIFS(Donnees_regimes!$N$3:$N$1118,Donnees_regimes!$A$3:$A$1118,C24,Donnees_regimes!$B$3:$B$1118,"&gt;="&amp;G24,Donnees_regimes!$B$3:$B$1118,"&lt;="&amp;N24)*L24/ROUNDUP(L24,0)</f>
        <v/>
      </c>
      <c r="U24" s="14">
        <f>SUMIFS(Donnees_regimes!$O$3:$O$1118,Donnees_regimes!$A$3:$A$1118,C24,Donnees_regimes!$B$3:$B$1118,"&gt;="&amp;G24,Donnees_regimes!$B$3:$B$1118,"&lt;="&amp;N24)*L24/ROUNDUP(L24,0)</f>
        <v/>
      </c>
      <c r="V24" s="14">
        <f>T24+U24</f>
        <v/>
      </c>
      <c r="W24" s="33">
        <f>V24/S24</f>
        <v/>
      </c>
      <c r="X24" s="14">
        <f>S24+U24</f>
        <v/>
      </c>
      <c r="Y24" s="17">
        <f>V24/P24</f>
        <v/>
      </c>
      <c r="Z24" s="14">
        <f>SUMIFS(Donnees_regimes!$Q$3:$Q$1118,Donnees_regimes!$A$3:$A$1118,C24,Donnees_regimes!$B$3:$B$1118,"&gt;="&amp;G24,Donnees_regimes!$B$3:$B$1118,"&lt;="&amp;N24)*L24/ROUNDUP(L24,0)</f>
        <v/>
      </c>
      <c r="AA24" s="77">
        <f>SUMIFS(Regles_regimes!$F$3:$F$2000,Regles_regimes!$A$3:$A$2000,C24,Regles_regimes!$B$3:$B$2000,D24,Regles_regimes!$C$3:$C$2000,MAX(1915,MIN(2025,E24)))</f>
        <v/>
      </c>
      <c r="AB24" s="77">
        <f>IF(AND(SUMIFS(Regles_regimes!$L$3:$L$2000,Regles_regimes!$A$3:$A$2000,C24,Regles_regimes!$B$3:$B$2000,D24,Regles_regimes!$C$3:$C$2000,MAX(1915,MIN(2025,E24)))=1,G24&lt;2009,C24&lt;&gt;"Privé"),MIN(20,L24*4/5),0)</f>
        <v/>
      </c>
      <c r="AC24" s="89">
        <f>SUMIFS(Donnees_regimes!$M$3:$M$1118,Donnees_regimes!$A$3:$A$1118,C24,Donnees_regimes!$B$3:$B$1118,M24)</f>
        <v/>
      </c>
      <c r="AD24" s="14">
        <f>SUMIFS(Donnees_annuelles!$Y$3:$Y$188,Donnees_annuelles!$A$3:$A$188,M24)*SUMIFS(Donnees_generations!$I$3:$I$113,Donnees_generations!$A$3:$A$113,MAX(1915,MIN(2025,E24)))/H24</f>
        <v/>
      </c>
      <c r="AE24" s="14">
        <f>IF(C24="Privé",SUMIFS(Donnees_annuelles!$Y$3:$Y$188,Donnees_annuelles!$A$3:$A$188,M24)*MIN(L24,SUMIFS(Donnees_generations!$I$3:$I$113,Donnees_generations!$A$3:$A$113,MAX(1915,MIN(2025,E24))))/L24,AD24*AC24*MIN(IF(AB24&gt;0,0.8/0.75,1),(L24*4+AB24)/AA24))</f>
        <v/>
      </c>
      <c r="AF24" s="14">
        <f>AE24/12</f>
        <v/>
      </c>
      <c r="AG24" s="77">
        <f>MIN(68,MAX(56,2*INT(K24/2)))</f>
        <v/>
      </c>
      <c r="AH24" s="75">
        <f>(CHOOSE((AG24-56)/2+1,SUMIFS(Donnees_generations!$U$3:$U$113,Donnees_generations!$A$3:$A$113,MAX(1915,MIN(2025,E24))),SUMIFS(Donnees_generations!$V$3:$V$113,Donnees_generations!$A$3:$A$113,MAX(1915,MIN(2025,E24))),SUMIFS(Donnees_generations!$W$3:$W$113,Donnees_generations!$A$3:$A$113,MAX(1915,MIN(2025,E24))),SUMIFS(Donnees_generations!$X$3:$X$113,Donnees_generations!$A$3:$A$113,MAX(1915,MIN(2025,E24))),SUMIFS(Donnees_generations!$Y$3:$Y$113,Donnees_generations!$A$3:$A$113,MAX(1915,MIN(2025,E24))),SUMIFS(Donnees_generations!$Z$3:$Z$113,Donnees_generations!$A$3:$A$113,MAX(1915,MIN(2025,E24))),SUMIFS(Donnees_generations!$AA$3:$AA$113,Donnees_generations!$A$3:$A$113,MAX(1915,MIN(2025,E24))),SUMIFS(Donnees_generations!$AB$3:$AB$113,Donnees_generations!$A$3:$A$113,MAX(1915,MIN(2025,E24))))+CHOOSE((AG24-56)/2+1,SUMIFS(Donnees_generations!$AC$3:$AC$113,Donnees_generations!$A$3:$A$113,MAX(1915,MIN(2025,E24))),SUMIFS(Donnees_generations!$AD$3:$AD$113,Donnees_generations!$A$3:$A$113,MAX(1915,MIN(2025,E24))),SUMIFS(Donnees_generations!$AE$3:$AE$113,Donnees_generations!$A$3:$A$113,MAX(1915,MIN(2025,E24))),SUMIFS(Donnees_generations!$AF$3:$AF$113,Donnees_generations!$A$3:$A$113,MAX(1915,MIN(2025,E24))),SUMIFS(Donnees_generations!$AG$3:$AG$113,Donnees_generations!$A$3:$A$113,MAX(1915,MIN(2025,E24))),SUMIFS(Donnees_generations!$AH$3:$AH$113,Donnees_generations!$A$3:$A$113,MAX(1915,MIN(2025,E24))),SUMIFS(Donnees_generations!$AI$3:$AI$113,Donnees_generations!$A$3:$A$113,MAX(1915,MIN(2025,E24))),SUMIFS(Donnees_generations!$AJ$3:$AJ$113,Donnees_generations!$A$3:$A$113,MAX(1915,MIN(2025,E24)))))/2</f>
        <v/>
      </c>
      <c r="AI24" s="75">
        <f>(CHOOSE(((AG24+2)-56)/2+1,SUMIFS(Donnees_generations!$U$3:$U$113,Donnees_generations!$A$3:$A$113,MAX(1915,MIN(2025,E24))),SUMIFS(Donnees_generations!$V$3:$V$113,Donnees_generations!$A$3:$A$113,MAX(1915,MIN(2025,E24))),SUMIFS(Donnees_generations!$W$3:$W$113,Donnees_generations!$A$3:$A$113,MAX(1915,MIN(2025,E24))),SUMIFS(Donnees_generations!$X$3:$X$113,Donnees_generations!$A$3:$A$113,MAX(1915,MIN(2025,E24))),SUMIFS(Donnees_generations!$Y$3:$Y$113,Donnees_generations!$A$3:$A$113,MAX(1915,MIN(2025,E24))),SUMIFS(Donnees_generations!$Z$3:$Z$113,Donnees_generations!$A$3:$A$113,MAX(1915,MIN(2025,E24))),SUMIFS(Donnees_generations!$AA$3:$AA$113,Donnees_generations!$A$3:$A$113,MAX(1915,MIN(2025,E24))),SUMIFS(Donnees_generations!$AB$3:$AB$113,Donnees_generations!$A$3:$A$113,MAX(1915,MIN(2025,E24))))+CHOOSE(((AG24+2)-56)/2+1,SUMIFS(Donnees_generations!$AC$3:$AC$113,Donnees_generations!$A$3:$A$113,MAX(1915,MIN(2025,E24))),SUMIFS(Donnees_generations!$AD$3:$AD$113,Donnees_generations!$A$3:$A$113,MAX(1915,MIN(2025,E24))),SUMIFS(Donnees_generations!$AE$3:$AE$113,Donnees_generations!$A$3:$A$113,MAX(1915,MIN(2025,E24))),SUMIFS(Donnees_generations!$AF$3:$AF$113,Donnees_generations!$A$3:$A$113,MAX(1915,MIN(2025,E24))),SUMIFS(Donnees_generations!$AG$3:$AG$113,Donnees_generations!$A$3:$A$113,MAX(1915,MIN(2025,E24))),SUMIFS(Donnees_generations!$AH$3:$AH$113,Donnees_generations!$A$3:$A$113,MAX(1915,MIN(2025,E24))),SUMIFS(Donnees_generations!$AI$3:$AI$113,Donnees_generations!$A$3:$A$113,MAX(1915,MIN(2025,E24))),SUMIFS(Donnees_generations!$AJ$3:$AJ$113,Donnees_generations!$A$3:$A$113,MAX(1915,MIN(2025,E24)))))/2</f>
        <v/>
      </c>
      <c r="AJ24" s="8">
        <f>MAX(0,AH24+(AI24-AH24)*(K24-AG24)/2)</f>
        <v/>
      </c>
      <c r="AK24" s="8">
        <f>K24+AJ24</f>
        <v/>
      </c>
      <c r="AL24" s="14">
        <f>AE24*AJ24</f>
        <v/>
      </c>
      <c r="AM24" s="17">
        <f>V24/AL24</f>
        <v/>
      </c>
      <c r="AN24" s="17">
        <f>Z24/AL24</f>
        <v/>
      </c>
      <c r="AO24" s="33">
        <f>IF(V24+Z24=0,0,Z24/(V24+Z24))</f>
        <v/>
      </c>
      <c r="AP24" s="14">
        <f>AL24/V24*100</f>
        <v/>
      </c>
      <c r="AQ24" s="8">
        <f>P24/AL24*1000</f>
        <v/>
      </c>
      <c r="AR24" s="77">
        <f>MAX(N24,M24-1)</f>
        <v/>
      </c>
      <c r="AS24" s="14">
        <f>SUMIFS(Donnees_regimes!$R$3:$R$1118,Donnees_regimes!$A$3:$A$1118,C24,Donnees_regimes!$B$3:$B$1118,"&gt;="&amp;G24,Donnees_regimes!$B$3:$B$1118,"&lt;="&amp;N24)*L24/ROUNDUP(L24,0)*SUMIFS(Donnees_annuelles!$AG$3:$AG$188,Donnees_annuelles!$A$3:$A$188,AR24)*SUMIFS(Donnees_annuelles!$AA$3:$AA$188,Donnees_annuelles!$A$3:$A$188,AR24)</f>
        <v/>
      </c>
      <c r="AT24" s="36">
        <f>AS24/V24</f>
        <v/>
      </c>
      <c r="AU24" s="14">
        <f>AL24</f>
        <v/>
      </c>
      <c r="AV24" s="39">
        <f>AS24-AL24</f>
        <v/>
      </c>
      <c r="AW24" s="9">
        <f>AS24/AL24-1</f>
        <v/>
      </c>
      <c r="AX24" s="14">
        <f>AS24/AJ24/12</f>
        <v/>
      </c>
      <c r="AY24" s="14">
        <f>AF24</f>
        <v/>
      </c>
      <c r="AZ24" s="39">
        <f>AX24-AF24</f>
        <v/>
      </c>
      <c r="BA24" s="14">
        <f>SUMIFS(Donnees_regimes!$S$3:$S$1118,Donnees_regimes!$A$3:$A$1118,C24,Donnees_regimes!$B$3:$B$1118,"&gt;="&amp;G24,Donnees_regimes!$B$3:$B$1118,"&lt;="&amp;N24)*L24/ROUNDUP(L24,0)*SUMIFS(Donnees_annuelles!$AH$3:$AH$188,Donnees_annuelles!$A$3:$A$188,AR24)*SUMIFS(Donnees_annuelles!$AA$3:$AA$188,Donnees_annuelles!$A$3:$A$188,AR24)</f>
        <v/>
      </c>
      <c r="BB24" s="39">
        <f>BA24-AL24</f>
        <v/>
      </c>
      <c r="BC24" s="7">
        <f>IF(M24+AJ24&gt;2026,IF(G24&gt;2026,"entièrement projeté","en partie projeté"),"observé")</f>
        <v/>
      </c>
    </row>
    <row r="25">
      <c r="A25" s="7" t="inlineStr">
        <is>
          <t>Baby-boomers</t>
        </is>
      </c>
      <c r="B25" s="84" t="inlineStr">
        <is>
          <t>Privé</t>
        </is>
      </c>
      <c r="C25" s="7">
        <f>IF(G25&gt;=SUMIFS(Regimes!$C$5:$C$10,Regimes!$A$5:$A$10,B25),"Privé",B25)</f>
        <v/>
      </c>
      <c r="D25" s="7">
        <f>INDEX(Regimes!$D$5:$D$10,MATCH(C25,Regimes!$A$5:$A$10,0))</f>
        <v/>
      </c>
      <c r="E25" s="88" t="n">
        <v>1950</v>
      </c>
      <c r="F25" s="8">
        <f>Donnees_generations!C38</f>
        <v/>
      </c>
      <c r="G25" s="77">
        <f>Donnees_generations!D38</f>
        <v/>
      </c>
      <c r="H25" s="8">
        <f>SUMIFS(Donnees_generations!$S$3:$S$113,Donnees_generations!$A$3:$A$113,MAX(1915,MIN(2025,E25)))</f>
        <v/>
      </c>
      <c r="I25" s="8">
        <f>SUMIFS(Donnees_generations!$T$3:$T$113,Donnees_generations!$A$3:$A$113,MAX(1915,MIN(2025,E25)))</f>
        <v/>
      </c>
      <c r="J25" s="8">
        <f>IF(G25&gt;=2000,MAX(I25,Parametres!$B$3),I25)</f>
        <v/>
      </c>
      <c r="K25" s="8">
        <f>IF(C25="Privé",J25,SUMIFS(Regles_regimes!$J$3:$J$2000,Regles_regimes!$A$3:$A$2000,C25,Regles_regimes!$B$3:$B$2000,D25,Regles_regimes!$C$3:$C$2000,MAX(1915,MIN(2025,E25))))</f>
        <v/>
      </c>
      <c r="L25" s="8">
        <f>IF(C25="Privé",H25,(K25-F25)*H25/(J25-F25))</f>
        <v/>
      </c>
      <c r="M25" s="77">
        <f>INT(E25+K25)</f>
        <v/>
      </c>
      <c r="N25" s="77">
        <f>G25+ROUNDUP(L25,0)-1</f>
        <v/>
      </c>
      <c r="O25" s="89">
        <f>SUMIFS(Regles_regimes!$K$3:$K$2000,Regles_regimes!$A$3:$A$2000,C25,Regles_regimes!$B$3:$B$2000,D25,Regles_regimes!$C$3:$C$2000,MAX(1915,MIN(2025,E25)))</f>
        <v/>
      </c>
      <c r="P25" s="13">
        <f>SUMIFS(Donnees_annuelles!$W$3:$W$188,Donnees_annuelles!$A$3:$A$188,"&gt;="&amp;G25,Donnees_annuelles!$A$3:$A$188,"&lt;="&amp;N25)*L25/ROUNDUP(L25,0)*O25</f>
        <v/>
      </c>
      <c r="Q25" s="13">
        <f>SUMIFS(Donnees_annuelles!$V$3:$V$188,Donnees_annuelles!$A$3:$A$188,"&gt;="&amp;G25,Donnees_annuelles!$A$3:$A$188,"&lt;="&amp;N25)*L25/ROUNDUP(L25,0)</f>
        <v/>
      </c>
      <c r="R25" s="13">
        <f>P25/L25</f>
        <v/>
      </c>
      <c r="S25" s="14">
        <f>SUMIFS(Donnees_annuelles!$D$3:$D$188,Donnees_annuelles!$A$3:$A$188,"&gt;="&amp;G25,Donnees_annuelles!$A$3:$A$188,"&lt;="&amp;N25)*L25/ROUNDUP(L25,0)</f>
        <v/>
      </c>
      <c r="T25" s="14">
        <f>SUMIFS(Donnees_regimes!$N$3:$N$1118,Donnees_regimes!$A$3:$A$1118,C25,Donnees_regimes!$B$3:$B$1118,"&gt;="&amp;G25,Donnees_regimes!$B$3:$B$1118,"&lt;="&amp;N25)*L25/ROUNDUP(L25,0)</f>
        <v/>
      </c>
      <c r="U25" s="14">
        <f>SUMIFS(Donnees_regimes!$O$3:$O$1118,Donnees_regimes!$A$3:$A$1118,C25,Donnees_regimes!$B$3:$B$1118,"&gt;="&amp;G25,Donnees_regimes!$B$3:$B$1118,"&lt;="&amp;N25)*L25/ROUNDUP(L25,0)</f>
        <v/>
      </c>
      <c r="V25" s="14">
        <f>T25+U25</f>
        <v/>
      </c>
      <c r="W25" s="33">
        <f>V25/S25</f>
        <v/>
      </c>
      <c r="X25" s="14">
        <f>S25+U25</f>
        <v/>
      </c>
      <c r="Y25" s="17">
        <f>V25/P25</f>
        <v/>
      </c>
      <c r="Z25" s="14">
        <f>SUMIFS(Donnees_regimes!$Q$3:$Q$1118,Donnees_regimes!$A$3:$A$1118,C25,Donnees_regimes!$B$3:$B$1118,"&gt;="&amp;G25,Donnees_regimes!$B$3:$B$1118,"&lt;="&amp;N25)*L25/ROUNDUP(L25,0)</f>
        <v/>
      </c>
      <c r="AA25" s="77">
        <f>SUMIFS(Regles_regimes!$F$3:$F$2000,Regles_regimes!$A$3:$A$2000,C25,Regles_regimes!$B$3:$B$2000,D25,Regles_regimes!$C$3:$C$2000,MAX(1915,MIN(2025,E25)))</f>
        <v/>
      </c>
      <c r="AB25" s="77">
        <f>IF(AND(SUMIFS(Regles_regimes!$L$3:$L$2000,Regles_regimes!$A$3:$A$2000,C25,Regles_regimes!$B$3:$B$2000,D25,Regles_regimes!$C$3:$C$2000,MAX(1915,MIN(2025,E25)))=1,G25&lt;2009,C25&lt;&gt;"Privé"),MIN(20,L25*4/5),0)</f>
        <v/>
      </c>
      <c r="AC25" s="89">
        <f>SUMIFS(Donnees_regimes!$M$3:$M$1118,Donnees_regimes!$A$3:$A$1118,C25,Donnees_regimes!$B$3:$B$1118,M25)</f>
        <v/>
      </c>
      <c r="AD25" s="14">
        <f>SUMIFS(Donnees_annuelles!$Y$3:$Y$188,Donnees_annuelles!$A$3:$A$188,M25)*SUMIFS(Donnees_generations!$I$3:$I$113,Donnees_generations!$A$3:$A$113,MAX(1915,MIN(2025,E25)))/H25</f>
        <v/>
      </c>
      <c r="AE25" s="14">
        <f>IF(C25="Privé",SUMIFS(Donnees_annuelles!$Y$3:$Y$188,Donnees_annuelles!$A$3:$A$188,M25)*MIN(L25,SUMIFS(Donnees_generations!$I$3:$I$113,Donnees_generations!$A$3:$A$113,MAX(1915,MIN(2025,E25))))/L25,AD25*AC25*MIN(IF(AB25&gt;0,0.8/0.75,1),(L25*4+AB25)/AA25))</f>
        <v/>
      </c>
      <c r="AF25" s="14">
        <f>AE25/12</f>
        <v/>
      </c>
      <c r="AG25" s="77">
        <f>MIN(68,MAX(56,2*INT(K25/2)))</f>
        <v/>
      </c>
      <c r="AH25" s="75">
        <f>(CHOOSE((AG25-56)/2+1,SUMIFS(Donnees_generations!$U$3:$U$113,Donnees_generations!$A$3:$A$113,MAX(1915,MIN(2025,E25))),SUMIFS(Donnees_generations!$V$3:$V$113,Donnees_generations!$A$3:$A$113,MAX(1915,MIN(2025,E25))),SUMIFS(Donnees_generations!$W$3:$W$113,Donnees_generations!$A$3:$A$113,MAX(1915,MIN(2025,E25))),SUMIFS(Donnees_generations!$X$3:$X$113,Donnees_generations!$A$3:$A$113,MAX(1915,MIN(2025,E25))),SUMIFS(Donnees_generations!$Y$3:$Y$113,Donnees_generations!$A$3:$A$113,MAX(1915,MIN(2025,E25))),SUMIFS(Donnees_generations!$Z$3:$Z$113,Donnees_generations!$A$3:$A$113,MAX(1915,MIN(2025,E25))),SUMIFS(Donnees_generations!$AA$3:$AA$113,Donnees_generations!$A$3:$A$113,MAX(1915,MIN(2025,E25))),SUMIFS(Donnees_generations!$AB$3:$AB$113,Donnees_generations!$A$3:$A$113,MAX(1915,MIN(2025,E25))))+CHOOSE((AG25-56)/2+1,SUMIFS(Donnees_generations!$AC$3:$AC$113,Donnees_generations!$A$3:$A$113,MAX(1915,MIN(2025,E25))),SUMIFS(Donnees_generations!$AD$3:$AD$113,Donnees_generations!$A$3:$A$113,MAX(1915,MIN(2025,E25))),SUMIFS(Donnees_generations!$AE$3:$AE$113,Donnees_generations!$A$3:$A$113,MAX(1915,MIN(2025,E25))),SUMIFS(Donnees_generations!$AF$3:$AF$113,Donnees_generations!$A$3:$A$113,MAX(1915,MIN(2025,E25))),SUMIFS(Donnees_generations!$AG$3:$AG$113,Donnees_generations!$A$3:$A$113,MAX(1915,MIN(2025,E25))),SUMIFS(Donnees_generations!$AH$3:$AH$113,Donnees_generations!$A$3:$A$113,MAX(1915,MIN(2025,E25))),SUMIFS(Donnees_generations!$AI$3:$AI$113,Donnees_generations!$A$3:$A$113,MAX(1915,MIN(2025,E25))),SUMIFS(Donnees_generations!$AJ$3:$AJ$113,Donnees_generations!$A$3:$A$113,MAX(1915,MIN(2025,E25)))))/2</f>
        <v/>
      </c>
      <c r="AI25" s="75">
        <f>(CHOOSE(((AG25+2)-56)/2+1,SUMIFS(Donnees_generations!$U$3:$U$113,Donnees_generations!$A$3:$A$113,MAX(1915,MIN(2025,E25))),SUMIFS(Donnees_generations!$V$3:$V$113,Donnees_generations!$A$3:$A$113,MAX(1915,MIN(2025,E25))),SUMIFS(Donnees_generations!$W$3:$W$113,Donnees_generations!$A$3:$A$113,MAX(1915,MIN(2025,E25))),SUMIFS(Donnees_generations!$X$3:$X$113,Donnees_generations!$A$3:$A$113,MAX(1915,MIN(2025,E25))),SUMIFS(Donnees_generations!$Y$3:$Y$113,Donnees_generations!$A$3:$A$113,MAX(1915,MIN(2025,E25))),SUMIFS(Donnees_generations!$Z$3:$Z$113,Donnees_generations!$A$3:$A$113,MAX(1915,MIN(2025,E25))),SUMIFS(Donnees_generations!$AA$3:$AA$113,Donnees_generations!$A$3:$A$113,MAX(1915,MIN(2025,E25))),SUMIFS(Donnees_generations!$AB$3:$AB$113,Donnees_generations!$A$3:$A$113,MAX(1915,MIN(2025,E25))))+CHOOSE(((AG25+2)-56)/2+1,SUMIFS(Donnees_generations!$AC$3:$AC$113,Donnees_generations!$A$3:$A$113,MAX(1915,MIN(2025,E25))),SUMIFS(Donnees_generations!$AD$3:$AD$113,Donnees_generations!$A$3:$A$113,MAX(1915,MIN(2025,E25))),SUMIFS(Donnees_generations!$AE$3:$AE$113,Donnees_generations!$A$3:$A$113,MAX(1915,MIN(2025,E25))),SUMIFS(Donnees_generations!$AF$3:$AF$113,Donnees_generations!$A$3:$A$113,MAX(1915,MIN(2025,E25))),SUMIFS(Donnees_generations!$AG$3:$AG$113,Donnees_generations!$A$3:$A$113,MAX(1915,MIN(2025,E25))),SUMIFS(Donnees_generations!$AH$3:$AH$113,Donnees_generations!$A$3:$A$113,MAX(1915,MIN(2025,E25))),SUMIFS(Donnees_generations!$AI$3:$AI$113,Donnees_generations!$A$3:$A$113,MAX(1915,MIN(2025,E25))),SUMIFS(Donnees_generations!$AJ$3:$AJ$113,Donnees_generations!$A$3:$A$113,MAX(1915,MIN(2025,E25)))))/2</f>
        <v/>
      </c>
      <c r="AJ25" s="8">
        <f>MAX(0,AH25+(AI25-AH25)*(K25-AG25)/2)</f>
        <v/>
      </c>
      <c r="AK25" s="8">
        <f>K25+AJ25</f>
        <v/>
      </c>
      <c r="AL25" s="14">
        <f>AE25*AJ25</f>
        <v/>
      </c>
      <c r="AM25" s="17">
        <f>V25/AL25</f>
        <v/>
      </c>
      <c r="AN25" s="17">
        <f>Z25/AL25</f>
        <v/>
      </c>
      <c r="AO25" s="33">
        <f>IF(V25+Z25=0,0,Z25/(V25+Z25))</f>
        <v/>
      </c>
      <c r="AP25" s="14">
        <f>AL25/V25*100</f>
        <v/>
      </c>
      <c r="AQ25" s="8">
        <f>P25/AL25*1000</f>
        <v/>
      </c>
      <c r="AR25" s="77">
        <f>MAX(N25,M25-1)</f>
        <v/>
      </c>
      <c r="AS25" s="14">
        <f>SUMIFS(Donnees_regimes!$R$3:$R$1118,Donnees_regimes!$A$3:$A$1118,C25,Donnees_regimes!$B$3:$B$1118,"&gt;="&amp;G25,Donnees_regimes!$B$3:$B$1118,"&lt;="&amp;N25)*L25/ROUNDUP(L25,0)*SUMIFS(Donnees_annuelles!$AG$3:$AG$188,Donnees_annuelles!$A$3:$A$188,AR25)*SUMIFS(Donnees_annuelles!$AA$3:$AA$188,Donnees_annuelles!$A$3:$A$188,AR25)</f>
        <v/>
      </c>
      <c r="AT25" s="36">
        <f>AS25/V25</f>
        <v/>
      </c>
      <c r="AU25" s="14">
        <f>AL25</f>
        <v/>
      </c>
      <c r="AV25" s="39">
        <f>AS25-AL25</f>
        <v/>
      </c>
      <c r="AW25" s="9">
        <f>AS25/AL25-1</f>
        <v/>
      </c>
      <c r="AX25" s="14">
        <f>AS25/AJ25/12</f>
        <v/>
      </c>
      <c r="AY25" s="14">
        <f>AF25</f>
        <v/>
      </c>
      <c r="AZ25" s="39">
        <f>AX25-AF25</f>
        <v/>
      </c>
      <c r="BA25" s="14">
        <f>SUMIFS(Donnees_regimes!$S$3:$S$1118,Donnees_regimes!$A$3:$A$1118,C25,Donnees_regimes!$B$3:$B$1118,"&gt;="&amp;G25,Donnees_regimes!$B$3:$B$1118,"&lt;="&amp;N25)*L25/ROUNDUP(L25,0)*SUMIFS(Donnees_annuelles!$AH$3:$AH$188,Donnees_annuelles!$A$3:$A$188,AR25)*SUMIFS(Donnees_annuelles!$AA$3:$AA$188,Donnees_annuelles!$A$3:$A$188,AR25)</f>
        <v/>
      </c>
      <c r="BB25" s="39">
        <f>BA25-AL25</f>
        <v/>
      </c>
      <c r="BC25" s="7">
        <f>IF(M25+AJ25&gt;2026,IF(G25&gt;2026,"entièrement projeté","en partie projeté"),"observé")</f>
        <v/>
      </c>
    </row>
    <row r="26">
      <c r="A26" s="7" t="inlineStr">
        <is>
          <t>Baby-boomers</t>
        </is>
      </c>
      <c r="B26" s="84" t="inlineStr">
        <is>
          <t>Privé</t>
        </is>
      </c>
      <c r="C26" s="7">
        <f>IF(G26&gt;=SUMIFS(Regimes!$C$5:$C$10,Regimes!$A$5:$A$10,B26),"Privé",B26)</f>
        <v/>
      </c>
      <c r="D26" s="7">
        <f>INDEX(Regimes!$D$5:$D$10,MATCH(C26,Regimes!$A$5:$A$10,0))</f>
        <v/>
      </c>
      <c r="E26" s="88" t="n">
        <v>1951</v>
      </c>
      <c r="F26" s="8">
        <f>Donnees_generations!C39</f>
        <v/>
      </c>
      <c r="G26" s="77">
        <f>Donnees_generations!D39</f>
        <v/>
      </c>
      <c r="H26" s="8">
        <f>SUMIFS(Donnees_generations!$S$3:$S$113,Donnees_generations!$A$3:$A$113,MAX(1915,MIN(2025,E26)))</f>
        <v/>
      </c>
      <c r="I26" s="8">
        <f>SUMIFS(Donnees_generations!$T$3:$T$113,Donnees_generations!$A$3:$A$113,MAX(1915,MIN(2025,E26)))</f>
        <v/>
      </c>
      <c r="J26" s="8">
        <f>IF(G26&gt;=2000,MAX(I26,Parametres!$B$3),I26)</f>
        <v/>
      </c>
      <c r="K26" s="8">
        <f>IF(C26="Privé",J26,SUMIFS(Regles_regimes!$J$3:$J$2000,Regles_regimes!$A$3:$A$2000,C26,Regles_regimes!$B$3:$B$2000,D26,Regles_regimes!$C$3:$C$2000,MAX(1915,MIN(2025,E26))))</f>
        <v/>
      </c>
      <c r="L26" s="8">
        <f>IF(C26="Privé",H26,(K26-F26)*H26/(J26-F26))</f>
        <v/>
      </c>
      <c r="M26" s="77">
        <f>INT(E26+K26)</f>
        <v/>
      </c>
      <c r="N26" s="77">
        <f>G26+ROUNDUP(L26,0)-1</f>
        <v/>
      </c>
      <c r="O26" s="89">
        <f>SUMIFS(Regles_regimes!$K$3:$K$2000,Regles_regimes!$A$3:$A$2000,C26,Regles_regimes!$B$3:$B$2000,D26,Regles_regimes!$C$3:$C$2000,MAX(1915,MIN(2025,E26)))</f>
        <v/>
      </c>
      <c r="P26" s="13">
        <f>SUMIFS(Donnees_annuelles!$W$3:$W$188,Donnees_annuelles!$A$3:$A$188,"&gt;="&amp;G26,Donnees_annuelles!$A$3:$A$188,"&lt;="&amp;N26)*L26/ROUNDUP(L26,0)*O26</f>
        <v/>
      </c>
      <c r="Q26" s="13">
        <f>SUMIFS(Donnees_annuelles!$V$3:$V$188,Donnees_annuelles!$A$3:$A$188,"&gt;="&amp;G26,Donnees_annuelles!$A$3:$A$188,"&lt;="&amp;N26)*L26/ROUNDUP(L26,0)</f>
        <v/>
      </c>
      <c r="R26" s="13">
        <f>P26/L26</f>
        <v/>
      </c>
      <c r="S26" s="14">
        <f>SUMIFS(Donnees_annuelles!$D$3:$D$188,Donnees_annuelles!$A$3:$A$188,"&gt;="&amp;G26,Donnees_annuelles!$A$3:$A$188,"&lt;="&amp;N26)*L26/ROUNDUP(L26,0)</f>
        <v/>
      </c>
      <c r="T26" s="14">
        <f>SUMIFS(Donnees_regimes!$N$3:$N$1118,Donnees_regimes!$A$3:$A$1118,C26,Donnees_regimes!$B$3:$B$1118,"&gt;="&amp;G26,Donnees_regimes!$B$3:$B$1118,"&lt;="&amp;N26)*L26/ROUNDUP(L26,0)</f>
        <v/>
      </c>
      <c r="U26" s="14">
        <f>SUMIFS(Donnees_regimes!$O$3:$O$1118,Donnees_regimes!$A$3:$A$1118,C26,Donnees_regimes!$B$3:$B$1118,"&gt;="&amp;G26,Donnees_regimes!$B$3:$B$1118,"&lt;="&amp;N26)*L26/ROUNDUP(L26,0)</f>
        <v/>
      </c>
      <c r="V26" s="14">
        <f>T26+U26</f>
        <v/>
      </c>
      <c r="W26" s="33">
        <f>V26/S26</f>
        <v/>
      </c>
      <c r="X26" s="14">
        <f>S26+U26</f>
        <v/>
      </c>
      <c r="Y26" s="17">
        <f>V26/P26</f>
        <v/>
      </c>
      <c r="Z26" s="14">
        <f>SUMIFS(Donnees_regimes!$Q$3:$Q$1118,Donnees_regimes!$A$3:$A$1118,C26,Donnees_regimes!$B$3:$B$1118,"&gt;="&amp;G26,Donnees_regimes!$B$3:$B$1118,"&lt;="&amp;N26)*L26/ROUNDUP(L26,0)</f>
        <v/>
      </c>
      <c r="AA26" s="77">
        <f>SUMIFS(Regles_regimes!$F$3:$F$2000,Regles_regimes!$A$3:$A$2000,C26,Regles_regimes!$B$3:$B$2000,D26,Regles_regimes!$C$3:$C$2000,MAX(1915,MIN(2025,E26)))</f>
        <v/>
      </c>
      <c r="AB26" s="77">
        <f>IF(AND(SUMIFS(Regles_regimes!$L$3:$L$2000,Regles_regimes!$A$3:$A$2000,C26,Regles_regimes!$B$3:$B$2000,D26,Regles_regimes!$C$3:$C$2000,MAX(1915,MIN(2025,E26)))=1,G26&lt;2009,C26&lt;&gt;"Privé"),MIN(20,L26*4/5),0)</f>
        <v/>
      </c>
      <c r="AC26" s="89">
        <f>SUMIFS(Donnees_regimes!$M$3:$M$1118,Donnees_regimes!$A$3:$A$1118,C26,Donnees_regimes!$B$3:$B$1118,M26)</f>
        <v/>
      </c>
      <c r="AD26" s="14">
        <f>SUMIFS(Donnees_annuelles!$Y$3:$Y$188,Donnees_annuelles!$A$3:$A$188,M26)*SUMIFS(Donnees_generations!$I$3:$I$113,Donnees_generations!$A$3:$A$113,MAX(1915,MIN(2025,E26)))/H26</f>
        <v/>
      </c>
      <c r="AE26" s="14">
        <f>IF(C26="Privé",SUMIFS(Donnees_annuelles!$Y$3:$Y$188,Donnees_annuelles!$A$3:$A$188,M26)*MIN(L26,SUMIFS(Donnees_generations!$I$3:$I$113,Donnees_generations!$A$3:$A$113,MAX(1915,MIN(2025,E26))))/L26,AD26*AC26*MIN(IF(AB26&gt;0,0.8/0.75,1),(L26*4+AB26)/AA26))</f>
        <v/>
      </c>
      <c r="AF26" s="14">
        <f>AE26/12</f>
        <v/>
      </c>
      <c r="AG26" s="77">
        <f>MIN(68,MAX(56,2*INT(K26/2)))</f>
        <v/>
      </c>
      <c r="AH26" s="75">
        <f>(CHOOSE((AG26-56)/2+1,SUMIFS(Donnees_generations!$U$3:$U$113,Donnees_generations!$A$3:$A$113,MAX(1915,MIN(2025,E26))),SUMIFS(Donnees_generations!$V$3:$V$113,Donnees_generations!$A$3:$A$113,MAX(1915,MIN(2025,E26))),SUMIFS(Donnees_generations!$W$3:$W$113,Donnees_generations!$A$3:$A$113,MAX(1915,MIN(2025,E26))),SUMIFS(Donnees_generations!$X$3:$X$113,Donnees_generations!$A$3:$A$113,MAX(1915,MIN(2025,E26))),SUMIFS(Donnees_generations!$Y$3:$Y$113,Donnees_generations!$A$3:$A$113,MAX(1915,MIN(2025,E26))),SUMIFS(Donnees_generations!$Z$3:$Z$113,Donnees_generations!$A$3:$A$113,MAX(1915,MIN(2025,E26))),SUMIFS(Donnees_generations!$AA$3:$AA$113,Donnees_generations!$A$3:$A$113,MAX(1915,MIN(2025,E26))),SUMIFS(Donnees_generations!$AB$3:$AB$113,Donnees_generations!$A$3:$A$113,MAX(1915,MIN(2025,E26))))+CHOOSE((AG26-56)/2+1,SUMIFS(Donnees_generations!$AC$3:$AC$113,Donnees_generations!$A$3:$A$113,MAX(1915,MIN(2025,E26))),SUMIFS(Donnees_generations!$AD$3:$AD$113,Donnees_generations!$A$3:$A$113,MAX(1915,MIN(2025,E26))),SUMIFS(Donnees_generations!$AE$3:$AE$113,Donnees_generations!$A$3:$A$113,MAX(1915,MIN(2025,E26))),SUMIFS(Donnees_generations!$AF$3:$AF$113,Donnees_generations!$A$3:$A$113,MAX(1915,MIN(2025,E26))),SUMIFS(Donnees_generations!$AG$3:$AG$113,Donnees_generations!$A$3:$A$113,MAX(1915,MIN(2025,E26))),SUMIFS(Donnees_generations!$AH$3:$AH$113,Donnees_generations!$A$3:$A$113,MAX(1915,MIN(2025,E26))),SUMIFS(Donnees_generations!$AI$3:$AI$113,Donnees_generations!$A$3:$A$113,MAX(1915,MIN(2025,E26))),SUMIFS(Donnees_generations!$AJ$3:$AJ$113,Donnees_generations!$A$3:$A$113,MAX(1915,MIN(2025,E26)))))/2</f>
        <v/>
      </c>
      <c r="AI26" s="75">
        <f>(CHOOSE(((AG26+2)-56)/2+1,SUMIFS(Donnees_generations!$U$3:$U$113,Donnees_generations!$A$3:$A$113,MAX(1915,MIN(2025,E26))),SUMIFS(Donnees_generations!$V$3:$V$113,Donnees_generations!$A$3:$A$113,MAX(1915,MIN(2025,E26))),SUMIFS(Donnees_generations!$W$3:$W$113,Donnees_generations!$A$3:$A$113,MAX(1915,MIN(2025,E26))),SUMIFS(Donnees_generations!$X$3:$X$113,Donnees_generations!$A$3:$A$113,MAX(1915,MIN(2025,E26))),SUMIFS(Donnees_generations!$Y$3:$Y$113,Donnees_generations!$A$3:$A$113,MAX(1915,MIN(2025,E26))),SUMIFS(Donnees_generations!$Z$3:$Z$113,Donnees_generations!$A$3:$A$113,MAX(1915,MIN(2025,E26))),SUMIFS(Donnees_generations!$AA$3:$AA$113,Donnees_generations!$A$3:$A$113,MAX(1915,MIN(2025,E26))),SUMIFS(Donnees_generations!$AB$3:$AB$113,Donnees_generations!$A$3:$A$113,MAX(1915,MIN(2025,E26))))+CHOOSE(((AG26+2)-56)/2+1,SUMIFS(Donnees_generations!$AC$3:$AC$113,Donnees_generations!$A$3:$A$113,MAX(1915,MIN(2025,E26))),SUMIFS(Donnees_generations!$AD$3:$AD$113,Donnees_generations!$A$3:$A$113,MAX(1915,MIN(2025,E26))),SUMIFS(Donnees_generations!$AE$3:$AE$113,Donnees_generations!$A$3:$A$113,MAX(1915,MIN(2025,E26))),SUMIFS(Donnees_generations!$AF$3:$AF$113,Donnees_generations!$A$3:$A$113,MAX(1915,MIN(2025,E26))),SUMIFS(Donnees_generations!$AG$3:$AG$113,Donnees_generations!$A$3:$A$113,MAX(1915,MIN(2025,E26))),SUMIFS(Donnees_generations!$AH$3:$AH$113,Donnees_generations!$A$3:$A$113,MAX(1915,MIN(2025,E26))),SUMIFS(Donnees_generations!$AI$3:$AI$113,Donnees_generations!$A$3:$A$113,MAX(1915,MIN(2025,E26))),SUMIFS(Donnees_generations!$AJ$3:$AJ$113,Donnees_generations!$A$3:$A$113,MAX(1915,MIN(2025,E26)))))/2</f>
        <v/>
      </c>
      <c r="AJ26" s="8">
        <f>MAX(0,AH26+(AI26-AH26)*(K26-AG26)/2)</f>
        <v/>
      </c>
      <c r="AK26" s="8">
        <f>K26+AJ26</f>
        <v/>
      </c>
      <c r="AL26" s="14">
        <f>AE26*AJ26</f>
        <v/>
      </c>
      <c r="AM26" s="17">
        <f>V26/AL26</f>
        <v/>
      </c>
      <c r="AN26" s="17">
        <f>Z26/AL26</f>
        <v/>
      </c>
      <c r="AO26" s="33">
        <f>IF(V26+Z26=0,0,Z26/(V26+Z26))</f>
        <v/>
      </c>
      <c r="AP26" s="14">
        <f>AL26/V26*100</f>
        <v/>
      </c>
      <c r="AQ26" s="8">
        <f>P26/AL26*1000</f>
        <v/>
      </c>
      <c r="AR26" s="77">
        <f>MAX(N26,M26-1)</f>
        <v/>
      </c>
      <c r="AS26" s="14">
        <f>SUMIFS(Donnees_regimes!$R$3:$R$1118,Donnees_regimes!$A$3:$A$1118,C26,Donnees_regimes!$B$3:$B$1118,"&gt;="&amp;G26,Donnees_regimes!$B$3:$B$1118,"&lt;="&amp;N26)*L26/ROUNDUP(L26,0)*SUMIFS(Donnees_annuelles!$AG$3:$AG$188,Donnees_annuelles!$A$3:$A$188,AR26)*SUMIFS(Donnees_annuelles!$AA$3:$AA$188,Donnees_annuelles!$A$3:$A$188,AR26)</f>
        <v/>
      </c>
      <c r="AT26" s="36">
        <f>AS26/V26</f>
        <v/>
      </c>
      <c r="AU26" s="14">
        <f>AL26</f>
        <v/>
      </c>
      <c r="AV26" s="39">
        <f>AS26-AL26</f>
        <v/>
      </c>
      <c r="AW26" s="9">
        <f>AS26/AL26-1</f>
        <v/>
      </c>
      <c r="AX26" s="14">
        <f>AS26/AJ26/12</f>
        <v/>
      </c>
      <c r="AY26" s="14">
        <f>AF26</f>
        <v/>
      </c>
      <c r="AZ26" s="39">
        <f>AX26-AF26</f>
        <v/>
      </c>
      <c r="BA26" s="14">
        <f>SUMIFS(Donnees_regimes!$S$3:$S$1118,Donnees_regimes!$A$3:$A$1118,C26,Donnees_regimes!$B$3:$B$1118,"&gt;="&amp;G26,Donnees_regimes!$B$3:$B$1118,"&lt;="&amp;N26)*L26/ROUNDUP(L26,0)*SUMIFS(Donnees_annuelles!$AH$3:$AH$188,Donnees_annuelles!$A$3:$A$188,AR26)*SUMIFS(Donnees_annuelles!$AA$3:$AA$188,Donnees_annuelles!$A$3:$A$188,AR26)</f>
        <v/>
      </c>
      <c r="BB26" s="39">
        <f>BA26-AL26</f>
        <v/>
      </c>
      <c r="BC26" s="7">
        <f>IF(M26+AJ26&gt;2026,IF(G26&gt;2026,"entièrement projeté","en partie projeté"),"observé")</f>
        <v/>
      </c>
    </row>
    <row r="27">
      <c r="A27" s="7" t="inlineStr">
        <is>
          <t>Baby-boomers</t>
        </is>
      </c>
      <c r="B27" s="84" t="inlineStr">
        <is>
          <t>Privé</t>
        </is>
      </c>
      <c r="C27" s="7">
        <f>IF(G27&gt;=SUMIFS(Regimes!$C$5:$C$10,Regimes!$A$5:$A$10,B27),"Privé",B27)</f>
        <v/>
      </c>
      <c r="D27" s="7">
        <f>INDEX(Regimes!$D$5:$D$10,MATCH(C27,Regimes!$A$5:$A$10,0))</f>
        <v/>
      </c>
      <c r="E27" s="88" t="n">
        <v>1952</v>
      </c>
      <c r="F27" s="8">
        <f>Donnees_generations!C40</f>
        <v/>
      </c>
      <c r="G27" s="77">
        <f>Donnees_generations!D40</f>
        <v/>
      </c>
      <c r="H27" s="8">
        <f>SUMIFS(Donnees_generations!$S$3:$S$113,Donnees_generations!$A$3:$A$113,MAX(1915,MIN(2025,E27)))</f>
        <v/>
      </c>
      <c r="I27" s="8">
        <f>SUMIFS(Donnees_generations!$T$3:$T$113,Donnees_generations!$A$3:$A$113,MAX(1915,MIN(2025,E27)))</f>
        <v/>
      </c>
      <c r="J27" s="8">
        <f>IF(G27&gt;=2000,MAX(I27,Parametres!$B$3),I27)</f>
        <v/>
      </c>
      <c r="K27" s="8">
        <f>IF(C27="Privé",J27,SUMIFS(Regles_regimes!$J$3:$J$2000,Regles_regimes!$A$3:$A$2000,C27,Regles_regimes!$B$3:$B$2000,D27,Regles_regimes!$C$3:$C$2000,MAX(1915,MIN(2025,E27))))</f>
        <v/>
      </c>
      <c r="L27" s="8">
        <f>IF(C27="Privé",H27,(K27-F27)*H27/(J27-F27))</f>
        <v/>
      </c>
      <c r="M27" s="77">
        <f>INT(E27+K27)</f>
        <v/>
      </c>
      <c r="N27" s="77">
        <f>G27+ROUNDUP(L27,0)-1</f>
        <v/>
      </c>
      <c r="O27" s="89">
        <f>SUMIFS(Regles_regimes!$K$3:$K$2000,Regles_regimes!$A$3:$A$2000,C27,Regles_regimes!$B$3:$B$2000,D27,Regles_regimes!$C$3:$C$2000,MAX(1915,MIN(2025,E27)))</f>
        <v/>
      </c>
      <c r="P27" s="13">
        <f>SUMIFS(Donnees_annuelles!$W$3:$W$188,Donnees_annuelles!$A$3:$A$188,"&gt;="&amp;G27,Donnees_annuelles!$A$3:$A$188,"&lt;="&amp;N27)*L27/ROUNDUP(L27,0)*O27</f>
        <v/>
      </c>
      <c r="Q27" s="13">
        <f>SUMIFS(Donnees_annuelles!$V$3:$V$188,Donnees_annuelles!$A$3:$A$188,"&gt;="&amp;G27,Donnees_annuelles!$A$3:$A$188,"&lt;="&amp;N27)*L27/ROUNDUP(L27,0)</f>
        <v/>
      </c>
      <c r="R27" s="13">
        <f>P27/L27</f>
        <v/>
      </c>
      <c r="S27" s="14">
        <f>SUMIFS(Donnees_annuelles!$D$3:$D$188,Donnees_annuelles!$A$3:$A$188,"&gt;="&amp;G27,Donnees_annuelles!$A$3:$A$188,"&lt;="&amp;N27)*L27/ROUNDUP(L27,0)</f>
        <v/>
      </c>
      <c r="T27" s="14">
        <f>SUMIFS(Donnees_regimes!$N$3:$N$1118,Donnees_regimes!$A$3:$A$1118,C27,Donnees_regimes!$B$3:$B$1118,"&gt;="&amp;G27,Donnees_regimes!$B$3:$B$1118,"&lt;="&amp;N27)*L27/ROUNDUP(L27,0)</f>
        <v/>
      </c>
      <c r="U27" s="14">
        <f>SUMIFS(Donnees_regimes!$O$3:$O$1118,Donnees_regimes!$A$3:$A$1118,C27,Donnees_regimes!$B$3:$B$1118,"&gt;="&amp;G27,Donnees_regimes!$B$3:$B$1118,"&lt;="&amp;N27)*L27/ROUNDUP(L27,0)</f>
        <v/>
      </c>
      <c r="V27" s="14">
        <f>T27+U27</f>
        <v/>
      </c>
      <c r="W27" s="33">
        <f>V27/S27</f>
        <v/>
      </c>
      <c r="X27" s="14">
        <f>S27+U27</f>
        <v/>
      </c>
      <c r="Y27" s="17">
        <f>V27/P27</f>
        <v/>
      </c>
      <c r="Z27" s="14">
        <f>SUMIFS(Donnees_regimes!$Q$3:$Q$1118,Donnees_regimes!$A$3:$A$1118,C27,Donnees_regimes!$B$3:$B$1118,"&gt;="&amp;G27,Donnees_regimes!$B$3:$B$1118,"&lt;="&amp;N27)*L27/ROUNDUP(L27,0)</f>
        <v/>
      </c>
      <c r="AA27" s="77">
        <f>SUMIFS(Regles_regimes!$F$3:$F$2000,Regles_regimes!$A$3:$A$2000,C27,Regles_regimes!$B$3:$B$2000,D27,Regles_regimes!$C$3:$C$2000,MAX(1915,MIN(2025,E27)))</f>
        <v/>
      </c>
      <c r="AB27" s="77">
        <f>IF(AND(SUMIFS(Regles_regimes!$L$3:$L$2000,Regles_regimes!$A$3:$A$2000,C27,Regles_regimes!$B$3:$B$2000,D27,Regles_regimes!$C$3:$C$2000,MAX(1915,MIN(2025,E27)))=1,G27&lt;2009,C27&lt;&gt;"Privé"),MIN(20,L27*4/5),0)</f>
        <v/>
      </c>
      <c r="AC27" s="89">
        <f>SUMIFS(Donnees_regimes!$M$3:$M$1118,Donnees_regimes!$A$3:$A$1118,C27,Donnees_regimes!$B$3:$B$1118,M27)</f>
        <v/>
      </c>
      <c r="AD27" s="14">
        <f>SUMIFS(Donnees_annuelles!$Y$3:$Y$188,Donnees_annuelles!$A$3:$A$188,M27)*SUMIFS(Donnees_generations!$I$3:$I$113,Donnees_generations!$A$3:$A$113,MAX(1915,MIN(2025,E27)))/H27</f>
        <v/>
      </c>
      <c r="AE27" s="14">
        <f>IF(C27="Privé",SUMIFS(Donnees_annuelles!$Y$3:$Y$188,Donnees_annuelles!$A$3:$A$188,M27)*MIN(L27,SUMIFS(Donnees_generations!$I$3:$I$113,Donnees_generations!$A$3:$A$113,MAX(1915,MIN(2025,E27))))/L27,AD27*AC27*MIN(IF(AB27&gt;0,0.8/0.75,1),(L27*4+AB27)/AA27))</f>
        <v/>
      </c>
      <c r="AF27" s="14">
        <f>AE27/12</f>
        <v/>
      </c>
      <c r="AG27" s="77">
        <f>MIN(68,MAX(56,2*INT(K27/2)))</f>
        <v/>
      </c>
      <c r="AH27" s="75">
        <f>(CHOOSE((AG27-56)/2+1,SUMIFS(Donnees_generations!$U$3:$U$113,Donnees_generations!$A$3:$A$113,MAX(1915,MIN(2025,E27))),SUMIFS(Donnees_generations!$V$3:$V$113,Donnees_generations!$A$3:$A$113,MAX(1915,MIN(2025,E27))),SUMIFS(Donnees_generations!$W$3:$W$113,Donnees_generations!$A$3:$A$113,MAX(1915,MIN(2025,E27))),SUMIFS(Donnees_generations!$X$3:$X$113,Donnees_generations!$A$3:$A$113,MAX(1915,MIN(2025,E27))),SUMIFS(Donnees_generations!$Y$3:$Y$113,Donnees_generations!$A$3:$A$113,MAX(1915,MIN(2025,E27))),SUMIFS(Donnees_generations!$Z$3:$Z$113,Donnees_generations!$A$3:$A$113,MAX(1915,MIN(2025,E27))),SUMIFS(Donnees_generations!$AA$3:$AA$113,Donnees_generations!$A$3:$A$113,MAX(1915,MIN(2025,E27))),SUMIFS(Donnees_generations!$AB$3:$AB$113,Donnees_generations!$A$3:$A$113,MAX(1915,MIN(2025,E27))))+CHOOSE((AG27-56)/2+1,SUMIFS(Donnees_generations!$AC$3:$AC$113,Donnees_generations!$A$3:$A$113,MAX(1915,MIN(2025,E27))),SUMIFS(Donnees_generations!$AD$3:$AD$113,Donnees_generations!$A$3:$A$113,MAX(1915,MIN(2025,E27))),SUMIFS(Donnees_generations!$AE$3:$AE$113,Donnees_generations!$A$3:$A$113,MAX(1915,MIN(2025,E27))),SUMIFS(Donnees_generations!$AF$3:$AF$113,Donnees_generations!$A$3:$A$113,MAX(1915,MIN(2025,E27))),SUMIFS(Donnees_generations!$AG$3:$AG$113,Donnees_generations!$A$3:$A$113,MAX(1915,MIN(2025,E27))),SUMIFS(Donnees_generations!$AH$3:$AH$113,Donnees_generations!$A$3:$A$113,MAX(1915,MIN(2025,E27))),SUMIFS(Donnees_generations!$AI$3:$AI$113,Donnees_generations!$A$3:$A$113,MAX(1915,MIN(2025,E27))),SUMIFS(Donnees_generations!$AJ$3:$AJ$113,Donnees_generations!$A$3:$A$113,MAX(1915,MIN(2025,E27)))))/2</f>
        <v/>
      </c>
      <c r="AI27" s="75">
        <f>(CHOOSE(((AG27+2)-56)/2+1,SUMIFS(Donnees_generations!$U$3:$U$113,Donnees_generations!$A$3:$A$113,MAX(1915,MIN(2025,E27))),SUMIFS(Donnees_generations!$V$3:$V$113,Donnees_generations!$A$3:$A$113,MAX(1915,MIN(2025,E27))),SUMIFS(Donnees_generations!$W$3:$W$113,Donnees_generations!$A$3:$A$113,MAX(1915,MIN(2025,E27))),SUMIFS(Donnees_generations!$X$3:$X$113,Donnees_generations!$A$3:$A$113,MAX(1915,MIN(2025,E27))),SUMIFS(Donnees_generations!$Y$3:$Y$113,Donnees_generations!$A$3:$A$113,MAX(1915,MIN(2025,E27))),SUMIFS(Donnees_generations!$Z$3:$Z$113,Donnees_generations!$A$3:$A$113,MAX(1915,MIN(2025,E27))),SUMIFS(Donnees_generations!$AA$3:$AA$113,Donnees_generations!$A$3:$A$113,MAX(1915,MIN(2025,E27))),SUMIFS(Donnees_generations!$AB$3:$AB$113,Donnees_generations!$A$3:$A$113,MAX(1915,MIN(2025,E27))))+CHOOSE(((AG27+2)-56)/2+1,SUMIFS(Donnees_generations!$AC$3:$AC$113,Donnees_generations!$A$3:$A$113,MAX(1915,MIN(2025,E27))),SUMIFS(Donnees_generations!$AD$3:$AD$113,Donnees_generations!$A$3:$A$113,MAX(1915,MIN(2025,E27))),SUMIFS(Donnees_generations!$AE$3:$AE$113,Donnees_generations!$A$3:$A$113,MAX(1915,MIN(2025,E27))),SUMIFS(Donnees_generations!$AF$3:$AF$113,Donnees_generations!$A$3:$A$113,MAX(1915,MIN(2025,E27))),SUMIFS(Donnees_generations!$AG$3:$AG$113,Donnees_generations!$A$3:$A$113,MAX(1915,MIN(2025,E27))),SUMIFS(Donnees_generations!$AH$3:$AH$113,Donnees_generations!$A$3:$A$113,MAX(1915,MIN(2025,E27))),SUMIFS(Donnees_generations!$AI$3:$AI$113,Donnees_generations!$A$3:$A$113,MAX(1915,MIN(2025,E27))),SUMIFS(Donnees_generations!$AJ$3:$AJ$113,Donnees_generations!$A$3:$A$113,MAX(1915,MIN(2025,E27)))))/2</f>
        <v/>
      </c>
      <c r="AJ27" s="8">
        <f>MAX(0,AH27+(AI27-AH27)*(K27-AG27)/2)</f>
        <v/>
      </c>
      <c r="AK27" s="8">
        <f>K27+AJ27</f>
        <v/>
      </c>
      <c r="AL27" s="14">
        <f>AE27*AJ27</f>
        <v/>
      </c>
      <c r="AM27" s="17">
        <f>V27/AL27</f>
        <v/>
      </c>
      <c r="AN27" s="17">
        <f>Z27/AL27</f>
        <v/>
      </c>
      <c r="AO27" s="33">
        <f>IF(V27+Z27=0,0,Z27/(V27+Z27))</f>
        <v/>
      </c>
      <c r="AP27" s="14">
        <f>AL27/V27*100</f>
        <v/>
      </c>
      <c r="AQ27" s="8">
        <f>P27/AL27*1000</f>
        <v/>
      </c>
      <c r="AR27" s="77">
        <f>MAX(N27,M27-1)</f>
        <v/>
      </c>
      <c r="AS27" s="14">
        <f>SUMIFS(Donnees_regimes!$R$3:$R$1118,Donnees_regimes!$A$3:$A$1118,C27,Donnees_regimes!$B$3:$B$1118,"&gt;="&amp;G27,Donnees_regimes!$B$3:$B$1118,"&lt;="&amp;N27)*L27/ROUNDUP(L27,0)*SUMIFS(Donnees_annuelles!$AG$3:$AG$188,Donnees_annuelles!$A$3:$A$188,AR27)*SUMIFS(Donnees_annuelles!$AA$3:$AA$188,Donnees_annuelles!$A$3:$A$188,AR27)</f>
        <v/>
      </c>
      <c r="AT27" s="36">
        <f>AS27/V27</f>
        <v/>
      </c>
      <c r="AU27" s="14">
        <f>AL27</f>
        <v/>
      </c>
      <c r="AV27" s="39">
        <f>AS27-AL27</f>
        <v/>
      </c>
      <c r="AW27" s="9">
        <f>AS27/AL27-1</f>
        <v/>
      </c>
      <c r="AX27" s="14">
        <f>AS27/AJ27/12</f>
        <v/>
      </c>
      <c r="AY27" s="14">
        <f>AF27</f>
        <v/>
      </c>
      <c r="AZ27" s="39">
        <f>AX27-AF27</f>
        <v/>
      </c>
      <c r="BA27" s="14">
        <f>SUMIFS(Donnees_regimes!$S$3:$S$1118,Donnees_regimes!$A$3:$A$1118,C27,Donnees_regimes!$B$3:$B$1118,"&gt;="&amp;G27,Donnees_regimes!$B$3:$B$1118,"&lt;="&amp;N27)*L27/ROUNDUP(L27,0)*SUMIFS(Donnees_annuelles!$AH$3:$AH$188,Donnees_annuelles!$A$3:$A$188,AR27)*SUMIFS(Donnees_annuelles!$AA$3:$AA$188,Donnees_annuelles!$A$3:$A$188,AR27)</f>
        <v/>
      </c>
      <c r="BB27" s="39">
        <f>BA27-AL27</f>
        <v/>
      </c>
      <c r="BC27" s="7">
        <f>IF(M27+AJ27&gt;2026,IF(G27&gt;2026,"entièrement projeté","en partie projeté"),"observé")</f>
        <v/>
      </c>
    </row>
    <row r="28">
      <c r="A28" s="7" t="inlineStr">
        <is>
          <t>Baby-boomers</t>
        </is>
      </c>
      <c r="B28" s="84" t="inlineStr">
        <is>
          <t>Privé</t>
        </is>
      </c>
      <c r="C28" s="7">
        <f>IF(G28&gt;=SUMIFS(Regimes!$C$5:$C$10,Regimes!$A$5:$A$10,B28),"Privé",B28)</f>
        <v/>
      </c>
      <c r="D28" s="7">
        <f>INDEX(Regimes!$D$5:$D$10,MATCH(C28,Regimes!$A$5:$A$10,0))</f>
        <v/>
      </c>
      <c r="E28" s="88" t="n">
        <v>1953</v>
      </c>
      <c r="F28" s="8">
        <f>Donnees_generations!C41</f>
        <v/>
      </c>
      <c r="G28" s="77">
        <f>Donnees_generations!D41</f>
        <v/>
      </c>
      <c r="H28" s="8">
        <f>SUMIFS(Donnees_generations!$S$3:$S$113,Donnees_generations!$A$3:$A$113,MAX(1915,MIN(2025,E28)))</f>
        <v/>
      </c>
      <c r="I28" s="8">
        <f>SUMIFS(Donnees_generations!$T$3:$T$113,Donnees_generations!$A$3:$A$113,MAX(1915,MIN(2025,E28)))</f>
        <v/>
      </c>
      <c r="J28" s="8">
        <f>IF(G28&gt;=2000,MAX(I28,Parametres!$B$3),I28)</f>
        <v/>
      </c>
      <c r="K28" s="8">
        <f>IF(C28="Privé",J28,SUMIFS(Regles_regimes!$J$3:$J$2000,Regles_regimes!$A$3:$A$2000,C28,Regles_regimes!$B$3:$B$2000,D28,Regles_regimes!$C$3:$C$2000,MAX(1915,MIN(2025,E28))))</f>
        <v/>
      </c>
      <c r="L28" s="8">
        <f>IF(C28="Privé",H28,(K28-F28)*H28/(J28-F28))</f>
        <v/>
      </c>
      <c r="M28" s="77">
        <f>INT(E28+K28)</f>
        <v/>
      </c>
      <c r="N28" s="77">
        <f>G28+ROUNDUP(L28,0)-1</f>
        <v/>
      </c>
      <c r="O28" s="89">
        <f>SUMIFS(Regles_regimes!$K$3:$K$2000,Regles_regimes!$A$3:$A$2000,C28,Regles_regimes!$B$3:$B$2000,D28,Regles_regimes!$C$3:$C$2000,MAX(1915,MIN(2025,E28)))</f>
        <v/>
      </c>
      <c r="P28" s="13">
        <f>SUMIFS(Donnees_annuelles!$W$3:$W$188,Donnees_annuelles!$A$3:$A$188,"&gt;="&amp;G28,Donnees_annuelles!$A$3:$A$188,"&lt;="&amp;N28)*L28/ROUNDUP(L28,0)*O28</f>
        <v/>
      </c>
      <c r="Q28" s="13">
        <f>SUMIFS(Donnees_annuelles!$V$3:$V$188,Donnees_annuelles!$A$3:$A$188,"&gt;="&amp;G28,Donnees_annuelles!$A$3:$A$188,"&lt;="&amp;N28)*L28/ROUNDUP(L28,0)</f>
        <v/>
      </c>
      <c r="R28" s="13">
        <f>P28/L28</f>
        <v/>
      </c>
      <c r="S28" s="14">
        <f>SUMIFS(Donnees_annuelles!$D$3:$D$188,Donnees_annuelles!$A$3:$A$188,"&gt;="&amp;G28,Donnees_annuelles!$A$3:$A$188,"&lt;="&amp;N28)*L28/ROUNDUP(L28,0)</f>
        <v/>
      </c>
      <c r="T28" s="14">
        <f>SUMIFS(Donnees_regimes!$N$3:$N$1118,Donnees_regimes!$A$3:$A$1118,C28,Donnees_regimes!$B$3:$B$1118,"&gt;="&amp;G28,Donnees_regimes!$B$3:$B$1118,"&lt;="&amp;N28)*L28/ROUNDUP(L28,0)</f>
        <v/>
      </c>
      <c r="U28" s="14">
        <f>SUMIFS(Donnees_regimes!$O$3:$O$1118,Donnees_regimes!$A$3:$A$1118,C28,Donnees_regimes!$B$3:$B$1118,"&gt;="&amp;G28,Donnees_regimes!$B$3:$B$1118,"&lt;="&amp;N28)*L28/ROUNDUP(L28,0)</f>
        <v/>
      </c>
      <c r="V28" s="14">
        <f>T28+U28</f>
        <v/>
      </c>
      <c r="W28" s="33">
        <f>V28/S28</f>
        <v/>
      </c>
      <c r="X28" s="14">
        <f>S28+U28</f>
        <v/>
      </c>
      <c r="Y28" s="17">
        <f>V28/P28</f>
        <v/>
      </c>
      <c r="Z28" s="14">
        <f>SUMIFS(Donnees_regimes!$Q$3:$Q$1118,Donnees_regimes!$A$3:$A$1118,C28,Donnees_regimes!$B$3:$B$1118,"&gt;="&amp;G28,Donnees_regimes!$B$3:$B$1118,"&lt;="&amp;N28)*L28/ROUNDUP(L28,0)</f>
        <v/>
      </c>
      <c r="AA28" s="77">
        <f>SUMIFS(Regles_regimes!$F$3:$F$2000,Regles_regimes!$A$3:$A$2000,C28,Regles_regimes!$B$3:$B$2000,D28,Regles_regimes!$C$3:$C$2000,MAX(1915,MIN(2025,E28)))</f>
        <v/>
      </c>
      <c r="AB28" s="77">
        <f>IF(AND(SUMIFS(Regles_regimes!$L$3:$L$2000,Regles_regimes!$A$3:$A$2000,C28,Regles_regimes!$B$3:$B$2000,D28,Regles_regimes!$C$3:$C$2000,MAX(1915,MIN(2025,E28)))=1,G28&lt;2009,C28&lt;&gt;"Privé"),MIN(20,L28*4/5),0)</f>
        <v/>
      </c>
      <c r="AC28" s="89">
        <f>SUMIFS(Donnees_regimes!$M$3:$M$1118,Donnees_regimes!$A$3:$A$1118,C28,Donnees_regimes!$B$3:$B$1118,M28)</f>
        <v/>
      </c>
      <c r="AD28" s="14">
        <f>SUMIFS(Donnees_annuelles!$Y$3:$Y$188,Donnees_annuelles!$A$3:$A$188,M28)*SUMIFS(Donnees_generations!$I$3:$I$113,Donnees_generations!$A$3:$A$113,MAX(1915,MIN(2025,E28)))/H28</f>
        <v/>
      </c>
      <c r="AE28" s="14">
        <f>IF(C28="Privé",SUMIFS(Donnees_annuelles!$Y$3:$Y$188,Donnees_annuelles!$A$3:$A$188,M28)*MIN(L28,SUMIFS(Donnees_generations!$I$3:$I$113,Donnees_generations!$A$3:$A$113,MAX(1915,MIN(2025,E28))))/L28,AD28*AC28*MIN(IF(AB28&gt;0,0.8/0.75,1),(L28*4+AB28)/AA28))</f>
        <v/>
      </c>
      <c r="AF28" s="14">
        <f>AE28/12</f>
        <v/>
      </c>
      <c r="AG28" s="77">
        <f>MIN(68,MAX(56,2*INT(K28/2)))</f>
        <v/>
      </c>
      <c r="AH28" s="75">
        <f>(CHOOSE((AG28-56)/2+1,SUMIFS(Donnees_generations!$U$3:$U$113,Donnees_generations!$A$3:$A$113,MAX(1915,MIN(2025,E28))),SUMIFS(Donnees_generations!$V$3:$V$113,Donnees_generations!$A$3:$A$113,MAX(1915,MIN(2025,E28))),SUMIFS(Donnees_generations!$W$3:$W$113,Donnees_generations!$A$3:$A$113,MAX(1915,MIN(2025,E28))),SUMIFS(Donnees_generations!$X$3:$X$113,Donnees_generations!$A$3:$A$113,MAX(1915,MIN(2025,E28))),SUMIFS(Donnees_generations!$Y$3:$Y$113,Donnees_generations!$A$3:$A$113,MAX(1915,MIN(2025,E28))),SUMIFS(Donnees_generations!$Z$3:$Z$113,Donnees_generations!$A$3:$A$113,MAX(1915,MIN(2025,E28))),SUMIFS(Donnees_generations!$AA$3:$AA$113,Donnees_generations!$A$3:$A$113,MAX(1915,MIN(2025,E28))),SUMIFS(Donnees_generations!$AB$3:$AB$113,Donnees_generations!$A$3:$A$113,MAX(1915,MIN(2025,E28))))+CHOOSE((AG28-56)/2+1,SUMIFS(Donnees_generations!$AC$3:$AC$113,Donnees_generations!$A$3:$A$113,MAX(1915,MIN(2025,E28))),SUMIFS(Donnees_generations!$AD$3:$AD$113,Donnees_generations!$A$3:$A$113,MAX(1915,MIN(2025,E28))),SUMIFS(Donnees_generations!$AE$3:$AE$113,Donnees_generations!$A$3:$A$113,MAX(1915,MIN(2025,E28))),SUMIFS(Donnees_generations!$AF$3:$AF$113,Donnees_generations!$A$3:$A$113,MAX(1915,MIN(2025,E28))),SUMIFS(Donnees_generations!$AG$3:$AG$113,Donnees_generations!$A$3:$A$113,MAX(1915,MIN(2025,E28))),SUMIFS(Donnees_generations!$AH$3:$AH$113,Donnees_generations!$A$3:$A$113,MAX(1915,MIN(2025,E28))),SUMIFS(Donnees_generations!$AI$3:$AI$113,Donnees_generations!$A$3:$A$113,MAX(1915,MIN(2025,E28))),SUMIFS(Donnees_generations!$AJ$3:$AJ$113,Donnees_generations!$A$3:$A$113,MAX(1915,MIN(2025,E28)))))/2</f>
        <v/>
      </c>
      <c r="AI28" s="75">
        <f>(CHOOSE(((AG28+2)-56)/2+1,SUMIFS(Donnees_generations!$U$3:$U$113,Donnees_generations!$A$3:$A$113,MAX(1915,MIN(2025,E28))),SUMIFS(Donnees_generations!$V$3:$V$113,Donnees_generations!$A$3:$A$113,MAX(1915,MIN(2025,E28))),SUMIFS(Donnees_generations!$W$3:$W$113,Donnees_generations!$A$3:$A$113,MAX(1915,MIN(2025,E28))),SUMIFS(Donnees_generations!$X$3:$X$113,Donnees_generations!$A$3:$A$113,MAX(1915,MIN(2025,E28))),SUMIFS(Donnees_generations!$Y$3:$Y$113,Donnees_generations!$A$3:$A$113,MAX(1915,MIN(2025,E28))),SUMIFS(Donnees_generations!$Z$3:$Z$113,Donnees_generations!$A$3:$A$113,MAX(1915,MIN(2025,E28))),SUMIFS(Donnees_generations!$AA$3:$AA$113,Donnees_generations!$A$3:$A$113,MAX(1915,MIN(2025,E28))),SUMIFS(Donnees_generations!$AB$3:$AB$113,Donnees_generations!$A$3:$A$113,MAX(1915,MIN(2025,E28))))+CHOOSE(((AG28+2)-56)/2+1,SUMIFS(Donnees_generations!$AC$3:$AC$113,Donnees_generations!$A$3:$A$113,MAX(1915,MIN(2025,E28))),SUMIFS(Donnees_generations!$AD$3:$AD$113,Donnees_generations!$A$3:$A$113,MAX(1915,MIN(2025,E28))),SUMIFS(Donnees_generations!$AE$3:$AE$113,Donnees_generations!$A$3:$A$113,MAX(1915,MIN(2025,E28))),SUMIFS(Donnees_generations!$AF$3:$AF$113,Donnees_generations!$A$3:$A$113,MAX(1915,MIN(2025,E28))),SUMIFS(Donnees_generations!$AG$3:$AG$113,Donnees_generations!$A$3:$A$113,MAX(1915,MIN(2025,E28))),SUMIFS(Donnees_generations!$AH$3:$AH$113,Donnees_generations!$A$3:$A$113,MAX(1915,MIN(2025,E28))),SUMIFS(Donnees_generations!$AI$3:$AI$113,Donnees_generations!$A$3:$A$113,MAX(1915,MIN(2025,E28))),SUMIFS(Donnees_generations!$AJ$3:$AJ$113,Donnees_generations!$A$3:$A$113,MAX(1915,MIN(2025,E28)))))/2</f>
        <v/>
      </c>
      <c r="AJ28" s="8">
        <f>MAX(0,AH28+(AI28-AH28)*(K28-AG28)/2)</f>
        <v/>
      </c>
      <c r="AK28" s="8">
        <f>K28+AJ28</f>
        <v/>
      </c>
      <c r="AL28" s="14">
        <f>AE28*AJ28</f>
        <v/>
      </c>
      <c r="AM28" s="17">
        <f>V28/AL28</f>
        <v/>
      </c>
      <c r="AN28" s="17">
        <f>Z28/AL28</f>
        <v/>
      </c>
      <c r="AO28" s="33">
        <f>IF(V28+Z28=0,0,Z28/(V28+Z28))</f>
        <v/>
      </c>
      <c r="AP28" s="14">
        <f>AL28/V28*100</f>
        <v/>
      </c>
      <c r="AQ28" s="8">
        <f>P28/AL28*1000</f>
        <v/>
      </c>
      <c r="AR28" s="77">
        <f>MAX(N28,M28-1)</f>
        <v/>
      </c>
      <c r="AS28" s="14">
        <f>SUMIFS(Donnees_regimes!$R$3:$R$1118,Donnees_regimes!$A$3:$A$1118,C28,Donnees_regimes!$B$3:$B$1118,"&gt;="&amp;G28,Donnees_regimes!$B$3:$B$1118,"&lt;="&amp;N28)*L28/ROUNDUP(L28,0)*SUMIFS(Donnees_annuelles!$AG$3:$AG$188,Donnees_annuelles!$A$3:$A$188,AR28)*SUMIFS(Donnees_annuelles!$AA$3:$AA$188,Donnees_annuelles!$A$3:$A$188,AR28)</f>
        <v/>
      </c>
      <c r="AT28" s="36">
        <f>AS28/V28</f>
        <v/>
      </c>
      <c r="AU28" s="14">
        <f>AL28</f>
        <v/>
      </c>
      <c r="AV28" s="39">
        <f>AS28-AL28</f>
        <v/>
      </c>
      <c r="AW28" s="9">
        <f>AS28/AL28-1</f>
        <v/>
      </c>
      <c r="AX28" s="14">
        <f>AS28/AJ28/12</f>
        <v/>
      </c>
      <c r="AY28" s="14">
        <f>AF28</f>
        <v/>
      </c>
      <c r="AZ28" s="39">
        <f>AX28-AF28</f>
        <v/>
      </c>
      <c r="BA28" s="14">
        <f>SUMIFS(Donnees_regimes!$S$3:$S$1118,Donnees_regimes!$A$3:$A$1118,C28,Donnees_regimes!$B$3:$B$1118,"&gt;="&amp;G28,Donnees_regimes!$B$3:$B$1118,"&lt;="&amp;N28)*L28/ROUNDUP(L28,0)*SUMIFS(Donnees_annuelles!$AH$3:$AH$188,Donnees_annuelles!$A$3:$A$188,AR28)*SUMIFS(Donnees_annuelles!$AA$3:$AA$188,Donnees_annuelles!$A$3:$A$188,AR28)</f>
        <v/>
      </c>
      <c r="BB28" s="39">
        <f>BA28-AL28</f>
        <v/>
      </c>
      <c r="BC28" s="7">
        <f>IF(M28+AJ28&gt;2026,IF(G28&gt;2026,"entièrement projeté","en partie projeté"),"observé")</f>
        <v/>
      </c>
    </row>
    <row r="29">
      <c r="A29" s="7" t="inlineStr">
        <is>
          <t>Baby-boomers</t>
        </is>
      </c>
      <c r="B29" s="84" t="inlineStr">
        <is>
          <t>Privé</t>
        </is>
      </c>
      <c r="C29" s="7">
        <f>IF(G29&gt;=SUMIFS(Regimes!$C$5:$C$10,Regimes!$A$5:$A$10,B29),"Privé",B29)</f>
        <v/>
      </c>
      <c r="D29" s="7">
        <f>INDEX(Regimes!$D$5:$D$10,MATCH(C29,Regimes!$A$5:$A$10,0))</f>
        <v/>
      </c>
      <c r="E29" s="88" t="n">
        <v>1954</v>
      </c>
      <c r="F29" s="8">
        <f>Donnees_generations!C42</f>
        <v/>
      </c>
      <c r="G29" s="77">
        <f>Donnees_generations!D42</f>
        <v/>
      </c>
      <c r="H29" s="8">
        <f>SUMIFS(Donnees_generations!$S$3:$S$113,Donnees_generations!$A$3:$A$113,MAX(1915,MIN(2025,E29)))</f>
        <v/>
      </c>
      <c r="I29" s="8">
        <f>SUMIFS(Donnees_generations!$T$3:$T$113,Donnees_generations!$A$3:$A$113,MAX(1915,MIN(2025,E29)))</f>
        <v/>
      </c>
      <c r="J29" s="8">
        <f>IF(G29&gt;=2000,MAX(I29,Parametres!$B$3),I29)</f>
        <v/>
      </c>
      <c r="K29" s="8">
        <f>IF(C29="Privé",J29,SUMIFS(Regles_regimes!$J$3:$J$2000,Regles_regimes!$A$3:$A$2000,C29,Regles_regimes!$B$3:$B$2000,D29,Regles_regimes!$C$3:$C$2000,MAX(1915,MIN(2025,E29))))</f>
        <v/>
      </c>
      <c r="L29" s="8">
        <f>IF(C29="Privé",H29,(K29-F29)*H29/(J29-F29))</f>
        <v/>
      </c>
      <c r="M29" s="77">
        <f>INT(E29+K29)</f>
        <v/>
      </c>
      <c r="N29" s="77">
        <f>G29+ROUNDUP(L29,0)-1</f>
        <v/>
      </c>
      <c r="O29" s="89">
        <f>SUMIFS(Regles_regimes!$K$3:$K$2000,Regles_regimes!$A$3:$A$2000,C29,Regles_regimes!$B$3:$B$2000,D29,Regles_regimes!$C$3:$C$2000,MAX(1915,MIN(2025,E29)))</f>
        <v/>
      </c>
      <c r="P29" s="13">
        <f>SUMIFS(Donnees_annuelles!$W$3:$W$188,Donnees_annuelles!$A$3:$A$188,"&gt;="&amp;G29,Donnees_annuelles!$A$3:$A$188,"&lt;="&amp;N29)*L29/ROUNDUP(L29,0)*O29</f>
        <v/>
      </c>
      <c r="Q29" s="13">
        <f>SUMIFS(Donnees_annuelles!$V$3:$V$188,Donnees_annuelles!$A$3:$A$188,"&gt;="&amp;G29,Donnees_annuelles!$A$3:$A$188,"&lt;="&amp;N29)*L29/ROUNDUP(L29,0)</f>
        <v/>
      </c>
      <c r="R29" s="13">
        <f>P29/L29</f>
        <v/>
      </c>
      <c r="S29" s="14">
        <f>SUMIFS(Donnees_annuelles!$D$3:$D$188,Donnees_annuelles!$A$3:$A$188,"&gt;="&amp;G29,Donnees_annuelles!$A$3:$A$188,"&lt;="&amp;N29)*L29/ROUNDUP(L29,0)</f>
        <v/>
      </c>
      <c r="T29" s="14">
        <f>SUMIFS(Donnees_regimes!$N$3:$N$1118,Donnees_regimes!$A$3:$A$1118,C29,Donnees_regimes!$B$3:$B$1118,"&gt;="&amp;G29,Donnees_regimes!$B$3:$B$1118,"&lt;="&amp;N29)*L29/ROUNDUP(L29,0)</f>
        <v/>
      </c>
      <c r="U29" s="14">
        <f>SUMIFS(Donnees_regimes!$O$3:$O$1118,Donnees_regimes!$A$3:$A$1118,C29,Donnees_regimes!$B$3:$B$1118,"&gt;="&amp;G29,Donnees_regimes!$B$3:$B$1118,"&lt;="&amp;N29)*L29/ROUNDUP(L29,0)</f>
        <v/>
      </c>
      <c r="V29" s="14">
        <f>T29+U29</f>
        <v/>
      </c>
      <c r="W29" s="33">
        <f>V29/S29</f>
        <v/>
      </c>
      <c r="X29" s="14">
        <f>S29+U29</f>
        <v/>
      </c>
      <c r="Y29" s="17">
        <f>V29/P29</f>
        <v/>
      </c>
      <c r="Z29" s="14">
        <f>SUMIFS(Donnees_regimes!$Q$3:$Q$1118,Donnees_regimes!$A$3:$A$1118,C29,Donnees_regimes!$B$3:$B$1118,"&gt;="&amp;G29,Donnees_regimes!$B$3:$B$1118,"&lt;="&amp;N29)*L29/ROUNDUP(L29,0)</f>
        <v/>
      </c>
      <c r="AA29" s="77">
        <f>SUMIFS(Regles_regimes!$F$3:$F$2000,Regles_regimes!$A$3:$A$2000,C29,Regles_regimes!$B$3:$B$2000,D29,Regles_regimes!$C$3:$C$2000,MAX(1915,MIN(2025,E29)))</f>
        <v/>
      </c>
      <c r="AB29" s="77">
        <f>IF(AND(SUMIFS(Regles_regimes!$L$3:$L$2000,Regles_regimes!$A$3:$A$2000,C29,Regles_regimes!$B$3:$B$2000,D29,Regles_regimes!$C$3:$C$2000,MAX(1915,MIN(2025,E29)))=1,G29&lt;2009,C29&lt;&gt;"Privé"),MIN(20,L29*4/5),0)</f>
        <v/>
      </c>
      <c r="AC29" s="89">
        <f>SUMIFS(Donnees_regimes!$M$3:$M$1118,Donnees_regimes!$A$3:$A$1118,C29,Donnees_regimes!$B$3:$B$1118,M29)</f>
        <v/>
      </c>
      <c r="AD29" s="14">
        <f>SUMIFS(Donnees_annuelles!$Y$3:$Y$188,Donnees_annuelles!$A$3:$A$188,M29)*SUMIFS(Donnees_generations!$I$3:$I$113,Donnees_generations!$A$3:$A$113,MAX(1915,MIN(2025,E29)))/H29</f>
        <v/>
      </c>
      <c r="AE29" s="14">
        <f>IF(C29="Privé",SUMIFS(Donnees_annuelles!$Y$3:$Y$188,Donnees_annuelles!$A$3:$A$188,M29)*MIN(L29,SUMIFS(Donnees_generations!$I$3:$I$113,Donnees_generations!$A$3:$A$113,MAX(1915,MIN(2025,E29))))/L29,AD29*AC29*MIN(IF(AB29&gt;0,0.8/0.75,1),(L29*4+AB29)/AA29))</f>
        <v/>
      </c>
      <c r="AF29" s="14">
        <f>AE29/12</f>
        <v/>
      </c>
      <c r="AG29" s="77">
        <f>MIN(68,MAX(56,2*INT(K29/2)))</f>
        <v/>
      </c>
      <c r="AH29" s="75">
        <f>(CHOOSE((AG29-56)/2+1,SUMIFS(Donnees_generations!$U$3:$U$113,Donnees_generations!$A$3:$A$113,MAX(1915,MIN(2025,E29))),SUMIFS(Donnees_generations!$V$3:$V$113,Donnees_generations!$A$3:$A$113,MAX(1915,MIN(2025,E29))),SUMIFS(Donnees_generations!$W$3:$W$113,Donnees_generations!$A$3:$A$113,MAX(1915,MIN(2025,E29))),SUMIFS(Donnees_generations!$X$3:$X$113,Donnees_generations!$A$3:$A$113,MAX(1915,MIN(2025,E29))),SUMIFS(Donnees_generations!$Y$3:$Y$113,Donnees_generations!$A$3:$A$113,MAX(1915,MIN(2025,E29))),SUMIFS(Donnees_generations!$Z$3:$Z$113,Donnees_generations!$A$3:$A$113,MAX(1915,MIN(2025,E29))),SUMIFS(Donnees_generations!$AA$3:$AA$113,Donnees_generations!$A$3:$A$113,MAX(1915,MIN(2025,E29))),SUMIFS(Donnees_generations!$AB$3:$AB$113,Donnees_generations!$A$3:$A$113,MAX(1915,MIN(2025,E29))))+CHOOSE((AG29-56)/2+1,SUMIFS(Donnees_generations!$AC$3:$AC$113,Donnees_generations!$A$3:$A$113,MAX(1915,MIN(2025,E29))),SUMIFS(Donnees_generations!$AD$3:$AD$113,Donnees_generations!$A$3:$A$113,MAX(1915,MIN(2025,E29))),SUMIFS(Donnees_generations!$AE$3:$AE$113,Donnees_generations!$A$3:$A$113,MAX(1915,MIN(2025,E29))),SUMIFS(Donnees_generations!$AF$3:$AF$113,Donnees_generations!$A$3:$A$113,MAX(1915,MIN(2025,E29))),SUMIFS(Donnees_generations!$AG$3:$AG$113,Donnees_generations!$A$3:$A$113,MAX(1915,MIN(2025,E29))),SUMIFS(Donnees_generations!$AH$3:$AH$113,Donnees_generations!$A$3:$A$113,MAX(1915,MIN(2025,E29))),SUMIFS(Donnees_generations!$AI$3:$AI$113,Donnees_generations!$A$3:$A$113,MAX(1915,MIN(2025,E29))),SUMIFS(Donnees_generations!$AJ$3:$AJ$113,Donnees_generations!$A$3:$A$113,MAX(1915,MIN(2025,E29)))))/2</f>
        <v/>
      </c>
      <c r="AI29" s="75">
        <f>(CHOOSE(((AG29+2)-56)/2+1,SUMIFS(Donnees_generations!$U$3:$U$113,Donnees_generations!$A$3:$A$113,MAX(1915,MIN(2025,E29))),SUMIFS(Donnees_generations!$V$3:$V$113,Donnees_generations!$A$3:$A$113,MAX(1915,MIN(2025,E29))),SUMIFS(Donnees_generations!$W$3:$W$113,Donnees_generations!$A$3:$A$113,MAX(1915,MIN(2025,E29))),SUMIFS(Donnees_generations!$X$3:$X$113,Donnees_generations!$A$3:$A$113,MAX(1915,MIN(2025,E29))),SUMIFS(Donnees_generations!$Y$3:$Y$113,Donnees_generations!$A$3:$A$113,MAX(1915,MIN(2025,E29))),SUMIFS(Donnees_generations!$Z$3:$Z$113,Donnees_generations!$A$3:$A$113,MAX(1915,MIN(2025,E29))),SUMIFS(Donnees_generations!$AA$3:$AA$113,Donnees_generations!$A$3:$A$113,MAX(1915,MIN(2025,E29))),SUMIFS(Donnees_generations!$AB$3:$AB$113,Donnees_generations!$A$3:$A$113,MAX(1915,MIN(2025,E29))))+CHOOSE(((AG29+2)-56)/2+1,SUMIFS(Donnees_generations!$AC$3:$AC$113,Donnees_generations!$A$3:$A$113,MAX(1915,MIN(2025,E29))),SUMIFS(Donnees_generations!$AD$3:$AD$113,Donnees_generations!$A$3:$A$113,MAX(1915,MIN(2025,E29))),SUMIFS(Donnees_generations!$AE$3:$AE$113,Donnees_generations!$A$3:$A$113,MAX(1915,MIN(2025,E29))),SUMIFS(Donnees_generations!$AF$3:$AF$113,Donnees_generations!$A$3:$A$113,MAX(1915,MIN(2025,E29))),SUMIFS(Donnees_generations!$AG$3:$AG$113,Donnees_generations!$A$3:$A$113,MAX(1915,MIN(2025,E29))),SUMIFS(Donnees_generations!$AH$3:$AH$113,Donnees_generations!$A$3:$A$113,MAX(1915,MIN(2025,E29))),SUMIFS(Donnees_generations!$AI$3:$AI$113,Donnees_generations!$A$3:$A$113,MAX(1915,MIN(2025,E29))),SUMIFS(Donnees_generations!$AJ$3:$AJ$113,Donnees_generations!$A$3:$A$113,MAX(1915,MIN(2025,E29)))))/2</f>
        <v/>
      </c>
      <c r="AJ29" s="8">
        <f>MAX(0,AH29+(AI29-AH29)*(K29-AG29)/2)</f>
        <v/>
      </c>
      <c r="AK29" s="8">
        <f>K29+AJ29</f>
        <v/>
      </c>
      <c r="AL29" s="14">
        <f>AE29*AJ29</f>
        <v/>
      </c>
      <c r="AM29" s="17">
        <f>V29/AL29</f>
        <v/>
      </c>
      <c r="AN29" s="17">
        <f>Z29/AL29</f>
        <v/>
      </c>
      <c r="AO29" s="33">
        <f>IF(V29+Z29=0,0,Z29/(V29+Z29))</f>
        <v/>
      </c>
      <c r="AP29" s="14">
        <f>AL29/V29*100</f>
        <v/>
      </c>
      <c r="AQ29" s="8">
        <f>P29/AL29*1000</f>
        <v/>
      </c>
      <c r="AR29" s="77">
        <f>MAX(N29,M29-1)</f>
        <v/>
      </c>
      <c r="AS29" s="14">
        <f>SUMIFS(Donnees_regimes!$R$3:$R$1118,Donnees_regimes!$A$3:$A$1118,C29,Donnees_regimes!$B$3:$B$1118,"&gt;="&amp;G29,Donnees_regimes!$B$3:$B$1118,"&lt;="&amp;N29)*L29/ROUNDUP(L29,0)*SUMIFS(Donnees_annuelles!$AG$3:$AG$188,Donnees_annuelles!$A$3:$A$188,AR29)*SUMIFS(Donnees_annuelles!$AA$3:$AA$188,Donnees_annuelles!$A$3:$A$188,AR29)</f>
        <v/>
      </c>
      <c r="AT29" s="36">
        <f>AS29/V29</f>
        <v/>
      </c>
      <c r="AU29" s="14">
        <f>AL29</f>
        <v/>
      </c>
      <c r="AV29" s="39">
        <f>AS29-AL29</f>
        <v/>
      </c>
      <c r="AW29" s="9">
        <f>AS29/AL29-1</f>
        <v/>
      </c>
      <c r="AX29" s="14">
        <f>AS29/AJ29/12</f>
        <v/>
      </c>
      <c r="AY29" s="14">
        <f>AF29</f>
        <v/>
      </c>
      <c r="AZ29" s="39">
        <f>AX29-AF29</f>
        <v/>
      </c>
      <c r="BA29" s="14">
        <f>SUMIFS(Donnees_regimes!$S$3:$S$1118,Donnees_regimes!$A$3:$A$1118,C29,Donnees_regimes!$B$3:$B$1118,"&gt;="&amp;G29,Donnees_regimes!$B$3:$B$1118,"&lt;="&amp;N29)*L29/ROUNDUP(L29,0)*SUMIFS(Donnees_annuelles!$AH$3:$AH$188,Donnees_annuelles!$A$3:$A$188,AR29)*SUMIFS(Donnees_annuelles!$AA$3:$AA$188,Donnees_annuelles!$A$3:$A$188,AR29)</f>
        <v/>
      </c>
      <c r="BB29" s="39">
        <f>BA29-AL29</f>
        <v/>
      </c>
      <c r="BC29" s="7">
        <f>IF(M29+AJ29&gt;2026,IF(G29&gt;2026,"entièrement projeté","en partie projeté"),"observé")</f>
        <v/>
      </c>
    </row>
    <row r="30">
      <c r="A30" s="7" t="inlineStr">
        <is>
          <t>Baby-boomers</t>
        </is>
      </c>
      <c r="B30" s="84" t="inlineStr">
        <is>
          <t>Privé</t>
        </is>
      </c>
      <c r="C30" s="7">
        <f>IF(G30&gt;=SUMIFS(Regimes!$C$5:$C$10,Regimes!$A$5:$A$10,B30),"Privé",B30)</f>
        <v/>
      </c>
      <c r="D30" s="7">
        <f>INDEX(Regimes!$D$5:$D$10,MATCH(C30,Regimes!$A$5:$A$10,0))</f>
        <v/>
      </c>
      <c r="E30" s="88" t="n">
        <v>1955</v>
      </c>
      <c r="F30" s="8">
        <f>Donnees_generations!C43</f>
        <v/>
      </c>
      <c r="G30" s="77">
        <f>Donnees_generations!D43</f>
        <v/>
      </c>
      <c r="H30" s="8">
        <f>SUMIFS(Donnees_generations!$S$3:$S$113,Donnees_generations!$A$3:$A$113,MAX(1915,MIN(2025,E30)))</f>
        <v/>
      </c>
      <c r="I30" s="8">
        <f>SUMIFS(Donnees_generations!$T$3:$T$113,Donnees_generations!$A$3:$A$113,MAX(1915,MIN(2025,E30)))</f>
        <v/>
      </c>
      <c r="J30" s="8">
        <f>IF(G30&gt;=2000,MAX(I30,Parametres!$B$3),I30)</f>
        <v/>
      </c>
      <c r="K30" s="8">
        <f>IF(C30="Privé",J30,SUMIFS(Regles_regimes!$J$3:$J$2000,Regles_regimes!$A$3:$A$2000,C30,Regles_regimes!$B$3:$B$2000,D30,Regles_regimes!$C$3:$C$2000,MAX(1915,MIN(2025,E30))))</f>
        <v/>
      </c>
      <c r="L30" s="8">
        <f>IF(C30="Privé",H30,(K30-F30)*H30/(J30-F30))</f>
        <v/>
      </c>
      <c r="M30" s="77">
        <f>INT(E30+K30)</f>
        <v/>
      </c>
      <c r="N30" s="77">
        <f>G30+ROUNDUP(L30,0)-1</f>
        <v/>
      </c>
      <c r="O30" s="89">
        <f>SUMIFS(Regles_regimes!$K$3:$K$2000,Regles_regimes!$A$3:$A$2000,C30,Regles_regimes!$B$3:$B$2000,D30,Regles_regimes!$C$3:$C$2000,MAX(1915,MIN(2025,E30)))</f>
        <v/>
      </c>
      <c r="P30" s="13">
        <f>SUMIFS(Donnees_annuelles!$W$3:$W$188,Donnees_annuelles!$A$3:$A$188,"&gt;="&amp;G30,Donnees_annuelles!$A$3:$A$188,"&lt;="&amp;N30)*L30/ROUNDUP(L30,0)*O30</f>
        <v/>
      </c>
      <c r="Q30" s="13">
        <f>SUMIFS(Donnees_annuelles!$V$3:$V$188,Donnees_annuelles!$A$3:$A$188,"&gt;="&amp;G30,Donnees_annuelles!$A$3:$A$188,"&lt;="&amp;N30)*L30/ROUNDUP(L30,0)</f>
        <v/>
      </c>
      <c r="R30" s="13">
        <f>P30/L30</f>
        <v/>
      </c>
      <c r="S30" s="14">
        <f>SUMIFS(Donnees_annuelles!$D$3:$D$188,Donnees_annuelles!$A$3:$A$188,"&gt;="&amp;G30,Donnees_annuelles!$A$3:$A$188,"&lt;="&amp;N30)*L30/ROUNDUP(L30,0)</f>
        <v/>
      </c>
      <c r="T30" s="14">
        <f>SUMIFS(Donnees_regimes!$N$3:$N$1118,Donnees_regimes!$A$3:$A$1118,C30,Donnees_regimes!$B$3:$B$1118,"&gt;="&amp;G30,Donnees_regimes!$B$3:$B$1118,"&lt;="&amp;N30)*L30/ROUNDUP(L30,0)</f>
        <v/>
      </c>
      <c r="U30" s="14">
        <f>SUMIFS(Donnees_regimes!$O$3:$O$1118,Donnees_regimes!$A$3:$A$1118,C30,Donnees_regimes!$B$3:$B$1118,"&gt;="&amp;G30,Donnees_regimes!$B$3:$B$1118,"&lt;="&amp;N30)*L30/ROUNDUP(L30,0)</f>
        <v/>
      </c>
      <c r="V30" s="14">
        <f>T30+U30</f>
        <v/>
      </c>
      <c r="W30" s="33">
        <f>V30/S30</f>
        <v/>
      </c>
      <c r="X30" s="14">
        <f>S30+U30</f>
        <v/>
      </c>
      <c r="Y30" s="17">
        <f>V30/P30</f>
        <v/>
      </c>
      <c r="Z30" s="14">
        <f>SUMIFS(Donnees_regimes!$Q$3:$Q$1118,Donnees_regimes!$A$3:$A$1118,C30,Donnees_regimes!$B$3:$B$1118,"&gt;="&amp;G30,Donnees_regimes!$B$3:$B$1118,"&lt;="&amp;N30)*L30/ROUNDUP(L30,0)</f>
        <v/>
      </c>
      <c r="AA30" s="77">
        <f>SUMIFS(Regles_regimes!$F$3:$F$2000,Regles_regimes!$A$3:$A$2000,C30,Regles_regimes!$B$3:$B$2000,D30,Regles_regimes!$C$3:$C$2000,MAX(1915,MIN(2025,E30)))</f>
        <v/>
      </c>
      <c r="AB30" s="77">
        <f>IF(AND(SUMIFS(Regles_regimes!$L$3:$L$2000,Regles_regimes!$A$3:$A$2000,C30,Regles_regimes!$B$3:$B$2000,D30,Regles_regimes!$C$3:$C$2000,MAX(1915,MIN(2025,E30)))=1,G30&lt;2009,C30&lt;&gt;"Privé"),MIN(20,L30*4/5),0)</f>
        <v/>
      </c>
      <c r="AC30" s="89">
        <f>SUMIFS(Donnees_regimes!$M$3:$M$1118,Donnees_regimes!$A$3:$A$1118,C30,Donnees_regimes!$B$3:$B$1118,M30)</f>
        <v/>
      </c>
      <c r="AD30" s="14">
        <f>SUMIFS(Donnees_annuelles!$Y$3:$Y$188,Donnees_annuelles!$A$3:$A$188,M30)*SUMIFS(Donnees_generations!$I$3:$I$113,Donnees_generations!$A$3:$A$113,MAX(1915,MIN(2025,E30)))/H30</f>
        <v/>
      </c>
      <c r="AE30" s="14">
        <f>IF(C30="Privé",SUMIFS(Donnees_annuelles!$Y$3:$Y$188,Donnees_annuelles!$A$3:$A$188,M30)*MIN(L30,SUMIFS(Donnees_generations!$I$3:$I$113,Donnees_generations!$A$3:$A$113,MAX(1915,MIN(2025,E30))))/L30,AD30*AC30*MIN(IF(AB30&gt;0,0.8/0.75,1),(L30*4+AB30)/AA30))</f>
        <v/>
      </c>
      <c r="AF30" s="14">
        <f>AE30/12</f>
        <v/>
      </c>
      <c r="AG30" s="77">
        <f>MIN(68,MAX(56,2*INT(K30/2)))</f>
        <v/>
      </c>
      <c r="AH30" s="75">
        <f>(CHOOSE((AG30-56)/2+1,SUMIFS(Donnees_generations!$U$3:$U$113,Donnees_generations!$A$3:$A$113,MAX(1915,MIN(2025,E30))),SUMIFS(Donnees_generations!$V$3:$V$113,Donnees_generations!$A$3:$A$113,MAX(1915,MIN(2025,E30))),SUMIFS(Donnees_generations!$W$3:$W$113,Donnees_generations!$A$3:$A$113,MAX(1915,MIN(2025,E30))),SUMIFS(Donnees_generations!$X$3:$X$113,Donnees_generations!$A$3:$A$113,MAX(1915,MIN(2025,E30))),SUMIFS(Donnees_generations!$Y$3:$Y$113,Donnees_generations!$A$3:$A$113,MAX(1915,MIN(2025,E30))),SUMIFS(Donnees_generations!$Z$3:$Z$113,Donnees_generations!$A$3:$A$113,MAX(1915,MIN(2025,E30))),SUMIFS(Donnees_generations!$AA$3:$AA$113,Donnees_generations!$A$3:$A$113,MAX(1915,MIN(2025,E30))),SUMIFS(Donnees_generations!$AB$3:$AB$113,Donnees_generations!$A$3:$A$113,MAX(1915,MIN(2025,E30))))+CHOOSE((AG30-56)/2+1,SUMIFS(Donnees_generations!$AC$3:$AC$113,Donnees_generations!$A$3:$A$113,MAX(1915,MIN(2025,E30))),SUMIFS(Donnees_generations!$AD$3:$AD$113,Donnees_generations!$A$3:$A$113,MAX(1915,MIN(2025,E30))),SUMIFS(Donnees_generations!$AE$3:$AE$113,Donnees_generations!$A$3:$A$113,MAX(1915,MIN(2025,E30))),SUMIFS(Donnees_generations!$AF$3:$AF$113,Donnees_generations!$A$3:$A$113,MAX(1915,MIN(2025,E30))),SUMIFS(Donnees_generations!$AG$3:$AG$113,Donnees_generations!$A$3:$A$113,MAX(1915,MIN(2025,E30))),SUMIFS(Donnees_generations!$AH$3:$AH$113,Donnees_generations!$A$3:$A$113,MAX(1915,MIN(2025,E30))),SUMIFS(Donnees_generations!$AI$3:$AI$113,Donnees_generations!$A$3:$A$113,MAX(1915,MIN(2025,E30))),SUMIFS(Donnees_generations!$AJ$3:$AJ$113,Donnees_generations!$A$3:$A$113,MAX(1915,MIN(2025,E30)))))/2</f>
        <v/>
      </c>
      <c r="AI30" s="75">
        <f>(CHOOSE(((AG30+2)-56)/2+1,SUMIFS(Donnees_generations!$U$3:$U$113,Donnees_generations!$A$3:$A$113,MAX(1915,MIN(2025,E30))),SUMIFS(Donnees_generations!$V$3:$V$113,Donnees_generations!$A$3:$A$113,MAX(1915,MIN(2025,E30))),SUMIFS(Donnees_generations!$W$3:$W$113,Donnees_generations!$A$3:$A$113,MAX(1915,MIN(2025,E30))),SUMIFS(Donnees_generations!$X$3:$X$113,Donnees_generations!$A$3:$A$113,MAX(1915,MIN(2025,E30))),SUMIFS(Donnees_generations!$Y$3:$Y$113,Donnees_generations!$A$3:$A$113,MAX(1915,MIN(2025,E30))),SUMIFS(Donnees_generations!$Z$3:$Z$113,Donnees_generations!$A$3:$A$113,MAX(1915,MIN(2025,E30))),SUMIFS(Donnees_generations!$AA$3:$AA$113,Donnees_generations!$A$3:$A$113,MAX(1915,MIN(2025,E30))),SUMIFS(Donnees_generations!$AB$3:$AB$113,Donnees_generations!$A$3:$A$113,MAX(1915,MIN(2025,E30))))+CHOOSE(((AG30+2)-56)/2+1,SUMIFS(Donnees_generations!$AC$3:$AC$113,Donnees_generations!$A$3:$A$113,MAX(1915,MIN(2025,E30))),SUMIFS(Donnees_generations!$AD$3:$AD$113,Donnees_generations!$A$3:$A$113,MAX(1915,MIN(2025,E30))),SUMIFS(Donnees_generations!$AE$3:$AE$113,Donnees_generations!$A$3:$A$113,MAX(1915,MIN(2025,E30))),SUMIFS(Donnees_generations!$AF$3:$AF$113,Donnees_generations!$A$3:$A$113,MAX(1915,MIN(2025,E30))),SUMIFS(Donnees_generations!$AG$3:$AG$113,Donnees_generations!$A$3:$A$113,MAX(1915,MIN(2025,E30))),SUMIFS(Donnees_generations!$AH$3:$AH$113,Donnees_generations!$A$3:$A$113,MAX(1915,MIN(2025,E30))),SUMIFS(Donnees_generations!$AI$3:$AI$113,Donnees_generations!$A$3:$A$113,MAX(1915,MIN(2025,E30))),SUMIFS(Donnees_generations!$AJ$3:$AJ$113,Donnees_generations!$A$3:$A$113,MAX(1915,MIN(2025,E30)))))/2</f>
        <v/>
      </c>
      <c r="AJ30" s="8">
        <f>MAX(0,AH30+(AI30-AH30)*(K30-AG30)/2)</f>
        <v/>
      </c>
      <c r="AK30" s="8">
        <f>K30+AJ30</f>
        <v/>
      </c>
      <c r="AL30" s="14">
        <f>AE30*AJ30</f>
        <v/>
      </c>
      <c r="AM30" s="17">
        <f>V30/AL30</f>
        <v/>
      </c>
      <c r="AN30" s="17">
        <f>Z30/AL30</f>
        <v/>
      </c>
      <c r="AO30" s="33">
        <f>IF(V30+Z30=0,0,Z30/(V30+Z30))</f>
        <v/>
      </c>
      <c r="AP30" s="14">
        <f>AL30/V30*100</f>
        <v/>
      </c>
      <c r="AQ30" s="8">
        <f>P30/AL30*1000</f>
        <v/>
      </c>
      <c r="AR30" s="77">
        <f>MAX(N30,M30-1)</f>
        <v/>
      </c>
      <c r="AS30" s="14">
        <f>SUMIFS(Donnees_regimes!$R$3:$R$1118,Donnees_regimes!$A$3:$A$1118,C30,Donnees_regimes!$B$3:$B$1118,"&gt;="&amp;G30,Donnees_regimes!$B$3:$B$1118,"&lt;="&amp;N30)*L30/ROUNDUP(L30,0)*SUMIFS(Donnees_annuelles!$AG$3:$AG$188,Donnees_annuelles!$A$3:$A$188,AR30)*SUMIFS(Donnees_annuelles!$AA$3:$AA$188,Donnees_annuelles!$A$3:$A$188,AR30)</f>
        <v/>
      </c>
      <c r="AT30" s="36">
        <f>AS30/V30</f>
        <v/>
      </c>
      <c r="AU30" s="14">
        <f>AL30</f>
        <v/>
      </c>
      <c r="AV30" s="39">
        <f>AS30-AL30</f>
        <v/>
      </c>
      <c r="AW30" s="9">
        <f>AS30/AL30-1</f>
        <v/>
      </c>
      <c r="AX30" s="14">
        <f>AS30/AJ30/12</f>
        <v/>
      </c>
      <c r="AY30" s="14">
        <f>AF30</f>
        <v/>
      </c>
      <c r="AZ30" s="39">
        <f>AX30-AF30</f>
        <v/>
      </c>
      <c r="BA30" s="14">
        <f>SUMIFS(Donnees_regimes!$S$3:$S$1118,Donnees_regimes!$A$3:$A$1118,C30,Donnees_regimes!$B$3:$B$1118,"&gt;="&amp;G30,Donnees_regimes!$B$3:$B$1118,"&lt;="&amp;N30)*L30/ROUNDUP(L30,0)*SUMIFS(Donnees_annuelles!$AH$3:$AH$188,Donnees_annuelles!$A$3:$A$188,AR30)*SUMIFS(Donnees_annuelles!$AA$3:$AA$188,Donnees_annuelles!$A$3:$A$188,AR30)</f>
        <v/>
      </c>
      <c r="BB30" s="39">
        <f>BA30-AL30</f>
        <v/>
      </c>
      <c r="BC30" s="7">
        <f>IF(M30+AJ30&gt;2026,IF(G30&gt;2026,"entièrement projeté","en partie projeté"),"observé")</f>
        <v/>
      </c>
    </row>
    <row r="31">
      <c r="A31" s="7" t="inlineStr">
        <is>
          <t>Baby-boomers</t>
        </is>
      </c>
      <c r="B31" s="84" t="inlineStr">
        <is>
          <t>Privé</t>
        </is>
      </c>
      <c r="C31" s="7">
        <f>IF(G31&gt;=SUMIFS(Regimes!$C$5:$C$10,Regimes!$A$5:$A$10,B31),"Privé",B31)</f>
        <v/>
      </c>
      <c r="D31" s="7">
        <f>INDEX(Regimes!$D$5:$D$10,MATCH(C31,Regimes!$A$5:$A$10,0))</f>
        <v/>
      </c>
      <c r="E31" s="88" t="n">
        <v>1956</v>
      </c>
      <c r="F31" s="8">
        <f>Donnees_generations!C44</f>
        <v/>
      </c>
      <c r="G31" s="77">
        <f>Donnees_generations!D44</f>
        <v/>
      </c>
      <c r="H31" s="8">
        <f>SUMIFS(Donnees_generations!$S$3:$S$113,Donnees_generations!$A$3:$A$113,MAX(1915,MIN(2025,E31)))</f>
        <v/>
      </c>
      <c r="I31" s="8">
        <f>SUMIFS(Donnees_generations!$T$3:$T$113,Donnees_generations!$A$3:$A$113,MAX(1915,MIN(2025,E31)))</f>
        <v/>
      </c>
      <c r="J31" s="8">
        <f>IF(G31&gt;=2000,MAX(I31,Parametres!$B$3),I31)</f>
        <v/>
      </c>
      <c r="K31" s="8">
        <f>IF(C31="Privé",J31,SUMIFS(Regles_regimes!$J$3:$J$2000,Regles_regimes!$A$3:$A$2000,C31,Regles_regimes!$B$3:$B$2000,D31,Regles_regimes!$C$3:$C$2000,MAX(1915,MIN(2025,E31))))</f>
        <v/>
      </c>
      <c r="L31" s="8">
        <f>IF(C31="Privé",H31,(K31-F31)*H31/(J31-F31))</f>
        <v/>
      </c>
      <c r="M31" s="77">
        <f>INT(E31+K31)</f>
        <v/>
      </c>
      <c r="N31" s="77">
        <f>G31+ROUNDUP(L31,0)-1</f>
        <v/>
      </c>
      <c r="O31" s="89">
        <f>SUMIFS(Regles_regimes!$K$3:$K$2000,Regles_regimes!$A$3:$A$2000,C31,Regles_regimes!$B$3:$B$2000,D31,Regles_regimes!$C$3:$C$2000,MAX(1915,MIN(2025,E31)))</f>
        <v/>
      </c>
      <c r="P31" s="13">
        <f>SUMIFS(Donnees_annuelles!$W$3:$W$188,Donnees_annuelles!$A$3:$A$188,"&gt;="&amp;G31,Donnees_annuelles!$A$3:$A$188,"&lt;="&amp;N31)*L31/ROUNDUP(L31,0)*O31</f>
        <v/>
      </c>
      <c r="Q31" s="13">
        <f>SUMIFS(Donnees_annuelles!$V$3:$V$188,Donnees_annuelles!$A$3:$A$188,"&gt;="&amp;G31,Donnees_annuelles!$A$3:$A$188,"&lt;="&amp;N31)*L31/ROUNDUP(L31,0)</f>
        <v/>
      </c>
      <c r="R31" s="13">
        <f>P31/L31</f>
        <v/>
      </c>
      <c r="S31" s="14">
        <f>SUMIFS(Donnees_annuelles!$D$3:$D$188,Donnees_annuelles!$A$3:$A$188,"&gt;="&amp;G31,Donnees_annuelles!$A$3:$A$188,"&lt;="&amp;N31)*L31/ROUNDUP(L31,0)</f>
        <v/>
      </c>
      <c r="T31" s="14">
        <f>SUMIFS(Donnees_regimes!$N$3:$N$1118,Donnees_regimes!$A$3:$A$1118,C31,Donnees_regimes!$B$3:$B$1118,"&gt;="&amp;G31,Donnees_regimes!$B$3:$B$1118,"&lt;="&amp;N31)*L31/ROUNDUP(L31,0)</f>
        <v/>
      </c>
      <c r="U31" s="14">
        <f>SUMIFS(Donnees_regimes!$O$3:$O$1118,Donnees_regimes!$A$3:$A$1118,C31,Donnees_regimes!$B$3:$B$1118,"&gt;="&amp;G31,Donnees_regimes!$B$3:$B$1118,"&lt;="&amp;N31)*L31/ROUNDUP(L31,0)</f>
        <v/>
      </c>
      <c r="V31" s="14">
        <f>T31+U31</f>
        <v/>
      </c>
      <c r="W31" s="33">
        <f>V31/S31</f>
        <v/>
      </c>
      <c r="X31" s="14">
        <f>S31+U31</f>
        <v/>
      </c>
      <c r="Y31" s="17">
        <f>V31/P31</f>
        <v/>
      </c>
      <c r="Z31" s="14">
        <f>SUMIFS(Donnees_regimes!$Q$3:$Q$1118,Donnees_regimes!$A$3:$A$1118,C31,Donnees_regimes!$B$3:$B$1118,"&gt;="&amp;G31,Donnees_regimes!$B$3:$B$1118,"&lt;="&amp;N31)*L31/ROUNDUP(L31,0)</f>
        <v/>
      </c>
      <c r="AA31" s="77">
        <f>SUMIFS(Regles_regimes!$F$3:$F$2000,Regles_regimes!$A$3:$A$2000,C31,Regles_regimes!$B$3:$B$2000,D31,Regles_regimes!$C$3:$C$2000,MAX(1915,MIN(2025,E31)))</f>
        <v/>
      </c>
      <c r="AB31" s="77">
        <f>IF(AND(SUMIFS(Regles_regimes!$L$3:$L$2000,Regles_regimes!$A$3:$A$2000,C31,Regles_regimes!$B$3:$B$2000,D31,Regles_regimes!$C$3:$C$2000,MAX(1915,MIN(2025,E31)))=1,G31&lt;2009,C31&lt;&gt;"Privé"),MIN(20,L31*4/5),0)</f>
        <v/>
      </c>
      <c r="AC31" s="89">
        <f>SUMIFS(Donnees_regimes!$M$3:$M$1118,Donnees_regimes!$A$3:$A$1118,C31,Donnees_regimes!$B$3:$B$1118,M31)</f>
        <v/>
      </c>
      <c r="AD31" s="14">
        <f>SUMIFS(Donnees_annuelles!$Y$3:$Y$188,Donnees_annuelles!$A$3:$A$188,M31)*SUMIFS(Donnees_generations!$I$3:$I$113,Donnees_generations!$A$3:$A$113,MAX(1915,MIN(2025,E31)))/H31</f>
        <v/>
      </c>
      <c r="AE31" s="14">
        <f>IF(C31="Privé",SUMIFS(Donnees_annuelles!$Y$3:$Y$188,Donnees_annuelles!$A$3:$A$188,M31)*MIN(L31,SUMIFS(Donnees_generations!$I$3:$I$113,Donnees_generations!$A$3:$A$113,MAX(1915,MIN(2025,E31))))/L31,AD31*AC31*MIN(IF(AB31&gt;0,0.8/0.75,1),(L31*4+AB31)/AA31))</f>
        <v/>
      </c>
      <c r="AF31" s="14">
        <f>AE31/12</f>
        <v/>
      </c>
      <c r="AG31" s="77">
        <f>MIN(68,MAX(56,2*INT(K31/2)))</f>
        <v/>
      </c>
      <c r="AH31" s="75">
        <f>(CHOOSE((AG31-56)/2+1,SUMIFS(Donnees_generations!$U$3:$U$113,Donnees_generations!$A$3:$A$113,MAX(1915,MIN(2025,E31))),SUMIFS(Donnees_generations!$V$3:$V$113,Donnees_generations!$A$3:$A$113,MAX(1915,MIN(2025,E31))),SUMIFS(Donnees_generations!$W$3:$W$113,Donnees_generations!$A$3:$A$113,MAX(1915,MIN(2025,E31))),SUMIFS(Donnees_generations!$X$3:$X$113,Donnees_generations!$A$3:$A$113,MAX(1915,MIN(2025,E31))),SUMIFS(Donnees_generations!$Y$3:$Y$113,Donnees_generations!$A$3:$A$113,MAX(1915,MIN(2025,E31))),SUMIFS(Donnees_generations!$Z$3:$Z$113,Donnees_generations!$A$3:$A$113,MAX(1915,MIN(2025,E31))),SUMIFS(Donnees_generations!$AA$3:$AA$113,Donnees_generations!$A$3:$A$113,MAX(1915,MIN(2025,E31))),SUMIFS(Donnees_generations!$AB$3:$AB$113,Donnees_generations!$A$3:$A$113,MAX(1915,MIN(2025,E31))))+CHOOSE((AG31-56)/2+1,SUMIFS(Donnees_generations!$AC$3:$AC$113,Donnees_generations!$A$3:$A$113,MAX(1915,MIN(2025,E31))),SUMIFS(Donnees_generations!$AD$3:$AD$113,Donnees_generations!$A$3:$A$113,MAX(1915,MIN(2025,E31))),SUMIFS(Donnees_generations!$AE$3:$AE$113,Donnees_generations!$A$3:$A$113,MAX(1915,MIN(2025,E31))),SUMIFS(Donnees_generations!$AF$3:$AF$113,Donnees_generations!$A$3:$A$113,MAX(1915,MIN(2025,E31))),SUMIFS(Donnees_generations!$AG$3:$AG$113,Donnees_generations!$A$3:$A$113,MAX(1915,MIN(2025,E31))),SUMIFS(Donnees_generations!$AH$3:$AH$113,Donnees_generations!$A$3:$A$113,MAX(1915,MIN(2025,E31))),SUMIFS(Donnees_generations!$AI$3:$AI$113,Donnees_generations!$A$3:$A$113,MAX(1915,MIN(2025,E31))),SUMIFS(Donnees_generations!$AJ$3:$AJ$113,Donnees_generations!$A$3:$A$113,MAX(1915,MIN(2025,E31)))))/2</f>
        <v/>
      </c>
      <c r="AI31" s="75">
        <f>(CHOOSE(((AG31+2)-56)/2+1,SUMIFS(Donnees_generations!$U$3:$U$113,Donnees_generations!$A$3:$A$113,MAX(1915,MIN(2025,E31))),SUMIFS(Donnees_generations!$V$3:$V$113,Donnees_generations!$A$3:$A$113,MAX(1915,MIN(2025,E31))),SUMIFS(Donnees_generations!$W$3:$W$113,Donnees_generations!$A$3:$A$113,MAX(1915,MIN(2025,E31))),SUMIFS(Donnees_generations!$X$3:$X$113,Donnees_generations!$A$3:$A$113,MAX(1915,MIN(2025,E31))),SUMIFS(Donnees_generations!$Y$3:$Y$113,Donnees_generations!$A$3:$A$113,MAX(1915,MIN(2025,E31))),SUMIFS(Donnees_generations!$Z$3:$Z$113,Donnees_generations!$A$3:$A$113,MAX(1915,MIN(2025,E31))),SUMIFS(Donnees_generations!$AA$3:$AA$113,Donnees_generations!$A$3:$A$113,MAX(1915,MIN(2025,E31))),SUMIFS(Donnees_generations!$AB$3:$AB$113,Donnees_generations!$A$3:$A$113,MAX(1915,MIN(2025,E31))))+CHOOSE(((AG31+2)-56)/2+1,SUMIFS(Donnees_generations!$AC$3:$AC$113,Donnees_generations!$A$3:$A$113,MAX(1915,MIN(2025,E31))),SUMIFS(Donnees_generations!$AD$3:$AD$113,Donnees_generations!$A$3:$A$113,MAX(1915,MIN(2025,E31))),SUMIFS(Donnees_generations!$AE$3:$AE$113,Donnees_generations!$A$3:$A$113,MAX(1915,MIN(2025,E31))),SUMIFS(Donnees_generations!$AF$3:$AF$113,Donnees_generations!$A$3:$A$113,MAX(1915,MIN(2025,E31))),SUMIFS(Donnees_generations!$AG$3:$AG$113,Donnees_generations!$A$3:$A$113,MAX(1915,MIN(2025,E31))),SUMIFS(Donnees_generations!$AH$3:$AH$113,Donnees_generations!$A$3:$A$113,MAX(1915,MIN(2025,E31))),SUMIFS(Donnees_generations!$AI$3:$AI$113,Donnees_generations!$A$3:$A$113,MAX(1915,MIN(2025,E31))),SUMIFS(Donnees_generations!$AJ$3:$AJ$113,Donnees_generations!$A$3:$A$113,MAX(1915,MIN(2025,E31)))))/2</f>
        <v/>
      </c>
      <c r="AJ31" s="8">
        <f>MAX(0,AH31+(AI31-AH31)*(K31-AG31)/2)</f>
        <v/>
      </c>
      <c r="AK31" s="8">
        <f>K31+AJ31</f>
        <v/>
      </c>
      <c r="AL31" s="14">
        <f>AE31*AJ31</f>
        <v/>
      </c>
      <c r="AM31" s="17">
        <f>V31/AL31</f>
        <v/>
      </c>
      <c r="AN31" s="17">
        <f>Z31/AL31</f>
        <v/>
      </c>
      <c r="AO31" s="33">
        <f>IF(V31+Z31=0,0,Z31/(V31+Z31))</f>
        <v/>
      </c>
      <c r="AP31" s="14">
        <f>AL31/V31*100</f>
        <v/>
      </c>
      <c r="AQ31" s="8">
        <f>P31/AL31*1000</f>
        <v/>
      </c>
      <c r="AR31" s="77">
        <f>MAX(N31,M31-1)</f>
        <v/>
      </c>
      <c r="AS31" s="14">
        <f>SUMIFS(Donnees_regimes!$R$3:$R$1118,Donnees_regimes!$A$3:$A$1118,C31,Donnees_regimes!$B$3:$B$1118,"&gt;="&amp;G31,Donnees_regimes!$B$3:$B$1118,"&lt;="&amp;N31)*L31/ROUNDUP(L31,0)*SUMIFS(Donnees_annuelles!$AG$3:$AG$188,Donnees_annuelles!$A$3:$A$188,AR31)*SUMIFS(Donnees_annuelles!$AA$3:$AA$188,Donnees_annuelles!$A$3:$A$188,AR31)</f>
        <v/>
      </c>
      <c r="AT31" s="36">
        <f>AS31/V31</f>
        <v/>
      </c>
      <c r="AU31" s="14">
        <f>AL31</f>
        <v/>
      </c>
      <c r="AV31" s="39">
        <f>AS31-AL31</f>
        <v/>
      </c>
      <c r="AW31" s="9">
        <f>AS31/AL31-1</f>
        <v/>
      </c>
      <c r="AX31" s="14">
        <f>AS31/AJ31/12</f>
        <v/>
      </c>
      <c r="AY31" s="14">
        <f>AF31</f>
        <v/>
      </c>
      <c r="AZ31" s="39">
        <f>AX31-AF31</f>
        <v/>
      </c>
      <c r="BA31" s="14">
        <f>SUMIFS(Donnees_regimes!$S$3:$S$1118,Donnees_regimes!$A$3:$A$1118,C31,Donnees_regimes!$B$3:$B$1118,"&gt;="&amp;G31,Donnees_regimes!$B$3:$B$1118,"&lt;="&amp;N31)*L31/ROUNDUP(L31,0)*SUMIFS(Donnees_annuelles!$AH$3:$AH$188,Donnees_annuelles!$A$3:$A$188,AR31)*SUMIFS(Donnees_annuelles!$AA$3:$AA$188,Donnees_annuelles!$A$3:$A$188,AR31)</f>
        <v/>
      </c>
      <c r="BB31" s="39">
        <f>BA31-AL31</f>
        <v/>
      </c>
      <c r="BC31" s="7">
        <f>IF(M31+AJ31&gt;2026,IF(G31&gt;2026,"entièrement projeté","en partie projeté"),"observé")</f>
        <v/>
      </c>
    </row>
    <row r="32">
      <c r="A32" s="7" t="inlineStr">
        <is>
          <t>Baby-boomers</t>
        </is>
      </c>
      <c r="B32" s="84" t="inlineStr">
        <is>
          <t>Privé</t>
        </is>
      </c>
      <c r="C32" s="7">
        <f>IF(G32&gt;=SUMIFS(Regimes!$C$5:$C$10,Regimes!$A$5:$A$10,B32),"Privé",B32)</f>
        <v/>
      </c>
      <c r="D32" s="7">
        <f>INDEX(Regimes!$D$5:$D$10,MATCH(C32,Regimes!$A$5:$A$10,0))</f>
        <v/>
      </c>
      <c r="E32" s="88" t="n">
        <v>1957</v>
      </c>
      <c r="F32" s="8">
        <f>Donnees_generations!C45</f>
        <v/>
      </c>
      <c r="G32" s="77">
        <f>Donnees_generations!D45</f>
        <v/>
      </c>
      <c r="H32" s="8">
        <f>SUMIFS(Donnees_generations!$S$3:$S$113,Donnees_generations!$A$3:$A$113,MAX(1915,MIN(2025,E32)))</f>
        <v/>
      </c>
      <c r="I32" s="8">
        <f>SUMIFS(Donnees_generations!$T$3:$T$113,Donnees_generations!$A$3:$A$113,MAX(1915,MIN(2025,E32)))</f>
        <v/>
      </c>
      <c r="J32" s="8">
        <f>IF(G32&gt;=2000,MAX(I32,Parametres!$B$3),I32)</f>
        <v/>
      </c>
      <c r="K32" s="8">
        <f>IF(C32="Privé",J32,SUMIFS(Regles_regimes!$J$3:$J$2000,Regles_regimes!$A$3:$A$2000,C32,Regles_regimes!$B$3:$B$2000,D32,Regles_regimes!$C$3:$C$2000,MAX(1915,MIN(2025,E32))))</f>
        <v/>
      </c>
      <c r="L32" s="8">
        <f>IF(C32="Privé",H32,(K32-F32)*H32/(J32-F32))</f>
        <v/>
      </c>
      <c r="M32" s="77">
        <f>INT(E32+K32)</f>
        <v/>
      </c>
      <c r="N32" s="77">
        <f>G32+ROUNDUP(L32,0)-1</f>
        <v/>
      </c>
      <c r="O32" s="89">
        <f>SUMIFS(Regles_regimes!$K$3:$K$2000,Regles_regimes!$A$3:$A$2000,C32,Regles_regimes!$B$3:$B$2000,D32,Regles_regimes!$C$3:$C$2000,MAX(1915,MIN(2025,E32)))</f>
        <v/>
      </c>
      <c r="P32" s="13">
        <f>SUMIFS(Donnees_annuelles!$W$3:$W$188,Donnees_annuelles!$A$3:$A$188,"&gt;="&amp;G32,Donnees_annuelles!$A$3:$A$188,"&lt;="&amp;N32)*L32/ROUNDUP(L32,0)*O32</f>
        <v/>
      </c>
      <c r="Q32" s="13">
        <f>SUMIFS(Donnees_annuelles!$V$3:$V$188,Donnees_annuelles!$A$3:$A$188,"&gt;="&amp;G32,Donnees_annuelles!$A$3:$A$188,"&lt;="&amp;N32)*L32/ROUNDUP(L32,0)</f>
        <v/>
      </c>
      <c r="R32" s="13">
        <f>P32/L32</f>
        <v/>
      </c>
      <c r="S32" s="14">
        <f>SUMIFS(Donnees_annuelles!$D$3:$D$188,Donnees_annuelles!$A$3:$A$188,"&gt;="&amp;G32,Donnees_annuelles!$A$3:$A$188,"&lt;="&amp;N32)*L32/ROUNDUP(L32,0)</f>
        <v/>
      </c>
      <c r="T32" s="14">
        <f>SUMIFS(Donnees_regimes!$N$3:$N$1118,Donnees_regimes!$A$3:$A$1118,C32,Donnees_regimes!$B$3:$B$1118,"&gt;="&amp;G32,Donnees_regimes!$B$3:$B$1118,"&lt;="&amp;N32)*L32/ROUNDUP(L32,0)</f>
        <v/>
      </c>
      <c r="U32" s="14">
        <f>SUMIFS(Donnees_regimes!$O$3:$O$1118,Donnees_regimes!$A$3:$A$1118,C32,Donnees_regimes!$B$3:$B$1118,"&gt;="&amp;G32,Donnees_regimes!$B$3:$B$1118,"&lt;="&amp;N32)*L32/ROUNDUP(L32,0)</f>
        <v/>
      </c>
      <c r="V32" s="14">
        <f>T32+U32</f>
        <v/>
      </c>
      <c r="W32" s="33">
        <f>V32/S32</f>
        <v/>
      </c>
      <c r="X32" s="14">
        <f>S32+U32</f>
        <v/>
      </c>
      <c r="Y32" s="17">
        <f>V32/P32</f>
        <v/>
      </c>
      <c r="Z32" s="14">
        <f>SUMIFS(Donnees_regimes!$Q$3:$Q$1118,Donnees_regimes!$A$3:$A$1118,C32,Donnees_regimes!$B$3:$B$1118,"&gt;="&amp;G32,Donnees_regimes!$B$3:$B$1118,"&lt;="&amp;N32)*L32/ROUNDUP(L32,0)</f>
        <v/>
      </c>
      <c r="AA32" s="77">
        <f>SUMIFS(Regles_regimes!$F$3:$F$2000,Regles_regimes!$A$3:$A$2000,C32,Regles_regimes!$B$3:$B$2000,D32,Regles_regimes!$C$3:$C$2000,MAX(1915,MIN(2025,E32)))</f>
        <v/>
      </c>
      <c r="AB32" s="77">
        <f>IF(AND(SUMIFS(Regles_regimes!$L$3:$L$2000,Regles_regimes!$A$3:$A$2000,C32,Regles_regimes!$B$3:$B$2000,D32,Regles_regimes!$C$3:$C$2000,MAX(1915,MIN(2025,E32)))=1,G32&lt;2009,C32&lt;&gt;"Privé"),MIN(20,L32*4/5),0)</f>
        <v/>
      </c>
      <c r="AC32" s="89">
        <f>SUMIFS(Donnees_regimes!$M$3:$M$1118,Donnees_regimes!$A$3:$A$1118,C32,Donnees_regimes!$B$3:$B$1118,M32)</f>
        <v/>
      </c>
      <c r="AD32" s="14">
        <f>SUMIFS(Donnees_annuelles!$Y$3:$Y$188,Donnees_annuelles!$A$3:$A$188,M32)*SUMIFS(Donnees_generations!$I$3:$I$113,Donnees_generations!$A$3:$A$113,MAX(1915,MIN(2025,E32)))/H32</f>
        <v/>
      </c>
      <c r="AE32" s="14">
        <f>IF(C32="Privé",SUMIFS(Donnees_annuelles!$Y$3:$Y$188,Donnees_annuelles!$A$3:$A$188,M32)*MIN(L32,SUMIFS(Donnees_generations!$I$3:$I$113,Donnees_generations!$A$3:$A$113,MAX(1915,MIN(2025,E32))))/L32,AD32*AC32*MIN(IF(AB32&gt;0,0.8/0.75,1),(L32*4+AB32)/AA32))</f>
        <v/>
      </c>
      <c r="AF32" s="14">
        <f>AE32/12</f>
        <v/>
      </c>
      <c r="AG32" s="77">
        <f>MIN(68,MAX(56,2*INT(K32/2)))</f>
        <v/>
      </c>
      <c r="AH32" s="75">
        <f>(CHOOSE((AG32-56)/2+1,SUMIFS(Donnees_generations!$U$3:$U$113,Donnees_generations!$A$3:$A$113,MAX(1915,MIN(2025,E32))),SUMIFS(Donnees_generations!$V$3:$V$113,Donnees_generations!$A$3:$A$113,MAX(1915,MIN(2025,E32))),SUMIFS(Donnees_generations!$W$3:$W$113,Donnees_generations!$A$3:$A$113,MAX(1915,MIN(2025,E32))),SUMIFS(Donnees_generations!$X$3:$X$113,Donnees_generations!$A$3:$A$113,MAX(1915,MIN(2025,E32))),SUMIFS(Donnees_generations!$Y$3:$Y$113,Donnees_generations!$A$3:$A$113,MAX(1915,MIN(2025,E32))),SUMIFS(Donnees_generations!$Z$3:$Z$113,Donnees_generations!$A$3:$A$113,MAX(1915,MIN(2025,E32))),SUMIFS(Donnees_generations!$AA$3:$AA$113,Donnees_generations!$A$3:$A$113,MAX(1915,MIN(2025,E32))),SUMIFS(Donnees_generations!$AB$3:$AB$113,Donnees_generations!$A$3:$A$113,MAX(1915,MIN(2025,E32))))+CHOOSE((AG32-56)/2+1,SUMIFS(Donnees_generations!$AC$3:$AC$113,Donnees_generations!$A$3:$A$113,MAX(1915,MIN(2025,E32))),SUMIFS(Donnees_generations!$AD$3:$AD$113,Donnees_generations!$A$3:$A$113,MAX(1915,MIN(2025,E32))),SUMIFS(Donnees_generations!$AE$3:$AE$113,Donnees_generations!$A$3:$A$113,MAX(1915,MIN(2025,E32))),SUMIFS(Donnees_generations!$AF$3:$AF$113,Donnees_generations!$A$3:$A$113,MAX(1915,MIN(2025,E32))),SUMIFS(Donnees_generations!$AG$3:$AG$113,Donnees_generations!$A$3:$A$113,MAX(1915,MIN(2025,E32))),SUMIFS(Donnees_generations!$AH$3:$AH$113,Donnees_generations!$A$3:$A$113,MAX(1915,MIN(2025,E32))),SUMIFS(Donnees_generations!$AI$3:$AI$113,Donnees_generations!$A$3:$A$113,MAX(1915,MIN(2025,E32))),SUMIFS(Donnees_generations!$AJ$3:$AJ$113,Donnees_generations!$A$3:$A$113,MAX(1915,MIN(2025,E32)))))/2</f>
        <v/>
      </c>
      <c r="AI32" s="75">
        <f>(CHOOSE(((AG32+2)-56)/2+1,SUMIFS(Donnees_generations!$U$3:$U$113,Donnees_generations!$A$3:$A$113,MAX(1915,MIN(2025,E32))),SUMIFS(Donnees_generations!$V$3:$V$113,Donnees_generations!$A$3:$A$113,MAX(1915,MIN(2025,E32))),SUMIFS(Donnees_generations!$W$3:$W$113,Donnees_generations!$A$3:$A$113,MAX(1915,MIN(2025,E32))),SUMIFS(Donnees_generations!$X$3:$X$113,Donnees_generations!$A$3:$A$113,MAX(1915,MIN(2025,E32))),SUMIFS(Donnees_generations!$Y$3:$Y$113,Donnees_generations!$A$3:$A$113,MAX(1915,MIN(2025,E32))),SUMIFS(Donnees_generations!$Z$3:$Z$113,Donnees_generations!$A$3:$A$113,MAX(1915,MIN(2025,E32))),SUMIFS(Donnees_generations!$AA$3:$AA$113,Donnees_generations!$A$3:$A$113,MAX(1915,MIN(2025,E32))),SUMIFS(Donnees_generations!$AB$3:$AB$113,Donnees_generations!$A$3:$A$113,MAX(1915,MIN(2025,E32))))+CHOOSE(((AG32+2)-56)/2+1,SUMIFS(Donnees_generations!$AC$3:$AC$113,Donnees_generations!$A$3:$A$113,MAX(1915,MIN(2025,E32))),SUMIFS(Donnees_generations!$AD$3:$AD$113,Donnees_generations!$A$3:$A$113,MAX(1915,MIN(2025,E32))),SUMIFS(Donnees_generations!$AE$3:$AE$113,Donnees_generations!$A$3:$A$113,MAX(1915,MIN(2025,E32))),SUMIFS(Donnees_generations!$AF$3:$AF$113,Donnees_generations!$A$3:$A$113,MAX(1915,MIN(2025,E32))),SUMIFS(Donnees_generations!$AG$3:$AG$113,Donnees_generations!$A$3:$A$113,MAX(1915,MIN(2025,E32))),SUMIFS(Donnees_generations!$AH$3:$AH$113,Donnees_generations!$A$3:$A$113,MAX(1915,MIN(2025,E32))),SUMIFS(Donnees_generations!$AI$3:$AI$113,Donnees_generations!$A$3:$A$113,MAX(1915,MIN(2025,E32))),SUMIFS(Donnees_generations!$AJ$3:$AJ$113,Donnees_generations!$A$3:$A$113,MAX(1915,MIN(2025,E32)))))/2</f>
        <v/>
      </c>
      <c r="AJ32" s="8">
        <f>MAX(0,AH32+(AI32-AH32)*(K32-AG32)/2)</f>
        <v/>
      </c>
      <c r="AK32" s="8">
        <f>K32+AJ32</f>
        <v/>
      </c>
      <c r="AL32" s="14">
        <f>AE32*AJ32</f>
        <v/>
      </c>
      <c r="AM32" s="17">
        <f>V32/AL32</f>
        <v/>
      </c>
      <c r="AN32" s="17">
        <f>Z32/AL32</f>
        <v/>
      </c>
      <c r="AO32" s="33">
        <f>IF(V32+Z32=0,0,Z32/(V32+Z32))</f>
        <v/>
      </c>
      <c r="AP32" s="14">
        <f>AL32/V32*100</f>
        <v/>
      </c>
      <c r="AQ32" s="8">
        <f>P32/AL32*1000</f>
        <v/>
      </c>
      <c r="AR32" s="77">
        <f>MAX(N32,M32-1)</f>
        <v/>
      </c>
      <c r="AS32" s="14">
        <f>SUMIFS(Donnees_regimes!$R$3:$R$1118,Donnees_regimes!$A$3:$A$1118,C32,Donnees_regimes!$B$3:$B$1118,"&gt;="&amp;G32,Donnees_regimes!$B$3:$B$1118,"&lt;="&amp;N32)*L32/ROUNDUP(L32,0)*SUMIFS(Donnees_annuelles!$AG$3:$AG$188,Donnees_annuelles!$A$3:$A$188,AR32)*SUMIFS(Donnees_annuelles!$AA$3:$AA$188,Donnees_annuelles!$A$3:$A$188,AR32)</f>
        <v/>
      </c>
      <c r="AT32" s="36">
        <f>AS32/V32</f>
        <v/>
      </c>
      <c r="AU32" s="14">
        <f>AL32</f>
        <v/>
      </c>
      <c r="AV32" s="39">
        <f>AS32-AL32</f>
        <v/>
      </c>
      <c r="AW32" s="9">
        <f>AS32/AL32-1</f>
        <v/>
      </c>
      <c r="AX32" s="14">
        <f>AS32/AJ32/12</f>
        <v/>
      </c>
      <c r="AY32" s="14">
        <f>AF32</f>
        <v/>
      </c>
      <c r="AZ32" s="39">
        <f>AX32-AF32</f>
        <v/>
      </c>
      <c r="BA32" s="14">
        <f>SUMIFS(Donnees_regimes!$S$3:$S$1118,Donnees_regimes!$A$3:$A$1118,C32,Donnees_regimes!$B$3:$B$1118,"&gt;="&amp;G32,Donnees_regimes!$B$3:$B$1118,"&lt;="&amp;N32)*L32/ROUNDUP(L32,0)*SUMIFS(Donnees_annuelles!$AH$3:$AH$188,Donnees_annuelles!$A$3:$A$188,AR32)*SUMIFS(Donnees_annuelles!$AA$3:$AA$188,Donnees_annuelles!$A$3:$A$188,AR32)</f>
        <v/>
      </c>
      <c r="BB32" s="39">
        <f>BA32-AL32</f>
        <v/>
      </c>
      <c r="BC32" s="7">
        <f>IF(M32+AJ32&gt;2026,IF(G32&gt;2026,"entièrement projeté","en partie projeté"),"observé")</f>
        <v/>
      </c>
    </row>
    <row r="33">
      <c r="A33" s="7" t="inlineStr">
        <is>
          <t>Baby-boomers</t>
        </is>
      </c>
      <c r="B33" s="84" t="inlineStr">
        <is>
          <t>Privé</t>
        </is>
      </c>
      <c r="C33" s="7">
        <f>IF(G33&gt;=SUMIFS(Regimes!$C$5:$C$10,Regimes!$A$5:$A$10,B33),"Privé",B33)</f>
        <v/>
      </c>
      <c r="D33" s="7">
        <f>INDEX(Regimes!$D$5:$D$10,MATCH(C33,Regimes!$A$5:$A$10,0))</f>
        <v/>
      </c>
      <c r="E33" s="88" t="n">
        <v>1958</v>
      </c>
      <c r="F33" s="8">
        <f>Donnees_generations!C46</f>
        <v/>
      </c>
      <c r="G33" s="77">
        <f>Donnees_generations!D46</f>
        <v/>
      </c>
      <c r="H33" s="8">
        <f>SUMIFS(Donnees_generations!$S$3:$S$113,Donnees_generations!$A$3:$A$113,MAX(1915,MIN(2025,E33)))</f>
        <v/>
      </c>
      <c r="I33" s="8">
        <f>SUMIFS(Donnees_generations!$T$3:$T$113,Donnees_generations!$A$3:$A$113,MAX(1915,MIN(2025,E33)))</f>
        <v/>
      </c>
      <c r="J33" s="8">
        <f>IF(G33&gt;=2000,MAX(I33,Parametres!$B$3),I33)</f>
        <v/>
      </c>
      <c r="K33" s="8">
        <f>IF(C33="Privé",J33,SUMIFS(Regles_regimes!$J$3:$J$2000,Regles_regimes!$A$3:$A$2000,C33,Regles_regimes!$B$3:$B$2000,D33,Regles_regimes!$C$3:$C$2000,MAX(1915,MIN(2025,E33))))</f>
        <v/>
      </c>
      <c r="L33" s="8">
        <f>IF(C33="Privé",H33,(K33-F33)*H33/(J33-F33))</f>
        <v/>
      </c>
      <c r="M33" s="77">
        <f>INT(E33+K33)</f>
        <v/>
      </c>
      <c r="N33" s="77">
        <f>G33+ROUNDUP(L33,0)-1</f>
        <v/>
      </c>
      <c r="O33" s="89">
        <f>SUMIFS(Regles_regimes!$K$3:$K$2000,Regles_regimes!$A$3:$A$2000,C33,Regles_regimes!$B$3:$B$2000,D33,Regles_regimes!$C$3:$C$2000,MAX(1915,MIN(2025,E33)))</f>
        <v/>
      </c>
      <c r="P33" s="13">
        <f>SUMIFS(Donnees_annuelles!$W$3:$W$188,Donnees_annuelles!$A$3:$A$188,"&gt;="&amp;G33,Donnees_annuelles!$A$3:$A$188,"&lt;="&amp;N33)*L33/ROUNDUP(L33,0)*O33</f>
        <v/>
      </c>
      <c r="Q33" s="13">
        <f>SUMIFS(Donnees_annuelles!$V$3:$V$188,Donnees_annuelles!$A$3:$A$188,"&gt;="&amp;G33,Donnees_annuelles!$A$3:$A$188,"&lt;="&amp;N33)*L33/ROUNDUP(L33,0)</f>
        <v/>
      </c>
      <c r="R33" s="13">
        <f>P33/L33</f>
        <v/>
      </c>
      <c r="S33" s="14">
        <f>SUMIFS(Donnees_annuelles!$D$3:$D$188,Donnees_annuelles!$A$3:$A$188,"&gt;="&amp;G33,Donnees_annuelles!$A$3:$A$188,"&lt;="&amp;N33)*L33/ROUNDUP(L33,0)</f>
        <v/>
      </c>
      <c r="T33" s="14">
        <f>SUMIFS(Donnees_regimes!$N$3:$N$1118,Donnees_regimes!$A$3:$A$1118,C33,Donnees_regimes!$B$3:$B$1118,"&gt;="&amp;G33,Donnees_regimes!$B$3:$B$1118,"&lt;="&amp;N33)*L33/ROUNDUP(L33,0)</f>
        <v/>
      </c>
      <c r="U33" s="14">
        <f>SUMIFS(Donnees_regimes!$O$3:$O$1118,Donnees_regimes!$A$3:$A$1118,C33,Donnees_regimes!$B$3:$B$1118,"&gt;="&amp;G33,Donnees_regimes!$B$3:$B$1118,"&lt;="&amp;N33)*L33/ROUNDUP(L33,0)</f>
        <v/>
      </c>
      <c r="V33" s="14">
        <f>T33+U33</f>
        <v/>
      </c>
      <c r="W33" s="33">
        <f>V33/S33</f>
        <v/>
      </c>
      <c r="X33" s="14">
        <f>S33+U33</f>
        <v/>
      </c>
      <c r="Y33" s="17">
        <f>V33/P33</f>
        <v/>
      </c>
      <c r="Z33" s="14">
        <f>SUMIFS(Donnees_regimes!$Q$3:$Q$1118,Donnees_regimes!$A$3:$A$1118,C33,Donnees_regimes!$B$3:$B$1118,"&gt;="&amp;G33,Donnees_regimes!$B$3:$B$1118,"&lt;="&amp;N33)*L33/ROUNDUP(L33,0)</f>
        <v/>
      </c>
      <c r="AA33" s="77">
        <f>SUMIFS(Regles_regimes!$F$3:$F$2000,Regles_regimes!$A$3:$A$2000,C33,Regles_regimes!$B$3:$B$2000,D33,Regles_regimes!$C$3:$C$2000,MAX(1915,MIN(2025,E33)))</f>
        <v/>
      </c>
      <c r="AB33" s="77">
        <f>IF(AND(SUMIFS(Regles_regimes!$L$3:$L$2000,Regles_regimes!$A$3:$A$2000,C33,Regles_regimes!$B$3:$B$2000,D33,Regles_regimes!$C$3:$C$2000,MAX(1915,MIN(2025,E33)))=1,G33&lt;2009,C33&lt;&gt;"Privé"),MIN(20,L33*4/5),0)</f>
        <v/>
      </c>
      <c r="AC33" s="89">
        <f>SUMIFS(Donnees_regimes!$M$3:$M$1118,Donnees_regimes!$A$3:$A$1118,C33,Donnees_regimes!$B$3:$B$1118,M33)</f>
        <v/>
      </c>
      <c r="AD33" s="14">
        <f>SUMIFS(Donnees_annuelles!$Y$3:$Y$188,Donnees_annuelles!$A$3:$A$188,M33)*SUMIFS(Donnees_generations!$I$3:$I$113,Donnees_generations!$A$3:$A$113,MAX(1915,MIN(2025,E33)))/H33</f>
        <v/>
      </c>
      <c r="AE33" s="14">
        <f>IF(C33="Privé",SUMIFS(Donnees_annuelles!$Y$3:$Y$188,Donnees_annuelles!$A$3:$A$188,M33)*MIN(L33,SUMIFS(Donnees_generations!$I$3:$I$113,Donnees_generations!$A$3:$A$113,MAX(1915,MIN(2025,E33))))/L33,AD33*AC33*MIN(IF(AB33&gt;0,0.8/0.75,1),(L33*4+AB33)/AA33))</f>
        <v/>
      </c>
      <c r="AF33" s="14">
        <f>AE33/12</f>
        <v/>
      </c>
      <c r="AG33" s="77">
        <f>MIN(68,MAX(56,2*INT(K33/2)))</f>
        <v/>
      </c>
      <c r="AH33" s="75">
        <f>(CHOOSE((AG33-56)/2+1,SUMIFS(Donnees_generations!$U$3:$U$113,Donnees_generations!$A$3:$A$113,MAX(1915,MIN(2025,E33))),SUMIFS(Donnees_generations!$V$3:$V$113,Donnees_generations!$A$3:$A$113,MAX(1915,MIN(2025,E33))),SUMIFS(Donnees_generations!$W$3:$W$113,Donnees_generations!$A$3:$A$113,MAX(1915,MIN(2025,E33))),SUMIFS(Donnees_generations!$X$3:$X$113,Donnees_generations!$A$3:$A$113,MAX(1915,MIN(2025,E33))),SUMIFS(Donnees_generations!$Y$3:$Y$113,Donnees_generations!$A$3:$A$113,MAX(1915,MIN(2025,E33))),SUMIFS(Donnees_generations!$Z$3:$Z$113,Donnees_generations!$A$3:$A$113,MAX(1915,MIN(2025,E33))),SUMIFS(Donnees_generations!$AA$3:$AA$113,Donnees_generations!$A$3:$A$113,MAX(1915,MIN(2025,E33))),SUMIFS(Donnees_generations!$AB$3:$AB$113,Donnees_generations!$A$3:$A$113,MAX(1915,MIN(2025,E33))))+CHOOSE((AG33-56)/2+1,SUMIFS(Donnees_generations!$AC$3:$AC$113,Donnees_generations!$A$3:$A$113,MAX(1915,MIN(2025,E33))),SUMIFS(Donnees_generations!$AD$3:$AD$113,Donnees_generations!$A$3:$A$113,MAX(1915,MIN(2025,E33))),SUMIFS(Donnees_generations!$AE$3:$AE$113,Donnees_generations!$A$3:$A$113,MAX(1915,MIN(2025,E33))),SUMIFS(Donnees_generations!$AF$3:$AF$113,Donnees_generations!$A$3:$A$113,MAX(1915,MIN(2025,E33))),SUMIFS(Donnees_generations!$AG$3:$AG$113,Donnees_generations!$A$3:$A$113,MAX(1915,MIN(2025,E33))),SUMIFS(Donnees_generations!$AH$3:$AH$113,Donnees_generations!$A$3:$A$113,MAX(1915,MIN(2025,E33))),SUMIFS(Donnees_generations!$AI$3:$AI$113,Donnees_generations!$A$3:$A$113,MAX(1915,MIN(2025,E33))),SUMIFS(Donnees_generations!$AJ$3:$AJ$113,Donnees_generations!$A$3:$A$113,MAX(1915,MIN(2025,E33)))))/2</f>
        <v/>
      </c>
      <c r="AI33" s="75">
        <f>(CHOOSE(((AG33+2)-56)/2+1,SUMIFS(Donnees_generations!$U$3:$U$113,Donnees_generations!$A$3:$A$113,MAX(1915,MIN(2025,E33))),SUMIFS(Donnees_generations!$V$3:$V$113,Donnees_generations!$A$3:$A$113,MAX(1915,MIN(2025,E33))),SUMIFS(Donnees_generations!$W$3:$W$113,Donnees_generations!$A$3:$A$113,MAX(1915,MIN(2025,E33))),SUMIFS(Donnees_generations!$X$3:$X$113,Donnees_generations!$A$3:$A$113,MAX(1915,MIN(2025,E33))),SUMIFS(Donnees_generations!$Y$3:$Y$113,Donnees_generations!$A$3:$A$113,MAX(1915,MIN(2025,E33))),SUMIFS(Donnees_generations!$Z$3:$Z$113,Donnees_generations!$A$3:$A$113,MAX(1915,MIN(2025,E33))),SUMIFS(Donnees_generations!$AA$3:$AA$113,Donnees_generations!$A$3:$A$113,MAX(1915,MIN(2025,E33))),SUMIFS(Donnees_generations!$AB$3:$AB$113,Donnees_generations!$A$3:$A$113,MAX(1915,MIN(2025,E33))))+CHOOSE(((AG33+2)-56)/2+1,SUMIFS(Donnees_generations!$AC$3:$AC$113,Donnees_generations!$A$3:$A$113,MAX(1915,MIN(2025,E33))),SUMIFS(Donnees_generations!$AD$3:$AD$113,Donnees_generations!$A$3:$A$113,MAX(1915,MIN(2025,E33))),SUMIFS(Donnees_generations!$AE$3:$AE$113,Donnees_generations!$A$3:$A$113,MAX(1915,MIN(2025,E33))),SUMIFS(Donnees_generations!$AF$3:$AF$113,Donnees_generations!$A$3:$A$113,MAX(1915,MIN(2025,E33))),SUMIFS(Donnees_generations!$AG$3:$AG$113,Donnees_generations!$A$3:$A$113,MAX(1915,MIN(2025,E33))),SUMIFS(Donnees_generations!$AH$3:$AH$113,Donnees_generations!$A$3:$A$113,MAX(1915,MIN(2025,E33))),SUMIFS(Donnees_generations!$AI$3:$AI$113,Donnees_generations!$A$3:$A$113,MAX(1915,MIN(2025,E33))),SUMIFS(Donnees_generations!$AJ$3:$AJ$113,Donnees_generations!$A$3:$A$113,MAX(1915,MIN(2025,E33)))))/2</f>
        <v/>
      </c>
      <c r="AJ33" s="8">
        <f>MAX(0,AH33+(AI33-AH33)*(K33-AG33)/2)</f>
        <v/>
      </c>
      <c r="AK33" s="8">
        <f>K33+AJ33</f>
        <v/>
      </c>
      <c r="AL33" s="14">
        <f>AE33*AJ33</f>
        <v/>
      </c>
      <c r="AM33" s="17">
        <f>V33/AL33</f>
        <v/>
      </c>
      <c r="AN33" s="17">
        <f>Z33/AL33</f>
        <v/>
      </c>
      <c r="AO33" s="33">
        <f>IF(V33+Z33=0,0,Z33/(V33+Z33))</f>
        <v/>
      </c>
      <c r="AP33" s="14">
        <f>AL33/V33*100</f>
        <v/>
      </c>
      <c r="AQ33" s="8">
        <f>P33/AL33*1000</f>
        <v/>
      </c>
      <c r="AR33" s="77">
        <f>MAX(N33,M33-1)</f>
        <v/>
      </c>
      <c r="AS33" s="14">
        <f>SUMIFS(Donnees_regimes!$R$3:$R$1118,Donnees_regimes!$A$3:$A$1118,C33,Donnees_regimes!$B$3:$B$1118,"&gt;="&amp;G33,Donnees_regimes!$B$3:$B$1118,"&lt;="&amp;N33)*L33/ROUNDUP(L33,0)*SUMIFS(Donnees_annuelles!$AG$3:$AG$188,Donnees_annuelles!$A$3:$A$188,AR33)*SUMIFS(Donnees_annuelles!$AA$3:$AA$188,Donnees_annuelles!$A$3:$A$188,AR33)</f>
        <v/>
      </c>
      <c r="AT33" s="36">
        <f>AS33/V33</f>
        <v/>
      </c>
      <c r="AU33" s="14">
        <f>AL33</f>
        <v/>
      </c>
      <c r="AV33" s="39">
        <f>AS33-AL33</f>
        <v/>
      </c>
      <c r="AW33" s="9">
        <f>AS33/AL33-1</f>
        <v/>
      </c>
      <c r="AX33" s="14">
        <f>AS33/AJ33/12</f>
        <v/>
      </c>
      <c r="AY33" s="14">
        <f>AF33</f>
        <v/>
      </c>
      <c r="AZ33" s="39">
        <f>AX33-AF33</f>
        <v/>
      </c>
      <c r="BA33" s="14">
        <f>SUMIFS(Donnees_regimes!$S$3:$S$1118,Donnees_regimes!$A$3:$A$1118,C33,Donnees_regimes!$B$3:$B$1118,"&gt;="&amp;G33,Donnees_regimes!$B$3:$B$1118,"&lt;="&amp;N33)*L33/ROUNDUP(L33,0)*SUMIFS(Donnees_annuelles!$AH$3:$AH$188,Donnees_annuelles!$A$3:$A$188,AR33)*SUMIFS(Donnees_annuelles!$AA$3:$AA$188,Donnees_annuelles!$A$3:$A$188,AR33)</f>
        <v/>
      </c>
      <c r="BB33" s="39">
        <f>BA33-AL33</f>
        <v/>
      </c>
      <c r="BC33" s="7">
        <f>IF(M33+AJ33&gt;2026,IF(G33&gt;2026,"entièrement projeté","en partie projeté"),"observé")</f>
        <v/>
      </c>
    </row>
    <row r="34">
      <c r="A34" s="7" t="inlineStr">
        <is>
          <t>Baby-boomers</t>
        </is>
      </c>
      <c r="B34" s="84" t="inlineStr">
        <is>
          <t>Privé</t>
        </is>
      </c>
      <c r="C34" s="7">
        <f>IF(G34&gt;=SUMIFS(Regimes!$C$5:$C$10,Regimes!$A$5:$A$10,B34),"Privé",B34)</f>
        <v/>
      </c>
      <c r="D34" s="7">
        <f>INDEX(Regimes!$D$5:$D$10,MATCH(C34,Regimes!$A$5:$A$10,0))</f>
        <v/>
      </c>
      <c r="E34" s="88" t="n">
        <v>1959</v>
      </c>
      <c r="F34" s="8">
        <f>Donnees_generations!C47</f>
        <v/>
      </c>
      <c r="G34" s="77">
        <f>Donnees_generations!D47</f>
        <v/>
      </c>
      <c r="H34" s="8">
        <f>SUMIFS(Donnees_generations!$S$3:$S$113,Donnees_generations!$A$3:$A$113,MAX(1915,MIN(2025,E34)))</f>
        <v/>
      </c>
      <c r="I34" s="8">
        <f>SUMIFS(Donnees_generations!$T$3:$T$113,Donnees_generations!$A$3:$A$113,MAX(1915,MIN(2025,E34)))</f>
        <v/>
      </c>
      <c r="J34" s="8">
        <f>IF(G34&gt;=2000,MAX(I34,Parametres!$B$3),I34)</f>
        <v/>
      </c>
      <c r="K34" s="8">
        <f>IF(C34="Privé",J34,SUMIFS(Regles_regimes!$J$3:$J$2000,Regles_regimes!$A$3:$A$2000,C34,Regles_regimes!$B$3:$B$2000,D34,Regles_regimes!$C$3:$C$2000,MAX(1915,MIN(2025,E34))))</f>
        <v/>
      </c>
      <c r="L34" s="8">
        <f>IF(C34="Privé",H34,(K34-F34)*H34/(J34-F34))</f>
        <v/>
      </c>
      <c r="M34" s="77">
        <f>INT(E34+K34)</f>
        <v/>
      </c>
      <c r="N34" s="77">
        <f>G34+ROUNDUP(L34,0)-1</f>
        <v/>
      </c>
      <c r="O34" s="89">
        <f>SUMIFS(Regles_regimes!$K$3:$K$2000,Regles_regimes!$A$3:$A$2000,C34,Regles_regimes!$B$3:$B$2000,D34,Regles_regimes!$C$3:$C$2000,MAX(1915,MIN(2025,E34)))</f>
        <v/>
      </c>
      <c r="P34" s="13">
        <f>SUMIFS(Donnees_annuelles!$W$3:$W$188,Donnees_annuelles!$A$3:$A$188,"&gt;="&amp;G34,Donnees_annuelles!$A$3:$A$188,"&lt;="&amp;N34)*L34/ROUNDUP(L34,0)*O34</f>
        <v/>
      </c>
      <c r="Q34" s="13">
        <f>SUMIFS(Donnees_annuelles!$V$3:$V$188,Donnees_annuelles!$A$3:$A$188,"&gt;="&amp;G34,Donnees_annuelles!$A$3:$A$188,"&lt;="&amp;N34)*L34/ROUNDUP(L34,0)</f>
        <v/>
      </c>
      <c r="R34" s="13">
        <f>P34/L34</f>
        <v/>
      </c>
      <c r="S34" s="14">
        <f>SUMIFS(Donnees_annuelles!$D$3:$D$188,Donnees_annuelles!$A$3:$A$188,"&gt;="&amp;G34,Donnees_annuelles!$A$3:$A$188,"&lt;="&amp;N34)*L34/ROUNDUP(L34,0)</f>
        <v/>
      </c>
      <c r="T34" s="14">
        <f>SUMIFS(Donnees_regimes!$N$3:$N$1118,Donnees_regimes!$A$3:$A$1118,C34,Donnees_regimes!$B$3:$B$1118,"&gt;="&amp;G34,Donnees_regimes!$B$3:$B$1118,"&lt;="&amp;N34)*L34/ROUNDUP(L34,0)</f>
        <v/>
      </c>
      <c r="U34" s="14">
        <f>SUMIFS(Donnees_regimes!$O$3:$O$1118,Donnees_regimes!$A$3:$A$1118,C34,Donnees_regimes!$B$3:$B$1118,"&gt;="&amp;G34,Donnees_regimes!$B$3:$B$1118,"&lt;="&amp;N34)*L34/ROUNDUP(L34,0)</f>
        <v/>
      </c>
      <c r="V34" s="14">
        <f>T34+U34</f>
        <v/>
      </c>
      <c r="W34" s="33">
        <f>V34/S34</f>
        <v/>
      </c>
      <c r="X34" s="14">
        <f>S34+U34</f>
        <v/>
      </c>
      <c r="Y34" s="17">
        <f>V34/P34</f>
        <v/>
      </c>
      <c r="Z34" s="14">
        <f>SUMIFS(Donnees_regimes!$Q$3:$Q$1118,Donnees_regimes!$A$3:$A$1118,C34,Donnees_regimes!$B$3:$B$1118,"&gt;="&amp;G34,Donnees_regimes!$B$3:$B$1118,"&lt;="&amp;N34)*L34/ROUNDUP(L34,0)</f>
        <v/>
      </c>
      <c r="AA34" s="77">
        <f>SUMIFS(Regles_regimes!$F$3:$F$2000,Regles_regimes!$A$3:$A$2000,C34,Regles_regimes!$B$3:$B$2000,D34,Regles_regimes!$C$3:$C$2000,MAX(1915,MIN(2025,E34)))</f>
        <v/>
      </c>
      <c r="AB34" s="77">
        <f>IF(AND(SUMIFS(Regles_regimes!$L$3:$L$2000,Regles_regimes!$A$3:$A$2000,C34,Regles_regimes!$B$3:$B$2000,D34,Regles_regimes!$C$3:$C$2000,MAX(1915,MIN(2025,E34)))=1,G34&lt;2009,C34&lt;&gt;"Privé"),MIN(20,L34*4/5),0)</f>
        <v/>
      </c>
      <c r="AC34" s="89">
        <f>SUMIFS(Donnees_regimes!$M$3:$M$1118,Donnees_regimes!$A$3:$A$1118,C34,Donnees_regimes!$B$3:$B$1118,M34)</f>
        <v/>
      </c>
      <c r="AD34" s="14">
        <f>SUMIFS(Donnees_annuelles!$Y$3:$Y$188,Donnees_annuelles!$A$3:$A$188,M34)*SUMIFS(Donnees_generations!$I$3:$I$113,Donnees_generations!$A$3:$A$113,MAX(1915,MIN(2025,E34)))/H34</f>
        <v/>
      </c>
      <c r="AE34" s="14">
        <f>IF(C34="Privé",SUMIFS(Donnees_annuelles!$Y$3:$Y$188,Donnees_annuelles!$A$3:$A$188,M34)*MIN(L34,SUMIFS(Donnees_generations!$I$3:$I$113,Donnees_generations!$A$3:$A$113,MAX(1915,MIN(2025,E34))))/L34,AD34*AC34*MIN(IF(AB34&gt;0,0.8/0.75,1),(L34*4+AB34)/AA34))</f>
        <v/>
      </c>
      <c r="AF34" s="14">
        <f>AE34/12</f>
        <v/>
      </c>
      <c r="AG34" s="77">
        <f>MIN(68,MAX(56,2*INT(K34/2)))</f>
        <v/>
      </c>
      <c r="AH34" s="75">
        <f>(CHOOSE((AG34-56)/2+1,SUMIFS(Donnees_generations!$U$3:$U$113,Donnees_generations!$A$3:$A$113,MAX(1915,MIN(2025,E34))),SUMIFS(Donnees_generations!$V$3:$V$113,Donnees_generations!$A$3:$A$113,MAX(1915,MIN(2025,E34))),SUMIFS(Donnees_generations!$W$3:$W$113,Donnees_generations!$A$3:$A$113,MAX(1915,MIN(2025,E34))),SUMIFS(Donnees_generations!$X$3:$X$113,Donnees_generations!$A$3:$A$113,MAX(1915,MIN(2025,E34))),SUMIFS(Donnees_generations!$Y$3:$Y$113,Donnees_generations!$A$3:$A$113,MAX(1915,MIN(2025,E34))),SUMIFS(Donnees_generations!$Z$3:$Z$113,Donnees_generations!$A$3:$A$113,MAX(1915,MIN(2025,E34))),SUMIFS(Donnees_generations!$AA$3:$AA$113,Donnees_generations!$A$3:$A$113,MAX(1915,MIN(2025,E34))),SUMIFS(Donnees_generations!$AB$3:$AB$113,Donnees_generations!$A$3:$A$113,MAX(1915,MIN(2025,E34))))+CHOOSE((AG34-56)/2+1,SUMIFS(Donnees_generations!$AC$3:$AC$113,Donnees_generations!$A$3:$A$113,MAX(1915,MIN(2025,E34))),SUMIFS(Donnees_generations!$AD$3:$AD$113,Donnees_generations!$A$3:$A$113,MAX(1915,MIN(2025,E34))),SUMIFS(Donnees_generations!$AE$3:$AE$113,Donnees_generations!$A$3:$A$113,MAX(1915,MIN(2025,E34))),SUMIFS(Donnees_generations!$AF$3:$AF$113,Donnees_generations!$A$3:$A$113,MAX(1915,MIN(2025,E34))),SUMIFS(Donnees_generations!$AG$3:$AG$113,Donnees_generations!$A$3:$A$113,MAX(1915,MIN(2025,E34))),SUMIFS(Donnees_generations!$AH$3:$AH$113,Donnees_generations!$A$3:$A$113,MAX(1915,MIN(2025,E34))),SUMIFS(Donnees_generations!$AI$3:$AI$113,Donnees_generations!$A$3:$A$113,MAX(1915,MIN(2025,E34))),SUMIFS(Donnees_generations!$AJ$3:$AJ$113,Donnees_generations!$A$3:$A$113,MAX(1915,MIN(2025,E34)))))/2</f>
        <v/>
      </c>
      <c r="AI34" s="75">
        <f>(CHOOSE(((AG34+2)-56)/2+1,SUMIFS(Donnees_generations!$U$3:$U$113,Donnees_generations!$A$3:$A$113,MAX(1915,MIN(2025,E34))),SUMIFS(Donnees_generations!$V$3:$V$113,Donnees_generations!$A$3:$A$113,MAX(1915,MIN(2025,E34))),SUMIFS(Donnees_generations!$W$3:$W$113,Donnees_generations!$A$3:$A$113,MAX(1915,MIN(2025,E34))),SUMIFS(Donnees_generations!$X$3:$X$113,Donnees_generations!$A$3:$A$113,MAX(1915,MIN(2025,E34))),SUMIFS(Donnees_generations!$Y$3:$Y$113,Donnees_generations!$A$3:$A$113,MAX(1915,MIN(2025,E34))),SUMIFS(Donnees_generations!$Z$3:$Z$113,Donnees_generations!$A$3:$A$113,MAX(1915,MIN(2025,E34))),SUMIFS(Donnees_generations!$AA$3:$AA$113,Donnees_generations!$A$3:$A$113,MAX(1915,MIN(2025,E34))),SUMIFS(Donnees_generations!$AB$3:$AB$113,Donnees_generations!$A$3:$A$113,MAX(1915,MIN(2025,E34))))+CHOOSE(((AG34+2)-56)/2+1,SUMIFS(Donnees_generations!$AC$3:$AC$113,Donnees_generations!$A$3:$A$113,MAX(1915,MIN(2025,E34))),SUMIFS(Donnees_generations!$AD$3:$AD$113,Donnees_generations!$A$3:$A$113,MAX(1915,MIN(2025,E34))),SUMIFS(Donnees_generations!$AE$3:$AE$113,Donnees_generations!$A$3:$A$113,MAX(1915,MIN(2025,E34))),SUMIFS(Donnees_generations!$AF$3:$AF$113,Donnees_generations!$A$3:$A$113,MAX(1915,MIN(2025,E34))),SUMIFS(Donnees_generations!$AG$3:$AG$113,Donnees_generations!$A$3:$A$113,MAX(1915,MIN(2025,E34))),SUMIFS(Donnees_generations!$AH$3:$AH$113,Donnees_generations!$A$3:$A$113,MAX(1915,MIN(2025,E34))),SUMIFS(Donnees_generations!$AI$3:$AI$113,Donnees_generations!$A$3:$A$113,MAX(1915,MIN(2025,E34))),SUMIFS(Donnees_generations!$AJ$3:$AJ$113,Donnees_generations!$A$3:$A$113,MAX(1915,MIN(2025,E34)))))/2</f>
        <v/>
      </c>
      <c r="AJ34" s="8">
        <f>MAX(0,AH34+(AI34-AH34)*(K34-AG34)/2)</f>
        <v/>
      </c>
      <c r="AK34" s="8">
        <f>K34+AJ34</f>
        <v/>
      </c>
      <c r="AL34" s="14">
        <f>AE34*AJ34</f>
        <v/>
      </c>
      <c r="AM34" s="17">
        <f>V34/AL34</f>
        <v/>
      </c>
      <c r="AN34" s="17">
        <f>Z34/AL34</f>
        <v/>
      </c>
      <c r="AO34" s="33">
        <f>IF(V34+Z34=0,0,Z34/(V34+Z34))</f>
        <v/>
      </c>
      <c r="AP34" s="14">
        <f>AL34/V34*100</f>
        <v/>
      </c>
      <c r="AQ34" s="8">
        <f>P34/AL34*1000</f>
        <v/>
      </c>
      <c r="AR34" s="77">
        <f>MAX(N34,M34-1)</f>
        <v/>
      </c>
      <c r="AS34" s="14">
        <f>SUMIFS(Donnees_regimes!$R$3:$R$1118,Donnees_regimes!$A$3:$A$1118,C34,Donnees_regimes!$B$3:$B$1118,"&gt;="&amp;G34,Donnees_regimes!$B$3:$B$1118,"&lt;="&amp;N34)*L34/ROUNDUP(L34,0)*SUMIFS(Donnees_annuelles!$AG$3:$AG$188,Donnees_annuelles!$A$3:$A$188,AR34)*SUMIFS(Donnees_annuelles!$AA$3:$AA$188,Donnees_annuelles!$A$3:$A$188,AR34)</f>
        <v/>
      </c>
      <c r="AT34" s="36">
        <f>AS34/V34</f>
        <v/>
      </c>
      <c r="AU34" s="14">
        <f>AL34</f>
        <v/>
      </c>
      <c r="AV34" s="39">
        <f>AS34-AL34</f>
        <v/>
      </c>
      <c r="AW34" s="9">
        <f>AS34/AL34-1</f>
        <v/>
      </c>
      <c r="AX34" s="14">
        <f>AS34/AJ34/12</f>
        <v/>
      </c>
      <c r="AY34" s="14">
        <f>AF34</f>
        <v/>
      </c>
      <c r="AZ34" s="39">
        <f>AX34-AF34</f>
        <v/>
      </c>
      <c r="BA34" s="14">
        <f>SUMIFS(Donnees_regimes!$S$3:$S$1118,Donnees_regimes!$A$3:$A$1118,C34,Donnees_regimes!$B$3:$B$1118,"&gt;="&amp;G34,Donnees_regimes!$B$3:$B$1118,"&lt;="&amp;N34)*L34/ROUNDUP(L34,0)*SUMIFS(Donnees_annuelles!$AH$3:$AH$188,Donnees_annuelles!$A$3:$A$188,AR34)*SUMIFS(Donnees_annuelles!$AA$3:$AA$188,Donnees_annuelles!$A$3:$A$188,AR34)</f>
        <v/>
      </c>
      <c r="BB34" s="39">
        <f>BA34-AL34</f>
        <v/>
      </c>
      <c r="BC34" s="7">
        <f>IF(M34+AJ34&gt;2026,IF(G34&gt;2026,"entièrement projeté","en partie projeté"),"observé")</f>
        <v/>
      </c>
    </row>
    <row r="35">
      <c r="A35" s="7" t="inlineStr">
        <is>
          <t>Baby-boomers</t>
        </is>
      </c>
      <c r="B35" s="84" t="inlineStr">
        <is>
          <t>Privé</t>
        </is>
      </c>
      <c r="C35" s="7">
        <f>IF(G35&gt;=SUMIFS(Regimes!$C$5:$C$10,Regimes!$A$5:$A$10,B35),"Privé",B35)</f>
        <v/>
      </c>
      <c r="D35" s="7">
        <f>INDEX(Regimes!$D$5:$D$10,MATCH(C35,Regimes!$A$5:$A$10,0))</f>
        <v/>
      </c>
      <c r="E35" s="88" t="n">
        <v>1960</v>
      </c>
      <c r="F35" s="8">
        <f>Donnees_generations!C48</f>
        <v/>
      </c>
      <c r="G35" s="77">
        <f>Donnees_generations!D48</f>
        <v/>
      </c>
      <c r="H35" s="8">
        <f>SUMIFS(Donnees_generations!$S$3:$S$113,Donnees_generations!$A$3:$A$113,MAX(1915,MIN(2025,E35)))</f>
        <v/>
      </c>
      <c r="I35" s="8">
        <f>SUMIFS(Donnees_generations!$T$3:$T$113,Donnees_generations!$A$3:$A$113,MAX(1915,MIN(2025,E35)))</f>
        <v/>
      </c>
      <c r="J35" s="8">
        <f>IF(G35&gt;=2000,MAX(I35,Parametres!$B$3),I35)</f>
        <v/>
      </c>
      <c r="K35" s="8">
        <f>IF(C35="Privé",J35,SUMIFS(Regles_regimes!$J$3:$J$2000,Regles_regimes!$A$3:$A$2000,C35,Regles_regimes!$B$3:$B$2000,D35,Regles_regimes!$C$3:$C$2000,MAX(1915,MIN(2025,E35))))</f>
        <v/>
      </c>
      <c r="L35" s="8">
        <f>IF(C35="Privé",H35,(K35-F35)*H35/(J35-F35))</f>
        <v/>
      </c>
      <c r="M35" s="77">
        <f>INT(E35+K35)</f>
        <v/>
      </c>
      <c r="N35" s="77">
        <f>G35+ROUNDUP(L35,0)-1</f>
        <v/>
      </c>
      <c r="O35" s="89">
        <f>SUMIFS(Regles_regimes!$K$3:$K$2000,Regles_regimes!$A$3:$A$2000,C35,Regles_regimes!$B$3:$B$2000,D35,Regles_regimes!$C$3:$C$2000,MAX(1915,MIN(2025,E35)))</f>
        <v/>
      </c>
      <c r="P35" s="13">
        <f>SUMIFS(Donnees_annuelles!$W$3:$W$188,Donnees_annuelles!$A$3:$A$188,"&gt;="&amp;G35,Donnees_annuelles!$A$3:$A$188,"&lt;="&amp;N35)*L35/ROUNDUP(L35,0)*O35</f>
        <v/>
      </c>
      <c r="Q35" s="13">
        <f>SUMIFS(Donnees_annuelles!$V$3:$V$188,Donnees_annuelles!$A$3:$A$188,"&gt;="&amp;G35,Donnees_annuelles!$A$3:$A$188,"&lt;="&amp;N35)*L35/ROUNDUP(L35,0)</f>
        <v/>
      </c>
      <c r="R35" s="13">
        <f>P35/L35</f>
        <v/>
      </c>
      <c r="S35" s="14">
        <f>SUMIFS(Donnees_annuelles!$D$3:$D$188,Donnees_annuelles!$A$3:$A$188,"&gt;="&amp;G35,Donnees_annuelles!$A$3:$A$188,"&lt;="&amp;N35)*L35/ROUNDUP(L35,0)</f>
        <v/>
      </c>
      <c r="T35" s="14">
        <f>SUMIFS(Donnees_regimes!$N$3:$N$1118,Donnees_regimes!$A$3:$A$1118,C35,Donnees_regimes!$B$3:$B$1118,"&gt;="&amp;G35,Donnees_regimes!$B$3:$B$1118,"&lt;="&amp;N35)*L35/ROUNDUP(L35,0)</f>
        <v/>
      </c>
      <c r="U35" s="14">
        <f>SUMIFS(Donnees_regimes!$O$3:$O$1118,Donnees_regimes!$A$3:$A$1118,C35,Donnees_regimes!$B$3:$B$1118,"&gt;="&amp;G35,Donnees_regimes!$B$3:$B$1118,"&lt;="&amp;N35)*L35/ROUNDUP(L35,0)</f>
        <v/>
      </c>
      <c r="V35" s="14">
        <f>T35+U35</f>
        <v/>
      </c>
      <c r="W35" s="33">
        <f>V35/S35</f>
        <v/>
      </c>
      <c r="X35" s="14">
        <f>S35+U35</f>
        <v/>
      </c>
      <c r="Y35" s="17">
        <f>V35/P35</f>
        <v/>
      </c>
      <c r="Z35" s="14">
        <f>SUMIFS(Donnees_regimes!$Q$3:$Q$1118,Donnees_regimes!$A$3:$A$1118,C35,Donnees_regimes!$B$3:$B$1118,"&gt;="&amp;G35,Donnees_regimes!$B$3:$B$1118,"&lt;="&amp;N35)*L35/ROUNDUP(L35,0)</f>
        <v/>
      </c>
      <c r="AA35" s="77">
        <f>SUMIFS(Regles_regimes!$F$3:$F$2000,Regles_regimes!$A$3:$A$2000,C35,Regles_regimes!$B$3:$B$2000,D35,Regles_regimes!$C$3:$C$2000,MAX(1915,MIN(2025,E35)))</f>
        <v/>
      </c>
      <c r="AB35" s="77">
        <f>IF(AND(SUMIFS(Regles_regimes!$L$3:$L$2000,Regles_regimes!$A$3:$A$2000,C35,Regles_regimes!$B$3:$B$2000,D35,Regles_regimes!$C$3:$C$2000,MAX(1915,MIN(2025,E35)))=1,G35&lt;2009,C35&lt;&gt;"Privé"),MIN(20,L35*4/5),0)</f>
        <v/>
      </c>
      <c r="AC35" s="89">
        <f>SUMIFS(Donnees_regimes!$M$3:$M$1118,Donnees_regimes!$A$3:$A$1118,C35,Donnees_regimes!$B$3:$B$1118,M35)</f>
        <v/>
      </c>
      <c r="AD35" s="14">
        <f>SUMIFS(Donnees_annuelles!$Y$3:$Y$188,Donnees_annuelles!$A$3:$A$188,M35)*SUMIFS(Donnees_generations!$I$3:$I$113,Donnees_generations!$A$3:$A$113,MAX(1915,MIN(2025,E35)))/H35</f>
        <v/>
      </c>
      <c r="AE35" s="14">
        <f>IF(C35="Privé",SUMIFS(Donnees_annuelles!$Y$3:$Y$188,Donnees_annuelles!$A$3:$A$188,M35)*MIN(L35,SUMIFS(Donnees_generations!$I$3:$I$113,Donnees_generations!$A$3:$A$113,MAX(1915,MIN(2025,E35))))/L35,AD35*AC35*MIN(IF(AB35&gt;0,0.8/0.75,1),(L35*4+AB35)/AA35))</f>
        <v/>
      </c>
      <c r="AF35" s="14">
        <f>AE35/12</f>
        <v/>
      </c>
      <c r="AG35" s="77">
        <f>MIN(68,MAX(56,2*INT(K35/2)))</f>
        <v/>
      </c>
      <c r="AH35" s="75">
        <f>(CHOOSE((AG35-56)/2+1,SUMIFS(Donnees_generations!$U$3:$U$113,Donnees_generations!$A$3:$A$113,MAX(1915,MIN(2025,E35))),SUMIFS(Donnees_generations!$V$3:$V$113,Donnees_generations!$A$3:$A$113,MAX(1915,MIN(2025,E35))),SUMIFS(Donnees_generations!$W$3:$W$113,Donnees_generations!$A$3:$A$113,MAX(1915,MIN(2025,E35))),SUMIFS(Donnees_generations!$X$3:$X$113,Donnees_generations!$A$3:$A$113,MAX(1915,MIN(2025,E35))),SUMIFS(Donnees_generations!$Y$3:$Y$113,Donnees_generations!$A$3:$A$113,MAX(1915,MIN(2025,E35))),SUMIFS(Donnees_generations!$Z$3:$Z$113,Donnees_generations!$A$3:$A$113,MAX(1915,MIN(2025,E35))),SUMIFS(Donnees_generations!$AA$3:$AA$113,Donnees_generations!$A$3:$A$113,MAX(1915,MIN(2025,E35))),SUMIFS(Donnees_generations!$AB$3:$AB$113,Donnees_generations!$A$3:$A$113,MAX(1915,MIN(2025,E35))))+CHOOSE((AG35-56)/2+1,SUMIFS(Donnees_generations!$AC$3:$AC$113,Donnees_generations!$A$3:$A$113,MAX(1915,MIN(2025,E35))),SUMIFS(Donnees_generations!$AD$3:$AD$113,Donnees_generations!$A$3:$A$113,MAX(1915,MIN(2025,E35))),SUMIFS(Donnees_generations!$AE$3:$AE$113,Donnees_generations!$A$3:$A$113,MAX(1915,MIN(2025,E35))),SUMIFS(Donnees_generations!$AF$3:$AF$113,Donnees_generations!$A$3:$A$113,MAX(1915,MIN(2025,E35))),SUMIFS(Donnees_generations!$AG$3:$AG$113,Donnees_generations!$A$3:$A$113,MAX(1915,MIN(2025,E35))),SUMIFS(Donnees_generations!$AH$3:$AH$113,Donnees_generations!$A$3:$A$113,MAX(1915,MIN(2025,E35))),SUMIFS(Donnees_generations!$AI$3:$AI$113,Donnees_generations!$A$3:$A$113,MAX(1915,MIN(2025,E35))),SUMIFS(Donnees_generations!$AJ$3:$AJ$113,Donnees_generations!$A$3:$A$113,MAX(1915,MIN(2025,E35)))))/2</f>
        <v/>
      </c>
      <c r="AI35" s="75">
        <f>(CHOOSE(((AG35+2)-56)/2+1,SUMIFS(Donnees_generations!$U$3:$U$113,Donnees_generations!$A$3:$A$113,MAX(1915,MIN(2025,E35))),SUMIFS(Donnees_generations!$V$3:$V$113,Donnees_generations!$A$3:$A$113,MAX(1915,MIN(2025,E35))),SUMIFS(Donnees_generations!$W$3:$W$113,Donnees_generations!$A$3:$A$113,MAX(1915,MIN(2025,E35))),SUMIFS(Donnees_generations!$X$3:$X$113,Donnees_generations!$A$3:$A$113,MAX(1915,MIN(2025,E35))),SUMIFS(Donnees_generations!$Y$3:$Y$113,Donnees_generations!$A$3:$A$113,MAX(1915,MIN(2025,E35))),SUMIFS(Donnees_generations!$Z$3:$Z$113,Donnees_generations!$A$3:$A$113,MAX(1915,MIN(2025,E35))),SUMIFS(Donnees_generations!$AA$3:$AA$113,Donnees_generations!$A$3:$A$113,MAX(1915,MIN(2025,E35))),SUMIFS(Donnees_generations!$AB$3:$AB$113,Donnees_generations!$A$3:$A$113,MAX(1915,MIN(2025,E35))))+CHOOSE(((AG35+2)-56)/2+1,SUMIFS(Donnees_generations!$AC$3:$AC$113,Donnees_generations!$A$3:$A$113,MAX(1915,MIN(2025,E35))),SUMIFS(Donnees_generations!$AD$3:$AD$113,Donnees_generations!$A$3:$A$113,MAX(1915,MIN(2025,E35))),SUMIFS(Donnees_generations!$AE$3:$AE$113,Donnees_generations!$A$3:$A$113,MAX(1915,MIN(2025,E35))),SUMIFS(Donnees_generations!$AF$3:$AF$113,Donnees_generations!$A$3:$A$113,MAX(1915,MIN(2025,E35))),SUMIFS(Donnees_generations!$AG$3:$AG$113,Donnees_generations!$A$3:$A$113,MAX(1915,MIN(2025,E35))),SUMIFS(Donnees_generations!$AH$3:$AH$113,Donnees_generations!$A$3:$A$113,MAX(1915,MIN(2025,E35))),SUMIFS(Donnees_generations!$AI$3:$AI$113,Donnees_generations!$A$3:$A$113,MAX(1915,MIN(2025,E35))),SUMIFS(Donnees_generations!$AJ$3:$AJ$113,Donnees_generations!$A$3:$A$113,MAX(1915,MIN(2025,E35)))))/2</f>
        <v/>
      </c>
      <c r="AJ35" s="8">
        <f>MAX(0,AH35+(AI35-AH35)*(K35-AG35)/2)</f>
        <v/>
      </c>
      <c r="AK35" s="8">
        <f>K35+AJ35</f>
        <v/>
      </c>
      <c r="AL35" s="14">
        <f>AE35*AJ35</f>
        <v/>
      </c>
      <c r="AM35" s="17">
        <f>V35/AL35</f>
        <v/>
      </c>
      <c r="AN35" s="17">
        <f>Z35/AL35</f>
        <v/>
      </c>
      <c r="AO35" s="33">
        <f>IF(V35+Z35=0,0,Z35/(V35+Z35))</f>
        <v/>
      </c>
      <c r="AP35" s="14">
        <f>AL35/V35*100</f>
        <v/>
      </c>
      <c r="AQ35" s="8">
        <f>P35/AL35*1000</f>
        <v/>
      </c>
      <c r="AR35" s="77">
        <f>MAX(N35,M35-1)</f>
        <v/>
      </c>
      <c r="AS35" s="14">
        <f>SUMIFS(Donnees_regimes!$R$3:$R$1118,Donnees_regimes!$A$3:$A$1118,C35,Donnees_regimes!$B$3:$B$1118,"&gt;="&amp;G35,Donnees_regimes!$B$3:$B$1118,"&lt;="&amp;N35)*L35/ROUNDUP(L35,0)*SUMIFS(Donnees_annuelles!$AG$3:$AG$188,Donnees_annuelles!$A$3:$A$188,AR35)*SUMIFS(Donnees_annuelles!$AA$3:$AA$188,Donnees_annuelles!$A$3:$A$188,AR35)</f>
        <v/>
      </c>
      <c r="AT35" s="36">
        <f>AS35/V35</f>
        <v/>
      </c>
      <c r="AU35" s="14">
        <f>AL35</f>
        <v/>
      </c>
      <c r="AV35" s="39">
        <f>AS35-AL35</f>
        <v/>
      </c>
      <c r="AW35" s="9">
        <f>AS35/AL35-1</f>
        <v/>
      </c>
      <c r="AX35" s="14">
        <f>AS35/AJ35/12</f>
        <v/>
      </c>
      <c r="AY35" s="14">
        <f>AF35</f>
        <v/>
      </c>
      <c r="AZ35" s="39">
        <f>AX35-AF35</f>
        <v/>
      </c>
      <c r="BA35" s="14">
        <f>SUMIFS(Donnees_regimes!$S$3:$S$1118,Donnees_regimes!$A$3:$A$1118,C35,Donnees_regimes!$B$3:$B$1118,"&gt;="&amp;G35,Donnees_regimes!$B$3:$B$1118,"&lt;="&amp;N35)*L35/ROUNDUP(L35,0)*SUMIFS(Donnees_annuelles!$AH$3:$AH$188,Donnees_annuelles!$A$3:$A$188,AR35)*SUMIFS(Donnees_annuelles!$AA$3:$AA$188,Donnees_annuelles!$A$3:$A$188,AR35)</f>
        <v/>
      </c>
      <c r="BB35" s="39">
        <f>BA35-AL35</f>
        <v/>
      </c>
      <c r="BC35" s="7">
        <f>IF(M35+AJ35&gt;2026,IF(G35&gt;2026,"entièrement projeté","en partie projeté"),"observé")</f>
        <v/>
      </c>
    </row>
    <row r="36">
      <c r="A36" s="7" t="inlineStr">
        <is>
          <t>Baby-boomers</t>
        </is>
      </c>
      <c r="B36" s="84" t="inlineStr">
        <is>
          <t>Privé</t>
        </is>
      </c>
      <c r="C36" s="7">
        <f>IF(G36&gt;=SUMIFS(Regimes!$C$5:$C$10,Regimes!$A$5:$A$10,B36),"Privé",B36)</f>
        <v/>
      </c>
      <c r="D36" s="7">
        <f>INDEX(Regimes!$D$5:$D$10,MATCH(C36,Regimes!$A$5:$A$10,0))</f>
        <v/>
      </c>
      <c r="E36" s="88" t="n">
        <v>1961</v>
      </c>
      <c r="F36" s="8">
        <f>Donnees_generations!C49</f>
        <v/>
      </c>
      <c r="G36" s="77">
        <f>Donnees_generations!D49</f>
        <v/>
      </c>
      <c r="H36" s="8">
        <f>SUMIFS(Donnees_generations!$S$3:$S$113,Donnees_generations!$A$3:$A$113,MAX(1915,MIN(2025,E36)))</f>
        <v/>
      </c>
      <c r="I36" s="8">
        <f>SUMIFS(Donnees_generations!$T$3:$T$113,Donnees_generations!$A$3:$A$113,MAX(1915,MIN(2025,E36)))</f>
        <v/>
      </c>
      <c r="J36" s="8">
        <f>IF(G36&gt;=2000,MAX(I36,Parametres!$B$3),I36)</f>
        <v/>
      </c>
      <c r="K36" s="8">
        <f>IF(C36="Privé",J36,SUMIFS(Regles_regimes!$J$3:$J$2000,Regles_regimes!$A$3:$A$2000,C36,Regles_regimes!$B$3:$B$2000,D36,Regles_regimes!$C$3:$C$2000,MAX(1915,MIN(2025,E36))))</f>
        <v/>
      </c>
      <c r="L36" s="8">
        <f>IF(C36="Privé",H36,(K36-F36)*H36/(J36-F36))</f>
        <v/>
      </c>
      <c r="M36" s="77">
        <f>INT(E36+K36)</f>
        <v/>
      </c>
      <c r="N36" s="77">
        <f>G36+ROUNDUP(L36,0)-1</f>
        <v/>
      </c>
      <c r="O36" s="89">
        <f>SUMIFS(Regles_regimes!$K$3:$K$2000,Regles_regimes!$A$3:$A$2000,C36,Regles_regimes!$B$3:$B$2000,D36,Regles_regimes!$C$3:$C$2000,MAX(1915,MIN(2025,E36)))</f>
        <v/>
      </c>
      <c r="P36" s="13">
        <f>SUMIFS(Donnees_annuelles!$W$3:$W$188,Donnees_annuelles!$A$3:$A$188,"&gt;="&amp;G36,Donnees_annuelles!$A$3:$A$188,"&lt;="&amp;N36)*L36/ROUNDUP(L36,0)*O36</f>
        <v/>
      </c>
      <c r="Q36" s="13">
        <f>SUMIFS(Donnees_annuelles!$V$3:$V$188,Donnees_annuelles!$A$3:$A$188,"&gt;="&amp;G36,Donnees_annuelles!$A$3:$A$188,"&lt;="&amp;N36)*L36/ROUNDUP(L36,0)</f>
        <v/>
      </c>
      <c r="R36" s="13">
        <f>P36/L36</f>
        <v/>
      </c>
      <c r="S36" s="14">
        <f>SUMIFS(Donnees_annuelles!$D$3:$D$188,Donnees_annuelles!$A$3:$A$188,"&gt;="&amp;G36,Donnees_annuelles!$A$3:$A$188,"&lt;="&amp;N36)*L36/ROUNDUP(L36,0)</f>
        <v/>
      </c>
      <c r="T36" s="14">
        <f>SUMIFS(Donnees_regimes!$N$3:$N$1118,Donnees_regimes!$A$3:$A$1118,C36,Donnees_regimes!$B$3:$B$1118,"&gt;="&amp;G36,Donnees_regimes!$B$3:$B$1118,"&lt;="&amp;N36)*L36/ROUNDUP(L36,0)</f>
        <v/>
      </c>
      <c r="U36" s="14">
        <f>SUMIFS(Donnees_regimes!$O$3:$O$1118,Donnees_regimes!$A$3:$A$1118,C36,Donnees_regimes!$B$3:$B$1118,"&gt;="&amp;G36,Donnees_regimes!$B$3:$B$1118,"&lt;="&amp;N36)*L36/ROUNDUP(L36,0)</f>
        <v/>
      </c>
      <c r="V36" s="14">
        <f>T36+U36</f>
        <v/>
      </c>
      <c r="W36" s="33">
        <f>V36/S36</f>
        <v/>
      </c>
      <c r="X36" s="14">
        <f>S36+U36</f>
        <v/>
      </c>
      <c r="Y36" s="17">
        <f>V36/P36</f>
        <v/>
      </c>
      <c r="Z36" s="14">
        <f>SUMIFS(Donnees_regimes!$Q$3:$Q$1118,Donnees_regimes!$A$3:$A$1118,C36,Donnees_regimes!$B$3:$B$1118,"&gt;="&amp;G36,Donnees_regimes!$B$3:$B$1118,"&lt;="&amp;N36)*L36/ROUNDUP(L36,0)</f>
        <v/>
      </c>
      <c r="AA36" s="77">
        <f>SUMIFS(Regles_regimes!$F$3:$F$2000,Regles_regimes!$A$3:$A$2000,C36,Regles_regimes!$B$3:$B$2000,D36,Regles_regimes!$C$3:$C$2000,MAX(1915,MIN(2025,E36)))</f>
        <v/>
      </c>
      <c r="AB36" s="77">
        <f>IF(AND(SUMIFS(Regles_regimes!$L$3:$L$2000,Regles_regimes!$A$3:$A$2000,C36,Regles_regimes!$B$3:$B$2000,D36,Regles_regimes!$C$3:$C$2000,MAX(1915,MIN(2025,E36)))=1,G36&lt;2009,C36&lt;&gt;"Privé"),MIN(20,L36*4/5),0)</f>
        <v/>
      </c>
      <c r="AC36" s="89">
        <f>SUMIFS(Donnees_regimes!$M$3:$M$1118,Donnees_regimes!$A$3:$A$1118,C36,Donnees_regimes!$B$3:$B$1118,M36)</f>
        <v/>
      </c>
      <c r="AD36" s="14">
        <f>SUMIFS(Donnees_annuelles!$Y$3:$Y$188,Donnees_annuelles!$A$3:$A$188,M36)*SUMIFS(Donnees_generations!$I$3:$I$113,Donnees_generations!$A$3:$A$113,MAX(1915,MIN(2025,E36)))/H36</f>
        <v/>
      </c>
      <c r="AE36" s="14">
        <f>IF(C36="Privé",SUMIFS(Donnees_annuelles!$Y$3:$Y$188,Donnees_annuelles!$A$3:$A$188,M36)*MIN(L36,SUMIFS(Donnees_generations!$I$3:$I$113,Donnees_generations!$A$3:$A$113,MAX(1915,MIN(2025,E36))))/L36,AD36*AC36*MIN(IF(AB36&gt;0,0.8/0.75,1),(L36*4+AB36)/AA36))</f>
        <v/>
      </c>
      <c r="AF36" s="14">
        <f>AE36/12</f>
        <v/>
      </c>
      <c r="AG36" s="77">
        <f>MIN(68,MAX(56,2*INT(K36/2)))</f>
        <v/>
      </c>
      <c r="AH36" s="75">
        <f>(CHOOSE((AG36-56)/2+1,SUMIFS(Donnees_generations!$U$3:$U$113,Donnees_generations!$A$3:$A$113,MAX(1915,MIN(2025,E36))),SUMIFS(Donnees_generations!$V$3:$V$113,Donnees_generations!$A$3:$A$113,MAX(1915,MIN(2025,E36))),SUMIFS(Donnees_generations!$W$3:$W$113,Donnees_generations!$A$3:$A$113,MAX(1915,MIN(2025,E36))),SUMIFS(Donnees_generations!$X$3:$X$113,Donnees_generations!$A$3:$A$113,MAX(1915,MIN(2025,E36))),SUMIFS(Donnees_generations!$Y$3:$Y$113,Donnees_generations!$A$3:$A$113,MAX(1915,MIN(2025,E36))),SUMIFS(Donnees_generations!$Z$3:$Z$113,Donnees_generations!$A$3:$A$113,MAX(1915,MIN(2025,E36))),SUMIFS(Donnees_generations!$AA$3:$AA$113,Donnees_generations!$A$3:$A$113,MAX(1915,MIN(2025,E36))),SUMIFS(Donnees_generations!$AB$3:$AB$113,Donnees_generations!$A$3:$A$113,MAX(1915,MIN(2025,E36))))+CHOOSE((AG36-56)/2+1,SUMIFS(Donnees_generations!$AC$3:$AC$113,Donnees_generations!$A$3:$A$113,MAX(1915,MIN(2025,E36))),SUMIFS(Donnees_generations!$AD$3:$AD$113,Donnees_generations!$A$3:$A$113,MAX(1915,MIN(2025,E36))),SUMIFS(Donnees_generations!$AE$3:$AE$113,Donnees_generations!$A$3:$A$113,MAX(1915,MIN(2025,E36))),SUMIFS(Donnees_generations!$AF$3:$AF$113,Donnees_generations!$A$3:$A$113,MAX(1915,MIN(2025,E36))),SUMIFS(Donnees_generations!$AG$3:$AG$113,Donnees_generations!$A$3:$A$113,MAX(1915,MIN(2025,E36))),SUMIFS(Donnees_generations!$AH$3:$AH$113,Donnees_generations!$A$3:$A$113,MAX(1915,MIN(2025,E36))),SUMIFS(Donnees_generations!$AI$3:$AI$113,Donnees_generations!$A$3:$A$113,MAX(1915,MIN(2025,E36))),SUMIFS(Donnees_generations!$AJ$3:$AJ$113,Donnees_generations!$A$3:$A$113,MAX(1915,MIN(2025,E36)))))/2</f>
        <v/>
      </c>
      <c r="AI36" s="75">
        <f>(CHOOSE(((AG36+2)-56)/2+1,SUMIFS(Donnees_generations!$U$3:$U$113,Donnees_generations!$A$3:$A$113,MAX(1915,MIN(2025,E36))),SUMIFS(Donnees_generations!$V$3:$V$113,Donnees_generations!$A$3:$A$113,MAX(1915,MIN(2025,E36))),SUMIFS(Donnees_generations!$W$3:$W$113,Donnees_generations!$A$3:$A$113,MAX(1915,MIN(2025,E36))),SUMIFS(Donnees_generations!$X$3:$X$113,Donnees_generations!$A$3:$A$113,MAX(1915,MIN(2025,E36))),SUMIFS(Donnees_generations!$Y$3:$Y$113,Donnees_generations!$A$3:$A$113,MAX(1915,MIN(2025,E36))),SUMIFS(Donnees_generations!$Z$3:$Z$113,Donnees_generations!$A$3:$A$113,MAX(1915,MIN(2025,E36))),SUMIFS(Donnees_generations!$AA$3:$AA$113,Donnees_generations!$A$3:$A$113,MAX(1915,MIN(2025,E36))),SUMIFS(Donnees_generations!$AB$3:$AB$113,Donnees_generations!$A$3:$A$113,MAX(1915,MIN(2025,E36))))+CHOOSE(((AG36+2)-56)/2+1,SUMIFS(Donnees_generations!$AC$3:$AC$113,Donnees_generations!$A$3:$A$113,MAX(1915,MIN(2025,E36))),SUMIFS(Donnees_generations!$AD$3:$AD$113,Donnees_generations!$A$3:$A$113,MAX(1915,MIN(2025,E36))),SUMIFS(Donnees_generations!$AE$3:$AE$113,Donnees_generations!$A$3:$A$113,MAX(1915,MIN(2025,E36))),SUMIFS(Donnees_generations!$AF$3:$AF$113,Donnees_generations!$A$3:$A$113,MAX(1915,MIN(2025,E36))),SUMIFS(Donnees_generations!$AG$3:$AG$113,Donnees_generations!$A$3:$A$113,MAX(1915,MIN(2025,E36))),SUMIFS(Donnees_generations!$AH$3:$AH$113,Donnees_generations!$A$3:$A$113,MAX(1915,MIN(2025,E36))),SUMIFS(Donnees_generations!$AI$3:$AI$113,Donnees_generations!$A$3:$A$113,MAX(1915,MIN(2025,E36))),SUMIFS(Donnees_generations!$AJ$3:$AJ$113,Donnees_generations!$A$3:$A$113,MAX(1915,MIN(2025,E36)))))/2</f>
        <v/>
      </c>
      <c r="AJ36" s="8">
        <f>MAX(0,AH36+(AI36-AH36)*(K36-AG36)/2)</f>
        <v/>
      </c>
      <c r="AK36" s="8">
        <f>K36+AJ36</f>
        <v/>
      </c>
      <c r="AL36" s="14">
        <f>AE36*AJ36</f>
        <v/>
      </c>
      <c r="AM36" s="17">
        <f>V36/AL36</f>
        <v/>
      </c>
      <c r="AN36" s="17">
        <f>Z36/AL36</f>
        <v/>
      </c>
      <c r="AO36" s="33">
        <f>IF(V36+Z36=0,0,Z36/(V36+Z36))</f>
        <v/>
      </c>
      <c r="AP36" s="14">
        <f>AL36/V36*100</f>
        <v/>
      </c>
      <c r="AQ36" s="8">
        <f>P36/AL36*1000</f>
        <v/>
      </c>
      <c r="AR36" s="77">
        <f>MAX(N36,M36-1)</f>
        <v/>
      </c>
      <c r="AS36" s="14">
        <f>SUMIFS(Donnees_regimes!$R$3:$R$1118,Donnees_regimes!$A$3:$A$1118,C36,Donnees_regimes!$B$3:$B$1118,"&gt;="&amp;G36,Donnees_regimes!$B$3:$B$1118,"&lt;="&amp;N36)*L36/ROUNDUP(L36,0)*SUMIFS(Donnees_annuelles!$AG$3:$AG$188,Donnees_annuelles!$A$3:$A$188,AR36)*SUMIFS(Donnees_annuelles!$AA$3:$AA$188,Donnees_annuelles!$A$3:$A$188,AR36)</f>
        <v/>
      </c>
      <c r="AT36" s="36">
        <f>AS36/V36</f>
        <v/>
      </c>
      <c r="AU36" s="14">
        <f>AL36</f>
        <v/>
      </c>
      <c r="AV36" s="39">
        <f>AS36-AL36</f>
        <v/>
      </c>
      <c r="AW36" s="9">
        <f>AS36/AL36-1</f>
        <v/>
      </c>
      <c r="AX36" s="14">
        <f>AS36/AJ36/12</f>
        <v/>
      </c>
      <c r="AY36" s="14">
        <f>AF36</f>
        <v/>
      </c>
      <c r="AZ36" s="39">
        <f>AX36-AF36</f>
        <v/>
      </c>
      <c r="BA36" s="14">
        <f>SUMIFS(Donnees_regimes!$S$3:$S$1118,Donnees_regimes!$A$3:$A$1118,C36,Donnees_regimes!$B$3:$B$1118,"&gt;="&amp;G36,Donnees_regimes!$B$3:$B$1118,"&lt;="&amp;N36)*L36/ROUNDUP(L36,0)*SUMIFS(Donnees_annuelles!$AH$3:$AH$188,Donnees_annuelles!$A$3:$A$188,AR36)*SUMIFS(Donnees_annuelles!$AA$3:$AA$188,Donnees_annuelles!$A$3:$A$188,AR36)</f>
        <v/>
      </c>
      <c r="BB36" s="39">
        <f>BA36-AL36</f>
        <v/>
      </c>
      <c r="BC36" s="7">
        <f>IF(M36+AJ36&gt;2026,IF(G36&gt;2026,"entièrement projeté","en partie projeté"),"observé")</f>
        <v/>
      </c>
    </row>
    <row r="37">
      <c r="A37" s="7" t="inlineStr">
        <is>
          <t>Baby-boomers</t>
        </is>
      </c>
      <c r="B37" s="84" t="inlineStr">
        <is>
          <t>Privé</t>
        </is>
      </c>
      <c r="C37" s="7">
        <f>IF(G37&gt;=SUMIFS(Regimes!$C$5:$C$10,Regimes!$A$5:$A$10,B37),"Privé",B37)</f>
        <v/>
      </c>
      <c r="D37" s="7">
        <f>INDEX(Regimes!$D$5:$D$10,MATCH(C37,Regimes!$A$5:$A$10,0))</f>
        <v/>
      </c>
      <c r="E37" s="88" t="n">
        <v>1962</v>
      </c>
      <c r="F37" s="8">
        <f>Donnees_generations!C50</f>
        <v/>
      </c>
      <c r="G37" s="77">
        <f>Donnees_generations!D50</f>
        <v/>
      </c>
      <c r="H37" s="8">
        <f>SUMIFS(Donnees_generations!$S$3:$S$113,Donnees_generations!$A$3:$A$113,MAX(1915,MIN(2025,E37)))</f>
        <v/>
      </c>
      <c r="I37" s="8">
        <f>SUMIFS(Donnees_generations!$T$3:$T$113,Donnees_generations!$A$3:$A$113,MAX(1915,MIN(2025,E37)))</f>
        <v/>
      </c>
      <c r="J37" s="8">
        <f>IF(G37&gt;=2000,MAX(I37,Parametres!$B$3),I37)</f>
        <v/>
      </c>
      <c r="K37" s="8">
        <f>IF(C37="Privé",J37,SUMIFS(Regles_regimes!$J$3:$J$2000,Regles_regimes!$A$3:$A$2000,C37,Regles_regimes!$B$3:$B$2000,D37,Regles_regimes!$C$3:$C$2000,MAX(1915,MIN(2025,E37))))</f>
        <v/>
      </c>
      <c r="L37" s="8">
        <f>IF(C37="Privé",H37,(K37-F37)*H37/(J37-F37))</f>
        <v/>
      </c>
      <c r="M37" s="77">
        <f>INT(E37+K37)</f>
        <v/>
      </c>
      <c r="N37" s="77">
        <f>G37+ROUNDUP(L37,0)-1</f>
        <v/>
      </c>
      <c r="O37" s="89">
        <f>SUMIFS(Regles_regimes!$K$3:$K$2000,Regles_regimes!$A$3:$A$2000,C37,Regles_regimes!$B$3:$B$2000,D37,Regles_regimes!$C$3:$C$2000,MAX(1915,MIN(2025,E37)))</f>
        <v/>
      </c>
      <c r="P37" s="13">
        <f>SUMIFS(Donnees_annuelles!$W$3:$W$188,Donnees_annuelles!$A$3:$A$188,"&gt;="&amp;G37,Donnees_annuelles!$A$3:$A$188,"&lt;="&amp;N37)*L37/ROUNDUP(L37,0)*O37</f>
        <v/>
      </c>
      <c r="Q37" s="13">
        <f>SUMIFS(Donnees_annuelles!$V$3:$V$188,Donnees_annuelles!$A$3:$A$188,"&gt;="&amp;G37,Donnees_annuelles!$A$3:$A$188,"&lt;="&amp;N37)*L37/ROUNDUP(L37,0)</f>
        <v/>
      </c>
      <c r="R37" s="13">
        <f>P37/L37</f>
        <v/>
      </c>
      <c r="S37" s="14">
        <f>SUMIFS(Donnees_annuelles!$D$3:$D$188,Donnees_annuelles!$A$3:$A$188,"&gt;="&amp;G37,Donnees_annuelles!$A$3:$A$188,"&lt;="&amp;N37)*L37/ROUNDUP(L37,0)</f>
        <v/>
      </c>
      <c r="T37" s="14">
        <f>SUMIFS(Donnees_regimes!$N$3:$N$1118,Donnees_regimes!$A$3:$A$1118,C37,Donnees_regimes!$B$3:$B$1118,"&gt;="&amp;G37,Donnees_regimes!$B$3:$B$1118,"&lt;="&amp;N37)*L37/ROUNDUP(L37,0)</f>
        <v/>
      </c>
      <c r="U37" s="14">
        <f>SUMIFS(Donnees_regimes!$O$3:$O$1118,Donnees_regimes!$A$3:$A$1118,C37,Donnees_regimes!$B$3:$B$1118,"&gt;="&amp;G37,Donnees_regimes!$B$3:$B$1118,"&lt;="&amp;N37)*L37/ROUNDUP(L37,0)</f>
        <v/>
      </c>
      <c r="V37" s="14">
        <f>T37+U37</f>
        <v/>
      </c>
      <c r="W37" s="33">
        <f>V37/S37</f>
        <v/>
      </c>
      <c r="X37" s="14">
        <f>S37+U37</f>
        <v/>
      </c>
      <c r="Y37" s="17">
        <f>V37/P37</f>
        <v/>
      </c>
      <c r="Z37" s="14">
        <f>SUMIFS(Donnees_regimes!$Q$3:$Q$1118,Donnees_regimes!$A$3:$A$1118,C37,Donnees_regimes!$B$3:$B$1118,"&gt;="&amp;G37,Donnees_regimes!$B$3:$B$1118,"&lt;="&amp;N37)*L37/ROUNDUP(L37,0)</f>
        <v/>
      </c>
      <c r="AA37" s="77">
        <f>SUMIFS(Regles_regimes!$F$3:$F$2000,Regles_regimes!$A$3:$A$2000,C37,Regles_regimes!$B$3:$B$2000,D37,Regles_regimes!$C$3:$C$2000,MAX(1915,MIN(2025,E37)))</f>
        <v/>
      </c>
      <c r="AB37" s="77">
        <f>IF(AND(SUMIFS(Regles_regimes!$L$3:$L$2000,Regles_regimes!$A$3:$A$2000,C37,Regles_regimes!$B$3:$B$2000,D37,Regles_regimes!$C$3:$C$2000,MAX(1915,MIN(2025,E37)))=1,G37&lt;2009,C37&lt;&gt;"Privé"),MIN(20,L37*4/5),0)</f>
        <v/>
      </c>
      <c r="AC37" s="89">
        <f>SUMIFS(Donnees_regimes!$M$3:$M$1118,Donnees_regimes!$A$3:$A$1118,C37,Donnees_regimes!$B$3:$B$1118,M37)</f>
        <v/>
      </c>
      <c r="AD37" s="14">
        <f>SUMIFS(Donnees_annuelles!$Y$3:$Y$188,Donnees_annuelles!$A$3:$A$188,M37)*SUMIFS(Donnees_generations!$I$3:$I$113,Donnees_generations!$A$3:$A$113,MAX(1915,MIN(2025,E37)))/H37</f>
        <v/>
      </c>
      <c r="AE37" s="14">
        <f>IF(C37="Privé",SUMIFS(Donnees_annuelles!$Y$3:$Y$188,Donnees_annuelles!$A$3:$A$188,M37)*MIN(L37,SUMIFS(Donnees_generations!$I$3:$I$113,Donnees_generations!$A$3:$A$113,MAX(1915,MIN(2025,E37))))/L37,AD37*AC37*MIN(IF(AB37&gt;0,0.8/0.75,1),(L37*4+AB37)/AA37))</f>
        <v/>
      </c>
      <c r="AF37" s="14">
        <f>AE37/12</f>
        <v/>
      </c>
      <c r="AG37" s="77">
        <f>MIN(68,MAX(56,2*INT(K37/2)))</f>
        <v/>
      </c>
      <c r="AH37" s="75">
        <f>(CHOOSE((AG37-56)/2+1,SUMIFS(Donnees_generations!$U$3:$U$113,Donnees_generations!$A$3:$A$113,MAX(1915,MIN(2025,E37))),SUMIFS(Donnees_generations!$V$3:$V$113,Donnees_generations!$A$3:$A$113,MAX(1915,MIN(2025,E37))),SUMIFS(Donnees_generations!$W$3:$W$113,Donnees_generations!$A$3:$A$113,MAX(1915,MIN(2025,E37))),SUMIFS(Donnees_generations!$X$3:$X$113,Donnees_generations!$A$3:$A$113,MAX(1915,MIN(2025,E37))),SUMIFS(Donnees_generations!$Y$3:$Y$113,Donnees_generations!$A$3:$A$113,MAX(1915,MIN(2025,E37))),SUMIFS(Donnees_generations!$Z$3:$Z$113,Donnees_generations!$A$3:$A$113,MAX(1915,MIN(2025,E37))),SUMIFS(Donnees_generations!$AA$3:$AA$113,Donnees_generations!$A$3:$A$113,MAX(1915,MIN(2025,E37))),SUMIFS(Donnees_generations!$AB$3:$AB$113,Donnees_generations!$A$3:$A$113,MAX(1915,MIN(2025,E37))))+CHOOSE((AG37-56)/2+1,SUMIFS(Donnees_generations!$AC$3:$AC$113,Donnees_generations!$A$3:$A$113,MAX(1915,MIN(2025,E37))),SUMIFS(Donnees_generations!$AD$3:$AD$113,Donnees_generations!$A$3:$A$113,MAX(1915,MIN(2025,E37))),SUMIFS(Donnees_generations!$AE$3:$AE$113,Donnees_generations!$A$3:$A$113,MAX(1915,MIN(2025,E37))),SUMIFS(Donnees_generations!$AF$3:$AF$113,Donnees_generations!$A$3:$A$113,MAX(1915,MIN(2025,E37))),SUMIFS(Donnees_generations!$AG$3:$AG$113,Donnees_generations!$A$3:$A$113,MAX(1915,MIN(2025,E37))),SUMIFS(Donnees_generations!$AH$3:$AH$113,Donnees_generations!$A$3:$A$113,MAX(1915,MIN(2025,E37))),SUMIFS(Donnees_generations!$AI$3:$AI$113,Donnees_generations!$A$3:$A$113,MAX(1915,MIN(2025,E37))),SUMIFS(Donnees_generations!$AJ$3:$AJ$113,Donnees_generations!$A$3:$A$113,MAX(1915,MIN(2025,E37)))))/2</f>
        <v/>
      </c>
      <c r="AI37" s="75">
        <f>(CHOOSE(((AG37+2)-56)/2+1,SUMIFS(Donnees_generations!$U$3:$U$113,Donnees_generations!$A$3:$A$113,MAX(1915,MIN(2025,E37))),SUMIFS(Donnees_generations!$V$3:$V$113,Donnees_generations!$A$3:$A$113,MAX(1915,MIN(2025,E37))),SUMIFS(Donnees_generations!$W$3:$W$113,Donnees_generations!$A$3:$A$113,MAX(1915,MIN(2025,E37))),SUMIFS(Donnees_generations!$X$3:$X$113,Donnees_generations!$A$3:$A$113,MAX(1915,MIN(2025,E37))),SUMIFS(Donnees_generations!$Y$3:$Y$113,Donnees_generations!$A$3:$A$113,MAX(1915,MIN(2025,E37))),SUMIFS(Donnees_generations!$Z$3:$Z$113,Donnees_generations!$A$3:$A$113,MAX(1915,MIN(2025,E37))),SUMIFS(Donnees_generations!$AA$3:$AA$113,Donnees_generations!$A$3:$A$113,MAX(1915,MIN(2025,E37))),SUMIFS(Donnees_generations!$AB$3:$AB$113,Donnees_generations!$A$3:$A$113,MAX(1915,MIN(2025,E37))))+CHOOSE(((AG37+2)-56)/2+1,SUMIFS(Donnees_generations!$AC$3:$AC$113,Donnees_generations!$A$3:$A$113,MAX(1915,MIN(2025,E37))),SUMIFS(Donnees_generations!$AD$3:$AD$113,Donnees_generations!$A$3:$A$113,MAX(1915,MIN(2025,E37))),SUMIFS(Donnees_generations!$AE$3:$AE$113,Donnees_generations!$A$3:$A$113,MAX(1915,MIN(2025,E37))),SUMIFS(Donnees_generations!$AF$3:$AF$113,Donnees_generations!$A$3:$A$113,MAX(1915,MIN(2025,E37))),SUMIFS(Donnees_generations!$AG$3:$AG$113,Donnees_generations!$A$3:$A$113,MAX(1915,MIN(2025,E37))),SUMIFS(Donnees_generations!$AH$3:$AH$113,Donnees_generations!$A$3:$A$113,MAX(1915,MIN(2025,E37))),SUMIFS(Donnees_generations!$AI$3:$AI$113,Donnees_generations!$A$3:$A$113,MAX(1915,MIN(2025,E37))),SUMIFS(Donnees_generations!$AJ$3:$AJ$113,Donnees_generations!$A$3:$A$113,MAX(1915,MIN(2025,E37)))))/2</f>
        <v/>
      </c>
      <c r="AJ37" s="8">
        <f>MAX(0,AH37+(AI37-AH37)*(K37-AG37)/2)</f>
        <v/>
      </c>
      <c r="AK37" s="8">
        <f>K37+AJ37</f>
        <v/>
      </c>
      <c r="AL37" s="14">
        <f>AE37*AJ37</f>
        <v/>
      </c>
      <c r="AM37" s="17">
        <f>V37/AL37</f>
        <v/>
      </c>
      <c r="AN37" s="17">
        <f>Z37/AL37</f>
        <v/>
      </c>
      <c r="AO37" s="33">
        <f>IF(V37+Z37=0,0,Z37/(V37+Z37))</f>
        <v/>
      </c>
      <c r="AP37" s="14">
        <f>AL37/V37*100</f>
        <v/>
      </c>
      <c r="AQ37" s="8">
        <f>P37/AL37*1000</f>
        <v/>
      </c>
      <c r="AR37" s="77">
        <f>MAX(N37,M37-1)</f>
        <v/>
      </c>
      <c r="AS37" s="14">
        <f>SUMIFS(Donnees_regimes!$R$3:$R$1118,Donnees_regimes!$A$3:$A$1118,C37,Donnees_regimes!$B$3:$B$1118,"&gt;="&amp;G37,Donnees_regimes!$B$3:$B$1118,"&lt;="&amp;N37)*L37/ROUNDUP(L37,0)*SUMIFS(Donnees_annuelles!$AG$3:$AG$188,Donnees_annuelles!$A$3:$A$188,AR37)*SUMIFS(Donnees_annuelles!$AA$3:$AA$188,Donnees_annuelles!$A$3:$A$188,AR37)</f>
        <v/>
      </c>
      <c r="AT37" s="36">
        <f>AS37/V37</f>
        <v/>
      </c>
      <c r="AU37" s="14">
        <f>AL37</f>
        <v/>
      </c>
      <c r="AV37" s="39">
        <f>AS37-AL37</f>
        <v/>
      </c>
      <c r="AW37" s="9">
        <f>AS37/AL37-1</f>
        <v/>
      </c>
      <c r="AX37" s="14">
        <f>AS37/AJ37/12</f>
        <v/>
      </c>
      <c r="AY37" s="14">
        <f>AF37</f>
        <v/>
      </c>
      <c r="AZ37" s="39">
        <f>AX37-AF37</f>
        <v/>
      </c>
      <c r="BA37" s="14">
        <f>SUMIFS(Donnees_regimes!$S$3:$S$1118,Donnees_regimes!$A$3:$A$1118,C37,Donnees_regimes!$B$3:$B$1118,"&gt;="&amp;G37,Donnees_regimes!$B$3:$B$1118,"&lt;="&amp;N37)*L37/ROUNDUP(L37,0)*SUMIFS(Donnees_annuelles!$AH$3:$AH$188,Donnees_annuelles!$A$3:$A$188,AR37)*SUMIFS(Donnees_annuelles!$AA$3:$AA$188,Donnees_annuelles!$A$3:$A$188,AR37)</f>
        <v/>
      </c>
      <c r="BB37" s="39">
        <f>BA37-AL37</f>
        <v/>
      </c>
      <c r="BC37" s="7">
        <f>IF(M37+AJ37&gt;2026,IF(G37&gt;2026,"entièrement projeté","en partie projeté"),"observé")</f>
        <v/>
      </c>
    </row>
    <row r="38">
      <c r="A38" s="7" t="inlineStr">
        <is>
          <t>Baby-boomers</t>
        </is>
      </c>
      <c r="B38" s="84" t="inlineStr">
        <is>
          <t>Privé</t>
        </is>
      </c>
      <c r="C38" s="7">
        <f>IF(G38&gt;=SUMIFS(Regimes!$C$5:$C$10,Regimes!$A$5:$A$10,B38),"Privé",B38)</f>
        <v/>
      </c>
      <c r="D38" s="7">
        <f>INDEX(Regimes!$D$5:$D$10,MATCH(C38,Regimes!$A$5:$A$10,0))</f>
        <v/>
      </c>
      <c r="E38" s="88" t="n">
        <v>1963</v>
      </c>
      <c r="F38" s="8">
        <f>Donnees_generations!C51</f>
        <v/>
      </c>
      <c r="G38" s="77">
        <f>Donnees_generations!D51</f>
        <v/>
      </c>
      <c r="H38" s="8">
        <f>SUMIFS(Donnees_generations!$S$3:$S$113,Donnees_generations!$A$3:$A$113,MAX(1915,MIN(2025,E38)))</f>
        <v/>
      </c>
      <c r="I38" s="8">
        <f>SUMIFS(Donnees_generations!$T$3:$T$113,Donnees_generations!$A$3:$A$113,MAX(1915,MIN(2025,E38)))</f>
        <v/>
      </c>
      <c r="J38" s="8">
        <f>IF(G38&gt;=2000,MAX(I38,Parametres!$B$3),I38)</f>
        <v/>
      </c>
      <c r="K38" s="8">
        <f>IF(C38="Privé",J38,SUMIFS(Regles_regimes!$J$3:$J$2000,Regles_regimes!$A$3:$A$2000,C38,Regles_regimes!$B$3:$B$2000,D38,Regles_regimes!$C$3:$C$2000,MAX(1915,MIN(2025,E38))))</f>
        <v/>
      </c>
      <c r="L38" s="8">
        <f>IF(C38="Privé",H38,(K38-F38)*H38/(J38-F38))</f>
        <v/>
      </c>
      <c r="M38" s="77">
        <f>INT(E38+K38)</f>
        <v/>
      </c>
      <c r="N38" s="77">
        <f>G38+ROUNDUP(L38,0)-1</f>
        <v/>
      </c>
      <c r="O38" s="89">
        <f>SUMIFS(Regles_regimes!$K$3:$K$2000,Regles_regimes!$A$3:$A$2000,C38,Regles_regimes!$B$3:$B$2000,D38,Regles_regimes!$C$3:$C$2000,MAX(1915,MIN(2025,E38)))</f>
        <v/>
      </c>
      <c r="P38" s="13">
        <f>SUMIFS(Donnees_annuelles!$W$3:$W$188,Donnees_annuelles!$A$3:$A$188,"&gt;="&amp;G38,Donnees_annuelles!$A$3:$A$188,"&lt;="&amp;N38)*L38/ROUNDUP(L38,0)*O38</f>
        <v/>
      </c>
      <c r="Q38" s="13">
        <f>SUMIFS(Donnees_annuelles!$V$3:$V$188,Donnees_annuelles!$A$3:$A$188,"&gt;="&amp;G38,Donnees_annuelles!$A$3:$A$188,"&lt;="&amp;N38)*L38/ROUNDUP(L38,0)</f>
        <v/>
      </c>
      <c r="R38" s="13">
        <f>P38/L38</f>
        <v/>
      </c>
      <c r="S38" s="14">
        <f>SUMIFS(Donnees_annuelles!$D$3:$D$188,Donnees_annuelles!$A$3:$A$188,"&gt;="&amp;G38,Donnees_annuelles!$A$3:$A$188,"&lt;="&amp;N38)*L38/ROUNDUP(L38,0)</f>
        <v/>
      </c>
      <c r="T38" s="14">
        <f>SUMIFS(Donnees_regimes!$N$3:$N$1118,Donnees_regimes!$A$3:$A$1118,C38,Donnees_regimes!$B$3:$B$1118,"&gt;="&amp;G38,Donnees_regimes!$B$3:$B$1118,"&lt;="&amp;N38)*L38/ROUNDUP(L38,0)</f>
        <v/>
      </c>
      <c r="U38" s="14">
        <f>SUMIFS(Donnees_regimes!$O$3:$O$1118,Donnees_regimes!$A$3:$A$1118,C38,Donnees_regimes!$B$3:$B$1118,"&gt;="&amp;G38,Donnees_regimes!$B$3:$B$1118,"&lt;="&amp;N38)*L38/ROUNDUP(L38,0)</f>
        <v/>
      </c>
      <c r="V38" s="14">
        <f>T38+U38</f>
        <v/>
      </c>
      <c r="W38" s="33">
        <f>V38/S38</f>
        <v/>
      </c>
      <c r="X38" s="14">
        <f>S38+U38</f>
        <v/>
      </c>
      <c r="Y38" s="17">
        <f>V38/P38</f>
        <v/>
      </c>
      <c r="Z38" s="14">
        <f>SUMIFS(Donnees_regimes!$Q$3:$Q$1118,Donnees_regimes!$A$3:$A$1118,C38,Donnees_regimes!$B$3:$B$1118,"&gt;="&amp;G38,Donnees_regimes!$B$3:$B$1118,"&lt;="&amp;N38)*L38/ROUNDUP(L38,0)</f>
        <v/>
      </c>
      <c r="AA38" s="77">
        <f>SUMIFS(Regles_regimes!$F$3:$F$2000,Regles_regimes!$A$3:$A$2000,C38,Regles_regimes!$B$3:$B$2000,D38,Regles_regimes!$C$3:$C$2000,MAX(1915,MIN(2025,E38)))</f>
        <v/>
      </c>
      <c r="AB38" s="77">
        <f>IF(AND(SUMIFS(Regles_regimes!$L$3:$L$2000,Regles_regimes!$A$3:$A$2000,C38,Regles_regimes!$B$3:$B$2000,D38,Regles_regimes!$C$3:$C$2000,MAX(1915,MIN(2025,E38)))=1,G38&lt;2009,C38&lt;&gt;"Privé"),MIN(20,L38*4/5),0)</f>
        <v/>
      </c>
      <c r="AC38" s="89">
        <f>SUMIFS(Donnees_regimes!$M$3:$M$1118,Donnees_regimes!$A$3:$A$1118,C38,Donnees_regimes!$B$3:$B$1118,M38)</f>
        <v/>
      </c>
      <c r="AD38" s="14">
        <f>SUMIFS(Donnees_annuelles!$Y$3:$Y$188,Donnees_annuelles!$A$3:$A$188,M38)*SUMIFS(Donnees_generations!$I$3:$I$113,Donnees_generations!$A$3:$A$113,MAX(1915,MIN(2025,E38)))/H38</f>
        <v/>
      </c>
      <c r="AE38" s="14">
        <f>IF(C38="Privé",SUMIFS(Donnees_annuelles!$Y$3:$Y$188,Donnees_annuelles!$A$3:$A$188,M38)*MIN(L38,SUMIFS(Donnees_generations!$I$3:$I$113,Donnees_generations!$A$3:$A$113,MAX(1915,MIN(2025,E38))))/L38,AD38*AC38*MIN(IF(AB38&gt;0,0.8/0.75,1),(L38*4+AB38)/AA38))</f>
        <v/>
      </c>
      <c r="AF38" s="14">
        <f>AE38/12</f>
        <v/>
      </c>
      <c r="AG38" s="77">
        <f>MIN(68,MAX(56,2*INT(K38/2)))</f>
        <v/>
      </c>
      <c r="AH38" s="75">
        <f>(CHOOSE((AG38-56)/2+1,SUMIFS(Donnees_generations!$U$3:$U$113,Donnees_generations!$A$3:$A$113,MAX(1915,MIN(2025,E38))),SUMIFS(Donnees_generations!$V$3:$V$113,Donnees_generations!$A$3:$A$113,MAX(1915,MIN(2025,E38))),SUMIFS(Donnees_generations!$W$3:$W$113,Donnees_generations!$A$3:$A$113,MAX(1915,MIN(2025,E38))),SUMIFS(Donnees_generations!$X$3:$X$113,Donnees_generations!$A$3:$A$113,MAX(1915,MIN(2025,E38))),SUMIFS(Donnees_generations!$Y$3:$Y$113,Donnees_generations!$A$3:$A$113,MAX(1915,MIN(2025,E38))),SUMIFS(Donnees_generations!$Z$3:$Z$113,Donnees_generations!$A$3:$A$113,MAX(1915,MIN(2025,E38))),SUMIFS(Donnees_generations!$AA$3:$AA$113,Donnees_generations!$A$3:$A$113,MAX(1915,MIN(2025,E38))),SUMIFS(Donnees_generations!$AB$3:$AB$113,Donnees_generations!$A$3:$A$113,MAX(1915,MIN(2025,E38))))+CHOOSE((AG38-56)/2+1,SUMIFS(Donnees_generations!$AC$3:$AC$113,Donnees_generations!$A$3:$A$113,MAX(1915,MIN(2025,E38))),SUMIFS(Donnees_generations!$AD$3:$AD$113,Donnees_generations!$A$3:$A$113,MAX(1915,MIN(2025,E38))),SUMIFS(Donnees_generations!$AE$3:$AE$113,Donnees_generations!$A$3:$A$113,MAX(1915,MIN(2025,E38))),SUMIFS(Donnees_generations!$AF$3:$AF$113,Donnees_generations!$A$3:$A$113,MAX(1915,MIN(2025,E38))),SUMIFS(Donnees_generations!$AG$3:$AG$113,Donnees_generations!$A$3:$A$113,MAX(1915,MIN(2025,E38))),SUMIFS(Donnees_generations!$AH$3:$AH$113,Donnees_generations!$A$3:$A$113,MAX(1915,MIN(2025,E38))),SUMIFS(Donnees_generations!$AI$3:$AI$113,Donnees_generations!$A$3:$A$113,MAX(1915,MIN(2025,E38))),SUMIFS(Donnees_generations!$AJ$3:$AJ$113,Donnees_generations!$A$3:$A$113,MAX(1915,MIN(2025,E38)))))/2</f>
        <v/>
      </c>
      <c r="AI38" s="75">
        <f>(CHOOSE(((AG38+2)-56)/2+1,SUMIFS(Donnees_generations!$U$3:$U$113,Donnees_generations!$A$3:$A$113,MAX(1915,MIN(2025,E38))),SUMIFS(Donnees_generations!$V$3:$V$113,Donnees_generations!$A$3:$A$113,MAX(1915,MIN(2025,E38))),SUMIFS(Donnees_generations!$W$3:$W$113,Donnees_generations!$A$3:$A$113,MAX(1915,MIN(2025,E38))),SUMIFS(Donnees_generations!$X$3:$X$113,Donnees_generations!$A$3:$A$113,MAX(1915,MIN(2025,E38))),SUMIFS(Donnees_generations!$Y$3:$Y$113,Donnees_generations!$A$3:$A$113,MAX(1915,MIN(2025,E38))),SUMIFS(Donnees_generations!$Z$3:$Z$113,Donnees_generations!$A$3:$A$113,MAX(1915,MIN(2025,E38))),SUMIFS(Donnees_generations!$AA$3:$AA$113,Donnees_generations!$A$3:$A$113,MAX(1915,MIN(2025,E38))),SUMIFS(Donnees_generations!$AB$3:$AB$113,Donnees_generations!$A$3:$A$113,MAX(1915,MIN(2025,E38))))+CHOOSE(((AG38+2)-56)/2+1,SUMIFS(Donnees_generations!$AC$3:$AC$113,Donnees_generations!$A$3:$A$113,MAX(1915,MIN(2025,E38))),SUMIFS(Donnees_generations!$AD$3:$AD$113,Donnees_generations!$A$3:$A$113,MAX(1915,MIN(2025,E38))),SUMIFS(Donnees_generations!$AE$3:$AE$113,Donnees_generations!$A$3:$A$113,MAX(1915,MIN(2025,E38))),SUMIFS(Donnees_generations!$AF$3:$AF$113,Donnees_generations!$A$3:$A$113,MAX(1915,MIN(2025,E38))),SUMIFS(Donnees_generations!$AG$3:$AG$113,Donnees_generations!$A$3:$A$113,MAX(1915,MIN(2025,E38))),SUMIFS(Donnees_generations!$AH$3:$AH$113,Donnees_generations!$A$3:$A$113,MAX(1915,MIN(2025,E38))),SUMIFS(Donnees_generations!$AI$3:$AI$113,Donnees_generations!$A$3:$A$113,MAX(1915,MIN(2025,E38))),SUMIFS(Donnees_generations!$AJ$3:$AJ$113,Donnees_generations!$A$3:$A$113,MAX(1915,MIN(2025,E38)))))/2</f>
        <v/>
      </c>
      <c r="AJ38" s="8">
        <f>MAX(0,AH38+(AI38-AH38)*(K38-AG38)/2)</f>
        <v/>
      </c>
      <c r="AK38" s="8">
        <f>K38+AJ38</f>
        <v/>
      </c>
      <c r="AL38" s="14">
        <f>AE38*AJ38</f>
        <v/>
      </c>
      <c r="AM38" s="17">
        <f>V38/AL38</f>
        <v/>
      </c>
      <c r="AN38" s="17">
        <f>Z38/AL38</f>
        <v/>
      </c>
      <c r="AO38" s="33">
        <f>IF(V38+Z38=0,0,Z38/(V38+Z38))</f>
        <v/>
      </c>
      <c r="AP38" s="14">
        <f>AL38/V38*100</f>
        <v/>
      </c>
      <c r="AQ38" s="8">
        <f>P38/AL38*1000</f>
        <v/>
      </c>
      <c r="AR38" s="77">
        <f>MAX(N38,M38-1)</f>
        <v/>
      </c>
      <c r="AS38" s="14">
        <f>SUMIFS(Donnees_regimes!$R$3:$R$1118,Donnees_regimes!$A$3:$A$1118,C38,Donnees_regimes!$B$3:$B$1118,"&gt;="&amp;G38,Donnees_regimes!$B$3:$B$1118,"&lt;="&amp;N38)*L38/ROUNDUP(L38,0)*SUMIFS(Donnees_annuelles!$AG$3:$AG$188,Donnees_annuelles!$A$3:$A$188,AR38)*SUMIFS(Donnees_annuelles!$AA$3:$AA$188,Donnees_annuelles!$A$3:$A$188,AR38)</f>
        <v/>
      </c>
      <c r="AT38" s="36">
        <f>AS38/V38</f>
        <v/>
      </c>
      <c r="AU38" s="14">
        <f>AL38</f>
        <v/>
      </c>
      <c r="AV38" s="39">
        <f>AS38-AL38</f>
        <v/>
      </c>
      <c r="AW38" s="9">
        <f>AS38/AL38-1</f>
        <v/>
      </c>
      <c r="AX38" s="14">
        <f>AS38/AJ38/12</f>
        <v/>
      </c>
      <c r="AY38" s="14">
        <f>AF38</f>
        <v/>
      </c>
      <c r="AZ38" s="39">
        <f>AX38-AF38</f>
        <v/>
      </c>
      <c r="BA38" s="14">
        <f>SUMIFS(Donnees_regimes!$S$3:$S$1118,Donnees_regimes!$A$3:$A$1118,C38,Donnees_regimes!$B$3:$B$1118,"&gt;="&amp;G38,Donnees_regimes!$B$3:$B$1118,"&lt;="&amp;N38)*L38/ROUNDUP(L38,0)*SUMIFS(Donnees_annuelles!$AH$3:$AH$188,Donnees_annuelles!$A$3:$A$188,AR38)*SUMIFS(Donnees_annuelles!$AA$3:$AA$188,Donnees_annuelles!$A$3:$A$188,AR38)</f>
        <v/>
      </c>
      <c r="BB38" s="39">
        <f>BA38-AL38</f>
        <v/>
      </c>
      <c r="BC38" s="7">
        <f>IF(M38+AJ38&gt;2026,IF(G38&gt;2026,"entièrement projeté","en partie projeté"),"observé")</f>
        <v/>
      </c>
    </row>
    <row r="39">
      <c r="A39" s="7" t="inlineStr">
        <is>
          <t>Baby-boomers</t>
        </is>
      </c>
      <c r="B39" s="84" t="inlineStr">
        <is>
          <t>Privé</t>
        </is>
      </c>
      <c r="C39" s="7">
        <f>IF(G39&gt;=SUMIFS(Regimes!$C$5:$C$10,Regimes!$A$5:$A$10,B39),"Privé",B39)</f>
        <v/>
      </c>
      <c r="D39" s="7">
        <f>INDEX(Regimes!$D$5:$D$10,MATCH(C39,Regimes!$A$5:$A$10,0))</f>
        <v/>
      </c>
      <c r="E39" s="88" t="n">
        <v>1964</v>
      </c>
      <c r="F39" s="8">
        <f>Donnees_generations!C52</f>
        <v/>
      </c>
      <c r="G39" s="77">
        <f>Donnees_generations!D52</f>
        <v/>
      </c>
      <c r="H39" s="8">
        <f>SUMIFS(Donnees_generations!$S$3:$S$113,Donnees_generations!$A$3:$A$113,MAX(1915,MIN(2025,E39)))</f>
        <v/>
      </c>
      <c r="I39" s="8">
        <f>SUMIFS(Donnees_generations!$T$3:$T$113,Donnees_generations!$A$3:$A$113,MAX(1915,MIN(2025,E39)))</f>
        <v/>
      </c>
      <c r="J39" s="8">
        <f>IF(G39&gt;=2000,MAX(I39,Parametres!$B$3),I39)</f>
        <v/>
      </c>
      <c r="K39" s="8">
        <f>IF(C39="Privé",J39,SUMIFS(Regles_regimes!$J$3:$J$2000,Regles_regimes!$A$3:$A$2000,C39,Regles_regimes!$B$3:$B$2000,D39,Regles_regimes!$C$3:$C$2000,MAX(1915,MIN(2025,E39))))</f>
        <v/>
      </c>
      <c r="L39" s="8">
        <f>IF(C39="Privé",H39,(K39-F39)*H39/(J39-F39))</f>
        <v/>
      </c>
      <c r="M39" s="77">
        <f>INT(E39+K39)</f>
        <v/>
      </c>
      <c r="N39" s="77">
        <f>G39+ROUNDUP(L39,0)-1</f>
        <v/>
      </c>
      <c r="O39" s="89">
        <f>SUMIFS(Regles_regimes!$K$3:$K$2000,Regles_regimes!$A$3:$A$2000,C39,Regles_regimes!$B$3:$B$2000,D39,Regles_regimes!$C$3:$C$2000,MAX(1915,MIN(2025,E39)))</f>
        <v/>
      </c>
      <c r="P39" s="13">
        <f>SUMIFS(Donnees_annuelles!$W$3:$W$188,Donnees_annuelles!$A$3:$A$188,"&gt;="&amp;G39,Donnees_annuelles!$A$3:$A$188,"&lt;="&amp;N39)*L39/ROUNDUP(L39,0)*O39</f>
        <v/>
      </c>
      <c r="Q39" s="13">
        <f>SUMIFS(Donnees_annuelles!$V$3:$V$188,Donnees_annuelles!$A$3:$A$188,"&gt;="&amp;G39,Donnees_annuelles!$A$3:$A$188,"&lt;="&amp;N39)*L39/ROUNDUP(L39,0)</f>
        <v/>
      </c>
      <c r="R39" s="13">
        <f>P39/L39</f>
        <v/>
      </c>
      <c r="S39" s="14">
        <f>SUMIFS(Donnees_annuelles!$D$3:$D$188,Donnees_annuelles!$A$3:$A$188,"&gt;="&amp;G39,Donnees_annuelles!$A$3:$A$188,"&lt;="&amp;N39)*L39/ROUNDUP(L39,0)</f>
        <v/>
      </c>
      <c r="T39" s="14">
        <f>SUMIFS(Donnees_regimes!$N$3:$N$1118,Donnees_regimes!$A$3:$A$1118,C39,Donnees_regimes!$B$3:$B$1118,"&gt;="&amp;G39,Donnees_regimes!$B$3:$B$1118,"&lt;="&amp;N39)*L39/ROUNDUP(L39,0)</f>
        <v/>
      </c>
      <c r="U39" s="14">
        <f>SUMIFS(Donnees_regimes!$O$3:$O$1118,Donnees_regimes!$A$3:$A$1118,C39,Donnees_regimes!$B$3:$B$1118,"&gt;="&amp;G39,Donnees_regimes!$B$3:$B$1118,"&lt;="&amp;N39)*L39/ROUNDUP(L39,0)</f>
        <v/>
      </c>
      <c r="V39" s="14">
        <f>T39+U39</f>
        <v/>
      </c>
      <c r="W39" s="33">
        <f>V39/S39</f>
        <v/>
      </c>
      <c r="X39" s="14">
        <f>S39+U39</f>
        <v/>
      </c>
      <c r="Y39" s="17">
        <f>V39/P39</f>
        <v/>
      </c>
      <c r="Z39" s="14">
        <f>SUMIFS(Donnees_regimes!$Q$3:$Q$1118,Donnees_regimes!$A$3:$A$1118,C39,Donnees_regimes!$B$3:$B$1118,"&gt;="&amp;G39,Donnees_regimes!$B$3:$B$1118,"&lt;="&amp;N39)*L39/ROUNDUP(L39,0)</f>
        <v/>
      </c>
      <c r="AA39" s="77">
        <f>SUMIFS(Regles_regimes!$F$3:$F$2000,Regles_regimes!$A$3:$A$2000,C39,Regles_regimes!$B$3:$B$2000,D39,Regles_regimes!$C$3:$C$2000,MAX(1915,MIN(2025,E39)))</f>
        <v/>
      </c>
      <c r="AB39" s="77">
        <f>IF(AND(SUMIFS(Regles_regimes!$L$3:$L$2000,Regles_regimes!$A$3:$A$2000,C39,Regles_regimes!$B$3:$B$2000,D39,Regles_regimes!$C$3:$C$2000,MAX(1915,MIN(2025,E39)))=1,G39&lt;2009,C39&lt;&gt;"Privé"),MIN(20,L39*4/5),0)</f>
        <v/>
      </c>
      <c r="AC39" s="89">
        <f>SUMIFS(Donnees_regimes!$M$3:$M$1118,Donnees_regimes!$A$3:$A$1118,C39,Donnees_regimes!$B$3:$B$1118,M39)</f>
        <v/>
      </c>
      <c r="AD39" s="14">
        <f>SUMIFS(Donnees_annuelles!$Y$3:$Y$188,Donnees_annuelles!$A$3:$A$188,M39)*SUMIFS(Donnees_generations!$I$3:$I$113,Donnees_generations!$A$3:$A$113,MAX(1915,MIN(2025,E39)))/H39</f>
        <v/>
      </c>
      <c r="AE39" s="14">
        <f>IF(C39="Privé",SUMIFS(Donnees_annuelles!$Y$3:$Y$188,Donnees_annuelles!$A$3:$A$188,M39)*MIN(L39,SUMIFS(Donnees_generations!$I$3:$I$113,Donnees_generations!$A$3:$A$113,MAX(1915,MIN(2025,E39))))/L39,AD39*AC39*MIN(IF(AB39&gt;0,0.8/0.75,1),(L39*4+AB39)/AA39))</f>
        <v/>
      </c>
      <c r="AF39" s="14">
        <f>AE39/12</f>
        <v/>
      </c>
      <c r="AG39" s="77">
        <f>MIN(68,MAX(56,2*INT(K39/2)))</f>
        <v/>
      </c>
      <c r="AH39" s="75">
        <f>(CHOOSE((AG39-56)/2+1,SUMIFS(Donnees_generations!$U$3:$U$113,Donnees_generations!$A$3:$A$113,MAX(1915,MIN(2025,E39))),SUMIFS(Donnees_generations!$V$3:$V$113,Donnees_generations!$A$3:$A$113,MAX(1915,MIN(2025,E39))),SUMIFS(Donnees_generations!$W$3:$W$113,Donnees_generations!$A$3:$A$113,MAX(1915,MIN(2025,E39))),SUMIFS(Donnees_generations!$X$3:$X$113,Donnees_generations!$A$3:$A$113,MAX(1915,MIN(2025,E39))),SUMIFS(Donnees_generations!$Y$3:$Y$113,Donnees_generations!$A$3:$A$113,MAX(1915,MIN(2025,E39))),SUMIFS(Donnees_generations!$Z$3:$Z$113,Donnees_generations!$A$3:$A$113,MAX(1915,MIN(2025,E39))),SUMIFS(Donnees_generations!$AA$3:$AA$113,Donnees_generations!$A$3:$A$113,MAX(1915,MIN(2025,E39))),SUMIFS(Donnees_generations!$AB$3:$AB$113,Donnees_generations!$A$3:$A$113,MAX(1915,MIN(2025,E39))))+CHOOSE((AG39-56)/2+1,SUMIFS(Donnees_generations!$AC$3:$AC$113,Donnees_generations!$A$3:$A$113,MAX(1915,MIN(2025,E39))),SUMIFS(Donnees_generations!$AD$3:$AD$113,Donnees_generations!$A$3:$A$113,MAX(1915,MIN(2025,E39))),SUMIFS(Donnees_generations!$AE$3:$AE$113,Donnees_generations!$A$3:$A$113,MAX(1915,MIN(2025,E39))),SUMIFS(Donnees_generations!$AF$3:$AF$113,Donnees_generations!$A$3:$A$113,MAX(1915,MIN(2025,E39))),SUMIFS(Donnees_generations!$AG$3:$AG$113,Donnees_generations!$A$3:$A$113,MAX(1915,MIN(2025,E39))),SUMIFS(Donnees_generations!$AH$3:$AH$113,Donnees_generations!$A$3:$A$113,MAX(1915,MIN(2025,E39))),SUMIFS(Donnees_generations!$AI$3:$AI$113,Donnees_generations!$A$3:$A$113,MAX(1915,MIN(2025,E39))),SUMIFS(Donnees_generations!$AJ$3:$AJ$113,Donnees_generations!$A$3:$A$113,MAX(1915,MIN(2025,E39)))))/2</f>
        <v/>
      </c>
      <c r="AI39" s="75">
        <f>(CHOOSE(((AG39+2)-56)/2+1,SUMIFS(Donnees_generations!$U$3:$U$113,Donnees_generations!$A$3:$A$113,MAX(1915,MIN(2025,E39))),SUMIFS(Donnees_generations!$V$3:$V$113,Donnees_generations!$A$3:$A$113,MAX(1915,MIN(2025,E39))),SUMIFS(Donnees_generations!$W$3:$W$113,Donnees_generations!$A$3:$A$113,MAX(1915,MIN(2025,E39))),SUMIFS(Donnees_generations!$X$3:$X$113,Donnees_generations!$A$3:$A$113,MAX(1915,MIN(2025,E39))),SUMIFS(Donnees_generations!$Y$3:$Y$113,Donnees_generations!$A$3:$A$113,MAX(1915,MIN(2025,E39))),SUMIFS(Donnees_generations!$Z$3:$Z$113,Donnees_generations!$A$3:$A$113,MAX(1915,MIN(2025,E39))),SUMIFS(Donnees_generations!$AA$3:$AA$113,Donnees_generations!$A$3:$A$113,MAX(1915,MIN(2025,E39))),SUMIFS(Donnees_generations!$AB$3:$AB$113,Donnees_generations!$A$3:$A$113,MAX(1915,MIN(2025,E39))))+CHOOSE(((AG39+2)-56)/2+1,SUMIFS(Donnees_generations!$AC$3:$AC$113,Donnees_generations!$A$3:$A$113,MAX(1915,MIN(2025,E39))),SUMIFS(Donnees_generations!$AD$3:$AD$113,Donnees_generations!$A$3:$A$113,MAX(1915,MIN(2025,E39))),SUMIFS(Donnees_generations!$AE$3:$AE$113,Donnees_generations!$A$3:$A$113,MAX(1915,MIN(2025,E39))),SUMIFS(Donnees_generations!$AF$3:$AF$113,Donnees_generations!$A$3:$A$113,MAX(1915,MIN(2025,E39))),SUMIFS(Donnees_generations!$AG$3:$AG$113,Donnees_generations!$A$3:$A$113,MAX(1915,MIN(2025,E39))),SUMIFS(Donnees_generations!$AH$3:$AH$113,Donnees_generations!$A$3:$A$113,MAX(1915,MIN(2025,E39))),SUMIFS(Donnees_generations!$AI$3:$AI$113,Donnees_generations!$A$3:$A$113,MAX(1915,MIN(2025,E39))),SUMIFS(Donnees_generations!$AJ$3:$AJ$113,Donnees_generations!$A$3:$A$113,MAX(1915,MIN(2025,E39)))))/2</f>
        <v/>
      </c>
      <c r="AJ39" s="8">
        <f>MAX(0,AH39+(AI39-AH39)*(K39-AG39)/2)</f>
        <v/>
      </c>
      <c r="AK39" s="8">
        <f>K39+AJ39</f>
        <v/>
      </c>
      <c r="AL39" s="14">
        <f>AE39*AJ39</f>
        <v/>
      </c>
      <c r="AM39" s="17">
        <f>V39/AL39</f>
        <v/>
      </c>
      <c r="AN39" s="17">
        <f>Z39/AL39</f>
        <v/>
      </c>
      <c r="AO39" s="33">
        <f>IF(V39+Z39=0,0,Z39/(V39+Z39))</f>
        <v/>
      </c>
      <c r="AP39" s="14">
        <f>AL39/V39*100</f>
        <v/>
      </c>
      <c r="AQ39" s="8">
        <f>P39/AL39*1000</f>
        <v/>
      </c>
      <c r="AR39" s="77">
        <f>MAX(N39,M39-1)</f>
        <v/>
      </c>
      <c r="AS39" s="14">
        <f>SUMIFS(Donnees_regimes!$R$3:$R$1118,Donnees_regimes!$A$3:$A$1118,C39,Donnees_regimes!$B$3:$B$1118,"&gt;="&amp;G39,Donnees_regimes!$B$3:$B$1118,"&lt;="&amp;N39)*L39/ROUNDUP(L39,0)*SUMIFS(Donnees_annuelles!$AG$3:$AG$188,Donnees_annuelles!$A$3:$A$188,AR39)*SUMIFS(Donnees_annuelles!$AA$3:$AA$188,Donnees_annuelles!$A$3:$A$188,AR39)</f>
        <v/>
      </c>
      <c r="AT39" s="36">
        <f>AS39/V39</f>
        <v/>
      </c>
      <c r="AU39" s="14">
        <f>AL39</f>
        <v/>
      </c>
      <c r="AV39" s="39">
        <f>AS39-AL39</f>
        <v/>
      </c>
      <c r="AW39" s="9">
        <f>AS39/AL39-1</f>
        <v/>
      </c>
      <c r="AX39" s="14">
        <f>AS39/AJ39/12</f>
        <v/>
      </c>
      <c r="AY39" s="14">
        <f>AF39</f>
        <v/>
      </c>
      <c r="AZ39" s="39">
        <f>AX39-AF39</f>
        <v/>
      </c>
      <c r="BA39" s="14">
        <f>SUMIFS(Donnees_regimes!$S$3:$S$1118,Donnees_regimes!$A$3:$A$1118,C39,Donnees_regimes!$B$3:$B$1118,"&gt;="&amp;G39,Donnees_regimes!$B$3:$B$1118,"&lt;="&amp;N39)*L39/ROUNDUP(L39,0)*SUMIFS(Donnees_annuelles!$AH$3:$AH$188,Donnees_annuelles!$A$3:$A$188,AR39)*SUMIFS(Donnees_annuelles!$AA$3:$AA$188,Donnees_annuelles!$A$3:$A$188,AR39)</f>
        <v/>
      </c>
      <c r="BB39" s="39">
        <f>BA39-AL39</f>
        <v/>
      </c>
      <c r="BC39" s="7">
        <f>IF(M39+AJ39&gt;2026,IF(G39&gt;2026,"entièrement projeté","en partie projeté"),"observé")</f>
        <v/>
      </c>
    </row>
    <row r="40">
      <c r="A40" s="7" t="inlineStr">
        <is>
          <t>Génération X</t>
        </is>
      </c>
      <c r="B40" s="84" t="inlineStr">
        <is>
          <t>Privé</t>
        </is>
      </c>
      <c r="C40" s="7">
        <f>IF(G40&gt;=SUMIFS(Regimes!$C$5:$C$10,Regimes!$A$5:$A$10,B40),"Privé",B40)</f>
        <v/>
      </c>
      <c r="D40" s="7">
        <f>INDEX(Regimes!$D$5:$D$10,MATCH(C40,Regimes!$A$5:$A$10,0))</f>
        <v/>
      </c>
      <c r="E40" s="88" t="n">
        <v>1965</v>
      </c>
      <c r="F40" s="8">
        <f>Donnees_generations!C53</f>
        <v/>
      </c>
      <c r="G40" s="77">
        <f>Donnees_generations!D53</f>
        <v/>
      </c>
      <c r="H40" s="8">
        <f>SUMIFS(Donnees_generations!$S$3:$S$113,Donnees_generations!$A$3:$A$113,MAX(1915,MIN(2025,E40)))</f>
        <v/>
      </c>
      <c r="I40" s="8">
        <f>SUMIFS(Donnees_generations!$T$3:$T$113,Donnees_generations!$A$3:$A$113,MAX(1915,MIN(2025,E40)))</f>
        <v/>
      </c>
      <c r="J40" s="8">
        <f>IF(G40&gt;=2000,MAX(I40,Parametres!$B$3),I40)</f>
        <v/>
      </c>
      <c r="K40" s="8">
        <f>IF(C40="Privé",J40,SUMIFS(Regles_regimes!$J$3:$J$2000,Regles_regimes!$A$3:$A$2000,C40,Regles_regimes!$B$3:$B$2000,D40,Regles_regimes!$C$3:$C$2000,MAX(1915,MIN(2025,E40))))</f>
        <v/>
      </c>
      <c r="L40" s="8">
        <f>IF(C40="Privé",H40,(K40-F40)*H40/(J40-F40))</f>
        <v/>
      </c>
      <c r="M40" s="77">
        <f>INT(E40+K40)</f>
        <v/>
      </c>
      <c r="N40" s="77">
        <f>G40+ROUNDUP(L40,0)-1</f>
        <v/>
      </c>
      <c r="O40" s="89">
        <f>SUMIFS(Regles_regimes!$K$3:$K$2000,Regles_regimes!$A$3:$A$2000,C40,Regles_regimes!$B$3:$B$2000,D40,Regles_regimes!$C$3:$C$2000,MAX(1915,MIN(2025,E40)))</f>
        <v/>
      </c>
      <c r="P40" s="13">
        <f>SUMIFS(Donnees_annuelles!$W$3:$W$188,Donnees_annuelles!$A$3:$A$188,"&gt;="&amp;G40,Donnees_annuelles!$A$3:$A$188,"&lt;="&amp;N40)*L40/ROUNDUP(L40,0)*O40</f>
        <v/>
      </c>
      <c r="Q40" s="13">
        <f>SUMIFS(Donnees_annuelles!$V$3:$V$188,Donnees_annuelles!$A$3:$A$188,"&gt;="&amp;G40,Donnees_annuelles!$A$3:$A$188,"&lt;="&amp;N40)*L40/ROUNDUP(L40,0)</f>
        <v/>
      </c>
      <c r="R40" s="13">
        <f>P40/L40</f>
        <v/>
      </c>
      <c r="S40" s="14">
        <f>SUMIFS(Donnees_annuelles!$D$3:$D$188,Donnees_annuelles!$A$3:$A$188,"&gt;="&amp;G40,Donnees_annuelles!$A$3:$A$188,"&lt;="&amp;N40)*L40/ROUNDUP(L40,0)</f>
        <v/>
      </c>
      <c r="T40" s="14">
        <f>SUMIFS(Donnees_regimes!$N$3:$N$1118,Donnees_regimes!$A$3:$A$1118,C40,Donnees_regimes!$B$3:$B$1118,"&gt;="&amp;G40,Donnees_regimes!$B$3:$B$1118,"&lt;="&amp;N40)*L40/ROUNDUP(L40,0)</f>
        <v/>
      </c>
      <c r="U40" s="14">
        <f>SUMIFS(Donnees_regimes!$O$3:$O$1118,Donnees_regimes!$A$3:$A$1118,C40,Donnees_regimes!$B$3:$B$1118,"&gt;="&amp;G40,Donnees_regimes!$B$3:$B$1118,"&lt;="&amp;N40)*L40/ROUNDUP(L40,0)</f>
        <v/>
      </c>
      <c r="V40" s="14">
        <f>T40+U40</f>
        <v/>
      </c>
      <c r="W40" s="33">
        <f>V40/S40</f>
        <v/>
      </c>
      <c r="X40" s="14">
        <f>S40+U40</f>
        <v/>
      </c>
      <c r="Y40" s="17">
        <f>V40/P40</f>
        <v/>
      </c>
      <c r="Z40" s="14">
        <f>SUMIFS(Donnees_regimes!$Q$3:$Q$1118,Donnees_regimes!$A$3:$A$1118,C40,Donnees_regimes!$B$3:$B$1118,"&gt;="&amp;G40,Donnees_regimes!$B$3:$B$1118,"&lt;="&amp;N40)*L40/ROUNDUP(L40,0)</f>
        <v/>
      </c>
      <c r="AA40" s="77">
        <f>SUMIFS(Regles_regimes!$F$3:$F$2000,Regles_regimes!$A$3:$A$2000,C40,Regles_regimes!$B$3:$B$2000,D40,Regles_regimes!$C$3:$C$2000,MAX(1915,MIN(2025,E40)))</f>
        <v/>
      </c>
      <c r="AB40" s="77">
        <f>IF(AND(SUMIFS(Regles_regimes!$L$3:$L$2000,Regles_regimes!$A$3:$A$2000,C40,Regles_regimes!$B$3:$B$2000,D40,Regles_regimes!$C$3:$C$2000,MAX(1915,MIN(2025,E40)))=1,G40&lt;2009,C40&lt;&gt;"Privé"),MIN(20,L40*4/5),0)</f>
        <v/>
      </c>
      <c r="AC40" s="89">
        <f>SUMIFS(Donnees_regimes!$M$3:$M$1118,Donnees_regimes!$A$3:$A$1118,C40,Donnees_regimes!$B$3:$B$1118,M40)</f>
        <v/>
      </c>
      <c r="AD40" s="14">
        <f>SUMIFS(Donnees_annuelles!$Y$3:$Y$188,Donnees_annuelles!$A$3:$A$188,M40)*SUMIFS(Donnees_generations!$I$3:$I$113,Donnees_generations!$A$3:$A$113,MAX(1915,MIN(2025,E40)))/H40</f>
        <v/>
      </c>
      <c r="AE40" s="14">
        <f>IF(C40="Privé",SUMIFS(Donnees_annuelles!$Y$3:$Y$188,Donnees_annuelles!$A$3:$A$188,M40)*MIN(L40,SUMIFS(Donnees_generations!$I$3:$I$113,Donnees_generations!$A$3:$A$113,MAX(1915,MIN(2025,E40))))/L40,AD40*AC40*MIN(IF(AB40&gt;0,0.8/0.75,1),(L40*4+AB40)/AA40))</f>
        <v/>
      </c>
      <c r="AF40" s="14">
        <f>AE40/12</f>
        <v/>
      </c>
      <c r="AG40" s="77">
        <f>MIN(68,MAX(56,2*INT(K40/2)))</f>
        <v/>
      </c>
      <c r="AH40" s="75">
        <f>(CHOOSE((AG40-56)/2+1,SUMIFS(Donnees_generations!$U$3:$U$113,Donnees_generations!$A$3:$A$113,MAX(1915,MIN(2025,E40))),SUMIFS(Donnees_generations!$V$3:$V$113,Donnees_generations!$A$3:$A$113,MAX(1915,MIN(2025,E40))),SUMIFS(Donnees_generations!$W$3:$W$113,Donnees_generations!$A$3:$A$113,MAX(1915,MIN(2025,E40))),SUMIFS(Donnees_generations!$X$3:$X$113,Donnees_generations!$A$3:$A$113,MAX(1915,MIN(2025,E40))),SUMIFS(Donnees_generations!$Y$3:$Y$113,Donnees_generations!$A$3:$A$113,MAX(1915,MIN(2025,E40))),SUMIFS(Donnees_generations!$Z$3:$Z$113,Donnees_generations!$A$3:$A$113,MAX(1915,MIN(2025,E40))),SUMIFS(Donnees_generations!$AA$3:$AA$113,Donnees_generations!$A$3:$A$113,MAX(1915,MIN(2025,E40))),SUMIFS(Donnees_generations!$AB$3:$AB$113,Donnees_generations!$A$3:$A$113,MAX(1915,MIN(2025,E40))))+CHOOSE((AG40-56)/2+1,SUMIFS(Donnees_generations!$AC$3:$AC$113,Donnees_generations!$A$3:$A$113,MAX(1915,MIN(2025,E40))),SUMIFS(Donnees_generations!$AD$3:$AD$113,Donnees_generations!$A$3:$A$113,MAX(1915,MIN(2025,E40))),SUMIFS(Donnees_generations!$AE$3:$AE$113,Donnees_generations!$A$3:$A$113,MAX(1915,MIN(2025,E40))),SUMIFS(Donnees_generations!$AF$3:$AF$113,Donnees_generations!$A$3:$A$113,MAX(1915,MIN(2025,E40))),SUMIFS(Donnees_generations!$AG$3:$AG$113,Donnees_generations!$A$3:$A$113,MAX(1915,MIN(2025,E40))),SUMIFS(Donnees_generations!$AH$3:$AH$113,Donnees_generations!$A$3:$A$113,MAX(1915,MIN(2025,E40))),SUMIFS(Donnees_generations!$AI$3:$AI$113,Donnees_generations!$A$3:$A$113,MAX(1915,MIN(2025,E40))),SUMIFS(Donnees_generations!$AJ$3:$AJ$113,Donnees_generations!$A$3:$A$113,MAX(1915,MIN(2025,E40)))))/2</f>
        <v/>
      </c>
      <c r="AI40" s="75">
        <f>(CHOOSE(((AG40+2)-56)/2+1,SUMIFS(Donnees_generations!$U$3:$U$113,Donnees_generations!$A$3:$A$113,MAX(1915,MIN(2025,E40))),SUMIFS(Donnees_generations!$V$3:$V$113,Donnees_generations!$A$3:$A$113,MAX(1915,MIN(2025,E40))),SUMIFS(Donnees_generations!$W$3:$W$113,Donnees_generations!$A$3:$A$113,MAX(1915,MIN(2025,E40))),SUMIFS(Donnees_generations!$X$3:$X$113,Donnees_generations!$A$3:$A$113,MAX(1915,MIN(2025,E40))),SUMIFS(Donnees_generations!$Y$3:$Y$113,Donnees_generations!$A$3:$A$113,MAX(1915,MIN(2025,E40))),SUMIFS(Donnees_generations!$Z$3:$Z$113,Donnees_generations!$A$3:$A$113,MAX(1915,MIN(2025,E40))),SUMIFS(Donnees_generations!$AA$3:$AA$113,Donnees_generations!$A$3:$A$113,MAX(1915,MIN(2025,E40))),SUMIFS(Donnees_generations!$AB$3:$AB$113,Donnees_generations!$A$3:$A$113,MAX(1915,MIN(2025,E40))))+CHOOSE(((AG40+2)-56)/2+1,SUMIFS(Donnees_generations!$AC$3:$AC$113,Donnees_generations!$A$3:$A$113,MAX(1915,MIN(2025,E40))),SUMIFS(Donnees_generations!$AD$3:$AD$113,Donnees_generations!$A$3:$A$113,MAX(1915,MIN(2025,E40))),SUMIFS(Donnees_generations!$AE$3:$AE$113,Donnees_generations!$A$3:$A$113,MAX(1915,MIN(2025,E40))),SUMIFS(Donnees_generations!$AF$3:$AF$113,Donnees_generations!$A$3:$A$113,MAX(1915,MIN(2025,E40))),SUMIFS(Donnees_generations!$AG$3:$AG$113,Donnees_generations!$A$3:$A$113,MAX(1915,MIN(2025,E40))),SUMIFS(Donnees_generations!$AH$3:$AH$113,Donnees_generations!$A$3:$A$113,MAX(1915,MIN(2025,E40))),SUMIFS(Donnees_generations!$AI$3:$AI$113,Donnees_generations!$A$3:$A$113,MAX(1915,MIN(2025,E40))),SUMIFS(Donnees_generations!$AJ$3:$AJ$113,Donnees_generations!$A$3:$A$113,MAX(1915,MIN(2025,E40)))))/2</f>
        <v/>
      </c>
      <c r="AJ40" s="8">
        <f>MAX(0,AH40+(AI40-AH40)*(K40-AG40)/2)</f>
        <v/>
      </c>
      <c r="AK40" s="8">
        <f>K40+AJ40</f>
        <v/>
      </c>
      <c r="AL40" s="14">
        <f>AE40*AJ40</f>
        <v/>
      </c>
      <c r="AM40" s="17">
        <f>V40/AL40</f>
        <v/>
      </c>
      <c r="AN40" s="17">
        <f>Z40/AL40</f>
        <v/>
      </c>
      <c r="AO40" s="33">
        <f>IF(V40+Z40=0,0,Z40/(V40+Z40))</f>
        <v/>
      </c>
      <c r="AP40" s="14">
        <f>AL40/V40*100</f>
        <v/>
      </c>
      <c r="AQ40" s="8">
        <f>P40/AL40*1000</f>
        <v/>
      </c>
      <c r="AR40" s="77">
        <f>MAX(N40,M40-1)</f>
        <v/>
      </c>
      <c r="AS40" s="14">
        <f>SUMIFS(Donnees_regimes!$R$3:$R$1118,Donnees_regimes!$A$3:$A$1118,C40,Donnees_regimes!$B$3:$B$1118,"&gt;="&amp;G40,Donnees_regimes!$B$3:$B$1118,"&lt;="&amp;N40)*L40/ROUNDUP(L40,0)*SUMIFS(Donnees_annuelles!$AG$3:$AG$188,Donnees_annuelles!$A$3:$A$188,AR40)*SUMIFS(Donnees_annuelles!$AA$3:$AA$188,Donnees_annuelles!$A$3:$A$188,AR40)</f>
        <v/>
      </c>
      <c r="AT40" s="36">
        <f>AS40/V40</f>
        <v/>
      </c>
      <c r="AU40" s="14">
        <f>AL40</f>
        <v/>
      </c>
      <c r="AV40" s="39">
        <f>AS40-AL40</f>
        <v/>
      </c>
      <c r="AW40" s="9">
        <f>AS40/AL40-1</f>
        <v/>
      </c>
      <c r="AX40" s="14">
        <f>AS40/AJ40/12</f>
        <v/>
      </c>
      <c r="AY40" s="14">
        <f>AF40</f>
        <v/>
      </c>
      <c r="AZ40" s="39">
        <f>AX40-AF40</f>
        <v/>
      </c>
      <c r="BA40" s="14">
        <f>SUMIFS(Donnees_regimes!$S$3:$S$1118,Donnees_regimes!$A$3:$A$1118,C40,Donnees_regimes!$B$3:$B$1118,"&gt;="&amp;G40,Donnees_regimes!$B$3:$B$1118,"&lt;="&amp;N40)*L40/ROUNDUP(L40,0)*SUMIFS(Donnees_annuelles!$AH$3:$AH$188,Donnees_annuelles!$A$3:$A$188,AR40)*SUMIFS(Donnees_annuelles!$AA$3:$AA$188,Donnees_annuelles!$A$3:$A$188,AR40)</f>
        <v/>
      </c>
      <c r="BB40" s="39">
        <f>BA40-AL40</f>
        <v/>
      </c>
      <c r="BC40" s="7">
        <f>IF(M40+AJ40&gt;2026,IF(G40&gt;2026,"entièrement projeté","en partie projeté"),"observé")</f>
        <v/>
      </c>
    </row>
    <row r="41">
      <c r="A41" s="7" t="inlineStr">
        <is>
          <t>Génération X</t>
        </is>
      </c>
      <c r="B41" s="84" t="inlineStr">
        <is>
          <t>Privé</t>
        </is>
      </c>
      <c r="C41" s="7">
        <f>IF(G41&gt;=SUMIFS(Regimes!$C$5:$C$10,Regimes!$A$5:$A$10,B41),"Privé",B41)</f>
        <v/>
      </c>
      <c r="D41" s="7">
        <f>INDEX(Regimes!$D$5:$D$10,MATCH(C41,Regimes!$A$5:$A$10,0))</f>
        <v/>
      </c>
      <c r="E41" s="88" t="n">
        <v>1966</v>
      </c>
      <c r="F41" s="8">
        <f>Donnees_generations!C54</f>
        <v/>
      </c>
      <c r="G41" s="77">
        <f>Donnees_generations!D54</f>
        <v/>
      </c>
      <c r="H41" s="8">
        <f>SUMIFS(Donnees_generations!$S$3:$S$113,Donnees_generations!$A$3:$A$113,MAX(1915,MIN(2025,E41)))</f>
        <v/>
      </c>
      <c r="I41" s="8">
        <f>SUMIFS(Donnees_generations!$T$3:$T$113,Donnees_generations!$A$3:$A$113,MAX(1915,MIN(2025,E41)))</f>
        <v/>
      </c>
      <c r="J41" s="8">
        <f>IF(G41&gt;=2000,MAX(I41,Parametres!$B$3),I41)</f>
        <v/>
      </c>
      <c r="K41" s="8">
        <f>IF(C41="Privé",J41,SUMIFS(Regles_regimes!$J$3:$J$2000,Regles_regimes!$A$3:$A$2000,C41,Regles_regimes!$B$3:$B$2000,D41,Regles_regimes!$C$3:$C$2000,MAX(1915,MIN(2025,E41))))</f>
        <v/>
      </c>
      <c r="L41" s="8">
        <f>IF(C41="Privé",H41,(K41-F41)*H41/(J41-F41))</f>
        <v/>
      </c>
      <c r="M41" s="77">
        <f>INT(E41+K41)</f>
        <v/>
      </c>
      <c r="N41" s="77">
        <f>G41+ROUNDUP(L41,0)-1</f>
        <v/>
      </c>
      <c r="O41" s="89">
        <f>SUMIFS(Regles_regimes!$K$3:$K$2000,Regles_regimes!$A$3:$A$2000,C41,Regles_regimes!$B$3:$B$2000,D41,Regles_regimes!$C$3:$C$2000,MAX(1915,MIN(2025,E41)))</f>
        <v/>
      </c>
      <c r="P41" s="13">
        <f>SUMIFS(Donnees_annuelles!$W$3:$W$188,Donnees_annuelles!$A$3:$A$188,"&gt;="&amp;G41,Donnees_annuelles!$A$3:$A$188,"&lt;="&amp;N41)*L41/ROUNDUP(L41,0)*O41</f>
        <v/>
      </c>
      <c r="Q41" s="13">
        <f>SUMIFS(Donnees_annuelles!$V$3:$V$188,Donnees_annuelles!$A$3:$A$188,"&gt;="&amp;G41,Donnees_annuelles!$A$3:$A$188,"&lt;="&amp;N41)*L41/ROUNDUP(L41,0)</f>
        <v/>
      </c>
      <c r="R41" s="13">
        <f>P41/L41</f>
        <v/>
      </c>
      <c r="S41" s="14">
        <f>SUMIFS(Donnees_annuelles!$D$3:$D$188,Donnees_annuelles!$A$3:$A$188,"&gt;="&amp;G41,Donnees_annuelles!$A$3:$A$188,"&lt;="&amp;N41)*L41/ROUNDUP(L41,0)</f>
        <v/>
      </c>
      <c r="T41" s="14">
        <f>SUMIFS(Donnees_regimes!$N$3:$N$1118,Donnees_regimes!$A$3:$A$1118,C41,Donnees_regimes!$B$3:$B$1118,"&gt;="&amp;G41,Donnees_regimes!$B$3:$B$1118,"&lt;="&amp;N41)*L41/ROUNDUP(L41,0)</f>
        <v/>
      </c>
      <c r="U41" s="14">
        <f>SUMIFS(Donnees_regimes!$O$3:$O$1118,Donnees_regimes!$A$3:$A$1118,C41,Donnees_regimes!$B$3:$B$1118,"&gt;="&amp;G41,Donnees_regimes!$B$3:$B$1118,"&lt;="&amp;N41)*L41/ROUNDUP(L41,0)</f>
        <v/>
      </c>
      <c r="V41" s="14">
        <f>T41+U41</f>
        <v/>
      </c>
      <c r="W41" s="33">
        <f>V41/S41</f>
        <v/>
      </c>
      <c r="X41" s="14">
        <f>S41+U41</f>
        <v/>
      </c>
      <c r="Y41" s="17">
        <f>V41/P41</f>
        <v/>
      </c>
      <c r="Z41" s="14">
        <f>SUMIFS(Donnees_regimes!$Q$3:$Q$1118,Donnees_regimes!$A$3:$A$1118,C41,Donnees_regimes!$B$3:$B$1118,"&gt;="&amp;G41,Donnees_regimes!$B$3:$B$1118,"&lt;="&amp;N41)*L41/ROUNDUP(L41,0)</f>
        <v/>
      </c>
      <c r="AA41" s="77">
        <f>SUMIFS(Regles_regimes!$F$3:$F$2000,Regles_regimes!$A$3:$A$2000,C41,Regles_regimes!$B$3:$B$2000,D41,Regles_regimes!$C$3:$C$2000,MAX(1915,MIN(2025,E41)))</f>
        <v/>
      </c>
      <c r="AB41" s="77">
        <f>IF(AND(SUMIFS(Regles_regimes!$L$3:$L$2000,Regles_regimes!$A$3:$A$2000,C41,Regles_regimes!$B$3:$B$2000,D41,Regles_regimes!$C$3:$C$2000,MAX(1915,MIN(2025,E41)))=1,G41&lt;2009,C41&lt;&gt;"Privé"),MIN(20,L41*4/5),0)</f>
        <v/>
      </c>
      <c r="AC41" s="89">
        <f>SUMIFS(Donnees_regimes!$M$3:$M$1118,Donnees_regimes!$A$3:$A$1118,C41,Donnees_regimes!$B$3:$B$1118,M41)</f>
        <v/>
      </c>
      <c r="AD41" s="14">
        <f>SUMIFS(Donnees_annuelles!$Y$3:$Y$188,Donnees_annuelles!$A$3:$A$188,M41)*SUMIFS(Donnees_generations!$I$3:$I$113,Donnees_generations!$A$3:$A$113,MAX(1915,MIN(2025,E41)))/H41</f>
        <v/>
      </c>
      <c r="AE41" s="14">
        <f>IF(C41="Privé",SUMIFS(Donnees_annuelles!$Y$3:$Y$188,Donnees_annuelles!$A$3:$A$188,M41)*MIN(L41,SUMIFS(Donnees_generations!$I$3:$I$113,Donnees_generations!$A$3:$A$113,MAX(1915,MIN(2025,E41))))/L41,AD41*AC41*MIN(IF(AB41&gt;0,0.8/0.75,1),(L41*4+AB41)/AA41))</f>
        <v/>
      </c>
      <c r="AF41" s="14">
        <f>AE41/12</f>
        <v/>
      </c>
      <c r="AG41" s="77">
        <f>MIN(68,MAX(56,2*INT(K41/2)))</f>
        <v/>
      </c>
      <c r="AH41" s="75">
        <f>(CHOOSE((AG41-56)/2+1,SUMIFS(Donnees_generations!$U$3:$U$113,Donnees_generations!$A$3:$A$113,MAX(1915,MIN(2025,E41))),SUMIFS(Donnees_generations!$V$3:$V$113,Donnees_generations!$A$3:$A$113,MAX(1915,MIN(2025,E41))),SUMIFS(Donnees_generations!$W$3:$W$113,Donnees_generations!$A$3:$A$113,MAX(1915,MIN(2025,E41))),SUMIFS(Donnees_generations!$X$3:$X$113,Donnees_generations!$A$3:$A$113,MAX(1915,MIN(2025,E41))),SUMIFS(Donnees_generations!$Y$3:$Y$113,Donnees_generations!$A$3:$A$113,MAX(1915,MIN(2025,E41))),SUMIFS(Donnees_generations!$Z$3:$Z$113,Donnees_generations!$A$3:$A$113,MAX(1915,MIN(2025,E41))),SUMIFS(Donnees_generations!$AA$3:$AA$113,Donnees_generations!$A$3:$A$113,MAX(1915,MIN(2025,E41))),SUMIFS(Donnees_generations!$AB$3:$AB$113,Donnees_generations!$A$3:$A$113,MAX(1915,MIN(2025,E41))))+CHOOSE((AG41-56)/2+1,SUMIFS(Donnees_generations!$AC$3:$AC$113,Donnees_generations!$A$3:$A$113,MAX(1915,MIN(2025,E41))),SUMIFS(Donnees_generations!$AD$3:$AD$113,Donnees_generations!$A$3:$A$113,MAX(1915,MIN(2025,E41))),SUMIFS(Donnees_generations!$AE$3:$AE$113,Donnees_generations!$A$3:$A$113,MAX(1915,MIN(2025,E41))),SUMIFS(Donnees_generations!$AF$3:$AF$113,Donnees_generations!$A$3:$A$113,MAX(1915,MIN(2025,E41))),SUMIFS(Donnees_generations!$AG$3:$AG$113,Donnees_generations!$A$3:$A$113,MAX(1915,MIN(2025,E41))),SUMIFS(Donnees_generations!$AH$3:$AH$113,Donnees_generations!$A$3:$A$113,MAX(1915,MIN(2025,E41))),SUMIFS(Donnees_generations!$AI$3:$AI$113,Donnees_generations!$A$3:$A$113,MAX(1915,MIN(2025,E41))),SUMIFS(Donnees_generations!$AJ$3:$AJ$113,Donnees_generations!$A$3:$A$113,MAX(1915,MIN(2025,E41)))))/2</f>
        <v/>
      </c>
      <c r="AI41" s="75">
        <f>(CHOOSE(((AG41+2)-56)/2+1,SUMIFS(Donnees_generations!$U$3:$U$113,Donnees_generations!$A$3:$A$113,MAX(1915,MIN(2025,E41))),SUMIFS(Donnees_generations!$V$3:$V$113,Donnees_generations!$A$3:$A$113,MAX(1915,MIN(2025,E41))),SUMIFS(Donnees_generations!$W$3:$W$113,Donnees_generations!$A$3:$A$113,MAX(1915,MIN(2025,E41))),SUMIFS(Donnees_generations!$X$3:$X$113,Donnees_generations!$A$3:$A$113,MAX(1915,MIN(2025,E41))),SUMIFS(Donnees_generations!$Y$3:$Y$113,Donnees_generations!$A$3:$A$113,MAX(1915,MIN(2025,E41))),SUMIFS(Donnees_generations!$Z$3:$Z$113,Donnees_generations!$A$3:$A$113,MAX(1915,MIN(2025,E41))),SUMIFS(Donnees_generations!$AA$3:$AA$113,Donnees_generations!$A$3:$A$113,MAX(1915,MIN(2025,E41))),SUMIFS(Donnees_generations!$AB$3:$AB$113,Donnees_generations!$A$3:$A$113,MAX(1915,MIN(2025,E41))))+CHOOSE(((AG41+2)-56)/2+1,SUMIFS(Donnees_generations!$AC$3:$AC$113,Donnees_generations!$A$3:$A$113,MAX(1915,MIN(2025,E41))),SUMIFS(Donnees_generations!$AD$3:$AD$113,Donnees_generations!$A$3:$A$113,MAX(1915,MIN(2025,E41))),SUMIFS(Donnees_generations!$AE$3:$AE$113,Donnees_generations!$A$3:$A$113,MAX(1915,MIN(2025,E41))),SUMIFS(Donnees_generations!$AF$3:$AF$113,Donnees_generations!$A$3:$A$113,MAX(1915,MIN(2025,E41))),SUMIFS(Donnees_generations!$AG$3:$AG$113,Donnees_generations!$A$3:$A$113,MAX(1915,MIN(2025,E41))),SUMIFS(Donnees_generations!$AH$3:$AH$113,Donnees_generations!$A$3:$A$113,MAX(1915,MIN(2025,E41))),SUMIFS(Donnees_generations!$AI$3:$AI$113,Donnees_generations!$A$3:$A$113,MAX(1915,MIN(2025,E41))),SUMIFS(Donnees_generations!$AJ$3:$AJ$113,Donnees_generations!$A$3:$A$113,MAX(1915,MIN(2025,E41)))))/2</f>
        <v/>
      </c>
      <c r="AJ41" s="8">
        <f>MAX(0,AH41+(AI41-AH41)*(K41-AG41)/2)</f>
        <v/>
      </c>
      <c r="AK41" s="8">
        <f>K41+AJ41</f>
        <v/>
      </c>
      <c r="AL41" s="14">
        <f>AE41*AJ41</f>
        <v/>
      </c>
      <c r="AM41" s="17">
        <f>V41/AL41</f>
        <v/>
      </c>
      <c r="AN41" s="17">
        <f>Z41/AL41</f>
        <v/>
      </c>
      <c r="AO41" s="33">
        <f>IF(V41+Z41=0,0,Z41/(V41+Z41))</f>
        <v/>
      </c>
      <c r="AP41" s="14">
        <f>AL41/V41*100</f>
        <v/>
      </c>
      <c r="AQ41" s="8">
        <f>P41/AL41*1000</f>
        <v/>
      </c>
      <c r="AR41" s="77">
        <f>MAX(N41,M41-1)</f>
        <v/>
      </c>
      <c r="AS41" s="14">
        <f>SUMIFS(Donnees_regimes!$R$3:$R$1118,Donnees_regimes!$A$3:$A$1118,C41,Donnees_regimes!$B$3:$B$1118,"&gt;="&amp;G41,Donnees_regimes!$B$3:$B$1118,"&lt;="&amp;N41)*L41/ROUNDUP(L41,0)*SUMIFS(Donnees_annuelles!$AG$3:$AG$188,Donnees_annuelles!$A$3:$A$188,AR41)*SUMIFS(Donnees_annuelles!$AA$3:$AA$188,Donnees_annuelles!$A$3:$A$188,AR41)</f>
        <v/>
      </c>
      <c r="AT41" s="36">
        <f>AS41/V41</f>
        <v/>
      </c>
      <c r="AU41" s="14">
        <f>AL41</f>
        <v/>
      </c>
      <c r="AV41" s="39">
        <f>AS41-AL41</f>
        <v/>
      </c>
      <c r="AW41" s="9">
        <f>AS41/AL41-1</f>
        <v/>
      </c>
      <c r="AX41" s="14">
        <f>AS41/AJ41/12</f>
        <v/>
      </c>
      <c r="AY41" s="14">
        <f>AF41</f>
        <v/>
      </c>
      <c r="AZ41" s="39">
        <f>AX41-AF41</f>
        <v/>
      </c>
      <c r="BA41" s="14">
        <f>SUMIFS(Donnees_regimes!$S$3:$S$1118,Donnees_regimes!$A$3:$A$1118,C41,Donnees_regimes!$B$3:$B$1118,"&gt;="&amp;G41,Donnees_regimes!$B$3:$B$1118,"&lt;="&amp;N41)*L41/ROUNDUP(L41,0)*SUMIFS(Donnees_annuelles!$AH$3:$AH$188,Donnees_annuelles!$A$3:$A$188,AR41)*SUMIFS(Donnees_annuelles!$AA$3:$AA$188,Donnees_annuelles!$A$3:$A$188,AR41)</f>
        <v/>
      </c>
      <c r="BB41" s="39">
        <f>BA41-AL41</f>
        <v/>
      </c>
      <c r="BC41" s="7">
        <f>IF(M41+AJ41&gt;2026,IF(G41&gt;2026,"entièrement projeté","en partie projeté"),"observé")</f>
        <v/>
      </c>
    </row>
    <row r="42">
      <c r="A42" s="7" t="inlineStr">
        <is>
          <t>Génération X</t>
        </is>
      </c>
      <c r="B42" s="84" t="inlineStr">
        <is>
          <t>Privé</t>
        </is>
      </c>
      <c r="C42" s="7">
        <f>IF(G42&gt;=SUMIFS(Regimes!$C$5:$C$10,Regimes!$A$5:$A$10,B42),"Privé",B42)</f>
        <v/>
      </c>
      <c r="D42" s="7">
        <f>INDEX(Regimes!$D$5:$D$10,MATCH(C42,Regimes!$A$5:$A$10,0))</f>
        <v/>
      </c>
      <c r="E42" s="88" t="n">
        <v>1967</v>
      </c>
      <c r="F42" s="8">
        <f>Donnees_generations!C55</f>
        <v/>
      </c>
      <c r="G42" s="77">
        <f>Donnees_generations!D55</f>
        <v/>
      </c>
      <c r="H42" s="8">
        <f>SUMIFS(Donnees_generations!$S$3:$S$113,Donnees_generations!$A$3:$A$113,MAX(1915,MIN(2025,E42)))</f>
        <v/>
      </c>
      <c r="I42" s="8">
        <f>SUMIFS(Donnees_generations!$T$3:$T$113,Donnees_generations!$A$3:$A$113,MAX(1915,MIN(2025,E42)))</f>
        <v/>
      </c>
      <c r="J42" s="8">
        <f>IF(G42&gt;=2000,MAX(I42,Parametres!$B$3),I42)</f>
        <v/>
      </c>
      <c r="K42" s="8">
        <f>IF(C42="Privé",J42,SUMIFS(Regles_regimes!$J$3:$J$2000,Regles_regimes!$A$3:$A$2000,C42,Regles_regimes!$B$3:$B$2000,D42,Regles_regimes!$C$3:$C$2000,MAX(1915,MIN(2025,E42))))</f>
        <v/>
      </c>
      <c r="L42" s="8">
        <f>IF(C42="Privé",H42,(K42-F42)*H42/(J42-F42))</f>
        <v/>
      </c>
      <c r="M42" s="77">
        <f>INT(E42+K42)</f>
        <v/>
      </c>
      <c r="N42" s="77">
        <f>G42+ROUNDUP(L42,0)-1</f>
        <v/>
      </c>
      <c r="O42" s="89">
        <f>SUMIFS(Regles_regimes!$K$3:$K$2000,Regles_regimes!$A$3:$A$2000,C42,Regles_regimes!$B$3:$B$2000,D42,Regles_regimes!$C$3:$C$2000,MAX(1915,MIN(2025,E42)))</f>
        <v/>
      </c>
      <c r="P42" s="13">
        <f>SUMIFS(Donnees_annuelles!$W$3:$W$188,Donnees_annuelles!$A$3:$A$188,"&gt;="&amp;G42,Donnees_annuelles!$A$3:$A$188,"&lt;="&amp;N42)*L42/ROUNDUP(L42,0)*O42</f>
        <v/>
      </c>
      <c r="Q42" s="13">
        <f>SUMIFS(Donnees_annuelles!$V$3:$V$188,Donnees_annuelles!$A$3:$A$188,"&gt;="&amp;G42,Donnees_annuelles!$A$3:$A$188,"&lt;="&amp;N42)*L42/ROUNDUP(L42,0)</f>
        <v/>
      </c>
      <c r="R42" s="13">
        <f>P42/L42</f>
        <v/>
      </c>
      <c r="S42" s="14">
        <f>SUMIFS(Donnees_annuelles!$D$3:$D$188,Donnees_annuelles!$A$3:$A$188,"&gt;="&amp;G42,Donnees_annuelles!$A$3:$A$188,"&lt;="&amp;N42)*L42/ROUNDUP(L42,0)</f>
        <v/>
      </c>
      <c r="T42" s="14">
        <f>SUMIFS(Donnees_regimes!$N$3:$N$1118,Donnees_regimes!$A$3:$A$1118,C42,Donnees_regimes!$B$3:$B$1118,"&gt;="&amp;G42,Donnees_regimes!$B$3:$B$1118,"&lt;="&amp;N42)*L42/ROUNDUP(L42,0)</f>
        <v/>
      </c>
      <c r="U42" s="14">
        <f>SUMIFS(Donnees_regimes!$O$3:$O$1118,Donnees_regimes!$A$3:$A$1118,C42,Donnees_regimes!$B$3:$B$1118,"&gt;="&amp;G42,Donnees_regimes!$B$3:$B$1118,"&lt;="&amp;N42)*L42/ROUNDUP(L42,0)</f>
        <v/>
      </c>
      <c r="V42" s="14">
        <f>T42+U42</f>
        <v/>
      </c>
      <c r="W42" s="33">
        <f>V42/S42</f>
        <v/>
      </c>
      <c r="X42" s="14">
        <f>S42+U42</f>
        <v/>
      </c>
      <c r="Y42" s="17">
        <f>V42/P42</f>
        <v/>
      </c>
      <c r="Z42" s="14">
        <f>SUMIFS(Donnees_regimes!$Q$3:$Q$1118,Donnees_regimes!$A$3:$A$1118,C42,Donnees_regimes!$B$3:$B$1118,"&gt;="&amp;G42,Donnees_regimes!$B$3:$B$1118,"&lt;="&amp;N42)*L42/ROUNDUP(L42,0)</f>
        <v/>
      </c>
      <c r="AA42" s="77">
        <f>SUMIFS(Regles_regimes!$F$3:$F$2000,Regles_regimes!$A$3:$A$2000,C42,Regles_regimes!$B$3:$B$2000,D42,Regles_regimes!$C$3:$C$2000,MAX(1915,MIN(2025,E42)))</f>
        <v/>
      </c>
      <c r="AB42" s="77">
        <f>IF(AND(SUMIFS(Regles_regimes!$L$3:$L$2000,Regles_regimes!$A$3:$A$2000,C42,Regles_regimes!$B$3:$B$2000,D42,Regles_regimes!$C$3:$C$2000,MAX(1915,MIN(2025,E42)))=1,G42&lt;2009,C42&lt;&gt;"Privé"),MIN(20,L42*4/5),0)</f>
        <v/>
      </c>
      <c r="AC42" s="89">
        <f>SUMIFS(Donnees_regimes!$M$3:$M$1118,Donnees_regimes!$A$3:$A$1118,C42,Donnees_regimes!$B$3:$B$1118,M42)</f>
        <v/>
      </c>
      <c r="AD42" s="14">
        <f>SUMIFS(Donnees_annuelles!$Y$3:$Y$188,Donnees_annuelles!$A$3:$A$188,M42)*SUMIFS(Donnees_generations!$I$3:$I$113,Donnees_generations!$A$3:$A$113,MAX(1915,MIN(2025,E42)))/H42</f>
        <v/>
      </c>
      <c r="AE42" s="14">
        <f>IF(C42="Privé",SUMIFS(Donnees_annuelles!$Y$3:$Y$188,Donnees_annuelles!$A$3:$A$188,M42)*MIN(L42,SUMIFS(Donnees_generations!$I$3:$I$113,Donnees_generations!$A$3:$A$113,MAX(1915,MIN(2025,E42))))/L42,AD42*AC42*MIN(IF(AB42&gt;0,0.8/0.75,1),(L42*4+AB42)/AA42))</f>
        <v/>
      </c>
      <c r="AF42" s="14">
        <f>AE42/12</f>
        <v/>
      </c>
      <c r="AG42" s="77">
        <f>MIN(68,MAX(56,2*INT(K42/2)))</f>
        <v/>
      </c>
      <c r="AH42" s="75">
        <f>(CHOOSE((AG42-56)/2+1,SUMIFS(Donnees_generations!$U$3:$U$113,Donnees_generations!$A$3:$A$113,MAX(1915,MIN(2025,E42))),SUMIFS(Donnees_generations!$V$3:$V$113,Donnees_generations!$A$3:$A$113,MAX(1915,MIN(2025,E42))),SUMIFS(Donnees_generations!$W$3:$W$113,Donnees_generations!$A$3:$A$113,MAX(1915,MIN(2025,E42))),SUMIFS(Donnees_generations!$X$3:$X$113,Donnees_generations!$A$3:$A$113,MAX(1915,MIN(2025,E42))),SUMIFS(Donnees_generations!$Y$3:$Y$113,Donnees_generations!$A$3:$A$113,MAX(1915,MIN(2025,E42))),SUMIFS(Donnees_generations!$Z$3:$Z$113,Donnees_generations!$A$3:$A$113,MAX(1915,MIN(2025,E42))),SUMIFS(Donnees_generations!$AA$3:$AA$113,Donnees_generations!$A$3:$A$113,MAX(1915,MIN(2025,E42))),SUMIFS(Donnees_generations!$AB$3:$AB$113,Donnees_generations!$A$3:$A$113,MAX(1915,MIN(2025,E42))))+CHOOSE((AG42-56)/2+1,SUMIFS(Donnees_generations!$AC$3:$AC$113,Donnees_generations!$A$3:$A$113,MAX(1915,MIN(2025,E42))),SUMIFS(Donnees_generations!$AD$3:$AD$113,Donnees_generations!$A$3:$A$113,MAX(1915,MIN(2025,E42))),SUMIFS(Donnees_generations!$AE$3:$AE$113,Donnees_generations!$A$3:$A$113,MAX(1915,MIN(2025,E42))),SUMIFS(Donnees_generations!$AF$3:$AF$113,Donnees_generations!$A$3:$A$113,MAX(1915,MIN(2025,E42))),SUMIFS(Donnees_generations!$AG$3:$AG$113,Donnees_generations!$A$3:$A$113,MAX(1915,MIN(2025,E42))),SUMIFS(Donnees_generations!$AH$3:$AH$113,Donnees_generations!$A$3:$A$113,MAX(1915,MIN(2025,E42))),SUMIFS(Donnees_generations!$AI$3:$AI$113,Donnees_generations!$A$3:$A$113,MAX(1915,MIN(2025,E42))),SUMIFS(Donnees_generations!$AJ$3:$AJ$113,Donnees_generations!$A$3:$A$113,MAX(1915,MIN(2025,E42)))))/2</f>
        <v/>
      </c>
      <c r="AI42" s="75">
        <f>(CHOOSE(((AG42+2)-56)/2+1,SUMIFS(Donnees_generations!$U$3:$U$113,Donnees_generations!$A$3:$A$113,MAX(1915,MIN(2025,E42))),SUMIFS(Donnees_generations!$V$3:$V$113,Donnees_generations!$A$3:$A$113,MAX(1915,MIN(2025,E42))),SUMIFS(Donnees_generations!$W$3:$W$113,Donnees_generations!$A$3:$A$113,MAX(1915,MIN(2025,E42))),SUMIFS(Donnees_generations!$X$3:$X$113,Donnees_generations!$A$3:$A$113,MAX(1915,MIN(2025,E42))),SUMIFS(Donnees_generations!$Y$3:$Y$113,Donnees_generations!$A$3:$A$113,MAX(1915,MIN(2025,E42))),SUMIFS(Donnees_generations!$Z$3:$Z$113,Donnees_generations!$A$3:$A$113,MAX(1915,MIN(2025,E42))),SUMIFS(Donnees_generations!$AA$3:$AA$113,Donnees_generations!$A$3:$A$113,MAX(1915,MIN(2025,E42))),SUMIFS(Donnees_generations!$AB$3:$AB$113,Donnees_generations!$A$3:$A$113,MAX(1915,MIN(2025,E42))))+CHOOSE(((AG42+2)-56)/2+1,SUMIFS(Donnees_generations!$AC$3:$AC$113,Donnees_generations!$A$3:$A$113,MAX(1915,MIN(2025,E42))),SUMIFS(Donnees_generations!$AD$3:$AD$113,Donnees_generations!$A$3:$A$113,MAX(1915,MIN(2025,E42))),SUMIFS(Donnees_generations!$AE$3:$AE$113,Donnees_generations!$A$3:$A$113,MAX(1915,MIN(2025,E42))),SUMIFS(Donnees_generations!$AF$3:$AF$113,Donnees_generations!$A$3:$A$113,MAX(1915,MIN(2025,E42))),SUMIFS(Donnees_generations!$AG$3:$AG$113,Donnees_generations!$A$3:$A$113,MAX(1915,MIN(2025,E42))),SUMIFS(Donnees_generations!$AH$3:$AH$113,Donnees_generations!$A$3:$A$113,MAX(1915,MIN(2025,E42))),SUMIFS(Donnees_generations!$AI$3:$AI$113,Donnees_generations!$A$3:$A$113,MAX(1915,MIN(2025,E42))),SUMIFS(Donnees_generations!$AJ$3:$AJ$113,Donnees_generations!$A$3:$A$113,MAX(1915,MIN(2025,E42)))))/2</f>
        <v/>
      </c>
      <c r="AJ42" s="8">
        <f>MAX(0,AH42+(AI42-AH42)*(K42-AG42)/2)</f>
        <v/>
      </c>
      <c r="AK42" s="8">
        <f>K42+AJ42</f>
        <v/>
      </c>
      <c r="AL42" s="14">
        <f>AE42*AJ42</f>
        <v/>
      </c>
      <c r="AM42" s="17">
        <f>V42/AL42</f>
        <v/>
      </c>
      <c r="AN42" s="17">
        <f>Z42/AL42</f>
        <v/>
      </c>
      <c r="AO42" s="33">
        <f>IF(V42+Z42=0,0,Z42/(V42+Z42))</f>
        <v/>
      </c>
      <c r="AP42" s="14">
        <f>AL42/V42*100</f>
        <v/>
      </c>
      <c r="AQ42" s="8">
        <f>P42/AL42*1000</f>
        <v/>
      </c>
      <c r="AR42" s="77">
        <f>MAX(N42,M42-1)</f>
        <v/>
      </c>
      <c r="AS42" s="14">
        <f>SUMIFS(Donnees_regimes!$R$3:$R$1118,Donnees_regimes!$A$3:$A$1118,C42,Donnees_regimes!$B$3:$B$1118,"&gt;="&amp;G42,Donnees_regimes!$B$3:$B$1118,"&lt;="&amp;N42)*L42/ROUNDUP(L42,0)*SUMIFS(Donnees_annuelles!$AG$3:$AG$188,Donnees_annuelles!$A$3:$A$188,AR42)*SUMIFS(Donnees_annuelles!$AA$3:$AA$188,Donnees_annuelles!$A$3:$A$188,AR42)</f>
        <v/>
      </c>
      <c r="AT42" s="36">
        <f>AS42/V42</f>
        <v/>
      </c>
      <c r="AU42" s="14">
        <f>AL42</f>
        <v/>
      </c>
      <c r="AV42" s="39">
        <f>AS42-AL42</f>
        <v/>
      </c>
      <c r="AW42" s="9">
        <f>AS42/AL42-1</f>
        <v/>
      </c>
      <c r="AX42" s="14">
        <f>AS42/AJ42/12</f>
        <v/>
      </c>
      <c r="AY42" s="14">
        <f>AF42</f>
        <v/>
      </c>
      <c r="AZ42" s="39">
        <f>AX42-AF42</f>
        <v/>
      </c>
      <c r="BA42" s="14">
        <f>SUMIFS(Donnees_regimes!$S$3:$S$1118,Donnees_regimes!$A$3:$A$1118,C42,Donnees_regimes!$B$3:$B$1118,"&gt;="&amp;G42,Donnees_regimes!$B$3:$B$1118,"&lt;="&amp;N42)*L42/ROUNDUP(L42,0)*SUMIFS(Donnees_annuelles!$AH$3:$AH$188,Donnees_annuelles!$A$3:$A$188,AR42)*SUMIFS(Donnees_annuelles!$AA$3:$AA$188,Donnees_annuelles!$A$3:$A$188,AR42)</f>
        <v/>
      </c>
      <c r="BB42" s="39">
        <f>BA42-AL42</f>
        <v/>
      </c>
      <c r="BC42" s="7">
        <f>IF(M42+AJ42&gt;2026,IF(G42&gt;2026,"entièrement projeté","en partie projeté"),"observé")</f>
        <v/>
      </c>
    </row>
    <row r="43">
      <c r="A43" s="7" t="inlineStr">
        <is>
          <t>Génération X</t>
        </is>
      </c>
      <c r="B43" s="84" t="inlineStr">
        <is>
          <t>Privé</t>
        </is>
      </c>
      <c r="C43" s="7">
        <f>IF(G43&gt;=SUMIFS(Regimes!$C$5:$C$10,Regimes!$A$5:$A$10,B43),"Privé",B43)</f>
        <v/>
      </c>
      <c r="D43" s="7">
        <f>INDEX(Regimes!$D$5:$D$10,MATCH(C43,Regimes!$A$5:$A$10,0))</f>
        <v/>
      </c>
      <c r="E43" s="88" t="n">
        <v>1968</v>
      </c>
      <c r="F43" s="8">
        <f>Donnees_generations!C56</f>
        <v/>
      </c>
      <c r="G43" s="77">
        <f>Donnees_generations!D56</f>
        <v/>
      </c>
      <c r="H43" s="8">
        <f>SUMIFS(Donnees_generations!$S$3:$S$113,Donnees_generations!$A$3:$A$113,MAX(1915,MIN(2025,E43)))</f>
        <v/>
      </c>
      <c r="I43" s="8">
        <f>SUMIFS(Donnees_generations!$T$3:$T$113,Donnees_generations!$A$3:$A$113,MAX(1915,MIN(2025,E43)))</f>
        <v/>
      </c>
      <c r="J43" s="8">
        <f>IF(G43&gt;=2000,MAX(I43,Parametres!$B$3),I43)</f>
        <v/>
      </c>
      <c r="K43" s="8">
        <f>IF(C43="Privé",J43,SUMIFS(Regles_regimes!$J$3:$J$2000,Regles_regimes!$A$3:$A$2000,C43,Regles_regimes!$B$3:$B$2000,D43,Regles_regimes!$C$3:$C$2000,MAX(1915,MIN(2025,E43))))</f>
        <v/>
      </c>
      <c r="L43" s="8">
        <f>IF(C43="Privé",H43,(K43-F43)*H43/(J43-F43))</f>
        <v/>
      </c>
      <c r="M43" s="77">
        <f>INT(E43+K43)</f>
        <v/>
      </c>
      <c r="N43" s="77">
        <f>G43+ROUNDUP(L43,0)-1</f>
        <v/>
      </c>
      <c r="O43" s="89">
        <f>SUMIFS(Regles_regimes!$K$3:$K$2000,Regles_regimes!$A$3:$A$2000,C43,Regles_regimes!$B$3:$B$2000,D43,Regles_regimes!$C$3:$C$2000,MAX(1915,MIN(2025,E43)))</f>
        <v/>
      </c>
      <c r="P43" s="13">
        <f>SUMIFS(Donnees_annuelles!$W$3:$W$188,Donnees_annuelles!$A$3:$A$188,"&gt;="&amp;G43,Donnees_annuelles!$A$3:$A$188,"&lt;="&amp;N43)*L43/ROUNDUP(L43,0)*O43</f>
        <v/>
      </c>
      <c r="Q43" s="13">
        <f>SUMIFS(Donnees_annuelles!$V$3:$V$188,Donnees_annuelles!$A$3:$A$188,"&gt;="&amp;G43,Donnees_annuelles!$A$3:$A$188,"&lt;="&amp;N43)*L43/ROUNDUP(L43,0)</f>
        <v/>
      </c>
      <c r="R43" s="13">
        <f>P43/L43</f>
        <v/>
      </c>
      <c r="S43" s="14">
        <f>SUMIFS(Donnees_annuelles!$D$3:$D$188,Donnees_annuelles!$A$3:$A$188,"&gt;="&amp;G43,Donnees_annuelles!$A$3:$A$188,"&lt;="&amp;N43)*L43/ROUNDUP(L43,0)</f>
        <v/>
      </c>
      <c r="T43" s="14">
        <f>SUMIFS(Donnees_regimes!$N$3:$N$1118,Donnees_regimes!$A$3:$A$1118,C43,Donnees_regimes!$B$3:$B$1118,"&gt;="&amp;G43,Donnees_regimes!$B$3:$B$1118,"&lt;="&amp;N43)*L43/ROUNDUP(L43,0)</f>
        <v/>
      </c>
      <c r="U43" s="14">
        <f>SUMIFS(Donnees_regimes!$O$3:$O$1118,Donnees_regimes!$A$3:$A$1118,C43,Donnees_regimes!$B$3:$B$1118,"&gt;="&amp;G43,Donnees_regimes!$B$3:$B$1118,"&lt;="&amp;N43)*L43/ROUNDUP(L43,0)</f>
        <v/>
      </c>
      <c r="V43" s="14">
        <f>T43+U43</f>
        <v/>
      </c>
      <c r="W43" s="33">
        <f>V43/S43</f>
        <v/>
      </c>
      <c r="X43" s="14">
        <f>S43+U43</f>
        <v/>
      </c>
      <c r="Y43" s="17">
        <f>V43/P43</f>
        <v/>
      </c>
      <c r="Z43" s="14">
        <f>SUMIFS(Donnees_regimes!$Q$3:$Q$1118,Donnees_regimes!$A$3:$A$1118,C43,Donnees_regimes!$B$3:$B$1118,"&gt;="&amp;G43,Donnees_regimes!$B$3:$B$1118,"&lt;="&amp;N43)*L43/ROUNDUP(L43,0)</f>
        <v/>
      </c>
      <c r="AA43" s="77">
        <f>SUMIFS(Regles_regimes!$F$3:$F$2000,Regles_regimes!$A$3:$A$2000,C43,Regles_regimes!$B$3:$B$2000,D43,Regles_regimes!$C$3:$C$2000,MAX(1915,MIN(2025,E43)))</f>
        <v/>
      </c>
      <c r="AB43" s="77">
        <f>IF(AND(SUMIFS(Regles_regimes!$L$3:$L$2000,Regles_regimes!$A$3:$A$2000,C43,Regles_regimes!$B$3:$B$2000,D43,Regles_regimes!$C$3:$C$2000,MAX(1915,MIN(2025,E43)))=1,G43&lt;2009,C43&lt;&gt;"Privé"),MIN(20,L43*4/5),0)</f>
        <v/>
      </c>
      <c r="AC43" s="89">
        <f>SUMIFS(Donnees_regimes!$M$3:$M$1118,Donnees_regimes!$A$3:$A$1118,C43,Donnees_regimes!$B$3:$B$1118,M43)</f>
        <v/>
      </c>
      <c r="AD43" s="14">
        <f>SUMIFS(Donnees_annuelles!$Y$3:$Y$188,Donnees_annuelles!$A$3:$A$188,M43)*SUMIFS(Donnees_generations!$I$3:$I$113,Donnees_generations!$A$3:$A$113,MAX(1915,MIN(2025,E43)))/H43</f>
        <v/>
      </c>
      <c r="AE43" s="14">
        <f>IF(C43="Privé",SUMIFS(Donnees_annuelles!$Y$3:$Y$188,Donnees_annuelles!$A$3:$A$188,M43)*MIN(L43,SUMIFS(Donnees_generations!$I$3:$I$113,Donnees_generations!$A$3:$A$113,MAX(1915,MIN(2025,E43))))/L43,AD43*AC43*MIN(IF(AB43&gt;0,0.8/0.75,1),(L43*4+AB43)/AA43))</f>
        <v/>
      </c>
      <c r="AF43" s="14">
        <f>AE43/12</f>
        <v/>
      </c>
      <c r="AG43" s="77">
        <f>MIN(68,MAX(56,2*INT(K43/2)))</f>
        <v/>
      </c>
      <c r="AH43" s="75">
        <f>(CHOOSE((AG43-56)/2+1,SUMIFS(Donnees_generations!$U$3:$U$113,Donnees_generations!$A$3:$A$113,MAX(1915,MIN(2025,E43))),SUMIFS(Donnees_generations!$V$3:$V$113,Donnees_generations!$A$3:$A$113,MAX(1915,MIN(2025,E43))),SUMIFS(Donnees_generations!$W$3:$W$113,Donnees_generations!$A$3:$A$113,MAX(1915,MIN(2025,E43))),SUMIFS(Donnees_generations!$X$3:$X$113,Donnees_generations!$A$3:$A$113,MAX(1915,MIN(2025,E43))),SUMIFS(Donnees_generations!$Y$3:$Y$113,Donnees_generations!$A$3:$A$113,MAX(1915,MIN(2025,E43))),SUMIFS(Donnees_generations!$Z$3:$Z$113,Donnees_generations!$A$3:$A$113,MAX(1915,MIN(2025,E43))),SUMIFS(Donnees_generations!$AA$3:$AA$113,Donnees_generations!$A$3:$A$113,MAX(1915,MIN(2025,E43))),SUMIFS(Donnees_generations!$AB$3:$AB$113,Donnees_generations!$A$3:$A$113,MAX(1915,MIN(2025,E43))))+CHOOSE((AG43-56)/2+1,SUMIFS(Donnees_generations!$AC$3:$AC$113,Donnees_generations!$A$3:$A$113,MAX(1915,MIN(2025,E43))),SUMIFS(Donnees_generations!$AD$3:$AD$113,Donnees_generations!$A$3:$A$113,MAX(1915,MIN(2025,E43))),SUMIFS(Donnees_generations!$AE$3:$AE$113,Donnees_generations!$A$3:$A$113,MAX(1915,MIN(2025,E43))),SUMIFS(Donnees_generations!$AF$3:$AF$113,Donnees_generations!$A$3:$A$113,MAX(1915,MIN(2025,E43))),SUMIFS(Donnees_generations!$AG$3:$AG$113,Donnees_generations!$A$3:$A$113,MAX(1915,MIN(2025,E43))),SUMIFS(Donnees_generations!$AH$3:$AH$113,Donnees_generations!$A$3:$A$113,MAX(1915,MIN(2025,E43))),SUMIFS(Donnees_generations!$AI$3:$AI$113,Donnees_generations!$A$3:$A$113,MAX(1915,MIN(2025,E43))),SUMIFS(Donnees_generations!$AJ$3:$AJ$113,Donnees_generations!$A$3:$A$113,MAX(1915,MIN(2025,E43)))))/2</f>
        <v/>
      </c>
      <c r="AI43" s="75">
        <f>(CHOOSE(((AG43+2)-56)/2+1,SUMIFS(Donnees_generations!$U$3:$U$113,Donnees_generations!$A$3:$A$113,MAX(1915,MIN(2025,E43))),SUMIFS(Donnees_generations!$V$3:$V$113,Donnees_generations!$A$3:$A$113,MAX(1915,MIN(2025,E43))),SUMIFS(Donnees_generations!$W$3:$W$113,Donnees_generations!$A$3:$A$113,MAX(1915,MIN(2025,E43))),SUMIFS(Donnees_generations!$X$3:$X$113,Donnees_generations!$A$3:$A$113,MAX(1915,MIN(2025,E43))),SUMIFS(Donnees_generations!$Y$3:$Y$113,Donnees_generations!$A$3:$A$113,MAX(1915,MIN(2025,E43))),SUMIFS(Donnees_generations!$Z$3:$Z$113,Donnees_generations!$A$3:$A$113,MAX(1915,MIN(2025,E43))),SUMIFS(Donnees_generations!$AA$3:$AA$113,Donnees_generations!$A$3:$A$113,MAX(1915,MIN(2025,E43))),SUMIFS(Donnees_generations!$AB$3:$AB$113,Donnees_generations!$A$3:$A$113,MAX(1915,MIN(2025,E43))))+CHOOSE(((AG43+2)-56)/2+1,SUMIFS(Donnees_generations!$AC$3:$AC$113,Donnees_generations!$A$3:$A$113,MAX(1915,MIN(2025,E43))),SUMIFS(Donnees_generations!$AD$3:$AD$113,Donnees_generations!$A$3:$A$113,MAX(1915,MIN(2025,E43))),SUMIFS(Donnees_generations!$AE$3:$AE$113,Donnees_generations!$A$3:$A$113,MAX(1915,MIN(2025,E43))),SUMIFS(Donnees_generations!$AF$3:$AF$113,Donnees_generations!$A$3:$A$113,MAX(1915,MIN(2025,E43))),SUMIFS(Donnees_generations!$AG$3:$AG$113,Donnees_generations!$A$3:$A$113,MAX(1915,MIN(2025,E43))),SUMIFS(Donnees_generations!$AH$3:$AH$113,Donnees_generations!$A$3:$A$113,MAX(1915,MIN(2025,E43))),SUMIFS(Donnees_generations!$AI$3:$AI$113,Donnees_generations!$A$3:$A$113,MAX(1915,MIN(2025,E43))),SUMIFS(Donnees_generations!$AJ$3:$AJ$113,Donnees_generations!$A$3:$A$113,MAX(1915,MIN(2025,E43)))))/2</f>
        <v/>
      </c>
      <c r="AJ43" s="8">
        <f>MAX(0,AH43+(AI43-AH43)*(K43-AG43)/2)</f>
        <v/>
      </c>
      <c r="AK43" s="8">
        <f>K43+AJ43</f>
        <v/>
      </c>
      <c r="AL43" s="14">
        <f>AE43*AJ43</f>
        <v/>
      </c>
      <c r="AM43" s="17">
        <f>V43/AL43</f>
        <v/>
      </c>
      <c r="AN43" s="17">
        <f>Z43/AL43</f>
        <v/>
      </c>
      <c r="AO43" s="33">
        <f>IF(V43+Z43=0,0,Z43/(V43+Z43))</f>
        <v/>
      </c>
      <c r="AP43" s="14">
        <f>AL43/V43*100</f>
        <v/>
      </c>
      <c r="AQ43" s="8">
        <f>P43/AL43*1000</f>
        <v/>
      </c>
      <c r="AR43" s="77">
        <f>MAX(N43,M43-1)</f>
        <v/>
      </c>
      <c r="AS43" s="14">
        <f>SUMIFS(Donnees_regimes!$R$3:$R$1118,Donnees_regimes!$A$3:$A$1118,C43,Donnees_regimes!$B$3:$B$1118,"&gt;="&amp;G43,Donnees_regimes!$B$3:$B$1118,"&lt;="&amp;N43)*L43/ROUNDUP(L43,0)*SUMIFS(Donnees_annuelles!$AG$3:$AG$188,Donnees_annuelles!$A$3:$A$188,AR43)*SUMIFS(Donnees_annuelles!$AA$3:$AA$188,Donnees_annuelles!$A$3:$A$188,AR43)</f>
        <v/>
      </c>
      <c r="AT43" s="36">
        <f>AS43/V43</f>
        <v/>
      </c>
      <c r="AU43" s="14">
        <f>AL43</f>
        <v/>
      </c>
      <c r="AV43" s="39">
        <f>AS43-AL43</f>
        <v/>
      </c>
      <c r="AW43" s="9">
        <f>AS43/AL43-1</f>
        <v/>
      </c>
      <c r="AX43" s="14">
        <f>AS43/AJ43/12</f>
        <v/>
      </c>
      <c r="AY43" s="14">
        <f>AF43</f>
        <v/>
      </c>
      <c r="AZ43" s="39">
        <f>AX43-AF43</f>
        <v/>
      </c>
      <c r="BA43" s="14">
        <f>SUMIFS(Donnees_regimes!$S$3:$S$1118,Donnees_regimes!$A$3:$A$1118,C43,Donnees_regimes!$B$3:$B$1118,"&gt;="&amp;G43,Donnees_regimes!$B$3:$B$1118,"&lt;="&amp;N43)*L43/ROUNDUP(L43,0)*SUMIFS(Donnees_annuelles!$AH$3:$AH$188,Donnees_annuelles!$A$3:$A$188,AR43)*SUMIFS(Donnees_annuelles!$AA$3:$AA$188,Donnees_annuelles!$A$3:$A$188,AR43)</f>
        <v/>
      </c>
      <c r="BB43" s="39">
        <f>BA43-AL43</f>
        <v/>
      </c>
      <c r="BC43" s="7">
        <f>IF(M43+AJ43&gt;2026,IF(G43&gt;2026,"entièrement projeté","en partie projeté"),"observé")</f>
        <v/>
      </c>
    </row>
    <row r="44">
      <c r="A44" s="7" t="inlineStr">
        <is>
          <t>Génération X</t>
        </is>
      </c>
      <c r="B44" s="84" t="inlineStr">
        <is>
          <t>Privé</t>
        </is>
      </c>
      <c r="C44" s="7">
        <f>IF(G44&gt;=SUMIFS(Regimes!$C$5:$C$10,Regimes!$A$5:$A$10,B44),"Privé",B44)</f>
        <v/>
      </c>
      <c r="D44" s="7">
        <f>INDEX(Regimes!$D$5:$D$10,MATCH(C44,Regimes!$A$5:$A$10,0))</f>
        <v/>
      </c>
      <c r="E44" s="88" t="n">
        <v>1969</v>
      </c>
      <c r="F44" s="8">
        <f>Donnees_generations!C57</f>
        <v/>
      </c>
      <c r="G44" s="77">
        <f>Donnees_generations!D57</f>
        <v/>
      </c>
      <c r="H44" s="8">
        <f>SUMIFS(Donnees_generations!$S$3:$S$113,Donnees_generations!$A$3:$A$113,MAX(1915,MIN(2025,E44)))</f>
        <v/>
      </c>
      <c r="I44" s="8">
        <f>SUMIFS(Donnees_generations!$T$3:$T$113,Donnees_generations!$A$3:$A$113,MAX(1915,MIN(2025,E44)))</f>
        <v/>
      </c>
      <c r="J44" s="8">
        <f>IF(G44&gt;=2000,MAX(I44,Parametres!$B$3),I44)</f>
        <v/>
      </c>
      <c r="K44" s="8">
        <f>IF(C44="Privé",J44,SUMIFS(Regles_regimes!$J$3:$J$2000,Regles_regimes!$A$3:$A$2000,C44,Regles_regimes!$B$3:$B$2000,D44,Regles_regimes!$C$3:$C$2000,MAX(1915,MIN(2025,E44))))</f>
        <v/>
      </c>
      <c r="L44" s="8">
        <f>IF(C44="Privé",H44,(K44-F44)*H44/(J44-F44))</f>
        <v/>
      </c>
      <c r="M44" s="77">
        <f>INT(E44+K44)</f>
        <v/>
      </c>
      <c r="N44" s="77">
        <f>G44+ROUNDUP(L44,0)-1</f>
        <v/>
      </c>
      <c r="O44" s="89">
        <f>SUMIFS(Regles_regimes!$K$3:$K$2000,Regles_regimes!$A$3:$A$2000,C44,Regles_regimes!$B$3:$B$2000,D44,Regles_regimes!$C$3:$C$2000,MAX(1915,MIN(2025,E44)))</f>
        <v/>
      </c>
      <c r="P44" s="13">
        <f>SUMIFS(Donnees_annuelles!$W$3:$W$188,Donnees_annuelles!$A$3:$A$188,"&gt;="&amp;G44,Donnees_annuelles!$A$3:$A$188,"&lt;="&amp;N44)*L44/ROUNDUP(L44,0)*O44</f>
        <v/>
      </c>
      <c r="Q44" s="13">
        <f>SUMIFS(Donnees_annuelles!$V$3:$V$188,Donnees_annuelles!$A$3:$A$188,"&gt;="&amp;G44,Donnees_annuelles!$A$3:$A$188,"&lt;="&amp;N44)*L44/ROUNDUP(L44,0)</f>
        <v/>
      </c>
      <c r="R44" s="13">
        <f>P44/L44</f>
        <v/>
      </c>
      <c r="S44" s="14">
        <f>SUMIFS(Donnees_annuelles!$D$3:$D$188,Donnees_annuelles!$A$3:$A$188,"&gt;="&amp;G44,Donnees_annuelles!$A$3:$A$188,"&lt;="&amp;N44)*L44/ROUNDUP(L44,0)</f>
        <v/>
      </c>
      <c r="T44" s="14">
        <f>SUMIFS(Donnees_regimes!$N$3:$N$1118,Donnees_regimes!$A$3:$A$1118,C44,Donnees_regimes!$B$3:$B$1118,"&gt;="&amp;G44,Donnees_regimes!$B$3:$B$1118,"&lt;="&amp;N44)*L44/ROUNDUP(L44,0)</f>
        <v/>
      </c>
      <c r="U44" s="14">
        <f>SUMIFS(Donnees_regimes!$O$3:$O$1118,Donnees_regimes!$A$3:$A$1118,C44,Donnees_regimes!$B$3:$B$1118,"&gt;="&amp;G44,Donnees_regimes!$B$3:$B$1118,"&lt;="&amp;N44)*L44/ROUNDUP(L44,0)</f>
        <v/>
      </c>
      <c r="V44" s="14">
        <f>T44+U44</f>
        <v/>
      </c>
      <c r="W44" s="33">
        <f>V44/S44</f>
        <v/>
      </c>
      <c r="X44" s="14">
        <f>S44+U44</f>
        <v/>
      </c>
      <c r="Y44" s="17">
        <f>V44/P44</f>
        <v/>
      </c>
      <c r="Z44" s="14">
        <f>SUMIFS(Donnees_regimes!$Q$3:$Q$1118,Donnees_regimes!$A$3:$A$1118,C44,Donnees_regimes!$B$3:$B$1118,"&gt;="&amp;G44,Donnees_regimes!$B$3:$B$1118,"&lt;="&amp;N44)*L44/ROUNDUP(L44,0)</f>
        <v/>
      </c>
      <c r="AA44" s="77">
        <f>SUMIFS(Regles_regimes!$F$3:$F$2000,Regles_regimes!$A$3:$A$2000,C44,Regles_regimes!$B$3:$B$2000,D44,Regles_regimes!$C$3:$C$2000,MAX(1915,MIN(2025,E44)))</f>
        <v/>
      </c>
      <c r="AB44" s="77">
        <f>IF(AND(SUMIFS(Regles_regimes!$L$3:$L$2000,Regles_regimes!$A$3:$A$2000,C44,Regles_regimes!$B$3:$B$2000,D44,Regles_regimes!$C$3:$C$2000,MAX(1915,MIN(2025,E44)))=1,G44&lt;2009,C44&lt;&gt;"Privé"),MIN(20,L44*4/5),0)</f>
        <v/>
      </c>
      <c r="AC44" s="89">
        <f>SUMIFS(Donnees_regimes!$M$3:$M$1118,Donnees_regimes!$A$3:$A$1118,C44,Donnees_regimes!$B$3:$B$1118,M44)</f>
        <v/>
      </c>
      <c r="AD44" s="14">
        <f>SUMIFS(Donnees_annuelles!$Y$3:$Y$188,Donnees_annuelles!$A$3:$A$188,M44)*SUMIFS(Donnees_generations!$I$3:$I$113,Donnees_generations!$A$3:$A$113,MAX(1915,MIN(2025,E44)))/H44</f>
        <v/>
      </c>
      <c r="AE44" s="14">
        <f>IF(C44="Privé",SUMIFS(Donnees_annuelles!$Y$3:$Y$188,Donnees_annuelles!$A$3:$A$188,M44)*MIN(L44,SUMIFS(Donnees_generations!$I$3:$I$113,Donnees_generations!$A$3:$A$113,MAX(1915,MIN(2025,E44))))/L44,AD44*AC44*MIN(IF(AB44&gt;0,0.8/0.75,1),(L44*4+AB44)/AA44))</f>
        <v/>
      </c>
      <c r="AF44" s="14">
        <f>AE44/12</f>
        <v/>
      </c>
      <c r="AG44" s="77">
        <f>MIN(68,MAX(56,2*INT(K44/2)))</f>
        <v/>
      </c>
      <c r="AH44" s="75">
        <f>(CHOOSE((AG44-56)/2+1,SUMIFS(Donnees_generations!$U$3:$U$113,Donnees_generations!$A$3:$A$113,MAX(1915,MIN(2025,E44))),SUMIFS(Donnees_generations!$V$3:$V$113,Donnees_generations!$A$3:$A$113,MAX(1915,MIN(2025,E44))),SUMIFS(Donnees_generations!$W$3:$W$113,Donnees_generations!$A$3:$A$113,MAX(1915,MIN(2025,E44))),SUMIFS(Donnees_generations!$X$3:$X$113,Donnees_generations!$A$3:$A$113,MAX(1915,MIN(2025,E44))),SUMIFS(Donnees_generations!$Y$3:$Y$113,Donnees_generations!$A$3:$A$113,MAX(1915,MIN(2025,E44))),SUMIFS(Donnees_generations!$Z$3:$Z$113,Donnees_generations!$A$3:$A$113,MAX(1915,MIN(2025,E44))),SUMIFS(Donnees_generations!$AA$3:$AA$113,Donnees_generations!$A$3:$A$113,MAX(1915,MIN(2025,E44))),SUMIFS(Donnees_generations!$AB$3:$AB$113,Donnees_generations!$A$3:$A$113,MAX(1915,MIN(2025,E44))))+CHOOSE((AG44-56)/2+1,SUMIFS(Donnees_generations!$AC$3:$AC$113,Donnees_generations!$A$3:$A$113,MAX(1915,MIN(2025,E44))),SUMIFS(Donnees_generations!$AD$3:$AD$113,Donnees_generations!$A$3:$A$113,MAX(1915,MIN(2025,E44))),SUMIFS(Donnees_generations!$AE$3:$AE$113,Donnees_generations!$A$3:$A$113,MAX(1915,MIN(2025,E44))),SUMIFS(Donnees_generations!$AF$3:$AF$113,Donnees_generations!$A$3:$A$113,MAX(1915,MIN(2025,E44))),SUMIFS(Donnees_generations!$AG$3:$AG$113,Donnees_generations!$A$3:$A$113,MAX(1915,MIN(2025,E44))),SUMIFS(Donnees_generations!$AH$3:$AH$113,Donnees_generations!$A$3:$A$113,MAX(1915,MIN(2025,E44))),SUMIFS(Donnees_generations!$AI$3:$AI$113,Donnees_generations!$A$3:$A$113,MAX(1915,MIN(2025,E44))),SUMIFS(Donnees_generations!$AJ$3:$AJ$113,Donnees_generations!$A$3:$A$113,MAX(1915,MIN(2025,E44)))))/2</f>
        <v/>
      </c>
      <c r="AI44" s="75">
        <f>(CHOOSE(((AG44+2)-56)/2+1,SUMIFS(Donnees_generations!$U$3:$U$113,Donnees_generations!$A$3:$A$113,MAX(1915,MIN(2025,E44))),SUMIFS(Donnees_generations!$V$3:$V$113,Donnees_generations!$A$3:$A$113,MAX(1915,MIN(2025,E44))),SUMIFS(Donnees_generations!$W$3:$W$113,Donnees_generations!$A$3:$A$113,MAX(1915,MIN(2025,E44))),SUMIFS(Donnees_generations!$X$3:$X$113,Donnees_generations!$A$3:$A$113,MAX(1915,MIN(2025,E44))),SUMIFS(Donnees_generations!$Y$3:$Y$113,Donnees_generations!$A$3:$A$113,MAX(1915,MIN(2025,E44))),SUMIFS(Donnees_generations!$Z$3:$Z$113,Donnees_generations!$A$3:$A$113,MAX(1915,MIN(2025,E44))),SUMIFS(Donnees_generations!$AA$3:$AA$113,Donnees_generations!$A$3:$A$113,MAX(1915,MIN(2025,E44))),SUMIFS(Donnees_generations!$AB$3:$AB$113,Donnees_generations!$A$3:$A$113,MAX(1915,MIN(2025,E44))))+CHOOSE(((AG44+2)-56)/2+1,SUMIFS(Donnees_generations!$AC$3:$AC$113,Donnees_generations!$A$3:$A$113,MAX(1915,MIN(2025,E44))),SUMIFS(Donnees_generations!$AD$3:$AD$113,Donnees_generations!$A$3:$A$113,MAX(1915,MIN(2025,E44))),SUMIFS(Donnees_generations!$AE$3:$AE$113,Donnees_generations!$A$3:$A$113,MAX(1915,MIN(2025,E44))),SUMIFS(Donnees_generations!$AF$3:$AF$113,Donnees_generations!$A$3:$A$113,MAX(1915,MIN(2025,E44))),SUMIFS(Donnees_generations!$AG$3:$AG$113,Donnees_generations!$A$3:$A$113,MAX(1915,MIN(2025,E44))),SUMIFS(Donnees_generations!$AH$3:$AH$113,Donnees_generations!$A$3:$A$113,MAX(1915,MIN(2025,E44))),SUMIFS(Donnees_generations!$AI$3:$AI$113,Donnees_generations!$A$3:$A$113,MAX(1915,MIN(2025,E44))),SUMIFS(Donnees_generations!$AJ$3:$AJ$113,Donnees_generations!$A$3:$A$113,MAX(1915,MIN(2025,E44)))))/2</f>
        <v/>
      </c>
      <c r="AJ44" s="8">
        <f>MAX(0,AH44+(AI44-AH44)*(K44-AG44)/2)</f>
        <v/>
      </c>
      <c r="AK44" s="8">
        <f>K44+AJ44</f>
        <v/>
      </c>
      <c r="AL44" s="14">
        <f>AE44*AJ44</f>
        <v/>
      </c>
      <c r="AM44" s="17">
        <f>V44/AL44</f>
        <v/>
      </c>
      <c r="AN44" s="17">
        <f>Z44/AL44</f>
        <v/>
      </c>
      <c r="AO44" s="33">
        <f>IF(V44+Z44=0,0,Z44/(V44+Z44))</f>
        <v/>
      </c>
      <c r="AP44" s="14">
        <f>AL44/V44*100</f>
        <v/>
      </c>
      <c r="AQ44" s="8">
        <f>P44/AL44*1000</f>
        <v/>
      </c>
      <c r="AR44" s="77">
        <f>MAX(N44,M44-1)</f>
        <v/>
      </c>
      <c r="AS44" s="14">
        <f>SUMIFS(Donnees_regimes!$R$3:$R$1118,Donnees_regimes!$A$3:$A$1118,C44,Donnees_regimes!$B$3:$B$1118,"&gt;="&amp;G44,Donnees_regimes!$B$3:$B$1118,"&lt;="&amp;N44)*L44/ROUNDUP(L44,0)*SUMIFS(Donnees_annuelles!$AG$3:$AG$188,Donnees_annuelles!$A$3:$A$188,AR44)*SUMIFS(Donnees_annuelles!$AA$3:$AA$188,Donnees_annuelles!$A$3:$A$188,AR44)</f>
        <v/>
      </c>
      <c r="AT44" s="36">
        <f>AS44/V44</f>
        <v/>
      </c>
      <c r="AU44" s="14">
        <f>AL44</f>
        <v/>
      </c>
      <c r="AV44" s="39">
        <f>AS44-AL44</f>
        <v/>
      </c>
      <c r="AW44" s="9">
        <f>AS44/AL44-1</f>
        <v/>
      </c>
      <c r="AX44" s="14">
        <f>AS44/AJ44/12</f>
        <v/>
      </c>
      <c r="AY44" s="14">
        <f>AF44</f>
        <v/>
      </c>
      <c r="AZ44" s="39">
        <f>AX44-AF44</f>
        <v/>
      </c>
      <c r="BA44" s="14">
        <f>SUMIFS(Donnees_regimes!$S$3:$S$1118,Donnees_regimes!$A$3:$A$1118,C44,Donnees_regimes!$B$3:$B$1118,"&gt;="&amp;G44,Donnees_regimes!$B$3:$B$1118,"&lt;="&amp;N44)*L44/ROUNDUP(L44,0)*SUMIFS(Donnees_annuelles!$AH$3:$AH$188,Donnees_annuelles!$A$3:$A$188,AR44)*SUMIFS(Donnees_annuelles!$AA$3:$AA$188,Donnees_annuelles!$A$3:$A$188,AR44)</f>
        <v/>
      </c>
      <c r="BB44" s="39">
        <f>BA44-AL44</f>
        <v/>
      </c>
      <c r="BC44" s="7">
        <f>IF(M44+AJ44&gt;2026,IF(G44&gt;2026,"entièrement projeté","en partie projeté"),"observé")</f>
        <v/>
      </c>
    </row>
    <row r="45">
      <c r="A45" s="7" t="inlineStr">
        <is>
          <t>Génération X</t>
        </is>
      </c>
      <c r="B45" s="84" t="inlineStr">
        <is>
          <t>Privé</t>
        </is>
      </c>
      <c r="C45" s="7">
        <f>IF(G45&gt;=SUMIFS(Regimes!$C$5:$C$10,Regimes!$A$5:$A$10,B45),"Privé",B45)</f>
        <v/>
      </c>
      <c r="D45" s="7">
        <f>INDEX(Regimes!$D$5:$D$10,MATCH(C45,Regimes!$A$5:$A$10,0))</f>
        <v/>
      </c>
      <c r="E45" s="88" t="n">
        <v>1970</v>
      </c>
      <c r="F45" s="8">
        <f>Donnees_generations!C58</f>
        <v/>
      </c>
      <c r="G45" s="77">
        <f>Donnees_generations!D58</f>
        <v/>
      </c>
      <c r="H45" s="8">
        <f>SUMIFS(Donnees_generations!$S$3:$S$113,Donnees_generations!$A$3:$A$113,MAX(1915,MIN(2025,E45)))</f>
        <v/>
      </c>
      <c r="I45" s="8">
        <f>SUMIFS(Donnees_generations!$T$3:$T$113,Donnees_generations!$A$3:$A$113,MAX(1915,MIN(2025,E45)))</f>
        <v/>
      </c>
      <c r="J45" s="8">
        <f>IF(G45&gt;=2000,MAX(I45,Parametres!$B$3),I45)</f>
        <v/>
      </c>
      <c r="K45" s="8">
        <f>IF(C45="Privé",J45,SUMIFS(Regles_regimes!$J$3:$J$2000,Regles_regimes!$A$3:$A$2000,C45,Regles_regimes!$B$3:$B$2000,D45,Regles_regimes!$C$3:$C$2000,MAX(1915,MIN(2025,E45))))</f>
        <v/>
      </c>
      <c r="L45" s="8">
        <f>IF(C45="Privé",H45,(K45-F45)*H45/(J45-F45))</f>
        <v/>
      </c>
      <c r="M45" s="77">
        <f>INT(E45+K45)</f>
        <v/>
      </c>
      <c r="N45" s="77">
        <f>G45+ROUNDUP(L45,0)-1</f>
        <v/>
      </c>
      <c r="O45" s="89">
        <f>SUMIFS(Regles_regimes!$K$3:$K$2000,Regles_regimes!$A$3:$A$2000,C45,Regles_regimes!$B$3:$B$2000,D45,Regles_regimes!$C$3:$C$2000,MAX(1915,MIN(2025,E45)))</f>
        <v/>
      </c>
      <c r="P45" s="13">
        <f>SUMIFS(Donnees_annuelles!$W$3:$W$188,Donnees_annuelles!$A$3:$A$188,"&gt;="&amp;G45,Donnees_annuelles!$A$3:$A$188,"&lt;="&amp;N45)*L45/ROUNDUP(L45,0)*O45</f>
        <v/>
      </c>
      <c r="Q45" s="13">
        <f>SUMIFS(Donnees_annuelles!$V$3:$V$188,Donnees_annuelles!$A$3:$A$188,"&gt;="&amp;G45,Donnees_annuelles!$A$3:$A$188,"&lt;="&amp;N45)*L45/ROUNDUP(L45,0)</f>
        <v/>
      </c>
      <c r="R45" s="13">
        <f>P45/L45</f>
        <v/>
      </c>
      <c r="S45" s="14">
        <f>SUMIFS(Donnees_annuelles!$D$3:$D$188,Donnees_annuelles!$A$3:$A$188,"&gt;="&amp;G45,Donnees_annuelles!$A$3:$A$188,"&lt;="&amp;N45)*L45/ROUNDUP(L45,0)</f>
        <v/>
      </c>
      <c r="T45" s="14">
        <f>SUMIFS(Donnees_regimes!$N$3:$N$1118,Donnees_regimes!$A$3:$A$1118,C45,Donnees_regimes!$B$3:$B$1118,"&gt;="&amp;G45,Donnees_regimes!$B$3:$B$1118,"&lt;="&amp;N45)*L45/ROUNDUP(L45,0)</f>
        <v/>
      </c>
      <c r="U45" s="14">
        <f>SUMIFS(Donnees_regimes!$O$3:$O$1118,Donnees_regimes!$A$3:$A$1118,C45,Donnees_regimes!$B$3:$B$1118,"&gt;="&amp;G45,Donnees_regimes!$B$3:$B$1118,"&lt;="&amp;N45)*L45/ROUNDUP(L45,0)</f>
        <v/>
      </c>
      <c r="V45" s="14">
        <f>T45+U45</f>
        <v/>
      </c>
      <c r="W45" s="33">
        <f>V45/S45</f>
        <v/>
      </c>
      <c r="X45" s="14">
        <f>S45+U45</f>
        <v/>
      </c>
      <c r="Y45" s="17">
        <f>V45/P45</f>
        <v/>
      </c>
      <c r="Z45" s="14">
        <f>SUMIFS(Donnees_regimes!$Q$3:$Q$1118,Donnees_regimes!$A$3:$A$1118,C45,Donnees_regimes!$B$3:$B$1118,"&gt;="&amp;G45,Donnees_regimes!$B$3:$B$1118,"&lt;="&amp;N45)*L45/ROUNDUP(L45,0)</f>
        <v/>
      </c>
      <c r="AA45" s="77">
        <f>SUMIFS(Regles_regimes!$F$3:$F$2000,Regles_regimes!$A$3:$A$2000,C45,Regles_regimes!$B$3:$B$2000,D45,Regles_regimes!$C$3:$C$2000,MAX(1915,MIN(2025,E45)))</f>
        <v/>
      </c>
      <c r="AB45" s="77">
        <f>IF(AND(SUMIFS(Regles_regimes!$L$3:$L$2000,Regles_regimes!$A$3:$A$2000,C45,Regles_regimes!$B$3:$B$2000,D45,Regles_regimes!$C$3:$C$2000,MAX(1915,MIN(2025,E45)))=1,G45&lt;2009,C45&lt;&gt;"Privé"),MIN(20,L45*4/5),0)</f>
        <v/>
      </c>
      <c r="AC45" s="89">
        <f>SUMIFS(Donnees_regimes!$M$3:$M$1118,Donnees_regimes!$A$3:$A$1118,C45,Donnees_regimes!$B$3:$B$1118,M45)</f>
        <v/>
      </c>
      <c r="AD45" s="14">
        <f>SUMIFS(Donnees_annuelles!$Y$3:$Y$188,Donnees_annuelles!$A$3:$A$188,M45)*SUMIFS(Donnees_generations!$I$3:$I$113,Donnees_generations!$A$3:$A$113,MAX(1915,MIN(2025,E45)))/H45</f>
        <v/>
      </c>
      <c r="AE45" s="14">
        <f>IF(C45="Privé",SUMIFS(Donnees_annuelles!$Y$3:$Y$188,Donnees_annuelles!$A$3:$A$188,M45)*MIN(L45,SUMIFS(Donnees_generations!$I$3:$I$113,Donnees_generations!$A$3:$A$113,MAX(1915,MIN(2025,E45))))/L45,AD45*AC45*MIN(IF(AB45&gt;0,0.8/0.75,1),(L45*4+AB45)/AA45))</f>
        <v/>
      </c>
      <c r="AF45" s="14">
        <f>AE45/12</f>
        <v/>
      </c>
      <c r="AG45" s="77">
        <f>MIN(68,MAX(56,2*INT(K45/2)))</f>
        <v/>
      </c>
      <c r="AH45" s="75">
        <f>(CHOOSE((AG45-56)/2+1,SUMIFS(Donnees_generations!$U$3:$U$113,Donnees_generations!$A$3:$A$113,MAX(1915,MIN(2025,E45))),SUMIFS(Donnees_generations!$V$3:$V$113,Donnees_generations!$A$3:$A$113,MAX(1915,MIN(2025,E45))),SUMIFS(Donnees_generations!$W$3:$W$113,Donnees_generations!$A$3:$A$113,MAX(1915,MIN(2025,E45))),SUMIFS(Donnees_generations!$X$3:$X$113,Donnees_generations!$A$3:$A$113,MAX(1915,MIN(2025,E45))),SUMIFS(Donnees_generations!$Y$3:$Y$113,Donnees_generations!$A$3:$A$113,MAX(1915,MIN(2025,E45))),SUMIFS(Donnees_generations!$Z$3:$Z$113,Donnees_generations!$A$3:$A$113,MAX(1915,MIN(2025,E45))),SUMIFS(Donnees_generations!$AA$3:$AA$113,Donnees_generations!$A$3:$A$113,MAX(1915,MIN(2025,E45))),SUMIFS(Donnees_generations!$AB$3:$AB$113,Donnees_generations!$A$3:$A$113,MAX(1915,MIN(2025,E45))))+CHOOSE((AG45-56)/2+1,SUMIFS(Donnees_generations!$AC$3:$AC$113,Donnees_generations!$A$3:$A$113,MAX(1915,MIN(2025,E45))),SUMIFS(Donnees_generations!$AD$3:$AD$113,Donnees_generations!$A$3:$A$113,MAX(1915,MIN(2025,E45))),SUMIFS(Donnees_generations!$AE$3:$AE$113,Donnees_generations!$A$3:$A$113,MAX(1915,MIN(2025,E45))),SUMIFS(Donnees_generations!$AF$3:$AF$113,Donnees_generations!$A$3:$A$113,MAX(1915,MIN(2025,E45))),SUMIFS(Donnees_generations!$AG$3:$AG$113,Donnees_generations!$A$3:$A$113,MAX(1915,MIN(2025,E45))),SUMIFS(Donnees_generations!$AH$3:$AH$113,Donnees_generations!$A$3:$A$113,MAX(1915,MIN(2025,E45))),SUMIFS(Donnees_generations!$AI$3:$AI$113,Donnees_generations!$A$3:$A$113,MAX(1915,MIN(2025,E45))),SUMIFS(Donnees_generations!$AJ$3:$AJ$113,Donnees_generations!$A$3:$A$113,MAX(1915,MIN(2025,E45)))))/2</f>
        <v/>
      </c>
      <c r="AI45" s="75">
        <f>(CHOOSE(((AG45+2)-56)/2+1,SUMIFS(Donnees_generations!$U$3:$U$113,Donnees_generations!$A$3:$A$113,MAX(1915,MIN(2025,E45))),SUMIFS(Donnees_generations!$V$3:$V$113,Donnees_generations!$A$3:$A$113,MAX(1915,MIN(2025,E45))),SUMIFS(Donnees_generations!$W$3:$W$113,Donnees_generations!$A$3:$A$113,MAX(1915,MIN(2025,E45))),SUMIFS(Donnees_generations!$X$3:$X$113,Donnees_generations!$A$3:$A$113,MAX(1915,MIN(2025,E45))),SUMIFS(Donnees_generations!$Y$3:$Y$113,Donnees_generations!$A$3:$A$113,MAX(1915,MIN(2025,E45))),SUMIFS(Donnees_generations!$Z$3:$Z$113,Donnees_generations!$A$3:$A$113,MAX(1915,MIN(2025,E45))),SUMIFS(Donnees_generations!$AA$3:$AA$113,Donnees_generations!$A$3:$A$113,MAX(1915,MIN(2025,E45))),SUMIFS(Donnees_generations!$AB$3:$AB$113,Donnees_generations!$A$3:$A$113,MAX(1915,MIN(2025,E45))))+CHOOSE(((AG45+2)-56)/2+1,SUMIFS(Donnees_generations!$AC$3:$AC$113,Donnees_generations!$A$3:$A$113,MAX(1915,MIN(2025,E45))),SUMIFS(Donnees_generations!$AD$3:$AD$113,Donnees_generations!$A$3:$A$113,MAX(1915,MIN(2025,E45))),SUMIFS(Donnees_generations!$AE$3:$AE$113,Donnees_generations!$A$3:$A$113,MAX(1915,MIN(2025,E45))),SUMIFS(Donnees_generations!$AF$3:$AF$113,Donnees_generations!$A$3:$A$113,MAX(1915,MIN(2025,E45))),SUMIFS(Donnees_generations!$AG$3:$AG$113,Donnees_generations!$A$3:$A$113,MAX(1915,MIN(2025,E45))),SUMIFS(Donnees_generations!$AH$3:$AH$113,Donnees_generations!$A$3:$A$113,MAX(1915,MIN(2025,E45))),SUMIFS(Donnees_generations!$AI$3:$AI$113,Donnees_generations!$A$3:$A$113,MAX(1915,MIN(2025,E45))),SUMIFS(Donnees_generations!$AJ$3:$AJ$113,Donnees_generations!$A$3:$A$113,MAX(1915,MIN(2025,E45)))))/2</f>
        <v/>
      </c>
      <c r="AJ45" s="8">
        <f>MAX(0,AH45+(AI45-AH45)*(K45-AG45)/2)</f>
        <v/>
      </c>
      <c r="AK45" s="8">
        <f>K45+AJ45</f>
        <v/>
      </c>
      <c r="AL45" s="14">
        <f>AE45*AJ45</f>
        <v/>
      </c>
      <c r="AM45" s="17">
        <f>V45/AL45</f>
        <v/>
      </c>
      <c r="AN45" s="17">
        <f>Z45/AL45</f>
        <v/>
      </c>
      <c r="AO45" s="33">
        <f>IF(V45+Z45=0,0,Z45/(V45+Z45))</f>
        <v/>
      </c>
      <c r="AP45" s="14">
        <f>AL45/V45*100</f>
        <v/>
      </c>
      <c r="AQ45" s="8">
        <f>P45/AL45*1000</f>
        <v/>
      </c>
      <c r="AR45" s="77">
        <f>MAX(N45,M45-1)</f>
        <v/>
      </c>
      <c r="AS45" s="14">
        <f>SUMIFS(Donnees_regimes!$R$3:$R$1118,Donnees_regimes!$A$3:$A$1118,C45,Donnees_regimes!$B$3:$B$1118,"&gt;="&amp;G45,Donnees_regimes!$B$3:$B$1118,"&lt;="&amp;N45)*L45/ROUNDUP(L45,0)*SUMIFS(Donnees_annuelles!$AG$3:$AG$188,Donnees_annuelles!$A$3:$A$188,AR45)*SUMIFS(Donnees_annuelles!$AA$3:$AA$188,Donnees_annuelles!$A$3:$A$188,AR45)</f>
        <v/>
      </c>
      <c r="AT45" s="36">
        <f>AS45/V45</f>
        <v/>
      </c>
      <c r="AU45" s="14">
        <f>AL45</f>
        <v/>
      </c>
      <c r="AV45" s="39">
        <f>AS45-AL45</f>
        <v/>
      </c>
      <c r="AW45" s="9">
        <f>AS45/AL45-1</f>
        <v/>
      </c>
      <c r="AX45" s="14">
        <f>AS45/AJ45/12</f>
        <v/>
      </c>
      <c r="AY45" s="14">
        <f>AF45</f>
        <v/>
      </c>
      <c r="AZ45" s="39">
        <f>AX45-AF45</f>
        <v/>
      </c>
      <c r="BA45" s="14">
        <f>SUMIFS(Donnees_regimes!$S$3:$S$1118,Donnees_regimes!$A$3:$A$1118,C45,Donnees_regimes!$B$3:$B$1118,"&gt;="&amp;G45,Donnees_regimes!$B$3:$B$1118,"&lt;="&amp;N45)*L45/ROUNDUP(L45,0)*SUMIFS(Donnees_annuelles!$AH$3:$AH$188,Donnees_annuelles!$A$3:$A$188,AR45)*SUMIFS(Donnees_annuelles!$AA$3:$AA$188,Donnees_annuelles!$A$3:$A$188,AR45)</f>
        <v/>
      </c>
      <c r="BB45" s="39">
        <f>BA45-AL45</f>
        <v/>
      </c>
      <c r="BC45" s="7">
        <f>IF(M45+AJ45&gt;2026,IF(G45&gt;2026,"entièrement projeté","en partie projeté"),"observé")</f>
        <v/>
      </c>
    </row>
    <row r="46">
      <c r="A46" s="7" t="inlineStr">
        <is>
          <t>Génération X</t>
        </is>
      </c>
      <c r="B46" s="84" t="inlineStr">
        <is>
          <t>Privé</t>
        </is>
      </c>
      <c r="C46" s="7">
        <f>IF(G46&gt;=SUMIFS(Regimes!$C$5:$C$10,Regimes!$A$5:$A$10,B46),"Privé",B46)</f>
        <v/>
      </c>
      <c r="D46" s="7">
        <f>INDEX(Regimes!$D$5:$D$10,MATCH(C46,Regimes!$A$5:$A$10,0))</f>
        <v/>
      </c>
      <c r="E46" s="88" t="n">
        <v>1971</v>
      </c>
      <c r="F46" s="8">
        <f>Donnees_generations!C59</f>
        <v/>
      </c>
      <c r="G46" s="77">
        <f>Donnees_generations!D59</f>
        <v/>
      </c>
      <c r="H46" s="8">
        <f>SUMIFS(Donnees_generations!$S$3:$S$113,Donnees_generations!$A$3:$A$113,MAX(1915,MIN(2025,E46)))</f>
        <v/>
      </c>
      <c r="I46" s="8">
        <f>SUMIFS(Donnees_generations!$T$3:$T$113,Donnees_generations!$A$3:$A$113,MAX(1915,MIN(2025,E46)))</f>
        <v/>
      </c>
      <c r="J46" s="8">
        <f>IF(G46&gt;=2000,MAX(I46,Parametres!$B$3),I46)</f>
        <v/>
      </c>
      <c r="K46" s="8">
        <f>IF(C46="Privé",J46,SUMIFS(Regles_regimes!$J$3:$J$2000,Regles_regimes!$A$3:$A$2000,C46,Regles_regimes!$B$3:$B$2000,D46,Regles_regimes!$C$3:$C$2000,MAX(1915,MIN(2025,E46))))</f>
        <v/>
      </c>
      <c r="L46" s="8">
        <f>IF(C46="Privé",H46,(K46-F46)*H46/(J46-F46))</f>
        <v/>
      </c>
      <c r="M46" s="77">
        <f>INT(E46+K46)</f>
        <v/>
      </c>
      <c r="N46" s="77">
        <f>G46+ROUNDUP(L46,0)-1</f>
        <v/>
      </c>
      <c r="O46" s="89">
        <f>SUMIFS(Regles_regimes!$K$3:$K$2000,Regles_regimes!$A$3:$A$2000,C46,Regles_regimes!$B$3:$B$2000,D46,Regles_regimes!$C$3:$C$2000,MAX(1915,MIN(2025,E46)))</f>
        <v/>
      </c>
      <c r="P46" s="13">
        <f>SUMIFS(Donnees_annuelles!$W$3:$W$188,Donnees_annuelles!$A$3:$A$188,"&gt;="&amp;G46,Donnees_annuelles!$A$3:$A$188,"&lt;="&amp;N46)*L46/ROUNDUP(L46,0)*O46</f>
        <v/>
      </c>
      <c r="Q46" s="13">
        <f>SUMIFS(Donnees_annuelles!$V$3:$V$188,Donnees_annuelles!$A$3:$A$188,"&gt;="&amp;G46,Donnees_annuelles!$A$3:$A$188,"&lt;="&amp;N46)*L46/ROUNDUP(L46,0)</f>
        <v/>
      </c>
      <c r="R46" s="13">
        <f>P46/L46</f>
        <v/>
      </c>
      <c r="S46" s="14">
        <f>SUMIFS(Donnees_annuelles!$D$3:$D$188,Donnees_annuelles!$A$3:$A$188,"&gt;="&amp;G46,Donnees_annuelles!$A$3:$A$188,"&lt;="&amp;N46)*L46/ROUNDUP(L46,0)</f>
        <v/>
      </c>
      <c r="T46" s="14">
        <f>SUMIFS(Donnees_regimes!$N$3:$N$1118,Donnees_regimes!$A$3:$A$1118,C46,Donnees_regimes!$B$3:$B$1118,"&gt;="&amp;G46,Donnees_regimes!$B$3:$B$1118,"&lt;="&amp;N46)*L46/ROUNDUP(L46,0)</f>
        <v/>
      </c>
      <c r="U46" s="14">
        <f>SUMIFS(Donnees_regimes!$O$3:$O$1118,Donnees_regimes!$A$3:$A$1118,C46,Donnees_regimes!$B$3:$B$1118,"&gt;="&amp;G46,Donnees_regimes!$B$3:$B$1118,"&lt;="&amp;N46)*L46/ROUNDUP(L46,0)</f>
        <v/>
      </c>
      <c r="V46" s="14">
        <f>T46+U46</f>
        <v/>
      </c>
      <c r="W46" s="33">
        <f>V46/S46</f>
        <v/>
      </c>
      <c r="X46" s="14">
        <f>S46+U46</f>
        <v/>
      </c>
      <c r="Y46" s="17">
        <f>V46/P46</f>
        <v/>
      </c>
      <c r="Z46" s="14">
        <f>SUMIFS(Donnees_regimes!$Q$3:$Q$1118,Donnees_regimes!$A$3:$A$1118,C46,Donnees_regimes!$B$3:$B$1118,"&gt;="&amp;G46,Donnees_regimes!$B$3:$B$1118,"&lt;="&amp;N46)*L46/ROUNDUP(L46,0)</f>
        <v/>
      </c>
      <c r="AA46" s="77">
        <f>SUMIFS(Regles_regimes!$F$3:$F$2000,Regles_regimes!$A$3:$A$2000,C46,Regles_regimes!$B$3:$B$2000,D46,Regles_regimes!$C$3:$C$2000,MAX(1915,MIN(2025,E46)))</f>
        <v/>
      </c>
      <c r="AB46" s="77">
        <f>IF(AND(SUMIFS(Regles_regimes!$L$3:$L$2000,Regles_regimes!$A$3:$A$2000,C46,Regles_regimes!$B$3:$B$2000,D46,Regles_regimes!$C$3:$C$2000,MAX(1915,MIN(2025,E46)))=1,G46&lt;2009,C46&lt;&gt;"Privé"),MIN(20,L46*4/5),0)</f>
        <v/>
      </c>
      <c r="AC46" s="89">
        <f>SUMIFS(Donnees_regimes!$M$3:$M$1118,Donnees_regimes!$A$3:$A$1118,C46,Donnees_regimes!$B$3:$B$1118,M46)</f>
        <v/>
      </c>
      <c r="AD46" s="14">
        <f>SUMIFS(Donnees_annuelles!$Y$3:$Y$188,Donnees_annuelles!$A$3:$A$188,M46)*SUMIFS(Donnees_generations!$I$3:$I$113,Donnees_generations!$A$3:$A$113,MAX(1915,MIN(2025,E46)))/H46</f>
        <v/>
      </c>
      <c r="AE46" s="14">
        <f>IF(C46="Privé",SUMIFS(Donnees_annuelles!$Y$3:$Y$188,Donnees_annuelles!$A$3:$A$188,M46)*MIN(L46,SUMIFS(Donnees_generations!$I$3:$I$113,Donnees_generations!$A$3:$A$113,MAX(1915,MIN(2025,E46))))/L46,AD46*AC46*MIN(IF(AB46&gt;0,0.8/0.75,1),(L46*4+AB46)/AA46))</f>
        <v/>
      </c>
      <c r="AF46" s="14">
        <f>AE46/12</f>
        <v/>
      </c>
      <c r="AG46" s="77">
        <f>MIN(68,MAX(56,2*INT(K46/2)))</f>
        <v/>
      </c>
      <c r="AH46" s="75">
        <f>(CHOOSE((AG46-56)/2+1,SUMIFS(Donnees_generations!$U$3:$U$113,Donnees_generations!$A$3:$A$113,MAX(1915,MIN(2025,E46))),SUMIFS(Donnees_generations!$V$3:$V$113,Donnees_generations!$A$3:$A$113,MAX(1915,MIN(2025,E46))),SUMIFS(Donnees_generations!$W$3:$W$113,Donnees_generations!$A$3:$A$113,MAX(1915,MIN(2025,E46))),SUMIFS(Donnees_generations!$X$3:$X$113,Donnees_generations!$A$3:$A$113,MAX(1915,MIN(2025,E46))),SUMIFS(Donnees_generations!$Y$3:$Y$113,Donnees_generations!$A$3:$A$113,MAX(1915,MIN(2025,E46))),SUMIFS(Donnees_generations!$Z$3:$Z$113,Donnees_generations!$A$3:$A$113,MAX(1915,MIN(2025,E46))),SUMIFS(Donnees_generations!$AA$3:$AA$113,Donnees_generations!$A$3:$A$113,MAX(1915,MIN(2025,E46))),SUMIFS(Donnees_generations!$AB$3:$AB$113,Donnees_generations!$A$3:$A$113,MAX(1915,MIN(2025,E46))))+CHOOSE((AG46-56)/2+1,SUMIFS(Donnees_generations!$AC$3:$AC$113,Donnees_generations!$A$3:$A$113,MAX(1915,MIN(2025,E46))),SUMIFS(Donnees_generations!$AD$3:$AD$113,Donnees_generations!$A$3:$A$113,MAX(1915,MIN(2025,E46))),SUMIFS(Donnees_generations!$AE$3:$AE$113,Donnees_generations!$A$3:$A$113,MAX(1915,MIN(2025,E46))),SUMIFS(Donnees_generations!$AF$3:$AF$113,Donnees_generations!$A$3:$A$113,MAX(1915,MIN(2025,E46))),SUMIFS(Donnees_generations!$AG$3:$AG$113,Donnees_generations!$A$3:$A$113,MAX(1915,MIN(2025,E46))),SUMIFS(Donnees_generations!$AH$3:$AH$113,Donnees_generations!$A$3:$A$113,MAX(1915,MIN(2025,E46))),SUMIFS(Donnees_generations!$AI$3:$AI$113,Donnees_generations!$A$3:$A$113,MAX(1915,MIN(2025,E46))),SUMIFS(Donnees_generations!$AJ$3:$AJ$113,Donnees_generations!$A$3:$A$113,MAX(1915,MIN(2025,E46)))))/2</f>
        <v/>
      </c>
      <c r="AI46" s="75">
        <f>(CHOOSE(((AG46+2)-56)/2+1,SUMIFS(Donnees_generations!$U$3:$U$113,Donnees_generations!$A$3:$A$113,MAX(1915,MIN(2025,E46))),SUMIFS(Donnees_generations!$V$3:$V$113,Donnees_generations!$A$3:$A$113,MAX(1915,MIN(2025,E46))),SUMIFS(Donnees_generations!$W$3:$W$113,Donnees_generations!$A$3:$A$113,MAX(1915,MIN(2025,E46))),SUMIFS(Donnees_generations!$X$3:$X$113,Donnees_generations!$A$3:$A$113,MAX(1915,MIN(2025,E46))),SUMIFS(Donnees_generations!$Y$3:$Y$113,Donnees_generations!$A$3:$A$113,MAX(1915,MIN(2025,E46))),SUMIFS(Donnees_generations!$Z$3:$Z$113,Donnees_generations!$A$3:$A$113,MAX(1915,MIN(2025,E46))),SUMIFS(Donnees_generations!$AA$3:$AA$113,Donnees_generations!$A$3:$A$113,MAX(1915,MIN(2025,E46))),SUMIFS(Donnees_generations!$AB$3:$AB$113,Donnees_generations!$A$3:$A$113,MAX(1915,MIN(2025,E46))))+CHOOSE(((AG46+2)-56)/2+1,SUMIFS(Donnees_generations!$AC$3:$AC$113,Donnees_generations!$A$3:$A$113,MAX(1915,MIN(2025,E46))),SUMIFS(Donnees_generations!$AD$3:$AD$113,Donnees_generations!$A$3:$A$113,MAX(1915,MIN(2025,E46))),SUMIFS(Donnees_generations!$AE$3:$AE$113,Donnees_generations!$A$3:$A$113,MAX(1915,MIN(2025,E46))),SUMIFS(Donnees_generations!$AF$3:$AF$113,Donnees_generations!$A$3:$A$113,MAX(1915,MIN(2025,E46))),SUMIFS(Donnees_generations!$AG$3:$AG$113,Donnees_generations!$A$3:$A$113,MAX(1915,MIN(2025,E46))),SUMIFS(Donnees_generations!$AH$3:$AH$113,Donnees_generations!$A$3:$A$113,MAX(1915,MIN(2025,E46))),SUMIFS(Donnees_generations!$AI$3:$AI$113,Donnees_generations!$A$3:$A$113,MAX(1915,MIN(2025,E46))),SUMIFS(Donnees_generations!$AJ$3:$AJ$113,Donnees_generations!$A$3:$A$113,MAX(1915,MIN(2025,E46)))))/2</f>
        <v/>
      </c>
      <c r="AJ46" s="8">
        <f>MAX(0,AH46+(AI46-AH46)*(K46-AG46)/2)</f>
        <v/>
      </c>
      <c r="AK46" s="8">
        <f>K46+AJ46</f>
        <v/>
      </c>
      <c r="AL46" s="14">
        <f>AE46*AJ46</f>
        <v/>
      </c>
      <c r="AM46" s="17">
        <f>V46/AL46</f>
        <v/>
      </c>
      <c r="AN46" s="17">
        <f>Z46/AL46</f>
        <v/>
      </c>
      <c r="AO46" s="33">
        <f>IF(V46+Z46=0,0,Z46/(V46+Z46))</f>
        <v/>
      </c>
      <c r="AP46" s="14">
        <f>AL46/V46*100</f>
        <v/>
      </c>
      <c r="AQ46" s="8">
        <f>P46/AL46*1000</f>
        <v/>
      </c>
      <c r="AR46" s="77">
        <f>MAX(N46,M46-1)</f>
        <v/>
      </c>
      <c r="AS46" s="14">
        <f>SUMIFS(Donnees_regimes!$R$3:$R$1118,Donnees_regimes!$A$3:$A$1118,C46,Donnees_regimes!$B$3:$B$1118,"&gt;="&amp;G46,Donnees_regimes!$B$3:$B$1118,"&lt;="&amp;N46)*L46/ROUNDUP(L46,0)*SUMIFS(Donnees_annuelles!$AG$3:$AG$188,Donnees_annuelles!$A$3:$A$188,AR46)*SUMIFS(Donnees_annuelles!$AA$3:$AA$188,Donnees_annuelles!$A$3:$A$188,AR46)</f>
        <v/>
      </c>
      <c r="AT46" s="36">
        <f>AS46/V46</f>
        <v/>
      </c>
      <c r="AU46" s="14">
        <f>AL46</f>
        <v/>
      </c>
      <c r="AV46" s="39">
        <f>AS46-AL46</f>
        <v/>
      </c>
      <c r="AW46" s="9">
        <f>AS46/AL46-1</f>
        <v/>
      </c>
      <c r="AX46" s="14">
        <f>AS46/AJ46/12</f>
        <v/>
      </c>
      <c r="AY46" s="14">
        <f>AF46</f>
        <v/>
      </c>
      <c r="AZ46" s="39">
        <f>AX46-AF46</f>
        <v/>
      </c>
      <c r="BA46" s="14">
        <f>SUMIFS(Donnees_regimes!$S$3:$S$1118,Donnees_regimes!$A$3:$A$1118,C46,Donnees_regimes!$B$3:$B$1118,"&gt;="&amp;G46,Donnees_regimes!$B$3:$B$1118,"&lt;="&amp;N46)*L46/ROUNDUP(L46,0)*SUMIFS(Donnees_annuelles!$AH$3:$AH$188,Donnees_annuelles!$A$3:$A$188,AR46)*SUMIFS(Donnees_annuelles!$AA$3:$AA$188,Donnees_annuelles!$A$3:$A$188,AR46)</f>
        <v/>
      </c>
      <c r="BB46" s="39">
        <f>BA46-AL46</f>
        <v/>
      </c>
      <c r="BC46" s="7">
        <f>IF(M46+AJ46&gt;2026,IF(G46&gt;2026,"entièrement projeté","en partie projeté"),"observé")</f>
        <v/>
      </c>
    </row>
    <row r="47">
      <c r="A47" s="7" t="inlineStr">
        <is>
          <t>Génération X</t>
        </is>
      </c>
      <c r="B47" s="84" t="inlineStr">
        <is>
          <t>Privé</t>
        </is>
      </c>
      <c r="C47" s="7">
        <f>IF(G47&gt;=SUMIFS(Regimes!$C$5:$C$10,Regimes!$A$5:$A$10,B47),"Privé",B47)</f>
        <v/>
      </c>
      <c r="D47" s="7">
        <f>INDEX(Regimes!$D$5:$D$10,MATCH(C47,Regimes!$A$5:$A$10,0))</f>
        <v/>
      </c>
      <c r="E47" s="88" t="n">
        <v>1972</v>
      </c>
      <c r="F47" s="8">
        <f>Donnees_generations!C60</f>
        <v/>
      </c>
      <c r="G47" s="77">
        <f>Donnees_generations!D60</f>
        <v/>
      </c>
      <c r="H47" s="8">
        <f>SUMIFS(Donnees_generations!$S$3:$S$113,Donnees_generations!$A$3:$A$113,MAX(1915,MIN(2025,E47)))</f>
        <v/>
      </c>
      <c r="I47" s="8">
        <f>SUMIFS(Donnees_generations!$T$3:$T$113,Donnees_generations!$A$3:$A$113,MAX(1915,MIN(2025,E47)))</f>
        <v/>
      </c>
      <c r="J47" s="8">
        <f>IF(G47&gt;=2000,MAX(I47,Parametres!$B$3),I47)</f>
        <v/>
      </c>
      <c r="K47" s="8">
        <f>IF(C47="Privé",J47,SUMIFS(Regles_regimes!$J$3:$J$2000,Regles_regimes!$A$3:$A$2000,C47,Regles_regimes!$B$3:$B$2000,D47,Regles_regimes!$C$3:$C$2000,MAX(1915,MIN(2025,E47))))</f>
        <v/>
      </c>
      <c r="L47" s="8">
        <f>IF(C47="Privé",H47,(K47-F47)*H47/(J47-F47))</f>
        <v/>
      </c>
      <c r="M47" s="77">
        <f>INT(E47+K47)</f>
        <v/>
      </c>
      <c r="N47" s="77">
        <f>G47+ROUNDUP(L47,0)-1</f>
        <v/>
      </c>
      <c r="O47" s="89">
        <f>SUMIFS(Regles_regimes!$K$3:$K$2000,Regles_regimes!$A$3:$A$2000,C47,Regles_regimes!$B$3:$B$2000,D47,Regles_regimes!$C$3:$C$2000,MAX(1915,MIN(2025,E47)))</f>
        <v/>
      </c>
      <c r="P47" s="13">
        <f>SUMIFS(Donnees_annuelles!$W$3:$W$188,Donnees_annuelles!$A$3:$A$188,"&gt;="&amp;G47,Donnees_annuelles!$A$3:$A$188,"&lt;="&amp;N47)*L47/ROUNDUP(L47,0)*O47</f>
        <v/>
      </c>
      <c r="Q47" s="13">
        <f>SUMIFS(Donnees_annuelles!$V$3:$V$188,Donnees_annuelles!$A$3:$A$188,"&gt;="&amp;G47,Donnees_annuelles!$A$3:$A$188,"&lt;="&amp;N47)*L47/ROUNDUP(L47,0)</f>
        <v/>
      </c>
      <c r="R47" s="13">
        <f>P47/L47</f>
        <v/>
      </c>
      <c r="S47" s="14">
        <f>SUMIFS(Donnees_annuelles!$D$3:$D$188,Donnees_annuelles!$A$3:$A$188,"&gt;="&amp;G47,Donnees_annuelles!$A$3:$A$188,"&lt;="&amp;N47)*L47/ROUNDUP(L47,0)</f>
        <v/>
      </c>
      <c r="T47" s="14">
        <f>SUMIFS(Donnees_regimes!$N$3:$N$1118,Donnees_regimes!$A$3:$A$1118,C47,Donnees_regimes!$B$3:$B$1118,"&gt;="&amp;G47,Donnees_regimes!$B$3:$B$1118,"&lt;="&amp;N47)*L47/ROUNDUP(L47,0)</f>
        <v/>
      </c>
      <c r="U47" s="14">
        <f>SUMIFS(Donnees_regimes!$O$3:$O$1118,Donnees_regimes!$A$3:$A$1118,C47,Donnees_regimes!$B$3:$B$1118,"&gt;="&amp;G47,Donnees_regimes!$B$3:$B$1118,"&lt;="&amp;N47)*L47/ROUNDUP(L47,0)</f>
        <v/>
      </c>
      <c r="V47" s="14">
        <f>T47+U47</f>
        <v/>
      </c>
      <c r="W47" s="33">
        <f>V47/S47</f>
        <v/>
      </c>
      <c r="X47" s="14">
        <f>S47+U47</f>
        <v/>
      </c>
      <c r="Y47" s="17">
        <f>V47/P47</f>
        <v/>
      </c>
      <c r="Z47" s="14">
        <f>SUMIFS(Donnees_regimes!$Q$3:$Q$1118,Donnees_regimes!$A$3:$A$1118,C47,Donnees_regimes!$B$3:$B$1118,"&gt;="&amp;G47,Donnees_regimes!$B$3:$B$1118,"&lt;="&amp;N47)*L47/ROUNDUP(L47,0)</f>
        <v/>
      </c>
      <c r="AA47" s="77">
        <f>SUMIFS(Regles_regimes!$F$3:$F$2000,Regles_regimes!$A$3:$A$2000,C47,Regles_regimes!$B$3:$B$2000,D47,Regles_regimes!$C$3:$C$2000,MAX(1915,MIN(2025,E47)))</f>
        <v/>
      </c>
      <c r="AB47" s="77">
        <f>IF(AND(SUMIFS(Regles_regimes!$L$3:$L$2000,Regles_regimes!$A$3:$A$2000,C47,Regles_regimes!$B$3:$B$2000,D47,Regles_regimes!$C$3:$C$2000,MAX(1915,MIN(2025,E47)))=1,G47&lt;2009,C47&lt;&gt;"Privé"),MIN(20,L47*4/5),0)</f>
        <v/>
      </c>
      <c r="AC47" s="89">
        <f>SUMIFS(Donnees_regimes!$M$3:$M$1118,Donnees_regimes!$A$3:$A$1118,C47,Donnees_regimes!$B$3:$B$1118,M47)</f>
        <v/>
      </c>
      <c r="AD47" s="14">
        <f>SUMIFS(Donnees_annuelles!$Y$3:$Y$188,Donnees_annuelles!$A$3:$A$188,M47)*SUMIFS(Donnees_generations!$I$3:$I$113,Donnees_generations!$A$3:$A$113,MAX(1915,MIN(2025,E47)))/H47</f>
        <v/>
      </c>
      <c r="AE47" s="14">
        <f>IF(C47="Privé",SUMIFS(Donnees_annuelles!$Y$3:$Y$188,Donnees_annuelles!$A$3:$A$188,M47)*MIN(L47,SUMIFS(Donnees_generations!$I$3:$I$113,Donnees_generations!$A$3:$A$113,MAX(1915,MIN(2025,E47))))/L47,AD47*AC47*MIN(IF(AB47&gt;0,0.8/0.75,1),(L47*4+AB47)/AA47))</f>
        <v/>
      </c>
      <c r="AF47" s="14">
        <f>AE47/12</f>
        <v/>
      </c>
      <c r="AG47" s="77">
        <f>MIN(68,MAX(56,2*INT(K47/2)))</f>
        <v/>
      </c>
      <c r="AH47" s="75">
        <f>(CHOOSE((AG47-56)/2+1,SUMIFS(Donnees_generations!$U$3:$U$113,Donnees_generations!$A$3:$A$113,MAX(1915,MIN(2025,E47))),SUMIFS(Donnees_generations!$V$3:$V$113,Donnees_generations!$A$3:$A$113,MAX(1915,MIN(2025,E47))),SUMIFS(Donnees_generations!$W$3:$W$113,Donnees_generations!$A$3:$A$113,MAX(1915,MIN(2025,E47))),SUMIFS(Donnees_generations!$X$3:$X$113,Donnees_generations!$A$3:$A$113,MAX(1915,MIN(2025,E47))),SUMIFS(Donnees_generations!$Y$3:$Y$113,Donnees_generations!$A$3:$A$113,MAX(1915,MIN(2025,E47))),SUMIFS(Donnees_generations!$Z$3:$Z$113,Donnees_generations!$A$3:$A$113,MAX(1915,MIN(2025,E47))),SUMIFS(Donnees_generations!$AA$3:$AA$113,Donnees_generations!$A$3:$A$113,MAX(1915,MIN(2025,E47))),SUMIFS(Donnees_generations!$AB$3:$AB$113,Donnees_generations!$A$3:$A$113,MAX(1915,MIN(2025,E47))))+CHOOSE((AG47-56)/2+1,SUMIFS(Donnees_generations!$AC$3:$AC$113,Donnees_generations!$A$3:$A$113,MAX(1915,MIN(2025,E47))),SUMIFS(Donnees_generations!$AD$3:$AD$113,Donnees_generations!$A$3:$A$113,MAX(1915,MIN(2025,E47))),SUMIFS(Donnees_generations!$AE$3:$AE$113,Donnees_generations!$A$3:$A$113,MAX(1915,MIN(2025,E47))),SUMIFS(Donnees_generations!$AF$3:$AF$113,Donnees_generations!$A$3:$A$113,MAX(1915,MIN(2025,E47))),SUMIFS(Donnees_generations!$AG$3:$AG$113,Donnees_generations!$A$3:$A$113,MAX(1915,MIN(2025,E47))),SUMIFS(Donnees_generations!$AH$3:$AH$113,Donnees_generations!$A$3:$A$113,MAX(1915,MIN(2025,E47))),SUMIFS(Donnees_generations!$AI$3:$AI$113,Donnees_generations!$A$3:$A$113,MAX(1915,MIN(2025,E47))),SUMIFS(Donnees_generations!$AJ$3:$AJ$113,Donnees_generations!$A$3:$A$113,MAX(1915,MIN(2025,E47)))))/2</f>
        <v/>
      </c>
      <c r="AI47" s="75">
        <f>(CHOOSE(((AG47+2)-56)/2+1,SUMIFS(Donnees_generations!$U$3:$U$113,Donnees_generations!$A$3:$A$113,MAX(1915,MIN(2025,E47))),SUMIFS(Donnees_generations!$V$3:$V$113,Donnees_generations!$A$3:$A$113,MAX(1915,MIN(2025,E47))),SUMIFS(Donnees_generations!$W$3:$W$113,Donnees_generations!$A$3:$A$113,MAX(1915,MIN(2025,E47))),SUMIFS(Donnees_generations!$X$3:$X$113,Donnees_generations!$A$3:$A$113,MAX(1915,MIN(2025,E47))),SUMIFS(Donnees_generations!$Y$3:$Y$113,Donnees_generations!$A$3:$A$113,MAX(1915,MIN(2025,E47))),SUMIFS(Donnees_generations!$Z$3:$Z$113,Donnees_generations!$A$3:$A$113,MAX(1915,MIN(2025,E47))),SUMIFS(Donnees_generations!$AA$3:$AA$113,Donnees_generations!$A$3:$A$113,MAX(1915,MIN(2025,E47))),SUMIFS(Donnees_generations!$AB$3:$AB$113,Donnees_generations!$A$3:$A$113,MAX(1915,MIN(2025,E47))))+CHOOSE(((AG47+2)-56)/2+1,SUMIFS(Donnees_generations!$AC$3:$AC$113,Donnees_generations!$A$3:$A$113,MAX(1915,MIN(2025,E47))),SUMIFS(Donnees_generations!$AD$3:$AD$113,Donnees_generations!$A$3:$A$113,MAX(1915,MIN(2025,E47))),SUMIFS(Donnees_generations!$AE$3:$AE$113,Donnees_generations!$A$3:$A$113,MAX(1915,MIN(2025,E47))),SUMIFS(Donnees_generations!$AF$3:$AF$113,Donnees_generations!$A$3:$A$113,MAX(1915,MIN(2025,E47))),SUMIFS(Donnees_generations!$AG$3:$AG$113,Donnees_generations!$A$3:$A$113,MAX(1915,MIN(2025,E47))),SUMIFS(Donnees_generations!$AH$3:$AH$113,Donnees_generations!$A$3:$A$113,MAX(1915,MIN(2025,E47))),SUMIFS(Donnees_generations!$AI$3:$AI$113,Donnees_generations!$A$3:$A$113,MAX(1915,MIN(2025,E47))),SUMIFS(Donnees_generations!$AJ$3:$AJ$113,Donnees_generations!$A$3:$A$113,MAX(1915,MIN(2025,E47)))))/2</f>
        <v/>
      </c>
      <c r="AJ47" s="8">
        <f>MAX(0,AH47+(AI47-AH47)*(K47-AG47)/2)</f>
        <v/>
      </c>
      <c r="AK47" s="8">
        <f>K47+AJ47</f>
        <v/>
      </c>
      <c r="AL47" s="14">
        <f>AE47*AJ47</f>
        <v/>
      </c>
      <c r="AM47" s="17">
        <f>V47/AL47</f>
        <v/>
      </c>
      <c r="AN47" s="17">
        <f>Z47/AL47</f>
        <v/>
      </c>
      <c r="AO47" s="33">
        <f>IF(V47+Z47=0,0,Z47/(V47+Z47))</f>
        <v/>
      </c>
      <c r="AP47" s="14">
        <f>AL47/V47*100</f>
        <v/>
      </c>
      <c r="AQ47" s="8">
        <f>P47/AL47*1000</f>
        <v/>
      </c>
      <c r="AR47" s="77">
        <f>MAX(N47,M47-1)</f>
        <v/>
      </c>
      <c r="AS47" s="14">
        <f>SUMIFS(Donnees_regimes!$R$3:$R$1118,Donnees_regimes!$A$3:$A$1118,C47,Donnees_regimes!$B$3:$B$1118,"&gt;="&amp;G47,Donnees_regimes!$B$3:$B$1118,"&lt;="&amp;N47)*L47/ROUNDUP(L47,0)*SUMIFS(Donnees_annuelles!$AG$3:$AG$188,Donnees_annuelles!$A$3:$A$188,AR47)*SUMIFS(Donnees_annuelles!$AA$3:$AA$188,Donnees_annuelles!$A$3:$A$188,AR47)</f>
        <v/>
      </c>
      <c r="AT47" s="36">
        <f>AS47/V47</f>
        <v/>
      </c>
      <c r="AU47" s="14">
        <f>AL47</f>
        <v/>
      </c>
      <c r="AV47" s="39">
        <f>AS47-AL47</f>
        <v/>
      </c>
      <c r="AW47" s="9">
        <f>AS47/AL47-1</f>
        <v/>
      </c>
      <c r="AX47" s="14">
        <f>AS47/AJ47/12</f>
        <v/>
      </c>
      <c r="AY47" s="14">
        <f>AF47</f>
        <v/>
      </c>
      <c r="AZ47" s="39">
        <f>AX47-AF47</f>
        <v/>
      </c>
      <c r="BA47" s="14">
        <f>SUMIFS(Donnees_regimes!$S$3:$S$1118,Donnees_regimes!$A$3:$A$1118,C47,Donnees_regimes!$B$3:$B$1118,"&gt;="&amp;G47,Donnees_regimes!$B$3:$B$1118,"&lt;="&amp;N47)*L47/ROUNDUP(L47,0)*SUMIFS(Donnees_annuelles!$AH$3:$AH$188,Donnees_annuelles!$A$3:$A$188,AR47)*SUMIFS(Donnees_annuelles!$AA$3:$AA$188,Donnees_annuelles!$A$3:$A$188,AR47)</f>
        <v/>
      </c>
      <c r="BB47" s="39">
        <f>BA47-AL47</f>
        <v/>
      </c>
      <c r="BC47" s="7">
        <f>IF(M47+AJ47&gt;2026,IF(G47&gt;2026,"entièrement projeté","en partie projeté"),"observé")</f>
        <v/>
      </c>
    </row>
    <row r="48">
      <c r="A48" s="7" t="inlineStr">
        <is>
          <t>Génération X</t>
        </is>
      </c>
      <c r="B48" s="84" t="inlineStr">
        <is>
          <t>Privé</t>
        </is>
      </c>
      <c r="C48" s="7">
        <f>IF(G48&gt;=SUMIFS(Regimes!$C$5:$C$10,Regimes!$A$5:$A$10,B48),"Privé",B48)</f>
        <v/>
      </c>
      <c r="D48" s="7">
        <f>INDEX(Regimes!$D$5:$D$10,MATCH(C48,Regimes!$A$5:$A$10,0))</f>
        <v/>
      </c>
      <c r="E48" s="88" t="n">
        <v>1973</v>
      </c>
      <c r="F48" s="8">
        <f>Donnees_generations!C61</f>
        <v/>
      </c>
      <c r="G48" s="77">
        <f>Donnees_generations!D61</f>
        <v/>
      </c>
      <c r="H48" s="8">
        <f>SUMIFS(Donnees_generations!$S$3:$S$113,Donnees_generations!$A$3:$A$113,MAX(1915,MIN(2025,E48)))</f>
        <v/>
      </c>
      <c r="I48" s="8">
        <f>SUMIFS(Donnees_generations!$T$3:$T$113,Donnees_generations!$A$3:$A$113,MAX(1915,MIN(2025,E48)))</f>
        <v/>
      </c>
      <c r="J48" s="8">
        <f>IF(G48&gt;=2000,MAX(I48,Parametres!$B$3),I48)</f>
        <v/>
      </c>
      <c r="K48" s="8">
        <f>IF(C48="Privé",J48,SUMIFS(Regles_regimes!$J$3:$J$2000,Regles_regimes!$A$3:$A$2000,C48,Regles_regimes!$B$3:$B$2000,D48,Regles_regimes!$C$3:$C$2000,MAX(1915,MIN(2025,E48))))</f>
        <v/>
      </c>
      <c r="L48" s="8">
        <f>IF(C48="Privé",H48,(K48-F48)*H48/(J48-F48))</f>
        <v/>
      </c>
      <c r="M48" s="77">
        <f>INT(E48+K48)</f>
        <v/>
      </c>
      <c r="N48" s="77">
        <f>G48+ROUNDUP(L48,0)-1</f>
        <v/>
      </c>
      <c r="O48" s="89">
        <f>SUMIFS(Regles_regimes!$K$3:$K$2000,Regles_regimes!$A$3:$A$2000,C48,Regles_regimes!$B$3:$B$2000,D48,Regles_regimes!$C$3:$C$2000,MAX(1915,MIN(2025,E48)))</f>
        <v/>
      </c>
      <c r="P48" s="13">
        <f>SUMIFS(Donnees_annuelles!$W$3:$W$188,Donnees_annuelles!$A$3:$A$188,"&gt;="&amp;G48,Donnees_annuelles!$A$3:$A$188,"&lt;="&amp;N48)*L48/ROUNDUP(L48,0)*O48</f>
        <v/>
      </c>
      <c r="Q48" s="13">
        <f>SUMIFS(Donnees_annuelles!$V$3:$V$188,Donnees_annuelles!$A$3:$A$188,"&gt;="&amp;G48,Donnees_annuelles!$A$3:$A$188,"&lt;="&amp;N48)*L48/ROUNDUP(L48,0)</f>
        <v/>
      </c>
      <c r="R48" s="13">
        <f>P48/L48</f>
        <v/>
      </c>
      <c r="S48" s="14">
        <f>SUMIFS(Donnees_annuelles!$D$3:$D$188,Donnees_annuelles!$A$3:$A$188,"&gt;="&amp;G48,Donnees_annuelles!$A$3:$A$188,"&lt;="&amp;N48)*L48/ROUNDUP(L48,0)</f>
        <v/>
      </c>
      <c r="T48" s="14">
        <f>SUMIFS(Donnees_regimes!$N$3:$N$1118,Donnees_regimes!$A$3:$A$1118,C48,Donnees_regimes!$B$3:$B$1118,"&gt;="&amp;G48,Donnees_regimes!$B$3:$B$1118,"&lt;="&amp;N48)*L48/ROUNDUP(L48,0)</f>
        <v/>
      </c>
      <c r="U48" s="14">
        <f>SUMIFS(Donnees_regimes!$O$3:$O$1118,Donnees_regimes!$A$3:$A$1118,C48,Donnees_regimes!$B$3:$B$1118,"&gt;="&amp;G48,Donnees_regimes!$B$3:$B$1118,"&lt;="&amp;N48)*L48/ROUNDUP(L48,0)</f>
        <v/>
      </c>
      <c r="V48" s="14">
        <f>T48+U48</f>
        <v/>
      </c>
      <c r="W48" s="33">
        <f>V48/S48</f>
        <v/>
      </c>
      <c r="X48" s="14">
        <f>S48+U48</f>
        <v/>
      </c>
      <c r="Y48" s="17">
        <f>V48/P48</f>
        <v/>
      </c>
      <c r="Z48" s="14">
        <f>SUMIFS(Donnees_regimes!$Q$3:$Q$1118,Donnees_regimes!$A$3:$A$1118,C48,Donnees_regimes!$B$3:$B$1118,"&gt;="&amp;G48,Donnees_regimes!$B$3:$B$1118,"&lt;="&amp;N48)*L48/ROUNDUP(L48,0)</f>
        <v/>
      </c>
      <c r="AA48" s="77">
        <f>SUMIFS(Regles_regimes!$F$3:$F$2000,Regles_regimes!$A$3:$A$2000,C48,Regles_regimes!$B$3:$B$2000,D48,Regles_regimes!$C$3:$C$2000,MAX(1915,MIN(2025,E48)))</f>
        <v/>
      </c>
      <c r="AB48" s="77">
        <f>IF(AND(SUMIFS(Regles_regimes!$L$3:$L$2000,Regles_regimes!$A$3:$A$2000,C48,Regles_regimes!$B$3:$B$2000,D48,Regles_regimes!$C$3:$C$2000,MAX(1915,MIN(2025,E48)))=1,G48&lt;2009,C48&lt;&gt;"Privé"),MIN(20,L48*4/5),0)</f>
        <v/>
      </c>
      <c r="AC48" s="89">
        <f>SUMIFS(Donnees_regimes!$M$3:$M$1118,Donnees_regimes!$A$3:$A$1118,C48,Donnees_regimes!$B$3:$B$1118,M48)</f>
        <v/>
      </c>
      <c r="AD48" s="14">
        <f>SUMIFS(Donnees_annuelles!$Y$3:$Y$188,Donnees_annuelles!$A$3:$A$188,M48)*SUMIFS(Donnees_generations!$I$3:$I$113,Donnees_generations!$A$3:$A$113,MAX(1915,MIN(2025,E48)))/H48</f>
        <v/>
      </c>
      <c r="AE48" s="14">
        <f>IF(C48="Privé",SUMIFS(Donnees_annuelles!$Y$3:$Y$188,Donnees_annuelles!$A$3:$A$188,M48)*MIN(L48,SUMIFS(Donnees_generations!$I$3:$I$113,Donnees_generations!$A$3:$A$113,MAX(1915,MIN(2025,E48))))/L48,AD48*AC48*MIN(IF(AB48&gt;0,0.8/0.75,1),(L48*4+AB48)/AA48))</f>
        <v/>
      </c>
      <c r="AF48" s="14">
        <f>AE48/12</f>
        <v/>
      </c>
      <c r="AG48" s="77">
        <f>MIN(68,MAX(56,2*INT(K48/2)))</f>
        <v/>
      </c>
      <c r="AH48" s="75">
        <f>(CHOOSE((AG48-56)/2+1,SUMIFS(Donnees_generations!$U$3:$U$113,Donnees_generations!$A$3:$A$113,MAX(1915,MIN(2025,E48))),SUMIFS(Donnees_generations!$V$3:$V$113,Donnees_generations!$A$3:$A$113,MAX(1915,MIN(2025,E48))),SUMIFS(Donnees_generations!$W$3:$W$113,Donnees_generations!$A$3:$A$113,MAX(1915,MIN(2025,E48))),SUMIFS(Donnees_generations!$X$3:$X$113,Donnees_generations!$A$3:$A$113,MAX(1915,MIN(2025,E48))),SUMIFS(Donnees_generations!$Y$3:$Y$113,Donnees_generations!$A$3:$A$113,MAX(1915,MIN(2025,E48))),SUMIFS(Donnees_generations!$Z$3:$Z$113,Donnees_generations!$A$3:$A$113,MAX(1915,MIN(2025,E48))),SUMIFS(Donnees_generations!$AA$3:$AA$113,Donnees_generations!$A$3:$A$113,MAX(1915,MIN(2025,E48))),SUMIFS(Donnees_generations!$AB$3:$AB$113,Donnees_generations!$A$3:$A$113,MAX(1915,MIN(2025,E48))))+CHOOSE((AG48-56)/2+1,SUMIFS(Donnees_generations!$AC$3:$AC$113,Donnees_generations!$A$3:$A$113,MAX(1915,MIN(2025,E48))),SUMIFS(Donnees_generations!$AD$3:$AD$113,Donnees_generations!$A$3:$A$113,MAX(1915,MIN(2025,E48))),SUMIFS(Donnees_generations!$AE$3:$AE$113,Donnees_generations!$A$3:$A$113,MAX(1915,MIN(2025,E48))),SUMIFS(Donnees_generations!$AF$3:$AF$113,Donnees_generations!$A$3:$A$113,MAX(1915,MIN(2025,E48))),SUMIFS(Donnees_generations!$AG$3:$AG$113,Donnees_generations!$A$3:$A$113,MAX(1915,MIN(2025,E48))),SUMIFS(Donnees_generations!$AH$3:$AH$113,Donnees_generations!$A$3:$A$113,MAX(1915,MIN(2025,E48))),SUMIFS(Donnees_generations!$AI$3:$AI$113,Donnees_generations!$A$3:$A$113,MAX(1915,MIN(2025,E48))),SUMIFS(Donnees_generations!$AJ$3:$AJ$113,Donnees_generations!$A$3:$A$113,MAX(1915,MIN(2025,E48)))))/2</f>
        <v/>
      </c>
      <c r="AI48" s="75">
        <f>(CHOOSE(((AG48+2)-56)/2+1,SUMIFS(Donnees_generations!$U$3:$U$113,Donnees_generations!$A$3:$A$113,MAX(1915,MIN(2025,E48))),SUMIFS(Donnees_generations!$V$3:$V$113,Donnees_generations!$A$3:$A$113,MAX(1915,MIN(2025,E48))),SUMIFS(Donnees_generations!$W$3:$W$113,Donnees_generations!$A$3:$A$113,MAX(1915,MIN(2025,E48))),SUMIFS(Donnees_generations!$X$3:$X$113,Donnees_generations!$A$3:$A$113,MAX(1915,MIN(2025,E48))),SUMIFS(Donnees_generations!$Y$3:$Y$113,Donnees_generations!$A$3:$A$113,MAX(1915,MIN(2025,E48))),SUMIFS(Donnees_generations!$Z$3:$Z$113,Donnees_generations!$A$3:$A$113,MAX(1915,MIN(2025,E48))),SUMIFS(Donnees_generations!$AA$3:$AA$113,Donnees_generations!$A$3:$A$113,MAX(1915,MIN(2025,E48))),SUMIFS(Donnees_generations!$AB$3:$AB$113,Donnees_generations!$A$3:$A$113,MAX(1915,MIN(2025,E48))))+CHOOSE(((AG48+2)-56)/2+1,SUMIFS(Donnees_generations!$AC$3:$AC$113,Donnees_generations!$A$3:$A$113,MAX(1915,MIN(2025,E48))),SUMIFS(Donnees_generations!$AD$3:$AD$113,Donnees_generations!$A$3:$A$113,MAX(1915,MIN(2025,E48))),SUMIFS(Donnees_generations!$AE$3:$AE$113,Donnees_generations!$A$3:$A$113,MAX(1915,MIN(2025,E48))),SUMIFS(Donnees_generations!$AF$3:$AF$113,Donnees_generations!$A$3:$A$113,MAX(1915,MIN(2025,E48))),SUMIFS(Donnees_generations!$AG$3:$AG$113,Donnees_generations!$A$3:$A$113,MAX(1915,MIN(2025,E48))),SUMIFS(Donnees_generations!$AH$3:$AH$113,Donnees_generations!$A$3:$A$113,MAX(1915,MIN(2025,E48))),SUMIFS(Donnees_generations!$AI$3:$AI$113,Donnees_generations!$A$3:$A$113,MAX(1915,MIN(2025,E48))),SUMIFS(Donnees_generations!$AJ$3:$AJ$113,Donnees_generations!$A$3:$A$113,MAX(1915,MIN(2025,E48)))))/2</f>
        <v/>
      </c>
      <c r="AJ48" s="8">
        <f>MAX(0,AH48+(AI48-AH48)*(K48-AG48)/2)</f>
        <v/>
      </c>
      <c r="AK48" s="8">
        <f>K48+AJ48</f>
        <v/>
      </c>
      <c r="AL48" s="14">
        <f>AE48*AJ48</f>
        <v/>
      </c>
      <c r="AM48" s="17">
        <f>V48/AL48</f>
        <v/>
      </c>
      <c r="AN48" s="17">
        <f>Z48/AL48</f>
        <v/>
      </c>
      <c r="AO48" s="33">
        <f>IF(V48+Z48=0,0,Z48/(V48+Z48))</f>
        <v/>
      </c>
      <c r="AP48" s="14">
        <f>AL48/V48*100</f>
        <v/>
      </c>
      <c r="AQ48" s="8">
        <f>P48/AL48*1000</f>
        <v/>
      </c>
      <c r="AR48" s="77">
        <f>MAX(N48,M48-1)</f>
        <v/>
      </c>
      <c r="AS48" s="14">
        <f>SUMIFS(Donnees_regimes!$R$3:$R$1118,Donnees_regimes!$A$3:$A$1118,C48,Donnees_regimes!$B$3:$B$1118,"&gt;="&amp;G48,Donnees_regimes!$B$3:$B$1118,"&lt;="&amp;N48)*L48/ROUNDUP(L48,0)*SUMIFS(Donnees_annuelles!$AG$3:$AG$188,Donnees_annuelles!$A$3:$A$188,AR48)*SUMIFS(Donnees_annuelles!$AA$3:$AA$188,Donnees_annuelles!$A$3:$A$188,AR48)</f>
        <v/>
      </c>
      <c r="AT48" s="36">
        <f>AS48/V48</f>
        <v/>
      </c>
      <c r="AU48" s="14">
        <f>AL48</f>
        <v/>
      </c>
      <c r="AV48" s="39">
        <f>AS48-AL48</f>
        <v/>
      </c>
      <c r="AW48" s="9">
        <f>AS48/AL48-1</f>
        <v/>
      </c>
      <c r="AX48" s="14">
        <f>AS48/AJ48/12</f>
        <v/>
      </c>
      <c r="AY48" s="14">
        <f>AF48</f>
        <v/>
      </c>
      <c r="AZ48" s="39">
        <f>AX48-AF48</f>
        <v/>
      </c>
      <c r="BA48" s="14">
        <f>SUMIFS(Donnees_regimes!$S$3:$S$1118,Donnees_regimes!$A$3:$A$1118,C48,Donnees_regimes!$B$3:$B$1118,"&gt;="&amp;G48,Donnees_regimes!$B$3:$B$1118,"&lt;="&amp;N48)*L48/ROUNDUP(L48,0)*SUMIFS(Donnees_annuelles!$AH$3:$AH$188,Donnees_annuelles!$A$3:$A$188,AR48)*SUMIFS(Donnees_annuelles!$AA$3:$AA$188,Donnees_annuelles!$A$3:$A$188,AR48)</f>
        <v/>
      </c>
      <c r="BB48" s="39">
        <f>BA48-AL48</f>
        <v/>
      </c>
      <c r="BC48" s="7">
        <f>IF(M48+AJ48&gt;2026,IF(G48&gt;2026,"entièrement projeté","en partie projeté"),"observé")</f>
        <v/>
      </c>
    </row>
    <row r="49">
      <c r="A49" s="7" t="inlineStr">
        <is>
          <t>Génération X</t>
        </is>
      </c>
      <c r="B49" s="84" t="inlineStr">
        <is>
          <t>Privé</t>
        </is>
      </c>
      <c r="C49" s="7">
        <f>IF(G49&gt;=SUMIFS(Regimes!$C$5:$C$10,Regimes!$A$5:$A$10,B49),"Privé",B49)</f>
        <v/>
      </c>
      <c r="D49" s="7">
        <f>INDEX(Regimes!$D$5:$D$10,MATCH(C49,Regimes!$A$5:$A$10,0))</f>
        <v/>
      </c>
      <c r="E49" s="88" t="n">
        <v>1974</v>
      </c>
      <c r="F49" s="8">
        <f>Donnees_generations!C62</f>
        <v/>
      </c>
      <c r="G49" s="77">
        <f>Donnees_generations!D62</f>
        <v/>
      </c>
      <c r="H49" s="8">
        <f>SUMIFS(Donnees_generations!$S$3:$S$113,Donnees_generations!$A$3:$A$113,MAX(1915,MIN(2025,E49)))</f>
        <v/>
      </c>
      <c r="I49" s="8">
        <f>SUMIFS(Donnees_generations!$T$3:$T$113,Donnees_generations!$A$3:$A$113,MAX(1915,MIN(2025,E49)))</f>
        <v/>
      </c>
      <c r="J49" s="8">
        <f>IF(G49&gt;=2000,MAX(I49,Parametres!$B$3),I49)</f>
        <v/>
      </c>
      <c r="K49" s="8">
        <f>IF(C49="Privé",J49,SUMIFS(Regles_regimes!$J$3:$J$2000,Regles_regimes!$A$3:$A$2000,C49,Regles_regimes!$B$3:$B$2000,D49,Regles_regimes!$C$3:$C$2000,MAX(1915,MIN(2025,E49))))</f>
        <v/>
      </c>
      <c r="L49" s="8">
        <f>IF(C49="Privé",H49,(K49-F49)*H49/(J49-F49))</f>
        <v/>
      </c>
      <c r="M49" s="77">
        <f>INT(E49+K49)</f>
        <v/>
      </c>
      <c r="N49" s="77">
        <f>G49+ROUNDUP(L49,0)-1</f>
        <v/>
      </c>
      <c r="O49" s="89">
        <f>SUMIFS(Regles_regimes!$K$3:$K$2000,Regles_regimes!$A$3:$A$2000,C49,Regles_regimes!$B$3:$B$2000,D49,Regles_regimes!$C$3:$C$2000,MAX(1915,MIN(2025,E49)))</f>
        <v/>
      </c>
      <c r="P49" s="13">
        <f>SUMIFS(Donnees_annuelles!$W$3:$W$188,Donnees_annuelles!$A$3:$A$188,"&gt;="&amp;G49,Donnees_annuelles!$A$3:$A$188,"&lt;="&amp;N49)*L49/ROUNDUP(L49,0)*O49</f>
        <v/>
      </c>
      <c r="Q49" s="13">
        <f>SUMIFS(Donnees_annuelles!$V$3:$V$188,Donnees_annuelles!$A$3:$A$188,"&gt;="&amp;G49,Donnees_annuelles!$A$3:$A$188,"&lt;="&amp;N49)*L49/ROUNDUP(L49,0)</f>
        <v/>
      </c>
      <c r="R49" s="13">
        <f>P49/L49</f>
        <v/>
      </c>
      <c r="S49" s="14">
        <f>SUMIFS(Donnees_annuelles!$D$3:$D$188,Donnees_annuelles!$A$3:$A$188,"&gt;="&amp;G49,Donnees_annuelles!$A$3:$A$188,"&lt;="&amp;N49)*L49/ROUNDUP(L49,0)</f>
        <v/>
      </c>
      <c r="T49" s="14">
        <f>SUMIFS(Donnees_regimes!$N$3:$N$1118,Donnees_regimes!$A$3:$A$1118,C49,Donnees_regimes!$B$3:$B$1118,"&gt;="&amp;G49,Donnees_regimes!$B$3:$B$1118,"&lt;="&amp;N49)*L49/ROUNDUP(L49,0)</f>
        <v/>
      </c>
      <c r="U49" s="14">
        <f>SUMIFS(Donnees_regimes!$O$3:$O$1118,Donnees_regimes!$A$3:$A$1118,C49,Donnees_regimes!$B$3:$B$1118,"&gt;="&amp;G49,Donnees_regimes!$B$3:$B$1118,"&lt;="&amp;N49)*L49/ROUNDUP(L49,0)</f>
        <v/>
      </c>
      <c r="V49" s="14">
        <f>T49+U49</f>
        <v/>
      </c>
      <c r="W49" s="33">
        <f>V49/S49</f>
        <v/>
      </c>
      <c r="X49" s="14">
        <f>S49+U49</f>
        <v/>
      </c>
      <c r="Y49" s="17">
        <f>V49/P49</f>
        <v/>
      </c>
      <c r="Z49" s="14">
        <f>SUMIFS(Donnees_regimes!$Q$3:$Q$1118,Donnees_regimes!$A$3:$A$1118,C49,Donnees_regimes!$B$3:$B$1118,"&gt;="&amp;G49,Donnees_regimes!$B$3:$B$1118,"&lt;="&amp;N49)*L49/ROUNDUP(L49,0)</f>
        <v/>
      </c>
      <c r="AA49" s="77">
        <f>SUMIFS(Regles_regimes!$F$3:$F$2000,Regles_regimes!$A$3:$A$2000,C49,Regles_regimes!$B$3:$B$2000,D49,Regles_regimes!$C$3:$C$2000,MAX(1915,MIN(2025,E49)))</f>
        <v/>
      </c>
      <c r="AB49" s="77">
        <f>IF(AND(SUMIFS(Regles_regimes!$L$3:$L$2000,Regles_regimes!$A$3:$A$2000,C49,Regles_regimes!$B$3:$B$2000,D49,Regles_regimes!$C$3:$C$2000,MAX(1915,MIN(2025,E49)))=1,G49&lt;2009,C49&lt;&gt;"Privé"),MIN(20,L49*4/5),0)</f>
        <v/>
      </c>
      <c r="AC49" s="89">
        <f>SUMIFS(Donnees_regimes!$M$3:$M$1118,Donnees_regimes!$A$3:$A$1118,C49,Donnees_regimes!$B$3:$B$1118,M49)</f>
        <v/>
      </c>
      <c r="AD49" s="14">
        <f>SUMIFS(Donnees_annuelles!$Y$3:$Y$188,Donnees_annuelles!$A$3:$A$188,M49)*SUMIFS(Donnees_generations!$I$3:$I$113,Donnees_generations!$A$3:$A$113,MAX(1915,MIN(2025,E49)))/H49</f>
        <v/>
      </c>
      <c r="AE49" s="14">
        <f>IF(C49="Privé",SUMIFS(Donnees_annuelles!$Y$3:$Y$188,Donnees_annuelles!$A$3:$A$188,M49)*MIN(L49,SUMIFS(Donnees_generations!$I$3:$I$113,Donnees_generations!$A$3:$A$113,MAX(1915,MIN(2025,E49))))/L49,AD49*AC49*MIN(IF(AB49&gt;0,0.8/0.75,1),(L49*4+AB49)/AA49))</f>
        <v/>
      </c>
      <c r="AF49" s="14">
        <f>AE49/12</f>
        <v/>
      </c>
      <c r="AG49" s="77">
        <f>MIN(68,MAX(56,2*INT(K49/2)))</f>
        <v/>
      </c>
      <c r="AH49" s="75">
        <f>(CHOOSE((AG49-56)/2+1,SUMIFS(Donnees_generations!$U$3:$U$113,Donnees_generations!$A$3:$A$113,MAX(1915,MIN(2025,E49))),SUMIFS(Donnees_generations!$V$3:$V$113,Donnees_generations!$A$3:$A$113,MAX(1915,MIN(2025,E49))),SUMIFS(Donnees_generations!$W$3:$W$113,Donnees_generations!$A$3:$A$113,MAX(1915,MIN(2025,E49))),SUMIFS(Donnees_generations!$X$3:$X$113,Donnees_generations!$A$3:$A$113,MAX(1915,MIN(2025,E49))),SUMIFS(Donnees_generations!$Y$3:$Y$113,Donnees_generations!$A$3:$A$113,MAX(1915,MIN(2025,E49))),SUMIFS(Donnees_generations!$Z$3:$Z$113,Donnees_generations!$A$3:$A$113,MAX(1915,MIN(2025,E49))),SUMIFS(Donnees_generations!$AA$3:$AA$113,Donnees_generations!$A$3:$A$113,MAX(1915,MIN(2025,E49))),SUMIFS(Donnees_generations!$AB$3:$AB$113,Donnees_generations!$A$3:$A$113,MAX(1915,MIN(2025,E49))))+CHOOSE((AG49-56)/2+1,SUMIFS(Donnees_generations!$AC$3:$AC$113,Donnees_generations!$A$3:$A$113,MAX(1915,MIN(2025,E49))),SUMIFS(Donnees_generations!$AD$3:$AD$113,Donnees_generations!$A$3:$A$113,MAX(1915,MIN(2025,E49))),SUMIFS(Donnees_generations!$AE$3:$AE$113,Donnees_generations!$A$3:$A$113,MAX(1915,MIN(2025,E49))),SUMIFS(Donnees_generations!$AF$3:$AF$113,Donnees_generations!$A$3:$A$113,MAX(1915,MIN(2025,E49))),SUMIFS(Donnees_generations!$AG$3:$AG$113,Donnees_generations!$A$3:$A$113,MAX(1915,MIN(2025,E49))),SUMIFS(Donnees_generations!$AH$3:$AH$113,Donnees_generations!$A$3:$A$113,MAX(1915,MIN(2025,E49))),SUMIFS(Donnees_generations!$AI$3:$AI$113,Donnees_generations!$A$3:$A$113,MAX(1915,MIN(2025,E49))),SUMIFS(Donnees_generations!$AJ$3:$AJ$113,Donnees_generations!$A$3:$A$113,MAX(1915,MIN(2025,E49)))))/2</f>
        <v/>
      </c>
      <c r="AI49" s="75">
        <f>(CHOOSE(((AG49+2)-56)/2+1,SUMIFS(Donnees_generations!$U$3:$U$113,Donnees_generations!$A$3:$A$113,MAX(1915,MIN(2025,E49))),SUMIFS(Donnees_generations!$V$3:$V$113,Donnees_generations!$A$3:$A$113,MAX(1915,MIN(2025,E49))),SUMIFS(Donnees_generations!$W$3:$W$113,Donnees_generations!$A$3:$A$113,MAX(1915,MIN(2025,E49))),SUMIFS(Donnees_generations!$X$3:$X$113,Donnees_generations!$A$3:$A$113,MAX(1915,MIN(2025,E49))),SUMIFS(Donnees_generations!$Y$3:$Y$113,Donnees_generations!$A$3:$A$113,MAX(1915,MIN(2025,E49))),SUMIFS(Donnees_generations!$Z$3:$Z$113,Donnees_generations!$A$3:$A$113,MAX(1915,MIN(2025,E49))),SUMIFS(Donnees_generations!$AA$3:$AA$113,Donnees_generations!$A$3:$A$113,MAX(1915,MIN(2025,E49))),SUMIFS(Donnees_generations!$AB$3:$AB$113,Donnees_generations!$A$3:$A$113,MAX(1915,MIN(2025,E49))))+CHOOSE(((AG49+2)-56)/2+1,SUMIFS(Donnees_generations!$AC$3:$AC$113,Donnees_generations!$A$3:$A$113,MAX(1915,MIN(2025,E49))),SUMIFS(Donnees_generations!$AD$3:$AD$113,Donnees_generations!$A$3:$A$113,MAX(1915,MIN(2025,E49))),SUMIFS(Donnees_generations!$AE$3:$AE$113,Donnees_generations!$A$3:$A$113,MAX(1915,MIN(2025,E49))),SUMIFS(Donnees_generations!$AF$3:$AF$113,Donnees_generations!$A$3:$A$113,MAX(1915,MIN(2025,E49))),SUMIFS(Donnees_generations!$AG$3:$AG$113,Donnees_generations!$A$3:$A$113,MAX(1915,MIN(2025,E49))),SUMIFS(Donnees_generations!$AH$3:$AH$113,Donnees_generations!$A$3:$A$113,MAX(1915,MIN(2025,E49))),SUMIFS(Donnees_generations!$AI$3:$AI$113,Donnees_generations!$A$3:$A$113,MAX(1915,MIN(2025,E49))),SUMIFS(Donnees_generations!$AJ$3:$AJ$113,Donnees_generations!$A$3:$A$113,MAX(1915,MIN(2025,E49)))))/2</f>
        <v/>
      </c>
      <c r="AJ49" s="8">
        <f>MAX(0,AH49+(AI49-AH49)*(K49-AG49)/2)</f>
        <v/>
      </c>
      <c r="AK49" s="8">
        <f>K49+AJ49</f>
        <v/>
      </c>
      <c r="AL49" s="14">
        <f>AE49*AJ49</f>
        <v/>
      </c>
      <c r="AM49" s="17">
        <f>V49/AL49</f>
        <v/>
      </c>
      <c r="AN49" s="17">
        <f>Z49/AL49</f>
        <v/>
      </c>
      <c r="AO49" s="33">
        <f>IF(V49+Z49=0,0,Z49/(V49+Z49))</f>
        <v/>
      </c>
      <c r="AP49" s="14">
        <f>AL49/V49*100</f>
        <v/>
      </c>
      <c r="AQ49" s="8">
        <f>P49/AL49*1000</f>
        <v/>
      </c>
      <c r="AR49" s="77">
        <f>MAX(N49,M49-1)</f>
        <v/>
      </c>
      <c r="AS49" s="14">
        <f>SUMIFS(Donnees_regimes!$R$3:$R$1118,Donnees_regimes!$A$3:$A$1118,C49,Donnees_regimes!$B$3:$B$1118,"&gt;="&amp;G49,Donnees_regimes!$B$3:$B$1118,"&lt;="&amp;N49)*L49/ROUNDUP(L49,0)*SUMIFS(Donnees_annuelles!$AG$3:$AG$188,Donnees_annuelles!$A$3:$A$188,AR49)*SUMIFS(Donnees_annuelles!$AA$3:$AA$188,Donnees_annuelles!$A$3:$A$188,AR49)</f>
        <v/>
      </c>
      <c r="AT49" s="36">
        <f>AS49/V49</f>
        <v/>
      </c>
      <c r="AU49" s="14">
        <f>AL49</f>
        <v/>
      </c>
      <c r="AV49" s="39">
        <f>AS49-AL49</f>
        <v/>
      </c>
      <c r="AW49" s="9">
        <f>AS49/AL49-1</f>
        <v/>
      </c>
      <c r="AX49" s="14">
        <f>AS49/AJ49/12</f>
        <v/>
      </c>
      <c r="AY49" s="14">
        <f>AF49</f>
        <v/>
      </c>
      <c r="AZ49" s="39">
        <f>AX49-AF49</f>
        <v/>
      </c>
      <c r="BA49" s="14">
        <f>SUMIFS(Donnees_regimes!$S$3:$S$1118,Donnees_regimes!$A$3:$A$1118,C49,Donnees_regimes!$B$3:$B$1118,"&gt;="&amp;G49,Donnees_regimes!$B$3:$B$1118,"&lt;="&amp;N49)*L49/ROUNDUP(L49,0)*SUMIFS(Donnees_annuelles!$AH$3:$AH$188,Donnees_annuelles!$A$3:$A$188,AR49)*SUMIFS(Donnees_annuelles!$AA$3:$AA$188,Donnees_annuelles!$A$3:$A$188,AR49)</f>
        <v/>
      </c>
      <c r="BB49" s="39">
        <f>BA49-AL49</f>
        <v/>
      </c>
      <c r="BC49" s="7">
        <f>IF(M49+AJ49&gt;2026,IF(G49&gt;2026,"entièrement projeté","en partie projeté"),"observé")</f>
        <v/>
      </c>
    </row>
    <row r="50">
      <c r="A50" s="7" t="inlineStr">
        <is>
          <t>Génération X</t>
        </is>
      </c>
      <c r="B50" s="84" t="inlineStr">
        <is>
          <t>Privé</t>
        </is>
      </c>
      <c r="C50" s="7">
        <f>IF(G50&gt;=SUMIFS(Regimes!$C$5:$C$10,Regimes!$A$5:$A$10,B50),"Privé",B50)</f>
        <v/>
      </c>
      <c r="D50" s="7">
        <f>INDEX(Regimes!$D$5:$D$10,MATCH(C50,Regimes!$A$5:$A$10,0))</f>
        <v/>
      </c>
      <c r="E50" s="88" t="n">
        <v>1975</v>
      </c>
      <c r="F50" s="8">
        <f>Donnees_generations!C63</f>
        <v/>
      </c>
      <c r="G50" s="77">
        <f>Donnees_generations!D63</f>
        <v/>
      </c>
      <c r="H50" s="8">
        <f>SUMIFS(Donnees_generations!$S$3:$S$113,Donnees_generations!$A$3:$A$113,MAX(1915,MIN(2025,E50)))</f>
        <v/>
      </c>
      <c r="I50" s="8">
        <f>SUMIFS(Donnees_generations!$T$3:$T$113,Donnees_generations!$A$3:$A$113,MAX(1915,MIN(2025,E50)))</f>
        <v/>
      </c>
      <c r="J50" s="8">
        <f>IF(G50&gt;=2000,MAX(I50,Parametres!$B$3),I50)</f>
        <v/>
      </c>
      <c r="K50" s="8">
        <f>IF(C50="Privé",J50,SUMIFS(Regles_regimes!$J$3:$J$2000,Regles_regimes!$A$3:$A$2000,C50,Regles_regimes!$B$3:$B$2000,D50,Regles_regimes!$C$3:$C$2000,MAX(1915,MIN(2025,E50))))</f>
        <v/>
      </c>
      <c r="L50" s="8">
        <f>IF(C50="Privé",H50,(K50-F50)*H50/(J50-F50))</f>
        <v/>
      </c>
      <c r="M50" s="77">
        <f>INT(E50+K50)</f>
        <v/>
      </c>
      <c r="N50" s="77">
        <f>G50+ROUNDUP(L50,0)-1</f>
        <v/>
      </c>
      <c r="O50" s="89">
        <f>SUMIFS(Regles_regimes!$K$3:$K$2000,Regles_regimes!$A$3:$A$2000,C50,Regles_regimes!$B$3:$B$2000,D50,Regles_regimes!$C$3:$C$2000,MAX(1915,MIN(2025,E50)))</f>
        <v/>
      </c>
      <c r="P50" s="13">
        <f>SUMIFS(Donnees_annuelles!$W$3:$W$188,Donnees_annuelles!$A$3:$A$188,"&gt;="&amp;G50,Donnees_annuelles!$A$3:$A$188,"&lt;="&amp;N50)*L50/ROUNDUP(L50,0)*O50</f>
        <v/>
      </c>
      <c r="Q50" s="13">
        <f>SUMIFS(Donnees_annuelles!$V$3:$V$188,Donnees_annuelles!$A$3:$A$188,"&gt;="&amp;G50,Donnees_annuelles!$A$3:$A$188,"&lt;="&amp;N50)*L50/ROUNDUP(L50,0)</f>
        <v/>
      </c>
      <c r="R50" s="13">
        <f>P50/L50</f>
        <v/>
      </c>
      <c r="S50" s="14">
        <f>SUMIFS(Donnees_annuelles!$D$3:$D$188,Donnees_annuelles!$A$3:$A$188,"&gt;="&amp;G50,Donnees_annuelles!$A$3:$A$188,"&lt;="&amp;N50)*L50/ROUNDUP(L50,0)</f>
        <v/>
      </c>
      <c r="T50" s="14">
        <f>SUMIFS(Donnees_regimes!$N$3:$N$1118,Donnees_regimes!$A$3:$A$1118,C50,Donnees_regimes!$B$3:$B$1118,"&gt;="&amp;G50,Donnees_regimes!$B$3:$B$1118,"&lt;="&amp;N50)*L50/ROUNDUP(L50,0)</f>
        <v/>
      </c>
      <c r="U50" s="14">
        <f>SUMIFS(Donnees_regimes!$O$3:$O$1118,Donnees_regimes!$A$3:$A$1118,C50,Donnees_regimes!$B$3:$B$1118,"&gt;="&amp;G50,Donnees_regimes!$B$3:$B$1118,"&lt;="&amp;N50)*L50/ROUNDUP(L50,0)</f>
        <v/>
      </c>
      <c r="V50" s="14">
        <f>T50+U50</f>
        <v/>
      </c>
      <c r="W50" s="33">
        <f>V50/S50</f>
        <v/>
      </c>
      <c r="X50" s="14">
        <f>S50+U50</f>
        <v/>
      </c>
      <c r="Y50" s="17">
        <f>V50/P50</f>
        <v/>
      </c>
      <c r="Z50" s="14">
        <f>SUMIFS(Donnees_regimes!$Q$3:$Q$1118,Donnees_regimes!$A$3:$A$1118,C50,Donnees_regimes!$B$3:$B$1118,"&gt;="&amp;G50,Donnees_regimes!$B$3:$B$1118,"&lt;="&amp;N50)*L50/ROUNDUP(L50,0)</f>
        <v/>
      </c>
      <c r="AA50" s="77">
        <f>SUMIFS(Regles_regimes!$F$3:$F$2000,Regles_regimes!$A$3:$A$2000,C50,Regles_regimes!$B$3:$B$2000,D50,Regles_regimes!$C$3:$C$2000,MAX(1915,MIN(2025,E50)))</f>
        <v/>
      </c>
      <c r="AB50" s="77">
        <f>IF(AND(SUMIFS(Regles_regimes!$L$3:$L$2000,Regles_regimes!$A$3:$A$2000,C50,Regles_regimes!$B$3:$B$2000,D50,Regles_regimes!$C$3:$C$2000,MAX(1915,MIN(2025,E50)))=1,G50&lt;2009,C50&lt;&gt;"Privé"),MIN(20,L50*4/5),0)</f>
        <v/>
      </c>
      <c r="AC50" s="89">
        <f>SUMIFS(Donnees_regimes!$M$3:$M$1118,Donnees_regimes!$A$3:$A$1118,C50,Donnees_regimes!$B$3:$B$1118,M50)</f>
        <v/>
      </c>
      <c r="AD50" s="14">
        <f>SUMIFS(Donnees_annuelles!$Y$3:$Y$188,Donnees_annuelles!$A$3:$A$188,M50)*SUMIFS(Donnees_generations!$I$3:$I$113,Donnees_generations!$A$3:$A$113,MAX(1915,MIN(2025,E50)))/H50</f>
        <v/>
      </c>
      <c r="AE50" s="14">
        <f>IF(C50="Privé",SUMIFS(Donnees_annuelles!$Y$3:$Y$188,Donnees_annuelles!$A$3:$A$188,M50)*MIN(L50,SUMIFS(Donnees_generations!$I$3:$I$113,Donnees_generations!$A$3:$A$113,MAX(1915,MIN(2025,E50))))/L50,AD50*AC50*MIN(IF(AB50&gt;0,0.8/0.75,1),(L50*4+AB50)/AA50))</f>
        <v/>
      </c>
      <c r="AF50" s="14">
        <f>AE50/12</f>
        <v/>
      </c>
      <c r="AG50" s="77">
        <f>MIN(68,MAX(56,2*INT(K50/2)))</f>
        <v/>
      </c>
      <c r="AH50" s="75">
        <f>(CHOOSE((AG50-56)/2+1,SUMIFS(Donnees_generations!$U$3:$U$113,Donnees_generations!$A$3:$A$113,MAX(1915,MIN(2025,E50))),SUMIFS(Donnees_generations!$V$3:$V$113,Donnees_generations!$A$3:$A$113,MAX(1915,MIN(2025,E50))),SUMIFS(Donnees_generations!$W$3:$W$113,Donnees_generations!$A$3:$A$113,MAX(1915,MIN(2025,E50))),SUMIFS(Donnees_generations!$X$3:$X$113,Donnees_generations!$A$3:$A$113,MAX(1915,MIN(2025,E50))),SUMIFS(Donnees_generations!$Y$3:$Y$113,Donnees_generations!$A$3:$A$113,MAX(1915,MIN(2025,E50))),SUMIFS(Donnees_generations!$Z$3:$Z$113,Donnees_generations!$A$3:$A$113,MAX(1915,MIN(2025,E50))),SUMIFS(Donnees_generations!$AA$3:$AA$113,Donnees_generations!$A$3:$A$113,MAX(1915,MIN(2025,E50))),SUMIFS(Donnees_generations!$AB$3:$AB$113,Donnees_generations!$A$3:$A$113,MAX(1915,MIN(2025,E50))))+CHOOSE((AG50-56)/2+1,SUMIFS(Donnees_generations!$AC$3:$AC$113,Donnees_generations!$A$3:$A$113,MAX(1915,MIN(2025,E50))),SUMIFS(Donnees_generations!$AD$3:$AD$113,Donnees_generations!$A$3:$A$113,MAX(1915,MIN(2025,E50))),SUMIFS(Donnees_generations!$AE$3:$AE$113,Donnees_generations!$A$3:$A$113,MAX(1915,MIN(2025,E50))),SUMIFS(Donnees_generations!$AF$3:$AF$113,Donnees_generations!$A$3:$A$113,MAX(1915,MIN(2025,E50))),SUMIFS(Donnees_generations!$AG$3:$AG$113,Donnees_generations!$A$3:$A$113,MAX(1915,MIN(2025,E50))),SUMIFS(Donnees_generations!$AH$3:$AH$113,Donnees_generations!$A$3:$A$113,MAX(1915,MIN(2025,E50))),SUMIFS(Donnees_generations!$AI$3:$AI$113,Donnees_generations!$A$3:$A$113,MAX(1915,MIN(2025,E50))),SUMIFS(Donnees_generations!$AJ$3:$AJ$113,Donnees_generations!$A$3:$A$113,MAX(1915,MIN(2025,E50)))))/2</f>
        <v/>
      </c>
      <c r="AI50" s="75">
        <f>(CHOOSE(((AG50+2)-56)/2+1,SUMIFS(Donnees_generations!$U$3:$U$113,Donnees_generations!$A$3:$A$113,MAX(1915,MIN(2025,E50))),SUMIFS(Donnees_generations!$V$3:$V$113,Donnees_generations!$A$3:$A$113,MAX(1915,MIN(2025,E50))),SUMIFS(Donnees_generations!$W$3:$W$113,Donnees_generations!$A$3:$A$113,MAX(1915,MIN(2025,E50))),SUMIFS(Donnees_generations!$X$3:$X$113,Donnees_generations!$A$3:$A$113,MAX(1915,MIN(2025,E50))),SUMIFS(Donnees_generations!$Y$3:$Y$113,Donnees_generations!$A$3:$A$113,MAX(1915,MIN(2025,E50))),SUMIFS(Donnees_generations!$Z$3:$Z$113,Donnees_generations!$A$3:$A$113,MAX(1915,MIN(2025,E50))),SUMIFS(Donnees_generations!$AA$3:$AA$113,Donnees_generations!$A$3:$A$113,MAX(1915,MIN(2025,E50))),SUMIFS(Donnees_generations!$AB$3:$AB$113,Donnees_generations!$A$3:$A$113,MAX(1915,MIN(2025,E50))))+CHOOSE(((AG50+2)-56)/2+1,SUMIFS(Donnees_generations!$AC$3:$AC$113,Donnees_generations!$A$3:$A$113,MAX(1915,MIN(2025,E50))),SUMIFS(Donnees_generations!$AD$3:$AD$113,Donnees_generations!$A$3:$A$113,MAX(1915,MIN(2025,E50))),SUMIFS(Donnees_generations!$AE$3:$AE$113,Donnees_generations!$A$3:$A$113,MAX(1915,MIN(2025,E50))),SUMIFS(Donnees_generations!$AF$3:$AF$113,Donnees_generations!$A$3:$A$113,MAX(1915,MIN(2025,E50))),SUMIFS(Donnees_generations!$AG$3:$AG$113,Donnees_generations!$A$3:$A$113,MAX(1915,MIN(2025,E50))),SUMIFS(Donnees_generations!$AH$3:$AH$113,Donnees_generations!$A$3:$A$113,MAX(1915,MIN(2025,E50))),SUMIFS(Donnees_generations!$AI$3:$AI$113,Donnees_generations!$A$3:$A$113,MAX(1915,MIN(2025,E50))),SUMIFS(Donnees_generations!$AJ$3:$AJ$113,Donnees_generations!$A$3:$A$113,MAX(1915,MIN(2025,E50)))))/2</f>
        <v/>
      </c>
      <c r="AJ50" s="8">
        <f>MAX(0,AH50+(AI50-AH50)*(K50-AG50)/2)</f>
        <v/>
      </c>
      <c r="AK50" s="8">
        <f>K50+AJ50</f>
        <v/>
      </c>
      <c r="AL50" s="14">
        <f>AE50*AJ50</f>
        <v/>
      </c>
      <c r="AM50" s="17">
        <f>V50/AL50</f>
        <v/>
      </c>
      <c r="AN50" s="17">
        <f>Z50/AL50</f>
        <v/>
      </c>
      <c r="AO50" s="33">
        <f>IF(V50+Z50=0,0,Z50/(V50+Z50))</f>
        <v/>
      </c>
      <c r="AP50" s="14">
        <f>AL50/V50*100</f>
        <v/>
      </c>
      <c r="AQ50" s="8">
        <f>P50/AL50*1000</f>
        <v/>
      </c>
      <c r="AR50" s="77">
        <f>MAX(N50,M50-1)</f>
        <v/>
      </c>
      <c r="AS50" s="14">
        <f>SUMIFS(Donnees_regimes!$R$3:$R$1118,Donnees_regimes!$A$3:$A$1118,C50,Donnees_regimes!$B$3:$B$1118,"&gt;="&amp;G50,Donnees_regimes!$B$3:$B$1118,"&lt;="&amp;N50)*L50/ROUNDUP(L50,0)*SUMIFS(Donnees_annuelles!$AG$3:$AG$188,Donnees_annuelles!$A$3:$A$188,AR50)*SUMIFS(Donnees_annuelles!$AA$3:$AA$188,Donnees_annuelles!$A$3:$A$188,AR50)</f>
        <v/>
      </c>
      <c r="AT50" s="36">
        <f>AS50/V50</f>
        <v/>
      </c>
      <c r="AU50" s="14">
        <f>AL50</f>
        <v/>
      </c>
      <c r="AV50" s="39">
        <f>AS50-AL50</f>
        <v/>
      </c>
      <c r="AW50" s="9">
        <f>AS50/AL50-1</f>
        <v/>
      </c>
      <c r="AX50" s="14">
        <f>AS50/AJ50/12</f>
        <v/>
      </c>
      <c r="AY50" s="14">
        <f>AF50</f>
        <v/>
      </c>
      <c r="AZ50" s="39">
        <f>AX50-AF50</f>
        <v/>
      </c>
      <c r="BA50" s="14">
        <f>SUMIFS(Donnees_regimes!$S$3:$S$1118,Donnees_regimes!$A$3:$A$1118,C50,Donnees_regimes!$B$3:$B$1118,"&gt;="&amp;G50,Donnees_regimes!$B$3:$B$1118,"&lt;="&amp;N50)*L50/ROUNDUP(L50,0)*SUMIFS(Donnees_annuelles!$AH$3:$AH$188,Donnees_annuelles!$A$3:$A$188,AR50)*SUMIFS(Donnees_annuelles!$AA$3:$AA$188,Donnees_annuelles!$A$3:$A$188,AR50)</f>
        <v/>
      </c>
      <c r="BB50" s="39">
        <f>BA50-AL50</f>
        <v/>
      </c>
      <c r="BC50" s="7">
        <f>IF(M50+AJ50&gt;2026,IF(G50&gt;2026,"entièrement projeté","en partie projeté"),"observé")</f>
        <v/>
      </c>
    </row>
    <row r="51">
      <c r="A51" s="7" t="inlineStr">
        <is>
          <t>Génération X</t>
        </is>
      </c>
      <c r="B51" s="84" t="inlineStr">
        <is>
          <t>Privé</t>
        </is>
      </c>
      <c r="C51" s="7">
        <f>IF(G51&gt;=SUMIFS(Regimes!$C$5:$C$10,Regimes!$A$5:$A$10,B51),"Privé",B51)</f>
        <v/>
      </c>
      <c r="D51" s="7">
        <f>INDEX(Regimes!$D$5:$D$10,MATCH(C51,Regimes!$A$5:$A$10,0))</f>
        <v/>
      </c>
      <c r="E51" s="88" t="n">
        <v>1976</v>
      </c>
      <c r="F51" s="8">
        <f>Donnees_generations!C64</f>
        <v/>
      </c>
      <c r="G51" s="77">
        <f>Donnees_generations!D64</f>
        <v/>
      </c>
      <c r="H51" s="8">
        <f>SUMIFS(Donnees_generations!$S$3:$S$113,Donnees_generations!$A$3:$A$113,MAX(1915,MIN(2025,E51)))</f>
        <v/>
      </c>
      <c r="I51" s="8">
        <f>SUMIFS(Donnees_generations!$T$3:$T$113,Donnees_generations!$A$3:$A$113,MAX(1915,MIN(2025,E51)))</f>
        <v/>
      </c>
      <c r="J51" s="8">
        <f>IF(G51&gt;=2000,MAX(I51,Parametres!$B$3),I51)</f>
        <v/>
      </c>
      <c r="K51" s="8">
        <f>IF(C51="Privé",J51,SUMIFS(Regles_regimes!$J$3:$J$2000,Regles_regimes!$A$3:$A$2000,C51,Regles_regimes!$B$3:$B$2000,D51,Regles_regimes!$C$3:$C$2000,MAX(1915,MIN(2025,E51))))</f>
        <v/>
      </c>
      <c r="L51" s="8">
        <f>IF(C51="Privé",H51,(K51-F51)*H51/(J51-F51))</f>
        <v/>
      </c>
      <c r="M51" s="77">
        <f>INT(E51+K51)</f>
        <v/>
      </c>
      <c r="N51" s="77">
        <f>G51+ROUNDUP(L51,0)-1</f>
        <v/>
      </c>
      <c r="O51" s="89">
        <f>SUMIFS(Regles_regimes!$K$3:$K$2000,Regles_regimes!$A$3:$A$2000,C51,Regles_regimes!$B$3:$B$2000,D51,Regles_regimes!$C$3:$C$2000,MAX(1915,MIN(2025,E51)))</f>
        <v/>
      </c>
      <c r="P51" s="13">
        <f>SUMIFS(Donnees_annuelles!$W$3:$W$188,Donnees_annuelles!$A$3:$A$188,"&gt;="&amp;G51,Donnees_annuelles!$A$3:$A$188,"&lt;="&amp;N51)*L51/ROUNDUP(L51,0)*O51</f>
        <v/>
      </c>
      <c r="Q51" s="13">
        <f>SUMIFS(Donnees_annuelles!$V$3:$V$188,Donnees_annuelles!$A$3:$A$188,"&gt;="&amp;G51,Donnees_annuelles!$A$3:$A$188,"&lt;="&amp;N51)*L51/ROUNDUP(L51,0)</f>
        <v/>
      </c>
      <c r="R51" s="13">
        <f>P51/L51</f>
        <v/>
      </c>
      <c r="S51" s="14">
        <f>SUMIFS(Donnees_annuelles!$D$3:$D$188,Donnees_annuelles!$A$3:$A$188,"&gt;="&amp;G51,Donnees_annuelles!$A$3:$A$188,"&lt;="&amp;N51)*L51/ROUNDUP(L51,0)</f>
        <v/>
      </c>
      <c r="T51" s="14">
        <f>SUMIFS(Donnees_regimes!$N$3:$N$1118,Donnees_regimes!$A$3:$A$1118,C51,Donnees_regimes!$B$3:$B$1118,"&gt;="&amp;G51,Donnees_regimes!$B$3:$B$1118,"&lt;="&amp;N51)*L51/ROUNDUP(L51,0)</f>
        <v/>
      </c>
      <c r="U51" s="14">
        <f>SUMIFS(Donnees_regimes!$O$3:$O$1118,Donnees_regimes!$A$3:$A$1118,C51,Donnees_regimes!$B$3:$B$1118,"&gt;="&amp;G51,Donnees_regimes!$B$3:$B$1118,"&lt;="&amp;N51)*L51/ROUNDUP(L51,0)</f>
        <v/>
      </c>
      <c r="V51" s="14">
        <f>T51+U51</f>
        <v/>
      </c>
      <c r="W51" s="33">
        <f>V51/S51</f>
        <v/>
      </c>
      <c r="X51" s="14">
        <f>S51+U51</f>
        <v/>
      </c>
      <c r="Y51" s="17">
        <f>V51/P51</f>
        <v/>
      </c>
      <c r="Z51" s="14">
        <f>SUMIFS(Donnees_regimes!$Q$3:$Q$1118,Donnees_regimes!$A$3:$A$1118,C51,Donnees_regimes!$B$3:$B$1118,"&gt;="&amp;G51,Donnees_regimes!$B$3:$B$1118,"&lt;="&amp;N51)*L51/ROUNDUP(L51,0)</f>
        <v/>
      </c>
      <c r="AA51" s="77">
        <f>SUMIFS(Regles_regimes!$F$3:$F$2000,Regles_regimes!$A$3:$A$2000,C51,Regles_regimes!$B$3:$B$2000,D51,Regles_regimes!$C$3:$C$2000,MAX(1915,MIN(2025,E51)))</f>
        <v/>
      </c>
      <c r="AB51" s="77">
        <f>IF(AND(SUMIFS(Regles_regimes!$L$3:$L$2000,Regles_regimes!$A$3:$A$2000,C51,Regles_regimes!$B$3:$B$2000,D51,Regles_regimes!$C$3:$C$2000,MAX(1915,MIN(2025,E51)))=1,G51&lt;2009,C51&lt;&gt;"Privé"),MIN(20,L51*4/5),0)</f>
        <v/>
      </c>
      <c r="AC51" s="89">
        <f>SUMIFS(Donnees_regimes!$M$3:$M$1118,Donnees_regimes!$A$3:$A$1118,C51,Donnees_regimes!$B$3:$B$1118,M51)</f>
        <v/>
      </c>
      <c r="AD51" s="14">
        <f>SUMIFS(Donnees_annuelles!$Y$3:$Y$188,Donnees_annuelles!$A$3:$A$188,M51)*SUMIFS(Donnees_generations!$I$3:$I$113,Donnees_generations!$A$3:$A$113,MAX(1915,MIN(2025,E51)))/H51</f>
        <v/>
      </c>
      <c r="AE51" s="14">
        <f>IF(C51="Privé",SUMIFS(Donnees_annuelles!$Y$3:$Y$188,Donnees_annuelles!$A$3:$A$188,M51)*MIN(L51,SUMIFS(Donnees_generations!$I$3:$I$113,Donnees_generations!$A$3:$A$113,MAX(1915,MIN(2025,E51))))/L51,AD51*AC51*MIN(IF(AB51&gt;0,0.8/0.75,1),(L51*4+AB51)/AA51))</f>
        <v/>
      </c>
      <c r="AF51" s="14">
        <f>AE51/12</f>
        <v/>
      </c>
      <c r="AG51" s="77">
        <f>MIN(68,MAX(56,2*INT(K51/2)))</f>
        <v/>
      </c>
      <c r="AH51" s="75">
        <f>(CHOOSE((AG51-56)/2+1,SUMIFS(Donnees_generations!$U$3:$U$113,Donnees_generations!$A$3:$A$113,MAX(1915,MIN(2025,E51))),SUMIFS(Donnees_generations!$V$3:$V$113,Donnees_generations!$A$3:$A$113,MAX(1915,MIN(2025,E51))),SUMIFS(Donnees_generations!$W$3:$W$113,Donnees_generations!$A$3:$A$113,MAX(1915,MIN(2025,E51))),SUMIFS(Donnees_generations!$X$3:$X$113,Donnees_generations!$A$3:$A$113,MAX(1915,MIN(2025,E51))),SUMIFS(Donnees_generations!$Y$3:$Y$113,Donnees_generations!$A$3:$A$113,MAX(1915,MIN(2025,E51))),SUMIFS(Donnees_generations!$Z$3:$Z$113,Donnees_generations!$A$3:$A$113,MAX(1915,MIN(2025,E51))),SUMIFS(Donnees_generations!$AA$3:$AA$113,Donnees_generations!$A$3:$A$113,MAX(1915,MIN(2025,E51))),SUMIFS(Donnees_generations!$AB$3:$AB$113,Donnees_generations!$A$3:$A$113,MAX(1915,MIN(2025,E51))))+CHOOSE((AG51-56)/2+1,SUMIFS(Donnees_generations!$AC$3:$AC$113,Donnees_generations!$A$3:$A$113,MAX(1915,MIN(2025,E51))),SUMIFS(Donnees_generations!$AD$3:$AD$113,Donnees_generations!$A$3:$A$113,MAX(1915,MIN(2025,E51))),SUMIFS(Donnees_generations!$AE$3:$AE$113,Donnees_generations!$A$3:$A$113,MAX(1915,MIN(2025,E51))),SUMIFS(Donnees_generations!$AF$3:$AF$113,Donnees_generations!$A$3:$A$113,MAX(1915,MIN(2025,E51))),SUMIFS(Donnees_generations!$AG$3:$AG$113,Donnees_generations!$A$3:$A$113,MAX(1915,MIN(2025,E51))),SUMIFS(Donnees_generations!$AH$3:$AH$113,Donnees_generations!$A$3:$A$113,MAX(1915,MIN(2025,E51))),SUMIFS(Donnees_generations!$AI$3:$AI$113,Donnees_generations!$A$3:$A$113,MAX(1915,MIN(2025,E51))),SUMIFS(Donnees_generations!$AJ$3:$AJ$113,Donnees_generations!$A$3:$A$113,MAX(1915,MIN(2025,E51)))))/2</f>
        <v/>
      </c>
      <c r="AI51" s="75">
        <f>(CHOOSE(((AG51+2)-56)/2+1,SUMIFS(Donnees_generations!$U$3:$U$113,Donnees_generations!$A$3:$A$113,MAX(1915,MIN(2025,E51))),SUMIFS(Donnees_generations!$V$3:$V$113,Donnees_generations!$A$3:$A$113,MAX(1915,MIN(2025,E51))),SUMIFS(Donnees_generations!$W$3:$W$113,Donnees_generations!$A$3:$A$113,MAX(1915,MIN(2025,E51))),SUMIFS(Donnees_generations!$X$3:$X$113,Donnees_generations!$A$3:$A$113,MAX(1915,MIN(2025,E51))),SUMIFS(Donnees_generations!$Y$3:$Y$113,Donnees_generations!$A$3:$A$113,MAX(1915,MIN(2025,E51))),SUMIFS(Donnees_generations!$Z$3:$Z$113,Donnees_generations!$A$3:$A$113,MAX(1915,MIN(2025,E51))),SUMIFS(Donnees_generations!$AA$3:$AA$113,Donnees_generations!$A$3:$A$113,MAX(1915,MIN(2025,E51))),SUMIFS(Donnees_generations!$AB$3:$AB$113,Donnees_generations!$A$3:$A$113,MAX(1915,MIN(2025,E51))))+CHOOSE(((AG51+2)-56)/2+1,SUMIFS(Donnees_generations!$AC$3:$AC$113,Donnees_generations!$A$3:$A$113,MAX(1915,MIN(2025,E51))),SUMIFS(Donnees_generations!$AD$3:$AD$113,Donnees_generations!$A$3:$A$113,MAX(1915,MIN(2025,E51))),SUMIFS(Donnees_generations!$AE$3:$AE$113,Donnees_generations!$A$3:$A$113,MAX(1915,MIN(2025,E51))),SUMIFS(Donnees_generations!$AF$3:$AF$113,Donnees_generations!$A$3:$A$113,MAX(1915,MIN(2025,E51))),SUMIFS(Donnees_generations!$AG$3:$AG$113,Donnees_generations!$A$3:$A$113,MAX(1915,MIN(2025,E51))),SUMIFS(Donnees_generations!$AH$3:$AH$113,Donnees_generations!$A$3:$A$113,MAX(1915,MIN(2025,E51))),SUMIFS(Donnees_generations!$AI$3:$AI$113,Donnees_generations!$A$3:$A$113,MAX(1915,MIN(2025,E51))),SUMIFS(Donnees_generations!$AJ$3:$AJ$113,Donnees_generations!$A$3:$A$113,MAX(1915,MIN(2025,E51)))))/2</f>
        <v/>
      </c>
      <c r="AJ51" s="8">
        <f>MAX(0,AH51+(AI51-AH51)*(K51-AG51)/2)</f>
        <v/>
      </c>
      <c r="AK51" s="8">
        <f>K51+AJ51</f>
        <v/>
      </c>
      <c r="AL51" s="14">
        <f>AE51*AJ51</f>
        <v/>
      </c>
      <c r="AM51" s="17">
        <f>V51/AL51</f>
        <v/>
      </c>
      <c r="AN51" s="17">
        <f>Z51/AL51</f>
        <v/>
      </c>
      <c r="AO51" s="33">
        <f>IF(V51+Z51=0,0,Z51/(V51+Z51))</f>
        <v/>
      </c>
      <c r="AP51" s="14">
        <f>AL51/V51*100</f>
        <v/>
      </c>
      <c r="AQ51" s="8">
        <f>P51/AL51*1000</f>
        <v/>
      </c>
      <c r="AR51" s="77">
        <f>MAX(N51,M51-1)</f>
        <v/>
      </c>
      <c r="AS51" s="14">
        <f>SUMIFS(Donnees_regimes!$R$3:$R$1118,Donnees_regimes!$A$3:$A$1118,C51,Donnees_regimes!$B$3:$B$1118,"&gt;="&amp;G51,Donnees_regimes!$B$3:$B$1118,"&lt;="&amp;N51)*L51/ROUNDUP(L51,0)*SUMIFS(Donnees_annuelles!$AG$3:$AG$188,Donnees_annuelles!$A$3:$A$188,AR51)*SUMIFS(Donnees_annuelles!$AA$3:$AA$188,Donnees_annuelles!$A$3:$A$188,AR51)</f>
        <v/>
      </c>
      <c r="AT51" s="36">
        <f>AS51/V51</f>
        <v/>
      </c>
      <c r="AU51" s="14">
        <f>AL51</f>
        <v/>
      </c>
      <c r="AV51" s="39">
        <f>AS51-AL51</f>
        <v/>
      </c>
      <c r="AW51" s="9">
        <f>AS51/AL51-1</f>
        <v/>
      </c>
      <c r="AX51" s="14">
        <f>AS51/AJ51/12</f>
        <v/>
      </c>
      <c r="AY51" s="14">
        <f>AF51</f>
        <v/>
      </c>
      <c r="AZ51" s="39">
        <f>AX51-AF51</f>
        <v/>
      </c>
      <c r="BA51" s="14">
        <f>SUMIFS(Donnees_regimes!$S$3:$S$1118,Donnees_regimes!$A$3:$A$1118,C51,Donnees_regimes!$B$3:$B$1118,"&gt;="&amp;G51,Donnees_regimes!$B$3:$B$1118,"&lt;="&amp;N51)*L51/ROUNDUP(L51,0)*SUMIFS(Donnees_annuelles!$AH$3:$AH$188,Donnees_annuelles!$A$3:$A$188,AR51)*SUMIFS(Donnees_annuelles!$AA$3:$AA$188,Donnees_annuelles!$A$3:$A$188,AR51)</f>
        <v/>
      </c>
      <c r="BB51" s="39">
        <f>BA51-AL51</f>
        <v/>
      </c>
      <c r="BC51" s="7">
        <f>IF(M51+AJ51&gt;2026,IF(G51&gt;2026,"entièrement projeté","en partie projeté"),"observé")</f>
        <v/>
      </c>
    </row>
    <row r="52">
      <c r="A52" s="7" t="inlineStr">
        <is>
          <t>Génération X</t>
        </is>
      </c>
      <c r="B52" s="84" t="inlineStr">
        <is>
          <t>Privé</t>
        </is>
      </c>
      <c r="C52" s="7">
        <f>IF(G52&gt;=SUMIFS(Regimes!$C$5:$C$10,Regimes!$A$5:$A$10,B52),"Privé",B52)</f>
        <v/>
      </c>
      <c r="D52" s="7">
        <f>INDEX(Regimes!$D$5:$D$10,MATCH(C52,Regimes!$A$5:$A$10,0))</f>
        <v/>
      </c>
      <c r="E52" s="88" t="n">
        <v>1977</v>
      </c>
      <c r="F52" s="8">
        <f>Donnees_generations!C65</f>
        <v/>
      </c>
      <c r="G52" s="77">
        <f>Donnees_generations!D65</f>
        <v/>
      </c>
      <c r="H52" s="8">
        <f>SUMIFS(Donnees_generations!$S$3:$S$113,Donnees_generations!$A$3:$A$113,MAX(1915,MIN(2025,E52)))</f>
        <v/>
      </c>
      <c r="I52" s="8">
        <f>SUMIFS(Donnees_generations!$T$3:$T$113,Donnees_generations!$A$3:$A$113,MAX(1915,MIN(2025,E52)))</f>
        <v/>
      </c>
      <c r="J52" s="8">
        <f>IF(G52&gt;=2000,MAX(I52,Parametres!$B$3),I52)</f>
        <v/>
      </c>
      <c r="K52" s="8">
        <f>IF(C52="Privé",J52,SUMIFS(Regles_regimes!$J$3:$J$2000,Regles_regimes!$A$3:$A$2000,C52,Regles_regimes!$B$3:$B$2000,D52,Regles_regimes!$C$3:$C$2000,MAX(1915,MIN(2025,E52))))</f>
        <v/>
      </c>
      <c r="L52" s="8">
        <f>IF(C52="Privé",H52,(K52-F52)*H52/(J52-F52))</f>
        <v/>
      </c>
      <c r="M52" s="77">
        <f>INT(E52+K52)</f>
        <v/>
      </c>
      <c r="N52" s="77">
        <f>G52+ROUNDUP(L52,0)-1</f>
        <v/>
      </c>
      <c r="O52" s="89">
        <f>SUMIFS(Regles_regimes!$K$3:$K$2000,Regles_regimes!$A$3:$A$2000,C52,Regles_regimes!$B$3:$B$2000,D52,Regles_regimes!$C$3:$C$2000,MAX(1915,MIN(2025,E52)))</f>
        <v/>
      </c>
      <c r="P52" s="13">
        <f>SUMIFS(Donnees_annuelles!$W$3:$W$188,Donnees_annuelles!$A$3:$A$188,"&gt;="&amp;G52,Donnees_annuelles!$A$3:$A$188,"&lt;="&amp;N52)*L52/ROUNDUP(L52,0)*O52</f>
        <v/>
      </c>
      <c r="Q52" s="13">
        <f>SUMIFS(Donnees_annuelles!$V$3:$V$188,Donnees_annuelles!$A$3:$A$188,"&gt;="&amp;G52,Donnees_annuelles!$A$3:$A$188,"&lt;="&amp;N52)*L52/ROUNDUP(L52,0)</f>
        <v/>
      </c>
      <c r="R52" s="13">
        <f>P52/L52</f>
        <v/>
      </c>
      <c r="S52" s="14">
        <f>SUMIFS(Donnees_annuelles!$D$3:$D$188,Donnees_annuelles!$A$3:$A$188,"&gt;="&amp;G52,Donnees_annuelles!$A$3:$A$188,"&lt;="&amp;N52)*L52/ROUNDUP(L52,0)</f>
        <v/>
      </c>
      <c r="T52" s="14">
        <f>SUMIFS(Donnees_regimes!$N$3:$N$1118,Donnees_regimes!$A$3:$A$1118,C52,Donnees_regimes!$B$3:$B$1118,"&gt;="&amp;G52,Donnees_regimes!$B$3:$B$1118,"&lt;="&amp;N52)*L52/ROUNDUP(L52,0)</f>
        <v/>
      </c>
      <c r="U52" s="14">
        <f>SUMIFS(Donnees_regimes!$O$3:$O$1118,Donnees_regimes!$A$3:$A$1118,C52,Donnees_regimes!$B$3:$B$1118,"&gt;="&amp;G52,Donnees_regimes!$B$3:$B$1118,"&lt;="&amp;N52)*L52/ROUNDUP(L52,0)</f>
        <v/>
      </c>
      <c r="V52" s="14">
        <f>T52+U52</f>
        <v/>
      </c>
      <c r="W52" s="33">
        <f>V52/S52</f>
        <v/>
      </c>
      <c r="X52" s="14">
        <f>S52+U52</f>
        <v/>
      </c>
      <c r="Y52" s="17">
        <f>V52/P52</f>
        <v/>
      </c>
      <c r="Z52" s="14">
        <f>SUMIFS(Donnees_regimes!$Q$3:$Q$1118,Donnees_regimes!$A$3:$A$1118,C52,Donnees_regimes!$B$3:$B$1118,"&gt;="&amp;G52,Donnees_regimes!$B$3:$B$1118,"&lt;="&amp;N52)*L52/ROUNDUP(L52,0)</f>
        <v/>
      </c>
      <c r="AA52" s="77">
        <f>SUMIFS(Regles_regimes!$F$3:$F$2000,Regles_regimes!$A$3:$A$2000,C52,Regles_regimes!$B$3:$B$2000,D52,Regles_regimes!$C$3:$C$2000,MAX(1915,MIN(2025,E52)))</f>
        <v/>
      </c>
      <c r="AB52" s="77">
        <f>IF(AND(SUMIFS(Regles_regimes!$L$3:$L$2000,Regles_regimes!$A$3:$A$2000,C52,Regles_regimes!$B$3:$B$2000,D52,Regles_regimes!$C$3:$C$2000,MAX(1915,MIN(2025,E52)))=1,G52&lt;2009,C52&lt;&gt;"Privé"),MIN(20,L52*4/5),0)</f>
        <v/>
      </c>
      <c r="AC52" s="89">
        <f>SUMIFS(Donnees_regimes!$M$3:$M$1118,Donnees_regimes!$A$3:$A$1118,C52,Donnees_regimes!$B$3:$B$1118,M52)</f>
        <v/>
      </c>
      <c r="AD52" s="14">
        <f>SUMIFS(Donnees_annuelles!$Y$3:$Y$188,Donnees_annuelles!$A$3:$A$188,M52)*SUMIFS(Donnees_generations!$I$3:$I$113,Donnees_generations!$A$3:$A$113,MAX(1915,MIN(2025,E52)))/H52</f>
        <v/>
      </c>
      <c r="AE52" s="14">
        <f>IF(C52="Privé",SUMIFS(Donnees_annuelles!$Y$3:$Y$188,Donnees_annuelles!$A$3:$A$188,M52)*MIN(L52,SUMIFS(Donnees_generations!$I$3:$I$113,Donnees_generations!$A$3:$A$113,MAX(1915,MIN(2025,E52))))/L52,AD52*AC52*MIN(IF(AB52&gt;0,0.8/0.75,1),(L52*4+AB52)/AA52))</f>
        <v/>
      </c>
      <c r="AF52" s="14">
        <f>AE52/12</f>
        <v/>
      </c>
      <c r="AG52" s="77">
        <f>MIN(68,MAX(56,2*INT(K52/2)))</f>
        <v/>
      </c>
      <c r="AH52" s="75">
        <f>(CHOOSE((AG52-56)/2+1,SUMIFS(Donnees_generations!$U$3:$U$113,Donnees_generations!$A$3:$A$113,MAX(1915,MIN(2025,E52))),SUMIFS(Donnees_generations!$V$3:$V$113,Donnees_generations!$A$3:$A$113,MAX(1915,MIN(2025,E52))),SUMIFS(Donnees_generations!$W$3:$W$113,Donnees_generations!$A$3:$A$113,MAX(1915,MIN(2025,E52))),SUMIFS(Donnees_generations!$X$3:$X$113,Donnees_generations!$A$3:$A$113,MAX(1915,MIN(2025,E52))),SUMIFS(Donnees_generations!$Y$3:$Y$113,Donnees_generations!$A$3:$A$113,MAX(1915,MIN(2025,E52))),SUMIFS(Donnees_generations!$Z$3:$Z$113,Donnees_generations!$A$3:$A$113,MAX(1915,MIN(2025,E52))),SUMIFS(Donnees_generations!$AA$3:$AA$113,Donnees_generations!$A$3:$A$113,MAX(1915,MIN(2025,E52))),SUMIFS(Donnees_generations!$AB$3:$AB$113,Donnees_generations!$A$3:$A$113,MAX(1915,MIN(2025,E52))))+CHOOSE((AG52-56)/2+1,SUMIFS(Donnees_generations!$AC$3:$AC$113,Donnees_generations!$A$3:$A$113,MAX(1915,MIN(2025,E52))),SUMIFS(Donnees_generations!$AD$3:$AD$113,Donnees_generations!$A$3:$A$113,MAX(1915,MIN(2025,E52))),SUMIFS(Donnees_generations!$AE$3:$AE$113,Donnees_generations!$A$3:$A$113,MAX(1915,MIN(2025,E52))),SUMIFS(Donnees_generations!$AF$3:$AF$113,Donnees_generations!$A$3:$A$113,MAX(1915,MIN(2025,E52))),SUMIFS(Donnees_generations!$AG$3:$AG$113,Donnees_generations!$A$3:$A$113,MAX(1915,MIN(2025,E52))),SUMIFS(Donnees_generations!$AH$3:$AH$113,Donnees_generations!$A$3:$A$113,MAX(1915,MIN(2025,E52))),SUMIFS(Donnees_generations!$AI$3:$AI$113,Donnees_generations!$A$3:$A$113,MAX(1915,MIN(2025,E52))),SUMIFS(Donnees_generations!$AJ$3:$AJ$113,Donnees_generations!$A$3:$A$113,MAX(1915,MIN(2025,E52)))))/2</f>
        <v/>
      </c>
      <c r="AI52" s="75">
        <f>(CHOOSE(((AG52+2)-56)/2+1,SUMIFS(Donnees_generations!$U$3:$U$113,Donnees_generations!$A$3:$A$113,MAX(1915,MIN(2025,E52))),SUMIFS(Donnees_generations!$V$3:$V$113,Donnees_generations!$A$3:$A$113,MAX(1915,MIN(2025,E52))),SUMIFS(Donnees_generations!$W$3:$W$113,Donnees_generations!$A$3:$A$113,MAX(1915,MIN(2025,E52))),SUMIFS(Donnees_generations!$X$3:$X$113,Donnees_generations!$A$3:$A$113,MAX(1915,MIN(2025,E52))),SUMIFS(Donnees_generations!$Y$3:$Y$113,Donnees_generations!$A$3:$A$113,MAX(1915,MIN(2025,E52))),SUMIFS(Donnees_generations!$Z$3:$Z$113,Donnees_generations!$A$3:$A$113,MAX(1915,MIN(2025,E52))),SUMIFS(Donnees_generations!$AA$3:$AA$113,Donnees_generations!$A$3:$A$113,MAX(1915,MIN(2025,E52))),SUMIFS(Donnees_generations!$AB$3:$AB$113,Donnees_generations!$A$3:$A$113,MAX(1915,MIN(2025,E52))))+CHOOSE(((AG52+2)-56)/2+1,SUMIFS(Donnees_generations!$AC$3:$AC$113,Donnees_generations!$A$3:$A$113,MAX(1915,MIN(2025,E52))),SUMIFS(Donnees_generations!$AD$3:$AD$113,Donnees_generations!$A$3:$A$113,MAX(1915,MIN(2025,E52))),SUMIFS(Donnees_generations!$AE$3:$AE$113,Donnees_generations!$A$3:$A$113,MAX(1915,MIN(2025,E52))),SUMIFS(Donnees_generations!$AF$3:$AF$113,Donnees_generations!$A$3:$A$113,MAX(1915,MIN(2025,E52))),SUMIFS(Donnees_generations!$AG$3:$AG$113,Donnees_generations!$A$3:$A$113,MAX(1915,MIN(2025,E52))),SUMIFS(Donnees_generations!$AH$3:$AH$113,Donnees_generations!$A$3:$A$113,MAX(1915,MIN(2025,E52))),SUMIFS(Donnees_generations!$AI$3:$AI$113,Donnees_generations!$A$3:$A$113,MAX(1915,MIN(2025,E52))),SUMIFS(Donnees_generations!$AJ$3:$AJ$113,Donnees_generations!$A$3:$A$113,MAX(1915,MIN(2025,E52)))))/2</f>
        <v/>
      </c>
      <c r="AJ52" s="8">
        <f>MAX(0,AH52+(AI52-AH52)*(K52-AG52)/2)</f>
        <v/>
      </c>
      <c r="AK52" s="8">
        <f>K52+AJ52</f>
        <v/>
      </c>
      <c r="AL52" s="14">
        <f>AE52*AJ52</f>
        <v/>
      </c>
      <c r="AM52" s="17">
        <f>V52/AL52</f>
        <v/>
      </c>
      <c r="AN52" s="17">
        <f>Z52/AL52</f>
        <v/>
      </c>
      <c r="AO52" s="33">
        <f>IF(V52+Z52=0,0,Z52/(V52+Z52))</f>
        <v/>
      </c>
      <c r="AP52" s="14">
        <f>AL52/V52*100</f>
        <v/>
      </c>
      <c r="AQ52" s="8">
        <f>P52/AL52*1000</f>
        <v/>
      </c>
      <c r="AR52" s="77">
        <f>MAX(N52,M52-1)</f>
        <v/>
      </c>
      <c r="AS52" s="14">
        <f>SUMIFS(Donnees_regimes!$R$3:$R$1118,Donnees_regimes!$A$3:$A$1118,C52,Donnees_regimes!$B$3:$B$1118,"&gt;="&amp;G52,Donnees_regimes!$B$3:$B$1118,"&lt;="&amp;N52)*L52/ROUNDUP(L52,0)*SUMIFS(Donnees_annuelles!$AG$3:$AG$188,Donnees_annuelles!$A$3:$A$188,AR52)*SUMIFS(Donnees_annuelles!$AA$3:$AA$188,Donnees_annuelles!$A$3:$A$188,AR52)</f>
        <v/>
      </c>
      <c r="AT52" s="36">
        <f>AS52/V52</f>
        <v/>
      </c>
      <c r="AU52" s="14">
        <f>AL52</f>
        <v/>
      </c>
      <c r="AV52" s="39">
        <f>AS52-AL52</f>
        <v/>
      </c>
      <c r="AW52" s="9">
        <f>AS52/AL52-1</f>
        <v/>
      </c>
      <c r="AX52" s="14">
        <f>AS52/AJ52/12</f>
        <v/>
      </c>
      <c r="AY52" s="14">
        <f>AF52</f>
        <v/>
      </c>
      <c r="AZ52" s="39">
        <f>AX52-AF52</f>
        <v/>
      </c>
      <c r="BA52" s="14">
        <f>SUMIFS(Donnees_regimes!$S$3:$S$1118,Donnees_regimes!$A$3:$A$1118,C52,Donnees_regimes!$B$3:$B$1118,"&gt;="&amp;G52,Donnees_regimes!$B$3:$B$1118,"&lt;="&amp;N52)*L52/ROUNDUP(L52,0)*SUMIFS(Donnees_annuelles!$AH$3:$AH$188,Donnees_annuelles!$A$3:$A$188,AR52)*SUMIFS(Donnees_annuelles!$AA$3:$AA$188,Donnees_annuelles!$A$3:$A$188,AR52)</f>
        <v/>
      </c>
      <c r="BB52" s="39">
        <f>BA52-AL52</f>
        <v/>
      </c>
      <c r="BC52" s="7">
        <f>IF(M52+AJ52&gt;2026,IF(G52&gt;2026,"entièrement projeté","en partie projeté"),"observé")</f>
        <v/>
      </c>
    </row>
    <row r="53">
      <c r="A53" s="7" t="inlineStr">
        <is>
          <t>Génération X</t>
        </is>
      </c>
      <c r="B53" s="84" t="inlineStr">
        <is>
          <t>Privé</t>
        </is>
      </c>
      <c r="C53" s="7">
        <f>IF(G53&gt;=SUMIFS(Regimes!$C$5:$C$10,Regimes!$A$5:$A$10,B53),"Privé",B53)</f>
        <v/>
      </c>
      <c r="D53" s="7">
        <f>INDEX(Regimes!$D$5:$D$10,MATCH(C53,Regimes!$A$5:$A$10,0))</f>
        <v/>
      </c>
      <c r="E53" s="88" t="n">
        <v>1978</v>
      </c>
      <c r="F53" s="8">
        <f>Donnees_generations!C66</f>
        <v/>
      </c>
      <c r="G53" s="77">
        <f>Donnees_generations!D66</f>
        <v/>
      </c>
      <c r="H53" s="8">
        <f>SUMIFS(Donnees_generations!$S$3:$S$113,Donnees_generations!$A$3:$A$113,MAX(1915,MIN(2025,E53)))</f>
        <v/>
      </c>
      <c r="I53" s="8">
        <f>SUMIFS(Donnees_generations!$T$3:$T$113,Donnees_generations!$A$3:$A$113,MAX(1915,MIN(2025,E53)))</f>
        <v/>
      </c>
      <c r="J53" s="8">
        <f>IF(G53&gt;=2000,MAX(I53,Parametres!$B$3),I53)</f>
        <v/>
      </c>
      <c r="K53" s="8">
        <f>IF(C53="Privé",J53,SUMIFS(Regles_regimes!$J$3:$J$2000,Regles_regimes!$A$3:$A$2000,C53,Regles_regimes!$B$3:$B$2000,D53,Regles_regimes!$C$3:$C$2000,MAX(1915,MIN(2025,E53))))</f>
        <v/>
      </c>
      <c r="L53" s="8">
        <f>IF(C53="Privé",H53,(K53-F53)*H53/(J53-F53))</f>
        <v/>
      </c>
      <c r="M53" s="77">
        <f>INT(E53+K53)</f>
        <v/>
      </c>
      <c r="N53" s="77">
        <f>G53+ROUNDUP(L53,0)-1</f>
        <v/>
      </c>
      <c r="O53" s="89">
        <f>SUMIFS(Regles_regimes!$K$3:$K$2000,Regles_regimes!$A$3:$A$2000,C53,Regles_regimes!$B$3:$B$2000,D53,Regles_regimes!$C$3:$C$2000,MAX(1915,MIN(2025,E53)))</f>
        <v/>
      </c>
      <c r="P53" s="13">
        <f>SUMIFS(Donnees_annuelles!$W$3:$W$188,Donnees_annuelles!$A$3:$A$188,"&gt;="&amp;G53,Donnees_annuelles!$A$3:$A$188,"&lt;="&amp;N53)*L53/ROUNDUP(L53,0)*O53</f>
        <v/>
      </c>
      <c r="Q53" s="13">
        <f>SUMIFS(Donnees_annuelles!$V$3:$V$188,Donnees_annuelles!$A$3:$A$188,"&gt;="&amp;G53,Donnees_annuelles!$A$3:$A$188,"&lt;="&amp;N53)*L53/ROUNDUP(L53,0)</f>
        <v/>
      </c>
      <c r="R53" s="13">
        <f>P53/L53</f>
        <v/>
      </c>
      <c r="S53" s="14">
        <f>SUMIFS(Donnees_annuelles!$D$3:$D$188,Donnees_annuelles!$A$3:$A$188,"&gt;="&amp;G53,Donnees_annuelles!$A$3:$A$188,"&lt;="&amp;N53)*L53/ROUNDUP(L53,0)</f>
        <v/>
      </c>
      <c r="T53" s="14">
        <f>SUMIFS(Donnees_regimes!$N$3:$N$1118,Donnees_regimes!$A$3:$A$1118,C53,Donnees_regimes!$B$3:$B$1118,"&gt;="&amp;G53,Donnees_regimes!$B$3:$B$1118,"&lt;="&amp;N53)*L53/ROUNDUP(L53,0)</f>
        <v/>
      </c>
      <c r="U53" s="14">
        <f>SUMIFS(Donnees_regimes!$O$3:$O$1118,Donnees_regimes!$A$3:$A$1118,C53,Donnees_regimes!$B$3:$B$1118,"&gt;="&amp;G53,Donnees_regimes!$B$3:$B$1118,"&lt;="&amp;N53)*L53/ROUNDUP(L53,0)</f>
        <v/>
      </c>
      <c r="V53" s="14">
        <f>T53+U53</f>
        <v/>
      </c>
      <c r="W53" s="33">
        <f>V53/S53</f>
        <v/>
      </c>
      <c r="X53" s="14">
        <f>S53+U53</f>
        <v/>
      </c>
      <c r="Y53" s="17">
        <f>V53/P53</f>
        <v/>
      </c>
      <c r="Z53" s="14">
        <f>SUMIFS(Donnees_regimes!$Q$3:$Q$1118,Donnees_regimes!$A$3:$A$1118,C53,Donnees_regimes!$B$3:$B$1118,"&gt;="&amp;G53,Donnees_regimes!$B$3:$B$1118,"&lt;="&amp;N53)*L53/ROUNDUP(L53,0)</f>
        <v/>
      </c>
      <c r="AA53" s="77">
        <f>SUMIFS(Regles_regimes!$F$3:$F$2000,Regles_regimes!$A$3:$A$2000,C53,Regles_regimes!$B$3:$B$2000,D53,Regles_regimes!$C$3:$C$2000,MAX(1915,MIN(2025,E53)))</f>
        <v/>
      </c>
      <c r="AB53" s="77">
        <f>IF(AND(SUMIFS(Regles_regimes!$L$3:$L$2000,Regles_regimes!$A$3:$A$2000,C53,Regles_regimes!$B$3:$B$2000,D53,Regles_regimes!$C$3:$C$2000,MAX(1915,MIN(2025,E53)))=1,G53&lt;2009,C53&lt;&gt;"Privé"),MIN(20,L53*4/5),0)</f>
        <v/>
      </c>
      <c r="AC53" s="89">
        <f>SUMIFS(Donnees_regimes!$M$3:$M$1118,Donnees_regimes!$A$3:$A$1118,C53,Donnees_regimes!$B$3:$B$1118,M53)</f>
        <v/>
      </c>
      <c r="AD53" s="14">
        <f>SUMIFS(Donnees_annuelles!$Y$3:$Y$188,Donnees_annuelles!$A$3:$A$188,M53)*SUMIFS(Donnees_generations!$I$3:$I$113,Donnees_generations!$A$3:$A$113,MAX(1915,MIN(2025,E53)))/H53</f>
        <v/>
      </c>
      <c r="AE53" s="14">
        <f>IF(C53="Privé",SUMIFS(Donnees_annuelles!$Y$3:$Y$188,Donnees_annuelles!$A$3:$A$188,M53)*MIN(L53,SUMIFS(Donnees_generations!$I$3:$I$113,Donnees_generations!$A$3:$A$113,MAX(1915,MIN(2025,E53))))/L53,AD53*AC53*MIN(IF(AB53&gt;0,0.8/0.75,1),(L53*4+AB53)/AA53))</f>
        <v/>
      </c>
      <c r="AF53" s="14">
        <f>AE53/12</f>
        <v/>
      </c>
      <c r="AG53" s="77">
        <f>MIN(68,MAX(56,2*INT(K53/2)))</f>
        <v/>
      </c>
      <c r="AH53" s="75">
        <f>(CHOOSE((AG53-56)/2+1,SUMIFS(Donnees_generations!$U$3:$U$113,Donnees_generations!$A$3:$A$113,MAX(1915,MIN(2025,E53))),SUMIFS(Donnees_generations!$V$3:$V$113,Donnees_generations!$A$3:$A$113,MAX(1915,MIN(2025,E53))),SUMIFS(Donnees_generations!$W$3:$W$113,Donnees_generations!$A$3:$A$113,MAX(1915,MIN(2025,E53))),SUMIFS(Donnees_generations!$X$3:$X$113,Donnees_generations!$A$3:$A$113,MAX(1915,MIN(2025,E53))),SUMIFS(Donnees_generations!$Y$3:$Y$113,Donnees_generations!$A$3:$A$113,MAX(1915,MIN(2025,E53))),SUMIFS(Donnees_generations!$Z$3:$Z$113,Donnees_generations!$A$3:$A$113,MAX(1915,MIN(2025,E53))),SUMIFS(Donnees_generations!$AA$3:$AA$113,Donnees_generations!$A$3:$A$113,MAX(1915,MIN(2025,E53))),SUMIFS(Donnees_generations!$AB$3:$AB$113,Donnees_generations!$A$3:$A$113,MAX(1915,MIN(2025,E53))))+CHOOSE((AG53-56)/2+1,SUMIFS(Donnees_generations!$AC$3:$AC$113,Donnees_generations!$A$3:$A$113,MAX(1915,MIN(2025,E53))),SUMIFS(Donnees_generations!$AD$3:$AD$113,Donnees_generations!$A$3:$A$113,MAX(1915,MIN(2025,E53))),SUMIFS(Donnees_generations!$AE$3:$AE$113,Donnees_generations!$A$3:$A$113,MAX(1915,MIN(2025,E53))),SUMIFS(Donnees_generations!$AF$3:$AF$113,Donnees_generations!$A$3:$A$113,MAX(1915,MIN(2025,E53))),SUMIFS(Donnees_generations!$AG$3:$AG$113,Donnees_generations!$A$3:$A$113,MAX(1915,MIN(2025,E53))),SUMIFS(Donnees_generations!$AH$3:$AH$113,Donnees_generations!$A$3:$A$113,MAX(1915,MIN(2025,E53))),SUMIFS(Donnees_generations!$AI$3:$AI$113,Donnees_generations!$A$3:$A$113,MAX(1915,MIN(2025,E53))),SUMIFS(Donnees_generations!$AJ$3:$AJ$113,Donnees_generations!$A$3:$A$113,MAX(1915,MIN(2025,E53)))))/2</f>
        <v/>
      </c>
      <c r="AI53" s="75">
        <f>(CHOOSE(((AG53+2)-56)/2+1,SUMIFS(Donnees_generations!$U$3:$U$113,Donnees_generations!$A$3:$A$113,MAX(1915,MIN(2025,E53))),SUMIFS(Donnees_generations!$V$3:$V$113,Donnees_generations!$A$3:$A$113,MAX(1915,MIN(2025,E53))),SUMIFS(Donnees_generations!$W$3:$W$113,Donnees_generations!$A$3:$A$113,MAX(1915,MIN(2025,E53))),SUMIFS(Donnees_generations!$X$3:$X$113,Donnees_generations!$A$3:$A$113,MAX(1915,MIN(2025,E53))),SUMIFS(Donnees_generations!$Y$3:$Y$113,Donnees_generations!$A$3:$A$113,MAX(1915,MIN(2025,E53))),SUMIFS(Donnees_generations!$Z$3:$Z$113,Donnees_generations!$A$3:$A$113,MAX(1915,MIN(2025,E53))),SUMIFS(Donnees_generations!$AA$3:$AA$113,Donnees_generations!$A$3:$A$113,MAX(1915,MIN(2025,E53))),SUMIFS(Donnees_generations!$AB$3:$AB$113,Donnees_generations!$A$3:$A$113,MAX(1915,MIN(2025,E53))))+CHOOSE(((AG53+2)-56)/2+1,SUMIFS(Donnees_generations!$AC$3:$AC$113,Donnees_generations!$A$3:$A$113,MAX(1915,MIN(2025,E53))),SUMIFS(Donnees_generations!$AD$3:$AD$113,Donnees_generations!$A$3:$A$113,MAX(1915,MIN(2025,E53))),SUMIFS(Donnees_generations!$AE$3:$AE$113,Donnees_generations!$A$3:$A$113,MAX(1915,MIN(2025,E53))),SUMIFS(Donnees_generations!$AF$3:$AF$113,Donnees_generations!$A$3:$A$113,MAX(1915,MIN(2025,E53))),SUMIFS(Donnees_generations!$AG$3:$AG$113,Donnees_generations!$A$3:$A$113,MAX(1915,MIN(2025,E53))),SUMIFS(Donnees_generations!$AH$3:$AH$113,Donnees_generations!$A$3:$A$113,MAX(1915,MIN(2025,E53))),SUMIFS(Donnees_generations!$AI$3:$AI$113,Donnees_generations!$A$3:$A$113,MAX(1915,MIN(2025,E53))),SUMIFS(Donnees_generations!$AJ$3:$AJ$113,Donnees_generations!$A$3:$A$113,MAX(1915,MIN(2025,E53)))))/2</f>
        <v/>
      </c>
      <c r="AJ53" s="8">
        <f>MAX(0,AH53+(AI53-AH53)*(K53-AG53)/2)</f>
        <v/>
      </c>
      <c r="AK53" s="8">
        <f>K53+AJ53</f>
        <v/>
      </c>
      <c r="AL53" s="14">
        <f>AE53*AJ53</f>
        <v/>
      </c>
      <c r="AM53" s="17">
        <f>V53/AL53</f>
        <v/>
      </c>
      <c r="AN53" s="17">
        <f>Z53/AL53</f>
        <v/>
      </c>
      <c r="AO53" s="33">
        <f>IF(V53+Z53=0,0,Z53/(V53+Z53))</f>
        <v/>
      </c>
      <c r="AP53" s="14">
        <f>AL53/V53*100</f>
        <v/>
      </c>
      <c r="AQ53" s="8">
        <f>P53/AL53*1000</f>
        <v/>
      </c>
      <c r="AR53" s="77">
        <f>MAX(N53,M53-1)</f>
        <v/>
      </c>
      <c r="AS53" s="14">
        <f>SUMIFS(Donnees_regimes!$R$3:$R$1118,Donnees_regimes!$A$3:$A$1118,C53,Donnees_regimes!$B$3:$B$1118,"&gt;="&amp;G53,Donnees_regimes!$B$3:$B$1118,"&lt;="&amp;N53)*L53/ROUNDUP(L53,0)*SUMIFS(Donnees_annuelles!$AG$3:$AG$188,Donnees_annuelles!$A$3:$A$188,AR53)*SUMIFS(Donnees_annuelles!$AA$3:$AA$188,Donnees_annuelles!$A$3:$A$188,AR53)</f>
        <v/>
      </c>
      <c r="AT53" s="36">
        <f>AS53/V53</f>
        <v/>
      </c>
      <c r="AU53" s="14">
        <f>AL53</f>
        <v/>
      </c>
      <c r="AV53" s="39">
        <f>AS53-AL53</f>
        <v/>
      </c>
      <c r="AW53" s="9">
        <f>AS53/AL53-1</f>
        <v/>
      </c>
      <c r="AX53" s="14">
        <f>AS53/AJ53/12</f>
        <v/>
      </c>
      <c r="AY53" s="14">
        <f>AF53</f>
        <v/>
      </c>
      <c r="AZ53" s="39">
        <f>AX53-AF53</f>
        <v/>
      </c>
      <c r="BA53" s="14">
        <f>SUMIFS(Donnees_regimes!$S$3:$S$1118,Donnees_regimes!$A$3:$A$1118,C53,Donnees_regimes!$B$3:$B$1118,"&gt;="&amp;G53,Donnees_regimes!$B$3:$B$1118,"&lt;="&amp;N53)*L53/ROUNDUP(L53,0)*SUMIFS(Donnees_annuelles!$AH$3:$AH$188,Donnees_annuelles!$A$3:$A$188,AR53)*SUMIFS(Donnees_annuelles!$AA$3:$AA$188,Donnees_annuelles!$A$3:$A$188,AR53)</f>
        <v/>
      </c>
      <c r="BB53" s="39">
        <f>BA53-AL53</f>
        <v/>
      </c>
      <c r="BC53" s="7">
        <f>IF(M53+AJ53&gt;2026,IF(G53&gt;2026,"entièrement projeté","en partie projeté"),"observé")</f>
        <v/>
      </c>
    </row>
    <row r="54">
      <c r="A54" s="7" t="inlineStr">
        <is>
          <t>Génération X</t>
        </is>
      </c>
      <c r="B54" s="84" t="inlineStr">
        <is>
          <t>Privé</t>
        </is>
      </c>
      <c r="C54" s="7">
        <f>IF(G54&gt;=SUMIFS(Regimes!$C$5:$C$10,Regimes!$A$5:$A$10,B54),"Privé",B54)</f>
        <v/>
      </c>
      <c r="D54" s="7">
        <f>INDEX(Regimes!$D$5:$D$10,MATCH(C54,Regimes!$A$5:$A$10,0))</f>
        <v/>
      </c>
      <c r="E54" s="88" t="n">
        <v>1979</v>
      </c>
      <c r="F54" s="8">
        <f>Donnees_generations!C67</f>
        <v/>
      </c>
      <c r="G54" s="77">
        <f>Donnees_generations!D67</f>
        <v/>
      </c>
      <c r="H54" s="8">
        <f>SUMIFS(Donnees_generations!$S$3:$S$113,Donnees_generations!$A$3:$A$113,MAX(1915,MIN(2025,E54)))</f>
        <v/>
      </c>
      <c r="I54" s="8">
        <f>SUMIFS(Donnees_generations!$T$3:$T$113,Donnees_generations!$A$3:$A$113,MAX(1915,MIN(2025,E54)))</f>
        <v/>
      </c>
      <c r="J54" s="8">
        <f>IF(G54&gt;=2000,MAX(I54,Parametres!$B$3),I54)</f>
        <v/>
      </c>
      <c r="K54" s="8">
        <f>IF(C54="Privé",J54,SUMIFS(Regles_regimes!$J$3:$J$2000,Regles_regimes!$A$3:$A$2000,C54,Regles_regimes!$B$3:$B$2000,D54,Regles_regimes!$C$3:$C$2000,MAX(1915,MIN(2025,E54))))</f>
        <v/>
      </c>
      <c r="L54" s="8">
        <f>IF(C54="Privé",H54,(K54-F54)*H54/(J54-F54))</f>
        <v/>
      </c>
      <c r="M54" s="77">
        <f>INT(E54+K54)</f>
        <v/>
      </c>
      <c r="N54" s="77">
        <f>G54+ROUNDUP(L54,0)-1</f>
        <v/>
      </c>
      <c r="O54" s="89">
        <f>SUMIFS(Regles_regimes!$K$3:$K$2000,Regles_regimes!$A$3:$A$2000,C54,Regles_regimes!$B$3:$B$2000,D54,Regles_regimes!$C$3:$C$2000,MAX(1915,MIN(2025,E54)))</f>
        <v/>
      </c>
      <c r="P54" s="13">
        <f>SUMIFS(Donnees_annuelles!$W$3:$W$188,Donnees_annuelles!$A$3:$A$188,"&gt;="&amp;G54,Donnees_annuelles!$A$3:$A$188,"&lt;="&amp;N54)*L54/ROUNDUP(L54,0)*O54</f>
        <v/>
      </c>
      <c r="Q54" s="13">
        <f>SUMIFS(Donnees_annuelles!$V$3:$V$188,Donnees_annuelles!$A$3:$A$188,"&gt;="&amp;G54,Donnees_annuelles!$A$3:$A$188,"&lt;="&amp;N54)*L54/ROUNDUP(L54,0)</f>
        <v/>
      </c>
      <c r="R54" s="13">
        <f>P54/L54</f>
        <v/>
      </c>
      <c r="S54" s="14">
        <f>SUMIFS(Donnees_annuelles!$D$3:$D$188,Donnees_annuelles!$A$3:$A$188,"&gt;="&amp;G54,Donnees_annuelles!$A$3:$A$188,"&lt;="&amp;N54)*L54/ROUNDUP(L54,0)</f>
        <v/>
      </c>
      <c r="T54" s="14">
        <f>SUMIFS(Donnees_regimes!$N$3:$N$1118,Donnees_regimes!$A$3:$A$1118,C54,Donnees_regimes!$B$3:$B$1118,"&gt;="&amp;G54,Donnees_regimes!$B$3:$B$1118,"&lt;="&amp;N54)*L54/ROUNDUP(L54,0)</f>
        <v/>
      </c>
      <c r="U54" s="14">
        <f>SUMIFS(Donnees_regimes!$O$3:$O$1118,Donnees_regimes!$A$3:$A$1118,C54,Donnees_regimes!$B$3:$B$1118,"&gt;="&amp;G54,Donnees_regimes!$B$3:$B$1118,"&lt;="&amp;N54)*L54/ROUNDUP(L54,0)</f>
        <v/>
      </c>
      <c r="V54" s="14">
        <f>T54+U54</f>
        <v/>
      </c>
      <c r="W54" s="33">
        <f>V54/S54</f>
        <v/>
      </c>
      <c r="X54" s="14">
        <f>S54+U54</f>
        <v/>
      </c>
      <c r="Y54" s="17">
        <f>V54/P54</f>
        <v/>
      </c>
      <c r="Z54" s="14">
        <f>SUMIFS(Donnees_regimes!$Q$3:$Q$1118,Donnees_regimes!$A$3:$A$1118,C54,Donnees_regimes!$B$3:$B$1118,"&gt;="&amp;G54,Donnees_regimes!$B$3:$B$1118,"&lt;="&amp;N54)*L54/ROUNDUP(L54,0)</f>
        <v/>
      </c>
      <c r="AA54" s="77">
        <f>SUMIFS(Regles_regimes!$F$3:$F$2000,Regles_regimes!$A$3:$A$2000,C54,Regles_regimes!$B$3:$B$2000,D54,Regles_regimes!$C$3:$C$2000,MAX(1915,MIN(2025,E54)))</f>
        <v/>
      </c>
      <c r="AB54" s="77">
        <f>IF(AND(SUMIFS(Regles_regimes!$L$3:$L$2000,Regles_regimes!$A$3:$A$2000,C54,Regles_regimes!$B$3:$B$2000,D54,Regles_regimes!$C$3:$C$2000,MAX(1915,MIN(2025,E54)))=1,G54&lt;2009,C54&lt;&gt;"Privé"),MIN(20,L54*4/5),0)</f>
        <v/>
      </c>
      <c r="AC54" s="89">
        <f>SUMIFS(Donnees_regimes!$M$3:$M$1118,Donnees_regimes!$A$3:$A$1118,C54,Donnees_regimes!$B$3:$B$1118,M54)</f>
        <v/>
      </c>
      <c r="AD54" s="14">
        <f>SUMIFS(Donnees_annuelles!$Y$3:$Y$188,Donnees_annuelles!$A$3:$A$188,M54)*SUMIFS(Donnees_generations!$I$3:$I$113,Donnees_generations!$A$3:$A$113,MAX(1915,MIN(2025,E54)))/H54</f>
        <v/>
      </c>
      <c r="AE54" s="14">
        <f>IF(C54="Privé",SUMIFS(Donnees_annuelles!$Y$3:$Y$188,Donnees_annuelles!$A$3:$A$188,M54)*MIN(L54,SUMIFS(Donnees_generations!$I$3:$I$113,Donnees_generations!$A$3:$A$113,MAX(1915,MIN(2025,E54))))/L54,AD54*AC54*MIN(IF(AB54&gt;0,0.8/0.75,1),(L54*4+AB54)/AA54))</f>
        <v/>
      </c>
      <c r="AF54" s="14">
        <f>AE54/12</f>
        <v/>
      </c>
      <c r="AG54" s="77">
        <f>MIN(68,MAX(56,2*INT(K54/2)))</f>
        <v/>
      </c>
      <c r="AH54" s="75">
        <f>(CHOOSE((AG54-56)/2+1,SUMIFS(Donnees_generations!$U$3:$U$113,Donnees_generations!$A$3:$A$113,MAX(1915,MIN(2025,E54))),SUMIFS(Donnees_generations!$V$3:$V$113,Donnees_generations!$A$3:$A$113,MAX(1915,MIN(2025,E54))),SUMIFS(Donnees_generations!$W$3:$W$113,Donnees_generations!$A$3:$A$113,MAX(1915,MIN(2025,E54))),SUMIFS(Donnees_generations!$X$3:$X$113,Donnees_generations!$A$3:$A$113,MAX(1915,MIN(2025,E54))),SUMIFS(Donnees_generations!$Y$3:$Y$113,Donnees_generations!$A$3:$A$113,MAX(1915,MIN(2025,E54))),SUMIFS(Donnees_generations!$Z$3:$Z$113,Donnees_generations!$A$3:$A$113,MAX(1915,MIN(2025,E54))),SUMIFS(Donnees_generations!$AA$3:$AA$113,Donnees_generations!$A$3:$A$113,MAX(1915,MIN(2025,E54))),SUMIFS(Donnees_generations!$AB$3:$AB$113,Donnees_generations!$A$3:$A$113,MAX(1915,MIN(2025,E54))))+CHOOSE((AG54-56)/2+1,SUMIFS(Donnees_generations!$AC$3:$AC$113,Donnees_generations!$A$3:$A$113,MAX(1915,MIN(2025,E54))),SUMIFS(Donnees_generations!$AD$3:$AD$113,Donnees_generations!$A$3:$A$113,MAX(1915,MIN(2025,E54))),SUMIFS(Donnees_generations!$AE$3:$AE$113,Donnees_generations!$A$3:$A$113,MAX(1915,MIN(2025,E54))),SUMIFS(Donnees_generations!$AF$3:$AF$113,Donnees_generations!$A$3:$A$113,MAX(1915,MIN(2025,E54))),SUMIFS(Donnees_generations!$AG$3:$AG$113,Donnees_generations!$A$3:$A$113,MAX(1915,MIN(2025,E54))),SUMIFS(Donnees_generations!$AH$3:$AH$113,Donnees_generations!$A$3:$A$113,MAX(1915,MIN(2025,E54))),SUMIFS(Donnees_generations!$AI$3:$AI$113,Donnees_generations!$A$3:$A$113,MAX(1915,MIN(2025,E54))),SUMIFS(Donnees_generations!$AJ$3:$AJ$113,Donnees_generations!$A$3:$A$113,MAX(1915,MIN(2025,E54)))))/2</f>
        <v/>
      </c>
      <c r="AI54" s="75">
        <f>(CHOOSE(((AG54+2)-56)/2+1,SUMIFS(Donnees_generations!$U$3:$U$113,Donnees_generations!$A$3:$A$113,MAX(1915,MIN(2025,E54))),SUMIFS(Donnees_generations!$V$3:$V$113,Donnees_generations!$A$3:$A$113,MAX(1915,MIN(2025,E54))),SUMIFS(Donnees_generations!$W$3:$W$113,Donnees_generations!$A$3:$A$113,MAX(1915,MIN(2025,E54))),SUMIFS(Donnees_generations!$X$3:$X$113,Donnees_generations!$A$3:$A$113,MAX(1915,MIN(2025,E54))),SUMIFS(Donnees_generations!$Y$3:$Y$113,Donnees_generations!$A$3:$A$113,MAX(1915,MIN(2025,E54))),SUMIFS(Donnees_generations!$Z$3:$Z$113,Donnees_generations!$A$3:$A$113,MAX(1915,MIN(2025,E54))),SUMIFS(Donnees_generations!$AA$3:$AA$113,Donnees_generations!$A$3:$A$113,MAX(1915,MIN(2025,E54))),SUMIFS(Donnees_generations!$AB$3:$AB$113,Donnees_generations!$A$3:$A$113,MAX(1915,MIN(2025,E54))))+CHOOSE(((AG54+2)-56)/2+1,SUMIFS(Donnees_generations!$AC$3:$AC$113,Donnees_generations!$A$3:$A$113,MAX(1915,MIN(2025,E54))),SUMIFS(Donnees_generations!$AD$3:$AD$113,Donnees_generations!$A$3:$A$113,MAX(1915,MIN(2025,E54))),SUMIFS(Donnees_generations!$AE$3:$AE$113,Donnees_generations!$A$3:$A$113,MAX(1915,MIN(2025,E54))),SUMIFS(Donnees_generations!$AF$3:$AF$113,Donnees_generations!$A$3:$A$113,MAX(1915,MIN(2025,E54))),SUMIFS(Donnees_generations!$AG$3:$AG$113,Donnees_generations!$A$3:$A$113,MAX(1915,MIN(2025,E54))),SUMIFS(Donnees_generations!$AH$3:$AH$113,Donnees_generations!$A$3:$A$113,MAX(1915,MIN(2025,E54))),SUMIFS(Donnees_generations!$AI$3:$AI$113,Donnees_generations!$A$3:$A$113,MAX(1915,MIN(2025,E54))),SUMIFS(Donnees_generations!$AJ$3:$AJ$113,Donnees_generations!$A$3:$A$113,MAX(1915,MIN(2025,E54)))))/2</f>
        <v/>
      </c>
      <c r="AJ54" s="8">
        <f>MAX(0,AH54+(AI54-AH54)*(K54-AG54)/2)</f>
        <v/>
      </c>
      <c r="AK54" s="8">
        <f>K54+AJ54</f>
        <v/>
      </c>
      <c r="AL54" s="14">
        <f>AE54*AJ54</f>
        <v/>
      </c>
      <c r="AM54" s="17">
        <f>V54/AL54</f>
        <v/>
      </c>
      <c r="AN54" s="17">
        <f>Z54/AL54</f>
        <v/>
      </c>
      <c r="AO54" s="33">
        <f>IF(V54+Z54=0,0,Z54/(V54+Z54))</f>
        <v/>
      </c>
      <c r="AP54" s="14">
        <f>AL54/V54*100</f>
        <v/>
      </c>
      <c r="AQ54" s="8">
        <f>P54/AL54*1000</f>
        <v/>
      </c>
      <c r="AR54" s="77">
        <f>MAX(N54,M54-1)</f>
        <v/>
      </c>
      <c r="AS54" s="14">
        <f>SUMIFS(Donnees_regimes!$R$3:$R$1118,Donnees_regimes!$A$3:$A$1118,C54,Donnees_regimes!$B$3:$B$1118,"&gt;="&amp;G54,Donnees_regimes!$B$3:$B$1118,"&lt;="&amp;N54)*L54/ROUNDUP(L54,0)*SUMIFS(Donnees_annuelles!$AG$3:$AG$188,Donnees_annuelles!$A$3:$A$188,AR54)*SUMIFS(Donnees_annuelles!$AA$3:$AA$188,Donnees_annuelles!$A$3:$A$188,AR54)</f>
        <v/>
      </c>
      <c r="AT54" s="36">
        <f>AS54/V54</f>
        <v/>
      </c>
      <c r="AU54" s="14">
        <f>AL54</f>
        <v/>
      </c>
      <c r="AV54" s="39">
        <f>AS54-AL54</f>
        <v/>
      </c>
      <c r="AW54" s="9">
        <f>AS54/AL54-1</f>
        <v/>
      </c>
      <c r="AX54" s="14">
        <f>AS54/AJ54/12</f>
        <v/>
      </c>
      <c r="AY54" s="14">
        <f>AF54</f>
        <v/>
      </c>
      <c r="AZ54" s="39">
        <f>AX54-AF54</f>
        <v/>
      </c>
      <c r="BA54" s="14">
        <f>SUMIFS(Donnees_regimes!$S$3:$S$1118,Donnees_regimes!$A$3:$A$1118,C54,Donnees_regimes!$B$3:$B$1118,"&gt;="&amp;G54,Donnees_regimes!$B$3:$B$1118,"&lt;="&amp;N54)*L54/ROUNDUP(L54,0)*SUMIFS(Donnees_annuelles!$AH$3:$AH$188,Donnees_annuelles!$A$3:$A$188,AR54)*SUMIFS(Donnees_annuelles!$AA$3:$AA$188,Donnees_annuelles!$A$3:$A$188,AR54)</f>
        <v/>
      </c>
      <c r="BB54" s="39">
        <f>BA54-AL54</f>
        <v/>
      </c>
      <c r="BC54" s="7">
        <f>IF(M54+AJ54&gt;2026,IF(G54&gt;2026,"entièrement projeté","en partie projeté"),"observé")</f>
        <v/>
      </c>
    </row>
    <row r="55">
      <c r="A55" s="7" t="inlineStr">
        <is>
          <t>Génération X</t>
        </is>
      </c>
      <c r="B55" s="84" t="inlineStr">
        <is>
          <t>Privé</t>
        </is>
      </c>
      <c r="C55" s="7">
        <f>IF(G55&gt;=SUMIFS(Regimes!$C$5:$C$10,Regimes!$A$5:$A$10,B55),"Privé",B55)</f>
        <v/>
      </c>
      <c r="D55" s="7">
        <f>INDEX(Regimes!$D$5:$D$10,MATCH(C55,Regimes!$A$5:$A$10,0))</f>
        <v/>
      </c>
      <c r="E55" s="88" t="n">
        <v>1980</v>
      </c>
      <c r="F55" s="8">
        <f>Donnees_generations!C68</f>
        <v/>
      </c>
      <c r="G55" s="77">
        <f>Donnees_generations!D68</f>
        <v/>
      </c>
      <c r="H55" s="8">
        <f>SUMIFS(Donnees_generations!$S$3:$S$113,Donnees_generations!$A$3:$A$113,MAX(1915,MIN(2025,E55)))</f>
        <v/>
      </c>
      <c r="I55" s="8">
        <f>SUMIFS(Donnees_generations!$T$3:$T$113,Donnees_generations!$A$3:$A$113,MAX(1915,MIN(2025,E55)))</f>
        <v/>
      </c>
      <c r="J55" s="8">
        <f>IF(G55&gt;=2000,MAX(I55,Parametres!$B$3),I55)</f>
        <v/>
      </c>
      <c r="K55" s="8">
        <f>IF(C55="Privé",J55,SUMIFS(Regles_regimes!$J$3:$J$2000,Regles_regimes!$A$3:$A$2000,C55,Regles_regimes!$B$3:$B$2000,D55,Regles_regimes!$C$3:$C$2000,MAX(1915,MIN(2025,E55))))</f>
        <v/>
      </c>
      <c r="L55" s="8">
        <f>IF(C55="Privé",H55,(K55-F55)*H55/(J55-F55))</f>
        <v/>
      </c>
      <c r="M55" s="77">
        <f>INT(E55+K55)</f>
        <v/>
      </c>
      <c r="N55" s="77">
        <f>G55+ROUNDUP(L55,0)-1</f>
        <v/>
      </c>
      <c r="O55" s="89">
        <f>SUMIFS(Regles_regimes!$K$3:$K$2000,Regles_regimes!$A$3:$A$2000,C55,Regles_regimes!$B$3:$B$2000,D55,Regles_regimes!$C$3:$C$2000,MAX(1915,MIN(2025,E55)))</f>
        <v/>
      </c>
      <c r="P55" s="13">
        <f>SUMIFS(Donnees_annuelles!$W$3:$W$188,Donnees_annuelles!$A$3:$A$188,"&gt;="&amp;G55,Donnees_annuelles!$A$3:$A$188,"&lt;="&amp;N55)*L55/ROUNDUP(L55,0)*O55</f>
        <v/>
      </c>
      <c r="Q55" s="13">
        <f>SUMIFS(Donnees_annuelles!$V$3:$V$188,Donnees_annuelles!$A$3:$A$188,"&gt;="&amp;G55,Donnees_annuelles!$A$3:$A$188,"&lt;="&amp;N55)*L55/ROUNDUP(L55,0)</f>
        <v/>
      </c>
      <c r="R55" s="13">
        <f>P55/L55</f>
        <v/>
      </c>
      <c r="S55" s="14">
        <f>SUMIFS(Donnees_annuelles!$D$3:$D$188,Donnees_annuelles!$A$3:$A$188,"&gt;="&amp;G55,Donnees_annuelles!$A$3:$A$188,"&lt;="&amp;N55)*L55/ROUNDUP(L55,0)</f>
        <v/>
      </c>
      <c r="T55" s="14">
        <f>SUMIFS(Donnees_regimes!$N$3:$N$1118,Donnees_regimes!$A$3:$A$1118,C55,Donnees_regimes!$B$3:$B$1118,"&gt;="&amp;G55,Donnees_regimes!$B$3:$B$1118,"&lt;="&amp;N55)*L55/ROUNDUP(L55,0)</f>
        <v/>
      </c>
      <c r="U55" s="14">
        <f>SUMIFS(Donnees_regimes!$O$3:$O$1118,Donnees_regimes!$A$3:$A$1118,C55,Donnees_regimes!$B$3:$B$1118,"&gt;="&amp;G55,Donnees_regimes!$B$3:$B$1118,"&lt;="&amp;N55)*L55/ROUNDUP(L55,0)</f>
        <v/>
      </c>
      <c r="V55" s="14">
        <f>T55+U55</f>
        <v/>
      </c>
      <c r="W55" s="33">
        <f>V55/S55</f>
        <v/>
      </c>
      <c r="X55" s="14">
        <f>S55+U55</f>
        <v/>
      </c>
      <c r="Y55" s="17">
        <f>V55/P55</f>
        <v/>
      </c>
      <c r="Z55" s="14">
        <f>SUMIFS(Donnees_regimes!$Q$3:$Q$1118,Donnees_regimes!$A$3:$A$1118,C55,Donnees_regimes!$B$3:$B$1118,"&gt;="&amp;G55,Donnees_regimes!$B$3:$B$1118,"&lt;="&amp;N55)*L55/ROUNDUP(L55,0)</f>
        <v/>
      </c>
      <c r="AA55" s="77">
        <f>SUMIFS(Regles_regimes!$F$3:$F$2000,Regles_regimes!$A$3:$A$2000,C55,Regles_regimes!$B$3:$B$2000,D55,Regles_regimes!$C$3:$C$2000,MAX(1915,MIN(2025,E55)))</f>
        <v/>
      </c>
      <c r="AB55" s="77">
        <f>IF(AND(SUMIFS(Regles_regimes!$L$3:$L$2000,Regles_regimes!$A$3:$A$2000,C55,Regles_regimes!$B$3:$B$2000,D55,Regles_regimes!$C$3:$C$2000,MAX(1915,MIN(2025,E55)))=1,G55&lt;2009,C55&lt;&gt;"Privé"),MIN(20,L55*4/5),0)</f>
        <v/>
      </c>
      <c r="AC55" s="89">
        <f>SUMIFS(Donnees_regimes!$M$3:$M$1118,Donnees_regimes!$A$3:$A$1118,C55,Donnees_regimes!$B$3:$B$1118,M55)</f>
        <v/>
      </c>
      <c r="AD55" s="14">
        <f>SUMIFS(Donnees_annuelles!$Y$3:$Y$188,Donnees_annuelles!$A$3:$A$188,M55)*SUMIFS(Donnees_generations!$I$3:$I$113,Donnees_generations!$A$3:$A$113,MAX(1915,MIN(2025,E55)))/H55</f>
        <v/>
      </c>
      <c r="AE55" s="14">
        <f>IF(C55="Privé",SUMIFS(Donnees_annuelles!$Y$3:$Y$188,Donnees_annuelles!$A$3:$A$188,M55)*MIN(L55,SUMIFS(Donnees_generations!$I$3:$I$113,Donnees_generations!$A$3:$A$113,MAX(1915,MIN(2025,E55))))/L55,AD55*AC55*MIN(IF(AB55&gt;0,0.8/0.75,1),(L55*4+AB55)/AA55))</f>
        <v/>
      </c>
      <c r="AF55" s="14">
        <f>AE55/12</f>
        <v/>
      </c>
      <c r="AG55" s="77">
        <f>MIN(68,MAX(56,2*INT(K55/2)))</f>
        <v/>
      </c>
      <c r="AH55" s="75">
        <f>(CHOOSE((AG55-56)/2+1,SUMIFS(Donnees_generations!$U$3:$U$113,Donnees_generations!$A$3:$A$113,MAX(1915,MIN(2025,E55))),SUMIFS(Donnees_generations!$V$3:$V$113,Donnees_generations!$A$3:$A$113,MAX(1915,MIN(2025,E55))),SUMIFS(Donnees_generations!$W$3:$W$113,Donnees_generations!$A$3:$A$113,MAX(1915,MIN(2025,E55))),SUMIFS(Donnees_generations!$X$3:$X$113,Donnees_generations!$A$3:$A$113,MAX(1915,MIN(2025,E55))),SUMIFS(Donnees_generations!$Y$3:$Y$113,Donnees_generations!$A$3:$A$113,MAX(1915,MIN(2025,E55))),SUMIFS(Donnees_generations!$Z$3:$Z$113,Donnees_generations!$A$3:$A$113,MAX(1915,MIN(2025,E55))),SUMIFS(Donnees_generations!$AA$3:$AA$113,Donnees_generations!$A$3:$A$113,MAX(1915,MIN(2025,E55))),SUMIFS(Donnees_generations!$AB$3:$AB$113,Donnees_generations!$A$3:$A$113,MAX(1915,MIN(2025,E55))))+CHOOSE((AG55-56)/2+1,SUMIFS(Donnees_generations!$AC$3:$AC$113,Donnees_generations!$A$3:$A$113,MAX(1915,MIN(2025,E55))),SUMIFS(Donnees_generations!$AD$3:$AD$113,Donnees_generations!$A$3:$A$113,MAX(1915,MIN(2025,E55))),SUMIFS(Donnees_generations!$AE$3:$AE$113,Donnees_generations!$A$3:$A$113,MAX(1915,MIN(2025,E55))),SUMIFS(Donnees_generations!$AF$3:$AF$113,Donnees_generations!$A$3:$A$113,MAX(1915,MIN(2025,E55))),SUMIFS(Donnees_generations!$AG$3:$AG$113,Donnees_generations!$A$3:$A$113,MAX(1915,MIN(2025,E55))),SUMIFS(Donnees_generations!$AH$3:$AH$113,Donnees_generations!$A$3:$A$113,MAX(1915,MIN(2025,E55))),SUMIFS(Donnees_generations!$AI$3:$AI$113,Donnees_generations!$A$3:$A$113,MAX(1915,MIN(2025,E55))),SUMIFS(Donnees_generations!$AJ$3:$AJ$113,Donnees_generations!$A$3:$A$113,MAX(1915,MIN(2025,E55)))))/2</f>
        <v/>
      </c>
      <c r="AI55" s="75">
        <f>(CHOOSE(((AG55+2)-56)/2+1,SUMIFS(Donnees_generations!$U$3:$U$113,Donnees_generations!$A$3:$A$113,MAX(1915,MIN(2025,E55))),SUMIFS(Donnees_generations!$V$3:$V$113,Donnees_generations!$A$3:$A$113,MAX(1915,MIN(2025,E55))),SUMIFS(Donnees_generations!$W$3:$W$113,Donnees_generations!$A$3:$A$113,MAX(1915,MIN(2025,E55))),SUMIFS(Donnees_generations!$X$3:$X$113,Donnees_generations!$A$3:$A$113,MAX(1915,MIN(2025,E55))),SUMIFS(Donnees_generations!$Y$3:$Y$113,Donnees_generations!$A$3:$A$113,MAX(1915,MIN(2025,E55))),SUMIFS(Donnees_generations!$Z$3:$Z$113,Donnees_generations!$A$3:$A$113,MAX(1915,MIN(2025,E55))),SUMIFS(Donnees_generations!$AA$3:$AA$113,Donnees_generations!$A$3:$A$113,MAX(1915,MIN(2025,E55))),SUMIFS(Donnees_generations!$AB$3:$AB$113,Donnees_generations!$A$3:$A$113,MAX(1915,MIN(2025,E55))))+CHOOSE(((AG55+2)-56)/2+1,SUMIFS(Donnees_generations!$AC$3:$AC$113,Donnees_generations!$A$3:$A$113,MAX(1915,MIN(2025,E55))),SUMIFS(Donnees_generations!$AD$3:$AD$113,Donnees_generations!$A$3:$A$113,MAX(1915,MIN(2025,E55))),SUMIFS(Donnees_generations!$AE$3:$AE$113,Donnees_generations!$A$3:$A$113,MAX(1915,MIN(2025,E55))),SUMIFS(Donnees_generations!$AF$3:$AF$113,Donnees_generations!$A$3:$A$113,MAX(1915,MIN(2025,E55))),SUMIFS(Donnees_generations!$AG$3:$AG$113,Donnees_generations!$A$3:$A$113,MAX(1915,MIN(2025,E55))),SUMIFS(Donnees_generations!$AH$3:$AH$113,Donnees_generations!$A$3:$A$113,MAX(1915,MIN(2025,E55))),SUMIFS(Donnees_generations!$AI$3:$AI$113,Donnees_generations!$A$3:$A$113,MAX(1915,MIN(2025,E55))),SUMIFS(Donnees_generations!$AJ$3:$AJ$113,Donnees_generations!$A$3:$A$113,MAX(1915,MIN(2025,E55)))))/2</f>
        <v/>
      </c>
      <c r="AJ55" s="8">
        <f>MAX(0,AH55+(AI55-AH55)*(K55-AG55)/2)</f>
        <v/>
      </c>
      <c r="AK55" s="8">
        <f>K55+AJ55</f>
        <v/>
      </c>
      <c r="AL55" s="14">
        <f>AE55*AJ55</f>
        <v/>
      </c>
      <c r="AM55" s="17">
        <f>V55/AL55</f>
        <v/>
      </c>
      <c r="AN55" s="17">
        <f>Z55/AL55</f>
        <v/>
      </c>
      <c r="AO55" s="33">
        <f>IF(V55+Z55=0,0,Z55/(V55+Z55))</f>
        <v/>
      </c>
      <c r="AP55" s="14">
        <f>AL55/V55*100</f>
        <v/>
      </c>
      <c r="AQ55" s="8">
        <f>P55/AL55*1000</f>
        <v/>
      </c>
      <c r="AR55" s="77">
        <f>MAX(N55,M55-1)</f>
        <v/>
      </c>
      <c r="AS55" s="14">
        <f>SUMIFS(Donnees_regimes!$R$3:$R$1118,Donnees_regimes!$A$3:$A$1118,C55,Donnees_regimes!$B$3:$B$1118,"&gt;="&amp;G55,Donnees_regimes!$B$3:$B$1118,"&lt;="&amp;N55)*L55/ROUNDUP(L55,0)*SUMIFS(Donnees_annuelles!$AG$3:$AG$188,Donnees_annuelles!$A$3:$A$188,AR55)*SUMIFS(Donnees_annuelles!$AA$3:$AA$188,Donnees_annuelles!$A$3:$A$188,AR55)</f>
        <v/>
      </c>
      <c r="AT55" s="36">
        <f>AS55/V55</f>
        <v/>
      </c>
      <c r="AU55" s="14">
        <f>AL55</f>
        <v/>
      </c>
      <c r="AV55" s="39">
        <f>AS55-AL55</f>
        <v/>
      </c>
      <c r="AW55" s="9">
        <f>AS55/AL55-1</f>
        <v/>
      </c>
      <c r="AX55" s="14">
        <f>AS55/AJ55/12</f>
        <v/>
      </c>
      <c r="AY55" s="14">
        <f>AF55</f>
        <v/>
      </c>
      <c r="AZ55" s="39">
        <f>AX55-AF55</f>
        <v/>
      </c>
      <c r="BA55" s="14">
        <f>SUMIFS(Donnees_regimes!$S$3:$S$1118,Donnees_regimes!$A$3:$A$1118,C55,Donnees_regimes!$B$3:$B$1118,"&gt;="&amp;G55,Donnees_regimes!$B$3:$B$1118,"&lt;="&amp;N55)*L55/ROUNDUP(L55,0)*SUMIFS(Donnees_annuelles!$AH$3:$AH$188,Donnees_annuelles!$A$3:$A$188,AR55)*SUMIFS(Donnees_annuelles!$AA$3:$AA$188,Donnees_annuelles!$A$3:$A$188,AR55)</f>
        <v/>
      </c>
      <c r="BB55" s="39">
        <f>BA55-AL55</f>
        <v/>
      </c>
      <c r="BC55" s="7">
        <f>IF(M55+AJ55&gt;2026,IF(G55&gt;2026,"entièrement projeté","en partie projeté"),"observé")</f>
        <v/>
      </c>
    </row>
    <row r="56">
      <c r="A56" s="7" t="inlineStr">
        <is>
          <t>Génération Y</t>
        </is>
      </c>
      <c r="B56" s="84" t="inlineStr">
        <is>
          <t>Privé</t>
        </is>
      </c>
      <c r="C56" s="7">
        <f>IF(G56&gt;=SUMIFS(Regimes!$C$5:$C$10,Regimes!$A$5:$A$10,B56),"Privé",B56)</f>
        <v/>
      </c>
      <c r="D56" s="7">
        <f>INDEX(Regimes!$D$5:$D$10,MATCH(C56,Regimes!$A$5:$A$10,0))</f>
        <v/>
      </c>
      <c r="E56" s="88" t="n">
        <v>1981</v>
      </c>
      <c r="F56" s="8">
        <f>Donnees_generations!C69</f>
        <v/>
      </c>
      <c r="G56" s="77">
        <f>Donnees_generations!D69</f>
        <v/>
      </c>
      <c r="H56" s="8">
        <f>SUMIFS(Donnees_generations!$S$3:$S$113,Donnees_generations!$A$3:$A$113,MAX(1915,MIN(2025,E56)))</f>
        <v/>
      </c>
      <c r="I56" s="8">
        <f>SUMIFS(Donnees_generations!$T$3:$T$113,Donnees_generations!$A$3:$A$113,MAX(1915,MIN(2025,E56)))</f>
        <v/>
      </c>
      <c r="J56" s="8">
        <f>IF(G56&gt;=2000,MAX(I56,Parametres!$B$3),I56)</f>
        <v/>
      </c>
      <c r="K56" s="8">
        <f>IF(C56="Privé",J56,SUMIFS(Regles_regimes!$J$3:$J$2000,Regles_regimes!$A$3:$A$2000,C56,Regles_regimes!$B$3:$B$2000,D56,Regles_regimes!$C$3:$C$2000,MAX(1915,MIN(2025,E56))))</f>
        <v/>
      </c>
      <c r="L56" s="8">
        <f>IF(C56="Privé",H56,(K56-F56)*H56/(J56-F56))</f>
        <v/>
      </c>
      <c r="M56" s="77">
        <f>INT(E56+K56)</f>
        <v/>
      </c>
      <c r="N56" s="77">
        <f>G56+ROUNDUP(L56,0)-1</f>
        <v/>
      </c>
      <c r="O56" s="89">
        <f>SUMIFS(Regles_regimes!$K$3:$K$2000,Regles_regimes!$A$3:$A$2000,C56,Regles_regimes!$B$3:$B$2000,D56,Regles_regimes!$C$3:$C$2000,MAX(1915,MIN(2025,E56)))</f>
        <v/>
      </c>
      <c r="P56" s="13">
        <f>SUMIFS(Donnees_annuelles!$W$3:$W$188,Donnees_annuelles!$A$3:$A$188,"&gt;="&amp;G56,Donnees_annuelles!$A$3:$A$188,"&lt;="&amp;N56)*L56/ROUNDUP(L56,0)*O56</f>
        <v/>
      </c>
      <c r="Q56" s="13">
        <f>SUMIFS(Donnees_annuelles!$V$3:$V$188,Donnees_annuelles!$A$3:$A$188,"&gt;="&amp;G56,Donnees_annuelles!$A$3:$A$188,"&lt;="&amp;N56)*L56/ROUNDUP(L56,0)</f>
        <v/>
      </c>
      <c r="R56" s="13">
        <f>P56/L56</f>
        <v/>
      </c>
      <c r="S56" s="14">
        <f>SUMIFS(Donnees_annuelles!$D$3:$D$188,Donnees_annuelles!$A$3:$A$188,"&gt;="&amp;G56,Donnees_annuelles!$A$3:$A$188,"&lt;="&amp;N56)*L56/ROUNDUP(L56,0)</f>
        <v/>
      </c>
      <c r="T56" s="14">
        <f>SUMIFS(Donnees_regimes!$N$3:$N$1118,Donnees_regimes!$A$3:$A$1118,C56,Donnees_regimes!$B$3:$B$1118,"&gt;="&amp;G56,Donnees_regimes!$B$3:$B$1118,"&lt;="&amp;N56)*L56/ROUNDUP(L56,0)</f>
        <v/>
      </c>
      <c r="U56" s="14">
        <f>SUMIFS(Donnees_regimes!$O$3:$O$1118,Donnees_regimes!$A$3:$A$1118,C56,Donnees_regimes!$B$3:$B$1118,"&gt;="&amp;G56,Donnees_regimes!$B$3:$B$1118,"&lt;="&amp;N56)*L56/ROUNDUP(L56,0)</f>
        <v/>
      </c>
      <c r="V56" s="14">
        <f>T56+U56</f>
        <v/>
      </c>
      <c r="W56" s="33">
        <f>V56/S56</f>
        <v/>
      </c>
      <c r="X56" s="14">
        <f>S56+U56</f>
        <v/>
      </c>
      <c r="Y56" s="17">
        <f>V56/P56</f>
        <v/>
      </c>
      <c r="Z56" s="14">
        <f>SUMIFS(Donnees_regimes!$Q$3:$Q$1118,Donnees_regimes!$A$3:$A$1118,C56,Donnees_regimes!$B$3:$B$1118,"&gt;="&amp;G56,Donnees_regimes!$B$3:$B$1118,"&lt;="&amp;N56)*L56/ROUNDUP(L56,0)</f>
        <v/>
      </c>
      <c r="AA56" s="77">
        <f>SUMIFS(Regles_regimes!$F$3:$F$2000,Regles_regimes!$A$3:$A$2000,C56,Regles_regimes!$B$3:$B$2000,D56,Regles_regimes!$C$3:$C$2000,MAX(1915,MIN(2025,E56)))</f>
        <v/>
      </c>
      <c r="AB56" s="77">
        <f>IF(AND(SUMIFS(Regles_regimes!$L$3:$L$2000,Regles_regimes!$A$3:$A$2000,C56,Regles_regimes!$B$3:$B$2000,D56,Regles_regimes!$C$3:$C$2000,MAX(1915,MIN(2025,E56)))=1,G56&lt;2009,C56&lt;&gt;"Privé"),MIN(20,L56*4/5),0)</f>
        <v/>
      </c>
      <c r="AC56" s="89">
        <f>SUMIFS(Donnees_regimes!$M$3:$M$1118,Donnees_regimes!$A$3:$A$1118,C56,Donnees_regimes!$B$3:$B$1118,M56)</f>
        <v/>
      </c>
      <c r="AD56" s="14">
        <f>SUMIFS(Donnees_annuelles!$Y$3:$Y$188,Donnees_annuelles!$A$3:$A$188,M56)*SUMIFS(Donnees_generations!$I$3:$I$113,Donnees_generations!$A$3:$A$113,MAX(1915,MIN(2025,E56)))/H56</f>
        <v/>
      </c>
      <c r="AE56" s="14">
        <f>IF(C56="Privé",SUMIFS(Donnees_annuelles!$Y$3:$Y$188,Donnees_annuelles!$A$3:$A$188,M56)*MIN(L56,SUMIFS(Donnees_generations!$I$3:$I$113,Donnees_generations!$A$3:$A$113,MAX(1915,MIN(2025,E56))))/L56,AD56*AC56*MIN(IF(AB56&gt;0,0.8/0.75,1),(L56*4+AB56)/AA56))</f>
        <v/>
      </c>
      <c r="AF56" s="14">
        <f>AE56/12</f>
        <v/>
      </c>
      <c r="AG56" s="77">
        <f>MIN(68,MAX(56,2*INT(K56/2)))</f>
        <v/>
      </c>
      <c r="AH56" s="75">
        <f>(CHOOSE((AG56-56)/2+1,SUMIFS(Donnees_generations!$U$3:$U$113,Donnees_generations!$A$3:$A$113,MAX(1915,MIN(2025,E56))),SUMIFS(Donnees_generations!$V$3:$V$113,Donnees_generations!$A$3:$A$113,MAX(1915,MIN(2025,E56))),SUMIFS(Donnees_generations!$W$3:$W$113,Donnees_generations!$A$3:$A$113,MAX(1915,MIN(2025,E56))),SUMIFS(Donnees_generations!$X$3:$X$113,Donnees_generations!$A$3:$A$113,MAX(1915,MIN(2025,E56))),SUMIFS(Donnees_generations!$Y$3:$Y$113,Donnees_generations!$A$3:$A$113,MAX(1915,MIN(2025,E56))),SUMIFS(Donnees_generations!$Z$3:$Z$113,Donnees_generations!$A$3:$A$113,MAX(1915,MIN(2025,E56))),SUMIFS(Donnees_generations!$AA$3:$AA$113,Donnees_generations!$A$3:$A$113,MAX(1915,MIN(2025,E56))),SUMIFS(Donnees_generations!$AB$3:$AB$113,Donnees_generations!$A$3:$A$113,MAX(1915,MIN(2025,E56))))+CHOOSE((AG56-56)/2+1,SUMIFS(Donnees_generations!$AC$3:$AC$113,Donnees_generations!$A$3:$A$113,MAX(1915,MIN(2025,E56))),SUMIFS(Donnees_generations!$AD$3:$AD$113,Donnees_generations!$A$3:$A$113,MAX(1915,MIN(2025,E56))),SUMIFS(Donnees_generations!$AE$3:$AE$113,Donnees_generations!$A$3:$A$113,MAX(1915,MIN(2025,E56))),SUMIFS(Donnees_generations!$AF$3:$AF$113,Donnees_generations!$A$3:$A$113,MAX(1915,MIN(2025,E56))),SUMIFS(Donnees_generations!$AG$3:$AG$113,Donnees_generations!$A$3:$A$113,MAX(1915,MIN(2025,E56))),SUMIFS(Donnees_generations!$AH$3:$AH$113,Donnees_generations!$A$3:$A$113,MAX(1915,MIN(2025,E56))),SUMIFS(Donnees_generations!$AI$3:$AI$113,Donnees_generations!$A$3:$A$113,MAX(1915,MIN(2025,E56))),SUMIFS(Donnees_generations!$AJ$3:$AJ$113,Donnees_generations!$A$3:$A$113,MAX(1915,MIN(2025,E56)))))/2</f>
        <v/>
      </c>
      <c r="AI56" s="75">
        <f>(CHOOSE(((AG56+2)-56)/2+1,SUMIFS(Donnees_generations!$U$3:$U$113,Donnees_generations!$A$3:$A$113,MAX(1915,MIN(2025,E56))),SUMIFS(Donnees_generations!$V$3:$V$113,Donnees_generations!$A$3:$A$113,MAX(1915,MIN(2025,E56))),SUMIFS(Donnees_generations!$W$3:$W$113,Donnees_generations!$A$3:$A$113,MAX(1915,MIN(2025,E56))),SUMIFS(Donnees_generations!$X$3:$X$113,Donnees_generations!$A$3:$A$113,MAX(1915,MIN(2025,E56))),SUMIFS(Donnees_generations!$Y$3:$Y$113,Donnees_generations!$A$3:$A$113,MAX(1915,MIN(2025,E56))),SUMIFS(Donnees_generations!$Z$3:$Z$113,Donnees_generations!$A$3:$A$113,MAX(1915,MIN(2025,E56))),SUMIFS(Donnees_generations!$AA$3:$AA$113,Donnees_generations!$A$3:$A$113,MAX(1915,MIN(2025,E56))),SUMIFS(Donnees_generations!$AB$3:$AB$113,Donnees_generations!$A$3:$A$113,MAX(1915,MIN(2025,E56))))+CHOOSE(((AG56+2)-56)/2+1,SUMIFS(Donnees_generations!$AC$3:$AC$113,Donnees_generations!$A$3:$A$113,MAX(1915,MIN(2025,E56))),SUMIFS(Donnees_generations!$AD$3:$AD$113,Donnees_generations!$A$3:$A$113,MAX(1915,MIN(2025,E56))),SUMIFS(Donnees_generations!$AE$3:$AE$113,Donnees_generations!$A$3:$A$113,MAX(1915,MIN(2025,E56))),SUMIFS(Donnees_generations!$AF$3:$AF$113,Donnees_generations!$A$3:$A$113,MAX(1915,MIN(2025,E56))),SUMIFS(Donnees_generations!$AG$3:$AG$113,Donnees_generations!$A$3:$A$113,MAX(1915,MIN(2025,E56))),SUMIFS(Donnees_generations!$AH$3:$AH$113,Donnees_generations!$A$3:$A$113,MAX(1915,MIN(2025,E56))),SUMIFS(Donnees_generations!$AI$3:$AI$113,Donnees_generations!$A$3:$A$113,MAX(1915,MIN(2025,E56))),SUMIFS(Donnees_generations!$AJ$3:$AJ$113,Donnees_generations!$A$3:$A$113,MAX(1915,MIN(2025,E56)))))/2</f>
        <v/>
      </c>
      <c r="AJ56" s="8">
        <f>MAX(0,AH56+(AI56-AH56)*(K56-AG56)/2)</f>
        <v/>
      </c>
      <c r="AK56" s="8">
        <f>K56+AJ56</f>
        <v/>
      </c>
      <c r="AL56" s="14">
        <f>AE56*AJ56</f>
        <v/>
      </c>
      <c r="AM56" s="17">
        <f>V56/AL56</f>
        <v/>
      </c>
      <c r="AN56" s="17">
        <f>Z56/AL56</f>
        <v/>
      </c>
      <c r="AO56" s="33">
        <f>IF(V56+Z56=0,0,Z56/(V56+Z56))</f>
        <v/>
      </c>
      <c r="AP56" s="14">
        <f>AL56/V56*100</f>
        <v/>
      </c>
      <c r="AQ56" s="8">
        <f>P56/AL56*1000</f>
        <v/>
      </c>
      <c r="AR56" s="77">
        <f>MAX(N56,M56-1)</f>
        <v/>
      </c>
      <c r="AS56" s="14">
        <f>SUMIFS(Donnees_regimes!$R$3:$R$1118,Donnees_regimes!$A$3:$A$1118,C56,Donnees_regimes!$B$3:$B$1118,"&gt;="&amp;G56,Donnees_regimes!$B$3:$B$1118,"&lt;="&amp;N56)*L56/ROUNDUP(L56,0)*SUMIFS(Donnees_annuelles!$AG$3:$AG$188,Donnees_annuelles!$A$3:$A$188,AR56)*SUMIFS(Donnees_annuelles!$AA$3:$AA$188,Donnees_annuelles!$A$3:$A$188,AR56)</f>
        <v/>
      </c>
      <c r="AT56" s="36">
        <f>AS56/V56</f>
        <v/>
      </c>
      <c r="AU56" s="14">
        <f>AL56</f>
        <v/>
      </c>
      <c r="AV56" s="39">
        <f>AS56-AL56</f>
        <v/>
      </c>
      <c r="AW56" s="9">
        <f>AS56/AL56-1</f>
        <v/>
      </c>
      <c r="AX56" s="14">
        <f>AS56/AJ56/12</f>
        <v/>
      </c>
      <c r="AY56" s="14">
        <f>AF56</f>
        <v/>
      </c>
      <c r="AZ56" s="39">
        <f>AX56-AF56</f>
        <v/>
      </c>
      <c r="BA56" s="14">
        <f>SUMIFS(Donnees_regimes!$S$3:$S$1118,Donnees_regimes!$A$3:$A$1118,C56,Donnees_regimes!$B$3:$B$1118,"&gt;="&amp;G56,Donnees_regimes!$B$3:$B$1118,"&lt;="&amp;N56)*L56/ROUNDUP(L56,0)*SUMIFS(Donnees_annuelles!$AH$3:$AH$188,Donnees_annuelles!$A$3:$A$188,AR56)*SUMIFS(Donnees_annuelles!$AA$3:$AA$188,Donnees_annuelles!$A$3:$A$188,AR56)</f>
        <v/>
      </c>
      <c r="BB56" s="39">
        <f>BA56-AL56</f>
        <v/>
      </c>
      <c r="BC56" s="7">
        <f>IF(M56+AJ56&gt;2026,IF(G56&gt;2026,"entièrement projeté","en partie projeté"),"observé")</f>
        <v/>
      </c>
    </row>
    <row r="57">
      <c r="A57" s="7" t="inlineStr">
        <is>
          <t>Génération Y</t>
        </is>
      </c>
      <c r="B57" s="84" t="inlineStr">
        <is>
          <t>Privé</t>
        </is>
      </c>
      <c r="C57" s="7">
        <f>IF(G57&gt;=SUMIFS(Regimes!$C$5:$C$10,Regimes!$A$5:$A$10,B57),"Privé",B57)</f>
        <v/>
      </c>
      <c r="D57" s="7">
        <f>INDEX(Regimes!$D$5:$D$10,MATCH(C57,Regimes!$A$5:$A$10,0))</f>
        <v/>
      </c>
      <c r="E57" s="88" t="n">
        <v>1982</v>
      </c>
      <c r="F57" s="8">
        <f>Donnees_generations!C70</f>
        <v/>
      </c>
      <c r="G57" s="77">
        <f>Donnees_generations!D70</f>
        <v/>
      </c>
      <c r="H57" s="8">
        <f>SUMIFS(Donnees_generations!$S$3:$S$113,Donnees_generations!$A$3:$A$113,MAX(1915,MIN(2025,E57)))</f>
        <v/>
      </c>
      <c r="I57" s="8">
        <f>SUMIFS(Donnees_generations!$T$3:$T$113,Donnees_generations!$A$3:$A$113,MAX(1915,MIN(2025,E57)))</f>
        <v/>
      </c>
      <c r="J57" s="8">
        <f>IF(G57&gt;=2000,MAX(I57,Parametres!$B$3),I57)</f>
        <v/>
      </c>
      <c r="K57" s="8">
        <f>IF(C57="Privé",J57,SUMIFS(Regles_regimes!$J$3:$J$2000,Regles_regimes!$A$3:$A$2000,C57,Regles_regimes!$B$3:$B$2000,D57,Regles_regimes!$C$3:$C$2000,MAX(1915,MIN(2025,E57))))</f>
        <v/>
      </c>
      <c r="L57" s="8">
        <f>IF(C57="Privé",H57,(K57-F57)*H57/(J57-F57))</f>
        <v/>
      </c>
      <c r="M57" s="77">
        <f>INT(E57+K57)</f>
        <v/>
      </c>
      <c r="N57" s="77">
        <f>G57+ROUNDUP(L57,0)-1</f>
        <v/>
      </c>
      <c r="O57" s="89">
        <f>SUMIFS(Regles_regimes!$K$3:$K$2000,Regles_regimes!$A$3:$A$2000,C57,Regles_regimes!$B$3:$B$2000,D57,Regles_regimes!$C$3:$C$2000,MAX(1915,MIN(2025,E57)))</f>
        <v/>
      </c>
      <c r="P57" s="13">
        <f>SUMIFS(Donnees_annuelles!$W$3:$W$188,Donnees_annuelles!$A$3:$A$188,"&gt;="&amp;G57,Donnees_annuelles!$A$3:$A$188,"&lt;="&amp;N57)*L57/ROUNDUP(L57,0)*O57</f>
        <v/>
      </c>
      <c r="Q57" s="13">
        <f>SUMIFS(Donnees_annuelles!$V$3:$V$188,Donnees_annuelles!$A$3:$A$188,"&gt;="&amp;G57,Donnees_annuelles!$A$3:$A$188,"&lt;="&amp;N57)*L57/ROUNDUP(L57,0)</f>
        <v/>
      </c>
      <c r="R57" s="13">
        <f>P57/L57</f>
        <v/>
      </c>
      <c r="S57" s="14">
        <f>SUMIFS(Donnees_annuelles!$D$3:$D$188,Donnees_annuelles!$A$3:$A$188,"&gt;="&amp;G57,Donnees_annuelles!$A$3:$A$188,"&lt;="&amp;N57)*L57/ROUNDUP(L57,0)</f>
        <v/>
      </c>
      <c r="T57" s="14">
        <f>SUMIFS(Donnees_regimes!$N$3:$N$1118,Donnees_regimes!$A$3:$A$1118,C57,Donnees_regimes!$B$3:$B$1118,"&gt;="&amp;G57,Donnees_regimes!$B$3:$B$1118,"&lt;="&amp;N57)*L57/ROUNDUP(L57,0)</f>
        <v/>
      </c>
      <c r="U57" s="14">
        <f>SUMIFS(Donnees_regimes!$O$3:$O$1118,Donnees_regimes!$A$3:$A$1118,C57,Donnees_regimes!$B$3:$B$1118,"&gt;="&amp;G57,Donnees_regimes!$B$3:$B$1118,"&lt;="&amp;N57)*L57/ROUNDUP(L57,0)</f>
        <v/>
      </c>
      <c r="V57" s="14">
        <f>T57+U57</f>
        <v/>
      </c>
      <c r="W57" s="33">
        <f>V57/S57</f>
        <v/>
      </c>
      <c r="X57" s="14">
        <f>S57+U57</f>
        <v/>
      </c>
      <c r="Y57" s="17">
        <f>V57/P57</f>
        <v/>
      </c>
      <c r="Z57" s="14">
        <f>SUMIFS(Donnees_regimes!$Q$3:$Q$1118,Donnees_regimes!$A$3:$A$1118,C57,Donnees_regimes!$B$3:$B$1118,"&gt;="&amp;G57,Donnees_regimes!$B$3:$B$1118,"&lt;="&amp;N57)*L57/ROUNDUP(L57,0)</f>
        <v/>
      </c>
      <c r="AA57" s="77">
        <f>SUMIFS(Regles_regimes!$F$3:$F$2000,Regles_regimes!$A$3:$A$2000,C57,Regles_regimes!$B$3:$B$2000,D57,Regles_regimes!$C$3:$C$2000,MAX(1915,MIN(2025,E57)))</f>
        <v/>
      </c>
      <c r="AB57" s="77">
        <f>IF(AND(SUMIFS(Regles_regimes!$L$3:$L$2000,Regles_regimes!$A$3:$A$2000,C57,Regles_regimes!$B$3:$B$2000,D57,Regles_regimes!$C$3:$C$2000,MAX(1915,MIN(2025,E57)))=1,G57&lt;2009,C57&lt;&gt;"Privé"),MIN(20,L57*4/5),0)</f>
        <v/>
      </c>
      <c r="AC57" s="89">
        <f>SUMIFS(Donnees_regimes!$M$3:$M$1118,Donnees_regimes!$A$3:$A$1118,C57,Donnees_regimes!$B$3:$B$1118,M57)</f>
        <v/>
      </c>
      <c r="AD57" s="14">
        <f>SUMIFS(Donnees_annuelles!$Y$3:$Y$188,Donnees_annuelles!$A$3:$A$188,M57)*SUMIFS(Donnees_generations!$I$3:$I$113,Donnees_generations!$A$3:$A$113,MAX(1915,MIN(2025,E57)))/H57</f>
        <v/>
      </c>
      <c r="AE57" s="14">
        <f>IF(C57="Privé",SUMIFS(Donnees_annuelles!$Y$3:$Y$188,Donnees_annuelles!$A$3:$A$188,M57)*MIN(L57,SUMIFS(Donnees_generations!$I$3:$I$113,Donnees_generations!$A$3:$A$113,MAX(1915,MIN(2025,E57))))/L57,AD57*AC57*MIN(IF(AB57&gt;0,0.8/0.75,1),(L57*4+AB57)/AA57))</f>
        <v/>
      </c>
      <c r="AF57" s="14">
        <f>AE57/12</f>
        <v/>
      </c>
      <c r="AG57" s="77">
        <f>MIN(68,MAX(56,2*INT(K57/2)))</f>
        <v/>
      </c>
      <c r="AH57" s="75">
        <f>(CHOOSE((AG57-56)/2+1,SUMIFS(Donnees_generations!$U$3:$U$113,Donnees_generations!$A$3:$A$113,MAX(1915,MIN(2025,E57))),SUMIFS(Donnees_generations!$V$3:$V$113,Donnees_generations!$A$3:$A$113,MAX(1915,MIN(2025,E57))),SUMIFS(Donnees_generations!$W$3:$W$113,Donnees_generations!$A$3:$A$113,MAX(1915,MIN(2025,E57))),SUMIFS(Donnees_generations!$X$3:$X$113,Donnees_generations!$A$3:$A$113,MAX(1915,MIN(2025,E57))),SUMIFS(Donnees_generations!$Y$3:$Y$113,Donnees_generations!$A$3:$A$113,MAX(1915,MIN(2025,E57))),SUMIFS(Donnees_generations!$Z$3:$Z$113,Donnees_generations!$A$3:$A$113,MAX(1915,MIN(2025,E57))),SUMIFS(Donnees_generations!$AA$3:$AA$113,Donnees_generations!$A$3:$A$113,MAX(1915,MIN(2025,E57))),SUMIFS(Donnees_generations!$AB$3:$AB$113,Donnees_generations!$A$3:$A$113,MAX(1915,MIN(2025,E57))))+CHOOSE((AG57-56)/2+1,SUMIFS(Donnees_generations!$AC$3:$AC$113,Donnees_generations!$A$3:$A$113,MAX(1915,MIN(2025,E57))),SUMIFS(Donnees_generations!$AD$3:$AD$113,Donnees_generations!$A$3:$A$113,MAX(1915,MIN(2025,E57))),SUMIFS(Donnees_generations!$AE$3:$AE$113,Donnees_generations!$A$3:$A$113,MAX(1915,MIN(2025,E57))),SUMIFS(Donnees_generations!$AF$3:$AF$113,Donnees_generations!$A$3:$A$113,MAX(1915,MIN(2025,E57))),SUMIFS(Donnees_generations!$AG$3:$AG$113,Donnees_generations!$A$3:$A$113,MAX(1915,MIN(2025,E57))),SUMIFS(Donnees_generations!$AH$3:$AH$113,Donnees_generations!$A$3:$A$113,MAX(1915,MIN(2025,E57))),SUMIFS(Donnees_generations!$AI$3:$AI$113,Donnees_generations!$A$3:$A$113,MAX(1915,MIN(2025,E57))),SUMIFS(Donnees_generations!$AJ$3:$AJ$113,Donnees_generations!$A$3:$A$113,MAX(1915,MIN(2025,E57)))))/2</f>
        <v/>
      </c>
      <c r="AI57" s="75">
        <f>(CHOOSE(((AG57+2)-56)/2+1,SUMIFS(Donnees_generations!$U$3:$U$113,Donnees_generations!$A$3:$A$113,MAX(1915,MIN(2025,E57))),SUMIFS(Donnees_generations!$V$3:$V$113,Donnees_generations!$A$3:$A$113,MAX(1915,MIN(2025,E57))),SUMIFS(Donnees_generations!$W$3:$W$113,Donnees_generations!$A$3:$A$113,MAX(1915,MIN(2025,E57))),SUMIFS(Donnees_generations!$X$3:$X$113,Donnees_generations!$A$3:$A$113,MAX(1915,MIN(2025,E57))),SUMIFS(Donnees_generations!$Y$3:$Y$113,Donnees_generations!$A$3:$A$113,MAX(1915,MIN(2025,E57))),SUMIFS(Donnees_generations!$Z$3:$Z$113,Donnees_generations!$A$3:$A$113,MAX(1915,MIN(2025,E57))),SUMIFS(Donnees_generations!$AA$3:$AA$113,Donnees_generations!$A$3:$A$113,MAX(1915,MIN(2025,E57))),SUMIFS(Donnees_generations!$AB$3:$AB$113,Donnees_generations!$A$3:$A$113,MAX(1915,MIN(2025,E57))))+CHOOSE(((AG57+2)-56)/2+1,SUMIFS(Donnees_generations!$AC$3:$AC$113,Donnees_generations!$A$3:$A$113,MAX(1915,MIN(2025,E57))),SUMIFS(Donnees_generations!$AD$3:$AD$113,Donnees_generations!$A$3:$A$113,MAX(1915,MIN(2025,E57))),SUMIFS(Donnees_generations!$AE$3:$AE$113,Donnees_generations!$A$3:$A$113,MAX(1915,MIN(2025,E57))),SUMIFS(Donnees_generations!$AF$3:$AF$113,Donnees_generations!$A$3:$A$113,MAX(1915,MIN(2025,E57))),SUMIFS(Donnees_generations!$AG$3:$AG$113,Donnees_generations!$A$3:$A$113,MAX(1915,MIN(2025,E57))),SUMIFS(Donnees_generations!$AH$3:$AH$113,Donnees_generations!$A$3:$A$113,MAX(1915,MIN(2025,E57))),SUMIFS(Donnees_generations!$AI$3:$AI$113,Donnees_generations!$A$3:$A$113,MAX(1915,MIN(2025,E57))),SUMIFS(Donnees_generations!$AJ$3:$AJ$113,Donnees_generations!$A$3:$A$113,MAX(1915,MIN(2025,E57)))))/2</f>
        <v/>
      </c>
      <c r="AJ57" s="8">
        <f>MAX(0,AH57+(AI57-AH57)*(K57-AG57)/2)</f>
        <v/>
      </c>
      <c r="AK57" s="8">
        <f>K57+AJ57</f>
        <v/>
      </c>
      <c r="AL57" s="14">
        <f>AE57*AJ57</f>
        <v/>
      </c>
      <c r="AM57" s="17">
        <f>V57/AL57</f>
        <v/>
      </c>
      <c r="AN57" s="17">
        <f>Z57/AL57</f>
        <v/>
      </c>
      <c r="AO57" s="33">
        <f>IF(V57+Z57=0,0,Z57/(V57+Z57))</f>
        <v/>
      </c>
      <c r="AP57" s="14">
        <f>AL57/V57*100</f>
        <v/>
      </c>
      <c r="AQ57" s="8">
        <f>P57/AL57*1000</f>
        <v/>
      </c>
      <c r="AR57" s="77">
        <f>MAX(N57,M57-1)</f>
        <v/>
      </c>
      <c r="AS57" s="14">
        <f>SUMIFS(Donnees_regimes!$R$3:$R$1118,Donnees_regimes!$A$3:$A$1118,C57,Donnees_regimes!$B$3:$B$1118,"&gt;="&amp;G57,Donnees_regimes!$B$3:$B$1118,"&lt;="&amp;N57)*L57/ROUNDUP(L57,0)*SUMIFS(Donnees_annuelles!$AG$3:$AG$188,Donnees_annuelles!$A$3:$A$188,AR57)*SUMIFS(Donnees_annuelles!$AA$3:$AA$188,Donnees_annuelles!$A$3:$A$188,AR57)</f>
        <v/>
      </c>
      <c r="AT57" s="36">
        <f>AS57/V57</f>
        <v/>
      </c>
      <c r="AU57" s="14">
        <f>AL57</f>
        <v/>
      </c>
      <c r="AV57" s="39">
        <f>AS57-AL57</f>
        <v/>
      </c>
      <c r="AW57" s="9">
        <f>AS57/AL57-1</f>
        <v/>
      </c>
      <c r="AX57" s="14">
        <f>AS57/AJ57/12</f>
        <v/>
      </c>
      <c r="AY57" s="14">
        <f>AF57</f>
        <v/>
      </c>
      <c r="AZ57" s="39">
        <f>AX57-AF57</f>
        <v/>
      </c>
      <c r="BA57" s="14">
        <f>SUMIFS(Donnees_regimes!$S$3:$S$1118,Donnees_regimes!$A$3:$A$1118,C57,Donnees_regimes!$B$3:$B$1118,"&gt;="&amp;G57,Donnees_regimes!$B$3:$B$1118,"&lt;="&amp;N57)*L57/ROUNDUP(L57,0)*SUMIFS(Donnees_annuelles!$AH$3:$AH$188,Donnees_annuelles!$A$3:$A$188,AR57)*SUMIFS(Donnees_annuelles!$AA$3:$AA$188,Donnees_annuelles!$A$3:$A$188,AR57)</f>
        <v/>
      </c>
      <c r="BB57" s="39">
        <f>BA57-AL57</f>
        <v/>
      </c>
      <c r="BC57" s="7">
        <f>IF(M57+AJ57&gt;2026,IF(G57&gt;2026,"entièrement projeté","en partie projeté"),"observé")</f>
        <v/>
      </c>
    </row>
    <row r="58">
      <c r="A58" s="7" t="inlineStr">
        <is>
          <t>Génération Y</t>
        </is>
      </c>
      <c r="B58" s="84" t="inlineStr">
        <is>
          <t>Privé</t>
        </is>
      </c>
      <c r="C58" s="7">
        <f>IF(G58&gt;=SUMIFS(Regimes!$C$5:$C$10,Regimes!$A$5:$A$10,B58),"Privé",B58)</f>
        <v/>
      </c>
      <c r="D58" s="7">
        <f>INDEX(Regimes!$D$5:$D$10,MATCH(C58,Regimes!$A$5:$A$10,0))</f>
        <v/>
      </c>
      <c r="E58" s="88" t="n">
        <v>1983</v>
      </c>
      <c r="F58" s="8">
        <f>Donnees_generations!C71</f>
        <v/>
      </c>
      <c r="G58" s="77">
        <f>Donnees_generations!D71</f>
        <v/>
      </c>
      <c r="H58" s="8">
        <f>SUMIFS(Donnees_generations!$S$3:$S$113,Donnees_generations!$A$3:$A$113,MAX(1915,MIN(2025,E58)))</f>
        <v/>
      </c>
      <c r="I58" s="8">
        <f>SUMIFS(Donnees_generations!$T$3:$T$113,Donnees_generations!$A$3:$A$113,MAX(1915,MIN(2025,E58)))</f>
        <v/>
      </c>
      <c r="J58" s="8">
        <f>IF(G58&gt;=2000,MAX(I58,Parametres!$B$3),I58)</f>
        <v/>
      </c>
      <c r="K58" s="8">
        <f>IF(C58="Privé",J58,SUMIFS(Regles_regimes!$J$3:$J$2000,Regles_regimes!$A$3:$A$2000,C58,Regles_regimes!$B$3:$B$2000,D58,Regles_regimes!$C$3:$C$2000,MAX(1915,MIN(2025,E58))))</f>
        <v/>
      </c>
      <c r="L58" s="8">
        <f>IF(C58="Privé",H58,(K58-F58)*H58/(J58-F58))</f>
        <v/>
      </c>
      <c r="M58" s="77">
        <f>INT(E58+K58)</f>
        <v/>
      </c>
      <c r="N58" s="77">
        <f>G58+ROUNDUP(L58,0)-1</f>
        <v/>
      </c>
      <c r="O58" s="89">
        <f>SUMIFS(Regles_regimes!$K$3:$K$2000,Regles_regimes!$A$3:$A$2000,C58,Regles_regimes!$B$3:$B$2000,D58,Regles_regimes!$C$3:$C$2000,MAX(1915,MIN(2025,E58)))</f>
        <v/>
      </c>
      <c r="P58" s="13">
        <f>SUMIFS(Donnees_annuelles!$W$3:$W$188,Donnees_annuelles!$A$3:$A$188,"&gt;="&amp;G58,Donnees_annuelles!$A$3:$A$188,"&lt;="&amp;N58)*L58/ROUNDUP(L58,0)*O58</f>
        <v/>
      </c>
      <c r="Q58" s="13">
        <f>SUMIFS(Donnees_annuelles!$V$3:$V$188,Donnees_annuelles!$A$3:$A$188,"&gt;="&amp;G58,Donnees_annuelles!$A$3:$A$188,"&lt;="&amp;N58)*L58/ROUNDUP(L58,0)</f>
        <v/>
      </c>
      <c r="R58" s="13">
        <f>P58/L58</f>
        <v/>
      </c>
      <c r="S58" s="14">
        <f>SUMIFS(Donnees_annuelles!$D$3:$D$188,Donnees_annuelles!$A$3:$A$188,"&gt;="&amp;G58,Donnees_annuelles!$A$3:$A$188,"&lt;="&amp;N58)*L58/ROUNDUP(L58,0)</f>
        <v/>
      </c>
      <c r="T58" s="14">
        <f>SUMIFS(Donnees_regimes!$N$3:$N$1118,Donnees_regimes!$A$3:$A$1118,C58,Donnees_regimes!$B$3:$B$1118,"&gt;="&amp;G58,Donnees_regimes!$B$3:$B$1118,"&lt;="&amp;N58)*L58/ROUNDUP(L58,0)</f>
        <v/>
      </c>
      <c r="U58" s="14">
        <f>SUMIFS(Donnees_regimes!$O$3:$O$1118,Donnees_regimes!$A$3:$A$1118,C58,Donnees_regimes!$B$3:$B$1118,"&gt;="&amp;G58,Donnees_regimes!$B$3:$B$1118,"&lt;="&amp;N58)*L58/ROUNDUP(L58,0)</f>
        <v/>
      </c>
      <c r="V58" s="14">
        <f>T58+U58</f>
        <v/>
      </c>
      <c r="W58" s="33">
        <f>V58/S58</f>
        <v/>
      </c>
      <c r="X58" s="14">
        <f>S58+U58</f>
        <v/>
      </c>
      <c r="Y58" s="17">
        <f>V58/P58</f>
        <v/>
      </c>
      <c r="Z58" s="14">
        <f>SUMIFS(Donnees_regimes!$Q$3:$Q$1118,Donnees_regimes!$A$3:$A$1118,C58,Donnees_regimes!$B$3:$B$1118,"&gt;="&amp;G58,Donnees_regimes!$B$3:$B$1118,"&lt;="&amp;N58)*L58/ROUNDUP(L58,0)</f>
        <v/>
      </c>
      <c r="AA58" s="77">
        <f>SUMIFS(Regles_regimes!$F$3:$F$2000,Regles_regimes!$A$3:$A$2000,C58,Regles_regimes!$B$3:$B$2000,D58,Regles_regimes!$C$3:$C$2000,MAX(1915,MIN(2025,E58)))</f>
        <v/>
      </c>
      <c r="AB58" s="77">
        <f>IF(AND(SUMIFS(Regles_regimes!$L$3:$L$2000,Regles_regimes!$A$3:$A$2000,C58,Regles_regimes!$B$3:$B$2000,D58,Regles_regimes!$C$3:$C$2000,MAX(1915,MIN(2025,E58)))=1,G58&lt;2009,C58&lt;&gt;"Privé"),MIN(20,L58*4/5),0)</f>
        <v/>
      </c>
      <c r="AC58" s="89">
        <f>SUMIFS(Donnees_regimes!$M$3:$M$1118,Donnees_regimes!$A$3:$A$1118,C58,Donnees_regimes!$B$3:$B$1118,M58)</f>
        <v/>
      </c>
      <c r="AD58" s="14">
        <f>SUMIFS(Donnees_annuelles!$Y$3:$Y$188,Donnees_annuelles!$A$3:$A$188,M58)*SUMIFS(Donnees_generations!$I$3:$I$113,Donnees_generations!$A$3:$A$113,MAX(1915,MIN(2025,E58)))/H58</f>
        <v/>
      </c>
      <c r="AE58" s="14">
        <f>IF(C58="Privé",SUMIFS(Donnees_annuelles!$Y$3:$Y$188,Donnees_annuelles!$A$3:$A$188,M58)*MIN(L58,SUMIFS(Donnees_generations!$I$3:$I$113,Donnees_generations!$A$3:$A$113,MAX(1915,MIN(2025,E58))))/L58,AD58*AC58*MIN(IF(AB58&gt;0,0.8/0.75,1),(L58*4+AB58)/AA58))</f>
        <v/>
      </c>
      <c r="AF58" s="14">
        <f>AE58/12</f>
        <v/>
      </c>
      <c r="AG58" s="77">
        <f>MIN(68,MAX(56,2*INT(K58/2)))</f>
        <v/>
      </c>
      <c r="AH58" s="75">
        <f>(CHOOSE((AG58-56)/2+1,SUMIFS(Donnees_generations!$U$3:$U$113,Donnees_generations!$A$3:$A$113,MAX(1915,MIN(2025,E58))),SUMIFS(Donnees_generations!$V$3:$V$113,Donnees_generations!$A$3:$A$113,MAX(1915,MIN(2025,E58))),SUMIFS(Donnees_generations!$W$3:$W$113,Donnees_generations!$A$3:$A$113,MAX(1915,MIN(2025,E58))),SUMIFS(Donnees_generations!$X$3:$X$113,Donnees_generations!$A$3:$A$113,MAX(1915,MIN(2025,E58))),SUMIFS(Donnees_generations!$Y$3:$Y$113,Donnees_generations!$A$3:$A$113,MAX(1915,MIN(2025,E58))),SUMIFS(Donnees_generations!$Z$3:$Z$113,Donnees_generations!$A$3:$A$113,MAX(1915,MIN(2025,E58))),SUMIFS(Donnees_generations!$AA$3:$AA$113,Donnees_generations!$A$3:$A$113,MAX(1915,MIN(2025,E58))),SUMIFS(Donnees_generations!$AB$3:$AB$113,Donnees_generations!$A$3:$A$113,MAX(1915,MIN(2025,E58))))+CHOOSE((AG58-56)/2+1,SUMIFS(Donnees_generations!$AC$3:$AC$113,Donnees_generations!$A$3:$A$113,MAX(1915,MIN(2025,E58))),SUMIFS(Donnees_generations!$AD$3:$AD$113,Donnees_generations!$A$3:$A$113,MAX(1915,MIN(2025,E58))),SUMIFS(Donnees_generations!$AE$3:$AE$113,Donnees_generations!$A$3:$A$113,MAX(1915,MIN(2025,E58))),SUMIFS(Donnees_generations!$AF$3:$AF$113,Donnees_generations!$A$3:$A$113,MAX(1915,MIN(2025,E58))),SUMIFS(Donnees_generations!$AG$3:$AG$113,Donnees_generations!$A$3:$A$113,MAX(1915,MIN(2025,E58))),SUMIFS(Donnees_generations!$AH$3:$AH$113,Donnees_generations!$A$3:$A$113,MAX(1915,MIN(2025,E58))),SUMIFS(Donnees_generations!$AI$3:$AI$113,Donnees_generations!$A$3:$A$113,MAX(1915,MIN(2025,E58))),SUMIFS(Donnees_generations!$AJ$3:$AJ$113,Donnees_generations!$A$3:$A$113,MAX(1915,MIN(2025,E58)))))/2</f>
        <v/>
      </c>
      <c r="AI58" s="75">
        <f>(CHOOSE(((AG58+2)-56)/2+1,SUMIFS(Donnees_generations!$U$3:$U$113,Donnees_generations!$A$3:$A$113,MAX(1915,MIN(2025,E58))),SUMIFS(Donnees_generations!$V$3:$V$113,Donnees_generations!$A$3:$A$113,MAX(1915,MIN(2025,E58))),SUMIFS(Donnees_generations!$W$3:$W$113,Donnees_generations!$A$3:$A$113,MAX(1915,MIN(2025,E58))),SUMIFS(Donnees_generations!$X$3:$X$113,Donnees_generations!$A$3:$A$113,MAX(1915,MIN(2025,E58))),SUMIFS(Donnees_generations!$Y$3:$Y$113,Donnees_generations!$A$3:$A$113,MAX(1915,MIN(2025,E58))),SUMIFS(Donnees_generations!$Z$3:$Z$113,Donnees_generations!$A$3:$A$113,MAX(1915,MIN(2025,E58))),SUMIFS(Donnees_generations!$AA$3:$AA$113,Donnees_generations!$A$3:$A$113,MAX(1915,MIN(2025,E58))),SUMIFS(Donnees_generations!$AB$3:$AB$113,Donnees_generations!$A$3:$A$113,MAX(1915,MIN(2025,E58))))+CHOOSE(((AG58+2)-56)/2+1,SUMIFS(Donnees_generations!$AC$3:$AC$113,Donnees_generations!$A$3:$A$113,MAX(1915,MIN(2025,E58))),SUMIFS(Donnees_generations!$AD$3:$AD$113,Donnees_generations!$A$3:$A$113,MAX(1915,MIN(2025,E58))),SUMIFS(Donnees_generations!$AE$3:$AE$113,Donnees_generations!$A$3:$A$113,MAX(1915,MIN(2025,E58))),SUMIFS(Donnees_generations!$AF$3:$AF$113,Donnees_generations!$A$3:$A$113,MAX(1915,MIN(2025,E58))),SUMIFS(Donnees_generations!$AG$3:$AG$113,Donnees_generations!$A$3:$A$113,MAX(1915,MIN(2025,E58))),SUMIFS(Donnees_generations!$AH$3:$AH$113,Donnees_generations!$A$3:$A$113,MAX(1915,MIN(2025,E58))),SUMIFS(Donnees_generations!$AI$3:$AI$113,Donnees_generations!$A$3:$A$113,MAX(1915,MIN(2025,E58))),SUMIFS(Donnees_generations!$AJ$3:$AJ$113,Donnees_generations!$A$3:$A$113,MAX(1915,MIN(2025,E58)))))/2</f>
        <v/>
      </c>
      <c r="AJ58" s="8">
        <f>MAX(0,AH58+(AI58-AH58)*(K58-AG58)/2)</f>
        <v/>
      </c>
      <c r="AK58" s="8">
        <f>K58+AJ58</f>
        <v/>
      </c>
      <c r="AL58" s="14">
        <f>AE58*AJ58</f>
        <v/>
      </c>
      <c r="AM58" s="17">
        <f>V58/AL58</f>
        <v/>
      </c>
      <c r="AN58" s="17">
        <f>Z58/AL58</f>
        <v/>
      </c>
      <c r="AO58" s="33">
        <f>IF(V58+Z58=0,0,Z58/(V58+Z58))</f>
        <v/>
      </c>
      <c r="AP58" s="14">
        <f>AL58/V58*100</f>
        <v/>
      </c>
      <c r="AQ58" s="8">
        <f>P58/AL58*1000</f>
        <v/>
      </c>
      <c r="AR58" s="77">
        <f>MAX(N58,M58-1)</f>
        <v/>
      </c>
      <c r="AS58" s="14">
        <f>SUMIFS(Donnees_regimes!$R$3:$R$1118,Donnees_regimes!$A$3:$A$1118,C58,Donnees_regimes!$B$3:$B$1118,"&gt;="&amp;G58,Donnees_regimes!$B$3:$B$1118,"&lt;="&amp;N58)*L58/ROUNDUP(L58,0)*SUMIFS(Donnees_annuelles!$AG$3:$AG$188,Donnees_annuelles!$A$3:$A$188,AR58)*SUMIFS(Donnees_annuelles!$AA$3:$AA$188,Donnees_annuelles!$A$3:$A$188,AR58)</f>
        <v/>
      </c>
      <c r="AT58" s="36">
        <f>AS58/V58</f>
        <v/>
      </c>
      <c r="AU58" s="14">
        <f>AL58</f>
        <v/>
      </c>
      <c r="AV58" s="39">
        <f>AS58-AL58</f>
        <v/>
      </c>
      <c r="AW58" s="9">
        <f>AS58/AL58-1</f>
        <v/>
      </c>
      <c r="AX58" s="14">
        <f>AS58/AJ58/12</f>
        <v/>
      </c>
      <c r="AY58" s="14">
        <f>AF58</f>
        <v/>
      </c>
      <c r="AZ58" s="39">
        <f>AX58-AF58</f>
        <v/>
      </c>
      <c r="BA58" s="14">
        <f>SUMIFS(Donnees_regimes!$S$3:$S$1118,Donnees_regimes!$A$3:$A$1118,C58,Donnees_regimes!$B$3:$B$1118,"&gt;="&amp;G58,Donnees_regimes!$B$3:$B$1118,"&lt;="&amp;N58)*L58/ROUNDUP(L58,0)*SUMIFS(Donnees_annuelles!$AH$3:$AH$188,Donnees_annuelles!$A$3:$A$188,AR58)*SUMIFS(Donnees_annuelles!$AA$3:$AA$188,Donnees_annuelles!$A$3:$A$188,AR58)</f>
        <v/>
      </c>
      <c r="BB58" s="39">
        <f>BA58-AL58</f>
        <v/>
      </c>
      <c r="BC58" s="7">
        <f>IF(M58+AJ58&gt;2026,IF(G58&gt;2026,"entièrement projeté","en partie projeté"),"observé")</f>
        <v/>
      </c>
    </row>
    <row r="59">
      <c r="A59" s="7" t="inlineStr">
        <is>
          <t>Génération Y</t>
        </is>
      </c>
      <c r="B59" s="84" t="inlineStr">
        <is>
          <t>Privé</t>
        </is>
      </c>
      <c r="C59" s="7">
        <f>IF(G59&gt;=SUMIFS(Regimes!$C$5:$C$10,Regimes!$A$5:$A$10,B59),"Privé",B59)</f>
        <v/>
      </c>
      <c r="D59" s="7">
        <f>INDEX(Regimes!$D$5:$D$10,MATCH(C59,Regimes!$A$5:$A$10,0))</f>
        <v/>
      </c>
      <c r="E59" s="88" t="n">
        <v>1984</v>
      </c>
      <c r="F59" s="8">
        <f>Donnees_generations!C72</f>
        <v/>
      </c>
      <c r="G59" s="77">
        <f>Donnees_generations!D72</f>
        <v/>
      </c>
      <c r="H59" s="8">
        <f>SUMIFS(Donnees_generations!$S$3:$S$113,Donnees_generations!$A$3:$A$113,MAX(1915,MIN(2025,E59)))</f>
        <v/>
      </c>
      <c r="I59" s="8">
        <f>SUMIFS(Donnees_generations!$T$3:$T$113,Donnees_generations!$A$3:$A$113,MAX(1915,MIN(2025,E59)))</f>
        <v/>
      </c>
      <c r="J59" s="8">
        <f>IF(G59&gt;=2000,MAX(I59,Parametres!$B$3),I59)</f>
        <v/>
      </c>
      <c r="K59" s="8">
        <f>IF(C59="Privé",J59,SUMIFS(Regles_regimes!$J$3:$J$2000,Regles_regimes!$A$3:$A$2000,C59,Regles_regimes!$B$3:$B$2000,D59,Regles_regimes!$C$3:$C$2000,MAX(1915,MIN(2025,E59))))</f>
        <v/>
      </c>
      <c r="L59" s="8">
        <f>IF(C59="Privé",H59,(K59-F59)*H59/(J59-F59))</f>
        <v/>
      </c>
      <c r="M59" s="77">
        <f>INT(E59+K59)</f>
        <v/>
      </c>
      <c r="N59" s="77">
        <f>G59+ROUNDUP(L59,0)-1</f>
        <v/>
      </c>
      <c r="O59" s="89">
        <f>SUMIFS(Regles_regimes!$K$3:$K$2000,Regles_regimes!$A$3:$A$2000,C59,Regles_regimes!$B$3:$B$2000,D59,Regles_regimes!$C$3:$C$2000,MAX(1915,MIN(2025,E59)))</f>
        <v/>
      </c>
      <c r="P59" s="13">
        <f>SUMIFS(Donnees_annuelles!$W$3:$W$188,Donnees_annuelles!$A$3:$A$188,"&gt;="&amp;G59,Donnees_annuelles!$A$3:$A$188,"&lt;="&amp;N59)*L59/ROUNDUP(L59,0)*O59</f>
        <v/>
      </c>
      <c r="Q59" s="13">
        <f>SUMIFS(Donnees_annuelles!$V$3:$V$188,Donnees_annuelles!$A$3:$A$188,"&gt;="&amp;G59,Donnees_annuelles!$A$3:$A$188,"&lt;="&amp;N59)*L59/ROUNDUP(L59,0)</f>
        <v/>
      </c>
      <c r="R59" s="13">
        <f>P59/L59</f>
        <v/>
      </c>
      <c r="S59" s="14">
        <f>SUMIFS(Donnees_annuelles!$D$3:$D$188,Donnees_annuelles!$A$3:$A$188,"&gt;="&amp;G59,Donnees_annuelles!$A$3:$A$188,"&lt;="&amp;N59)*L59/ROUNDUP(L59,0)</f>
        <v/>
      </c>
      <c r="T59" s="14">
        <f>SUMIFS(Donnees_regimes!$N$3:$N$1118,Donnees_regimes!$A$3:$A$1118,C59,Donnees_regimes!$B$3:$B$1118,"&gt;="&amp;G59,Donnees_regimes!$B$3:$B$1118,"&lt;="&amp;N59)*L59/ROUNDUP(L59,0)</f>
        <v/>
      </c>
      <c r="U59" s="14">
        <f>SUMIFS(Donnees_regimes!$O$3:$O$1118,Donnees_regimes!$A$3:$A$1118,C59,Donnees_regimes!$B$3:$B$1118,"&gt;="&amp;G59,Donnees_regimes!$B$3:$B$1118,"&lt;="&amp;N59)*L59/ROUNDUP(L59,0)</f>
        <v/>
      </c>
      <c r="V59" s="14">
        <f>T59+U59</f>
        <v/>
      </c>
      <c r="W59" s="33">
        <f>V59/S59</f>
        <v/>
      </c>
      <c r="X59" s="14">
        <f>S59+U59</f>
        <v/>
      </c>
      <c r="Y59" s="17">
        <f>V59/P59</f>
        <v/>
      </c>
      <c r="Z59" s="14">
        <f>SUMIFS(Donnees_regimes!$Q$3:$Q$1118,Donnees_regimes!$A$3:$A$1118,C59,Donnees_regimes!$B$3:$B$1118,"&gt;="&amp;G59,Donnees_regimes!$B$3:$B$1118,"&lt;="&amp;N59)*L59/ROUNDUP(L59,0)</f>
        <v/>
      </c>
      <c r="AA59" s="77">
        <f>SUMIFS(Regles_regimes!$F$3:$F$2000,Regles_regimes!$A$3:$A$2000,C59,Regles_regimes!$B$3:$B$2000,D59,Regles_regimes!$C$3:$C$2000,MAX(1915,MIN(2025,E59)))</f>
        <v/>
      </c>
      <c r="AB59" s="77">
        <f>IF(AND(SUMIFS(Regles_regimes!$L$3:$L$2000,Regles_regimes!$A$3:$A$2000,C59,Regles_regimes!$B$3:$B$2000,D59,Regles_regimes!$C$3:$C$2000,MAX(1915,MIN(2025,E59)))=1,G59&lt;2009,C59&lt;&gt;"Privé"),MIN(20,L59*4/5),0)</f>
        <v/>
      </c>
      <c r="AC59" s="89">
        <f>SUMIFS(Donnees_regimes!$M$3:$M$1118,Donnees_regimes!$A$3:$A$1118,C59,Donnees_regimes!$B$3:$B$1118,M59)</f>
        <v/>
      </c>
      <c r="AD59" s="14">
        <f>SUMIFS(Donnees_annuelles!$Y$3:$Y$188,Donnees_annuelles!$A$3:$A$188,M59)*SUMIFS(Donnees_generations!$I$3:$I$113,Donnees_generations!$A$3:$A$113,MAX(1915,MIN(2025,E59)))/H59</f>
        <v/>
      </c>
      <c r="AE59" s="14">
        <f>IF(C59="Privé",SUMIFS(Donnees_annuelles!$Y$3:$Y$188,Donnees_annuelles!$A$3:$A$188,M59)*MIN(L59,SUMIFS(Donnees_generations!$I$3:$I$113,Donnees_generations!$A$3:$A$113,MAX(1915,MIN(2025,E59))))/L59,AD59*AC59*MIN(IF(AB59&gt;0,0.8/0.75,1),(L59*4+AB59)/AA59))</f>
        <v/>
      </c>
      <c r="AF59" s="14">
        <f>AE59/12</f>
        <v/>
      </c>
      <c r="AG59" s="77">
        <f>MIN(68,MAX(56,2*INT(K59/2)))</f>
        <v/>
      </c>
      <c r="AH59" s="75">
        <f>(CHOOSE((AG59-56)/2+1,SUMIFS(Donnees_generations!$U$3:$U$113,Donnees_generations!$A$3:$A$113,MAX(1915,MIN(2025,E59))),SUMIFS(Donnees_generations!$V$3:$V$113,Donnees_generations!$A$3:$A$113,MAX(1915,MIN(2025,E59))),SUMIFS(Donnees_generations!$W$3:$W$113,Donnees_generations!$A$3:$A$113,MAX(1915,MIN(2025,E59))),SUMIFS(Donnees_generations!$X$3:$X$113,Donnees_generations!$A$3:$A$113,MAX(1915,MIN(2025,E59))),SUMIFS(Donnees_generations!$Y$3:$Y$113,Donnees_generations!$A$3:$A$113,MAX(1915,MIN(2025,E59))),SUMIFS(Donnees_generations!$Z$3:$Z$113,Donnees_generations!$A$3:$A$113,MAX(1915,MIN(2025,E59))),SUMIFS(Donnees_generations!$AA$3:$AA$113,Donnees_generations!$A$3:$A$113,MAX(1915,MIN(2025,E59))),SUMIFS(Donnees_generations!$AB$3:$AB$113,Donnees_generations!$A$3:$A$113,MAX(1915,MIN(2025,E59))))+CHOOSE((AG59-56)/2+1,SUMIFS(Donnees_generations!$AC$3:$AC$113,Donnees_generations!$A$3:$A$113,MAX(1915,MIN(2025,E59))),SUMIFS(Donnees_generations!$AD$3:$AD$113,Donnees_generations!$A$3:$A$113,MAX(1915,MIN(2025,E59))),SUMIFS(Donnees_generations!$AE$3:$AE$113,Donnees_generations!$A$3:$A$113,MAX(1915,MIN(2025,E59))),SUMIFS(Donnees_generations!$AF$3:$AF$113,Donnees_generations!$A$3:$A$113,MAX(1915,MIN(2025,E59))),SUMIFS(Donnees_generations!$AG$3:$AG$113,Donnees_generations!$A$3:$A$113,MAX(1915,MIN(2025,E59))),SUMIFS(Donnees_generations!$AH$3:$AH$113,Donnees_generations!$A$3:$A$113,MAX(1915,MIN(2025,E59))),SUMIFS(Donnees_generations!$AI$3:$AI$113,Donnees_generations!$A$3:$A$113,MAX(1915,MIN(2025,E59))),SUMIFS(Donnees_generations!$AJ$3:$AJ$113,Donnees_generations!$A$3:$A$113,MAX(1915,MIN(2025,E59)))))/2</f>
        <v/>
      </c>
      <c r="AI59" s="75">
        <f>(CHOOSE(((AG59+2)-56)/2+1,SUMIFS(Donnees_generations!$U$3:$U$113,Donnees_generations!$A$3:$A$113,MAX(1915,MIN(2025,E59))),SUMIFS(Donnees_generations!$V$3:$V$113,Donnees_generations!$A$3:$A$113,MAX(1915,MIN(2025,E59))),SUMIFS(Donnees_generations!$W$3:$W$113,Donnees_generations!$A$3:$A$113,MAX(1915,MIN(2025,E59))),SUMIFS(Donnees_generations!$X$3:$X$113,Donnees_generations!$A$3:$A$113,MAX(1915,MIN(2025,E59))),SUMIFS(Donnees_generations!$Y$3:$Y$113,Donnees_generations!$A$3:$A$113,MAX(1915,MIN(2025,E59))),SUMIFS(Donnees_generations!$Z$3:$Z$113,Donnees_generations!$A$3:$A$113,MAX(1915,MIN(2025,E59))),SUMIFS(Donnees_generations!$AA$3:$AA$113,Donnees_generations!$A$3:$A$113,MAX(1915,MIN(2025,E59))),SUMIFS(Donnees_generations!$AB$3:$AB$113,Donnees_generations!$A$3:$A$113,MAX(1915,MIN(2025,E59))))+CHOOSE(((AG59+2)-56)/2+1,SUMIFS(Donnees_generations!$AC$3:$AC$113,Donnees_generations!$A$3:$A$113,MAX(1915,MIN(2025,E59))),SUMIFS(Donnees_generations!$AD$3:$AD$113,Donnees_generations!$A$3:$A$113,MAX(1915,MIN(2025,E59))),SUMIFS(Donnees_generations!$AE$3:$AE$113,Donnees_generations!$A$3:$A$113,MAX(1915,MIN(2025,E59))),SUMIFS(Donnees_generations!$AF$3:$AF$113,Donnees_generations!$A$3:$A$113,MAX(1915,MIN(2025,E59))),SUMIFS(Donnees_generations!$AG$3:$AG$113,Donnees_generations!$A$3:$A$113,MAX(1915,MIN(2025,E59))),SUMIFS(Donnees_generations!$AH$3:$AH$113,Donnees_generations!$A$3:$A$113,MAX(1915,MIN(2025,E59))),SUMIFS(Donnees_generations!$AI$3:$AI$113,Donnees_generations!$A$3:$A$113,MAX(1915,MIN(2025,E59))),SUMIFS(Donnees_generations!$AJ$3:$AJ$113,Donnees_generations!$A$3:$A$113,MAX(1915,MIN(2025,E59)))))/2</f>
        <v/>
      </c>
      <c r="AJ59" s="8">
        <f>MAX(0,AH59+(AI59-AH59)*(K59-AG59)/2)</f>
        <v/>
      </c>
      <c r="AK59" s="8">
        <f>K59+AJ59</f>
        <v/>
      </c>
      <c r="AL59" s="14">
        <f>AE59*AJ59</f>
        <v/>
      </c>
      <c r="AM59" s="17">
        <f>V59/AL59</f>
        <v/>
      </c>
      <c r="AN59" s="17">
        <f>Z59/AL59</f>
        <v/>
      </c>
      <c r="AO59" s="33">
        <f>IF(V59+Z59=0,0,Z59/(V59+Z59))</f>
        <v/>
      </c>
      <c r="AP59" s="14">
        <f>AL59/V59*100</f>
        <v/>
      </c>
      <c r="AQ59" s="8">
        <f>P59/AL59*1000</f>
        <v/>
      </c>
      <c r="AR59" s="77">
        <f>MAX(N59,M59-1)</f>
        <v/>
      </c>
      <c r="AS59" s="14">
        <f>SUMIFS(Donnees_regimes!$R$3:$R$1118,Donnees_regimes!$A$3:$A$1118,C59,Donnees_regimes!$B$3:$B$1118,"&gt;="&amp;G59,Donnees_regimes!$B$3:$B$1118,"&lt;="&amp;N59)*L59/ROUNDUP(L59,0)*SUMIFS(Donnees_annuelles!$AG$3:$AG$188,Donnees_annuelles!$A$3:$A$188,AR59)*SUMIFS(Donnees_annuelles!$AA$3:$AA$188,Donnees_annuelles!$A$3:$A$188,AR59)</f>
        <v/>
      </c>
      <c r="AT59" s="36">
        <f>AS59/V59</f>
        <v/>
      </c>
      <c r="AU59" s="14">
        <f>AL59</f>
        <v/>
      </c>
      <c r="AV59" s="39">
        <f>AS59-AL59</f>
        <v/>
      </c>
      <c r="AW59" s="9">
        <f>AS59/AL59-1</f>
        <v/>
      </c>
      <c r="AX59" s="14">
        <f>AS59/AJ59/12</f>
        <v/>
      </c>
      <c r="AY59" s="14">
        <f>AF59</f>
        <v/>
      </c>
      <c r="AZ59" s="39">
        <f>AX59-AF59</f>
        <v/>
      </c>
      <c r="BA59" s="14">
        <f>SUMIFS(Donnees_regimes!$S$3:$S$1118,Donnees_regimes!$A$3:$A$1118,C59,Donnees_regimes!$B$3:$B$1118,"&gt;="&amp;G59,Donnees_regimes!$B$3:$B$1118,"&lt;="&amp;N59)*L59/ROUNDUP(L59,0)*SUMIFS(Donnees_annuelles!$AH$3:$AH$188,Donnees_annuelles!$A$3:$A$188,AR59)*SUMIFS(Donnees_annuelles!$AA$3:$AA$188,Donnees_annuelles!$A$3:$A$188,AR59)</f>
        <v/>
      </c>
      <c r="BB59" s="39">
        <f>BA59-AL59</f>
        <v/>
      </c>
      <c r="BC59" s="7">
        <f>IF(M59+AJ59&gt;2026,IF(G59&gt;2026,"entièrement projeté","en partie projeté"),"observé")</f>
        <v/>
      </c>
    </row>
    <row r="60">
      <c r="A60" s="7" t="inlineStr">
        <is>
          <t>Génération Y</t>
        </is>
      </c>
      <c r="B60" s="84" t="inlineStr">
        <is>
          <t>Privé</t>
        </is>
      </c>
      <c r="C60" s="7">
        <f>IF(G60&gt;=SUMIFS(Regimes!$C$5:$C$10,Regimes!$A$5:$A$10,B60),"Privé",B60)</f>
        <v/>
      </c>
      <c r="D60" s="7">
        <f>INDEX(Regimes!$D$5:$D$10,MATCH(C60,Regimes!$A$5:$A$10,0))</f>
        <v/>
      </c>
      <c r="E60" s="88" t="n">
        <v>1985</v>
      </c>
      <c r="F60" s="8">
        <f>Donnees_generations!C73</f>
        <v/>
      </c>
      <c r="G60" s="77">
        <f>Donnees_generations!D73</f>
        <v/>
      </c>
      <c r="H60" s="8">
        <f>SUMIFS(Donnees_generations!$S$3:$S$113,Donnees_generations!$A$3:$A$113,MAX(1915,MIN(2025,E60)))</f>
        <v/>
      </c>
      <c r="I60" s="8">
        <f>SUMIFS(Donnees_generations!$T$3:$T$113,Donnees_generations!$A$3:$A$113,MAX(1915,MIN(2025,E60)))</f>
        <v/>
      </c>
      <c r="J60" s="8">
        <f>IF(G60&gt;=2000,MAX(I60,Parametres!$B$3),I60)</f>
        <v/>
      </c>
      <c r="K60" s="8">
        <f>IF(C60="Privé",J60,SUMIFS(Regles_regimes!$J$3:$J$2000,Regles_regimes!$A$3:$A$2000,C60,Regles_regimes!$B$3:$B$2000,D60,Regles_regimes!$C$3:$C$2000,MAX(1915,MIN(2025,E60))))</f>
        <v/>
      </c>
      <c r="L60" s="8">
        <f>IF(C60="Privé",H60,(K60-F60)*H60/(J60-F60))</f>
        <v/>
      </c>
      <c r="M60" s="77">
        <f>INT(E60+K60)</f>
        <v/>
      </c>
      <c r="N60" s="77">
        <f>G60+ROUNDUP(L60,0)-1</f>
        <v/>
      </c>
      <c r="O60" s="89">
        <f>SUMIFS(Regles_regimes!$K$3:$K$2000,Regles_regimes!$A$3:$A$2000,C60,Regles_regimes!$B$3:$B$2000,D60,Regles_regimes!$C$3:$C$2000,MAX(1915,MIN(2025,E60)))</f>
        <v/>
      </c>
      <c r="P60" s="13">
        <f>SUMIFS(Donnees_annuelles!$W$3:$W$188,Donnees_annuelles!$A$3:$A$188,"&gt;="&amp;G60,Donnees_annuelles!$A$3:$A$188,"&lt;="&amp;N60)*L60/ROUNDUP(L60,0)*O60</f>
        <v/>
      </c>
      <c r="Q60" s="13">
        <f>SUMIFS(Donnees_annuelles!$V$3:$V$188,Donnees_annuelles!$A$3:$A$188,"&gt;="&amp;G60,Donnees_annuelles!$A$3:$A$188,"&lt;="&amp;N60)*L60/ROUNDUP(L60,0)</f>
        <v/>
      </c>
      <c r="R60" s="13">
        <f>P60/L60</f>
        <v/>
      </c>
      <c r="S60" s="14">
        <f>SUMIFS(Donnees_annuelles!$D$3:$D$188,Donnees_annuelles!$A$3:$A$188,"&gt;="&amp;G60,Donnees_annuelles!$A$3:$A$188,"&lt;="&amp;N60)*L60/ROUNDUP(L60,0)</f>
        <v/>
      </c>
      <c r="T60" s="14">
        <f>SUMIFS(Donnees_regimes!$N$3:$N$1118,Donnees_regimes!$A$3:$A$1118,C60,Donnees_regimes!$B$3:$B$1118,"&gt;="&amp;G60,Donnees_regimes!$B$3:$B$1118,"&lt;="&amp;N60)*L60/ROUNDUP(L60,0)</f>
        <v/>
      </c>
      <c r="U60" s="14">
        <f>SUMIFS(Donnees_regimes!$O$3:$O$1118,Donnees_regimes!$A$3:$A$1118,C60,Donnees_regimes!$B$3:$B$1118,"&gt;="&amp;G60,Donnees_regimes!$B$3:$B$1118,"&lt;="&amp;N60)*L60/ROUNDUP(L60,0)</f>
        <v/>
      </c>
      <c r="V60" s="14">
        <f>T60+U60</f>
        <v/>
      </c>
      <c r="W60" s="33">
        <f>V60/S60</f>
        <v/>
      </c>
      <c r="X60" s="14">
        <f>S60+U60</f>
        <v/>
      </c>
      <c r="Y60" s="17">
        <f>V60/P60</f>
        <v/>
      </c>
      <c r="Z60" s="14">
        <f>SUMIFS(Donnees_regimes!$Q$3:$Q$1118,Donnees_regimes!$A$3:$A$1118,C60,Donnees_regimes!$B$3:$B$1118,"&gt;="&amp;G60,Donnees_regimes!$B$3:$B$1118,"&lt;="&amp;N60)*L60/ROUNDUP(L60,0)</f>
        <v/>
      </c>
      <c r="AA60" s="77">
        <f>SUMIFS(Regles_regimes!$F$3:$F$2000,Regles_regimes!$A$3:$A$2000,C60,Regles_regimes!$B$3:$B$2000,D60,Regles_regimes!$C$3:$C$2000,MAX(1915,MIN(2025,E60)))</f>
        <v/>
      </c>
      <c r="AB60" s="77">
        <f>IF(AND(SUMIFS(Regles_regimes!$L$3:$L$2000,Regles_regimes!$A$3:$A$2000,C60,Regles_regimes!$B$3:$B$2000,D60,Regles_regimes!$C$3:$C$2000,MAX(1915,MIN(2025,E60)))=1,G60&lt;2009,C60&lt;&gt;"Privé"),MIN(20,L60*4/5),0)</f>
        <v/>
      </c>
      <c r="AC60" s="89">
        <f>SUMIFS(Donnees_regimes!$M$3:$M$1118,Donnees_regimes!$A$3:$A$1118,C60,Donnees_regimes!$B$3:$B$1118,M60)</f>
        <v/>
      </c>
      <c r="AD60" s="14">
        <f>SUMIFS(Donnees_annuelles!$Y$3:$Y$188,Donnees_annuelles!$A$3:$A$188,M60)*SUMIFS(Donnees_generations!$I$3:$I$113,Donnees_generations!$A$3:$A$113,MAX(1915,MIN(2025,E60)))/H60</f>
        <v/>
      </c>
      <c r="AE60" s="14">
        <f>IF(C60="Privé",SUMIFS(Donnees_annuelles!$Y$3:$Y$188,Donnees_annuelles!$A$3:$A$188,M60)*MIN(L60,SUMIFS(Donnees_generations!$I$3:$I$113,Donnees_generations!$A$3:$A$113,MAX(1915,MIN(2025,E60))))/L60,AD60*AC60*MIN(IF(AB60&gt;0,0.8/0.75,1),(L60*4+AB60)/AA60))</f>
        <v/>
      </c>
      <c r="AF60" s="14">
        <f>AE60/12</f>
        <v/>
      </c>
      <c r="AG60" s="77">
        <f>MIN(68,MAX(56,2*INT(K60/2)))</f>
        <v/>
      </c>
      <c r="AH60" s="75">
        <f>(CHOOSE((AG60-56)/2+1,SUMIFS(Donnees_generations!$U$3:$U$113,Donnees_generations!$A$3:$A$113,MAX(1915,MIN(2025,E60))),SUMIFS(Donnees_generations!$V$3:$V$113,Donnees_generations!$A$3:$A$113,MAX(1915,MIN(2025,E60))),SUMIFS(Donnees_generations!$W$3:$W$113,Donnees_generations!$A$3:$A$113,MAX(1915,MIN(2025,E60))),SUMIFS(Donnees_generations!$X$3:$X$113,Donnees_generations!$A$3:$A$113,MAX(1915,MIN(2025,E60))),SUMIFS(Donnees_generations!$Y$3:$Y$113,Donnees_generations!$A$3:$A$113,MAX(1915,MIN(2025,E60))),SUMIFS(Donnees_generations!$Z$3:$Z$113,Donnees_generations!$A$3:$A$113,MAX(1915,MIN(2025,E60))),SUMIFS(Donnees_generations!$AA$3:$AA$113,Donnees_generations!$A$3:$A$113,MAX(1915,MIN(2025,E60))),SUMIFS(Donnees_generations!$AB$3:$AB$113,Donnees_generations!$A$3:$A$113,MAX(1915,MIN(2025,E60))))+CHOOSE((AG60-56)/2+1,SUMIFS(Donnees_generations!$AC$3:$AC$113,Donnees_generations!$A$3:$A$113,MAX(1915,MIN(2025,E60))),SUMIFS(Donnees_generations!$AD$3:$AD$113,Donnees_generations!$A$3:$A$113,MAX(1915,MIN(2025,E60))),SUMIFS(Donnees_generations!$AE$3:$AE$113,Donnees_generations!$A$3:$A$113,MAX(1915,MIN(2025,E60))),SUMIFS(Donnees_generations!$AF$3:$AF$113,Donnees_generations!$A$3:$A$113,MAX(1915,MIN(2025,E60))),SUMIFS(Donnees_generations!$AG$3:$AG$113,Donnees_generations!$A$3:$A$113,MAX(1915,MIN(2025,E60))),SUMIFS(Donnees_generations!$AH$3:$AH$113,Donnees_generations!$A$3:$A$113,MAX(1915,MIN(2025,E60))),SUMIFS(Donnees_generations!$AI$3:$AI$113,Donnees_generations!$A$3:$A$113,MAX(1915,MIN(2025,E60))),SUMIFS(Donnees_generations!$AJ$3:$AJ$113,Donnees_generations!$A$3:$A$113,MAX(1915,MIN(2025,E60)))))/2</f>
        <v/>
      </c>
      <c r="AI60" s="75">
        <f>(CHOOSE(((AG60+2)-56)/2+1,SUMIFS(Donnees_generations!$U$3:$U$113,Donnees_generations!$A$3:$A$113,MAX(1915,MIN(2025,E60))),SUMIFS(Donnees_generations!$V$3:$V$113,Donnees_generations!$A$3:$A$113,MAX(1915,MIN(2025,E60))),SUMIFS(Donnees_generations!$W$3:$W$113,Donnees_generations!$A$3:$A$113,MAX(1915,MIN(2025,E60))),SUMIFS(Donnees_generations!$X$3:$X$113,Donnees_generations!$A$3:$A$113,MAX(1915,MIN(2025,E60))),SUMIFS(Donnees_generations!$Y$3:$Y$113,Donnees_generations!$A$3:$A$113,MAX(1915,MIN(2025,E60))),SUMIFS(Donnees_generations!$Z$3:$Z$113,Donnees_generations!$A$3:$A$113,MAX(1915,MIN(2025,E60))),SUMIFS(Donnees_generations!$AA$3:$AA$113,Donnees_generations!$A$3:$A$113,MAX(1915,MIN(2025,E60))),SUMIFS(Donnees_generations!$AB$3:$AB$113,Donnees_generations!$A$3:$A$113,MAX(1915,MIN(2025,E60))))+CHOOSE(((AG60+2)-56)/2+1,SUMIFS(Donnees_generations!$AC$3:$AC$113,Donnees_generations!$A$3:$A$113,MAX(1915,MIN(2025,E60))),SUMIFS(Donnees_generations!$AD$3:$AD$113,Donnees_generations!$A$3:$A$113,MAX(1915,MIN(2025,E60))),SUMIFS(Donnees_generations!$AE$3:$AE$113,Donnees_generations!$A$3:$A$113,MAX(1915,MIN(2025,E60))),SUMIFS(Donnees_generations!$AF$3:$AF$113,Donnees_generations!$A$3:$A$113,MAX(1915,MIN(2025,E60))),SUMIFS(Donnees_generations!$AG$3:$AG$113,Donnees_generations!$A$3:$A$113,MAX(1915,MIN(2025,E60))),SUMIFS(Donnees_generations!$AH$3:$AH$113,Donnees_generations!$A$3:$A$113,MAX(1915,MIN(2025,E60))),SUMIFS(Donnees_generations!$AI$3:$AI$113,Donnees_generations!$A$3:$A$113,MAX(1915,MIN(2025,E60))),SUMIFS(Donnees_generations!$AJ$3:$AJ$113,Donnees_generations!$A$3:$A$113,MAX(1915,MIN(2025,E60)))))/2</f>
        <v/>
      </c>
      <c r="AJ60" s="8">
        <f>MAX(0,AH60+(AI60-AH60)*(K60-AG60)/2)</f>
        <v/>
      </c>
      <c r="AK60" s="8">
        <f>K60+AJ60</f>
        <v/>
      </c>
      <c r="AL60" s="14">
        <f>AE60*AJ60</f>
        <v/>
      </c>
      <c r="AM60" s="17">
        <f>V60/AL60</f>
        <v/>
      </c>
      <c r="AN60" s="17">
        <f>Z60/AL60</f>
        <v/>
      </c>
      <c r="AO60" s="33">
        <f>IF(V60+Z60=0,0,Z60/(V60+Z60))</f>
        <v/>
      </c>
      <c r="AP60" s="14">
        <f>AL60/V60*100</f>
        <v/>
      </c>
      <c r="AQ60" s="8">
        <f>P60/AL60*1000</f>
        <v/>
      </c>
      <c r="AR60" s="77">
        <f>MAX(N60,M60-1)</f>
        <v/>
      </c>
      <c r="AS60" s="14">
        <f>SUMIFS(Donnees_regimes!$R$3:$R$1118,Donnees_regimes!$A$3:$A$1118,C60,Donnees_regimes!$B$3:$B$1118,"&gt;="&amp;G60,Donnees_regimes!$B$3:$B$1118,"&lt;="&amp;N60)*L60/ROUNDUP(L60,0)*SUMIFS(Donnees_annuelles!$AG$3:$AG$188,Donnees_annuelles!$A$3:$A$188,AR60)*SUMIFS(Donnees_annuelles!$AA$3:$AA$188,Donnees_annuelles!$A$3:$A$188,AR60)</f>
        <v/>
      </c>
      <c r="AT60" s="36">
        <f>AS60/V60</f>
        <v/>
      </c>
      <c r="AU60" s="14">
        <f>AL60</f>
        <v/>
      </c>
      <c r="AV60" s="39">
        <f>AS60-AL60</f>
        <v/>
      </c>
      <c r="AW60" s="9">
        <f>AS60/AL60-1</f>
        <v/>
      </c>
      <c r="AX60" s="14">
        <f>AS60/AJ60/12</f>
        <v/>
      </c>
      <c r="AY60" s="14">
        <f>AF60</f>
        <v/>
      </c>
      <c r="AZ60" s="39">
        <f>AX60-AF60</f>
        <v/>
      </c>
      <c r="BA60" s="14">
        <f>SUMIFS(Donnees_regimes!$S$3:$S$1118,Donnees_regimes!$A$3:$A$1118,C60,Donnees_regimes!$B$3:$B$1118,"&gt;="&amp;G60,Donnees_regimes!$B$3:$B$1118,"&lt;="&amp;N60)*L60/ROUNDUP(L60,0)*SUMIFS(Donnees_annuelles!$AH$3:$AH$188,Donnees_annuelles!$A$3:$A$188,AR60)*SUMIFS(Donnees_annuelles!$AA$3:$AA$188,Donnees_annuelles!$A$3:$A$188,AR60)</f>
        <v/>
      </c>
      <c r="BB60" s="39">
        <f>BA60-AL60</f>
        <v/>
      </c>
      <c r="BC60" s="7">
        <f>IF(M60+AJ60&gt;2026,IF(G60&gt;2026,"entièrement projeté","en partie projeté"),"observé")</f>
        <v/>
      </c>
    </row>
    <row r="61">
      <c r="A61" s="7" t="inlineStr">
        <is>
          <t>Génération Y</t>
        </is>
      </c>
      <c r="B61" s="84" t="inlineStr">
        <is>
          <t>Privé</t>
        </is>
      </c>
      <c r="C61" s="7">
        <f>IF(G61&gt;=SUMIFS(Regimes!$C$5:$C$10,Regimes!$A$5:$A$10,B61),"Privé",B61)</f>
        <v/>
      </c>
      <c r="D61" s="7">
        <f>INDEX(Regimes!$D$5:$D$10,MATCH(C61,Regimes!$A$5:$A$10,0))</f>
        <v/>
      </c>
      <c r="E61" s="88" t="n">
        <v>1986</v>
      </c>
      <c r="F61" s="8">
        <f>Donnees_generations!C74</f>
        <v/>
      </c>
      <c r="G61" s="77">
        <f>Donnees_generations!D74</f>
        <v/>
      </c>
      <c r="H61" s="8">
        <f>SUMIFS(Donnees_generations!$S$3:$S$113,Donnees_generations!$A$3:$A$113,MAX(1915,MIN(2025,E61)))</f>
        <v/>
      </c>
      <c r="I61" s="8">
        <f>SUMIFS(Donnees_generations!$T$3:$T$113,Donnees_generations!$A$3:$A$113,MAX(1915,MIN(2025,E61)))</f>
        <v/>
      </c>
      <c r="J61" s="8">
        <f>IF(G61&gt;=2000,MAX(I61,Parametres!$B$3),I61)</f>
        <v/>
      </c>
      <c r="K61" s="8">
        <f>IF(C61="Privé",J61,SUMIFS(Regles_regimes!$J$3:$J$2000,Regles_regimes!$A$3:$A$2000,C61,Regles_regimes!$B$3:$B$2000,D61,Regles_regimes!$C$3:$C$2000,MAX(1915,MIN(2025,E61))))</f>
        <v/>
      </c>
      <c r="L61" s="8">
        <f>IF(C61="Privé",H61,(K61-F61)*H61/(J61-F61))</f>
        <v/>
      </c>
      <c r="M61" s="77">
        <f>INT(E61+K61)</f>
        <v/>
      </c>
      <c r="N61" s="77">
        <f>G61+ROUNDUP(L61,0)-1</f>
        <v/>
      </c>
      <c r="O61" s="89">
        <f>SUMIFS(Regles_regimes!$K$3:$K$2000,Regles_regimes!$A$3:$A$2000,C61,Regles_regimes!$B$3:$B$2000,D61,Regles_regimes!$C$3:$C$2000,MAX(1915,MIN(2025,E61)))</f>
        <v/>
      </c>
      <c r="P61" s="13">
        <f>SUMIFS(Donnees_annuelles!$W$3:$W$188,Donnees_annuelles!$A$3:$A$188,"&gt;="&amp;G61,Donnees_annuelles!$A$3:$A$188,"&lt;="&amp;N61)*L61/ROUNDUP(L61,0)*O61</f>
        <v/>
      </c>
      <c r="Q61" s="13">
        <f>SUMIFS(Donnees_annuelles!$V$3:$V$188,Donnees_annuelles!$A$3:$A$188,"&gt;="&amp;G61,Donnees_annuelles!$A$3:$A$188,"&lt;="&amp;N61)*L61/ROUNDUP(L61,0)</f>
        <v/>
      </c>
      <c r="R61" s="13">
        <f>P61/L61</f>
        <v/>
      </c>
      <c r="S61" s="14">
        <f>SUMIFS(Donnees_annuelles!$D$3:$D$188,Donnees_annuelles!$A$3:$A$188,"&gt;="&amp;G61,Donnees_annuelles!$A$3:$A$188,"&lt;="&amp;N61)*L61/ROUNDUP(L61,0)</f>
        <v/>
      </c>
      <c r="T61" s="14">
        <f>SUMIFS(Donnees_regimes!$N$3:$N$1118,Donnees_regimes!$A$3:$A$1118,C61,Donnees_regimes!$B$3:$B$1118,"&gt;="&amp;G61,Donnees_regimes!$B$3:$B$1118,"&lt;="&amp;N61)*L61/ROUNDUP(L61,0)</f>
        <v/>
      </c>
      <c r="U61" s="14">
        <f>SUMIFS(Donnees_regimes!$O$3:$O$1118,Donnees_regimes!$A$3:$A$1118,C61,Donnees_regimes!$B$3:$B$1118,"&gt;="&amp;G61,Donnees_regimes!$B$3:$B$1118,"&lt;="&amp;N61)*L61/ROUNDUP(L61,0)</f>
        <v/>
      </c>
      <c r="V61" s="14">
        <f>T61+U61</f>
        <v/>
      </c>
      <c r="W61" s="33">
        <f>V61/S61</f>
        <v/>
      </c>
      <c r="X61" s="14">
        <f>S61+U61</f>
        <v/>
      </c>
      <c r="Y61" s="17">
        <f>V61/P61</f>
        <v/>
      </c>
      <c r="Z61" s="14">
        <f>SUMIFS(Donnees_regimes!$Q$3:$Q$1118,Donnees_regimes!$A$3:$A$1118,C61,Donnees_regimes!$B$3:$B$1118,"&gt;="&amp;G61,Donnees_regimes!$B$3:$B$1118,"&lt;="&amp;N61)*L61/ROUNDUP(L61,0)</f>
        <v/>
      </c>
      <c r="AA61" s="77">
        <f>SUMIFS(Regles_regimes!$F$3:$F$2000,Regles_regimes!$A$3:$A$2000,C61,Regles_regimes!$B$3:$B$2000,D61,Regles_regimes!$C$3:$C$2000,MAX(1915,MIN(2025,E61)))</f>
        <v/>
      </c>
      <c r="AB61" s="77">
        <f>IF(AND(SUMIFS(Regles_regimes!$L$3:$L$2000,Regles_regimes!$A$3:$A$2000,C61,Regles_regimes!$B$3:$B$2000,D61,Regles_regimes!$C$3:$C$2000,MAX(1915,MIN(2025,E61)))=1,G61&lt;2009,C61&lt;&gt;"Privé"),MIN(20,L61*4/5),0)</f>
        <v/>
      </c>
      <c r="AC61" s="89">
        <f>SUMIFS(Donnees_regimes!$M$3:$M$1118,Donnees_regimes!$A$3:$A$1118,C61,Donnees_regimes!$B$3:$B$1118,M61)</f>
        <v/>
      </c>
      <c r="AD61" s="14">
        <f>SUMIFS(Donnees_annuelles!$Y$3:$Y$188,Donnees_annuelles!$A$3:$A$188,M61)*SUMIFS(Donnees_generations!$I$3:$I$113,Donnees_generations!$A$3:$A$113,MAX(1915,MIN(2025,E61)))/H61</f>
        <v/>
      </c>
      <c r="AE61" s="14">
        <f>IF(C61="Privé",SUMIFS(Donnees_annuelles!$Y$3:$Y$188,Donnees_annuelles!$A$3:$A$188,M61)*MIN(L61,SUMIFS(Donnees_generations!$I$3:$I$113,Donnees_generations!$A$3:$A$113,MAX(1915,MIN(2025,E61))))/L61,AD61*AC61*MIN(IF(AB61&gt;0,0.8/0.75,1),(L61*4+AB61)/AA61))</f>
        <v/>
      </c>
      <c r="AF61" s="14">
        <f>AE61/12</f>
        <v/>
      </c>
      <c r="AG61" s="77">
        <f>MIN(68,MAX(56,2*INT(K61/2)))</f>
        <v/>
      </c>
      <c r="AH61" s="75">
        <f>(CHOOSE((AG61-56)/2+1,SUMIFS(Donnees_generations!$U$3:$U$113,Donnees_generations!$A$3:$A$113,MAX(1915,MIN(2025,E61))),SUMIFS(Donnees_generations!$V$3:$V$113,Donnees_generations!$A$3:$A$113,MAX(1915,MIN(2025,E61))),SUMIFS(Donnees_generations!$W$3:$W$113,Donnees_generations!$A$3:$A$113,MAX(1915,MIN(2025,E61))),SUMIFS(Donnees_generations!$X$3:$X$113,Donnees_generations!$A$3:$A$113,MAX(1915,MIN(2025,E61))),SUMIFS(Donnees_generations!$Y$3:$Y$113,Donnees_generations!$A$3:$A$113,MAX(1915,MIN(2025,E61))),SUMIFS(Donnees_generations!$Z$3:$Z$113,Donnees_generations!$A$3:$A$113,MAX(1915,MIN(2025,E61))),SUMIFS(Donnees_generations!$AA$3:$AA$113,Donnees_generations!$A$3:$A$113,MAX(1915,MIN(2025,E61))),SUMIFS(Donnees_generations!$AB$3:$AB$113,Donnees_generations!$A$3:$A$113,MAX(1915,MIN(2025,E61))))+CHOOSE((AG61-56)/2+1,SUMIFS(Donnees_generations!$AC$3:$AC$113,Donnees_generations!$A$3:$A$113,MAX(1915,MIN(2025,E61))),SUMIFS(Donnees_generations!$AD$3:$AD$113,Donnees_generations!$A$3:$A$113,MAX(1915,MIN(2025,E61))),SUMIFS(Donnees_generations!$AE$3:$AE$113,Donnees_generations!$A$3:$A$113,MAX(1915,MIN(2025,E61))),SUMIFS(Donnees_generations!$AF$3:$AF$113,Donnees_generations!$A$3:$A$113,MAX(1915,MIN(2025,E61))),SUMIFS(Donnees_generations!$AG$3:$AG$113,Donnees_generations!$A$3:$A$113,MAX(1915,MIN(2025,E61))),SUMIFS(Donnees_generations!$AH$3:$AH$113,Donnees_generations!$A$3:$A$113,MAX(1915,MIN(2025,E61))),SUMIFS(Donnees_generations!$AI$3:$AI$113,Donnees_generations!$A$3:$A$113,MAX(1915,MIN(2025,E61))),SUMIFS(Donnees_generations!$AJ$3:$AJ$113,Donnees_generations!$A$3:$A$113,MAX(1915,MIN(2025,E61)))))/2</f>
        <v/>
      </c>
      <c r="AI61" s="75">
        <f>(CHOOSE(((AG61+2)-56)/2+1,SUMIFS(Donnees_generations!$U$3:$U$113,Donnees_generations!$A$3:$A$113,MAX(1915,MIN(2025,E61))),SUMIFS(Donnees_generations!$V$3:$V$113,Donnees_generations!$A$3:$A$113,MAX(1915,MIN(2025,E61))),SUMIFS(Donnees_generations!$W$3:$W$113,Donnees_generations!$A$3:$A$113,MAX(1915,MIN(2025,E61))),SUMIFS(Donnees_generations!$X$3:$X$113,Donnees_generations!$A$3:$A$113,MAX(1915,MIN(2025,E61))),SUMIFS(Donnees_generations!$Y$3:$Y$113,Donnees_generations!$A$3:$A$113,MAX(1915,MIN(2025,E61))),SUMIFS(Donnees_generations!$Z$3:$Z$113,Donnees_generations!$A$3:$A$113,MAX(1915,MIN(2025,E61))),SUMIFS(Donnees_generations!$AA$3:$AA$113,Donnees_generations!$A$3:$A$113,MAX(1915,MIN(2025,E61))),SUMIFS(Donnees_generations!$AB$3:$AB$113,Donnees_generations!$A$3:$A$113,MAX(1915,MIN(2025,E61))))+CHOOSE(((AG61+2)-56)/2+1,SUMIFS(Donnees_generations!$AC$3:$AC$113,Donnees_generations!$A$3:$A$113,MAX(1915,MIN(2025,E61))),SUMIFS(Donnees_generations!$AD$3:$AD$113,Donnees_generations!$A$3:$A$113,MAX(1915,MIN(2025,E61))),SUMIFS(Donnees_generations!$AE$3:$AE$113,Donnees_generations!$A$3:$A$113,MAX(1915,MIN(2025,E61))),SUMIFS(Donnees_generations!$AF$3:$AF$113,Donnees_generations!$A$3:$A$113,MAX(1915,MIN(2025,E61))),SUMIFS(Donnees_generations!$AG$3:$AG$113,Donnees_generations!$A$3:$A$113,MAX(1915,MIN(2025,E61))),SUMIFS(Donnees_generations!$AH$3:$AH$113,Donnees_generations!$A$3:$A$113,MAX(1915,MIN(2025,E61))),SUMIFS(Donnees_generations!$AI$3:$AI$113,Donnees_generations!$A$3:$A$113,MAX(1915,MIN(2025,E61))),SUMIFS(Donnees_generations!$AJ$3:$AJ$113,Donnees_generations!$A$3:$A$113,MAX(1915,MIN(2025,E61)))))/2</f>
        <v/>
      </c>
      <c r="AJ61" s="8">
        <f>MAX(0,AH61+(AI61-AH61)*(K61-AG61)/2)</f>
        <v/>
      </c>
      <c r="AK61" s="8">
        <f>K61+AJ61</f>
        <v/>
      </c>
      <c r="AL61" s="14">
        <f>AE61*AJ61</f>
        <v/>
      </c>
      <c r="AM61" s="17">
        <f>V61/AL61</f>
        <v/>
      </c>
      <c r="AN61" s="17">
        <f>Z61/AL61</f>
        <v/>
      </c>
      <c r="AO61" s="33">
        <f>IF(V61+Z61=0,0,Z61/(V61+Z61))</f>
        <v/>
      </c>
      <c r="AP61" s="14">
        <f>AL61/V61*100</f>
        <v/>
      </c>
      <c r="AQ61" s="8">
        <f>P61/AL61*1000</f>
        <v/>
      </c>
      <c r="AR61" s="77">
        <f>MAX(N61,M61-1)</f>
        <v/>
      </c>
      <c r="AS61" s="14">
        <f>SUMIFS(Donnees_regimes!$R$3:$R$1118,Donnees_regimes!$A$3:$A$1118,C61,Donnees_regimes!$B$3:$B$1118,"&gt;="&amp;G61,Donnees_regimes!$B$3:$B$1118,"&lt;="&amp;N61)*L61/ROUNDUP(L61,0)*SUMIFS(Donnees_annuelles!$AG$3:$AG$188,Donnees_annuelles!$A$3:$A$188,AR61)*SUMIFS(Donnees_annuelles!$AA$3:$AA$188,Donnees_annuelles!$A$3:$A$188,AR61)</f>
        <v/>
      </c>
      <c r="AT61" s="36">
        <f>AS61/V61</f>
        <v/>
      </c>
      <c r="AU61" s="14">
        <f>AL61</f>
        <v/>
      </c>
      <c r="AV61" s="39">
        <f>AS61-AL61</f>
        <v/>
      </c>
      <c r="AW61" s="9">
        <f>AS61/AL61-1</f>
        <v/>
      </c>
      <c r="AX61" s="14">
        <f>AS61/AJ61/12</f>
        <v/>
      </c>
      <c r="AY61" s="14">
        <f>AF61</f>
        <v/>
      </c>
      <c r="AZ61" s="39">
        <f>AX61-AF61</f>
        <v/>
      </c>
      <c r="BA61" s="14">
        <f>SUMIFS(Donnees_regimes!$S$3:$S$1118,Donnees_regimes!$A$3:$A$1118,C61,Donnees_regimes!$B$3:$B$1118,"&gt;="&amp;G61,Donnees_regimes!$B$3:$B$1118,"&lt;="&amp;N61)*L61/ROUNDUP(L61,0)*SUMIFS(Donnees_annuelles!$AH$3:$AH$188,Donnees_annuelles!$A$3:$A$188,AR61)*SUMIFS(Donnees_annuelles!$AA$3:$AA$188,Donnees_annuelles!$A$3:$A$188,AR61)</f>
        <v/>
      </c>
      <c r="BB61" s="39">
        <f>BA61-AL61</f>
        <v/>
      </c>
      <c r="BC61" s="7">
        <f>IF(M61+AJ61&gt;2026,IF(G61&gt;2026,"entièrement projeté","en partie projeté"),"observé")</f>
        <v/>
      </c>
    </row>
    <row r="62">
      <c r="A62" s="7" t="inlineStr">
        <is>
          <t>Génération Y</t>
        </is>
      </c>
      <c r="B62" s="84" t="inlineStr">
        <is>
          <t>Privé</t>
        </is>
      </c>
      <c r="C62" s="7">
        <f>IF(G62&gt;=SUMIFS(Regimes!$C$5:$C$10,Regimes!$A$5:$A$10,B62),"Privé",B62)</f>
        <v/>
      </c>
      <c r="D62" s="7">
        <f>INDEX(Regimes!$D$5:$D$10,MATCH(C62,Regimes!$A$5:$A$10,0))</f>
        <v/>
      </c>
      <c r="E62" s="88" t="n">
        <v>1987</v>
      </c>
      <c r="F62" s="8">
        <f>Donnees_generations!C75</f>
        <v/>
      </c>
      <c r="G62" s="77">
        <f>Donnees_generations!D75</f>
        <v/>
      </c>
      <c r="H62" s="8">
        <f>SUMIFS(Donnees_generations!$S$3:$S$113,Donnees_generations!$A$3:$A$113,MAX(1915,MIN(2025,E62)))</f>
        <v/>
      </c>
      <c r="I62" s="8">
        <f>SUMIFS(Donnees_generations!$T$3:$T$113,Donnees_generations!$A$3:$A$113,MAX(1915,MIN(2025,E62)))</f>
        <v/>
      </c>
      <c r="J62" s="8">
        <f>IF(G62&gt;=2000,MAX(I62,Parametres!$B$3),I62)</f>
        <v/>
      </c>
      <c r="K62" s="8">
        <f>IF(C62="Privé",J62,SUMIFS(Regles_regimes!$J$3:$J$2000,Regles_regimes!$A$3:$A$2000,C62,Regles_regimes!$B$3:$B$2000,D62,Regles_regimes!$C$3:$C$2000,MAX(1915,MIN(2025,E62))))</f>
        <v/>
      </c>
      <c r="L62" s="8">
        <f>IF(C62="Privé",H62,(K62-F62)*H62/(J62-F62))</f>
        <v/>
      </c>
      <c r="M62" s="77">
        <f>INT(E62+K62)</f>
        <v/>
      </c>
      <c r="N62" s="77">
        <f>G62+ROUNDUP(L62,0)-1</f>
        <v/>
      </c>
      <c r="O62" s="89">
        <f>SUMIFS(Regles_regimes!$K$3:$K$2000,Regles_regimes!$A$3:$A$2000,C62,Regles_regimes!$B$3:$B$2000,D62,Regles_regimes!$C$3:$C$2000,MAX(1915,MIN(2025,E62)))</f>
        <v/>
      </c>
      <c r="P62" s="13">
        <f>SUMIFS(Donnees_annuelles!$W$3:$W$188,Donnees_annuelles!$A$3:$A$188,"&gt;="&amp;G62,Donnees_annuelles!$A$3:$A$188,"&lt;="&amp;N62)*L62/ROUNDUP(L62,0)*O62</f>
        <v/>
      </c>
      <c r="Q62" s="13">
        <f>SUMIFS(Donnees_annuelles!$V$3:$V$188,Donnees_annuelles!$A$3:$A$188,"&gt;="&amp;G62,Donnees_annuelles!$A$3:$A$188,"&lt;="&amp;N62)*L62/ROUNDUP(L62,0)</f>
        <v/>
      </c>
      <c r="R62" s="13">
        <f>P62/L62</f>
        <v/>
      </c>
      <c r="S62" s="14">
        <f>SUMIFS(Donnees_annuelles!$D$3:$D$188,Donnees_annuelles!$A$3:$A$188,"&gt;="&amp;G62,Donnees_annuelles!$A$3:$A$188,"&lt;="&amp;N62)*L62/ROUNDUP(L62,0)</f>
        <v/>
      </c>
      <c r="T62" s="14">
        <f>SUMIFS(Donnees_regimes!$N$3:$N$1118,Donnees_regimes!$A$3:$A$1118,C62,Donnees_regimes!$B$3:$B$1118,"&gt;="&amp;G62,Donnees_regimes!$B$3:$B$1118,"&lt;="&amp;N62)*L62/ROUNDUP(L62,0)</f>
        <v/>
      </c>
      <c r="U62" s="14">
        <f>SUMIFS(Donnees_regimes!$O$3:$O$1118,Donnees_regimes!$A$3:$A$1118,C62,Donnees_regimes!$B$3:$B$1118,"&gt;="&amp;G62,Donnees_regimes!$B$3:$B$1118,"&lt;="&amp;N62)*L62/ROUNDUP(L62,0)</f>
        <v/>
      </c>
      <c r="V62" s="14">
        <f>T62+U62</f>
        <v/>
      </c>
      <c r="W62" s="33">
        <f>V62/S62</f>
        <v/>
      </c>
      <c r="X62" s="14">
        <f>S62+U62</f>
        <v/>
      </c>
      <c r="Y62" s="17">
        <f>V62/P62</f>
        <v/>
      </c>
      <c r="Z62" s="14">
        <f>SUMIFS(Donnees_regimes!$Q$3:$Q$1118,Donnees_regimes!$A$3:$A$1118,C62,Donnees_regimes!$B$3:$B$1118,"&gt;="&amp;G62,Donnees_regimes!$B$3:$B$1118,"&lt;="&amp;N62)*L62/ROUNDUP(L62,0)</f>
        <v/>
      </c>
      <c r="AA62" s="77">
        <f>SUMIFS(Regles_regimes!$F$3:$F$2000,Regles_regimes!$A$3:$A$2000,C62,Regles_regimes!$B$3:$B$2000,D62,Regles_regimes!$C$3:$C$2000,MAX(1915,MIN(2025,E62)))</f>
        <v/>
      </c>
      <c r="AB62" s="77">
        <f>IF(AND(SUMIFS(Regles_regimes!$L$3:$L$2000,Regles_regimes!$A$3:$A$2000,C62,Regles_regimes!$B$3:$B$2000,D62,Regles_regimes!$C$3:$C$2000,MAX(1915,MIN(2025,E62)))=1,G62&lt;2009,C62&lt;&gt;"Privé"),MIN(20,L62*4/5),0)</f>
        <v/>
      </c>
      <c r="AC62" s="89">
        <f>SUMIFS(Donnees_regimes!$M$3:$M$1118,Donnees_regimes!$A$3:$A$1118,C62,Donnees_regimes!$B$3:$B$1118,M62)</f>
        <v/>
      </c>
      <c r="AD62" s="14">
        <f>SUMIFS(Donnees_annuelles!$Y$3:$Y$188,Donnees_annuelles!$A$3:$A$188,M62)*SUMIFS(Donnees_generations!$I$3:$I$113,Donnees_generations!$A$3:$A$113,MAX(1915,MIN(2025,E62)))/H62</f>
        <v/>
      </c>
      <c r="AE62" s="14">
        <f>IF(C62="Privé",SUMIFS(Donnees_annuelles!$Y$3:$Y$188,Donnees_annuelles!$A$3:$A$188,M62)*MIN(L62,SUMIFS(Donnees_generations!$I$3:$I$113,Donnees_generations!$A$3:$A$113,MAX(1915,MIN(2025,E62))))/L62,AD62*AC62*MIN(IF(AB62&gt;0,0.8/0.75,1),(L62*4+AB62)/AA62))</f>
        <v/>
      </c>
      <c r="AF62" s="14">
        <f>AE62/12</f>
        <v/>
      </c>
      <c r="AG62" s="77">
        <f>MIN(68,MAX(56,2*INT(K62/2)))</f>
        <v/>
      </c>
      <c r="AH62" s="75">
        <f>(CHOOSE((AG62-56)/2+1,SUMIFS(Donnees_generations!$U$3:$U$113,Donnees_generations!$A$3:$A$113,MAX(1915,MIN(2025,E62))),SUMIFS(Donnees_generations!$V$3:$V$113,Donnees_generations!$A$3:$A$113,MAX(1915,MIN(2025,E62))),SUMIFS(Donnees_generations!$W$3:$W$113,Donnees_generations!$A$3:$A$113,MAX(1915,MIN(2025,E62))),SUMIFS(Donnees_generations!$X$3:$X$113,Donnees_generations!$A$3:$A$113,MAX(1915,MIN(2025,E62))),SUMIFS(Donnees_generations!$Y$3:$Y$113,Donnees_generations!$A$3:$A$113,MAX(1915,MIN(2025,E62))),SUMIFS(Donnees_generations!$Z$3:$Z$113,Donnees_generations!$A$3:$A$113,MAX(1915,MIN(2025,E62))),SUMIFS(Donnees_generations!$AA$3:$AA$113,Donnees_generations!$A$3:$A$113,MAX(1915,MIN(2025,E62))),SUMIFS(Donnees_generations!$AB$3:$AB$113,Donnees_generations!$A$3:$A$113,MAX(1915,MIN(2025,E62))))+CHOOSE((AG62-56)/2+1,SUMIFS(Donnees_generations!$AC$3:$AC$113,Donnees_generations!$A$3:$A$113,MAX(1915,MIN(2025,E62))),SUMIFS(Donnees_generations!$AD$3:$AD$113,Donnees_generations!$A$3:$A$113,MAX(1915,MIN(2025,E62))),SUMIFS(Donnees_generations!$AE$3:$AE$113,Donnees_generations!$A$3:$A$113,MAX(1915,MIN(2025,E62))),SUMIFS(Donnees_generations!$AF$3:$AF$113,Donnees_generations!$A$3:$A$113,MAX(1915,MIN(2025,E62))),SUMIFS(Donnees_generations!$AG$3:$AG$113,Donnees_generations!$A$3:$A$113,MAX(1915,MIN(2025,E62))),SUMIFS(Donnees_generations!$AH$3:$AH$113,Donnees_generations!$A$3:$A$113,MAX(1915,MIN(2025,E62))),SUMIFS(Donnees_generations!$AI$3:$AI$113,Donnees_generations!$A$3:$A$113,MAX(1915,MIN(2025,E62))),SUMIFS(Donnees_generations!$AJ$3:$AJ$113,Donnees_generations!$A$3:$A$113,MAX(1915,MIN(2025,E62)))))/2</f>
        <v/>
      </c>
      <c r="AI62" s="75">
        <f>(CHOOSE(((AG62+2)-56)/2+1,SUMIFS(Donnees_generations!$U$3:$U$113,Donnees_generations!$A$3:$A$113,MAX(1915,MIN(2025,E62))),SUMIFS(Donnees_generations!$V$3:$V$113,Donnees_generations!$A$3:$A$113,MAX(1915,MIN(2025,E62))),SUMIFS(Donnees_generations!$W$3:$W$113,Donnees_generations!$A$3:$A$113,MAX(1915,MIN(2025,E62))),SUMIFS(Donnees_generations!$X$3:$X$113,Donnees_generations!$A$3:$A$113,MAX(1915,MIN(2025,E62))),SUMIFS(Donnees_generations!$Y$3:$Y$113,Donnees_generations!$A$3:$A$113,MAX(1915,MIN(2025,E62))),SUMIFS(Donnees_generations!$Z$3:$Z$113,Donnees_generations!$A$3:$A$113,MAX(1915,MIN(2025,E62))),SUMIFS(Donnees_generations!$AA$3:$AA$113,Donnees_generations!$A$3:$A$113,MAX(1915,MIN(2025,E62))),SUMIFS(Donnees_generations!$AB$3:$AB$113,Donnees_generations!$A$3:$A$113,MAX(1915,MIN(2025,E62))))+CHOOSE(((AG62+2)-56)/2+1,SUMIFS(Donnees_generations!$AC$3:$AC$113,Donnees_generations!$A$3:$A$113,MAX(1915,MIN(2025,E62))),SUMIFS(Donnees_generations!$AD$3:$AD$113,Donnees_generations!$A$3:$A$113,MAX(1915,MIN(2025,E62))),SUMIFS(Donnees_generations!$AE$3:$AE$113,Donnees_generations!$A$3:$A$113,MAX(1915,MIN(2025,E62))),SUMIFS(Donnees_generations!$AF$3:$AF$113,Donnees_generations!$A$3:$A$113,MAX(1915,MIN(2025,E62))),SUMIFS(Donnees_generations!$AG$3:$AG$113,Donnees_generations!$A$3:$A$113,MAX(1915,MIN(2025,E62))),SUMIFS(Donnees_generations!$AH$3:$AH$113,Donnees_generations!$A$3:$A$113,MAX(1915,MIN(2025,E62))),SUMIFS(Donnees_generations!$AI$3:$AI$113,Donnees_generations!$A$3:$A$113,MAX(1915,MIN(2025,E62))),SUMIFS(Donnees_generations!$AJ$3:$AJ$113,Donnees_generations!$A$3:$A$113,MAX(1915,MIN(2025,E62)))))/2</f>
        <v/>
      </c>
      <c r="AJ62" s="8">
        <f>MAX(0,AH62+(AI62-AH62)*(K62-AG62)/2)</f>
        <v/>
      </c>
      <c r="AK62" s="8">
        <f>K62+AJ62</f>
        <v/>
      </c>
      <c r="AL62" s="14">
        <f>AE62*AJ62</f>
        <v/>
      </c>
      <c r="AM62" s="17">
        <f>V62/AL62</f>
        <v/>
      </c>
      <c r="AN62" s="17">
        <f>Z62/AL62</f>
        <v/>
      </c>
      <c r="AO62" s="33">
        <f>IF(V62+Z62=0,0,Z62/(V62+Z62))</f>
        <v/>
      </c>
      <c r="AP62" s="14">
        <f>AL62/V62*100</f>
        <v/>
      </c>
      <c r="AQ62" s="8">
        <f>P62/AL62*1000</f>
        <v/>
      </c>
      <c r="AR62" s="77">
        <f>MAX(N62,M62-1)</f>
        <v/>
      </c>
      <c r="AS62" s="14">
        <f>SUMIFS(Donnees_regimes!$R$3:$R$1118,Donnees_regimes!$A$3:$A$1118,C62,Donnees_regimes!$B$3:$B$1118,"&gt;="&amp;G62,Donnees_regimes!$B$3:$B$1118,"&lt;="&amp;N62)*L62/ROUNDUP(L62,0)*SUMIFS(Donnees_annuelles!$AG$3:$AG$188,Donnees_annuelles!$A$3:$A$188,AR62)*SUMIFS(Donnees_annuelles!$AA$3:$AA$188,Donnees_annuelles!$A$3:$A$188,AR62)</f>
        <v/>
      </c>
      <c r="AT62" s="36">
        <f>AS62/V62</f>
        <v/>
      </c>
      <c r="AU62" s="14">
        <f>AL62</f>
        <v/>
      </c>
      <c r="AV62" s="39">
        <f>AS62-AL62</f>
        <v/>
      </c>
      <c r="AW62" s="9">
        <f>AS62/AL62-1</f>
        <v/>
      </c>
      <c r="AX62" s="14">
        <f>AS62/AJ62/12</f>
        <v/>
      </c>
      <c r="AY62" s="14">
        <f>AF62</f>
        <v/>
      </c>
      <c r="AZ62" s="39">
        <f>AX62-AF62</f>
        <v/>
      </c>
      <c r="BA62" s="14">
        <f>SUMIFS(Donnees_regimes!$S$3:$S$1118,Donnees_regimes!$A$3:$A$1118,C62,Donnees_regimes!$B$3:$B$1118,"&gt;="&amp;G62,Donnees_regimes!$B$3:$B$1118,"&lt;="&amp;N62)*L62/ROUNDUP(L62,0)*SUMIFS(Donnees_annuelles!$AH$3:$AH$188,Donnees_annuelles!$A$3:$A$188,AR62)*SUMIFS(Donnees_annuelles!$AA$3:$AA$188,Donnees_annuelles!$A$3:$A$188,AR62)</f>
        <v/>
      </c>
      <c r="BB62" s="39">
        <f>BA62-AL62</f>
        <v/>
      </c>
      <c r="BC62" s="7">
        <f>IF(M62+AJ62&gt;2026,IF(G62&gt;2026,"entièrement projeté","en partie projeté"),"observé")</f>
        <v/>
      </c>
    </row>
    <row r="63">
      <c r="A63" s="7" t="inlineStr">
        <is>
          <t>Génération Y</t>
        </is>
      </c>
      <c r="B63" s="84" t="inlineStr">
        <is>
          <t>Privé</t>
        </is>
      </c>
      <c r="C63" s="7">
        <f>IF(G63&gt;=SUMIFS(Regimes!$C$5:$C$10,Regimes!$A$5:$A$10,B63),"Privé",B63)</f>
        <v/>
      </c>
      <c r="D63" s="7">
        <f>INDEX(Regimes!$D$5:$D$10,MATCH(C63,Regimes!$A$5:$A$10,0))</f>
        <v/>
      </c>
      <c r="E63" s="88" t="n">
        <v>1988</v>
      </c>
      <c r="F63" s="8">
        <f>Donnees_generations!C76</f>
        <v/>
      </c>
      <c r="G63" s="77">
        <f>Donnees_generations!D76</f>
        <v/>
      </c>
      <c r="H63" s="8">
        <f>SUMIFS(Donnees_generations!$S$3:$S$113,Donnees_generations!$A$3:$A$113,MAX(1915,MIN(2025,E63)))</f>
        <v/>
      </c>
      <c r="I63" s="8">
        <f>SUMIFS(Donnees_generations!$T$3:$T$113,Donnees_generations!$A$3:$A$113,MAX(1915,MIN(2025,E63)))</f>
        <v/>
      </c>
      <c r="J63" s="8">
        <f>IF(G63&gt;=2000,MAX(I63,Parametres!$B$3),I63)</f>
        <v/>
      </c>
      <c r="K63" s="8">
        <f>IF(C63="Privé",J63,SUMIFS(Regles_regimes!$J$3:$J$2000,Regles_regimes!$A$3:$A$2000,C63,Regles_regimes!$B$3:$B$2000,D63,Regles_regimes!$C$3:$C$2000,MAX(1915,MIN(2025,E63))))</f>
        <v/>
      </c>
      <c r="L63" s="8">
        <f>IF(C63="Privé",H63,(K63-F63)*H63/(J63-F63))</f>
        <v/>
      </c>
      <c r="M63" s="77">
        <f>INT(E63+K63)</f>
        <v/>
      </c>
      <c r="N63" s="77">
        <f>G63+ROUNDUP(L63,0)-1</f>
        <v/>
      </c>
      <c r="O63" s="89">
        <f>SUMIFS(Regles_regimes!$K$3:$K$2000,Regles_regimes!$A$3:$A$2000,C63,Regles_regimes!$B$3:$B$2000,D63,Regles_regimes!$C$3:$C$2000,MAX(1915,MIN(2025,E63)))</f>
        <v/>
      </c>
      <c r="P63" s="13">
        <f>SUMIFS(Donnees_annuelles!$W$3:$W$188,Donnees_annuelles!$A$3:$A$188,"&gt;="&amp;G63,Donnees_annuelles!$A$3:$A$188,"&lt;="&amp;N63)*L63/ROUNDUP(L63,0)*O63</f>
        <v/>
      </c>
      <c r="Q63" s="13">
        <f>SUMIFS(Donnees_annuelles!$V$3:$V$188,Donnees_annuelles!$A$3:$A$188,"&gt;="&amp;G63,Donnees_annuelles!$A$3:$A$188,"&lt;="&amp;N63)*L63/ROUNDUP(L63,0)</f>
        <v/>
      </c>
      <c r="R63" s="13">
        <f>P63/L63</f>
        <v/>
      </c>
      <c r="S63" s="14">
        <f>SUMIFS(Donnees_annuelles!$D$3:$D$188,Donnees_annuelles!$A$3:$A$188,"&gt;="&amp;G63,Donnees_annuelles!$A$3:$A$188,"&lt;="&amp;N63)*L63/ROUNDUP(L63,0)</f>
        <v/>
      </c>
      <c r="T63" s="14">
        <f>SUMIFS(Donnees_regimes!$N$3:$N$1118,Donnees_regimes!$A$3:$A$1118,C63,Donnees_regimes!$B$3:$B$1118,"&gt;="&amp;G63,Donnees_regimes!$B$3:$B$1118,"&lt;="&amp;N63)*L63/ROUNDUP(L63,0)</f>
        <v/>
      </c>
      <c r="U63" s="14">
        <f>SUMIFS(Donnees_regimes!$O$3:$O$1118,Donnees_regimes!$A$3:$A$1118,C63,Donnees_regimes!$B$3:$B$1118,"&gt;="&amp;G63,Donnees_regimes!$B$3:$B$1118,"&lt;="&amp;N63)*L63/ROUNDUP(L63,0)</f>
        <v/>
      </c>
      <c r="V63" s="14">
        <f>T63+U63</f>
        <v/>
      </c>
      <c r="W63" s="33">
        <f>V63/S63</f>
        <v/>
      </c>
      <c r="X63" s="14">
        <f>S63+U63</f>
        <v/>
      </c>
      <c r="Y63" s="17">
        <f>V63/P63</f>
        <v/>
      </c>
      <c r="Z63" s="14">
        <f>SUMIFS(Donnees_regimes!$Q$3:$Q$1118,Donnees_regimes!$A$3:$A$1118,C63,Donnees_regimes!$B$3:$B$1118,"&gt;="&amp;G63,Donnees_regimes!$B$3:$B$1118,"&lt;="&amp;N63)*L63/ROUNDUP(L63,0)</f>
        <v/>
      </c>
      <c r="AA63" s="77">
        <f>SUMIFS(Regles_regimes!$F$3:$F$2000,Regles_regimes!$A$3:$A$2000,C63,Regles_regimes!$B$3:$B$2000,D63,Regles_regimes!$C$3:$C$2000,MAX(1915,MIN(2025,E63)))</f>
        <v/>
      </c>
      <c r="AB63" s="77">
        <f>IF(AND(SUMIFS(Regles_regimes!$L$3:$L$2000,Regles_regimes!$A$3:$A$2000,C63,Regles_regimes!$B$3:$B$2000,D63,Regles_regimes!$C$3:$C$2000,MAX(1915,MIN(2025,E63)))=1,G63&lt;2009,C63&lt;&gt;"Privé"),MIN(20,L63*4/5),0)</f>
        <v/>
      </c>
      <c r="AC63" s="89">
        <f>SUMIFS(Donnees_regimes!$M$3:$M$1118,Donnees_regimes!$A$3:$A$1118,C63,Donnees_regimes!$B$3:$B$1118,M63)</f>
        <v/>
      </c>
      <c r="AD63" s="14">
        <f>SUMIFS(Donnees_annuelles!$Y$3:$Y$188,Donnees_annuelles!$A$3:$A$188,M63)*SUMIFS(Donnees_generations!$I$3:$I$113,Donnees_generations!$A$3:$A$113,MAX(1915,MIN(2025,E63)))/H63</f>
        <v/>
      </c>
      <c r="AE63" s="14">
        <f>IF(C63="Privé",SUMIFS(Donnees_annuelles!$Y$3:$Y$188,Donnees_annuelles!$A$3:$A$188,M63)*MIN(L63,SUMIFS(Donnees_generations!$I$3:$I$113,Donnees_generations!$A$3:$A$113,MAX(1915,MIN(2025,E63))))/L63,AD63*AC63*MIN(IF(AB63&gt;0,0.8/0.75,1),(L63*4+AB63)/AA63))</f>
        <v/>
      </c>
      <c r="AF63" s="14">
        <f>AE63/12</f>
        <v/>
      </c>
      <c r="AG63" s="77">
        <f>MIN(68,MAX(56,2*INT(K63/2)))</f>
        <v/>
      </c>
      <c r="AH63" s="75">
        <f>(CHOOSE((AG63-56)/2+1,SUMIFS(Donnees_generations!$U$3:$U$113,Donnees_generations!$A$3:$A$113,MAX(1915,MIN(2025,E63))),SUMIFS(Donnees_generations!$V$3:$V$113,Donnees_generations!$A$3:$A$113,MAX(1915,MIN(2025,E63))),SUMIFS(Donnees_generations!$W$3:$W$113,Donnees_generations!$A$3:$A$113,MAX(1915,MIN(2025,E63))),SUMIFS(Donnees_generations!$X$3:$X$113,Donnees_generations!$A$3:$A$113,MAX(1915,MIN(2025,E63))),SUMIFS(Donnees_generations!$Y$3:$Y$113,Donnees_generations!$A$3:$A$113,MAX(1915,MIN(2025,E63))),SUMIFS(Donnees_generations!$Z$3:$Z$113,Donnees_generations!$A$3:$A$113,MAX(1915,MIN(2025,E63))),SUMIFS(Donnees_generations!$AA$3:$AA$113,Donnees_generations!$A$3:$A$113,MAX(1915,MIN(2025,E63))),SUMIFS(Donnees_generations!$AB$3:$AB$113,Donnees_generations!$A$3:$A$113,MAX(1915,MIN(2025,E63))))+CHOOSE((AG63-56)/2+1,SUMIFS(Donnees_generations!$AC$3:$AC$113,Donnees_generations!$A$3:$A$113,MAX(1915,MIN(2025,E63))),SUMIFS(Donnees_generations!$AD$3:$AD$113,Donnees_generations!$A$3:$A$113,MAX(1915,MIN(2025,E63))),SUMIFS(Donnees_generations!$AE$3:$AE$113,Donnees_generations!$A$3:$A$113,MAX(1915,MIN(2025,E63))),SUMIFS(Donnees_generations!$AF$3:$AF$113,Donnees_generations!$A$3:$A$113,MAX(1915,MIN(2025,E63))),SUMIFS(Donnees_generations!$AG$3:$AG$113,Donnees_generations!$A$3:$A$113,MAX(1915,MIN(2025,E63))),SUMIFS(Donnees_generations!$AH$3:$AH$113,Donnees_generations!$A$3:$A$113,MAX(1915,MIN(2025,E63))),SUMIFS(Donnees_generations!$AI$3:$AI$113,Donnees_generations!$A$3:$A$113,MAX(1915,MIN(2025,E63))),SUMIFS(Donnees_generations!$AJ$3:$AJ$113,Donnees_generations!$A$3:$A$113,MAX(1915,MIN(2025,E63)))))/2</f>
        <v/>
      </c>
      <c r="AI63" s="75">
        <f>(CHOOSE(((AG63+2)-56)/2+1,SUMIFS(Donnees_generations!$U$3:$U$113,Donnees_generations!$A$3:$A$113,MAX(1915,MIN(2025,E63))),SUMIFS(Donnees_generations!$V$3:$V$113,Donnees_generations!$A$3:$A$113,MAX(1915,MIN(2025,E63))),SUMIFS(Donnees_generations!$W$3:$W$113,Donnees_generations!$A$3:$A$113,MAX(1915,MIN(2025,E63))),SUMIFS(Donnees_generations!$X$3:$X$113,Donnees_generations!$A$3:$A$113,MAX(1915,MIN(2025,E63))),SUMIFS(Donnees_generations!$Y$3:$Y$113,Donnees_generations!$A$3:$A$113,MAX(1915,MIN(2025,E63))),SUMIFS(Donnees_generations!$Z$3:$Z$113,Donnees_generations!$A$3:$A$113,MAX(1915,MIN(2025,E63))),SUMIFS(Donnees_generations!$AA$3:$AA$113,Donnees_generations!$A$3:$A$113,MAX(1915,MIN(2025,E63))),SUMIFS(Donnees_generations!$AB$3:$AB$113,Donnees_generations!$A$3:$A$113,MAX(1915,MIN(2025,E63))))+CHOOSE(((AG63+2)-56)/2+1,SUMIFS(Donnees_generations!$AC$3:$AC$113,Donnees_generations!$A$3:$A$113,MAX(1915,MIN(2025,E63))),SUMIFS(Donnees_generations!$AD$3:$AD$113,Donnees_generations!$A$3:$A$113,MAX(1915,MIN(2025,E63))),SUMIFS(Donnees_generations!$AE$3:$AE$113,Donnees_generations!$A$3:$A$113,MAX(1915,MIN(2025,E63))),SUMIFS(Donnees_generations!$AF$3:$AF$113,Donnees_generations!$A$3:$A$113,MAX(1915,MIN(2025,E63))),SUMIFS(Donnees_generations!$AG$3:$AG$113,Donnees_generations!$A$3:$A$113,MAX(1915,MIN(2025,E63))),SUMIFS(Donnees_generations!$AH$3:$AH$113,Donnees_generations!$A$3:$A$113,MAX(1915,MIN(2025,E63))),SUMIFS(Donnees_generations!$AI$3:$AI$113,Donnees_generations!$A$3:$A$113,MAX(1915,MIN(2025,E63))),SUMIFS(Donnees_generations!$AJ$3:$AJ$113,Donnees_generations!$A$3:$A$113,MAX(1915,MIN(2025,E63)))))/2</f>
        <v/>
      </c>
      <c r="AJ63" s="8">
        <f>MAX(0,AH63+(AI63-AH63)*(K63-AG63)/2)</f>
        <v/>
      </c>
      <c r="AK63" s="8">
        <f>K63+AJ63</f>
        <v/>
      </c>
      <c r="AL63" s="14">
        <f>AE63*AJ63</f>
        <v/>
      </c>
      <c r="AM63" s="17">
        <f>V63/AL63</f>
        <v/>
      </c>
      <c r="AN63" s="17">
        <f>Z63/AL63</f>
        <v/>
      </c>
      <c r="AO63" s="33">
        <f>IF(V63+Z63=0,0,Z63/(V63+Z63))</f>
        <v/>
      </c>
      <c r="AP63" s="14">
        <f>AL63/V63*100</f>
        <v/>
      </c>
      <c r="AQ63" s="8">
        <f>P63/AL63*1000</f>
        <v/>
      </c>
      <c r="AR63" s="77">
        <f>MAX(N63,M63-1)</f>
        <v/>
      </c>
      <c r="AS63" s="14">
        <f>SUMIFS(Donnees_regimes!$R$3:$R$1118,Donnees_regimes!$A$3:$A$1118,C63,Donnees_regimes!$B$3:$B$1118,"&gt;="&amp;G63,Donnees_regimes!$B$3:$B$1118,"&lt;="&amp;N63)*L63/ROUNDUP(L63,0)*SUMIFS(Donnees_annuelles!$AG$3:$AG$188,Donnees_annuelles!$A$3:$A$188,AR63)*SUMIFS(Donnees_annuelles!$AA$3:$AA$188,Donnees_annuelles!$A$3:$A$188,AR63)</f>
        <v/>
      </c>
      <c r="AT63" s="36">
        <f>AS63/V63</f>
        <v/>
      </c>
      <c r="AU63" s="14">
        <f>AL63</f>
        <v/>
      </c>
      <c r="AV63" s="39">
        <f>AS63-AL63</f>
        <v/>
      </c>
      <c r="AW63" s="9">
        <f>AS63/AL63-1</f>
        <v/>
      </c>
      <c r="AX63" s="14">
        <f>AS63/AJ63/12</f>
        <v/>
      </c>
      <c r="AY63" s="14">
        <f>AF63</f>
        <v/>
      </c>
      <c r="AZ63" s="39">
        <f>AX63-AF63</f>
        <v/>
      </c>
      <c r="BA63" s="14">
        <f>SUMIFS(Donnees_regimes!$S$3:$S$1118,Donnees_regimes!$A$3:$A$1118,C63,Donnees_regimes!$B$3:$B$1118,"&gt;="&amp;G63,Donnees_regimes!$B$3:$B$1118,"&lt;="&amp;N63)*L63/ROUNDUP(L63,0)*SUMIFS(Donnees_annuelles!$AH$3:$AH$188,Donnees_annuelles!$A$3:$A$188,AR63)*SUMIFS(Donnees_annuelles!$AA$3:$AA$188,Donnees_annuelles!$A$3:$A$188,AR63)</f>
        <v/>
      </c>
      <c r="BB63" s="39">
        <f>BA63-AL63</f>
        <v/>
      </c>
      <c r="BC63" s="7">
        <f>IF(M63+AJ63&gt;2026,IF(G63&gt;2026,"entièrement projeté","en partie projeté"),"observé")</f>
        <v/>
      </c>
    </row>
    <row r="64">
      <c r="A64" s="7" t="inlineStr">
        <is>
          <t>Génération Y</t>
        </is>
      </c>
      <c r="B64" s="84" t="inlineStr">
        <is>
          <t>Privé</t>
        </is>
      </c>
      <c r="C64" s="7">
        <f>IF(G64&gt;=SUMIFS(Regimes!$C$5:$C$10,Regimes!$A$5:$A$10,B64),"Privé",B64)</f>
        <v/>
      </c>
      <c r="D64" s="7">
        <f>INDEX(Regimes!$D$5:$D$10,MATCH(C64,Regimes!$A$5:$A$10,0))</f>
        <v/>
      </c>
      <c r="E64" s="88" t="n">
        <v>1989</v>
      </c>
      <c r="F64" s="8">
        <f>Donnees_generations!C77</f>
        <v/>
      </c>
      <c r="G64" s="77">
        <f>Donnees_generations!D77</f>
        <v/>
      </c>
      <c r="H64" s="8">
        <f>SUMIFS(Donnees_generations!$S$3:$S$113,Donnees_generations!$A$3:$A$113,MAX(1915,MIN(2025,E64)))</f>
        <v/>
      </c>
      <c r="I64" s="8">
        <f>SUMIFS(Donnees_generations!$T$3:$T$113,Donnees_generations!$A$3:$A$113,MAX(1915,MIN(2025,E64)))</f>
        <v/>
      </c>
      <c r="J64" s="8">
        <f>IF(G64&gt;=2000,MAX(I64,Parametres!$B$3),I64)</f>
        <v/>
      </c>
      <c r="K64" s="8">
        <f>IF(C64="Privé",J64,SUMIFS(Regles_regimes!$J$3:$J$2000,Regles_regimes!$A$3:$A$2000,C64,Regles_regimes!$B$3:$B$2000,D64,Regles_regimes!$C$3:$C$2000,MAX(1915,MIN(2025,E64))))</f>
        <v/>
      </c>
      <c r="L64" s="8">
        <f>IF(C64="Privé",H64,(K64-F64)*H64/(J64-F64))</f>
        <v/>
      </c>
      <c r="M64" s="77">
        <f>INT(E64+K64)</f>
        <v/>
      </c>
      <c r="N64" s="77">
        <f>G64+ROUNDUP(L64,0)-1</f>
        <v/>
      </c>
      <c r="O64" s="89">
        <f>SUMIFS(Regles_regimes!$K$3:$K$2000,Regles_regimes!$A$3:$A$2000,C64,Regles_regimes!$B$3:$B$2000,D64,Regles_regimes!$C$3:$C$2000,MAX(1915,MIN(2025,E64)))</f>
        <v/>
      </c>
      <c r="P64" s="13">
        <f>SUMIFS(Donnees_annuelles!$W$3:$W$188,Donnees_annuelles!$A$3:$A$188,"&gt;="&amp;G64,Donnees_annuelles!$A$3:$A$188,"&lt;="&amp;N64)*L64/ROUNDUP(L64,0)*O64</f>
        <v/>
      </c>
      <c r="Q64" s="13">
        <f>SUMIFS(Donnees_annuelles!$V$3:$V$188,Donnees_annuelles!$A$3:$A$188,"&gt;="&amp;G64,Donnees_annuelles!$A$3:$A$188,"&lt;="&amp;N64)*L64/ROUNDUP(L64,0)</f>
        <v/>
      </c>
      <c r="R64" s="13">
        <f>P64/L64</f>
        <v/>
      </c>
      <c r="S64" s="14">
        <f>SUMIFS(Donnees_annuelles!$D$3:$D$188,Donnees_annuelles!$A$3:$A$188,"&gt;="&amp;G64,Donnees_annuelles!$A$3:$A$188,"&lt;="&amp;N64)*L64/ROUNDUP(L64,0)</f>
        <v/>
      </c>
      <c r="T64" s="14">
        <f>SUMIFS(Donnees_regimes!$N$3:$N$1118,Donnees_regimes!$A$3:$A$1118,C64,Donnees_regimes!$B$3:$B$1118,"&gt;="&amp;G64,Donnees_regimes!$B$3:$B$1118,"&lt;="&amp;N64)*L64/ROUNDUP(L64,0)</f>
        <v/>
      </c>
      <c r="U64" s="14">
        <f>SUMIFS(Donnees_regimes!$O$3:$O$1118,Donnees_regimes!$A$3:$A$1118,C64,Donnees_regimes!$B$3:$B$1118,"&gt;="&amp;G64,Donnees_regimes!$B$3:$B$1118,"&lt;="&amp;N64)*L64/ROUNDUP(L64,0)</f>
        <v/>
      </c>
      <c r="V64" s="14">
        <f>T64+U64</f>
        <v/>
      </c>
      <c r="W64" s="33">
        <f>V64/S64</f>
        <v/>
      </c>
      <c r="X64" s="14">
        <f>S64+U64</f>
        <v/>
      </c>
      <c r="Y64" s="17">
        <f>V64/P64</f>
        <v/>
      </c>
      <c r="Z64" s="14">
        <f>SUMIFS(Donnees_regimes!$Q$3:$Q$1118,Donnees_regimes!$A$3:$A$1118,C64,Donnees_regimes!$B$3:$B$1118,"&gt;="&amp;G64,Donnees_regimes!$B$3:$B$1118,"&lt;="&amp;N64)*L64/ROUNDUP(L64,0)</f>
        <v/>
      </c>
      <c r="AA64" s="77">
        <f>SUMIFS(Regles_regimes!$F$3:$F$2000,Regles_regimes!$A$3:$A$2000,C64,Regles_regimes!$B$3:$B$2000,D64,Regles_regimes!$C$3:$C$2000,MAX(1915,MIN(2025,E64)))</f>
        <v/>
      </c>
      <c r="AB64" s="77">
        <f>IF(AND(SUMIFS(Regles_regimes!$L$3:$L$2000,Regles_regimes!$A$3:$A$2000,C64,Regles_regimes!$B$3:$B$2000,D64,Regles_regimes!$C$3:$C$2000,MAX(1915,MIN(2025,E64)))=1,G64&lt;2009,C64&lt;&gt;"Privé"),MIN(20,L64*4/5),0)</f>
        <v/>
      </c>
      <c r="AC64" s="89">
        <f>SUMIFS(Donnees_regimes!$M$3:$M$1118,Donnees_regimes!$A$3:$A$1118,C64,Donnees_regimes!$B$3:$B$1118,M64)</f>
        <v/>
      </c>
      <c r="AD64" s="14">
        <f>SUMIFS(Donnees_annuelles!$Y$3:$Y$188,Donnees_annuelles!$A$3:$A$188,M64)*SUMIFS(Donnees_generations!$I$3:$I$113,Donnees_generations!$A$3:$A$113,MAX(1915,MIN(2025,E64)))/H64</f>
        <v/>
      </c>
      <c r="AE64" s="14">
        <f>IF(C64="Privé",SUMIFS(Donnees_annuelles!$Y$3:$Y$188,Donnees_annuelles!$A$3:$A$188,M64)*MIN(L64,SUMIFS(Donnees_generations!$I$3:$I$113,Donnees_generations!$A$3:$A$113,MAX(1915,MIN(2025,E64))))/L64,AD64*AC64*MIN(IF(AB64&gt;0,0.8/0.75,1),(L64*4+AB64)/AA64))</f>
        <v/>
      </c>
      <c r="AF64" s="14">
        <f>AE64/12</f>
        <v/>
      </c>
      <c r="AG64" s="77">
        <f>MIN(68,MAX(56,2*INT(K64/2)))</f>
        <v/>
      </c>
      <c r="AH64" s="75">
        <f>(CHOOSE((AG64-56)/2+1,SUMIFS(Donnees_generations!$U$3:$U$113,Donnees_generations!$A$3:$A$113,MAX(1915,MIN(2025,E64))),SUMIFS(Donnees_generations!$V$3:$V$113,Donnees_generations!$A$3:$A$113,MAX(1915,MIN(2025,E64))),SUMIFS(Donnees_generations!$W$3:$W$113,Donnees_generations!$A$3:$A$113,MAX(1915,MIN(2025,E64))),SUMIFS(Donnees_generations!$X$3:$X$113,Donnees_generations!$A$3:$A$113,MAX(1915,MIN(2025,E64))),SUMIFS(Donnees_generations!$Y$3:$Y$113,Donnees_generations!$A$3:$A$113,MAX(1915,MIN(2025,E64))),SUMIFS(Donnees_generations!$Z$3:$Z$113,Donnees_generations!$A$3:$A$113,MAX(1915,MIN(2025,E64))),SUMIFS(Donnees_generations!$AA$3:$AA$113,Donnees_generations!$A$3:$A$113,MAX(1915,MIN(2025,E64))),SUMIFS(Donnees_generations!$AB$3:$AB$113,Donnees_generations!$A$3:$A$113,MAX(1915,MIN(2025,E64))))+CHOOSE((AG64-56)/2+1,SUMIFS(Donnees_generations!$AC$3:$AC$113,Donnees_generations!$A$3:$A$113,MAX(1915,MIN(2025,E64))),SUMIFS(Donnees_generations!$AD$3:$AD$113,Donnees_generations!$A$3:$A$113,MAX(1915,MIN(2025,E64))),SUMIFS(Donnees_generations!$AE$3:$AE$113,Donnees_generations!$A$3:$A$113,MAX(1915,MIN(2025,E64))),SUMIFS(Donnees_generations!$AF$3:$AF$113,Donnees_generations!$A$3:$A$113,MAX(1915,MIN(2025,E64))),SUMIFS(Donnees_generations!$AG$3:$AG$113,Donnees_generations!$A$3:$A$113,MAX(1915,MIN(2025,E64))),SUMIFS(Donnees_generations!$AH$3:$AH$113,Donnees_generations!$A$3:$A$113,MAX(1915,MIN(2025,E64))),SUMIFS(Donnees_generations!$AI$3:$AI$113,Donnees_generations!$A$3:$A$113,MAX(1915,MIN(2025,E64))),SUMIFS(Donnees_generations!$AJ$3:$AJ$113,Donnees_generations!$A$3:$A$113,MAX(1915,MIN(2025,E64)))))/2</f>
        <v/>
      </c>
      <c r="AI64" s="75">
        <f>(CHOOSE(((AG64+2)-56)/2+1,SUMIFS(Donnees_generations!$U$3:$U$113,Donnees_generations!$A$3:$A$113,MAX(1915,MIN(2025,E64))),SUMIFS(Donnees_generations!$V$3:$V$113,Donnees_generations!$A$3:$A$113,MAX(1915,MIN(2025,E64))),SUMIFS(Donnees_generations!$W$3:$W$113,Donnees_generations!$A$3:$A$113,MAX(1915,MIN(2025,E64))),SUMIFS(Donnees_generations!$X$3:$X$113,Donnees_generations!$A$3:$A$113,MAX(1915,MIN(2025,E64))),SUMIFS(Donnees_generations!$Y$3:$Y$113,Donnees_generations!$A$3:$A$113,MAX(1915,MIN(2025,E64))),SUMIFS(Donnees_generations!$Z$3:$Z$113,Donnees_generations!$A$3:$A$113,MAX(1915,MIN(2025,E64))),SUMIFS(Donnees_generations!$AA$3:$AA$113,Donnees_generations!$A$3:$A$113,MAX(1915,MIN(2025,E64))),SUMIFS(Donnees_generations!$AB$3:$AB$113,Donnees_generations!$A$3:$A$113,MAX(1915,MIN(2025,E64))))+CHOOSE(((AG64+2)-56)/2+1,SUMIFS(Donnees_generations!$AC$3:$AC$113,Donnees_generations!$A$3:$A$113,MAX(1915,MIN(2025,E64))),SUMIFS(Donnees_generations!$AD$3:$AD$113,Donnees_generations!$A$3:$A$113,MAX(1915,MIN(2025,E64))),SUMIFS(Donnees_generations!$AE$3:$AE$113,Donnees_generations!$A$3:$A$113,MAX(1915,MIN(2025,E64))),SUMIFS(Donnees_generations!$AF$3:$AF$113,Donnees_generations!$A$3:$A$113,MAX(1915,MIN(2025,E64))),SUMIFS(Donnees_generations!$AG$3:$AG$113,Donnees_generations!$A$3:$A$113,MAX(1915,MIN(2025,E64))),SUMIFS(Donnees_generations!$AH$3:$AH$113,Donnees_generations!$A$3:$A$113,MAX(1915,MIN(2025,E64))),SUMIFS(Donnees_generations!$AI$3:$AI$113,Donnees_generations!$A$3:$A$113,MAX(1915,MIN(2025,E64))),SUMIFS(Donnees_generations!$AJ$3:$AJ$113,Donnees_generations!$A$3:$A$113,MAX(1915,MIN(2025,E64)))))/2</f>
        <v/>
      </c>
      <c r="AJ64" s="8">
        <f>MAX(0,AH64+(AI64-AH64)*(K64-AG64)/2)</f>
        <v/>
      </c>
      <c r="AK64" s="8">
        <f>K64+AJ64</f>
        <v/>
      </c>
      <c r="AL64" s="14">
        <f>AE64*AJ64</f>
        <v/>
      </c>
      <c r="AM64" s="17">
        <f>V64/AL64</f>
        <v/>
      </c>
      <c r="AN64" s="17">
        <f>Z64/AL64</f>
        <v/>
      </c>
      <c r="AO64" s="33">
        <f>IF(V64+Z64=0,0,Z64/(V64+Z64))</f>
        <v/>
      </c>
      <c r="AP64" s="14">
        <f>AL64/V64*100</f>
        <v/>
      </c>
      <c r="AQ64" s="8">
        <f>P64/AL64*1000</f>
        <v/>
      </c>
      <c r="AR64" s="77">
        <f>MAX(N64,M64-1)</f>
        <v/>
      </c>
      <c r="AS64" s="14">
        <f>SUMIFS(Donnees_regimes!$R$3:$R$1118,Donnees_regimes!$A$3:$A$1118,C64,Donnees_regimes!$B$3:$B$1118,"&gt;="&amp;G64,Donnees_regimes!$B$3:$B$1118,"&lt;="&amp;N64)*L64/ROUNDUP(L64,0)*SUMIFS(Donnees_annuelles!$AG$3:$AG$188,Donnees_annuelles!$A$3:$A$188,AR64)*SUMIFS(Donnees_annuelles!$AA$3:$AA$188,Donnees_annuelles!$A$3:$A$188,AR64)</f>
        <v/>
      </c>
      <c r="AT64" s="36">
        <f>AS64/V64</f>
        <v/>
      </c>
      <c r="AU64" s="14">
        <f>AL64</f>
        <v/>
      </c>
      <c r="AV64" s="39">
        <f>AS64-AL64</f>
        <v/>
      </c>
      <c r="AW64" s="9">
        <f>AS64/AL64-1</f>
        <v/>
      </c>
      <c r="AX64" s="14">
        <f>AS64/AJ64/12</f>
        <v/>
      </c>
      <c r="AY64" s="14">
        <f>AF64</f>
        <v/>
      </c>
      <c r="AZ64" s="39">
        <f>AX64-AF64</f>
        <v/>
      </c>
      <c r="BA64" s="14">
        <f>SUMIFS(Donnees_regimes!$S$3:$S$1118,Donnees_regimes!$A$3:$A$1118,C64,Donnees_regimes!$B$3:$B$1118,"&gt;="&amp;G64,Donnees_regimes!$B$3:$B$1118,"&lt;="&amp;N64)*L64/ROUNDUP(L64,0)*SUMIFS(Donnees_annuelles!$AH$3:$AH$188,Donnees_annuelles!$A$3:$A$188,AR64)*SUMIFS(Donnees_annuelles!$AA$3:$AA$188,Donnees_annuelles!$A$3:$A$188,AR64)</f>
        <v/>
      </c>
      <c r="BB64" s="39">
        <f>BA64-AL64</f>
        <v/>
      </c>
      <c r="BC64" s="7">
        <f>IF(M64+AJ64&gt;2026,IF(G64&gt;2026,"entièrement projeté","en partie projeté"),"observé")</f>
        <v/>
      </c>
    </row>
    <row r="65">
      <c r="A65" s="7" t="inlineStr">
        <is>
          <t>Génération Y</t>
        </is>
      </c>
      <c r="B65" s="84" t="inlineStr">
        <is>
          <t>Privé</t>
        </is>
      </c>
      <c r="C65" s="7">
        <f>IF(G65&gt;=SUMIFS(Regimes!$C$5:$C$10,Regimes!$A$5:$A$10,B65),"Privé",B65)</f>
        <v/>
      </c>
      <c r="D65" s="7">
        <f>INDEX(Regimes!$D$5:$D$10,MATCH(C65,Regimes!$A$5:$A$10,0))</f>
        <v/>
      </c>
      <c r="E65" s="88" t="n">
        <v>1990</v>
      </c>
      <c r="F65" s="8">
        <f>Donnees_generations!C78</f>
        <v/>
      </c>
      <c r="G65" s="77">
        <f>Donnees_generations!D78</f>
        <v/>
      </c>
      <c r="H65" s="8">
        <f>SUMIFS(Donnees_generations!$S$3:$S$113,Donnees_generations!$A$3:$A$113,MAX(1915,MIN(2025,E65)))</f>
        <v/>
      </c>
      <c r="I65" s="8">
        <f>SUMIFS(Donnees_generations!$T$3:$T$113,Donnees_generations!$A$3:$A$113,MAX(1915,MIN(2025,E65)))</f>
        <v/>
      </c>
      <c r="J65" s="8">
        <f>IF(G65&gt;=2000,MAX(I65,Parametres!$B$3),I65)</f>
        <v/>
      </c>
      <c r="K65" s="8">
        <f>IF(C65="Privé",J65,SUMIFS(Regles_regimes!$J$3:$J$2000,Regles_regimes!$A$3:$A$2000,C65,Regles_regimes!$B$3:$B$2000,D65,Regles_regimes!$C$3:$C$2000,MAX(1915,MIN(2025,E65))))</f>
        <v/>
      </c>
      <c r="L65" s="8">
        <f>IF(C65="Privé",H65,(K65-F65)*H65/(J65-F65))</f>
        <v/>
      </c>
      <c r="M65" s="77">
        <f>INT(E65+K65)</f>
        <v/>
      </c>
      <c r="N65" s="77">
        <f>G65+ROUNDUP(L65,0)-1</f>
        <v/>
      </c>
      <c r="O65" s="89">
        <f>SUMIFS(Regles_regimes!$K$3:$K$2000,Regles_regimes!$A$3:$A$2000,C65,Regles_regimes!$B$3:$B$2000,D65,Regles_regimes!$C$3:$C$2000,MAX(1915,MIN(2025,E65)))</f>
        <v/>
      </c>
      <c r="P65" s="13">
        <f>SUMIFS(Donnees_annuelles!$W$3:$W$188,Donnees_annuelles!$A$3:$A$188,"&gt;="&amp;G65,Donnees_annuelles!$A$3:$A$188,"&lt;="&amp;N65)*L65/ROUNDUP(L65,0)*O65</f>
        <v/>
      </c>
      <c r="Q65" s="13">
        <f>SUMIFS(Donnees_annuelles!$V$3:$V$188,Donnees_annuelles!$A$3:$A$188,"&gt;="&amp;G65,Donnees_annuelles!$A$3:$A$188,"&lt;="&amp;N65)*L65/ROUNDUP(L65,0)</f>
        <v/>
      </c>
      <c r="R65" s="13">
        <f>P65/L65</f>
        <v/>
      </c>
      <c r="S65" s="14">
        <f>SUMIFS(Donnees_annuelles!$D$3:$D$188,Donnees_annuelles!$A$3:$A$188,"&gt;="&amp;G65,Donnees_annuelles!$A$3:$A$188,"&lt;="&amp;N65)*L65/ROUNDUP(L65,0)</f>
        <v/>
      </c>
      <c r="T65" s="14">
        <f>SUMIFS(Donnees_regimes!$N$3:$N$1118,Donnees_regimes!$A$3:$A$1118,C65,Donnees_regimes!$B$3:$B$1118,"&gt;="&amp;G65,Donnees_regimes!$B$3:$B$1118,"&lt;="&amp;N65)*L65/ROUNDUP(L65,0)</f>
        <v/>
      </c>
      <c r="U65" s="14">
        <f>SUMIFS(Donnees_regimes!$O$3:$O$1118,Donnees_regimes!$A$3:$A$1118,C65,Donnees_regimes!$B$3:$B$1118,"&gt;="&amp;G65,Donnees_regimes!$B$3:$B$1118,"&lt;="&amp;N65)*L65/ROUNDUP(L65,0)</f>
        <v/>
      </c>
      <c r="V65" s="14">
        <f>T65+U65</f>
        <v/>
      </c>
      <c r="W65" s="33">
        <f>V65/S65</f>
        <v/>
      </c>
      <c r="X65" s="14">
        <f>S65+U65</f>
        <v/>
      </c>
      <c r="Y65" s="17">
        <f>V65/P65</f>
        <v/>
      </c>
      <c r="Z65" s="14">
        <f>SUMIFS(Donnees_regimes!$Q$3:$Q$1118,Donnees_regimes!$A$3:$A$1118,C65,Donnees_regimes!$B$3:$B$1118,"&gt;="&amp;G65,Donnees_regimes!$B$3:$B$1118,"&lt;="&amp;N65)*L65/ROUNDUP(L65,0)</f>
        <v/>
      </c>
      <c r="AA65" s="77">
        <f>SUMIFS(Regles_regimes!$F$3:$F$2000,Regles_regimes!$A$3:$A$2000,C65,Regles_regimes!$B$3:$B$2000,D65,Regles_regimes!$C$3:$C$2000,MAX(1915,MIN(2025,E65)))</f>
        <v/>
      </c>
      <c r="AB65" s="77">
        <f>IF(AND(SUMIFS(Regles_regimes!$L$3:$L$2000,Regles_regimes!$A$3:$A$2000,C65,Regles_regimes!$B$3:$B$2000,D65,Regles_regimes!$C$3:$C$2000,MAX(1915,MIN(2025,E65)))=1,G65&lt;2009,C65&lt;&gt;"Privé"),MIN(20,L65*4/5),0)</f>
        <v/>
      </c>
      <c r="AC65" s="89">
        <f>SUMIFS(Donnees_regimes!$M$3:$M$1118,Donnees_regimes!$A$3:$A$1118,C65,Donnees_regimes!$B$3:$B$1118,M65)</f>
        <v/>
      </c>
      <c r="AD65" s="14">
        <f>SUMIFS(Donnees_annuelles!$Y$3:$Y$188,Donnees_annuelles!$A$3:$A$188,M65)*SUMIFS(Donnees_generations!$I$3:$I$113,Donnees_generations!$A$3:$A$113,MAX(1915,MIN(2025,E65)))/H65</f>
        <v/>
      </c>
      <c r="AE65" s="14">
        <f>IF(C65="Privé",SUMIFS(Donnees_annuelles!$Y$3:$Y$188,Donnees_annuelles!$A$3:$A$188,M65)*MIN(L65,SUMIFS(Donnees_generations!$I$3:$I$113,Donnees_generations!$A$3:$A$113,MAX(1915,MIN(2025,E65))))/L65,AD65*AC65*MIN(IF(AB65&gt;0,0.8/0.75,1),(L65*4+AB65)/AA65))</f>
        <v/>
      </c>
      <c r="AF65" s="14">
        <f>AE65/12</f>
        <v/>
      </c>
      <c r="AG65" s="77">
        <f>MIN(68,MAX(56,2*INT(K65/2)))</f>
        <v/>
      </c>
      <c r="AH65" s="75">
        <f>(CHOOSE((AG65-56)/2+1,SUMIFS(Donnees_generations!$U$3:$U$113,Donnees_generations!$A$3:$A$113,MAX(1915,MIN(2025,E65))),SUMIFS(Donnees_generations!$V$3:$V$113,Donnees_generations!$A$3:$A$113,MAX(1915,MIN(2025,E65))),SUMIFS(Donnees_generations!$W$3:$W$113,Donnees_generations!$A$3:$A$113,MAX(1915,MIN(2025,E65))),SUMIFS(Donnees_generations!$X$3:$X$113,Donnees_generations!$A$3:$A$113,MAX(1915,MIN(2025,E65))),SUMIFS(Donnees_generations!$Y$3:$Y$113,Donnees_generations!$A$3:$A$113,MAX(1915,MIN(2025,E65))),SUMIFS(Donnees_generations!$Z$3:$Z$113,Donnees_generations!$A$3:$A$113,MAX(1915,MIN(2025,E65))),SUMIFS(Donnees_generations!$AA$3:$AA$113,Donnees_generations!$A$3:$A$113,MAX(1915,MIN(2025,E65))),SUMIFS(Donnees_generations!$AB$3:$AB$113,Donnees_generations!$A$3:$A$113,MAX(1915,MIN(2025,E65))))+CHOOSE((AG65-56)/2+1,SUMIFS(Donnees_generations!$AC$3:$AC$113,Donnees_generations!$A$3:$A$113,MAX(1915,MIN(2025,E65))),SUMIFS(Donnees_generations!$AD$3:$AD$113,Donnees_generations!$A$3:$A$113,MAX(1915,MIN(2025,E65))),SUMIFS(Donnees_generations!$AE$3:$AE$113,Donnees_generations!$A$3:$A$113,MAX(1915,MIN(2025,E65))),SUMIFS(Donnees_generations!$AF$3:$AF$113,Donnees_generations!$A$3:$A$113,MAX(1915,MIN(2025,E65))),SUMIFS(Donnees_generations!$AG$3:$AG$113,Donnees_generations!$A$3:$A$113,MAX(1915,MIN(2025,E65))),SUMIFS(Donnees_generations!$AH$3:$AH$113,Donnees_generations!$A$3:$A$113,MAX(1915,MIN(2025,E65))),SUMIFS(Donnees_generations!$AI$3:$AI$113,Donnees_generations!$A$3:$A$113,MAX(1915,MIN(2025,E65))),SUMIFS(Donnees_generations!$AJ$3:$AJ$113,Donnees_generations!$A$3:$A$113,MAX(1915,MIN(2025,E65)))))/2</f>
        <v/>
      </c>
      <c r="AI65" s="75">
        <f>(CHOOSE(((AG65+2)-56)/2+1,SUMIFS(Donnees_generations!$U$3:$U$113,Donnees_generations!$A$3:$A$113,MAX(1915,MIN(2025,E65))),SUMIFS(Donnees_generations!$V$3:$V$113,Donnees_generations!$A$3:$A$113,MAX(1915,MIN(2025,E65))),SUMIFS(Donnees_generations!$W$3:$W$113,Donnees_generations!$A$3:$A$113,MAX(1915,MIN(2025,E65))),SUMIFS(Donnees_generations!$X$3:$X$113,Donnees_generations!$A$3:$A$113,MAX(1915,MIN(2025,E65))),SUMIFS(Donnees_generations!$Y$3:$Y$113,Donnees_generations!$A$3:$A$113,MAX(1915,MIN(2025,E65))),SUMIFS(Donnees_generations!$Z$3:$Z$113,Donnees_generations!$A$3:$A$113,MAX(1915,MIN(2025,E65))),SUMIFS(Donnees_generations!$AA$3:$AA$113,Donnees_generations!$A$3:$A$113,MAX(1915,MIN(2025,E65))),SUMIFS(Donnees_generations!$AB$3:$AB$113,Donnees_generations!$A$3:$A$113,MAX(1915,MIN(2025,E65))))+CHOOSE(((AG65+2)-56)/2+1,SUMIFS(Donnees_generations!$AC$3:$AC$113,Donnees_generations!$A$3:$A$113,MAX(1915,MIN(2025,E65))),SUMIFS(Donnees_generations!$AD$3:$AD$113,Donnees_generations!$A$3:$A$113,MAX(1915,MIN(2025,E65))),SUMIFS(Donnees_generations!$AE$3:$AE$113,Donnees_generations!$A$3:$A$113,MAX(1915,MIN(2025,E65))),SUMIFS(Donnees_generations!$AF$3:$AF$113,Donnees_generations!$A$3:$A$113,MAX(1915,MIN(2025,E65))),SUMIFS(Donnees_generations!$AG$3:$AG$113,Donnees_generations!$A$3:$A$113,MAX(1915,MIN(2025,E65))),SUMIFS(Donnees_generations!$AH$3:$AH$113,Donnees_generations!$A$3:$A$113,MAX(1915,MIN(2025,E65))),SUMIFS(Donnees_generations!$AI$3:$AI$113,Donnees_generations!$A$3:$A$113,MAX(1915,MIN(2025,E65))),SUMIFS(Donnees_generations!$AJ$3:$AJ$113,Donnees_generations!$A$3:$A$113,MAX(1915,MIN(2025,E65)))))/2</f>
        <v/>
      </c>
      <c r="AJ65" s="8">
        <f>MAX(0,AH65+(AI65-AH65)*(K65-AG65)/2)</f>
        <v/>
      </c>
      <c r="AK65" s="8">
        <f>K65+AJ65</f>
        <v/>
      </c>
      <c r="AL65" s="14">
        <f>AE65*AJ65</f>
        <v/>
      </c>
      <c r="AM65" s="17">
        <f>V65/AL65</f>
        <v/>
      </c>
      <c r="AN65" s="17">
        <f>Z65/AL65</f>
        <v/>
      </c>
      <c r="AO65" s="33">
        <f>IF(V65+Z65=0,0,Z65/(V65+Z65))</f>
        <v/>
      </c>
      <c r="AP65" s="14">
        <f>AL65/V65*100</f>
        <v/>
      </c>
      <c r="AQ65" s="8">
        <f>P65/AL65*1000</f>
        <v/>
      </c>
      <c r="AR65" s="77">
        <f>MAX(N65,M65-1)</f>
        <v/>
      </c>
      <c r="AS65" s="14">
        <f>SUMIFS(Donnees_regimes!$R$3:$R$1118,Donnees_regimes!$A$3:$A$1118,C65,Donnees_regimes!$B$3:$B$1118,"&gt;="&amp;G65,Donnees_regimes!$B$3:$B$1118,"&lt;="&amp;N65)*L65/ROUNDUP(L65,0)*SUMIFS(Donnees_annuelles!$AG$3:$AG$188,Donnees_annuelles!$A$3:$A$188,AR65)*SUMIFS(Donnees_annuelles!$AA$3:$AA$188,Donnees_annuelles!$A$3:$A$188,AR65)</f>
        <v/>
      </c>
      <c r="AT65" s="36">
        <f>AS65/V65</f>
        <v/>
      </c>
      <c r="AU65" s="14">
        <f>AL65</f>
        <v/>
      </c>
      <c r="AV65" s="39">
        <f>AS65-AL65</f>
        <v/>
      </c>
      <c r="AW65" s="9">
        <f>AS65/AL65-1</f>
        <v/>
      </c>
      <c r="AX65" s="14">
        <f>AS65/AJ65/12</f>
        <v/>
      </c>
      <c r="AY65" s="14">
        <f>AF65</f>
        <v/>
      </c>
      <c r="AZ65" s="39">
        <f>AX65-AF65</f>
        <v/>
      </c>
      <c r="BA65" s="14">
        <f>SUMIFS(Donnees_regimes!$S$3:$S$1118,Donnees_regimes!$A$3:$A$1118,C65,Donnees_regimes!$B$3:$B$1118,"&gt;="&amp;G65,Donnees_regimes!$B$3:$B$1118,"&lt;="&amp;N65)*L65/ROUNDUP(L65,0)*SUMIFS(Donnees_annuelles!$AH$3:$AH$188,Donnees_annuelles!$A$3:$A$188,AR65)*SUMIFS(Donnees_annuelles!$AA$3:$AA$188,Donnees_annuelles!$A$3:$A$188,AR65)</f>
        <v/>
      </c>
      <c r="BB65" s="39">
        <f>BA65-AL65</f>
        <v/>
      </c>
      <c r="BC65" s="7">
        <f>IF(M65+AJ65&gt;2026,IF(G65&gt;2026,"entièrement projeté","en partie projeté"),"observé")</f>
        <v/>
      </c>
    </row>
    <row r="66">
      <c r="A66" s="7" t="inlineStr">
        <is>
          <t>Génération Y</t>
        </is>
      </c>
      <c r="B66" s="84" t="inlineStr">
        <is>
          <t>Privé</t>
        </is>
      </c>
      <c r="C66" s="7">
        <f>IF(G66&gt;=SUMIFS(Regimes!$C$5:$C$10,Regimes!$A$5:$A$10,B66),"Privé",B66)</f>
        <v/>
      </c>
      <c r="D66" s="7">
        <f>INDEX(Regimes!$D$5:$D$10,MATCH(C66,Regimes!$A$5:$A$10,0))</f>
        <v/>
      </c>
      <c r="E66" s="88" t="n">
        <v>1991</v>
      </c>
      <c r="F66" s="8">
        <f>Donnees_generations!C79</f>
        <v/>
      </c>
      <c r="G66" s="77">
        <f>Donnees_generations!D79</f>
        <v/>
      </c>
      <c r="H66" s="8">
        <f>SUMIFS(Donnees_generations!$S$3:$S$113,Donnees_generations!$A$3:$A$113,MAX(1915,MIN(2025,E66)))</f>
        <v/>
      </c>
      <c r="I66" s="8">
        <f>SUMIFS(Donnees_generations!$T$3:$T$113,Donnees_generations!$A$3:$A$113,MAX(1915,MIN(2025,E66)))</f>
        <v/>
      </c>
      <c r="J66" s="8">
        <f>IF(G66&gt;=2000,MAX(I66,Parametres!$B$3),I66)</f>
        <v/>
      </c>
      <c r="K66" s="8">
        <f>IF(C66="Privé",J66,SUMIFS(Regles_regimes!$J$3:$J$2000,Regles_regimes!$A$3:$A$2000,C66,Regles_regimes!$B$3:$B$2000,D66,Regles_regimes!$C$3:$C$2000,MAX(1915,MIN(2025,E66))))</f>
        <v/>
      </c>
      <c r="L66" s="8">
        <f>IF(C66="Privé",H66,(K66-F66)*H66/(J66-F66))</f>
        <v/>
      </c>
      <c r="M66" s="77">
        <f>INT(E66+K66)</f>
        <v/>
      </c>
      <c r="N66" s="77">
        <f>G66+ROUNDUP(L66,0)-1</f>
        <v/>
      </c>
      <c r="O66" s="89">
        <f>SUMIFS(Regles_regimes!$K$3:$K$2000,Regles_regimes!$A$3:$A$2000,C66,Regles_regimes!$B$3:$B$2000,D66,Regles_regimes!$C$3:$C$2000,MAX(1915,MIN(2025,E66)))</f>
        <v/>
      </c>
      <c r="P66" s="13">
        <f>SUMIFS(Donnees_annuelles!$W$3:$W$188,Donnees_annuelles!$A$3:$A$188,"&gt;="&amp;G66,Donnees_annuelles!$A$3:$A$188,"&lt;="&amp;N66)*L66/ROUNDUP(L66,0)*O66</f>
        <v/>
      </c>
      <c r="Q66" s="13">
        <f>SUMIFS(Donnees_annuelles!$V$3:$V$188,Donnees_annuelles!$A$3:$A$188,"&gt;="&amp;G66,Donnees_annuelles!$A$3:$A$188,"&lt;="&amp;N66)*L66/ROUNDUP(L66,0)</f>
        <v/>
      </c>
      <c r="R66" s="13">
        <f>P66/L66</f>
        <v/>
      </c>
      <c r="S66" s="14">
        <f>SUMIFS(Donnees_annuelles!$D$3:$D$188,Donnees_annuelles!$A$3:$A$188,"&gt;="&amp;G66,Donnees_annuelles!$A$3:$A$188,"&lt;="&amp;N66)*L66/ROUNDUP(L66,0)</f>
        <v/>
      </c>
      <c r="T66" s="14">
        <f>SUMIFS(Donnees_regimes!$N$3:$N$1118,Donnees_regimes!$A$3:$A$1118,C66,Donnees_regimes!$B$3:$B$1118,"&gt;="&amp;G66,Donnees_regimes!$B$3:$B$1118,"&lt;="&amp;N66)*L66/ROUNDUP(L66,0)</f>
        <v/>
      </c>
      <c r="U66" s="14">
        <f>SUMIFS(Donnees_regimes!$O$3:$O$1118,Donnees_regimes!$A$3:$A$1118,C66,Donnees_regimes!$B$3:$B$1118,"&gt;="&amp;G66,Donnees_regimes!$B$3:$B$1118,"&lt;="&amp;N66)*L66/ROUNDUP(L66,0)</f>
        <v/>
      </c>
      <c r="V66" s="14">
        <f>T66+U66</f>
        <v/>
      </c>
      <c r="W66" s="33">
        <f>V66/S66</f>
        <v/>
      </c>
      <c r="X66" s="14">
        <f>S66+U66</f>
        <v/>
      </c>
      <c r="Y66" s="17">
        <f>V66/P66</f>
        <v/>
      </c>
      <c r="Z66" s="14">
        <f>SUMIFS(Donnees_regimes!$Q$3:$Q$1118,Donnees_regimes!$A$3:$A$1118,C66,Donnees_regimes!$B$3:$B$1118,"&gt;="&amp;G66,Donnees_regimes!$B$3:$B$1118,"&lt;="&amp;N66)*L66/ROUNDUP(L66,0)</f>
        <v/>
      </c>
      <c r="AA66" s="77">
        <f>SUMIFS(Regles_regimes!$F$3:$F$2000,Regles_regimes!$A$3:$A$2000,C66,Regles_regimes!$B$3:$B$2000,D66,Regles_regimes!$C$3:$C$2000,MAX(1915,MIN(2025,E66)))</f>
        <v/>
      </c>
      <c r="AB66" s="77">
        <f>IF(AND(SUMIFS(Regles_regimes!$L$3:$L$2000,Regles_regimes!$A$3:$A$2000,C66,Regles_regimes!$B$3:$B$2000,D66,Regles_regimes!$C$3:$C$2000,MAX(1915,MIN(2025,E66)))=1,G66&lt;2009,C66&lt;&gt;"Privé"),MIN(20,L66*4/5),0)</f>
        <v/>
      </c>
      <c r="AC66" s="89">
        <f>SUMIFS(Donnees_regimes!$M$3:$M$1118,Donnees_regimes!$A$3:$A$1118,C66,Donnees_regimes!$B$3:$B$1118,M66)</f>
        <v/>
      </c>
      <c r="AD66" s="14">
        <f>SUMIFS(Donnees_annuelles!$Y$3:$Y$188,Donnees_annuelles!$A$3:$A$188,M66)*SUMIFS(Donnees_generations!$I$3:$I$113,Donnees_generations!$A$3:$A$113,MAX(1915,MIN(2025,E66)))/H66</f>
        <v/>
      </c>
      <c r="AE66" s="14">
        <f>IF(C66="Privé",SUMIFS(Donnees_annuelles!$Y$3:$Y$188,Donnees_annuelles!$A$3:$A$188,M66)*MIN(L66,SUMIFS(Donnees_generations!$I$3:$I$113,Donnees_generations!$A$3:$A$113,MAX(1915,MIN(2025,E66))))/L66,AD66*AC66*MIN(IF(AB66&gt;0,0.8/0.75,1),(L66*4+AB66)/AA66))</f>
        <v/>
      </c>
      <c r="AF66" s="14">
        <f>AE66/12</f>
        <v/>
      </c>
      <c r="AG66" s="77">
        <f>MIN(68,MAX(56,2*INT(K66/2)))</f>
        <v/>
      </c>
      <c r="AH66" s="75">
        <f>(CHOOSE((AG66-56)/2+1,SUMIFS(Donnees_generations!$U$3:$U$113,Donnees_generations!$A$3:$A$113,MAX(1915,MIN(2025,E66))),SUMIFS(Donnees_generations!$V$3:$V$113,Donnees_generations!$A$3:$A$113,MAX(1915,MIN(2025,E66))),SUMIFS(Donnees_generations!$W$3:$W$113,Donnees_generations!$A$3:$A$113,MAX(1915,MIN(2025,E66))),SUMIFS(Donnees_generations!$X$3:$X$113,Donnees_generations!$A$3:$A$113,MAX(1915,MIN(2025,E66))),SUMIFS(Donnees_generations!$Y$3:$Y$113,Donnees_generations!$A$3:$A$113,MAX(1915,MIN(2025,E66))),SUMIFS(Donnees_generations!$Z$3:$Z$113,Donnees_generations!$A$3:$A$113,MAX(1915,MIN(2025,E66))),SUMIFS(Donnees_generations!$AA$3:$AA$113,Donnees_generations!$A$3:$A$113,MAX(1915,MIN(2025,E66))),SUMIFS(Donnees_generations!$AB$3:$AB$113,Donnees_generations!$A$3:$A$113,MAX(1915,MIN(2025,E66))))+CHOOSE((AG66-56)/2+1,SUMIFS(Donnees_generations!$AC$3:$AC$113,Donnees_generations!$A$3:$A$113,MAX(1915,MIN(2025,E66))),SUMIFS(Donnees_generations!$AD$3:$AD$113,Donnees_generations!$A$3:$A$113,MAX(1915,MIN(2025,E66))),SUMIFS(Donnees_generations!$AE$3:$AE$113,Donnees_generations!$A$3:$A$113,MAX(1915,MIN(2025,E66))),SUMIFS(Donnees_generations!$AF$3:$AF$113,Donnees_generations!$A$3:$A$113,MAX(1915,MIN(2025,E66))),SUMIFS(Donnees_generations!$AG$3:$AG$113,Donnees_generations!$A$3:$A$113,MAX(1915,MIN(2025,E66))),SUMIFS(Donnees_generations!$AH$3:$AH$113,Donnees_generations!$A$3:$A$113,MAX(1915,MIN(2025,E66))),SUMIFS(Donnees_generations!$AI$3:$AI$113,Donnees_generations!$A$3:$A$113,MAX(1915,MIN(2025,E66))),SUMIFS(Donnees_generations!$AJ$3:$AJ$113,Donnees_generations!$A$3:$A$113,MAX(1915,MIN(2025,E66)))))/2</f>
        <v/>
      </c>
      <c r="AI66" s="75">
        <f>(CHOOSE(((AG66+2)-56)/2+1,SUMIFS(Donnees_generations!$U$3:$U$113,Donnees_generations!$A$3:$A$113,MAX(1915,MIN(2025,E66))),SUMIFS(Donnees_generations!$V$3:$V$113,Donnees_generations!$A$3:$A$113,MAX(1915,MIN(2025,E66))),SUMIFS(Donnees_generations!$W$3:$W$113,Donnees_generations!$A$3:$A$113,MAX(1915,MIN(2025,E66))),SUMIFS(Donnees_generations!$X$3:$X$113,Donnees_generations!$A$3:$A$113,MAX(1915,MIN(2025,E66))),SUMIFS(Donnees_generations!$Y$3:$Y$113,Donnees_generations!$A$3:$A$113,MAX(1915,MIN(2025,E66))),SUMIFS(Donnees_generations!$Z$3:$Z$113,Donnees_generations!$A$3:$A$113,MAX(1915,MIN(2025,E66))),SUMIFS(Donnees_generations!$AA$3:$AA$113,Donnees_generations!$A$3:$A$113,MAX(1915,MIN(2025,E66))),SUMIFS(Donnees_generations!$AB$3:$AB$113,Donnees_generations!$A$3:$A$113,MAX(1915,MIN(2025,E66))))+CHOOSE(((AG66+2)-56)/2+1,SUMIFS(Donnees_generations!$AC$3:$AC$113,Donnees_generations!$A$3:$A$113,MAX(1915,MIN(2025,E66))),SUMIFS(Donnees_generations!$AD$3:$AD$113,Donnees_generations!$A$3:$A$113,MAX(1915,MIN(2025,E66))),SUMIFS(Donnees_generations!$AE$3:$AE$113,Donnees_generations!$A$3:$A$113,MAX(1915,MIN(2025,E66))),SUMIFS(Donnees_generations!$AF$3:$AF$113,Donnees_generations!$A$3:$A$113,MAX(1915,MIN(2025,E66))),SUMIFS(Donnees_generations!$AG$3:$AG$113,Donnees_generations!$A$3:$A$113,MAX(1915,MIN(2025,E66))),SUMIFS(Donnees_generations!$AH$3:$AH$113,Donnees_generations!$A$3:$A$113,MAX(1915,MIN(2025,E66))),SUMIFS(Donnees_generations!$AI$3:$AI$113,Donnees_generations!$A$3:$A$113,MAX(1915,MIN(2025,E66))),SUMIFS(Donnees_generations!$AJ$3:$AJ$113,Donnees_generations!$A$3:$A$113,MAX(1915,MIN(2025,E66)))))/2</f>
        <v/>
      </c>
      <c r="AJ66" s="8">
        <f>MAX(0,AH66+(AI66-AH66)*(K66-AG66)/2)</f>
        <v/>
      </c>
      <c r="AK66" s="8">
        <f>K66+AJ66</f>
        <v/>
      </c>
      <c r="AL66" s="14">
        <f>AE66*AJ66</f>
        <v/>
      </c>
      <c r="AM66" s="17">
        <f>V66/AL66</f>
        <v/>
      </c>
      <c r="AN66" s="17">
        <f>Z66/AL66</f>
        <v/>
      </c>
      <c r="AO66" s="33">
        <f>IF(V66+Z66=0,0,Z66/(V66+Z66))</f>
        <v/>
      </c>
      <c r="AP66" s="14">
        <f>AL66/V66*100</f>
        <v/>
      </c>
      <c r="AQ66" s="8">
        <f>P66/AL66*1000</f>
        <v/>
      </c>
      <c r="AR66" s="77">
        <f>MAX(N66,M66-1)</f>
        <v/>
      </c>
      <c r="AS66" s="14">
        <f>SUMIFS(Donnees_regimes!$R$3:$R$1118,Donnees_regimes!$A$3:$A$1118,C66,Donnees_regimes!$B$3:$B$1118,"&gt;="&amp;G66,Donnees_regimes!$B$3:$B$1118,"&lt;="&amp;N66)*L66/ROUNDUP(L66,0)*SUMIFS(Donnees_annuelles!$AG$3:$AG$188,Donnees_annuelles!$A$3:$A$188,AR66)*SUMIFS(Donnees_annuelles!$AA$3:$AA$188,Donnees_annuelles!$A$3:$A$188,AR66)</f>
        <v/>
      </c>
      <c r="AT66" s="36">
        <f>AS66/V66</f>
        <v/>
      </c>
      <c r="AU66" s="14">
        <f>AL66</f>
        <v/>
      </c>
      <c r="AV66" s="39">
        <f>AS66-AL66</f>
        <v/>
      </c>
      <c r="AW66" s="9">
        <f>AS66/AL66-1</f>
        <v/>
      </c>
      <c r="AX66" s="14">
        <f>AS66/AJ66/12</f>
        <v/>
      </c>
      <c r="AY66" s="14">
        <f>AF66</f>
        <v/>
      </c>
      <c r="AZ66" s="39">
        <f>AX66-AF66</f>
        <v/>
      </c>
      <c r="BA66" s="14">
        <f>SUMIFS(Donnees_regimes!$S$3:$S$1118,Donnees_regimes!$A$3:$A$1118,C66,Donnees_regimes!$B$3:$B$1118,"&gt;="&amp;G66,Donnees_regimes!$B$3:$B$1118,"&lt;="&amp;N66)*L66/ROUNDUP(L66,0)*SUMIFS(Donnees_annuelles!$AH$3:$AH$188,Donnees_annuelles!$A$3:$A$188,AR66)*SUMIFS(Donnees_annuelles!$AA$3:$AA$188,Donnees_annuelles!$A$3:$A$188,AR66)</f>
        <v/>
      </c>
      <c r="BB66" s="39">
        <f>BA66-AL66</f>
        <v/>
      </c>
      <c r="BC66" s="7">
        <f>IF(M66+AJ66&gt;2026,IF(G66&gt;2026,"entièrement projeté","en partie projeté"),"observé")</f>
        <v/>
      </c>
    </row>
    <row r="67">
      <c r="A67" s="7" t="inlineStr">
        <is>
          <t>Génération Y</t>
        </is>
      </c>
      <c r="B67" s="84" t="inlineStr">
        <is>
          <t>Privé</t>
        </is>
      </c>
      <c r="C67" s="7">
        <f>IF(G67&gt;=SUMIFS(Regimes!$C$5:$C$10,Regimes!$A$5:$A$10,B67),"Privé",B67)</f>
        <v/>
      </c>
      <c r="D67" s="7">
        <f>INDEX(Regimes!$D$5:$D$10,MATCH(C67,Regimes!$A$5:$A$10,0))</f>
        <v/>
      </c>
      <c r="E67" s="88" t="n">
        <v>1992</v>
      </c>
      <c r="F67" s="8">
        <f>Donnees_generations!C80</f>
        <v/>
      </c>
      <c r="G67" s="77">
        <f>Donnees_generations!D80</f>
        <v/>
      </c>
      <c r="H67" s="8">
        <f>SUMIFS(Donnees_generations!$S$3:$S$113,Donnees_generations!$A$3:$A$113,MAX(1915,MIN(2025,E67)))</f>
        <v/>
      </c>
      <c r="I67" s="8">
        <f>SUMIFS(Donnees_generations!$T$3:$T$113,Donnees_generations!$A$3:$A$113,MAX(1915,MIN(2025,E67)))</f>
        <v/>
      </c>
      <c r="J67" s="8">
        <f>IF(G67&gt;=2000,MAX(I67,Parametres!$B$3),I67)</f>
        <v/>
      </c>
      <c r="K67" s="8">
        <f>IF(C67="Privé",J67,SUMIFS(Regles_regimes!$J$3:$J$2000,Regles_regimes!$A$3:$A$2000,C67,Regles_regimes!$B$3:$B$2000,D67,Regles_regimes!$C$3:$C$2000,MAX(1915,MIN(2025,E67))))</f>
        <v/>
      </c>
      <c r="L67" s="8">
        <f>IF(C67="Privé",H67,(K67-F67)*H67/(J67-F67))</f>
        <v/>
      </c>
      <c r="M67" s="77">
        <f>INT(E67+K67)</f>
        <v/>
      </c>
      <c r="N67" s="77">
        <f>G67+ROUNDUP(L67,0)-1</f>
        <v/>
      </c>
      <c r="O67" s="89">
        <f>SUMIFS(Regles_regimes!$K$3:$K$2000,Regles_regimes!$A$3:$A$2000,C67,Regles_regimes!$B$3:$B$2000,D67,Regles_regimes!$C$3:$C$2000,MAX(1915,MIN(2025,E67)))</f>
        <v/>
      </c>
      <c r="P67" s="13">
        <f>SUMIFS(Donnees_annuelles!$W$3:$W$188,Donnees_annuelles!$A$3:$A$188,"&gt;="&amp;G67,Donnees_annuelles!$A$3:$A$188,"&lt;="&amp;N67)*L67/ROUNDUP(L67,0)*O67</f>
        <v/>
      </c>
      <c r="Q67" s="13">
        <f>SUMIFS(Donnees_annuelles!$V$3:$V$188,Donnees_annuelles!$A$3:$A$188,"&gt;="&amp;G67,Donnees_annuelles!$A$3:$A$188,"&lt;="&amp;N67)*L67/ROUNDUP(L67,0)</f>
        <v/>
      </c>
      <c r="R67" s="13">
        <f>P67/L67</f>
        <v/>
      </c>
      <c r="S67" s="14">
        <f>SUMIFS(Donnees_annuelles!$D$3:$D$188,Donnees_annuelles!$A$3:$A$188,"&gt;="&amp;G67,Donnees_annuelles!$A$3:$A$188,"&lt;="&amp;N67)*L67/ROUNDUP(L67,0)</f>
        <v/>
      </c>
      <c r="T67" s="14">
        <f>SUMIFS(Donnees_regimes!$N$3:$N$1118,Donnees_regimes!$A$3:$A$1118,C67,Donnees_regimes!$B$3:$B$1118,"&gt;="&amp;G67,Donnees_regimes!$B$3:$B$1118,"&lt;="&amp;N67)*L67/ROUNDUP(L67,0)</f>
        <v/>
      </c>
      <c r="U67" s="14">
        <f>SUMIFS(Donnees_regimes!$O$3:$O$1118,Donnees_regimes!$A$3:$A$1118,C67,Donnees_regimes!$B$3:$B$1118,"&gt;="&amp;G67,Donnees_regimes!$B$3:$B$1118,"&lt;="&amp;N67)*L67/ROUNDUP(L67,0)</f>
        <v/>
      </c>
      <c r="V67" s="14">
        <f>T67+U67</f>
        <v/>
      </c>
      <c r="W67" s="33">
        <f>V67/S67</f>
        <v/>
      </c>
      <c r="X67" s="14">
        <f>S67+U67</f>
        <v/>
      </c>
      <c r="Y67" s="17">
        <f>V67/P67</f>
        <v/>
      </c>
      <c r="Z67" s="14">
        <f>SUMIFS(Donnees_regimes!$Q$3:$Q$1118,Donnees_regimes!$A$3:$A$1118,C67,Donnees_regimes!$B$3:$B$1118,"&gt;="&amp;G67,Donnees_regimes!$B$3:$B$1118,"&lt;="&amp;N67)*L67/ROUNDUP(L67,0)</f>
        <v/>
      </c>
      <c r="AA67" s="77">
        <f>SUMIFS(Regles_regimes!$F$3:$F$2000,Regles_regimes!$A$3:$A$2000,C67,Regles_regimes!$B$3:$B$2000,D67,Regles_regimes!$C$3:$C$2000,MAX(1915,MIN(2025,E67)))</f>
        <v/>
      </c>
      <c r="AB67" s="77">
        <f>IF(AND(SUMIFS(Regles_regimes!$L$3:$L$2000,Regles_regimes!$A$3:$A$2000,C67,Regles_regimes!$B$3:$B$2000,D67,Regles_regimes!$C$3:$C$2000,MAX(1915,MIN(2025,E67)))=1,G67&lt;2009,C67&lt;&gt;"Privé"),MIN(20,L67*4/5),0)</f>
        <v/>
      </c>
      <c r="AC67" s="89">
        <f>SUMIFS(Donnees_regimes!$M$3:$M$1118,Donnees_regimes!$A$3:$A$1118,C67,Donnees_regimes!$B$3:$B$1118,M67)</f>
        <v/>
      </c>
      <c r="AD67" s="14">
        <f>SUMIFS(Donnees_annuelles!$Y$3:$Y$188,Donnees_annuelles!$A$3:$A$188,M67)*SUMIFS(Donnees_generations!$I$3:$I$113,Donnees_generations!$A$3:$A$113,MAX(1915,MIN(2025,E67)))/H67</f>
        <v/>
      </c>
      <c r="AE67" s="14">
        <f>IF(C67="Privé",SUMIFS(Donnees_annuelles!$Y$3:$Y$188,Donnees_annuelles!$A$3:$A$188,M67)*MIN(L67,SUMIFS(Donnees_generations!$I$3:$I$113,Donnees_generations!$A$3:$A$113,MAX(1915,MIN(2025,E67))))/L67,AD67*AC67*MIN(IF(AB67&gt;0,0.8/0.75,1),(L67*4+AB67)/AA67))</f>
        <v/>
      </c>
      <c r="AF67" s="14">
        <f>AE67/12</f>
        <v/>
      </c>
      <c r="AG67" s="77">
        <f>MIN(68,MAX(56,2*INT(K67/2)))</f>
        <v/>
      </c>
      <c r="AH67" s="75">
        <f>(CHOOSE((AG67-56)/2+1,SUMIFS(Donnees_generations!$U$3:$U$113,Donnees_generations!$A$3:$A$113,MAX(1915,MIN(2025,E67))),SUMIFS(Donnees_generations!$V$3:$V$113,Donnees_generations!$A$3:$A$113,MAX(1915,MIN(2025,E67))),SUMIFS(Donnees_generations!$W$3:$W$113,Donnees_generations!$A$3:$A$113,MAX(1915,MIN(2025,E67))),SUMIFS(Donnees_generations!$X$3:$X$113,Donnees_generations!$A$3:$A$113,MAX(1915,MIN(2025,E67))),SUMIFS(Donnees_generations!$Y$3:$Y$113,Donnees_generations!$A$3:$A$113,MAX(1915,MIN(2025,E67))),SUMIFS(Donnees_generations!$Z$3:$Z$113,Donnees_generations!$A$3:$A$113,MAX(1915,MIN(2025,E67))),SUMIFS(Donnees_generations!$AA$3:$AA$113,Donnees_generations!$A$3:$A$113,MAX(1915,MIN(2025,E67))),SUMIFS(Donnees_generations!$AB$3:$AB$113,Donnees_generations!$A$3:$A$113,MAX(1915,MIN(2025,E67))))+CHOOSE((AG67-56)/2+1,SUMIFS(Donnees_generations!$AC$3:$AC$113,Donnees_generations!$A$3:$A$113,MAX(1915,MIN(2025,E67))),SUMIFS(Donnees_generations!$AD$3:$AD$113,Donnees_generations!$A$3:$A$113,MAX(1915,MIN(2025,E67))),SUMIFS(Donnees_generations!$AE$3:$AE$113,Donnees_generations!$A$3:$A$113,MAX(1915,MIN(2025,E67))),SUMIFS(Donnees_generations!$AF$3:$AF$113,Donnees_generations!$A$3:$A$113,MAX(1915,MIN(2025,E67))),SUMIFS(Donnees_generations!$AG$3:$AG$113,Donnees_generations!$A$3:$A$113,MAX(1915,MIN(2025,E67))),SUMIFS(Donnees_generations!$AH$3:$AH$113,Donnees_generations!$A$3:$A$113,MAX(1915,MIN(2025,E67))),SUMIFS(Donnees_generations!$AI$3:$AI$113,Donnees_generations!$A$3:$A$113,MAX(1915,MIN(2025,E67))),SUMIFS(Donnees_generations!$AJ$3:$AJ$113,Donnees_generations!$A$3:$A$113,MAX(1915,MIN(2025,E67)))))/2</f>
        <v/>
      </c>
      <c r="AI67" s="75">
        <f>(CHOOSE(((AG67+2)-56)/2+1,SUMIFS(Donnees_generations!$U$3:$U$113,Donnees_generations!$A$3:$A$113,MAX(1915,MIN(2025,E67))),SUMIFS(Donnees_generations!$V$3:$V$113,Donnees_generations!$A$3:$A$113,MAX(1915,MIN(2025,E67))),SUMIFS(Donnees_generations!$W$3:$W$113,Donnees_generations!$A$3:$A$113,MAX(1915,MIN(2025,E67))),SUMIFS(Donnees_generations!$X$3:$X$113,Donnees_generations!$A$3:$A$113,MAX(1915,MIN(2025,E67))),SUMIFS(Donnees_generations!$Y$3:$Y$113,Donnees_generations!$A$3:$A$113,MAX(1915,MIN(2025,E67))),SUMIFS(Donnees_generations!$Z$3:$Z$113,Donnees_generations!$A$3:$A$113,MAX(1915,MIN(2025,E67))),SUMIFS(Donnees_generations!$AA$3:$AA$113,Donnees_generations!$A$3:$A$113,MAX(1915,MIN(2025,E67))),SUMIFS(Donnees_generations!$AB$3:$AB$113,Donnees_generations!$A$3:$A$113,MAX(1915,MIN(2025,E67))))+CHOOSE(((AG67+2)-56)/2+1,SUMIFS(Donnees_generations!$AC$3:$AC$113,Donnees_generations!$A$3:$A$113,MAX(1915,MIN(2025,E67))),SUMIFS(Donnees_generations!$AD$3:$AD$113,Donnees_generations!$A$3:$A$113,MAX(1915,MIN(2025,E67))),SUMIFS(Donnees_generations!$AE$3:$AE$113,Donnees_generations!$A$3:$A$113,MAX(1915,MIN(2025,E67))),SUMIFS(Donnees_generations!$AF$3:$AF$113,Donnees_generations!$A$3:$A$113,MAX(1915,MIN(2025,E67))),SUMIFS(Donnees_generations!$AG$3:$AG$113,Donnees_generations!$A$3:$A$113,MAX(1915,MIN(2025,E67))),SUMIFS(Donnees_generations!$AH$3:$AH$113,Donnees_generations!$A$3:$A$113,MAX(1915,MIN(2025,E67))),SUMIFS(Donnees_generations!$AI$3:$AI$113,Donnees_generations!$A$3:$A$113,MAX(1915,MIN(2025,E67))),SUMIFS(Donnees_generations!$AJ$3:$AJ$113,Donnees_generations!$A$3:$A$113,MAX(1915,MIN(2025,E67)))))/2</f>
        <v/>
      </c>
      <c r="AJ67" s="8">
        <f>MAX(0,AH67+(AI67-AH67)*(K67-AG67)/2)</f>
        <v/>
      </c>
      <c r="AK67" s="8">
        <f>K67+AJ67</f>
        <v/>
      </c>
      <c r="AL67" s="14">
        <f>AE67*AJ67</f>
        <v/>
      </c>
      <c r="AM67" s="17">
        <f>V67/AL67</f>
        <v/>
      </c>
      <c r="AN67" s="17">
        <f>Z67/AL67</f>
        <v/>
      </c>
      <c r="AO67" s="33">
        <f>IF(V67+Z67=0,0,Z67/(V67+Z67))</f>
        <v/>
      </c>
      <c r="AP67" s="14">
        <f>AL67/V67*100</f>
        <v/>
      </c>
      <c r="AQ67" s="8">
        <f>P67/AL67*1000</f>
        <v/>
      </c>
      <c r="AR67" s="77">
        <f>MAX(N67,M67-1)</f>
        <v/>
      </c>
      <c r="AS67" s="14">
        <f>SUMIFS(Donnees_regimes!$R$3:$R$1118,Donnees_regimes!$A$3:$A$1118,C67,Donnees_regimes!$B$3:$B$1118,"&gt;="&amp;G67,Donnees_regimes!$B$3:$B$1118,"&lt;="&amp;N67)*L67/ROUNDUP(L67,0)*SUMIFS(Donnees_annuelles!$AG$3:$AG$188,Donnees_annuelles!$A$3:$A$188,AR67)*SUMIFS(Donnees_annuelles!$AA$3:$AA$188,Donnees_annuelles!$A$3:$A$188,AR67)</f>
        <v/>
      </c>
      <c r="AT67" s="36">
        <f>AS67/V67</f>
        <v/>
      </c>
      <c r="AU67" s="14">
        <f>AL67</f>
        <v/>
      </c>
      <c r="AV67" s="39">
        <f>AS67-AL67</f>
        <v/>
      </c>
      <c r="AW67" s="9">
        <f>AS67/AL67-1</f>
        <v/>
      </c>
      <c r="AX67" s="14">
        <f>AS67/AJ67/12</f>
        <v/>
      </c>
      <c r="AY67" s="14">
        <f>AF67</f>
        <v/>
      </c>
      <c r="AZ67" s="39">
        <f>AX67-AF67</f>
        <v/>
      </c>
      <c r="BA67" s="14">
        <f>SUMIFS(Donnees_regimes!$S$3:$S$1118,Donnees_regimes!$A$3:$A$1118,C67,Donnees_regimes!$B$3:$B$1118,"&gt;="&amp;G67,Donnees_regimes!$B$3:$B$1118,"&lt;="&amp;N67)*L67/ROUNDUP(L67,0)*SUMIFS(Donnees_annuelles!$AH$3:$AH$188,Donnees_annuelles!$A$3:$A$188,AR67)*SUMIFS(Donnees_annuelles!$AA$3:$AA$188,Donnees_annuelles!$A$3:$A$188,AR67)</f>
        <v/>
      </c>
      <c r="BB67" s="39">
        <f>BA67-AL67</f>
        <v/>
      </c>
      <c r="BC67" s="7">
        <f>IF(M67+AJ67&gt;2026,IF(G67&gt;2026,"entièrement projeté","en partie projeté"),"observé")</f>
        <v/>
      </c>
    </row>
    <row r="68">
      <c r="A68" s="7" t="inlineStr">
        <is>
          <t>Génération Y</t>
        </is>
      </c>
      <c r="B68" s="84" t="inlineStr">
        <is>
          <t>Privé</t>
        </is>
      </c>
      <c r="C68" s="7">
        <f>IF(G68&gt;=SUMIFS(Regimes!$C$5:$C$10,Regimes!$A$5:$A$10,B68),"Privé",B68)</f>
        <v/>
      </c>
      <c r="D68" s="7">
        <f>INDEX(Regimes!$D$5:$D$10,MATCH(C68,Regimes!$A$5:$A$10,0))</f>
        <v/>
      </c>
      <c r="E68" s="88" t="n">
        <v>1993</v>
      </c>
      <c r="F68" s="8">
        <f>Donnees_generations!C81</f>
        <v/>
      </c>
      <c r="G68" s="77">
        <f>Donnees_generations!D81</f>
        <v/>
      </c>
      <c r="H68" s="8">
        <f>SUMIFS(Donnees_generations!$S$3:$S$113,Donnees_generations!$A$3:$A$113,MAX(1915,MIN(2025,E68)))</f>
        <v/>
      </c>
      <c r="I68" s="8">
        <f>SUMIFS(Donnees_generations!$T$3:$T$113,Donnees_generations!$A$3:$A$113,MAX(1915,MIN(2025,E68)))</f>
        <v/>
      </c>
      <c r="J68" s="8">
        <f>IF(G68&gt;=2000,MAX(I68,Parametres!$B$3),I68)</f>
        <v/>
      </c>
      <c r="K68" s="8">
        <f>IF(C68="Privé",J68,SUMIFS(Regles_regimes!$J$3:$J$2000,Regles_regimes!$A$3:$A$2000,C68,Regles_regimes!$B$3:$B$2000,D68,Regles_regimes!$C$3:$C$2000,MAX(1915,MIN(2025,E68))))</f>
        <v/>
      </c>
      <c r="L68" s="8">
        <f>IF(C68="Privé",H68,(K68-F68)*H68/(J68-F68))</f>
        <v/>
      </c>
      <c r="M68" s="77">
        <f>INT(E68+K68)</f>
        <v/>
      </c>
      <c r="N68" s="77">
        <f>G68+ROUNDUP(L68,0)-1</f>
        <v/>
      </c>
      <c r="O68" s="89">
        <f>SUMIFS(Regles_regimes!$K$3:$K$2000,Regles_regimes!$A$3:$A$2000,C68,Regles_regimes!$B$3:$B$2000,D68,Regles_regimes!$C$3:$C$2000,MAX(1915,MIN(2025,E68)))</f>
        <v/>
      </c>
      <c r="P68" s="13">
        <f>SUMIFS(Donnees_annuelles!$W$3:$W$188,Donnees_annuelles!$A$3:$A$188,"&gt;="&amp;G68,Donnees_annuelles!$A$3:$A$188,"&lt;="&amp;N68)*L68/ROUNDUP(L68,0)*O68</f>
        <v/>
      </c>
      <c r="Q68" s="13">
        <f>SUMIFS(Donnees_annuelles!$V$3:$V$188,Donnees_annuelles!$A$3:$A$188,"&gt;="&amp;G68,Donnees_annuelles!$A$3:$A$188,"&lt;="&amp;N68)*L68/ROUNDUP(L68,0)</f>
        <v/>
      </c>
      <c r="R68" s="13">
        <f>P68/L68</f>
        <v/>
      </c>
      <c r="S68" s="14">
        <f>SUMIFS(Donnees_annuelles!$D$3:$D$188,Donnees_annuelles!$A$3:$A$188,"&gt;="&amp;G68,Donnees_annuelles!$A$3:$A$188,"&lt;="&amp;N68)*L68/ROUNDUP(L68,0)</f>
        <v/>
      </c>
      <c r="T68" s="14">
        <f>SUMIFS(Donnees_regimes!$N$3:$N$1118,Donnees_regimes!$A$3:$A$1118,C68,Donnees_regimes!$B$3:$B$1118,"&gt;="&amp;G68,Donnees_regimes!$B$3:$B$1118,"&lt;="&amp;N68)*L68/ROUNDUP(L68,0)</f>
        <v/>
      </c>
      <c r="U68" s="14">
        <f>SUMIFS(Donnees_regimes!$O$3:$O$1118,Donnees_regimes!$A$3:$A$1118,C68,Donnees_regimes!$B$3:$B$1118,"&gt;="&amp;G68,Donnees_regimes!$B$3:$B$1118,"&lt;="&amp;N68)*L68/ROUNDUP(L68,0)</f>
        <v/>
      </c>
      <c r="V68" s="14">
        <f>T68+U68</f>
        <v/>
      </c>
      <c r="W68" s="33">
        <f>V68/S68</f>
        <v/>
      </c>
      <c r="X68" s="14">
        <f>S68+U68</f>
        <v/>
      </c>
      <c r="Y68" s="17">
        <f>V68/P68</f>
        <v/>
      </c>
      <c r="Z68" s="14">
        <f>SUMIFS(Donnees_regimes!$Q$3:$Q$1118,Donnees_regimes!$A$3:$A$1118,C68,Donnees_regimes!$B$3:$B$1118,"&gt;="&amp;G68,Donnees_regimes!$B$3:$B$1118,"&lt;="&amp;N68)*L68/ROUNDUP(L68,0)</f>
        <v/>
      </c>
      <c r="AA68" s="77">
        <f>SUMIFS(Regles_regimes!$F$3:$F$2000,Regles_regimes!$A$3:$A$2000,C68,Regles_regimes!$B$3:$B$2000,D68,Regles_regimes!$C$3:$C$2000,MAX(1915,MIN(2025,E68)))</f>
        <v/>
      </c>
      <c r="AB68" s="77">
        <f>IF(AND(SUMIFS(Regles_regimes!$L$3:$L$2000,Regles_regimes!$A$3:$A$2000,C68,Regles_regimes!$B$3:$B$2000,D68,Regles_regimes!$C$3:$C$2000,MAX(1915,MIN(2025,E68)))=1,G68&lt;2009,C68&lt;&gt;"Privé"),MIN(20,L68*4/5),0)</f>
        <v/>
      </c>
      <c r="AC68" s="89">
        <f>SUMIFS(Donnees_regimes!$M$3:$M$1118,Donnees_regimes!$A$3:$A$1118,C68,Donnees_regimes!$B$3:$B$1118,M68)</f>
        <v/>
      </c>
      <c r="AD68" s="14">
        <f>SUMIFS(Donnees_annuelles!$Y$3:$Y$188,Donnees_annuelles!$A$3:$A$188,M68)*SUMIFS(Donnees_generations!$I$3:$I$113,Donnees_generations!$A$3:$A$113,MAX(1915,MIN(2025,E68)))/H68</f>
        <v/>
      </c>
      <c r="AE68" s="14">
        <f>IF(C68="Privé",SUMIFS(Donnees_annuelles!$Y$3:$Y$188,Donnees_annuelles!$A$3:$A$188,M68)*MIN(L68,SUMIFS(Donnees_generations!$I$3:$I$113,Donnees_generations!$A$3:$A$113,MAX(1915,MIN(2025,E68))))/L68,AD68*AC68*MIN(IF(AB68&gt;0,0.8/0.75,1),(L68*4+AB68)/AA68))</f>
        <v/>
      </c>
      <c r="AF68" s="14">
        <f>AE68/12</f>
        <v/>
      </c>
      <c r="AG68" s="77">
        <f>MIN(68,MAX(56,2*INT(K68/2)))</f>
        <v/>
      </c>
      <c r="AH68" s="75">
        <f>(CHOOSE((AG68-56)/2+1,SUMIFS(Donnees_generations!$U$3:$U$113,Donnees_generations!$A$3:$A$113,MAX(1915,MIN(2025,E68))),SUMIFS(Donnees_generations!$V$3:$V$113,Donnees_generations!$A$3:$A$113,MAX(1915,MIN(2025,E68))),SUMIFS(Donnees_generations!$W$3:$W$113,Donnees_generations!$A$3:$A$113,MAX(1915,MIN(2025,E68))),SUMIFS(Donnees_generations!$X$3:$X$113,Donnees_generations!$A$3:$A$113,MAX(1915,MIN(2025,E68))),SUMIFS(Donnees_generations!$Y$3:$Y$113,Donnees_generations!$A$3:$A$113,MAX(1915,MIN(2025,E68))),SUMIFS(Donnees_generations!$Z$3:$Z$113,Donnees_generations!$A$3:$A$113,MAX(1915,MIN(2025,E68))),SUMIFS(Donnees_generations!$AA$3:$AA$113,Donnees_generations!$A$3:$A$113,MAX(1915,MIN(2025,E68))),SUMIFS(Donnees_generations!$AB$3:$AB$113,Donnees_generations!$A$3:$A$113,MAX(1915,MIN(2025,E68))))+CHOOSE((AG68-56)/2+1,SUMIFS(Donnees_generations!$AC$3:$AC$113,Donnees_generations!$A$3:$A$113,MAX(1915,MIN(2025,E68))),SUMIFS(Donnees_generations!$AD$3:$AD$113,Donnees_generations!$A$3:$A$113,MAX(1915,MIN(2025,E68))),SUMIFS(Donnees_generations!$AE$3:$AE$113,Donnees_generations!$A$3:$A$113,MAX(1915,MIN(2025,E68))),SUMIFS(Donnees_generations!$AF$3:$AF$113,Donnees_generations!$A$3:$A$113,MAX(1915,MIN(2025,E68))),SUMIFS(Donnees_generations!$AG$3:$AG$113,Donnees_generations!$A$3:$A$113,MAX(1915,MIN(2025,E68))),SUMIFS(Donnees_generations!$AH$3:$AH$113,Donnees_generations!$A$3:$A$113,MAX(1915,MIN(2025,E68))),SUMIFS(Donnees_generations!$AI$3:$AI$113,Donnees_generations!$A$3:$A$113,MAX(1915,MIN(2025,E68))),SUMIFS(Donnees_generations!$AJ$3:$AJ$113,Donnees_generations!$A$3:$A$113,MAX(1915,MIN(2025,E68)))))/2</f>
        <v/>
      </c>
      <c r="AI68" s="75">
        <f>(CHOOSE(((AG68+2)-56)/2+1,SUMIFS(Donnees_generations!$U$3:$U$113,Donnees_generations!$A$3:$A$113,MAX(1915,MIN(2025,E68))),SUMIFS(Donnees_generations!$V$3:$V$113,Donnees_generations!$A$3:$A$113,MAX(1915,MIN(2025,E68))),SUMIFS(Donnees_generations!$W$3:$W$113,Donnees_generations!$A$3:$A$113,MAX(1915,MIN(2025,E68))),SUMIFS(Donnees_generations!$X$3:$X$113,Donnees_generations!$A$3:$A$113,MAX(1915,MIN(2025,E68))),SUMIFS(Donnees_generations!$Y$3:$Y$113,Donnees_generations!$A$3:$A$113,MAX(1915,MIN(2025,E68))),SUMIFS(Donnees_generations!$Z$3:$Z$113,Donnees_generations!$A$3:$A$113,MAX(1915,MIN(2025,E68))),SUMIFS(Donnees_generations!$AA$3:$AA$113,Donnees_generations!$A$3:$A$113,MAX(1915,MIN(2025,E68))),SUMIFS(Donnees_generations!$AB$3:$AB$113,Donnees_generations!$A$3:$A$113,MAX(1915,MIN(2025,E68))))+CHOOSE(((AG68+2)-56)/2+1,SUMIFS(Donnees_generations!$AC$3:$AC$113,Donnees_generations!$A$3:$A$113,MAX(1915,MIN(2025,E68))),SUMIFS(Donnees_generations!$AD$3:$AD$113,Donnees_generations!$A$3:$A$113,MAX(1915,MIN(2025,E68))),SUMIFS(Donnees_generations!$AE$3:$AE$113,Donnees_generations!$A$3:$A$113,MAX(1915,MIN(2025,E68))),SUMIFS(Donnees_generations!$AF$3:$AF$113,Donnees_generations!$A$3:$A$113,MAX(1915,MIN(2025,E68))),SUMIFS(Donnees_generations!$AG$3:$AG$113,Donnees_generations!$A$3:$A$113,MAX(1915,MIN(2025,E68))),SUMIFS(Donnees_generations!$AH$3:$AH$113,Donnees_generations!$A$3:$A$113,MAX(1915,MIN(2025,E68))),SUMIFS(Donnees_generations!$AI$3:$AI$113,Donnees_generations!$A$3:$A$113,MAX(1915,MIN(2025,E68))),SUMIFS(Donnees_generations!$AJ$3:$AJ$113,Donnees_generations!$A$3:$A$113,MAX(1915,MIN(2025,E68)))))/2</f>
        <v/>
      </c>
      <c r="AJ68" s="8">
        <f>MAX(0,AH68+(AI68-AH68)*(K68-AG68)/2)</f>
        <v/>
      </c>
      <c r="AK68" s="8">
        <f>K68+AJ68</f>
        <v/>
      </c>
      <c r="AL68" s="14">
        <f>AE68*AJ68</f>
        <v/>
      </c>
      <c r="AM68" s="17">
        <f>V68/AL68</f>
        <v/>
      </c>
      <c r="AN68" s="17">
        <f>Z68/AL68</f>
        <v/>
      </c>
      <c r="AO68" s="33">
        <f>IF(V68+Z68=0,0,Z68/(V68+Z68))</f>
        <v/>
      </c>
      <c r="AP68" s="14">
        <f>AL68/V68*100</f>
        <v/>
      </c>
      <c r="AQ68" s="8">
        <f>P68/AL68*1000</f>
        <v/>
      </c>
      <c r="AR68" s="77">
        <f>MAX(N68,M68-1)</f>
        <v/>
      </c>
      <c r="AS68" s="14">
        <f>SUMIFS(Donnees_regimes!$R$3:$R$1118,Donnees_regimes!$A$3:$A$1118,C68,Donnees_regimes!$B$3:$B$1118,"&gt;="&amp;G68,Donnees_regimes!$B$3:$B$1118,"&lt;="&amp;N68)*L68/ROUNDUP(L68,0)*SUMIFS(Donnees_annuelles!$AG$3:$AG$188,Donnees_annuelles!$A$3:$A$188,AR68)*SUMIFS(Donnees_annuelles!$AA$3:$AA$188,Donnees_annuelles!$A$3:$A$188,AR68)</f>
        <v/>
      </c>
      <c r="AT68" s="36">
        <f>AS68/V68</f>
        <v/>
      </c>
      <c r="AU68" s="14">
        <f>AL68</f>
        <v/>
      </c>
      <c r="AV68" s="39">
        <f>AS68-AL68</f>
        <v/>
      </c>
      <c r="AW68" s="9">
        <f>AS68/AL68-1</f>
        <v/>
      </c>
      <c r="AX68" s="14">
        <f>AS68/AJ68/12</f>
        <v/>
      </c>
      <c r="AY68" s="14">
        <f>AF68</f>
        <v/>
      </c>
      <c r="AZ68" s="39">
        <f>AX68-AF68</f>
        <v/>
      </c>
      <c r="BA68" s="14">
        <f>SUMIFS(Donnees_regimes!$S$3:$S$1118,Donnees_regimes!$A$3:$A$1118,C68,Donnees_regimes!$B$3:$B$1118,"&gt;="&amp;G68,Donnees_regimes!$B$3:$B$1118,"&lt;="&amp;N68)*L68/ROUNDUP(L68,0)*SUMIFS(Donnees_annuelles!$AH$3:$AH$188,Donnees_annuelles!$A$3:$A$188,AR68)*SUMIFS(Donnees_annuelles!$AA$3:$AA$188,Donnees_annuelles!$A$3:$A$188,AR68)</f>
        <v/>
      </c>
      <c r="BB68" s="39">
        <f>BA68-AL68</f>
        <v/>
      </c>
      <c r="BC68" s="7">
        <f>IF(M68+AJ68&gt;2026,IF(G68&gt;2026,"entièrement projeté","en partie projeté"),"observé")</f>
        <v/>
      </c>
    </row>
    <row r="69">
      <c r="A69" s="7" t="inlineStr">
        <is>
          <t>Génération Y</t>
        </is>
      </c>
      <c r="B69" s="84" t="inlineStr">
        <is>
          <t>Privé</t>
        </is>
      </c>
      <c r="C69" s="7">
        <f>IF(G69&gt;=SUMIFS(Regimes!$C$5:$C$10,Regimes!$A$5:$A$10,B69),"Privé",B69)</f>
        <v/>
      </c>
      <c r="D69" s="7">
        <f>INDEX(Regimes!$D$5:$D$10,MATCH(C69,Regimes!$A$5:$A$10,0))</f>
        <v/>
      </c>
      <c r="E69" s="88" t="n">
        <v>1994</v>
      </c>
      <c r="F69" s="8">
        <f>Donnees_generations!C82</f>
        <v/>
      </c>
      <c r="G69" s="77">
        <f>Donnees_generations!D82</f>
        <v/>
      </c>
      <c r="H69" s="8">
        <f>SUMIFS(Donnees_generations!$S$3:$S$113,Donnees_generations!$A$3:$A$113,MAX(1915,MIN(2025,E69)))</f>
        <v/>
      </c>
      <c r="I69" s="8">
        <f>SUMIFS(Donnees_generations!$T$3:$T$113,Donnees_generations!$A$3:$A$113,MAX(1915,MIN(2025,E69)))</f>
        <v/>
      </c>
      <c r="J69" s="8">
        <f>IF(G69&gt;=2000,MAX(I69,Parametres!$B$3),I69)</f>
        <v/>
      </c>
      <c r="K69" s="8">
        <f>IF(C69="Privé",J69,SUMIFS(Regles_regimes!$J$3:$J$2000,Regles_regimes!$A$3:$A$2000,C69,Regles_regimes!$B$3:$B$2000,D69,Regles_regimes!$C$3:$C$2000,MAX(1915,MIN(2025,E69))))</f>
        <v/>
      </c>
      <c r="L69" s="8">
        <f>IF(C69="Privé",H69,(K69-F69)*H69/(J69-F69))</f>
        <v/>
      </c>
      <c r="M69" s="77">
        <f>INT(E69+K69)</f>
        <v/>
      </c>
      <c r="N69" s="77">
        <f>G69+ROUNDUP(L69,0)-1</f>
        <v/>
      </c>
      <c r="O69" s="89">
        <f>SUMIFS(Regles_regimes!$K$3:$K$2000,Regles_regimes!$A$3:$A$2000,C69,Regles_regimes!$B$3:$B$2000,D69,Regles_regimes!$C$3:$C$2000,MAX(1915,MIN(2025,E69)))</f>
        <v/>
      </c>
      <c r="P69" s="13">
        <f>SUMIFS(Donnees_annuelles!$W$3:$W$188,Donnees_annuelles!$A$3:$A$188,"&gt;="&amp;G69,Donnees_annuelles!$A$3:$A$188,"&lt;="&amp;N69)*L69/ROUNDUP(L69,0)*O69</f>
        <v/>
      </c>
      <c r="Q69" s="13">
        <f>SUMIFS(Donnees_annuelles!$V$3:$V$188,Donnees_annuelles!$A$3:$A$188,"&gt;="&amp;G69,Donnees_annuelles!$A$3:$A$188,"&lt;="&amp;N69)*L69/ROUNDUP(L69,0)</f>
        <v/>
      </c>
      <c r="R69" s="13">
        <f>P69/L69</f>
        <v/>
      </c>
      <c r="S69" s="14">
        <f>SUMIFS(Donnees_annuelles!$D$3:$D$188,Donnees_annuelles!$A$3:$A$188,"&gt;="&amp;G69,Donnees_annuelles!$A$3:$A$188,"&lt;="&amp;N69)*L69/ROUNDUP(L69,0)</f>
        <v/>
      </c>
      <c r="T69" s="14">
        <f>SUMIFS(Donnees_regimes!$N$3:$N$1118,Donnees_regimes!$A$3:$A$1118,C69,Donnees_regimes!$B$3:$B$1118,"&gt;="&amp;G69,Donnees_regimes!$B$3:$B$1118,"&lt;="&amp;N69)*L69/ROUNDUP(L69,0)</f>
        <v/>
      </c>
      <c r="U69" s="14">
        <f>SUMIFS(Donnees_regimes!$O$3:$O$1118,Donnees_regimes!$A$3:$A$1118,C69,Donnees_regimes!$B$3:$B$1118,"&gt;="&amp;G69,Donnees_regimes!$B$3:$B$1118,"&lt;="&amp;N69)*L69/ROUNDUP(L69,0)</f>
        <v/>
      </c>
      <c r="V69" s="14">
        <f>T69+U69</f>
        <v/>
      </c>
      <c r="W69" s="33">
        <f>V69/S69</f>
        <v/>
      </c>
      <c r="X69" s="14">
        <f>S69+U69</f>
        <v/>
      </c>
      <c r="Y69" s="17">
        <f>V69/P69</f>
        <v/>
      </c>
      <c r="Z69" s="14">
        <f>SUMIFS(Donnees_regimes!$Q$3:$Q$1118,Donnees_regimes!$A$3:$A$1118,C69,Donnees_regimes!$B$3:$B$1118,"&gt;="&amp;G69,Donnees_regimes!$B$3:$B$1118,"&lt;="&amp;N69)*L69/ROUNDUP(L69,0)</f>
        <v/>
      </c>
      <c r="AA69" s="77">
        <f>SUMIFS(Regles_regimes!$F$3:$F$2000,Regles_regimes!$A$3:$A$2000,C69,Regles_regimes!$B$3:$B$2000,D69,Regles_regimes!$C$3:$C$2000,MAX(1915,MIN(2025,E69)))</f>
        <v/>
      </c>
      <c r="AB69" s="77">
        <f>IF(AND(SUMIFS(Regles_regimes!$L$3:$L$2000,Regles_regimes!$A$3:$A$2000,C69,Regles_regimes!$B$3:$B$2000,D69,Regles_regimes!$C$3:$C$2000,MAX(1915,MIN(2025,E69)))=1,G69&lt;2009,C69&lt;&gt;"Privé"),MIN(20,L69*4/5),0)</f>
        <v/>
      </c>
      <c r="AC69" s="89">
        <f>SUMIFS(Donnees_regimes!$M$3:$M$1118,Donnees_regimes!$A$3:$A$1118,C69,Donnees_regimes!$B$3:$B$1118,M69)</f>
        <v/>
      </c>
      <c r="AD69" s="14">
        <f>SUMIFS(Donnees_annuelles!$Y$3:$Y$188,Donnees_annuelles!$A$3:$A$188,M69)*SUMIFS(Donnees_generations!$I$3:$I$113,Donnees_generations!$A$3:$A$113,MAX(1915,MIN(2025,E69)))/H69</f>
        <v/>
      </c>
      <c r="AE69" s="14">
        <f>IF(C69="Privé",SUMIFS(Donnees_annuelles!$Y$3:$Y$188,Donnees_annuelles!$A$3:$A$188,M69)*MIN(L69,SUMIFS(Donnees_generations!$I$3:$I$113,Donnees_generations!$A$3:$A$113,MAX(1915,MIN(2025,E69))))/L69,AD69*AC69*MIN(IF(AB69&gt;0,0.8/0.75,1),(L69*4+AB69)/AA69))</f>
        <v/>
      </c>
      <c r="AF69" s="14">
        <f>AE69/12</f>
        <v/>
      </c>
      <c r="AG69" s="77">
        <f>MIN(68,MAX(56,2*INT(K69/2)))</f>
        <v/>
      </c>
      <c r="AH69" s="75">
        <f>(CHOOSE((AG69-56)/2+1,SUMIFS(Donnees_generations!$U$3:$U$113,Donnees_generations!$A$3:$A$113,MAX(1915,MIN(2025,E69))),SUMIFS(Donnees_generations!$V$3:$V$113,Donnees_generations!$A$3:$A$113,MAX(1915,MIN(2025,E69))),SUMIFS(Donnees_generations!$W$3:$W$113,Donnees_generations!$A$3:$A$113,MAX(1915,MIN(2025,E69))),SUMIFS(Donnees_generations!$X$3:$X$113,Donnees_generations!$A$3:$A$113,MAX(1915,MIN(2025,E69))),SUMIFS(Donnees_generations!$Y$3:$Y$113,Donnees_generations!$A$3:$A$113,MAX(1915,MIN(2025,E69))),SUMIFS(Donnees_generations!$Z$3:$Z$113,Donnees_generations!$A$3:$A$113,MAX(1915,MIN(2025,E69))),SUMIFS(Donnees_generations!$AA$3:$AA$113,Donnees_generations!$A$3:$A$113,MAX(1915,MIN(2025,E69))),SUMIFS(Donnees_generations!$AB$3:$AB$113,Donnees_generations!$A$3:$A$113,MAX(1915,MIN(2025,E69))))+CHOOSE((AG69-56)/2+1,SUMIFS(Donnees_generations!$AC$3:$AC$113,Donnees_generations!$A$3:$A$113,MAX(1915,MIN(2025,E69))),SUMIFS(Donnees_generations!$AD$3:$AD$113,Donnees_generations!$A$3:$A$113,MAX(1915,MIN(2025,E69))),SUMIFS(Donnees_generations!$AE$3:$AE$113,Donnees_generations!$A$3:$A$113,MAX(1915,MIN(2025,E69))),SUMIFS(Donnees_generations!$AF$3:$AF$113,Donnees_generations!$A$3:$A$113,MAX(1915,MIN(2025,E69))),SUMIFS(Donnees_generations!$AG$3:$AG$113,Donnees_generations!$A$3:$A$113,MAX(1915,MIN(2025,E69))),SUMIFS(Donnees_generations!$AH$3:$AH$113,Donnees_generations!$A$3:$A$113,MAX(1915,MIN(2025,E69))),SUMIFS(Donnees_generations!$AI$3:$AI$113,Donnees_generations!$A$3:$A$113,MAX(1915,MIN(2025,E69))),SUMIFS(Donnees_generations!$AJ$3:$AJ$113,Donnees_generations!$A$3:$A$113,MAX(1915,MIN(2025,E69)))))/2</f>
        <v/>
      </c>
      <c r="AI69" s="75">
        <f>(CHOOSE(((AG69+2)-56)/2+1,SUMIFS(Donnees_generations!$U$3:$U$113,Donnees_generations!$A$3:$A$113,MAX(1915,MIN(2025,E69))),SUMIFS(Donnees_generations!$V$3:$V$113,Donnees_generations!$A$3:$A$113,MAX(1915,MIN(2025,E69))),SUMIFS(Donnees_generations!$W$3:$W$113,Donnees_generations!$A$3:$A$113,MAX(1915,MIN(2025,E69))),SUMIFS(Donnees_generations!$X$3:$X$113,Donnees_generations!$A$3:$A$113,MAX(1915,MIN(2025,E69))),SUMIFS(Donnees_generations!$Y$3:$Y$113,Donnees_generations!$A$3:$A$113,MAX(1915,MIN(2025,E69))),SUMIFS(Donnees_generations!$Z$3:$Z$113,Donnees_generations!$A$3:$A$113,MAX(1915,MIN(2025,E69))),SUMIFS(Donnees_generations!$AA$3:$AA$113,Donnees_generations!$A$3:$A$113,MAX(1915,MIN(2025,E69))),SUMIFS(Donnees_generations!$AB$3:$AB$113,Donnees_generations!$A$3:$A$113,MAX(1915,MIN(2025,E69))))+CHOOSE(((AG69+2)-56)/2+1,SUMIFS(Donnees_generations!$AC$3:$AC$113,Donnees_generations!$A$3:$A$113,MAX(1915,MIN(2025,E69))),SUMIFS(Donnees_generations!$AD$3:$AD$113,Donnees_generations!$A$3:$A$113,MAX(1915,MIN(2025,E69))),SUMIFS(Donnees_generations!$AE$3:$AE$113,Donnees_generations!$A$3:$A$113,MAX(1915,MIN(2025,E69))),SUMIFS(Donnees_generations!$AF$3:$AF$113,Donnees_generations!$A$3:$A$113,MAX(1915,MIN(2025,E69))),SUMIFS(Donnees_generations!$AG$3:$AG$113,Donnees_generations!$A$3:$A$113,MAX(1915,MIN(2025,E69))),SUMIFS(Donnees_generations!$AH$3:$AH$113,Donnees_generations!$A$3:$A$113,MAX(1915,MIN(2025,E69))),SUMIFS(Donnees_generations!$AI$3:$AI$113,Donnees_generations!$A$3:$A$113,MAX(1915,MIN(2025,E69))),SUMIFS(Donnees_generations!$AJ$3:$AJ$113,Donnees_generations!$A$3:$A$113,MAX(1915,MIN(2025,E69)))))/2</f>
        <v/>
      </c>
      <c r="AJ69" s="8">
        <f>MAX(0,AH69+(AI69-AH69)*(K69-AG69)/2)</f>
        <v/>
      </c>
      <c r="AK69" s="8">
        <f>K69+AJ69</f>
        <v/>
      </c>
      <c r="AL69" s="14">
        <f>AE69*AJ69</f>
        <v/>
      </c>
      <c r="AM69" s="17">
        <f>V69/AL69</f>
        <v/>
      </c>
      <c r="AN69" s="17">
        <f>Z69/AL69</f>
        <v/>
      </c>
      <c r="AO69" s="33">
        <f>IF(V69+Z69=0,0,Z69/(V69+Z69))</f>
        <v/>
      </c>
      <c r="AP69" s="14">
        <f>AL69/V69*100</f>
        <v/>
      </c>
      <c r="AQ69" s="8">
        <f>P69/AL69*1000</f>
        <v/>
      </c>
      <c r="AR69" s="77">
        <f>MAX(N69,M69-1)</f>
        <v/>
      </c>
      <c r="AS69" s="14">
        <f>SUMIFS(Donnees_regimes!$R$3:$R$1118,Donnees_regimes!$A$3:$A$1118,C69,Donnees_regimes!$B$3:$B$1118,"&gt;="&amp;G69,Donnees_regimes!$B$3:$B$1118,"&lt;="&amp;N69)*L69/ROUNDUP(L69,0)*SUMIFS(Donnees_annuelles!$AG$3:$AG$188,Donnees_annuelles!$A$3:$A$188,AR69)*SUMIFS(Donnees_annuelles!$AA$3:$AA$188,Donnees_annuelles!$A$3:$A$188,AR69)</f>
        <v/>
      </c>
      <c r="AT69" s="36">
        <f>AS69/V69</f>
        <v/>
      </c>
      <c r="AU69" s="14">
        <f>AL69</f>
        <v/>
      </c>
      <c r="AV69" s="39">
        <f>AS69-AL69</f>
        <v/>
      </c>
      <c r="AW69" s="9">
        <f>AS69/AL69-1</f>
        <v/>
      </c>
      <c r="AX69" s="14">
        <f>AS69/AJ69/12</f>
        <v/>
      </c>
      <c r="AY69" s="14">
        <f>AF69</f>
        <v/>
      </c>
      <c r="AZ69" s="39">
        <f>AX69-AF69</f>
        <v/>
      </c>
      <c r="BA69" s="14">
        <f>SUMIFS(Donnees_regimes!$S$3:$S$1118,Donnees_regimes!$A$3:$A$1118,C69,Donnees_regimes!$B$3:$B$1118,"&gt;="&amp;G69,Donnees_regimes!$B$3:$B$1118,"&lt;="&amp;N69)*L69/ROUNDUP(L69,0)*SUMIFS(Donnees_annuelles!$AH$3:$AH$188,Donnees_annuelles!$A$3:$A$188,AR69)*SUMIFS(Donnees_annuelles!$AA$3:$AA$188,Donnees_annuelles!$A$3:$A$188,AR69)</f>
        <v/>
      </c>
      <c r="BB69" s="39">
        <f>BA69-AL69</f>
        <v/>
      </c>
      <c r="BC69" s="7">
        <f>IF(M69+AJ69&gt;2026,IF(G69&gt;2026,"entièrement projeté","en partie projeté"),"observé")</f>
        <v/>
      </c>
    </row>
    <row r="70">
      <c r="A70" s="7" t="inlineStr">
        <is>
          <t>Génération Y</t>
        </is>
      </c>
      <c r="B70" s="84" t="inlineStr">
        <is>
          <t>Privé</t>
        </is>
      </c>
      <c r="C70" s="7">
        <f>IF(G70&gt;=SUMIFS(Regimes!$C$5:$C$10,Regimes!$A$5:$A$10,B70),"Privé",B70)</f>
        <v/>
      </c>
      <c r="D70" s="7">
        <f>INDEX(Regimes!$D$5:$D$10,MATCH(C70,Regimes!$A$5:$A$10,0))</f>
        <v/>
      </c>
      <c r="E70" s="88" t="n">
        <v>1995</v>
      </c>
      <c r="F70" s="8">
        <f>Donnees_generations!C83</f>
        <v/>
      </c>
      <c r="G70" s="77">
        <f>Donnees_generations!D83</f>
        <v/>
      </c>
      <c r="H70" s="8">
        <f>SUMIFS(Donnees_generations!$S$3:$S$113,Donnees_generations!$A$3:$A$113,MAX(1915,MIN(2025,E70)))</f>
        <v/>
      </c>
      <c r="I70" s="8">
        <f>SUMIFS(Donnees_generations!$T$3:$T$113,Donnees_generations!$A$3:$A$113,MAX(1915,MIN(2025,E70)))</f>
        <v/>
      </c>
      <c r="J70" s="8">
        <f>IF(G70&gt;=2000,MAX(I70,Parametres!$B$3),I70)</f>
        <v/>
      </c>
      <c r="K70" s="8">
        <f>IF(C70="Privé",J70,SUMIFS(Regles_regimes!$J$3:$J$2000,Regles_regimes!$A$3:$A$2000,C70,Regles_regimes!$B$3:$B$2000,D70,Regles_regimes!$C$3:$C$2000,MAX(1915,MIN(2025,E70))))</f>
        <v/>
      </c>
      <c r="L70" s="8">
        <f>IF(C70="Privé",H70,(K70-F70)*H70/(J70-F70))</f>
        <v/>
      </c>
      <c r="M70" s="77">
        <f>INT(E70+K70)</f>
        <v/>
      </c>
      <c r="N70" s="77">
        <f>G70+ROUNDUP(L70,0)-1</f>
        <v/>
      </c>
      <c r="O70" s="89">
        <f>SUMIFS(Regles_regimes!$K$3:$K$2000,Regles_regimes!$A$3:$A$2000,C70,Regles_regimes!$B$3:$B$2000,D70,Regles_regimes!$C$3:$C$2000,MAX(1915,MIN(2025,E70)))</f>
        <v/>
      </c>
      <c r="P70" s="13">
        <f>SUMIFS(Donnees_annuelles!$W$3:$W$188,Donnees_annuelles!$A$3:$A$188,"&gt;="&amp;G70,Donnees_annuelles!$A$3:$A$188,"&lt;="&amp;N70)*L70/ROUNDUP(L70,0)*O70</f>
        <v/>
      </c>
      <c r="Q70" s="13">
        <f>SUMIFS(Donnees_annuelles!$V$3:$V$188,Donnees_annuelles!$A$3:$A$188,"&gt;="&amp;G70,Donnees_annuelles!$A$3:$A$188,"&lt;="&amp;N70)*L70/ROUNDUP(L70,0)</f>
        <v/>
      </c>
      <c r="R70" s="13">
        <f>P70/L70</f>
        <v/>
      </c>
      <c r="S70" s="14">
        <f>SUMIFS(Donnees_annuelles!$D$3:$D$188,Donnees_annuelles!$A$3:$A$188,"&gt;="&amp;G70,Donnees_annuelles!$A$3:$A$188,"&lt;="&amp;N70)*L70/ROUNDUP(L70,0)</f>
        <v/>
      </c>
      <c r="T70" s="14">
        <f>SUMIFS(Donnees_regimes!$N$3:$N$1118,Donnees_regimes!$A$3:$A$1118,C70,Donnees_regimes!$B$3:$B$1118,"&gt;="&amp;G70,Donnees_regimes!$B$3:$B$1118,"&lt;="&amp;N70)*L70/ROUNDUP(L70,0)</f>
        <v/>
      </c>
      <c r="U70" s="14">
        <f>SUMIFS(Donnees_regimes!$O$3:$O$1118,Donnees_regimes!$A$3:$A$1118,C70,Donnees_regimes!$B$3:$B$1118,"&gt;="&amp;G70,Donnees_regimes!$B$3:$B$1118,"&lt;="&amp;N70)*L70/ROUNDUP(L70,0)</f>
        <v/>
      </c>
      <c r="V70" s="14">
        <f>T70+U70</f>
        <v/>
      </c>
      <c r="W70" s="33">
        <f>V70/S70</f>
        <v/>
      </c>
      <c r="X70" s="14">
        <f>S70+U70</f>
        <v/>
      </c>
      <c r="Y70" s="17">
        <f>V70/P70</f>
        <v/>
      </c>
      <c r="Z70" s="14">
        <f>SUMIFS(Donnees_regimes!$Q$3:$Q$1118,Donnees_regimes!$A$3:$A$1118,C70,Donnees_regimes!$B$3:$B$1118,"&gt;="&amp;G70,Donnees_regimes!$B$3:$B$1118,"&lt;="&amp;N70)*L70/ROUNDUP(L70,0)</f>
        <v/>
      </c>
      <c r="AA70" s="77">
        <f>SUMIFS(Regles_regimes!$F$3:$F$2000,Regles_regimes!$A$3:$A$2000,C70,Regles_regimes!$B$3:$B$2000,D70,Regles_regimes!$C$3:$C$2000,MAX(1915,MIN(2025,E70)))</f>
        <v/>
      </c>
      <c r="AB70" s="77">
        <f>IF(AND(SUMIFS(Regles_regimes!$L$3:$L$2000,Regles_regimes!$A$3:$A$2000,C70,Regles_regimes!$B$3:$B$2000,D70,Regles_regimes!$C$3:$C$2000,MAX(1915,MIN(2025,E70)))=1,G70&lt;2009,C70&lt;&gt;"Privé"),MIN(20,L70*4/5),0)</f>
        <v/>
      </c>
      <c r="AC70" s="89">
        <f>SUMIFS(Donnees_regimes!$M$3:$M$1118,Donnees_regimes!$A$3:$A$1118,C70,Donnees_regimes!$B$3:$B$1118,M70)</f>
        <v/>
      </c>
      <c r="AD70" s="14">
        <f>SUMIFS(Donnees_annuelles!$Y$3:$Y$188,Donnees_annuelles!$A$3:$A$188,M70)*SUMIFS(Donnees_generations!$I$3:$I$113,Donnees_generations!$A$3:$A$113,MAX(1915,MIN(2025,E70)))/H70</f>
        <v/>
      </c>
      <c r="AE70" s="14">
        <f>IF(C70="Privé",SUMIFS(Donnees_annuelles!$Y$3:$Y$188,Donnees_annuelles!$A$3:$A$188,M70)*MIN(L70,SUMIFS(Donnees_generations!$I$3:$I$113,Donnees_generations!$A$3:$A$113,MAX(1915,MIN(2025,E70))))/L70,AD70*AC70*MIN(IF(AB70&gt;0,0.8/0.75,1),(L70*4+AB70)/AA70))</f>
        <v/>
      </c>
      <c r="AF70" s="14">
        <f>AE70/12</f>
        <v/>
      </c>
      <c r="AG70" s="77">
        <f>MIN(68,MAX(56,2*INT(K70/2)))</f>
        <v/>
      </c>
      <c r="AH70" s="75">
        <f>(CHOOSE((AG70-56)/2+1,SUMIFS(Donnees_generations!$U$3:$U$113,Donnees_generations!$A$3:$A$113,MAX(1915,MIN(2025,E70))),SUMIFS(Donnees_generations!$V$3:$V$113,Donnees_generations!$A$3:$A$113,MAX(1915,MIN(2025,E70))),SUMIFS(Donnees_generations!$W$3:$W$113,Donnees_generations!$A$3:$A$113,MAX(1915,MIN(2025,E70))),SUMIFS(Donnees_generations!$X$3:$X$113,Donnees_generations!$A$3:$A$113,MAX(1915,MIN(2025,E70))),SUMIFS(Donnees_generations!$Y$3:$Y$113,Donnees_generations!$A$3:$A$113,MAX(1915,MIN(2025,E70))),SUMIFS(Donnees_generations!$Z$3:$Z$113,Donnees_generations!$A$3:$A$113,MAX(1915,MIN(2025,E70))),SUMIFS(Donnees_generations!$AA$3:$AA$113,Donnees_generations!$A$3:$A$113,MAX(1915,MIN(2025,E70))),SUMIFS(Donnees_generations!$AB$3:$AB$113,Donnees_generations!$A$3:$A$113,MAX(1915,MIN(2025,E70))))+CHOOSE((AG70-56)/2+1,SUMIFS(Donnees_generations!$AC$3:$AC$113,Donnees_generations!$A$3:$A$113,MAX(1915,MIN(2025,E70))),SUMIFS(Donnees_generations!$AD$3:$AD$113,Donnees_generations!$A$3:$A$113,MAX(1915,MIN(2025,E70))),SUMIFS(Donnees_generations!$AE$3:$AE$113,Donnees_generations!$A$3:$A$113,MAX(1915,MIN(2025,E70))),SUMIFS(Donnees_generations!$AF$3:$AF$113,Donnees_generations!$A$3:$A$113,MAX(1915,MIN(2025,E70))),SUMIFS(Donnees_generations!$AG$3:$AG$113,Donnees_generations!$A$3:$A$113,MAX(1915,MIN(2025,E70))),SUMIFS(Donnees_generations!$AH$3:$AH$113,Donnees_generations!$A$3:$A$113,MAX(1915,MIN(2025,E70))),SUMIFS(Donnees_generations!$AI$3:$AI$113,Donnees_generations!$A$3:$A$113,MAX(1915,MIN(2025,E70))),SUMIFS(Donnees_generations!$AJ$3:$AJ$113,Donnees_generations!$A$3:$A$113,MAX(1915,MIN(2025,E70)))))/2</f>
        <v/>
      </c>
      <c r="AI70" s="75">
        <f>(CHOOSE(((AG70+2)-56)/2+1,SUMIFS(Donnees_generations!$U$3:$U$113,Donnees_generations!$A$3:$A$113,MAX(1915,MIN(2025,E70))),SUMIFS(Donnees_generations!$V$3:$V$113,Donnees_generations!$A$3:$A$113,MAX(1915,MIN(2025,E70))),SUMIFS(Donnees_generations!$W$3:$W$113,Donnees_generations!$A$3:$A$113,MAX(1915,MIN(2025,E70))),SUMIFS(Donnees_generations!$X$3:$X$113,Donnees_generations!$A$3:$A$113,MAX(1915,MIN(2025,E70))),SUMIFS(Donnees_generations!$Y$3:$Y$113,Donnees_generations!$A$3:$A$113,MAX(1915,MIN(2025,E70))),SUMIFS(Donnees_generations!$Z$3:$Z$113,Donnees_generations!$A$3:$A$113,MAX(1915,MIN(2025,E70))),SUMIFS(Donnees_generations!$AA$3:$AA$113,Donnees_generations!$A$3:$A$113,MAX(1915,MIN(2025,E70))),SUMIFS(Donnees_generations!$AB$3:$AB$113,Donnees_generations!$A$3:$A$113,MAX(1915,MIN(2025,E70))))+CHOOSE(((AG70+2)-56)/2+1,SUMIFS(Donnees_generations!$AC$3:$AC$113,Donnees_generations!$A$3:$A$113,MAX(1915,MIN(2025,E70))),SUMIFS(Donnees_generations!$AD$3:$AD$113,Donnees_generations!$A$3:$A$113,MAX(1915,MIN(2025,E70))),SUMIFS(Donnees_generations!$AE$3:$AE$113,Donnees_generations!$A$3:$A$113,MAX(1915,MIN(2025,E70))),SUMIFS(Donnees_generations!$AF$3:$AF$113,Donnees_generations!$A$3:$A$113,MAX(1915,MIN(2025,E70))),SUMIFS(Donnees_generations!$AG$3:$AG$113,Donnees_generations!$A$3:$A$113,MAX(1915,MIN(2025,E70))),SUMIFS(Donnees_generations!$AH$3:$AH$113,Donnees_generations!$A$3:$A$113,MAX(1915,MIN(2025,E70))),SUMIFS(Donnees_generations!$AI$3:$AI$113,Donnees_generations!$A$3:$A$113,MAX(1915,MIN(2025,E70))),SUMIFS(Donnees_generations!$AJ$3:$AJ$113,Donnees_generations!$A$3:$A$113,MAX(1915,MIN(2025,E70)))))/2</f>
        <v/>
      </c>
      <c r="AJ70" s="8">
        <f>MAX(0,AH70+(AI70-AH70)*(K70-AG70)/2)</f>
        <v/>
      </c>
      <c r="AK70" s="8">
        <f>K70+AJ70</f>
        <v/>
      </c>
      <c r="AL70" s="14">
        <f>AE70*AJ70</f>
        <v/>
      </c>
      <c r="AM70" s="17">
        <f>V70/AL70</f>
        <v/>
      </c>
      <c r="AN70" s="17">
        <f>Z70/AL70</f>
        <v/>
      </c>
      <c r="AO70" s="33">
        <f>IF(V70+Z70=0,0,Z70/(V70+Z70))</f>
        <v/>
      </c>
      <c r="AP70" s="14">
        <f>AL70/V70*100</f>
        <v/>
      </c>
      <c r="AQ70" s="8">
        <f>P70/AL70*1000</f>
        <v/>
      </c>
      <c r="AR70" s="77">
        <f>MAX(N70,M70-1)</f>
        <v/>
      </c>
      <c r="AS70" s="14">
        <f>SUMIFS(Donnees_regimes!$R$3:$R$1118,Donnees_regimes!$A$3:$A$1118,C70,Donnees_regimes!$B$3:$B$1118,"&gt;="&amp;G70,Donnees_regimes!$B$3:$B$1118,"&lt;="&amp;N70)*L70/ROUNDUP(L70,0)*SUMIFS(Donnees_annuelles!$AG$3:$AG$188,Donnees_annuelles!$A$3:$A$188,AR70)*SUMIFS(Donnees_annuelles!$AA$3:$AA$188,Donnees_annuelles!$A$3:$A$188,AR70)</f>
        <v/>
      </c>
      <c r="AT70" s="36">
        <f>AS70/V70</f>
        <v/>
      </c>
      <c r="AU70" s="14">
        <f>AL70</f>
        <v/>
      </c>
      <c r="AV70" s="39">
        <f>AS70-AL70</f>
        <v/>
      </c>
      <c r="AW70" s="9">
        <f>AS70/AL70-1</f>
        <v/>
      </c>
      <c r="AX70" s="14">
        <f>AS70/AJ70/12</f>
        <v/>
      </c>
      <c r="AY70" s="14">
        <f>AF70</f>
        <v/>
      </c>
      <c r="AZ70" s="39">
        <f>AX70-AF70</f>
        <v/>
      </c>
      <c r="BA70" s="14">
        <f>SUMIFS(Donnees_regimes!$S$3:$S$1118,Donnees_regimes!$A$3:$A$1118,C70,Donnees_regimes!$B$3:$B$1118,"&gt;="&amp;G70,Donnees_regimes!$B$3:$B$1118,"&lt;="&amp;N70)*L70/ROUNDUP(L70,0)*SUMIFS(Donnees_annuelles!$AH$3:$AH$188,Donnees_annuelles!$A$3:$A$188,AR70)*SUMIFS(Donnees_annuelles!$AA$3:$AA$188,Donnees_annuelles!$A$3:$A$188,AR70)</f>
        <v/>
      </c>
      <c r="BB70" s="39">
        <f>BA70-AL70</f>
        <v/>
      </c>
      <c r="BC70" s="7">
        <f>IF(M70+AJ70&gt;2026,IF(G70&gt;2026,"entièrement projeté","en partie projeté"),"observé")</f>
        <v/>
      </c>
    </row>
    <row r="71">
      <c r="A71" s="7" t="inlineStr">
        <is>
          <t>Génération Y</t>
        </is>
      </c>
      <c r="B71" s="84" t="inlineStr">
        <is>
          <t>Privé</t>
        </is>
      </c>
      <c r="C71" s="7">
        <f>IF(G71&gt;=SUMIFS(Regimes!$C$5:$C$10,Regimes!$A$5:$A$10,B71),"Privé",B71)</f>
        <v/>
      </c>
      <c r="D71" s="7">
        <f>INDEX(Regimes!$D$5:$D$10,MATCH(C71,Regimes!$A$5:$A$10,0))</f>
        <v/>
      </c>
      <c r="E71" s="88" t="n">
        <v>1996</v>
      </c>
      <c r="F71" s="8">
        <f>Donnees_generations!C84</f>
        <v/>
      </c>
      <c r="G71" s="77">
        <f>Donnees_generations!D84</f>
        <v/>
      </c>
      <c r="H71" s="8">
        <f>SUMIFS(Donnees_generations!$S$3:$S$113,Donnees_generations!$A$3:$A$113,MAX(1915,MIN(2025,E71)))</f>
        <v/>
      </c>
      <c r="I71" s="8">
        <f>SUMIFS(Donnees_generations!$T$3:$T$113,Donnees_generations!$A$3:$A$113,MAX(1915,MIN(2025,E71)))</f>
        <v/>
      </c>
      <c r="J71" s="8">
        <f>IF(G71&gt;=2000,MAX(I71,Parametres!$B$3),I71)</f>
        <v/>
      </c>
      <c r="K71" s="8">
        <f>IF(C71="Privé",J71,SUMIFS(Regles_regimes!$J$3:$J$2000,Regles_regimes!$A$3:$A$2000,C71,Regles_regimes!$B$3:$B$2000,D71,Regles_regimes!$C$3:$C$2000,MAX(1915,MIN(2025,E71))))</f>
        <v/>
      </c>
      <c r="L71" s="8">
        <f>IF(C71="Privé",H71,(K71-F71)*H71/(J71-F71))</f>
        <v/>
      </c>
      <c r="M71" s="77">
        <f>INT(E71+K71)</f>
        <v/>
      </c>
      <c r="N71" s="77">
        <f>G71+ROUNDUP(L71,0)-1</f>
        <v/>
      </c>
      <c r="O71" s="89">
        <f>SUMIFS(Regles_regimes!$K$3:$K$2000,Regles_regimes!$A$3:$A$2000,C71,Regles_regimes!$B$3:$B$2000,D71,Regles_regimes!$C$3:$C$2000,MAX(1915,MIN(2025,E71)))</f>
        <v/>
      </c>
      <c r="P71" s="13">
        <f>SUMIFS(Donnees_annuelles!$W$3:$W$188,Donnees_annuelles!$A$3:$A$188,"&gt;="&amp;G71,Donnees_annuelles!$A$3:$A$188,"&lt;="&amp;N71)*L71/ROUNDUP(L71,0)*O71</f>
        <v/>
      </c>
      <c r="Q71" s="13">
        <f>SUMIFS(Donnees_annuelles!$V$3:$V$188,Donnees_annuelles!$A$3:$A$188,"&gt;="&amp;G71,Donnees_annuelles!$A$3:$A$188,"&lt;="&amp;N71)*L71/ROUNDUP(L71,0)</f>
        <v/>
      </c>
      <c r="R71" s="13">
        <f>P71/L71</f>
        <v/>
      </c>
      <c r="S71" s="14">
        <f>SUMIFS(Donnees_annuelles!$D$3:$D$188,Donnees_annuelles!$A$3:$A$188,"&gt;="&amp;G71,Donnees_annuelles!$A$3:$A$188,"&lt;="&amp;N71)*L71/ROUNDUP(L71,0)</f>
        <v/>
      </c>
      <c r="T71" s="14">
        <f>SUMIFS(Donnees_regimes!$N$3:$N$1118,Donnees_regimes!$A$3:$A$1118,C71,Donnees_regimes!$B$3:$B$1118,"&gt;="&amp;G71,Donnees_regimes!$B$3:$B$1118,"&lt;="&amp;N71)*L71/ROUNDUP(L71,0)</f>
        <v/>
      </c>
      <c r="U71" s="14">
        <f>SUMIFS(Donnees_regimes!$O$3:$O$1118,Donnees_regimes!$A$3:$A$1118,C71,Donnees_regimes!$B$3:$B$1118,"&gt;="&amp;G71,Donnees_regimes!$B$3:$B$1118,"&lt;="&amp;N71)*L71/ROUNDUP(L71,0)</f>
        <v/>
      </c>
      <c r="V71" s="14">
        <f>T71+U71</f>
        <v/>
      </c>
      <c r="W71" s="33">
        <f>V71/S71</f>
        <v/>
      </c>
      <c r="X71" s="14">
        <f>S71+U71</f>
        <v/>
      </c>
      <c r="Y71" s="17">
        <f>V71/P71</f>
        <v/>
      </c>
      <c r="Z71" s="14">
        <f>SUMIFS(Donnees_regimes!$Q$3:$Q$1118,Donnees_regimes!$A$3:$A$1118,C71,Donnees_regimes!$B$3:$B$1118,"&gt;="&amp;G71,Donnees_regimes!$B$3:$B$1118,"&lt;="&amp;N71)*L71/ROUNDUP(L71,0)</f>
        <v/>
      </c>
      <c r="AA71" s="77">
        <f>SUMIFS(Regles_regimes!$F$3:$F$2000,Regles_regimes!$A$3:$A$2000,C71,Regles_regimes!$B$3:$B$2000,D71,Regles_regimes!$C$3:$C$2000,MAX(1915,MIN(2025,E71)))</f>
        <v/>
      </c>
      <c r="AB71" s="77">
        <f>IF(AND(SUMIFS(Regles_regimes!$L$3:$L$2000,Regles_regimes!$A$3:$A$2000,C71,Regles_regimes!$B$3:$B$2000,D71,Regles_regimes!$C$3:$C$2000,MAX(1915,MIN(2025,E71)))=1,G71&lt;2009,C71&lt;&gt;"Privé"),MIN(20,L71*4/5),0)</f>
        <v/>
      </c>
      <c r="AC71" s="89">
        <f>SUMIFS(Donnees_regimes!$M$3:$M$1118,Donnees_regimes!$A$3:$A$1118,C71,Donnees_regimes!$B$3:$B$1118,M71)</f>
        <v/>
      </c>
      <c r="AD71" s="14">
        <f>SUMIFS(Donnees_annuelles!$Y$3:$Y$188,Donnees_annuelles!$A$3:$A$188,M71)*SUMIFS(Donnees_generations!$I$3:$I$113,Donnees_generations!$A$3:$A$113,MAX(1915,MIN(2025,E71)))/H71</f>
        <v/>
      </c>
      <c r="AE71" s="14">
        <f>IF(C71="Privé",SUMIFS(Donnees_annuelles!$Y$3:$Y$188,Donnees_annuelles!$A$3:$A$188,M71)*MIN(L71,SUMIFS(Donnees_generations!$I$3:$I$113,Donnees_generations!$A$3:$A$113,MAX(1915,MIN(2025,E71))))/L71,AD71*AC71*MIN(IF(AB71&gt;0,0.8/0.75,1),(L71*4+AB71)/AA71))</f>
        <v/>
      </c>
      <c r="AF71" s="14">
        <f>AE71/12</f>
        <v/>
      </c>
      <c r="AG71" s="77">
        <f>MIN(68,MAX(56,2*INT(K71/2)))</f>
        <v/>
      </c>
      <c r="AH71" s="75">
        <f>(CHOOSE((AG71-56)/2+1,SUMIFS(Donnees_generations!$U$3:$U$113,Donnees_generations!$A$3:$A$113,MAX(1915,MIN(2025,E71))),SUMIFS(Donnees_generations!$V$3:$V$113,Donnees_generations!$A$3:$A$113,MAX(1915,MIN(2025,E71))),SUMIFS(Donnees_generations!$W$3:$W$113,Donnees_generations!$A$3:$A$113,MAX(1915,MIN(2025,E71))),SUMIFS(Donnees_generations!$X$3:$X$113,Donnees_generations!$A$3:$A$113,MAX(1915,MIN(2025,E71))),SUMIFS(Donnees_generations!$Y$3:$Y$113,Donnees_generations!$A$3:$A$113,MAX(1915,MIN(2025,E71))),SUMIFS(Donnees_generations!$Z$3:$Z$113,Donnees_generations!$A$3:$A$113,MAX(1915,MIN(2025,E71))),SUMIFS(Donnees_generations!$AA$3:$AA$113,Donnees_generations!$A$3:$A$113,MAX(1915,MIN(2025,E71))),SUMIFS(Donnees_generations!$AB$3:$AB$113,Donnees_generations!$A$3:$A$113,MAX(1915,MIN(2025,E71))))+CHOOSE((AG71-56)/2+1,SUMIFS(Donnees_generations!$AC$3:$AC$113,Donnees_generations!$A$3:$A$113,MAX(1915,MIN(2025,E71))),SUMIFS(Donnees_generations!$AD$3:$AD$113,Donnees_generations!$A$3:$A$113,MAX(1915,MIN(2025,E71))),SUMIFS(Donnees_generations!$AE$3:$AE$113,Donnees_generations!$A$3:$A$113,MAX(1915,MIN(2025,E71))),SUMIFS(Donnees_generations!$AF$3:$AF$113,Donnees_generations!$A$3:$A$113,MAX(1915,MIN(2025,E71))),SUMIFS(Donnees_generations!$AG$3:$AG$113,Donnees_generations!$A$3:$A$113,MAX(1915,MIN(2025,E71))),SUMIFS(Donnees_generations!$AH$3:$AH$113,Donnees_generations!$A$3:$A$113,MAX(1915,MIN(2025,E71))),SUMIFS(Donnees_generations!$AI$3:$AI$113,Donnees_generations!$A$3:$A$113,MAX(1915,MIN(2025,E71))),SUMIFS(Donnees_generations!$AJ$3:$AJ$113,Donnees_generations!$A$3:$A$113,MAX(1915,MIN(2025,E71)))))/2</f>
        <v/>
      </c>
      <c r="AI71" s="75">
        <f>(CHOOSE(((AG71+2)-56)/2+1,SUMIFS(Donnees_generations!$U$3:$U$113,Donnees_generations!$A$3:$A$113,MAX(1915,MIN(2025,E71))),SUMIFS(Donnees_generations!$V$3:$V$113,Donnees_generations!$A$3:$A$113,MAX(1915,MIN(2025,E71))),SUMIFS(Donnees_generations!$W$3:$W$113,Donnees_generations!$A$3:$A$113,MAX(1915,MIN(2025,E71))),SUMIFS(Donnees_generations!$X$3:$X$113,Donnees_generations!$A$3:$A$113,MAX(1915,MIN(2025,E71))),SUMIFS(Donnees_generations!$Y$3:$Y$113,Donnees_generations!$A$3:$A$113,MAX(1915,MIN(2025,E71))),SUMIFS(Donnees_generations!$Z$3:$Z$113,Donnees_generations!$A$3:$A$113,MAX(1915,MIN(2025,E71))),SUMIFS(Donnees_generations!$AA$3:$AA$113,Donnees_generations!$A$3:$A$113,MAX(1915,MIN(2025,E71))),SUMIFS(Donnees_generations!$AB$3:$AB$113,Donnees_generations!$A$3:$A$113,MAX(1915,MIN(2025,E71))))+CHOOSE(((AG71+2)-56)/2+1,SUMIFS(Donnees_generations!$AC$3:$AC$113,Donnees_generations!$A$3:$A$113,MAX(1915,MIN(2025,E71))),SUMIFS(Donnees_generations!$AD$3:$AD$113,Donnees_generations!$A$3:$A$113,MAX(1915,MIN(2025,E71))),SUMIFS(Donnees_generations!$AE$3:$AE$113,Donnees_generations!$A$3:$A$113,MAX(1915,MIN(2025,E71))),SUMIFS(Donnees_generations!$AF$3:$AF$113,Donnees_generations!$A$3:$A$113,MAX(1915,MIN(2025,E71))),SUMIFS(Donnees_generations!$AG$3:$AG$113,Donnees_generations!$A$3:$A$113,MAX(1915,MIN(2025,E71))),SUMIFS(Donnees_generations!$AH$3:$AH$113,Donnees_generations!$A$3:$A$113,MAX(1915,MIN(2025,E71))),SUMIFS(Donnees_generations!$AI$3:$AI$113,Donnees_generations!$A$3:$A$113,MAX(1915,MIN(2025,E71))),SUMIFS(Donnees_generations!$AJ$3:$AJ$113,Donnees_generations!$A$3:$A$113,MAX(1915,MIN(2025,E71)))))/2</f>
        <v/>
      </c>
      <c r="AJ71" s="8">
        <f>MAX(0,AH71+(AI71-AH71)*(K71-AG71)/2)</f>
        <v/>
      </c>
      <c r="AK71" s="8">
        <f>K71+AJ71</f>
        <v/>
      </c>
      <c r="AL71" s="14">
        <f>AE71*AJ71</f>
        <v/>
      </c>
      <c r="AM71" s="17">
        <f>V71/AL71</f>
        <v/>
      </c>
      <c r="AN71" s="17">
        <f>Z71/AL71</f>
        <v/>
      </c>
      <c r="AO71" s="33">
        <f>IF(V71+Z71=0,0,Z71/(V71+Z71))</f>
        <v/>
      </c>
      <c r="AP71" s="14">
        <f>AL71/V71*100</f>
        <v/>
      </c>
      <c r="AQ71" s="8">
        <f>P71/AL71*1000</f>
        <v/>
      </c>
      <c r="AR71" s="77">
        <f>MAX(N71,M71-1)</f>
        <v/>
      </c>
      <c r="AS71" s="14">
        <f>SUMIFS(Donnees_regimes!$R$3:$R$1118,Donnees_regimes!$A$3:$A$1118,C71,Donnees_regimes!$B$3:$B$1118,"&gt;="&amp;G71,Donnees_regimes!$B$3:$B$1118,"&lt;="&amp;N71)*L71/ROUNDUP(L71,0)*SUMIFS(Donnees_annuelles!$AG$3:$AG$188,Donnees_annuelles!$A$3:$A$188,AR71)*SUMIFS(Donnees_annuelles!$AA$3:$AA$188,Donnees_annuelles!$A$3:$A$188,AR71)</f>
        <v/>
      </c>
      <c r="AT71" s="36">
        <f>AS71/V71</f>
        <v/>
      </c>
      <c r="AU71" s="14">
        <f>AL71</f>
        <v/>
      </c>
      <c r="AV71" s="39">
        <f>AS71-AL71</f>
        <v/>
      </c>
      <c r="AW71" s="9">
        <f>AS71/AL71-1</f>
        <v/>
      </c>
      <c r="AX71" s="14">
        <f>AS71/AJ71/12</f>
        <v/>
      </c>
      <c r="AY71" s="14">
        <f>AF71</f>
        <v/>
      </c>
      <c r="AZ71" s="39">
        <f>AX71-AF71</f>
        <v/>
      </c>
      <c r="BA71" s="14">
        <f>SUMIFS(Donnees_regimes!$S$3:$S$1118,Donnees_regimes!$A$3:$A$1118,C71,Donnees_regimes!$B$3:$B$1118,"&gt;="&amp;G71,Donnees_regimes!$B$3:$B$1118,"&lt;="&amp;N71)*L71/ROUNDUP(L71,0)*SUMIFS(Donnees_annuelles!$AH$3:$AH$188,Donnees_annuelles!$A$3:$A$188,AR71)*SUMIFS(Donnees_annuelles!$AA$3:$AA$188,Donnees_annuelles!$A$3:$A$188,AR71)</f>
        <v/>
      </c>
      <c r="BB71" s="39">
        <f>BA71-AL71</f>
        <v/>
      </c>
      <c r="BC71" s="7">
        <f>IF(M71+AJ71&gt;2026,IF(G71&gt;2026,"entièrement projeté","en partie projeté"),"observé")</f>
        <v/>
      </c>
    </row>
    <row r="72">
      <c r="A72" s="7" t="inlineStr">
        <is>
          <t>Génération Z</t>
        </is>
      </c>
      <c r="B72" s="84" t="inlineStr">
        <is>
          <t>Privé</t>
        </is>
      </c>
      <c r="C72" s="7">
        <f>IF(G72&gt;=SUMIFS(Regimes!$C$5:$C$10,Regimes!$A$5:$A$10,B72),"Privé",B72)</f>
        <v/>
      </c>
      <c r="D72" s="7">
        <f>INDEX(Regimes!$D$5:$D$10,MATCH(C72,Regimes!$A$5:$A$10,0))</f>
        <v/>
      </c>
      <c r="E72" s="88" t="n">
        <v>1997</v>
      </c>
      <c r="F72" s="8">
        <f>Donnees_generations!C85</f>
        <v/>
      </c>
      <c r="G72" s="77">
        <f>Donnees_generations!D85</f>
        <v/>
      </c>
      <c r="H72" s="8">
        <f>SUMIFS(Donnees_generations!$S$3:$S$113,Donnees_generations!$A$3:$A$113,MAX(1915,MIN(2025,E72)))</f>
        <v/>
      </c>
      <c r="I72" s="8">
        <f>SUMIFS(Donnees_generations!$T$3:$T$113,Donnees_generations!$A$3:$A$113,MAX(1915,MIN(2025,E72)))</f>
        <v/>
      </c>
      <c r="J72" s="8">
        <f>IF(G72&gt;=2000,MAX(I72,Parametres!$B$3),I72)</f>
        <v/>
      </c>
      <c r="K72" s="8">
        <f>IF(C72="Privé",J72,SUMIFS(Regles_regimes!$J$3:$J$2000,Regles_regimes!$A$3:$A$2000,C72,Regles_regimes!$B$3:$B$2000,D72,Regles_regimes!$C$3:$C$2000,MAX(1915,MIN(2025,E72))))</f>
        <v/>
      </c>
      <c r="L72" s="8">
        <f>IF(C72="Privé",H72,(K72-F72)*H72/(J72-F72))</f>
        <v/>
      </c>
      <c r="M72" s="77">
        <f>INT(E72+K72)</f>
        <v/>
      </c>
      <c r="N72" s="77">
        <f>G72+ROUNDUP(L72,0)-1</f>
        <v/>
      </c>
      <c r="O72" s="89">
        <f>SUMIFS(Regles_regimes!$K$3:$K$2000,Regles_regimes!$A$3:$A$2000,C72,Regles_regimes!$B$3:$B$2000,D72,Regles_regimes!$C$3:$C$2000,MAX(1915,MIN(2025,E72)))</f>
        <v/>
      </c>
      <c r="P72" s="13">
        <f>SUMIFS(Donnees_annuelles!$W$3:$W$188,Donnees_annuelles!$A$3:$A$188,"&gt;="&amp;G72,Donnees_annuelles!$A$3:$A$188,"&lt;="&amp;N72)*L72/ROUNDUP(L72,0)*O72</f>
        <v/>
      </c>
      <c r="Q72" s="13">
        <f>SUMIFS(Donnees_annuelles!$V$3:$V$188,Donnees_annuelles!$A$3:$A$188,"&gt;="&amp;G72,Donnees_annuelles!$A$3:$A$188,"&lt;="&amp;N72)*L72/ROUNDUP(L72,0)</f>
        <v/>
      </c>
      <c r="R72" s="13">
        <f>P72/L72</f>
        <v/>
      </c>
      <c r="S72" s="14">
        <f>SUMIFS(Donnees_annuelles!$D$3:$D$188,Donnees_annuelles!$A$3:$A$188,"&gt;="&amp;G72,Donnees_annuelles!$A$3:$A$188,"&lt;="&amp;N72)*L72/ROUNDUP(L72,0)</f>
        <v/>
      </c>
      <c r="T72" s="14">
        <f>SUMIFS(Donnees_regimes!$N$3:$N$1118,Donnees_regimes!$A$3:$A$1118,C72,Donnees_regimes!$B$3:$B$1118,"&gt;="&amp;G72,Donnees_regimes!$B$3:$B$1118,"&lt;="&amp;N72)*L72/ROUNDUP(L72,0)</f>
        <v/>
      </c>
      <c r="U72" s="14">
        <f>SUMIFS(Donnees_regimes!$O$3:$O$1118,Donnees_regimes!$A$3:$A$1118,C72,Donnees_regimes!$B$3:$B$1118,"&gt;="&amp;G72,Donnees_regimes!$B$3:$B$1118,"&lt;="&amp;N72)*L72/ROUNDUP(L72,0)</f>
        <v/>
      </c>
      <c r="V72" s="14">
        <f>T72+U72</f>
        <v/>
      </c>
      <c r="W72" s="33">
        <f>V72/S72</f>
        <v/>
      </c>
      <c r="X72" s="14">
        <f>S72+U72</f>
        <v/>
      </c>
      <c r="Y72" s="17">
        <f>V72/P72</f>
        <v/>
      </c>
      <c r="Z72" s="14">
        <f>SUMIFS(Donnees_regimes!$Q$3:$Q$1118,Donnees_regimes!$A$3:$A$1118,C72,Donnees_regimes!$B$3:$B$1118,"&gt;="&amp;G72,Donnees_regimes!$B$3:$B$1118,"&lt;="&amp;N72)*L72/ROUNDUP(L72,0)</f>
        <v/>
      </c>
      <c r="AA72" s="77">
        <f>SUMIFS(Regles_regimes!$F$3:$F$2000,Regles_regimes!$A$3:$A$2000,C72,Regles_regimes!$B$3:$B$2000,D72,Regles_regimes!$C$3:$C$2000,MAX(1915,MIN(2025,E72)))</f>
        <v/>
      </c>
      <c r="AB72" s="77">
        <f>IF(AND(SUMIFS(Regles_regimes!$L$3:$L$2000,Regles_regimes!$A$3:$A$2000,C72,Regles_regimes!$B$3:$B$2000,D72,Regles_regimes!$C$3:$C$2000,MAX(1915,MIN(2025,E72)))=1,G72&lt;2009,C72&lt;&gt;"Privé"),MIN(20,L72*4/5),0)</f>
        <v/>
      </c>
      <c r="AC72" s="89">
        <f>SUMIFS(Donnees_regimes!$M$3:$M$1118,Donnees_regimes!$A$3:$A$1118,C72,Donnees_regimes!$B$3:$B$1118,M72)</f>
        <v/>
      </c>
      <c r="AD72" s="14">
        <f>SUMIFS(Donnees_annuelles!$Y$3:$Y$188,Donnees_annuelles!$A$3:$A$188,M72)*SUMIFS(Donnees_generations!$I$3:$I$113,Donnees_generations!$A$3:$A$113,MAX(1915,MIN(2025,E72)))/H72</f>
        <v/>
      </c>
      <c r="AE72" s="14">
        <f>IF(C72="Privé",SUMIFS(Donnees_annuelles!$Y$3:$Y$188,Donnees_annuelles!$A$3:$A$188,M72)*MIN(L72,SUMIFS(Donnees_generations!$I$3:$I$113,Donnees_generations!$A$3:$A$113,MAX(1915,MIN(2025,E72))))/L72,AD72*AC72*MIN(IF(AB72&gt;0,0.8/0.75,1),(L72*4+AB72)/AA72))</f>
        <v/>
      </c>
      <c r="AF72" s="14">
        <f>AE72/12</f>
        <v/>
      </c>
      <c r="AG72" s="77">
        <f>MIN(68,MAX(56,2*INT(K72/2)))</f>
        <v/>
      </c>
      <c r="AH72" s="75">
        <f>(CHOOSE((AG72-56)/2+1,SUMIFS(Donnees_generations!$U$3:$U$113,Donnees_generations!$A$3:$A$113,MAX(1915,MIN(2025,E72))),SUMIFS(Donnees_generations!$V$3:$V$113,Donnees_generations!$A$3:$A$113,MAX(1915,MIN(2025,E72))),SUMIFS(Donnees_generations!$W$3:$W$113,Donnees_generations!$A$3:$A$113,MAX(1915,MIN(2025,E72))),SUMIFS(Donnees_generations!$X$3:$X$113,Donnees_generations!$A$3:$A$113,MAX(1915,MIN(2025,E72))),SUMIFS(Donnees_generations!$Y$3:$Y$113,Donnees_generations!$A$3:$A$113,MAX(1915,MIN(2025,E72))),SUMIFS(Donnees_generations!$Z$3:$Z$113,Donnees_generations!$A$3:$A$113,MAX(1915,MIN(2025,E72))),SUMIFS(Donnees_generations!$AA$3:$AA$113,Donnees_generations!$A$3:$A$113,MAX(1915,MIN(2025,E72))),SUMIFS(Donnees_generations!$AB$3:$AB$113,Donnees_generations!$A$3:$A$113,MAX(1915,MIN(2025,E72))))+CHOOSE((AG72-56)/2+1,SUMIFS(Donnees_generations!$AC$3:$AC$113,Donnees_generations!$A$3:$A$113,MAX(1915,MIN(2025,E72))),SUMIFS(Donnees_generations!$AD$3:$AD$113,Donnees_generations!$A$3:$A$113,MAX(1915,MIN(2025,E72))),SUMIFS(Donnees_generations!$AE$3:$AE$113,Donnees_generations!$A$3:$A$113,MAX(1915,MIN(2025,E72))),SUMIFS(Donnees_generations!$AF$3:$AF$113,Donnees_generations!$A$3:$A$113,MAX(1915,MIN(2025,E72))),SUMIFS(Donnees_generations!$AG$3:$AG$113,Donnees_generations!$A$3:$A$113,MAX(1915,MIN(2025,E72))),SUMIFS(Donnees_generations!$AH$3:$AH$113,Donnees_generations!$A$3:$A$113,MAX(1915,MIN(2025,E72))),SUMIFS(Donnees_generations!$AI$3:$AI$113,Donnees_generations!$A$3:$A$113,MAX(1915,MIN(2025,E72))),SUMIFS(Donnees_generations!$AJ$3:$AJ$113,Donnees_generations!$A$3:$A$113,MAX(1915,MIN(2025,E72)))))/2</f>
        <v/>
      </c>
      <c r="AI72" s="75">
        <f>(CHOOSE(((AG72+2)-56)/2+1,SUMIFS(Donnees_generations!$U$3:$U$113,Donnees_generations!$A$3:$A$113,MAX(1915,MIN(2025,E72))),SUMIFS(Donnees_generations!$V$3:$V$113,Donnees_generations!$A$3:$A$113,MAX(1915,MIN(2025,E72))),SUMIFS(Donnees_generations!$W$3:$W$113,Donnees_generations!$A$3:$A$113,MAX(1915,MIN(2025,E72))),SUMIFS(Donnees_generations!$X$3:$X$113,Donnees_generations!$A$3:$A$113,MAX(1915,MIN(2025,E72))),SUMIFS(Donnees_generations!$Y$3:$Y$113,Donnees_generations!$A$3:$A$113,MAX(1915,MIN(2025,E72))),SUMIFS(Donnees_generations!$Z$3:$Z$113,Donnees_generations!$A$3:$A$113,MAX(1915,MIN(2025,E72))),SUMIFS(Donnees_generations!$AA$3:$AA$113,Donnees_generations!$A$3:$A$113,MAX(1915,MIN(2025,E72))),SUMIFS(Donnees_generations!$AB$3:$AB$113,Donnees_generations!$A$3:$A$113,MAX(1915,MIN(2025,E72))))+CHOOSE(((AG72+2)-56)/2+1,SUMIFS(Donnees_generations!$AC$3:$AC$113,Donnees_generations!$A$3:$A$113,MAX(1915,MIN(2025,E72))),SUMIFS(Donnees_generations!$AD$3:$AD$113,Donnees_generations!$A$3:$A$113,MAX(1915,MIN(2025,E72))),SUMIFS(Donnees_generations!$AE$3:$AE$113,Donnees_generations!$A$3:$A$113,MAX(1915,MIN(2025,E72))),SUMIFS(Donnees_generations!$AF$3:$AF$113,Donnees_generations!$A$3:$A$113,MAX(1915,MIN(2025,E72))),SUMIFS(Donnees_generations!$AG$3:$AG$113,Donnees_generations!$A$3:$A$113,MAX(1915,MIN(2025,E72))),SUMIFS(Donnees_generations!$AH$3:$AH$113,Donnees_generations!$A$3:$A$113,MAX(1915,MIN(2025,E72))),SUMIFS(Donnees_generations!$AI$3:$AI$113,Donnees_generations!$A$3:$A$113,MAX(1915,MIN(2025,E72))),SUMIFS(Donnees_generations!$AJ$3:$AJ$113,Donnees_generations!$A$3:$A$113,MAX(1915,MIN(2025,E72)))))/2</f>
        <v/>
      </c>
      <c r="AJ72" s="8">
        <f>MAX(0,AH72+(AI72-AH72)*(K72-AG72)/2)</f>
        <v/>
      </c>
      <c r="AK72" s="8">
        <f>K72+AJ72</f>
        <v/>
      </c>
      <c r="AL72" s="14">
        <f>AE72*AJ72</f>
        <v/>
      </c>
      <c r="AM72" s="17">
        <f>V72/AL72</f>
        <v/>
      </c>
      <c r="AN72" s="17">
        <f>Z72/AL72</f>
        <v/>
      </c>
      <c r="AO72" s="33">
        <f>IF(V72+Z72=0,0,Z72/(V72+Z72))</f>
        <v/>
      </c>
      <c r="AP72" s="14">
        <f>AL72/V72*100</f>
        <v/>
      </c>
      <c r="AQ72" s="8">
        <f>P72/AL72*1000</f>
        <v/>
      </c>
      <c r="AR72" s="77">
        <f>MAX(N72,M72-1)</f>
        <v/>
      </c>
      <c r="AS72" s="14">
        <f>SUMIFS(Donnees_regimes!$R$3:$R$1118,Donnees_regimes!$A$3:$A$1118,C72,Donnees_regimes!$B$3:$B$1118,"&gt;="&amp;G72,Donnees_regimes!$B$3:$B$1118,"&lt;="&amp;N72)*L72/ROUNDUP(L72,0)*SUMIFS(Donnees_annuelles!$AG$3:$AG$188,Donnees_annuelles!$A$3:$A$188,AR72)*SUMIFS(Donnees_annuelles!$AA$3:$AA$188,Donnees_annuelles!$A$3:$A$188,AR72)</f>
        <v/>
      </c>
      <c r="AT72" s="36">
        <f>AS72/V72</f>
        <v/>
      </c>
      <c r="AU72" s="14">
        <f>AL72</f>
        <v/>
      </c>
      <c r="AV72" s="39">
        <f>AS72-AL72</f>
        <v/>
      </c>
      <c r="AW72" s="9">
        <f>AS72/AL72-1</f>
        <v/>
      </c>
      <c r="AX72" s="14">
        <f>AS72/AJ72/12</f>
        <v/>
      </c>
      <c r="AY72" s="14">
        <f>AF72</f>
        <v/>
      </c>
      <c r="AZ72" s="39">
        <f>AX72-AF72</f>
        <v/>
      </c>
      <c r="BA72" s="14">
        <f>SUMIFS(Donnees_regimes!$S$3:$S$1118,Donnees_regimes!$A$3:$A$1118,C72,Donnees_regimes!$B$3:$B$1118,"&gt;="&amp;G72,Donnees_regimes!$B$3:$B$1118,"&lt;="&amp;N72)*L72/ROUNDUP(L72,0)*SUMIFS(Donnees_annuelles!$AH$3:$AH$188,Donnees_annuelles!$A$3:$A$188,AR72)*SUMIFS(Donnees_annuelles!$AA$3:$AA$188,Donnees_annuelles!$A$3:$A$188,AR72)</f>
        <v/>
      </c>
      <c r="BB72" s="39">
        <f>BA72-AL72</f>
        <v/>
      </c>
      <c r="BC72" s="7">
        <f>IF(M72+AJ72&gt;2026,IF(G72&gt;2026,"entièrement projeté","en partie projeté"),"observé")</f>
        <v/>
      </c>
    </row>
    <row r="73">
      <c r="A73" s="7" t="inlineStr">
        <is>
          <t>Génération Z</t>
        </is>
      </c>
      <c r="B73" s="84" t="inlineStr">
        <is>
          <t>Privé</t>
        </is>
      </c>
      <c r="C73" s="7">
        <f>IF(G73&gt;=SUMIFS(Regimes!$C$5:$C$10,Regimes!$A$5:$A$10,B73),"Privé",B73)</f>
        <v/>
      </c>
      <c r="D73" s="7">
        <f>INDEX(Regimes!$D$5:$D$10,MATCH(C73,Regimes!$A$5:$A$10,0))</f>
        <v/>
      </c>
      <c r="E73" s="88" t="n">
        <v>1998</v>
      </c>
      <c r="F73" s="8">
        <f>Donnees_generations!C86</f>
        <v/>
      </c>
      <c r="G73" s="77">
        <f>Donnees_generations!D86</f>
        <v/>
      </c>
      <c r="H73" s="8">
        <f>SUMIFS(Donnees_generations!$S$3:$S$113,Donnees_generations!$A$3:$A$113,MAX(1915,MIN(2025,E73)))</f>
        <v/>
      </c>
      <c r="I73" s="8">
        <f>SUMIFS(Donnees_generations!$T$3:$T$113,Donnees_generations!$A$3:$A$113,MAX(1915,MIN(2025,E73)))</f>
        <v/>
      </c>
      <c r="J73" s="8">
        <f>IF(G73&gt;=2000,MAX(I73,Parametres!$B$3),I73)</f>
        <v/>
      </c>
      <c r="K73" s="8">
        <f>IF(C73="Privé",J73,SUMIFS(Regles_regimes!$J$3:$J$2000,Regles_regimes!$A$3:$A$2000,C73,Regles_regimes!$B$3:$B$2000,D73,Regles_regimes!$C$3:$C$2000,MAX(1915,MIN(2025,E73))))</f>
        <v/>
      </c>
      <c r="L73" s="8">
        <f>IF(C73="Privé",H73,(K73-F73)*H73/(J73-F73))</f>
        <v/>
      </c>
      <c r="M73" s="77">
        <f>INT(E73+K73)</f>
        <v/>
      </c>
      <c r="N73" s="77">
        <f>G73+ROUNDUP(L73,0)-1</f>
        <v/>
      </c>
      <c r="O73" s="89">
        <f>SUMIFS(Regles_regimes!$K$3:$K$2000,Regles_regimes!$A$3:$A$2000,C73,Regles_regimes!$B$3:$B$2000,D73,Regles_regimes!$C$3:$C$2000,MAX(1915,MIN(2025,E73)))</f>
        <v/>
      </c>
      <c r="P73" s="13">
        <f>SUMIFS(Donnees_annuelles!$W$3:$W$188,Donnees_annuelles!$A$3:$A$188,"&gt;="&amp;G73,Donnees_annuelles!$A$3:$A$188,"&lt;="&amp;N73)*L73/ROUNDUP(L73,0)*O73</f>
        <v/>
      </c>
      <c r="Q73" s="13">
        <f>SUMIFS(Donnees_annuelles!$V$3:$V$188,Donnees_annuelles!$A$3:$A$188,"&gt;="&amp;G73,Donnees_annuelles!$A$3:$A$188,"&lt;="&amp;N73)*L73/ROUNDUP(L73,0)</f>
        <v/>
      </c>
      <c r="R73" s="13">
        <f>P73/L73</f>
        <v/>
      </c>
      <c r="S73" s="14">
        <f>SUMIFS(Donnees_annuelles!$D$3:$D$188,Donnees_annuelles!$A$3:$A$188,"&gt;="&amp;G73,Donnees_annuelles!$A$3:$A$188,"&lt;="&amp;N73)*L73/ROUNDUP(L73,0)</f>
        <v/>
      </c>
      <c r="T73" s="14">
        <f>SUMIFS(Donnees_regimes!$N$3:$N$1118,Donnees_regimes!$A$3:$A$1118,C73,Donnees_regimes!$B$3:$B$1118,"&gt;="&amp;G73,Donnees_regimes!$B$3:$B$1118,"&lt;="&amp;N73)*L73/ROUNDUP(L73,0)</f>
        <v/>
      </c>
      <c r="U73" s="14">
        <f>SUMIFS(Donnees_regimes!$O$3:$O$1118,Donnees_regimes!$A$3:$A$1118,C73,Donnees_regimes!$B$3:$B$1118,"&gt;="&amp;G73,Donnees_regimes!$B$3:$B$1118,"&lt;="&amp;N73)*L73/ROUNDUP(L73,0)</f>
        <v/>
      </c>
      <c r="V73" s="14">
        <f>T73+U73</f>
        <v/>
      </c>
      <c r="W73" s="33">
        <f>V73/S73</f>
        <v/>
      </c>
      <c r="X73" s="14">
        <f>S73+U73</f>
        <v/>
      </c>
      <c r="Y73" s="17">
        <f>V73/P73</f>
        <v/>
      </c>
      <c r="Z73" s="14">
        <f>SUMIFS(Donnees_regimes!$Q$3:$Q$1118,Donnees_regimes!$A$3:$A$1118,C73,Donnees_regimes!$B$3:$B$1118,"&gt;="&amp;G73,Donnees_regimes!$B$3:$B$1118,"&lt;="&amp;N73)*L73/ROUNDUP(L73,0)</f>
        <v/>
      </c>
      <c r="AA73" s="77">
        <f>SUMIFS(Regles_regimes!$F$3:$F$2000,Regles_regimes!$A$3:$A$2000,C73,Regles_regimes!$B$3:$B$2000,D73,Regles_regimes!$C$3:$C$2000,MAX(1915,MIN(2025,E73)))</f>
        <v/>
      </c>
      <c r="AB73" s="77">
        <f>IF(AND(SUMIFS(Regles_regimes!$L$3:$L$2000,Regles_regimes!$A$3:$A$2000,C73,Regles_regimes!$B$3:$B$2000,D73,Regles_regimes!$C$3:$C$2000,MAX(1915,MIN(2025,E73)))=1,G73&lt;2009,C73&lt;&gt;"Privé"),MIN(20,L73*4/5),0)</f>
        <v/>
      </c>
      <c r="AC73" s="89">
        <f>SUMIFS(Donnees_regimes!$M$3:$M$1118,Donnees_regimes!$A$3:$A$1118,C73,Donnees_regimes!$B$3:$B$1118,M73)</f>
        <v/>
      </c>
      <c r="AD73" s="14">
        <f>SUMIFS(Donnees_annuelles!$Y$3:$Y$188,Donnees_annuelles!$A$3:$A$188,M73)*SUMIFS(Donnees_generations!$I$3:$I$113,Donnees_generations!$A$3:$A$113,MAX(1915,MIN(2025,E73)))/H73</f>
        <v/>
      </c>
      <c r="AE73" s="14">
        <f>IF(C73="Privé",SUMIFS(Donnees_annuelles!$Y$3:$Y$188,Donnees_annuelles!$A$3:$A$188,M73)*MIN(L73,SUMIFS(Donnees_generations!$I$3:$I$113,Donnees_generations!$A$3:$A$113,MAX(1915,MIN(2025,E73))))/L73,AD73*AC73*MIN(IF(AB73&gt;0,0.8/0.75,1),(L73*4+AB73)/AA73))</f>
        <v/>
      </c>
      <c r="AF73" s="14">
        <f>AE73/12</f>
        <v/>
      </c>
      <c r="AG73" s="77">
        <f>MIN(68,MAX(56,2*INT(K73/2)))</f>
        <v/>
      </c>
      <c r="AH73" s="75">
        <f>(CHOOSE((AG73-56)/2+1,SUMIFS(Donnees_generations!$U$3:$U$113,Donnees_generations!$A$3:$A$113,MAX(1915,MIN(2025,E73))),SUMIFS(Donnees_generations!$V$3:$V$113,Donnees_generations!$A$3:$A$113,MAX(1915,MIN(2025,E73))),SUMIFS(Donnees_generations!$W$3:$W$113,Donnees_generations!$A$3:$A$113,MAX(1915,MIN(2025,E73))),SUMIFS(Donnees_generations!$X$3:$X$113,Donnees_generations!$A$3:$A$113,MAX(1915,MIN(2025,E73))),SUMIFS(Donnees_generations!$Y$3:$Y$113,Donnees_generations!$A$3:$A$113,MAX(1915,MIN(2025,E73))),SUMIFS(Donnees_generations!$Z$3:$Z$113,Donnees_generations!$A$3:$A$113,MAX(1915,MIN(2025,E73))),SUMIFS(Donnees_generations!$AA$3:$AA$113,Donnees_generations!$A$3:$A$113,MAX(1915,MIN(2025,E73))),SUMIFS(Donnees_generations!$AB$3:$AB$113,Donnees_generations!$A$3:$A$113,MAX(1915,MIN(2025,E73))))+CHOOSE((AG73-56)/2+1,SUMIFS(Donnees_generations!$AC$3:$AC$113,Donnees_generations!$A$3:$A$113,MAX(1915,MIN(2025,E73))),SUMIFS(Donnees_generations!$AD$3:$AD$113,Donnees_generations!$A$3:$A$113,MAX(1915,MIN(2025,E73))),SUMIFS(Donnees_generations!$AE$3:$AE$113,Donnees_generations!$A$3:$A$113,MAX(1915,MIN(2025,E73))),SUMIFS(Donnees_generations!$AF$3:$AF$113,Donnees_generations!$A$3:$A$113,MAX(1915,MIN(2025,E73))),SUMIFS(Donnees_generations!$AG$3:$AG$113,Donnees_generations!$A$3:$A$113,MAX(1915,MIN(2025,E73))),SUMIFS(Donnees_generations!$AH$3:$AH$113,Donnees_generations!$A$3:$A$113,MAX(1915,MIN(2025,E73))),SUMIFS(Donnees_generations!$AI$3:$AI$113,Donnees_generations!$A$3:$A$113,MAX(1915,MIN(2025,E73))),SUMIFS(Donnees_generations!$AJ$3:$AJ$113,Donnees_generations!$A$3:$A$113,MAX(1915,MIN(2025,E73)))))/2</f>
        <v/>
      </c>
      <c r="AI73" s="75">
        <f>(CHOOSE(((AG73+2)-56)/2+1,SUMIFS(Donnees_generations!$U$3:$U$113,Donnees_generations!$A$3:$A$113,MAX(1915,MIN(2025,E73))),SUMIFS(Donnees_generations!$V$3:$V$113,Donnees_generations!$A$3:$A$113,MAX(1915,MIN(2025,E73))),SUMIFS(Donnees_generations!$W$3:$W$113,Donnees_generations!$A$3:$A$113,MAX(1915,MIN(2025,E73))),SUMIFS(Donnees_generations!$X$3:$X$113,Donnees_generations!$A$3:$A$113,MAX(1915,MIN(2025,E73))),SUMIFS(Donnees_generations!$Y$3:$Y$113,Donnees_generations!$A$3:$A$113,MAX(1915,MIN(2025,E73))),SUMIFS(Donnees_generations!$Z$3:$Z$113,Donnees_generations!$A$3:$A$113,MAX(1915,MIN(2025,E73))),SUMIFS(Donnees_generations!$AA$3:$AA$113,Donnees_generations!$A$3:$A$113,MAX(1915,MIN(2025,E73))),SUMIFS(Donnees_generations!$AB$3:$AB$113,Donnees_generations!$A$3:$A$113,MAX(1915,MIN(2025,E73))))+CHOOSE(((AG73+2)-56)/2+1,SUMIFS(Donnees_generations!$AC$3:$AC$113,Donnees_generations!$A$3:$A$113,MAX(1915,MIN(2025,E73))),SUMIFS(Donnees_generations!$AD$3:$AD$113,Donnees_generations!$A$3:$A$113,MAX(1915,MIN(2025,E73))),SUMIFS(Donnees_generations!$AE$3:$AE$113,Donnees_generations!$A$3:$A$113,MAX(1915,MIN(2025,E73))),SUMIFS(Donnees_generations!$AF$3:$AF$113,Donnees_generations!$A$3:$A$113,MAX(1915,MIN(2025,E73))),SUMIFS(Donnees_generations!$AG$3:$AG$113,Donnees_generations!$A$3:$A$113,MAX(1915,MIN(2025,E73))),SUMIFS(Donnees_generations!$AH$3:$AH$113,Donnees_generations!$A$3:$A$113,MAX(1915,MIN(2025,E73))),SUMIFS(Donnees_generations!$AI$3:$AI$113,Donnees_generations!$A$3:$A$113,MAX(1915,MIN(2025,E73))),SUMIFS(Donnees_generations!$AJ$3:$AJ$113,Donnees_generations!$A$3:$A$113,MAX(1915,MIN(2025,E73)))))/2</f>
        <v/>
      </c>
      <c r="AJ73" s="8">
        <f>MAX(0,AH73+(AI73-AH73)*(K73-AG73)/2)</f>
        <v/>
      </c>
      <c r="AK73" s="8">
        <f>K73+AJ73</f>
        <v/>
      </c>
      <c r="AL73" s="14">
        <f>AE73*AJ73</f>
        <v/>
      </c>
      <c r="AM73" s="17">
        <f>V73/AL73</f>
        <v/>
      </c>
      <c r="AN73" s="17">
        <f>Z73/AL73</f>
        <v/>
      </c>
      <c r="AO73" s="33">
        <f>IF(V73+Z73=0,0,Z73/(V73+Z73))</f>
        <v/>
      </c>
      <c r="AP73" s="14">
        <f>AL73/V73*100</f>
        <v/>
      </c>
      <c r="AQ73" s="8">
        <f>P73/AL73*1000</f>
        <v/>
      </c>
      <c r="AR73" s="77">
        <f>MAX(N73,M73-1)</f>
        <v/>
      </c>
      <c r="AS73" s="14">
        <f>SUMIFS(Donnees_regimes!$R$3:$R$1118,Donnees_regimes!$A$3:$A$1118,C73,Donnees_regimes!$B$3:$B$1118,"&gt;="&amp;G73,Donnees_regimes!$B$3:$B$1118,"&lt;="&amp;N73)*L73/ROUNDUP(L73,0)*SUMIFS(Donnees_annuelles!$AG$3:$AG$188,Donnees_annuelles!$A$3:$A$188,AR73)*SUMIFS(Donnees_annuelles!$AA$3:$AA$188,Donnees_annuelles!$A$3:$A$188,AR73)</f>
        <v/>
      </c>
      <c r="AT73" s="36">
        <f>AS73/V73</f>
        <v/>
      </c>
      <c r="AU73" s="14">
        <f>AL73</f>
        <v/>
      </c>
      <c r="AV73" s="39">
        <f>AS73-AL73</f>
        <v/>
      </c>
      <c r="AW73" s="9">
        <f>AS73/AL73-1</f>
        <v/>
      </c>
      <c r="AX73" s="14">
        <f>AS73/AJ73/12</f>
        <v/>
      </c>
      <c r="AY73" s="14">
        <f>AF73</f>
        <v/>
      </c>
      <c r="AZ73" s="39">
        <f>AX73-AF73</f>
        <v/>
      </c>
      <c r="BA73" s="14">
        <f>SUMIFS(Donnees_regimes!$S$3:$S$1118,Donnees_regimes!$A$3:$A$1118,C73,Donnees_regimes!$B$3:$B$1118,"&gt;="&amp;G73,Donnees_regimes!$B$3:$B$1118,"&lt;="&amp;N73)*L73/ROUNDUP(L73,0)*SUMIFS(Donnees_annuelles!$AH$3:$AH$188,Donnees_annuelles!$A$3:$A$188,AR73)*SUMIFS(Donnees_annuelles!$AA$3:$AA$188,Donnees_annuelles!$A$3:$A$188,AR73)</f>
        <v/>
      </c>
      <c r="BB73" s="39">
        <f>BA73-AL73</f>
        <v/>
      </c>
      <c r="BC73" s="7">
        <f>IF(M73+AJ73&gt;2026,IF(G73&gt;2026,"entièrement projeté","en partie projeté"),"observé")</f>
        <v/>
      </c>
    </row>
    <row r="74">
      <c r="A74" s="7" t="inlineStr">
        <is>
          <t>Génération Z</t>
        </is>
      </c>
      <c r="B74" s="84" t="inlineStr">
        <is>
          <t>Privé</t>
        </is>
      </c>
      <c r="C74" s="7">
        <f>IF(G74&gt;=SUMIFS(Regimes!$C$5:$C$10,Regimes!$A$5:$A$10,B74),"Privé",B74)</f>
        <v/>
      </c>
      <c r="D74" s="7">
        <f>INDEX(Regimes!$D$5:$D$10,MATCH(C74,Regimes!$A$5:$A$10,0))</f>
        <v/>
      </c>
      <c r="E74" s="88" t="n">
        <v>1999</v>
      </c>
      <c r="F74" s="8">
        <f>Donnees_generations!C87</f>
        <v/>
      </c>
      <c r="G74" s="77">
        <f>Donnees_generations!D87</f>
        <v/>
      </c>
      <c r="H74" s="8">
        <f>SUMIFS(Donnees_generations!$S$3:$S$113,Donnees_generations!$A$3:$A$113,MAX(1915,MIN(2025,E74)))</f>
        <v/>
      </c>
      <c r="I74" s="8">
        <f>SUMIFS(Donnees_generations!$T$3:$T$113,Donnees_generations!$A$3:$A$113,MAX(1915,MIN(2025,E74)))</f>
        <v/>
      </c>
      <c r="J74" s="8">
        <f>IF(G74&gt;=2000,MAX(I74,Parametres!$B$3),I74)</f>
        <v/>
      </c>
      <c r="K74" s="8">
        <f>IF(C74="Privé",J74,SUMIFS(Regles_regimes!$J$3:$J$2000,Regles_regimes!$A$3:$A$2000,C74,Regles_regimes!$B$3:$B$2000,D74,Regles_regimes!$C$3:$C$2000,MAX(1915,MIN(2025,E74))))</f>
        <v/>
      </c>
      <c r="L74" s="8">
        <f>IF(C74="Privé",H74,(K74-F74)*H74/(J74-F74))</f>
        <v/>
      </c>
      <c r="M74" s="77">
        <f>INT(E74+K74)</f>
        <v/>
      </c>
      <c r="N74" s="77">
        <f>G74+ROUNDUP(L74,0)-1</f>
        <v/>
      </c>
      <c r="O74" s="89">
        <f>SUMIFS(Regles_regimes!$K$3:$K$2000,Regles_regimes!$A$3:$A$2000,C74,Regles_regimes!$B$3:$B$2000,D74,Regles_regimes!$C$3:$C$2000,MAX(1915,MIN(2025,E74)))</f>
        <v/>
      </c>
      <c r="P74" s="13">
        <f>SUMIFS(Donnees_annuelles!$W$3:$W$188,Donnees_annuelles!$A$3:$A$188,"&gt;="&amp;G74,Donnees_annuelles!$A$3:$A$188,"&lt;="&amp;N74)*L74/ROUNDUP(L74,0)*O74</f>
        <v/>
      </c>
      <c r="Q74" s="13">
        <f>SUMIFS(Donnees_annuelles!$V$3:$V$188,Donnees_annuelles!$A$3:$A$188,"&gt;="&amp;G74,Donnees_annuelles!$A$3:$A$188,"&lt;="&amp;N74)*L74/ROUNDUP(L74,0)</f>
        <v/>
      </c>
      <c r="R74" s="13">
        <f>P74/L74</f>
        <v/>
      </c>
      <c r="S74" s="14">
        <f>SUMIFS(Donnees_annuelles!$D$3:$D$188,Donnees_annuelles!$A$3:$A$188,"&gt;="&amp;G74,Donnees_annuelles!$A$3:$A$188,"&lt;="&amp;N74)*L74/ROUNDUP(L74,0)</f>
        <v/>
      </c>
      <c r="T74" s="14">
        <f>SUMIFS(Donnees_regimes!$N$3:$N$1118,Donnees_regimes!$A$3:$A$1118,C74,Donnees_regimes!$B$3:$B$1118,"&gt;="&amp;G74,Donnees_regimes!$B$3:$B$1118,"&lt;="&amp;N74)*L74/ROUNDUP(L74,0)</f>
        <v/>
      </c>
      <c r="U74" s="14">
        <f>SUMIFS(Donnees_regimes!$O$3:$O$1118,Donnees_regimes!$A$3:$A$1118,C74,Donnees_regimes!$B$3:$B$1118,"&gt;="&amp;G74,Donnees_regimes!$B$3:$B$1118,"&lt;="&amp;N74)*L74/ROUNDUP(L74,0)</f>
        <v/>
      </c>
      <c r="V74" s="14">
        <f>T74+U74</f>
        <v/>
      </c>
      <c r="W74" s="33">
        <f>V74/S74</f>
        <v/>
      </c>
      <c r="X74" s="14">
        <f>S74+U74</f>
        <v/>
      </c>
      <c r="Y74" s="17">
        <f>V74/P74</f>
        <v/>
      </c>
      <c r="Z74" s="14">
        <f>SUMIFS(Donnees_regimes!$Q$3:$Q$1118,Donnees_regimes!$A$3:$A$1118,C74,Donnees_regimes!$B$3:$B$1118,"&gt;="&amp;G74,Donnees_regimes!$B$3:$B$1118,"&lt;="&amp;N74)*L74/ROUNDUP(L74,0)</f>
        <v/>
      </c>
      <c r="AA74" s="77">
        <f>SUMIFS(Regles_regimes!$F$3:$F$2000,Regles_regimes!$A$3:$A$2000,C74,Regles_regimes!$B$3:$B$2000,D74,Regles_regimes!$C$3:$C$2000,MAX(1915,MIN(2025,E74)))</f>
        <v/>
      </c>
      <c r="AB74" s="77">
        <f>IF(AND(SUMIFS(Regles_regimes!$L$3:$L$2000,Regles_regimes!$A$3:$A$2000,C74,Regles_regimes!$B$3:$B$2000,D74,Regles_regimes!$C$3:$C$2000,MAX(1915,MIN(2025,E74)))=1,G74&lt;2009,C74&lt;&gt;"Privé"),MIN(20,L74*4/5),0)</f>
        <v/>
      </c>
      <c r="AC74" s="89">
        <f>SUMIFS(Donnees_regimes!$M$3:$M$1118,Donnees_regimes!$A$3:$A$1118,C74,Donnees_regimes!$B$3:$B$1118,M74)</f>
        <v/>
      </c>
      <c r="AD74" s="14">
        <f>SUMIFS(Donnees_annuelles!$Y$3:$Y$188,Donnees_annuelles!$A$3:$A$188,M74)*SUMIFS(Donnees_generations!$I$3:$I$113,Donnees_generations!$A$3:$A$113,MAX(1915,MIN(2025,E74)))/H74</f>
        <v/>
      </c>
      <c r="AE74" s="14">
        <f>IF(C74="Privé",SUMIFS(Donnees_annuelles!$Y$3:$Y$188,Donnees_annuelles!$A$3:$A$188,M74)*MIN(L74,SUMIFS(Donnees_generations!$I$3:$I$113,Donnees_generations!$A$3:$A$113,MAX(1915,MIN(2025,E74))))/L74,AD74*AC74*MIN(IF(AB74&gt;0,0.8/0.75,1),(L74*4+AB74)/AA74))</f>
        <v/>
      </c>
      <c r="AF74" s="14">
        <f>AE74/12</f>
        <v/>
      </c>
      <c r="AG74" s="77">
        <f>MIN(68,MAX(56,2*INT(K74/2)))</f>
        <v/>
      </c>
      <c r="AH74" s="75">
        <f>(CHOOSE((AG74-56)/2+1,SUMIFS(Donnees_generations!$U$3:$U$113,Donnees_generations!$A$3:$A$113,MAX(1915,MIN(2025,E74))),SUMIFS(Donnees_generations!$V$3:$V$113,Donnees_generations!$A$3:$A$113,MAX(1915,MIN(2025,E74))),SUMIFS(Donnees_generations!$W$3:$W$113,Donnees_generations!$A$3:$A$113,MAX(1915,MIN(2025,E74))),SUMIFS(Donnees_generations!$X$3:$X$113,Donnees_generations!$A$3:$A$113,MAX(1915,MIN(2025,E74))),SUMIFS(Donnees_generations!$Y$3:$Y$113,Donnees_generations!$A$3:$A$113,MAX(1915,MIN(2025,E74))),SUMIFS(Donnees_generations!$Z$3:$Z$113,Donnees_generations!$A$3:$A$113,MAX(1915,MIN(2025,E74))),SUMIFS(Donnees_generations!$AA$3:$AA$113,Donnees_generations!$A$3:$A$113,MAX(1915,MIN(2025,E74))),SUMIFS(Donnees_generations!$AB$3:$AB$113,Donnees_generations!$A$3:$A$113,MAX(1915,MIN(2025,E74))))+CHOOSE((AG74-56)/2+1,SUMIFS(Donnees_generations!$AC$3:$AC$113,Donnees_generations!$A$3:$A$113,MAX(1915,MIN(2025,E74))),SUMIFS(Donnees_generations!$AD$3:$AD$113,Donnees_generations!$A$3:$A$113,MAX(1915,MIN(2025,E74))),SUMIFS(Donnees_generations!$AE$3:$AE$113,Donnees_generations!$A$3:$A$113,MAX(1915,MIN(2025,E74))),SUMIFS(Donnees_generations!$AF$3:$AF$113,Donnees_generations!$A$3:$A$113,MAX(1915,MIN(2025,E74))),SUMIFS(Donnees_generations!$AG$3:$AG$113,Donnees_generations!$A$3:$A$113,MAX(1915,MIN(2025,E74))),SUMIFS(Donnees_generations!$AH$3:$AH$113,Donnees_generations!$A$3:$A$113,MAX(1915,MIN(2025,E74))),SUMIFS(Donnees_generations!$AI$3:$AI$113,Donnees_generations!$A$3:$A$113,MAX(1915,MIN(2025,E74))),SUMIFS(Donnees_generations!$AJ$3:$AJ$113,Donnees_generations!$A$3:$A$113,MAX(1915,MIN(2025,E74)))))/2</f>
        <v/>
      </c>
      <c r="AI74" s="75">
        <f>(CHOOSE(((AG74+2)-56)/2+1,SUMIFS(Donnees_generations!$U$3:$U$113,Donnees_generations!$A$3:$A$113,MAX(1915,MIN(2025,E74))),SUMIFS(Donnees_generations!$V$3:$V$113,Donnees_generations!$A$3:$A$113,MAX(1915,MIN(2025,E74))),SUMIFS(Donnees_generations!$W$3:$W$113,Donnees_generations!$A$3:$A$113,MAX(1915,MIN(2025,E74))),SUMIFS(Donnees_generations!$X$3:$X$113,Donnees_generations!$A$3:$A$113,MAX(1915,MIN(2025,E74))),SUMIFS(Donnees_generations!$Y$3:$Y$113,Donnees_generations!$A$3:$A$113,MAX(1915,MIN(2025,E74))),SUMIFS(Donnees_generations!$Z$3:$Z$113,Donnees_generations!$A$3:$A$113,MAX(1915,MIN(2025,E74))),SUMIFS(Donnees_generations!$AA$3:$AA$113,Donnees_generations!$A$3:$A$113,MAX(1915,MIN(2025,E74))),SUMIFS(Donnees_generations!$AB$3:$AB$113,Donnees_generations!$A$3:$A$113,MAX(1915,MIN(2025,E74))))+CHOOSE(((AG74+2)-56)/2+1,SUMIFS(Donnees_generations!$AC$3:$AC$113,Donnees_generations!$A$3:$A$113,MAX(1915,MIN(2025,E74))),SUMIFS(Donnees_generations!$AD$3:$AD$113,Donnees_generations!$A$3:$A$113,MAX(1915,MIN(2025,E74))),SUMIFS(Donnees_generations!$AE$3:$AE$113,Donnees_generations!$A$3:$A$113,MAX(1915,MIN(2025,E74))),SUMIFS(Donnees_generations!$AF$3:$AF$113,Donnees_generations!$A$3:$A$113,MAX(1915,MIN(2025,E74))),SUMIFS(Donnees_generations!$AG$3:$AG$113,Donnees_generations!$A$3:$A$113,MAX(1915,MIN(2025,E74))),SUMIFS(Donnees_generations!$AH$3:$AH$113,Donnees_generations!$A$3:$A$113,MAX(1915,MIN(2025,E74))),SUMIFS(Donnees_generations!$AI$3:$AI$113,Donnees_generations!$A$3:$A$113,MAX(1915,MIN(2025,E74))),SUMIFS(Donnees_generations!$AJ$3:$AJ$113,Donnees_generations!$A$3:$A$113,MAX(1915,MIN(2025,E74)))))/2</f>
        <v/>
      </c>
      <c r="AJ74" s="8">
        <f>MAX(0,AH74+(AI74-AH74)*(K74-AG74)/2)</f>
        <v/>
      </c>
      <c r="AK74" s="8">
        <f>K74+AJ74</f>
        <v/>
      </c>
      <c r="AL74" s="14">
        <f>AE74*AJ74</f>
        <v/>
      </c>
      <c r="AM74" s="17">
        <f>V74/AL74</f>
        <v/>
      </c>
      <c r="AN74" s="17">
        <f>Z74/AL74</f>
        <v/>
      </c>
      <c r="AO74" s="33">
        <f>IF(V74+Z74=0,0,Z74/(V74+Z74))</f>
        <v/>
      </c>
      <c r="AP74" s="14">
        <f>AL74/V74*100</f>
        <v/>
      </c>
      <c r="AQ74" s="8">
        <f>P74/AL74*1000</f>
        <v/>
      </c>
      <c r="AR74" s="77">
        <f>MAX(N74,M74-1)</f>
        <v/>
      </c>
      <c r="AS74" s="14">
        <f>SUMIFS(Donnees_regimes!$R$3:$R$1118,Donnees_regimes!$A$3:$A$1118,C74,Donnees_regimes!$B$3:$B$1118,"&gt;="&amp;G74,Donnees_regimes!$B$3:$B$1118,"&lt;="&amp;N74)*L74/ROUNDUP(L74,0)*SUMIFS(Donnees_annuelles!$AG$3:$AG$188,Donnees_annuelles!$A$3:$A$188,AR74)*SUMIFS(Donnees_annuelles!$AA$3:$AA$188,Donnees_annuelles!$A$3:$A$188,AR74)</f>
        <v/>
      </c>
      <c r="AT74" s="36">
        <f>AS74/V74</f>
        <v/>
      </c>
      <c r="AU74" s="14">
        <f>AL74</f>
        <v/>
      </c>
      <c r="AV74" s="39">
        <f>AS74-AL74</f>
        <v/>
      </c>
      <c r="AW74" s="9">
        <f>AS74/AL74-1</f>
        <v/>
      </c>
      <c r="AX74" s="14">
        <f>AS74/AJ74/12</f>
        <v/>
      </c>
      <c r="AY74" s="14">
        <f>AF74</f>
        <v/>
      </c>
      <c r="AZ74" s="39">
        <f>AX74-AF74</f>
        <v/>
      </c>
      <c r="BA74" s="14">
        <f>SUMIFS(Donnees_regimes!$S$3:$S$1118,Donnees_regimes!$A$3:$A$1118,C74,Donnees_regimes!$B$3:$B$1118,"&gt;="&amp;G74,Donnees_regimes!$B$3:$B$1118,"&lt;="&amp;N74)*L74/ROUNDUP(L74,0)*SUMIFS(Donnees_annuelles!$AH$3:$AH$188,Donnees_annuelles!$A$3:$A$188,AR74)*SUMIFS(Donnees_annuelles!$AA$3:$AA$188,Donnees_annuelles!$A$3:$A$188,AR74)</f>
        <v/>
      </c>
      <c r="BB74" s="39">
        <f>BA74-AL74</f>
        <v/>
      </c>
      <c r="BC74" s="7">
        <f>IF(M74+AJ74&gt;2026,IF(G74&gt;2026,"entièrement projeté","en partie projeté"),"observé")</f>
        <v/>
      </c>
    </row>
    <row r="75">
      <c r="A75" s="7" t="inlineStr">
        <is>
          <t>Génération Z</t>
        </is>
      </c>
      <c r="B75" s="84" t="inlineStr">
        <is>
          <t>Privé</t>
        </is>
      </c>
      <c r="C75" s="7">
        <f>IF(G75&gt;=SUMIFS(Regimes!$C$5:$C$10,Regimes!$A$5:$A$10,B75),"Privé",B75)</f>
        <v/>
      </c>
      <c r="D75" s="7">
        <f>INDEX(Regimes!$D$5:$D$10,MATCH(C75,Regimes!$A$5:$A$10,0))</f>
        <v/>
      </c>
      <c r="E75" s="88" t="n">
        <v>2000</v>
      </c>
      <c r="F75" s="8">
        <f>Donnees_generations!C88</f>
        <v/>
      </c>
      <c r="G75" s="77">
        <f>Donnees_generations!D88</f>
        <v/>
      </c>
      <c r="H75" s="8">
        <f>SUMIFS(Donnees_generations!$S$3:$S$113,Donnees_generations!$A$3:$A$113,MAX(1915,MIN(2025,E75)))</f>
        <v/>
      </c>
      <c r="I75" s="8">
        <f>SUMIFS(Donnees_generations!$T$3:$T$113,Donnees_generations!$A$3:$A$113,MAX(1915,MIN(2025,E75)))</f>
        <v/>
      </c>
      <c r="J75" s="8">
        <f>IF(G75&gt;=2000,MAX(I75,Parametres!$B$3),I75)</f>
        <v/>
      </c>
      <c r="K75" s="8">
        <f>IF(C75="Privé",J75,SUMIFS(Regles_regimes!$J$3:$J$2000,Regles_regimes!$A$3:$A$2000,C75,Regles_regimes!$B$3:$B$2000,D75,Regles_regimes!$C$3:$C$2000,MAX(1915,MIN(2025,E75))))</f>
        <v/>
      </c>
      <c r="L75" s="8">
        <f>IF(C75="Privé",H75,(K75-F75)*H75/(J75-F75))</f>
        <v/>
      </c>
      <c r="M75" s="77">
        <f>INT(E75+K75)</f>
        <v/>
      </c>
      <c r="N75" s="77">
        <f>G75+ROUNDUP(L75,0)-1</f>
        <v/>
      </c>
      <c r="O75" s="89">
        <f>SUMIFS(Regles_regimes!$K$3:$K$2000,Regles_regimes!$A$3:$A$2000,C75,Regles_regimes!$B$3:$B$2000,D75,Regles_regimes!$C$3:$C$2000,MAX(1915,MIN(2025,E75)))</f>
        <v/>
      </c>
      <c r="P75" s="13">
        <f>SUMIFS(Donnees_annuelles!$W$3:$W$188,Donnees_annuelles!$A$3:$A$188,"&gt;="&amp;G75,Donnees_annuelles!$A$3:$A$188,"&lt;="&amp;N75)*L75/ROUNDUP(L75,0)*O75</f>
        <v/>
      </c>
      <c r="Q75" s="13">
        <f>SUMIFS(Donnees_annuelles!$V$3:$V$188,Donnees_annuelles!$A$3:$A$188,"&gt;="&amp;G75,Donnees_annuelles!$A$3:$A$188,"&lt;="&amp;N75)*L75/ROUNDUP(L75,0)</f>
        <v/>
      </c>
      <c r="R75" s="13">
        <f>P75/L75</f>
        <v/>
      </c>
      <c r="S75" s="14">
        <f>SUMIFS(Donnees_annuelles!$D$3:$D$188,Donnees_annuelles!$A$3:$A$188,"&gt;="&amp;G75,Donnees_annuelles!$A$3:$A$188,"&lt;="&amp;N75)*L75/ROUNDUP(L75,0)</f>
        <v/>
      </c>
      <c r="T75" s="14">
        <f>SUMIFS(Donnees_regimes!$N$3:$N$1118,Donnees_regimes!$A$3:$A$1118,C75,Donnees_regimes!$B$3:$B$1118,"&gt;="&amp;G75,Donnees_regimes!$B$3:$B$1118,"&lt;="&amp;N75)*L75/ROUNDUP(L75,0)</f>
        <v/>
      </c>
      <c r="U75" s="14">
        <f>SUMIFS(Donnees_regimes!$O$3:$O$1118,Donnees_regimes!$A$3:$A$1118,C75,Donnees_regimes!$B$3:$B$1118,"&gt;="&amp;G75,Donnees_regimes!$B$3:$B$1118,"&lt;="&amp;N75)*L75/ROUNDUP(L75,0)</f>
        <v/>
      </c>
      <c r="V75" s="14">
        <f>T75+U75</f>
        <v/>
      </c>
      <c r="W75" s="33">
        <f>V75/S75</f>
        <v/>
      </c>
      <c r="X75" s="14">
        <f>S75+U75</f>
        <v/>
      </c>
      <c r="Y75" s="17">
        <f>V75/P75</f>
        <v/>
      </c>
      <c r="Z75" s="14">
        <f>SUMIFS(Donnees_regimes!$Q$3:$Q$1118,Donnees_regimes!$A$3:$A$1118,C75,Donnees_regimes!$B$3:$B$1118,"&gt;="&amp;G75,Donnees_regimes!$B$3:$B$1118,"&lt;="&amp;N75)*L75/ROUNDUP(L75,0)</f>
        <v/>
      </c>
      <c r="AA75" s="77">
        <f>SUMIFS(Regles_regimes!$F$3:$F$2000,Regles_regimes!$A$3:$A$2000,C75,Regles_regimes!$B$3:$B$2000,D75,Regles_regimes!$C$3:$C$2000,MAX(1915,MIN(2025,E75)))</f>
        <v/>
      </c>
      <c r="AB75" s="77">
        <f>IF(AND(SUMIFS(Regles_regimes!$L$3:$L$2000,Regles_regimes!$A$3:$A$2000,C75,Regles_regimes!$B$3:$B$2000,D75,Regles_regimes!$C$3:$C$2000,MAX(1915,MIN(2025,E75)))=1,G75&lt;2009,C75&lt;&gt;"Privé"),MIN(20,L75*4/5),0)</f>
        <v/>
      </c>
      <c r="AC75" s="89">
        <f>SUMIFS(Donnees_regimes!$M$3:$M$1118,Donnees_regimes!$A$3:$A$1118,C75,Donnees_regimes!$B$3:$B$1118,M75)</f>
        <v/>
      </c>
      <c r="AD75" s="14">
        <f>SUMIFS(Donnees_annuelles!$Y$3:$Y$188,Donnees_annuelles!$A$3:$A$188,M75)*SUMIFS(Donnees_generations!$I$3:$I$113,Donnees_generations!$A$3:$A$113,MAX(1915,MIN(2025,E75)))/H75</f>
        <v/>
      </c>
      <c r="AE75" s="14">
        <f>IF(C75="Privé",SUMIFS(Donnees_annuelles!$Y$3:$Y$188,Donnees_annuelles!$A$3:$A$188,M75)*MIN(L75,SUMIFS(Donnees_generations!$I$3:$I$113,Donnees_generations!$A$3:$A$113,MAX(1915,MIN(2025,E75))))/L75,AD75*AC75*MIN(IF(AB75&gt;0,0.8/0.75,1),(L75*4+AB75)/AA75))</f>
        <v/>
      </c>
      <c r="AF75" s="14">
        <f>AE75/12</f>
        <v/>
      </c>
      <c r="AG75" s="77">
        <f>MIN(68,MAX(56,2*INT(K75/2)))</f>
        <v/>
      </c>
      <c r="AH75" s="75">
        <f>(CHOOSE((AG75-56)/2+1,SUMIFS(Donnees_generations!$U$3:$U$113,Donnees_generations!$A$3:$A$113,MAX(1915,MIN(2025,E75))),SUMIFS(Donnees_generations!$V$3:$V$113,Donnees_generations!$A$3:$A$113,MAX(1915,MIN(2025,E75))),SUMIFS(Donnees_generations!$W$3:$W$113,Donnees_generations!$A$3:$A$113,MAX(1915,MIN(2025,E75))),SUMIFS(Donnees_generations!$X$3:$X$113,Donnees_generations!$A$3:$A$113,MAX(1915,MIN(2025,E75))),SUMIFS(Donnees_generations!$Y$3:$Y$113,Donnees_generations!$A$3:$A$113,MAX(1915,MIN(2025,E75))),SUMIFS(Donnees_generations!$Z$3:$Z$113,Donnees_generations!$A$3:$A$113,MAX(1915,MIN(2025,E75))),SUMIFS(Donnees_generations!$AA$3:$AA$113,Donnees_generations!$A$3:$A$113,MAX(1915,MIN(2025,E75))),SUMIFS(Donnees_generations!$AB$3:$AB$113,Donnees_generations!$A$3:$A$113,MAX(1915,MIN(2025,E75))))+CHOOSE((AG75-56)/2+1,SUMIFS(Donnees_generations!$AC$3:$AC$113,Donnees_generations!$A$3:$A$113,MAX(1915,MIN(2025,E75))),SUMIFS(Donnees_generations!$AD$3:$AD$113,Donnees_generations!$A$3:$A$113,MAX(1915,MIN(2025,E75))),SUMIFS(Donnees_generations!$AE$3:$AE$113,Donnees_generations!$A$3:$A$113,MAX(1915,MIN(2025,E75))),SUMIFS(Donnees_generations!$AF$3:$AF$113,Donnees_generations!$A$3:$A$113,MAX(1915,MIN(2025,E75))),SUMIFS(Donnees_generations!$AG$3:$AG$113,Donnees_generations!$A$3:$A$113,MAX(1915,MIN(2025,E75))),SUMIFS(Donnees_generations!$AH$3:$AH$113,Donnees_generations!$A$3:$A$113,MAX(1915,MIN(2025,E75))),SUMIFS(Donnees_generations!$AI$3:$AI$113,Donnees_generations!$A$3:$A$113,MAX(1915,MIN(2025,E75))),SUMIFS(Donnees_generations!$AJ$3:$AJ$113,Donnees_generations!$A$3:$A$113,MAX(1915,MIN(2025,E75)))))/2</f>
        <v/>
      </c>
      <c r="AI75" s="75">
        <f>(CHOOSE(((AG75+2)-56)/2+1,SUMIFS(Donnees_generations!$U$3:$U$113,Donnees_generations!$A$3:$A$113,MAX(1915,MIN(2025,E75))),SUMIFS(Donnees_generations!$V$3:$V$113,Donnees_generations!$A$3:$A$113,MAX(1915,MIN(2025,E75))),SUMIFS(Donnees_generations!$W$3:$W$113,Donnees_generations!$A$3:$A$113,MAX(1915,MIN(2025,E75))),SUMIFS(Donnees_generations!$X$3:$X$113,Donnees_generations!$A$3:$A$113,MAX(1915,MIN(2025,E75))),SUMIFS(Donnees_generations!$Y$3:$Y$113,Donnees_generations!$A$3:$A$113,MAX(1915,MIN(2025,E75))),SUMIFS(Donnees_generations!$Z$3:$Z$113,Donnees_generations!$A$3:$A$113,MAX(1915,MIN(2025,E75))),SUMIFS(Donnees_generations!$AA$3:$AA$113,Donnees_generations!$A$3:$A$113,MAX(1915,MIN(2025,E75))),SUMIFS(Donnees_generations!$AB$3:$AB$113,Donnees_generations!$A$3:$A$113,MAX(1915,MIN(2025,E75))))+CHOOSE(((AG75+2)-56)/2+1,SUMIFS(Donnees_generations!$AC$3:$AC$113,Donnees_generations!$A$3:$A$113,MAX(1915,MIN(2025,E75))),SUMIFS(Donnees_generations!$AD$3:$AD$113,Donnees_generations!$A$3:$A$113,MAX(1915,MIN(2025,E75))),SUMIFS(Donnees_generations!$AE$3:$AE$113,Donnees_generations!$A$3:$A$113,MAX(1915,MIN(2025,E75))),SUMIFS(Donnees_generations!$AF$3:$AF$113,Donnees_generations!$A$3:$A$113,MAX(1915,MIN(2025,E75))),SUMIFS(Donnees_generations!$AG$3:$AG$113,Donnees_generations!$A$3:$A$113,MAX(1915,MIN(2025,E75))),SUMIFS(Donnees_generations!$AH$3:$AH$113,Donnees_generations!$A$3:$A$113,MAX(1915,MIN(2025,E75))),SUMIFS(Donnees_generations!$AI$3:$AI$113,Donnees_generations!$A$3:$A$113,MAX(1915,MIN(2025,E75))),SUMIFS(Donnees_generations!$AJ$3:$AJ$113,Donnees_generations!$A$3:$A$113,MAX(1915,MIN(2025,E75)))))/2</f>
        <v/>
      </c>
      <c r="AJ75" s="8">
        <f>MAX(0,AH75+(AI75-AH75)*(K75-AG75)/2)</f>
        <v/>
      </c>
      <c r="AK75" s="8">
        <f>K75+AJ75</f>
        <v/>
      </c>
      <c r="AL75" s="14">
        <f>AE75*AJ75</f>
        <v/>
      </c>
      <c r="AM75" s="17">
        <f>V75/AL75</f>
        <v/>
      </c>
      <c r="AN75" s="17">
        <f>Z75/AL75</f>
        <v/>
      </c>
      <c r="AO75" s="33">
        <f>IF(V75+Z75=0,0,Z75/(V75+Z75))</f>
        <v/>
      </c>
      <c r="AP75" s="14">
        <f>AL75/V75*100</f>
        <v/>
      </c>
      <c r="AQ75" s="8">
        <f>P75/AL75*1000</f>
        <v/>
      </c>
      <c r="AR75" s="77">
        <f>MAX(N75,M75-1)</f>
        <v/>
      </c>
      <c r="AS75" s="14">
        <f>SUMIFS(Donnees_regimes!$R$3:$R$1118,Donnees_regimes!$A$3:$A$1118,C75,Donnees_regimes!$B$3:$B$1118,"&gt;="&amp;G75,Donnees_regimes!$B$3:$B$1118,"&lt;="&amp;N75)*L75/ROUNDUP(L75,0)*SUMIFS(Donnees_annuelles!$AG$3:$AG$188,Donnees_annuelles!$A$3:$A$188,AR75)*SUMIFS(Donnees_annuelles!$AA$3:$AA$188,Donnees_annuelles!$A$3:$A$188,AR75)</f>
        <v/>
      </c>
      <c r="AT75" s="36">
        <f>AS75/V75</f>
        <v/>
      </c>
      <c r="AU75" s="14">
        <f>AL75</f>
        <v/>
      </c>
      <c r="AV75" s="39">
        <f>AS75-AL75</f>
        <v/>
      </c>
      <c r="AW75" s="9">
        <f>AS75/AL75-1</f>
        <v/>
      </c>
      <c r="AX75" s="14">
        <f>AS75/AJ75/12</f>
        <v/>
      </c>
      <c r="AY75" s="14">
        <f>AF75</f>
        <v/>
      </c>
      <c r="AZ75" s="39">
        <f>AX75-AF75</f>
        <v/>
      </c>
      <c r="BA75" s="14">
        <f>SUMIFS(Donnees_regimes!$S$3:$S$1118,Donnees_regimes!$A$3:$A$1118,C75,Donnees_regimes!$B$3:$B$1118,"&gt;="&amp;G75,Donnees_regimes!$B$3:$B$1118,"&lt;="&amp;N75)*L75/ROUNDUP(L75,0)*SUMIFS(Donnees_annuelles!$AH$3:$AH$188,Donnees_annuelles!$A$3:$A$188,AR75)*SUMIFS(Donnees_annuelles!$AA$3:$AA$188,Donnees_annuelles!$A$3:$A$188,AR75)</f>
        <v/>
      </c>
      <c r="BB75" s="39">
        <f>BA75-AL75</f>
        <v/>
      </c>
      <c r="BC75" s="7">
        <f>IF(M75+AJ75&gt;2026,IF(G75&gt;2026,"entièrement projeté","en partie projeté"),"observé")</f>
        <v/>
      </c>
    </row>
    <row r="76">
      <c r="A76" s="7" t="inlineStr">
        <is>
          <t>Génération Z</t>
        </is>
      </c>
      <c r="B76" s="84" t="inlineStr">
        <is>
          <t>Privé</t>
        </is>
      </c>
      <c r="C76" s="7">
        <f>IF(G76&gt;=SUMIFS(Regimes!$C$5:$C$10,Regimes!$A$5:$A$10,B76),"Privé",B76)</f>
        <v/>
      </c>
      <c r="D76" s="7">
        <f>INDEX(Regimes!$D$5:$D$10,MATCH(C76,Regimes!$A$5:$A$10,0))</f>
        <v/>
      </c>
      <c r="E76" s="88" t="n">
        <v>2001</v>
      </c>
      <c r="F76" s="8">
        <f>Donnees_generations!C89</f>
        <v/>
      </c>
      <c r="G76" s="77">
        <f>Donnees_generations!D89</f>
        <v/>
      </c>
      <c r="H76" s="8">
        <f>SUMIFS(Donnees_generations!$S$3:$S$113,Donnees_generations!$A$3:$A$113,MAX(1915,MIN(2025,E76)))</f>
        <v/>
      </c>
      <c r="I76" s="8">
        <f>SUMIFS(Donnees_generations!$T$3:$T$113,Donnees_generations!$A$3:$A$113,MAX(1915,MIN(2025,E76)))</f>
        <v/>
      </c>
      <c r="J76" s="8">
        <f>IF(G76&gt;=2000,MAX(I76,Parametres!$B$3),I76)</f>
        <v/>
      </c>
      <c r="K76" s="8">
        <f>IF(C76="Privé",J76,SUMIFS(Regles_regimes!$J$3:$J$2000,Regles_regimes!$A$3:$A$2000,C76,Regles_regimes!$B$3:$B$2000,D76,Regles_regimes!$C$3:$C$2000,MAX(1915,MIN(2025,E76))))</f>
        <v/>
      </c>
      <c r="L76" s="8">
        <f>IF(C76="Privé",H76,(K76-F76)*H76/(J76-F76))</f>
        <v/>
      </c>
      <c r="M76" s="77">
        <f>INT(E76+K76)</f>
        <v/>
      </c>
      <c r="N76" s="77">
        <f>G76+ROUNDUP(L76,0)-1</f>
        <v/>
      </c>
      <c r="O76" s="89">
        <f>SUMIFS(Regles_regimes!$K$3:$K$2000,Regles_regimes!$A$3:$A$2000,C76,Regles_regimes!$B$3:$B$2000,D76,Regles_regimes!$C$3:$C$2000,MAX(1915,MIN(2025,E76)))</f>
        <v/>
      </c>
      <c r="P76" s="13">
        <f>SUMIFS(Donnees_annuelles!$W$3:$W$188,Donnees_annuelles!$A$3:$A$188,"&gt;="&amp;G76,Donnees_annuelles!$A$3:$A$188,"&lt;="&amp;N76)*L76/ROUNDUP(L76,0)*O76</f>
        <v/>
      </c>
      <c r="Q76" s="13">
        <f>SUMIFS(Donnees_annuelles!$V$3:$V$188,Donnees_annuelles!$A$3:$A$188,"&gt;="&amp;G76,Donnees_annuelles!$A$3:$A$188,"&lt;="&amp;N76)*L76/ROUNDUP(L76,0)</f>
        <v/>
      </c>
      <c r="R76" s="13">
        <f>P76/L76</f>
        <v/>
      </c>
      <c r="S76" s="14">
        <f>SUMIFS(Donnees_annuelles!$D$3:$D$188,Donnees_annuelles!$A$3:$A$188,"&gt;="&amp;G76,Donnees_annuelles!$A$3:$A$188,"&lt;="&amp;N76)*L76/ROUNDUP(L76,0)</f>
        <v/>
      </c>
      <c r="T76" s="14">
        <f>SUMIFS(Donnees_regimes!$N$3:$N$1118,Donnees_regimes!$A$3:$A$1118,C76,Donnees_regimes!$B$3:$B$1118,"&gt;="&amp;G76,Donnees_regimes!$B$3:$B$1118,"&lt;="&amp;N76)*L76/ROUNDUP(L76,0)</f>
        <v/>
      </c>
      <c r="U76" s="14">
        <f>SUMIFS(Donnees_regimes!$O$3:$O$1118,Donnees_regimes!$A$3:$A$1118,C76,Donnees_regimes!$B$3:$B$1118,"&gt;="&amp;G76,Donnees_regimes!$B$3:$B$1118,"&lt;="&amp;N76)*L76/ROUNDUP(L76,0)</f>
        <v/>
      </c>
      <c r="V76" s="14">
        <f>T76+U76</f>
        <v/>
      </c>
      <c r="W76" s="33">
        <f>V76/S76</f>
        <v/>
      </c>
      <c r="X76" s="14">
        <f>S76+U76</f>
        <v/>
      </c>
      <c r="Y76" s="17">
        <f>V76/P76</f>
        <v/>
      </c>
      <c r="Z76" s="14">
        <f>SUMIFS(Donnees_regimes!$Q$3:$Q$1118,Donnees_regimes!$A$3:$A$1118,C76,Donnees_regimes!$B$3:$B$1118,"&gt;="&amp;G76,Donnees_regimes!$B$3:$B$1118,"&lt;="&amp;N76)*L76/ROUNDUP(L76,0)</f>
        <v/>
      </c>
      <c r="AA76" s="77">
        <f>SUMIFS(Regles_regimes!$F$3:$F$2000,Regles_regimes!$A$3:$A$2000,C76,Regles_regimes!$B$3:$B$2000,D76,Regles_regimes!$C$3:$C$2000,MAX(1915,MIN(2025,E76)))</f>
        <v/>
      </c>
      <c r="AB76" s="77">
        <f>IF(AND(SUMIFS(Regles_regimes!$L$3:$L$2000,Regles_regimes!$A$3:$A$2000,C76,Regles_regimes!$B$3:$B$2000,D76,Regles_regimes!$C$3:$C$2000,MAX(1915,MIN(2025,E76)))=1,G76&lt;2009,C76&lt;&gt;"Privé"),MIN(20,L76*4/5),0)</f>
        <v/>
      </c>
      <c r="AC76" s="89">
        <f>SUMIFS(Donnees_regimes!$M$3:$M$1118,Donnees_regimes!$A$3:$A$1118,C76,Donnees_regimes!$B$3:$B$1118,M76)</f>
        <v/>
      </c>
      <c r="AD76" s="14">
        <f>SUMIFS(Donnees_annuelles!$Y$3:$Y$188,Donnees_annuelles!$A$3:$A$188,M76)*SUMIFS(Donnees_generations!$I$3:$I$113,Donnees_generations!$A$3:$A$113,MAX(1915,MIN(2025,E76)))/H76</f>
        <v/>
      </c>
      <c r="AE76" s="14">
        <f>IF(C76="Privé",SUMIFS(Donnees_annuelles!$Y$3:$Y$188,Donnees_annuelles!$A$3:$A$188,M76)*MIN(L76,SUMIFS(Donnees_generations!$I$3:$I$113,Donnees_generations!$A$3:$A$113,MAX(1915,MIN(2025,E76))))/L76,AD76*AC76*MIN(IF(AB76&gt;0,0.8/0.75,1),(L76*4+AB76)/AA76))</f>
        <v/>
      </c>
      <c r="AF76" s="14">
        <f>AE76/12</f>
        <v/>
      </c>
      <c r="AG76" s="77">
        <f>MIN(68,MAX(56,2*INT(K76/2)))</f>
        <v/>
      </c>
      <c r="AH76" s="75">
        <f>(CHOOSE((AG76-56)/2+1,SUMIFS(Donnees_generations!$U$3:$U$113,Donnees_generations!$A$3:$A$113,MAX(1915,MIN(2025,E76))),SUMIFS(Donnees_generations!$V$3:$V$113,Donnees_generations!$A$3:$A$113,MAX(1915,MIN(2025,E76))),SUMIFS(Donnees_generations!$W$3:$W$113,Donnees_generations!$A$3:$A$113,MAX(1915,MIN(2025,E76))),SUMIFS(Donnees_generations!$X$3:$X$113,Donnees_generations!$A$3:$A$113,MAX(1915,MIN(2025,E76))),SUMIFS(Donnees_generations!$Y$3:$Y$113,Donnees_generations!$A$3:$A$113,MAX(1915,MIN(2025,E76))),SUMIFS(Donnees_generations!$Z$3:$Z$113,Donnees_generations!$A$3:$A$113,MAX(1915,MIN(2025,E76))),SUMIFS(Donnees_generations!$AA$3:$AA$113,Donnees_generations!$A$3:$A$113,MAX(1915,MIN(2025,E76))),SUMIFS(Donnees_generations!$AB$3:$AB$113,Donnees_generations!$A$3:$A$113,MAX(1915,MIN(2025,E76))))+CHOOSE((AG76-56)/2+1,SUMIFS(Donnees_generations!$AC$3:$AC$113,Donnees_generations!$A$3:$A$113,MAX(1915,MIN(2025,E76))),SUMIFS(Donnees_generations!$AD$3:$AD$113,Donnees_generations!$A$3:$A$113,MAX(1915,MIN(2025,E76))),SUMIFS(Donnees_generations!$AE$3:$AE$113,Donnees_generations!$A$3:$A$113,MAX(1915,MIN(2025,E76))),SUMIFS(Donnees_generations!$AF$3:$AF$113,Donnees_generations!$A$3:$A$113,MAX(1915,MIN(2025,E76))),SUMIFS(Donnees_generations!$AG$3:$AG$113,Donnees_generations!$A$3:$A$113,MAX(1915,MIN(2025,E76))),SUMIFS(Donnees_generations!$AH$3:$AH$113,Donnees_generations!$A$3:$A$113,MAX(1915,MIN(2025,E76))),SUMIFS(Donnees_generations!$AI$3:$AI$113,Donnees_generations!$A$3:$A$113,MAX(1915,MIN(2025,E76))),SUMIFS(Donnees_generations!$AJ$3:$AJ$113,Donnees_generations!$A$3:$A$113,MAX(1915,MIN(2025,E76)))))/2</f>
        <v/>
      </c>
      <c r="AI76" s="75">
        <f>(CHOOSE(((AG76+2)-56)/2+1,SUMIFS(Donnees_generations!$U$3:$U$113,Donnees_generations!$A$3:$A$113,MAX(1915,MIN(2025,E76))),SUMIFS(Donnees_generations!$V$3:$V$113,Donnees_generations!$A$3:$A$113,MAX(1915,MIN(2025,E76))),SUMIFS(Donnees_generations!$W$3:$W$113,Donnees_generations!$A$3:$A$113,MAX(1915,MIN(2025,E76))),SUMIFS(Donnees_generations!$X$3:$X$113,Donnees_generations!$A$3:$A$113,MAX(1915,MIN(2025,E76))),SUMIFS(Donnees_generations!$Y$3:$Y$113,Donnees_generations!$A$3:$A$113,MAX(1915,MIN(2025,E76))),SUMIFS(Donnees_generations!$Z$3:$Z$113,Donnees_generations!$A$3:$A$113,MAX(1915,MIN(2025,E76))),SUMIFS(Donnees_generations!$AA$3:$AA$113,Donnees_generations!$A$3:$A$113,MAX(1915,MIN(2025,E76))),SUMIFS(Donnees_generations!$AB$3:$AB$113,Donnees_generations!$A$3:$A$113,MAX(1915,MIN(2025,E76))))+CHOOSE(((AG76+2)-56)/2+1,SUMIFS(Donnees_generations!$AC$3:$AC$113,Donnees_generations!$A$3:$A$113,MAX(1915,MIN(2025,E76))),SUMIFS(Donnees_generations!$AD$3:$AD$113,Donnees_generations!$A$3:$A$113,MAX(1915,MIN(2025,E76))),SUMIFS(Donnees_generations!$AE$3:$AE$113,Donnees_generations!$A$3:$A$113,MAX(1915,MIN(2025,E76))),SUMIFS(Donnees_generations!$AF$3:$AF$113,Donnees_generations!$A$3:$A$113,MAX(1915,MIN(2025,E76))),SUMIFS(Donnees_generations!$AG$3:$AG$113,Donnees_generations!$A$3:$A$113,MAX(1915,MIN(2025,E76))),SUMIFS(Donnees_generations!$AH$3:$AH$113,Donnees_generations!$A$3:$A$113,MAX(1915,MIN(2025,E76))),SUMIFS(Donnees_generations!$AI$3:$AI$113,Donnees_generations!$A$3:$A$113,MAX(1915,MIN(2025,E76))),SUMIFS(Donnees_generations!$AJ$3:$AJ$113,Donnees_generations!$A$3:$A$113,MAX(1915,MIN(2025,E76)))))/2</f>
        <v/>
      </c>
      <c r="AJ76" s="8">
        <f>MAX(0,AH76+(AI76-AH76)*(K76-AG76)/2)</f>
        <v/>
      </c>
      <c r="AK76" s="8">
        <f>K76+AJ76</f>
        <v/>
      </c>
      <c r="AL76" s="14">
        <f>AE76*AJ76</f>
        <v/>
      </c>
      <c r="AM76" s="17">
        <f>V76/AL76</f>
        <v/>
      </c>
      <c r="AN76" s="17">
        <f>Z76/AL76</f>
        <v/>
      </c>
      <c r="AO76" s="33">
        <f>IF(V76+Z76=0,0,Z76/(V76+Z76))</f>
        <v/>
      </c>
      <c r="AP76" s="14">
        <f>AL76/V76*100</f>
        <v/>
      </c>
      <c r="AQ76" s="8">
        <f>P76/AL76*1000</f>
        <v/>
      </c>
      <c r="AR76" s="77">
        <f>MAX(N76,M76-1)</f>
        <v/>
      </c>
      <c r="AS76" s="14">
        <f>SUMIFS(Donnees_regimes!$R$3:$R$1118,Donnees_regimes!$A$3:$A$1118,C76,Donnees_regimes!$B$3:$B$1118,"&gt;="&amp;G76,Donnees_regimes!$B$3:$B$1118,"&lt;="&amp;N76)*L76/ROUNDUP(L76,0)*SUMIFS(Donnees_annuelles!$AG$3:$AG$188,Donnees_annuelles!$A$3:$A$188,AR76)*SUMIFS(Donnees_annuelles!$AA$3:$AA$188,Donnees_annuelles!$A$3:$A$188,AR76)</f>
        <v/>
      </c>
      <c r="AT76" s="36">
        <f>AS76/V76</f>
        <v/>
      </c>
      <c r="AU76" s="14">
        <f>AL76</f>
        <v/>
      </c>
      <c r="AV76" s="39">
        <f>AS76-AL76</f>
        <v/>
      </c>
      <c r="AW76" s="9">
        <f>AS76/AL76-1</f>
        <v/>
      </c>
      <c r="AX76" s="14">
        <f>AS76/AJ76/12</f>
        <v/>
      </c>
      <c r="AY76" s="14">
        <f>AF76</f>
        <v/>
      </c>
      <c r="AZ76" s="39">
        <f>AX76-AF76</f>
        <v/>
      </c>
      <c r="BA76" s="14">
        <f>SUMIFS(Donnees_regimes!$S$3:$S$1118,Donnees_regimes!$A$3:$A$1118,C76,Donnees_regimes!$B$3:$B$1118,"&gt;="&amp;G76,Donnees_regimes!$B$3:$B$1118,"&lt;="&amp;N76)*L76/ROUNDUP(L76,0)*SUMIFS(Donnees_annuelles!$AH$3:$AH$188,Donnees_annuelles!$A$3:$A$188,AR76)*SUMIFS(Donnees_annuelles!$AA$3:$AA$188,Donnees_annuelles!$A$3:$A$188,AR76)</f>
        <v/>
      </c>
      <c r="BB76" s="39">
        <f>BA76-AL76</f>
        <v/>
      </c>
      <c r="BC76" s="7">
        <f>IF(M76+AJ76&gt;2026,IF(G76&gt;2026,"entièrement projeté","en partie projeté"),"observé")</f>
        <v/>
      </c>
    </row>
    <row r="77">
      <c r="A77" s="7" t="inlineStr">
        <is>
          <t>Génération Z</t>
        </is>
      </c>
      <c r="B77" s="84" t="inlineStr">
        <is>
          <t>Privé</t>
        </is>
      </c>
      <c r="C77" s="7">
        <f>IF(G77&gt;=SUMIFS(Regimes!$C$5:$C$10,Regimes!$A$5:$A$10,B77),"Privé",B77)</f>
        <v/>
      </c>
      <c r="D77" s="7">
        <f>INDEX(Regimes!$D$5:$D$10,MATCH(C77,Regimes!$A$5:$A$10,0))</f>
        <v/>
      </c>
      <c r="E77" s="88" t="n">
        <v>2002</v>
      </c>
      <c r="F77" s="8">
        <f>Donnees_generations!C90</f>
        <v/>
      </c>
      <c r="G77" s="77">
        <f>Donnees_generations!D90</f>
        <v/>
      </c>
      <c r="H77" s="8">
        <f>SUMIFS(Donnees_generations!$S$3:$S$113,Donnees_generations!$A$3:$A$113,MAX(1915,MIN(2025,E77)))</f>
        <v/>
      </c>
      <c r="I77" s="8">
        <f>SUMIFS(Donnees_generations!$T$3:$T$113,Donnees_generations!$A$3:$A$113,MAX(1915,MIN(2025,E77)))</f>
        <v/>
      </c>
      <c r="J77" s="8">
        <f>IF(G77&gt;=2000,MAX(I77,Parametres!$B$3),I77)</f>
        <v/>
      </c>
      <c r="K77" s="8">
        <f>IF(C77="Privé",J77,SUMIFS(Regles_regimes!$J$3:$J$2000,Regles_regimes!$A$3:$A$2000,C77,Regles_regimes!$B$3:$B$2000,D77,Regles_regimes!$C$3:$C$2000,MAX(1915,MIN(2025,E77))))</f>
        <v/>
      </c>
      <c r="L77" s="8">
        <f>IF(C77="Privé",H77,(K77-F77)*H77/(J77-F77))</f>
        <v/>
      </c>
      <c r="M77" s="77">
        <f>INT(E77+K77)</f>
        <v/>
      </c>
      <c r="N77" s="77">
        <f>G77+ROUNDUP(L77,0)-1</f>
        <v/>
      </c>
      <c r="O77" s="89">
        <f>SUMIFS(Regles_regimes!$K$3:$K$2000,Regles_regimes!$A$3:$A$2000,C77,Regles_regimes!$B$3:$B$2000,D77,Regles_regimes!$C$3:$C$2000,MAX(1915,MIN(2025,E77)))</f>
        <v/>
      </c>
      <c r="P77" s="13">
        <f>SUMIFS(Donnees_annuelles!$W$3:$W$188,Donnees_annuelles!$A$3:$A$188,"&gt;="&amp;G77,Donnees_annuelles!$A$3:$A$188,"&lt;="&amp;N77)*L77/ROUNDUP(L77,0)*O77</f>
        <v/>
      </c>
      <c r="Q77" s="13">
        <f>SUMIFS(Donnees_annuelles!$V$3:$V$188,Donnees_annuelles!$A$3:$A$188,"&gt;="&amp;G77,Donnees_annuelles!$A$3:$A$188,"&lt;="&amp;N77)*L77/ROUNDUP(L77,0)</f>
        <v/>
      </c>
      <c r="R77" s="13">
        <f>P77/L77</f>
        <v/>
      </c>
      <c r="S77" s="14">
        <f>SUMIFS(Donnees_annuelles!$D$3:$D$188,Donnees_annuelles!$A$3:$A$188,"&gt;="&amp;G77,Donnees_annuelles!$A$3:$A$188,"&lt;="&amp;N77)*L77/ROUNDUP(L77,0)</f>
        <v/>
      </c>
      <c r="T77" s="14">
        <f>SUMIFS(Donnees_regimes!$N$3:$N$1118,Donnees_regimes!$A$3:$A$1118,C77,Donnees_regimes!$B$3:$B$1118,"&gt;="&amp;G77,Donnees_regimes!$B$3:$B$1118,"&lt;="&amp;N77)*L77/ROUNDUP(L77,0)</f>
        <v/>
      </c>
      <c r="U77" s="14">
        <f>SUMIFS(Donnees_regimes!$O$3:$O$1118,Donnees_regimes!$A$3:$A$1118,C77,Donnees_regimes!$B$3:$B$1118,"&gt;="&amp;G77,Donnees_regimes!$B$3:$B$1118,"&lt;="&amp;N77)*L77/ROUNDUP(L77,0)</f>
        <v/>
      </c>
      <c r="V77" s="14">
        <f>T77+U77</f>
        <v/>
      </c>
      <c r="W77" s="33">
        <f>V77/S77</f>
        <v/>
      </c>
      <c r="X77" s="14">
        <f>S77+U77</f>
        <v/>
      </c>
      <c r="Y77" s="17">
        <f>V77/P77</f>
        <v/>
      </c>
      <c r="Z77" s="14">
        <f>SUMIFS(Donnees_regimes!$Q$3:$Q$1118,Donnees_regimes!$A$3:$A$1118,C77,Donnees_regimes!$B$3:$B$1118,"&gt;="&amp;G77,Donnees_regimes!$B$3:$B$1118,"&lt;="&amp;N77)*L77/ROUNDUP(L77,0)</f>
        <v/>
      </c>
      <c r="AA77" s="77">
        <f>SUMIFS(Regles_regimes!$F$3:$F$2000,Regles_regimes!$A$3:$A$2000,C77,Regles_regimes!$B$3:$B$2000,D77,Regles_regimes!$C$3:$C$2000,MAX(1915,MIN(2025,E77)))</f>
        <v/>
      </c>
      <c r="AB77" s="77">
        <f>IF(AND(SUMIFS(Regles_regimes!$L$3:$L$2000,Regles_regimes!$A$3:$A$2000,C77,Regles_regimes!$B$3:$B$2000,D77,Regles_regimes!$C$3:$C$2000,MAX(1915,MIN(2025,E77)))=1,G77&lt;2009,C77&lt;&gt;"Privé"),MIN(20,L77*4/5),0)</f>
        <v/>
      </c>
      <c r="AC77" s="89">
        <f>SUMIFS(Donnees_regimes!$M$3:$M$1118,Donnees_regimes!$A$3:$A$1118,C77,Donnees_regimes!$B$3:$B$1118,M77)</f>
        <v/>
      </c>
      <c r="AD77" s="14">
        <f>SUMIFS(Donnees_annuelles!$Y$3:$Y$188,Donnees_annuelles!$A$3:$A$188,M77)*SUMIFS(Donnees_generations!$I$3:$I$113,Donnees_generations!$A$3:$A$113,MAX(1915,MIN(2025,E77)))/H77</f>
        <v/>
      </c>
      <c r="AE77" s="14">
        <f>IF(C77="Privé",SUMIFS(Donnees_annuelles!$Y$3:$Y$188,Donnees_annuelles!$A$3:$A$188,M77)*MIN(L77,SUMIFS(Donnees_generations!$I$3:$I$113,Donnees_generations!$A$3:$A$113,MAX(1915,MIN(2025,E77))))/L77,AD77*AC77*MIN(IF(AB77&gt;0,0.8/0.75,1),(L77*4+AB77)/AA77))</f>
        <v/>
      </c>
      <c r="AF77" s="14">
        <f>AE77/12</f>
        <v/>
      </c>
      <c r="AG77" s="77">
        <f>MIN(68,MAX(56,2*INT(K77/2)))</f>
        <v/>
      </c>
      <c r="AH77" s="75">
        <f>(CHOOSE((AG77-56)/2+1,SUMIFS(Donnees_generations!$U$3:$U$113,Donnees_generations!$A$3:$A$113,MAX(1915,MIN(2025,E77))),SUMIFS(Donnees_generations!$V$3:$V$113,Donnees_generations!$A$3:$A$113,MAX(1915,MIN(2025,E77))),SUMIFS(Donnees_generations!$W$3:$W$113,Donnees_generations!$A$3:$A$113,MAX(1915,MIN(2025,E77))),SUMIFS(Donnees_generations!$X$3:$X$113,Donnees_generations!$A$3:$A$113,MAX(1915,MIN(2025,E77))),SUMIFS(Donnees_generations!$Y$3:$Y$113,Donnees_generations!$A$3:$A$113,MAX(1915,MIN(2025,E77))),SUMIFS(Donnees_generations!$Z$3:$Z$113,Donnees_generations!$A$3:$A$113,MAX(1915,MIN(2025,E77))),SUMIFS(Donnees_generations!$AA$3:$AA$113,Donnees_generations!$A$3:$A$113,MAX(1915,MIN(2025,E77))),SUMIFS(Donnees_generations!$AB$3:$AB$113,Donnees_generations!$A$3:$A$113,MAX(1915,MIN(2025,E77))))+CHOOSE((AG77-56)/2+1,SUMIFS(Donnees_generations!$AC$3:$AC$113,Donnees_generations!$A$3:$A$113,MAX(1915,MIN(2025,E77))),SUMIFS(Donnees_generations!$AD$3:$AD$113,Donnees_generations!$A$3:$A$113,MAX(1915,MIN(2025,E77))),SUMIFS(Donnees_generations!$AE$3:$AE$113,Donnees_generations!$A$3:$A$113,MAX(1915,MIN(2025,E77))),SUMIFS(Donnees_generations!$AF$3:$AF$113,Donnees_generations!$A$3:$A$113,MAX(1915,MIN(2025,E77))),SUMIFS(Donnees_generations!$AG$3:$AG$113,Donnees_generations!$A$3:$A$113,MAX(1915,MIN(2025,E77))),SUMIFS(Donnees_generations!$AH$3:$AH$113,Donnees_generations!$A$3:$A$113,MAX(1915,MIN(2025,E77))),SUMIFS(Donnees_generations!$AI$3:$AI$113,Donnees_generations!$A$3:$A$113,MAX(1915,MIN(2025,E77))),SUMIFS(Donnees_generations!$AJ$3:$AJ$113,Donnees_generations!$A$3:$A$113,MAX(1915,MIN(2025,E77)))))/2</f>
        <v/>
      </c>
      <c r="AI77" s="75">
        <f>(CHOOSE(((AG77+2)-56)/2+1,SUMIFS(Donnees_generations!$U$3:$U$113,Donnees_generations!$A$3:$A$113,MAX(1915,MIN(2025,E77))),SUMIFS(Donnees_generations!$V$3:$V$113,Donnees_generations!$A$3:$A$113,MAX(1915,MIN(2025,E77))),SUMIFS(Donnees_generations!$W$3:$W$113,Donnees_generations!$A$3:$A$113,MAX(1915,MIN(2025,E77))),SUMIFS(Donnees_generations!$X$3:$X$113,Donnees_generations!$A$3:$A$113,MAX(1915,MIN(2025,E77))),SUMIFS(Donnees_generations!$Y$3:$Y$113,Donnees_generations!$A$3:$A$113,MAX(1915,MIN(2025,E77))),SUMIFS(Donnees_generations!$Z$3:$Z$113,Donnees_generations!$A$3:$A$113,MAX(1915,MIN(2025,E77))),SUMIFS(Donnees_generations!$AA$3:$AA$113,Donnees_generations!$A$3:$A$113,MAX(1915,MIN(2025,E77))),SUMIFS(Donnees_generations!$AB$3:$AB$113,Donnees_generations!$A$3:$A$113,MAX(1915,MIN(2025,E77))))+CHOOSE(((AG77+2)-56)/2+1,SUMIFS(Donnees_generations!$AC$3:$AC$113,Donnees_generations!$A$3:$A$113,MAX(1915,MIN(2025,E77))),SUMIFS(Donnees_generations!$AD$3:$AD$113,Donnees_generations!$A$3:$A$113,MAX(1915,MIN(2025,E77))),SUMIFS(Donnees_generations!$AE$3:$AE$113,Donnees_generations!$A$3:$A$113,MAX(1915,MIN(2025,E77))),SUMIFS(Donnees_generations!$AF$3:$AF$113,Donnees_generations!$A$3:$A$113,MAX(1915,MIN(2025,E77))),SUMIFS(Donnees_generations!$AG$3:$AG$113,Donnees_generations!$A$3:$A$113,MAX(1915,MIN(2025,E77))),SUMIFS(Donnees_generations!$AH$3:$AH$113,Donnees_generations!$A$3:$A$113,MAX(1915,MIN(2025,E77))),SUMIFS(Donnees_generations!$AI$3:$AI$113,Donnees_generations!$A$3:$A$113,MAX(1915,MIN(2025,E77))),SUMIFS(Donnees_generations!$AJ$3:$AJ$113,Donnees_generations!$A$3:$A$113,MAX(1915,MIN(2025,E77)))))/2</f>
        <v/>
      </c>
      <c r="AJ77" s="8">
        <f>MAX(0,AH77+(AI77-AH77)*(K77-AG77)/2)</f>
        <v/>
      </c>
      <c r="AK77" s="8">
        <f>K77+AJ77</f>
        <v/>
      </c>
      <c r="AL77" s="14">
        <f>AE77*AJ77</f>
        <v/>
      </c>
      <c r="AM77" s="17">
        <f>V77/AL77</f>
        <v/>
      </c>
      <c r="AN77" s="17">
        <f>Z77/AL77</f>
        <v/>
      </c>
      <c r="AO77" s="33">
        <f>IF(V77+Z77=0,0,Z77/(V77+Z77))</f>
        <v/>
      </c>
      <c r="AP77" s="14">
        <f>AL77/V77*100</f>
        <v/>
      </c>
      <c r="AQ77" s="8">
        <f>P77/AL77*1000</f>
        <v/>
      </c>
      <c r="AR77" s="77">
        <f>MAX(N77,M77-1)</f>
        <v/>
      </c>
      <c r="AS77" s="14">
        <f>SUMIFS(Donnees_regimes!$R$3:$R$1118,Donnees_regimes!$A$3:$A$1118,C77,Donnees_regimes!$B$3:$B$1118,"&gt;="&amp;G77,Donnees_regimes!$B$3:$B$1118,"&lt;="&amp;N77)*L77/ROUNDUP(L77,0)*SUMIFS(Donnees_annuelles!$AG$3:$AG$188,Donnees_annuelles!$A$3:$A$188,AR77)*SUMIFS(Donnees_annuelles!$AA$3:$AA$188,Donnees_annuelles!$A$3:$A$188,AR77)</f>
        <v/>
      </c>
      <c r="AT77" s="36">
        <f>AS77/V77</f>
        <v/>
      </c>
      <c r="AU77" s="14">
        <f>AL77</f>
        <v/>
      </c>
      <c r="AV77" s="39">
        <f>AS77-AL77</f>
        <v/>
      </c>
      <c r="AW77" s="9">
        <f>AS77/AL77-1</f>
        <v/>
      </c>
      <c r="AX77" s="14">
        <f>AS77/AJ77/12</f>
        <v/>
      </c>
      <c r="AY77" s="14">
        <f>AF77</f>
        <v/>
      </c>
      <c r="AZ77" s="39">
        <f>AX77-AF77</f>
        <v/>
      </c>
      <c r="BA77" s="14">
        <f>SUMIFS(Donnees_regimes!$S$3:$S$1118,Donnees_regimes!$A$3:$A$1118,C77,Donnees_regimes!$B$3:$B$1118,"&gt;="&amp;G77,Donnees_regimes!$B$3:$B$1118,"&lt;="&amp;N77)*L77/ROUNDUP(L77,0)*SUMIFS(Donnees_annuelles!$AH$3:$AH$188,Donnees_annuelles!$A$3:$A$188,AR77)*SUMIFS(Donnees_annuelles!$AA$3:$AA$188,Donnees_annuelles!$A$3:$A$188,AR77)</f>
        <v/>
      </c>
      <c r="BB77" s="39">
        <f>BA77-AL77</f>
        <v/>
      </c>
      <c r="BC77" s="7">
        <f>IF(M77+AJ77&gt;2026,IF(G77&gt;2026,"entièrement projeté","en partie projeté"),"observé")</f>
        <v/>
      </c>
    </row>
    <row r="78">
      <c r="A78" s="7" t="inlineStr">
        <is>
          <t>Génération Z</t>
        </is>
      </c>
      <c r="B78" s="84" t="inlineStr">
        <is>
          <t>Privé</t>
        </is>
      </c>
      <c r="C78" s="7">
        <f>IF(G78&gt;=SUMIFS(Regimes!$C$5:$C$10,Regimes!$A$5:$A$10,B78),"Privé",B78)</f>
        <v/>
      </c>
      <c r="D78" s="7">
        <f>INDEX(Regimes!$D$5:$D$10,MATCH(C78,Regimes!$A$5:$A$10,0))</f>
        <v/>
      </c>
      <c r="E78" s="88" t="n">
        <v>2003</v>
      </c>
      <c r="F78" s="8">
        <f>Donnees_generations!C91</f>
        <v/>
      </c>
      <c r="G78" s="77">
        <f>Donnees_generations!D91</f>
        <v/>
      </c>
      <c r="H78" s="8">
        <f>SUMIFS(Donnees_generations!$S$3:$S$113,Donnees_generations!$A$3:$A$113,MAX(1915,MIN(2025,E78)))</f>
        <v/>
      </c>
      <c r="I78" s="8">
        <f>SUMIFS(Donnees_generations!$T$3:$T$113,Donnees_generations!$A$3:$A$113,MAX(1915,MIN(2025,E78)))</f>
        <v/>
      </c>
      <c r="J78" s="8">
        <f>IF(G78&gt;=2000,MAX(I78,Parametres!$B$3),I78)</f>
        <v/>
      </c>
      <c r="K78" s="8">
        <f>IF(C78="Privé",J78,SUMIFS(Regles_regimes!$J$3:$J$2000,Regles_regimes!$A$3:$A$2000,C78,Regles_regimes!$B$3:$B$2000,D78,Regles_regimes!$C$3:$C$2000,MAX(1915,MIN(2025,E78))))</f>
        <v/>
      </c>
      <c r="L78" s="8">
        <f>IF(C78="Privé",H78,(K78-F78)*H78/(J78-F78))</f>
        <v/>
      </c>
      <c r="M78" s="77">
        <f>INT(E78+K78)</f>
        <v/>
      </c>
      <c r="N78" s="77">
        <f>G78+ROUNDUP(L78,0)-1</f>
        <v/>
      </c>
      <c r="O78" s="89">
        <f>SUMIFS(Regles_regimes!$K$3:$K$2000,Regles_regimes!$A$3:$A$2000,C78,Regles_regimes!$B$3:$B$2000,D78,Regles_regimes!$C$3:$C$2000,MAX(1915,MIN(2025,E78)))</f>
        <v/>
      </c>
      <c r="P78" s="13">
        <f>SUMIFS(Donnees_annuelles!$W$3:$W$188,Donnees_annuelles!$A$3:$A$188,"&gt;="&amp;G78,Donnees_annuelles!$A$3:$A$188,"&lt;="&amp;N78)*L78/ROUNDUP(L78,0)*O78</f>
        <v/>
      </c>
      <c r="Q78" s="13">
        <f>SUMIFS(Donnees_annuelles!$V$3:$V$188,Donnees_annuelles!$A$3:$A$188,"&gt;="&amp;G78,Donnees_annuelles!$A$3:$A$188,"&lt;="&amp;N78)*L78/ROUNDUP(L78,0)</f>
        <v/>
      </c>
      <c r="R78" s="13">
        <f>P78/L78</f>
        <v/>
      </c>
      <c r="S78" s="14">
        <f>SUMIFS(Donnees_annuelles!$D$3:$D$188,Donnees_annuelles!$A$3:$A$188,"&gt;="&amp;G78,Donnees_annuelles!$A$3:$A$188,"&lt;="&amp;N78)*L78/ROUNDUP(L78,0)</f>
        <v/>
      </c>
      <c r="T78" s="14">
        <f>SUMIFS(Donnees_regimes!$N$3:$N$1118,Donnees_regimes!$A$3:$A$1118,C78,Donnees_regimes!$B$3:$B$1118,"&gt;="&amp;G78,Donnees_regimes!$B$3:$B$1118,"&lt;="&amp;N78)*L78/ROUNDUP(L78,0)</f>
        <v/>
      </c>
      <c r="U78" s="14">
        <f>SUMIFS(Donnees_regimes!$O$3:$O$1118,Donnees_regimes!$A$3:$A$1118,C78,Donnees_regimes!$B$3:$B$1118,"&gt;="&amp;G78,Donnees_regimes!$B$3:$B$1118,"&lt;="&amp;N78)*L78/ROUNDUP(L78,0)</f>
        <v/>
      </c>
      <c r="V78" s="14">
        <f>T78+U78</f>
        <v/>
      </c>
      <c r="W78" s="33">
        <f>V78/S78</f>
        <v/>
      </c>
      <c r="X78" s="14">
        <f>S78+U78</f>
        <v/>
      </c>
      <c r="Y78" s="17">
        <f>V78/P78</f>
        <v/>
      </c>
      <c r="Z78" s="14">
        <f>SUMIFS(Donnees_regimes!$Q$3:$Q$1118,Donnees_regimes!$A$3:$A$1118,C78,Donnees_regimes!$B$3:$B$1118,"&gt;="&amp;G78,Donnees_regimes!$B$3:$B$1118,"&lt;="&amp;N78)*L78/ROUNDUP(L78,0)</f>
        <v/>
      </c>
      <c r="AA78" s="77">
        <f>SUMIFS(Regles_regimes!$F$3:$F$2000,Regles_regimes!$A$3:$A$2000,C78,Regles_regimes!$B$3:$B$2000,D78,Regles_regimes!$C$3:$C$2000,MAX(1915,MIN(2025,E78)))</f>
        <v/>
      </c>
      <c r="AB78" s="77">
        <f>IF(AND(SUMIFS(Regles_regimes!$L$3:$L$2000,Regles_regimes!$A$3:$A$2000,C78,Regles_regimes!$B$3:$B$2000,D78,Regles_regimes!$C$3:$C$2000,MAX(1915,MIN(2025,E78)))=1,G78&lt;2009,C78&lt;&gt;"Privé"),MIN(20,L78*4/5),0)</f>
        <v/>
      </c>
      <c r="AC78" s="89">
        <f>SUMIFS(Donnees_regimes!$M$3:$M$1118,Donnees_regimes!$A$3:$A$1118,C78,Donnees_regimes!$B$3:$B$1118,M78)</f>
        <v/>
      </c>
      <c r="AD78" s="14">
        <f>SUMIFS(Donnees_annuelles!$Y$3:$Y$188,Donnees_annuelles!$A$3:$A$188,M78)*SUMIFS(Donnees_generations!$I$3:$I$113,Donnees_generations!$A$3:$A$113,MAX(1915,MIN(2025,E78)))/H78</f>
        <v/>
      </c>
      <c r="AE78" s="14">
        <f>IF(C78="Privé",SUMIFS(Donnees_annuelles!$Y$3:$Y$188,Donnees_annuelles!$A$3:$A$188,M78)*MIN(L78,SUMIFS(Donnees_generations!$I$3:$I$113,Donnees_generations!$A$3:$A$113,MAX(1915,MIN(2025,E78))))/L78,AD78*AC78*MIN(IF(AB78&gt;0,0.8/0.75,1),(L78*4+AB78)/AA78))</f>
        <v/>
      </c>
      <c r="AF78" s="14">
        <f>AE78/12</f>
        <v/>
      </c>
      <c r="AG78" s="77">
        <f>MIN(68,MAX(56,2*INT(K78/2)))</f>
        <v/>
      </c>
      <c r="AH78" s="75">
        <f>(CHOOSE((AG78-56)/2+1,SUMIFS(Donnees_generations!$U$3:$U$113,Donnees_generations!$A$3:$A$113,MAX(1915,MIN(2025,E78))),SUMIFS(Donnees_generations!$V$3:$V$113,Donnees_generations!$A$3:$A$113,MAX(1915,MIN(2025,E78))),SUMIFS(Donnees_generations!$W$3:$W$113,Donnees_generations!$A$3:$A$113,MAX(1915,MIN(2025,E78))),SUMIFS(Donnees_generations!$X$3:$X$113,Donnees_generations!$A$3:$A$113,MAX(1915,MIN(2025,E78))),SUMIFS(Donnees_generations!$Y$3:$Y$113,Donnees_generations!$A$3:$A$113,MAX(1915,MIN(2025,E78))),SUMIFS(Donnees_generations!$Z$3:$Z$113,Donnees_generations!$A$3:$A$113,MAX(1915,MIN(2025,E78))),SUMIFS(Donnees_generations!$AA$3:$AA$113,Donnees_generations!$A$3:$A$113,MAX(1915,MIN(2025,E78))),SUMIFS(Donnees_generations!$AB$3:$AB$113,Donnees_generations!$A$3:$A$113,MAX(1915,MIN(2025,E78))))+CHOOSE((AG78-56)/2+1,SUMIFS(Donnees_generations!$AC$3:$AC$113,Donnees_generations!$A$3:$A$113,MAX(1915,MIN(2025,E78))),SUMIFS(Donnees_generations!$AD$3:$AD$113,Donnees_generations!$A$3:$A$113,MAX(1915,MIN(2025,E78))),SUMIFS(Donnees_generations!$AE$3:$AE$113,Donnees_generations!$A$3:$A$113,MAX(1915,MIN(2025,E78))),SUMIFS(Donnees_generations!$AF$3:$AF$113,Donnees_generations!$A$3:$A$113,MAX(1915,MIN(2025,E78))),SUMIFS(Donnees_generations!$AG$3:$AG$113,Donnees_generations!$A$3:$A$113,MAX(1915,MIN(2025,E78))),SUMIFS(Donnees_generations!$AH$3:$AH$113,Donnees_generations!$A$3:$A$113,MAX(1915,MIN(2025,E78))),SUMIFS(Donnees_generations!$AI$3:$AI$113,Donnees_generations!$A$3:$A$113,MAX(1915,MIN(2025,E78))),SUMIFS(Donnees_generations!$AJ$3:$AJ$113,Donnees_generations!$A$3:$A$113,MAX(1915,MIN(2025,E78)))))/2</f>
        <v/>
      </c>
      <c r="AI78" s="75">
        <f>(CHOOSE(((AG78+2)-56)/2+1,SUMIFS(Donnees_generations!$U$3:$U$113,Donnees_generations!$A$3:$A$113,MAX(1915,MIN(2025,E78))),SUMIFS(Donnees_generations!$V$3:$V$113,Donnees_generations!$A$3:$A$113,MAX(1915,MIN(2025,E78))),SUMIFS(Donnees_generations!$W$3:$W$113,Donnees_generations!$A$3:$A$113,MAX(1915,MIN(2025,E78))),SUMIFS(Donnees_generations!$X$3:$X$113,Donnees_generations!$A$3:$A$113,MAX(1915,MIN(2025,E78))),SUMIFS(Donnees_generations!$Y$3:$Y$113,Donnees_generations!$A$3:$A$113,MAX(1915,MIN(2025,E78))),SUMIFS(Donnees_generations!$Z$3:$Z$113,Donnees_generations!$A$3:$A$113,MAX(1915,MIN(2025,E78))),SUMIFS(Donnees_generations!$AA$3:$AA$113,Donnees_generations!$A$3:$A$113,MAX(1915,MIN(2025,E78))),SUMIFS(Donnees_generations!$AB$3:$AB$113,Donnees_generations!$A$3:$A$113,MAX(1915,MIN(2025,E78))))+CHOOSE(((AG78+2)-56)/2+1,SUMIFS(Donnees_generations!$AC$3:$AC$113,Donnees_generations!$A$3:$A$113,MAX(1915,MIN(2025,E78))),SUMIFS(Donnees_generations!$AD$3:$AD$113,Donnees_generations!$A$3:$A$113,MAX(1915,MIN(2025,E78))),SUMIFS(Donnees_generations!$AE$3:$AE$113,Donnees_generations!$A$3:$A$113,MAX(1915,MIN(2025,E78))),SUMIFS(Donnees_generations!$AF$3:$AF$113,Donnees_generations!$A$3:$A$113,MAX(1915,MIN(2025,E78))),SUMIFS(Donnees_generations!$AG$3:$AG$113,Donnees_generations!$A$3:$A$113,MAX(1915,MIN(2025,E78))),SUMIFS(Donnees_generations!$AH$3:$AH$113,Donnees_generations!$A$3:$A$113,MAX(1915,MIN(2025,E78))),SUMIFS(Donnees_generations!$AI$3:$AI$113,Donnees_generations!$A$3:$A$113,MAX(1915,MIN(2025,E78))),SUMIFS(Donnees_generations!$AJ$3:$AJ$113,Donnees_generations!$A$3:$A$113,MAX(1915,MIN(2025,E78)))))/2</f>
        <v/>
      </c>
      <c r="AJ78" s="8">
        <f>MAX(0,AH78+(AI78-AH78)*(K78-AG78)/2)</f>
        <v/>
      </c>
      <c r="AK78" s="8">
        <f>K78+AJ78</f>
        <v/>
      </c>
      <c r="AL78" s="14">
        <f>AE78*AJ78</f>
        <v/>
      </c>
      <c r="AM78" s="17">
        <f>V78/AL78</f>
        <v/>
      </c>
      <c r="AN78" s="17">
        <f>Z78/AL78</f>
        <v/>
      </c>
      <c r="AO78" s="33">
        <f>IF(V78+Z78=0,0,Z78/(V78+Z78))</f>
        <v/>
      </c>
      <c r="AP78" s="14">
        <f>AL78/V78*100</f>
        <v/>
      </c>
      <c r="AQ78" s="8">
        <f>P78/AL78*1000</f>
        <v/>
      </c>
      <c r="AR78" s="77">
        <f>MAX(N78,M78-1)</f>
        <v/>
      </c>
      <c r="AS78" s="14">
        <f>SUMIFS(Donnees_regimes!$R$3:$R$1118,Donnees_regimes!$A$3:$A$1118,C78,Donnees_regimes!$B$3:$B$1118,"&gt;="&amp;G78,Donnees_regimes!$B$3:$B$1118,"&lt;="&amp;N78)*L78/ROUNDUP(L78,0)*SUMIFS(Donnees_annuelles!$AG$3:$AG$188,Donnees_annuelles!$A$3:$A$188,AR78)*SUMIFS(Donnees_annuelles!$AA$3:$AA$188,Donnees_annuelles!$A$3:$A$188,AR78)</f>
        <v/>
      </c>
      <c r="AT78" s="36">
        <f>AS78/V78</f>
        <v/>
      </c>
      <c r="AU78" s="14">
        <f>AL78</f>
        <v/>
      </c>
      <c r="AV78" s="39">
        <f>AS78-AL78</f>
        <v/>
      </c>
      <c r="AW78" s="9">
        <f>AS78/AL78-1</f>
        <v/>
      </c>
      <c r="AX78" s="14">
        <f>AS78/AJ78/12</f>
        <v/>
      </c>
      <c r="AY78" s="14">
        <f>AF78</f>
        <v/>
      </c>
      <c r="AZ78" s="39">
        <f>AX78-AF78</f>
        <v/>
      </c>
      <c r="BA78" s="14">
        <f>SUMIFS(Donnees_regimes!$S$3:$S$1118,Donnees_regimes!$A$3:$A$1118,C78,Donnees_regimes!$B$3:$B$1118,"&gt;="&amp;G78,Donnees_regimes!$B$3:$B$1118,"&lt;="&amp;N78)*L78/ROUNDUP(L78,0)*SUMIFS(Donnees_annuelles!$AH$3:$AH$188,Donnees_annuelles!$A$3:$A$188,AR78)*SUMIFS(Donnees_annuelles!$AA$3:$AA$188,Donnees_annuelles!$A$3:$A$188,AR78)</f>
        <v/>
      </c>
      <c r="BB78" s="39">
        <f>BA78-AL78</f>
        <v/>
      </c>
      <c r="BC78" s="7">
        <f>IF(M78+AJ78&gt;2026,IF(G78&gt;2026,"entièrement projeté","en partie projeté"),"observé")</f>
        <v/>
      </c>
    </row>
    <row r="79">
      <c r="A79" s="7" t="inlineStr">
        <is>
          <t>Génération Z</t>
        </is>
      </c>
      <c r="B79" s="84" t="inlineStr">
        <is>
          <t>Privé</t>
        </is>
      </c>
      <c r="C79" s="7">
        <f>IF(G79&gt;=SUMIFS(Regimes!$C$5:$C$10,Regimes!$A$5:$A$10,B79),"Privé",B79)</f>
        <v/>
      </c>
      <c r="D79" s="7">
        <f>INDEX(Regimes!$D$5:$D$10,MATCH(C79,Regimes!$A$5:$A$10,0))</f>
        <v/>
      </c>
      <c r="E79" s="88" t="n">
        <v>2004</v>
      </c>
      <c r="F79" s="8">
        <f>Donnees_generations!C92</f>
        <v/>
      </c>
      <c r="G79" s="77">
        <f>Donnees_generations!D92</f>
        <v/>
      </c>
      <c r="H79" s="8">
        <f>SUMIFS(Donnees_generations!$S$3:$S$113,Donnees_generations!$A$3:$A$113,MAX(1915,MIN(2025,E79)))</f>
        <v/>
      </c>
      <c r="I79" s="8">
        <f>SUMIFS(Donnees_generations!$T$3:$T$113,Donnees_generations!$A$3:$A$113,MAX(1915,MIN(2025,E79)))</f>
        <v/>
      </c>
      <c r="J79" s="8">
        <f>IF(G79&gt;=2000,MAX(I79,Parametres!$B$3),I79)</f>
        <v/>
      </c>
      <c r="K79" s="8">
        <f>IF(C79="Privé",J79,SUMIFS(Regles_regimes!$J$3:$J$2000,Regles_regimes!$A$3:$A$2000,C79,Regles_regimes!$B$3:$B$2000,D79,Regles_regimes!$C$3:$C$2000,MAX(1915,MIN(2025,E79))))</f>
        <v/>
      </c>
      <c r="L79" s="8">
        <f>IF(C79="Privé",H79,(K79-F79)*H79/(J79-F79))</f>
        <v/>
      </c>
      <c r="M79" s="77">
        <f>INT(E79+K79)</f>
        <v/>
      </c>
      <c r="N79" s="77">
        <f>G79+ROUNDUP(L79,0)-1</f>
        <v/>
      </c>
      <c r="O79" s="89">
        <f>SUMIFS(Regles_regimes!$K$3:$K$2000,Regles_regimes!$A$3:$A$2000,C79,Regles_regimes!$B$3:$B$2000,D79,Regles_regimes!$C$3:$C$2000,MAX(1915,MIN(2025,E79)))</f>
        <v/>
      </c>
      <c r="P79" s="13">
        <f>SUMIFS(Donnees_annuelles!$W$3:$W$188,Donnees_annuelles!$A$3:$A$188,"&gt;="&amp;G79,Donnees_annuelles!$A$3:$A$188,"&lt;="&amp;N79)*L79/ROUNDUP(L79,0)*O79</f>
        <v/>
      </c>
      <c r="Q79" s="13">
        <f>SUMIFS(Donnees_annuelles!$V$3:$V$188,Donnees_annuelles!$A$3:$A$188,"&gt;="&amp;G79,Donnees_annuelles!$A$3:$A$188,"&lt;="&amp;N79)*L79/ROUNDUP(L79,0)</f>
        <v/>
      </c>
      <c r="R79" s="13">
        <f>P79/L79</f>
        <v/>
      </c>
      <c r="S79" s="14">
        <f>SUMIFS(Donnees_annuelles!$D$3:$D$188,Donnees_annuelles!$A$3:$A$188,"&gt;="&amp;G79,Donnees_annuelles!$A$3:$A$188,"&lt;="&amp;N79)*L79/ROUNDUP(L79,0)</f>
        <v/>
      </c>
      <c r="T79" s="14">
        <f>SUMIFS(Donnees_regimes!$N$3:$N$1118,Donnees_regimes!$A$3:$A$1118,C79,Donnees_regimes!$B$3:$B$1118,"&gt;="&amp;G79,Donnees_regimes!$B$3:$B$1118,"&lt;="&amp;N79)*L79/ROUNDUP(L79,0)</f>
        <v/>
      </c>
      <c r="U79" s="14">
        <f>SUMIFS(Donnees_regimes!$O$3:$O$1118,Donnees_regimes!$A$3:$A$1118,C79,Donnees_regimes!$B$3:$B$1118,"&gt;="&amp;G79,Donnees_regimes!$B$3:$B$1118,"&lt;="&amp;N79)*L79/ROUNDUP(L79,0)</f>
        <v/>
      </c>
      <c r="V79" s="14">
        <f>T79+U79</f>
        <v/>
      </c>
      <c r="W79" s="33">
        <f>V79/S79</f>
        <v/>
      </c>
      <c r="X79" s="14">
        <f>S79+U79</f>
        <v/>
      </c>
      <c r="Y79" s="17">
        <f>V79/P79</f>
        <v/>
      </c>
      <c r="Z79" s="14">
        <f>SUMIFS(Donnees_regimes!$Q$3:$Q$1118,Donnees_regimes!$A$3:$A$1118,C79,Donnees_regimes!$B$3:$B$1118,"&gt;="&amp;G79,Donnees_regimes!$B$3:$B$1118,"&lt;="&amp;N79)*L79/ROUNDUP(L79,0)</f>
        <v/>
      </c>
      <c r="AA79" s="77">
        <f>SUMIFS(Regles_regimes!$F$3:$F$2000,Regles_regimes!$A$3:$A$2000,C79,Regles_regimes!$B$3:$B$2000,D79,Regles_regimes!$C$3:$C$2000,MAX(1915,MIN(2025,E79)))</f>
        <v/>
      </c>
      <c r="AB79" s="77">
        <f>IF(AND(SUMIFS(Regles_regimes!$L$3:$L$2000,Regles_regimes!$A$3:$A$2000,C79,Regles_regimes!$B$3:$B$2000,D79,Regles_regimes!$C$3:$C$2000,MAX(1915,MIN(2025,E79)))=1,G79&lt;2009,C79&lt;&gt;"Privé"),MIN(20,L79*4/5),0)</f>
        <v/>
      </c>
      <c r="AC79" s="89">
        <f>SUMIFS(Donnees_regimes!$M$3:$M$1118,Donnees_regimes!$A$3:$A$1118,C79,Donnees_regimes!$B$3:$B$1118,M79)</f>
        <v/>
      </c>
      <c r="AD79" s="14">
        <f>SUMIFS(Donnees_annuelles!$Y$3:$Y$188,Donnees_annuelles!$A$3:$A$188,M79)*SUMIFS(Donnees_generations!$I$3:$I$113,Donnees_generations!$A$3:$A$113,MAX(1915,MIN(2025,E79)))/H79</f>
        <v/>
      </c>
      <c r="AE79" s="14">
        <f>IF(C79="Privé",SUMIFS(Donnees_annuelles!$Y$3:$Y$188,Donnees_annuelles!$A$3:$A$188,M79)*MIN(L79,SUMIFS(Donnees_generations!$I$3:$I$113,Donnees_generations!$A$3:$A$113,MAX(1915,MIN(2025,E79))))/L79,AD79*AC79*MIN(IF(AB79&gt;0,0.8/0.75,1),(L79*4+AB79)/AA79))</f>
        <v/>
      </c>
      <c r="AF79" s="14">
        <f>AE79/12</f>
        <v/>
      </c>
      <c r="AG79" s="77">
        <f>MIN(68,MAX(56,2*INT(K79/2)))</f>
        <v/>
      </c>
      <c r="AH79" s="75">
        <f>(CHOOSE((AG79-56)/2+1,SUMIFS(Donnees_generations!$U$3:$U$113,Donnees_generations!$A$3:$A$113,MAX(1915,MIN(2025,E79))),SUMIFS(Donnees_generations!$V$3:$V$113,Donnees_generations!$A$3:$A$113,MAX(1915,MIN(2025,E79))),SUMIFS(Donnees_generations!$W$3:$W$113,Donnees_generations!$A$3:$A$113,MAX(1915,MIN(2025,E79))),SUMIFS(Donnees_generations!$X$3:$X$113,Donnees_generations!$A$3:$A$113,MAX(1915,MIN(2025,E79))),SUMIFS(Donnees_generations!$Y$3:$Y$113,Donnees_generations!$A$3:$A$113,MAX(1915,MIN(2025,E79))),SUMIFS(Donnees_generations!$Z$3:$Z$113,Donnees_generations!$A$3:$A$113,MAX(1915,MIN(2025,E79))),SUMIFS(Donnees_generations!$AA$3:$AA$113,Donnees_generations!$A$3:$A$113,MAX(1915,MIN(2025,E79))),SUMIFS(Donnees_generations!$AB$3:$AB$113,Donnees_generations!$A$3:$A$113,MAX(1915,MIN(2025,E79))))+CHOOSE((AG79-56)/2+1,SUMIFS(Donnees_generations!$AC$3:$AC$113,Donnees_generations!$A$3:$A$113,MAX(1915,MIN(2025,E79))),SUMIFS(Donnees_generations!$AD$3:$AD$113,Donnees_generations!$A$3:$A$113,MAX(1915,MIN(2025,E79))),SUMIFS(Donnees_generations!$AE$3:$AE$113,Donnees_generations!$A$3:$A$113,MAX(1915,MIN(2025,E79))),SUMIFS(Donnees_generations!$AF$3:$AF$113,Donnees_generations!$A$3:$A$113,MAX(1915,MIN(2025,E79))),SUMIFS(Donnees_generations!$AG$3:$AG$113,Donnees_generations!$A$3:$A$113,MAX(1915,MIN(2025,E79))),SUMIFS(Donnees_generations!$AH$3:$AH$113,Donnees_generations!$A$3:$A$113,MAX(1915,MIN(2025,E79))),SUMIFS(Donnees_generations!$AI$3:$AI$113,Donnees_generations!$A$3:$A$113,MAX(1915,MIN(2025,E79))),SUMIFS(Donnees_generations!$AJ$3:$AJ$113,Donnees_generations!$A$3:$A$113,MAX(1915,MIN(2025,E79)))))/2</f>
        <v/>
      </c>
      <c r="AI79" s="75">
        <f>(CHOOSE(((AG79+2)-56)/2+1,SUMIFS(Donnees_generations!$U$3:$U$113,Donnees_generations!$A$3:$A$113,MAX(1915,MIN(2025,E79))),SUMIFS(Donnees_generations!$V$3:$V$113,Donnees_generations!$A$3:$A$113,MAX(1915,MIN(2025,E79))),SUMIFS(Donnees_generations!$W$3:$W$113,Donnees_generations!$A$3:$A$113,MAX(1915,MIN(2025,E79))),SUMIFS(Donnees_generations!$X$3:$X$113,Donnees_generations!$A$3:$A$113,MAX(1915,MIN(2025,E79))),SUMIFS(Donnees_generations!$Y$3:$Y$113,Donnees_generations!$A$3:$A$113,MAX(1915,MIN(2025,E79))),SUMIFS(Donnees_generations!$Z$3:$Z$113,Donnees_generations!$A$3:$A$113,MAX(1915,MIN(2025,E79))),SUMIFS(Donnees_generations!$AA$3:$AA$113,Donnees_generations!$A$3:$A$113,MAX(1915,MIN(2025,E79))),SUMIFS(Donnees_generations!$AB$3:$AB$113,Donnees_generations!$A$3:$A$113,MAX(1915,MIN(2025,E79))))+CHOOSE(((AG79+2)-56)/2+1,SUMIFS(Donnees_generations!$AC$3:$AC$113,Donnees_generations!$A$3:$A$113,MAX(1915,MIN(2025,E79))),SUMIFS(Donnees_generations!$AD$3:$AD$113,Donnees_generations!$A$3:$A$113,MAX(1915,MIN(2025,E79))),SUMIFS(Donnees_generations!$AE$3:$AE$113,Donnees_generations!$A$3:$A$113,MAX(1915,MIN(2025,E79))),SUMIFS(Donnees_generations!$AF$3:$AF$113,Donnees_generations!$A$3:$A$113,MAX(1915,MIN(2025,E79))),SUMIFS(Donnees_generations!$AG$3:$AG$113,Donnees_generations!$A$3:$A$113,MAX(1915,MIN(2025,E79))),SUMIFS(Donnees_generations!$AH$3:$AH$113,Donnees_generations!$A$3:$A$113,MAX(1915,MIN(2025,E79))),SUMIFS(Donnees_generations!$AI$3:$AI$113,Donnees_generations!$A$3:$A$113,MAX(1915,MIN(2025,E79))),SUMIFS(Donnees_generations!$AJ$3:$AJ$113,Donnees_generations!$A$3:$A$113,MAX(1915,MIN(2025,E79)))))/2</f>
        <v/>
      </c>
      <c r="AJ79" s="8">
        <f>MAX(0,AH79+(AI79-AH79)*(K79-AG79)/2)</f>
        <v/>
      </c>
      <c r="AK79" s="8">
        <f>K79+AJ79</f>
        <v/>
      </c>
      <c r="AL79" s="14">
        <f>AE79*AJ79</f>
        <v/>
      </c>
      <c r="AM79" s="17">
        <f>V79/AL79</f>
        <v/>
      </c>
      <c r="AN79" s="17">
        <f>Z79/AL79</f>
        <v/>
      </c>
      <c r="AO79" s="33">
        <f>IF(V79+Z79=0,0,Z79/(V79+Z79))</f>
        <v/>
      </c>
      <c r="AP79" s="14">
        <f>AL79/V79*100</f>
        <v/>
      </c>
      <c r="AQ79" s="8">
        <f>P79/AL79*1000</f>
        <v/>
      </c>
      <c r="AR79" s="77">
        <f>MAX(N79,M79-1)</f>
        <v/>
      </c>
      <c r="AS79" s="14">
        <f>SUMIFS(Donnees_regimes!$R$3:$R$1118,Donnees_regimes!$A$3:$A$1118,C79,Donnees_regimes!$B$3:$B$1118,"&gt;="&amp;G79,Donnees_regimes!$B$3:$B$1118,"&lt;="&amp;N79)*L79/ROUNDUP(L79,0)*SUMIFS(Donnees_annuelles!$AG$3:$AG$188,Donnees_annuelles!$A$3:$A$188,AR79)*SUMIFS(Donnees_annuelles!$AA$3:$AA$188,Donnees_annuelles!$A$3:$A$188,AR79)</f>
        <v/>
      </c>
      <c r="AT79" s="36">
        <f>AS79/V79</f>
        <v/>
      </c>
      <c r="AU79" s="14">
        <f>AL79</f>
        <v/>
      </c>
      <c r="AV79" s="39">
        <f>AS79-AL79</f>
        <v/>
      </c>
      <c r="AW79" s="9">
        <f>AS79/AL79-1</f>
        <v/>
      </c>
      <c r="AX79" s="14">
        <f>AS79/AJ79/12</f>
        <v/>
      </c>
      <c r="AY79" s="14">
        <f>AF79</f>
        <v/>
      </c>
      <c r="AZ79" s="39">
        <f>AX79-AF79</f>
        <v/>
      </c>
      <c r="BA79" s="14">
        <f>SUMIFS(Donnees_regimes!$S$3:$S$1118,Donnees_regimes!$A$3:$A$1118,C79,Donnees_regimes!$B$3:$B$1118,"&gt;="&amp;G79,Donnees_regimes!$B$3:$B$1118,"&lt;="&amp;N79)*L79/ROUNDUP(L79,0)*SUMIFS(Donnees_annuelles!$AH$3:$AH$188,Donnees_annuelles!$A$3:$A$188,AR79)*SUMIFS(Donnees_annuelles!$AA$3:$AA$188,Donnees_annuelles!$A$3:$A$188,AR79)</f>
        <v/>
      </c>
      <c r="BB79" s="39">
        <f>BA79-AL79</f>
        <v/>
      </c>
      <c r="BC79" s="7">
        <f>IF(M79+AJ79&gt;2026,IF(G79&gt;2026,"entièrement projeté","en partie projeté"),"observé")</f>
        <v/>
      </c>
    </row>
    <row r="80">
      <c r="A80" s="7" t="inlineStr">
        <is>
          <t>Génération Z</t>
        </is>
      </c>
      <c r="B80" s="84" t="inlineStr">
        <is>
          <t>Privé</t>
        </is>
      </c>
      <c r="C80" s="7">
        <f>IF(G80&gt;=SUMIFS(Regimes!$C$5:$C$10,Regimes!$A$5:$A$10,B80),"Privé",B80)</f>
        <v/>
      </c>
      <c r="D80" s="7">
        <f>INDEX(Regimes!$D$5:$D$10,MATCH(C80,Regimes!$A$5:$A$10,0))</f>
        <v/>
      </c>
      <c r="E80" s="88" t="n">
        <v>2005</v>
      </c>
      <c r="F80" s="8">
        <f>Donnees_generations!C93</f>
        <v/>
      </c>
      <c r="G80" s="77">
        <f>Donnees_generations!D93</f>
        <v/>
      </c>
      <c r="H80" s="8">
        <f>SUMIFS(Donnees_generations!$S$3:$S$113,Donnees_generations!$A$3:$A$113,MAX(1915,MIN(2025,E80)))</f>
        <v/>
      </c>
      <c r="I80" s="8">
        <f>SUMIFS(Donnees_generations!$T$3:$T$113,Donnees_generations!$A$3:$A$113,MAX(1915,MIN(2025,E80)))</f>
        <v/>
      </c>
      <c r="J80" s="8">
        <f>IF(G80&gt;=2000,MAX(I80,Parametres!$B$3),I80)</f>
        <v/>
      </c>
      <c r="K80" s="8">
        <f>IF(C80="Privé",J80,SUMIFS(Regles_regimes!$J$3:$J$2000,Regles_regimes!$A$3:$A$2000,C80,Regles_regimes!$B$3:$B$2000,D80,Regles_regimes!$C$3:$C$2000,MAX(1915,MIN(2025,E80))))</f>
        <v/>
      </c>
      <c r="L80" s="8">
        <f>IF(C80="Privé",H80,(K80-F80)*H80/(J80-F80))</f>
        <v/>
      </c>
      <c r="M80" s="77">
        <f>INT(E80+K80)</f>
        <v/>
      </c>
      <c r="N80" s="77">
        <f>G80+ROUNDUP(L80,0)-1</f>
        <v/>
      </c>
      <c r="O80" s="89">
        <f>SUMIFS(Regles_regimes!$K$3:$K$2000,Regles_regimes!$A$3:$A$2000,C80,Regles_regimes!$B$3:$B$2000,D80,Regles_regimes!$C$3:$C$2000,MAX(1915,MIN(2025,E80)))</f>
        <v/>
      </c>
      <c r="P80" s="13">
        <f>SUMIFS(Donnees_annuelles!$W$3:$W$188,Donnees_annuelles!$A$3:$A$188,"&gt;="&amp;G80,Donnees_annuelles!$A$3:$A$188,"&lt;="&amp;N80)*L80/ROUNDUP(L80,0)*O80</f>
        <v/>
      </c>
      <c r="Q80" s="13">
        <f>SUMIFS(Donnees_annuelles!$V$3:$V$188,Donnees_annuelles!$A$3:$A$188,"&gt;="&amp;G80,Donnees_annuelles!$A$3:$A$188,"&lt;="&amp;N80)*L80/ROUNDUP(L80,0)</f>
        <v/>
      </c>
      <c r="R80" s="13">
        <f>P80/L80</f>
        <v/>
      </c>
      <c r="S80" s="14">
        <f>SUMIFS(Donnees_annuelles!$D$3:$D$188,Donnees_annuelles!$A$3:$A$188,"&gt;="&amp;G80,Donnees_annuelles!$A$3:$A$188,"&lt;="&amp;N80)*L80/ROUNDUP(L80,0)</f>
        <v/>
      </c>
      <c r="T80" s="14">
        <f>SUMIFS(Donnees_regimes!$N$3:$N$1118,Donnees_regimes!$A$3:$A$1118,C80,Donnees_regimes!$B$3:$B$1118,"&gt;="&amp;G80,Donnees_regimes!$B$3:$B$1118,"&lt;="&amp;N80)*L80/ROUNDUP(L80,0)</f>
        <v/>
      </c>
      <c r="U80" s="14">
        <f>SUMIFS(Donnees_regimes!$O$3:$O$1118,Donnees_regimes!$A$3:$A$1118,C80,Donnees_regimes!$B$3:$B$1118,"&gt;="&amp;G80,Donnees_regimes!$B$3:$B$1118,"&lt;="&amp;N80)*L80/ROUNDUP(L80,0)</f>
        <v/>
      </c>
      <c r="V80" s="14">
        <f>T80+U80</f>
        <v/>
      </c>
      <c r="W80" s="33">
        <f>V80/S80</f>
        <v/>
      </c>
      <c r="X80" s="14">
        <f>S80+U80</f>
        <v/>
      </c>
      <c r="Y80" s="17">
        <f>V80/P80</f>
        <v/>
      </c>
      <c r="Z80" s="14">
        <f>SUMIFS(Donnees_regimes!$Q$3:$Q$1118,Donnees_regimes!$A$3:$A$1118,C80,Donnees_regimes!$B$3:$B$1118,"&gt;="&amp;G80,Donnees_regimes!$B$3:$B$1118,"&lt;="&amp;N80)*L80/ROUNDUP(L80,0)</f>
        <v/>
      </c>
      <c r="AA80" s="77">
        <f>SUMIFS(Regles_regimes!$F$3:$F$2000,Regles_regimes!$A$3:$A$2000,C80,Regles_regimes!$B$3:$B$2000,D80,Regles_regimes!$C$3:$C$2000,MAX(1915,MIN(2025,E80)))</f>
        <v/>
      </c>
      <c r="AB80" s="77">
        <f>IF(AND(SUMIFS(Regles_regimes!$L$3:$L$2000,Regles_regimes!$A$3:$A$2000,C80,Regles_regimes!$B$3:$B$2000,D80,Regles_regimes!$C$3:$C$2000,MAX(1915,MIN(2025,E80)))=1,G80&lt;2009,C80&lt;&gt;"Privé"),MIN(20,L80*4/5),0)</f>
        <v/>
      </c>
      <c r="AC80" s="89">
        <f>SUMIFS(Donnees_regimes!$M$3:$M$1118,Donnees_regimes!$A$3:$A$1118,C80,Donnees_regimes!$B$3:$B$1118,M80)</f>
        <v/>
      </c>
      <c r="AD80" s="14">
        <f>SUMIFS(Donnees_annuelles!$Y$3:$Y$188,Donnees_annuelles!$A$3:$A$188,M80)*SUMIFS(Donnees_generations!$I$3:$I$113,Donnees_generations!$A$3:$A$113,MAX(1915,MIN(2025,E80)))/H80</f>
        <v/>
      </c>
      <c r="AE80" s="14">
        <f>IF(C80="Privé",SUMIFS(Donnees_annuelles!$Y$3:$Y$188,Donnees_annuelles!$A$3:$A$188,M80)*MIN(L80,SUMIFS(Donnees_generations!$I$3:$I$113,Donnees_generations!$A$3:$A$113,MAX(1915,MIN(2025,E80))))/L80,AD80*AC80*MIN(IF(AB80&gt;0,0.8/0.75,1),(L80*4+AB80)/AA80))</f>
        <v/>
      </c>
      <c r="AF80" s="14">
        <f>AE80/12</f>
        <v/>
      </c>
      <c r="AG80" s="77">
        <f>MIN(68,MAX(56,2*INT(K80/2)))</f>
        <v/>
      </c>
      <c r="AH80" s="75">
        <f>(CHOOSE((AG80-56)/2+1,SUMIFS(Donnees_generations!$U$3:$U$113,Donnees_generations!$A$3:$A$113,MAX(1915,MIN(2025,E80))),SUMIFS(Donnees_generations!$V$3:$V$113,Donnees_generations!$A$3:$A$113,MAX(1915,MIN(2025,E80))),SUMIFS(Donnees_generations!$W$3:$W$113,Donnees_generations!$A$3:$A$113,MAX(1915,MIN(2025,E80))),SUMIFS(Donnees_generations!$X$3:$X$113,Donnees_generations!$A$3:$A$113,MAX(1915,MIN(2025,E80))),SUMIFS(Donnees_generations!$Y$3:$Y$113,Donnees_generations!$A$3:$A$113,MAX(1915,MIN(2025,E80))),SUMIFS(Donnees_generations!$Z$3:$Z$113,Donnees_generations!$A$3:$A$113,MAX(1915,MIN(2025,E80))),SUMIFS(Donnees_generations!$AA$3:$AA$113,Donnees_generations!$A$3:$A$113,MAX(1915,MIN(2025,E80))),SUMIFS(Donnees_generations!$AB$3:$AB$113,Donnees_generations!$A$3:$A$113,MAX(1915,MIN(2025,E80))))+CHOOSE((AG80-56)/2+1,SUMIFS(Donnees_generations!$AC$3:$AC$113,Donnees_generations!$A$3:$A$113,MAX(1915,MIN(2025,E80))),SUMIFS(Donnees_generations!$AD$3:$AD$113,Donnees_generations!$A$3:$A$113,MAX(1915,MIN(2025,E80))),SUMIFS(Donnees_generations!$AE$3:$AE$113,Donnees_generations!$A$3:$A$113,MAX(1915,MIN(2025,E80))),SUMIFS(Donnees_generations!$AF$3:$AF$113,Donnees_generations!$A$3:$A$113,MAX(1915,MIN(2025,E80))),SUMIFS(Donnees_generations!$AG$3:$AG$113,Donnees_generations!$A$3:$A$113,MAX(1915,MIN(2025,E80))),SUMIFS(Donnees_generations!$AH$3:$AH$113,Donnees_generations!$A$3:$A$113,MAX(1915,MIN(2025,E80))),SUMIFS(Donnees_generations!$AI$3:$AI$113,Donnees_generations!$A$3:$A$113,MAX(1915,MIN(2025,E80))),SUMIFS(Donnees_generations!$AJ$3:$AJ$113,Donnees_generations!$A$3:$A$113,MAX(1915,MIN(2025,E80)))))/2</f>
        <v/>
      </c>
      <c r="AI80" s="75">
        <f>(CHOOSE(((AG80+2)-56)/2+1,SUMIFS(Donnees_generations!$U$3:$U$113,Donnees_generations!$A$3:$A$113,MAX(1915,MIN(2025,E80))),SUMIFS(Donnees_generations!$V$3:$V$113,Donnees_generations!$A$3:$A$113,MAX(1915,MIN(2025,E80))),SUMIFS(Donnees_generations!$W$3:$W$113,Donnees_generations!$A$3:$A$113,MAX(1915,MIN(2025,E80))),SUMIFS(Donnees_generations!$X$3:$X$113,Donnees_generations!$A$3:$A$113,MAX(1915,MIN(2025,E80))),SUMIFS(Donnees_generations!$Y$3:$Y$113,Donnees_generations!$A$3:$A$113,MAX(1915,MIN(2025,E80))),SUMIFS(Donnees_generations!$Z$3:$Z$113,Donnees_generations!$A$3:$A$113,MAX(1915,MIN(2025,E80))),SUMIFS(Donnees_generations!$AA$3:$AA$113,Donnees_generations!$A$3:$A$113,MAX(1915,MIN(2025,E80))),SUMIFS(Donnees_generations!$AB$3:$AB$113,Donnees_generations!$A$3:$A$113,MAX(1915,MIN(2025,E80))))+CHOOSE(((AG80+2)-56)/2+1,SUMIFS(Donnees_generations!$AC$3:$AC$113,Donnees_generations!$A$3:$A$113,MAX(1915,MIN(2025,E80))),SUMIFS(Donnees_generations!$AD$3:$AD$113,Donnees_generations!$A$3:$A$113,MAX(1915,MIN(2025,E80))),SUMIFS(Donnees_generations!$AE$3:$AE$113,Donnees_generations!$A$3:$A$113,MAX(1915,MIN(2025,E80))),SUMIFS(Donnees_generations!$AF$3:$AF$113,Donnees_generations!$A$3:$A$113,MAX(1915,MIN(2025,E80))),SUMIFS(Donnees_generations!$AG$3:$AG$113,Donnees_generations!$A$3:$A$113,MAX(1915,MIN(2025,E80))),SUMIFS(Donnees_generations!$AH$3:$AH$113,Donnees_generations!$A$3:$A$113,MAX(1915,MIN(2025,E80))),SUMIFS(Donnees_generations!$AI$3:$AI$113,Donnees_generations!$A$3:$A$113,MAX(1915,MIN(2025,E80))),SUMIFS(Donnees_generations!$AJ$3:$AJ$113,Donnees_generations!$A$3:$A$113,MAX(1915,MIN(2025,E80)))))/2</f>
        <v/>
      </c>
      <c r="AJ80" s="8">
        <f>MAX(0,AH80+(AI80-AH80)*(K80-AG80)/2)</f>
        <v/>
      </c>
      <c r="AK80" s="8">
        <f>K80+AJ80</f>
        <v/>
      </c>
      <c r="AL80" s="14">
        <f>AE80*AJ80</f>
        <v/>
      </c>
      <c r="AM80" s="17">
        <f>V80/AL80</f>
        <v/>
      </c>
      <c r="AN80" s="17">
        <f>Z80/AL80</f>
        <v/>
      </c>
      <c r="AO80" s="33">
        <f>IF(V80+Z80=0,0,Z80/(V80+Z80))</f>
        <v/>
      </c>
      <c r="AP80" s="14">
        <f>AL80/V80*100</f>
        <v/>
      </c>
      <c r="AQ80" s="8">
        <f>P80/AL80*1000</f>
        <v/>
      </c>
      <c r="AR80" s="77">
        <f>MAX(N80,M80-1)</f>
        <v/>
      </c>
      <c r="AS80" s="14">
        <f>SUMIFS(Donnees_regimes!$R$3:$R$1118,Donnees_regimes!$A$3:$A$1118,C80,Donnees_regimes!$B$3:$B$1118,"&gt;="&amp;G80,Donnees_regimes!$B$3:$B$1118,"&lt;="&amp;N80)*L80/ROUNDUP(L80,0)*SUMIFS(Donnees_annuelles!$AG$3:$AG$188,Donnees_annuelles!$A$3:$A$188,AR80)*SUMIFS(Donnees_annuelles!$AA$3:$AA$188,Donnees_annuelles!$A$3:$A$188,AR80)</f>
        <v/>
      </c>
      <c r="AT80" s="36">
        <f>AS80/V80</f>
        <v/>
      </c>
      <c r="AU80" s="14">
        <f>AL80</f>
        <v/>
      </c>
      <c r="AV80" s="39">
        <f>AS80-AL80</f>
        <v/>
      </c>
      <c r="AW80" s="9">
        <f>AS80/AL80-1</f>
        <v/>
      </c>
      <c r="AX80" s="14">
        <f>AS80/AJ80/12</f>
        <v/>
      </c>
      <c r="AY80" s="14">
        <f>AF80</f>
        <v/>
      </c>
      <c r="AZ80" s="39">
        <f>AX80-AF80</f>
        <v/>
      </c>
      <c r="BA80" s="14">
        <f>SUMIFS(Donnees_regimes!$S$3:$S$1118,Donnees_regimes!$A$3:$A$1118,C80,Donnees_regimes!$B$3:$B$1118,"&gt;="&amp;G80,Donnees_regimes!$B$3:$B$1118,"&lt;="&amp;N80)*L80/ROUNDUP(L80,0)*SUMIFS(Donnees_annuelles!$AH$3:$AH$188,Donnees_annuelles!$A$3:$A$188,AR80)*SUMIFS(Donnees_annuelles!$AA$3:$AA$188,Donnees_annuelles!$A$3:$A$188,AR80)</f>
        <v/>
      </c>
      <c r="BB80" s="39">
        <f>BA80-AL80</f>
        <v/>
      </c>
      <c r="BC80" s="7">
        <f>IF(M80+AJ80&gt;2026,IF(G80&gt;2026,"entièrement projeté","en partie projeté"),"observé")</f>
        <v/>
      </c>
    </row>
    <row r="81">
      <c r="A81" s="7" t="inlineStr">
        <is>
          <t>Génération Z</t>
        </is>
      </c>
      <c r="B81" s="84" t="inlineStr">
        <is>
          <t>Privé</t>
        </is>
      </c>
      <c r="C81" s="7">
        <f>IF(G81&gt;=SUMIFS(Regimes!$C$5:$C$10,Regimes!$A$5:$A$10,B81),"Privé",B81)</f>
        <v/>
      </c>
      <c r="D81" s="7">
        <f>INDEX(Regimes!$D$5:$D$10,MATCH(C81,Regimes!$A$5:$A$10,0))</f>
        <v/>
      </c>
      <c r="E81" s="88" t="n">
        <v>2006</v>
      </c>
      <c r="F81" s="8">
        <f>Donnees_generations!C94</f>
        <v/>
      </c>
      <c r="G81" s="77">
        <f>Donnees_generations!D94</f>
        <v/>
      </c>
      <c r="H81" s="8">
        <f>SUMIFS(Donnees_generations!$S$3:$S$113,Donnees_generations!$A$3:$A$113,MAX(1915,MIN(2025,E81)))</f>
        <v/>
      </c>
      <c r="I81" s="8">
        <f>SUMIFS(Donnees_generations!$T$3:$T$113,Donnees_generations!$A$3:$A$113,MAX(1915,MIN(2025,E81)))</f>
        <v/>
      </c>
      <c r="J81" s="8">
        <f>IF(G81&gt;=2000,MAX(I81,Parametres!$B$3),I81)</f>
        <v/>
      </c>
      <c r="K81" s="8">
        <f>IF(C81="Privé",J81,SUMIFS(Regles_regimes!$J$3:$J$2000,Regles_regimes!$A$3:$A$2000,C81,Regles_regimes!$B$3:$B$2000,D81,Regles_regimes!$C$3:$C$2000,MAX(1915,MIN(2025,E81))))</f>
        <v/>
      </c>
      <c r="L81" s="8">
        <f>IF(C81="Privé",H81,(K81-F81)*H81/(J81-F81))</f>
        <v/>
      </c>
      <c r="M81" s="77">
        <f>INT(E81+K81)</f>
        <v/>
      </c>
      <c r="N81" s="77">
        <f>G81+ROUNDUP(L81,0)-1</f>
        <v/>
      </c>
      <c r="O81" s="89">
        <f>SUMIFS(Regles_regimes!$K$3:$K$2000,Regles_regimes!$A$3:$A$2000,C81,Regles_regimes!$B$3:$B$2000,D81,Regles_regimes!$C$3:$C$2000,MAX(1915,MIN(2025,E81)))</f>
        <v/>
      </c>
      <c r="P81" s="13">
        <f>SUMIFS(Donnees_annuelles!$W$3:$W$188,Donnees_annuelles!$A$3:$A$188,"&gt;="&amp;G81,Donnees_annuelles!$A$3:$A$188,"&lt;="&amp;N81)*L81/ROUNDUP(L81,0)*O81</f>
        <v/>
      </c>
      <c r="Q81" s="13">
        <f>SUMIFS(Donnees_annuelles!$V$3:$V$188,Donnees_annuelles!$A$3:$A$188,"&gt;="&amp;G81,Donnees_annuelles!$A$3:$A$188,"&lt;="&amp;N81)*L81/ROUNDUP(L81,0)</f>
        <v/>
      </c>
      <c r="R81" s="13">
        <f>P81/L81</f>
        <v/>
      </c>
      <c r="S81" s="14">
        <f>SUMIFS(Donnees_annuelles!$D$3:$D$188,Donnees_annuelles!$A$3:$A$188,"&gt;="&amp;G81,Donnees_annuelles!$A$3:$A$188,"&lt;="&amp;N81)*L81/ROUNDUP(L81,0)</f>
        <v/>
      </c>
      <c r="T81" s="14">
        <f>SUMIFS(Donnees_regimes!$N$3:$N$1118,Donnees_regimes!$A$3:$A$1118,C81,Donnees_regimes!$B$3:$B$1118,"&gt;="&amp;G81,Donnees_regimes!$B$3:$B$1118,"&lt;="&amp;N81)*L81/ROUNDUP(L81,0)</f>
        <v/>
      </c>
      <c r="U81" s="14">
        <f>SUMIFS(Donnees_regimes!$O$3:$O$1118,Donnees_regimes!$A$3:$A$1118,C81,Donnees_regimes!$B$3:$B$1118,"&gt;="&amp;G81,Donnees_regimes!$B$3:$B$1118,"&lt;="&amp;N81)*L81/ROUNDUP(L81,0)</f>
        <v/>
      </c>
      <c r="V81" s="14">
        <f>T81+U81</f>
        <v/>
      </c>
      <c r="W81" s="33">
        <f>V81/S81</f>
        <v/>
      </c>
      <c r="X81" s="14">
        <f>S81+U81</f>
        <v/>
      </c>
      <c r="Y81" s="17">
        <f>V81/P81</f>
        <v/>
      </c>
      <c r="Z81" s="14">
        <f>SUMIFS(Donnees_regimes!$Q$3:$Q$1118,Donnees_regimes!$A$3:$A$1118,C81,Donnees_regimes!$B$3:$B$1118,"&gt;="&amp;G81,Donnees_regimes!$B$3:$B$1118,"&lt;="&amp;N81)*L81/ROUNDUP(L81,0)</f>
        <v/>
      </c>
      <c r="AA81" s="77">
        <f>SUMIFS(Regles_regimes!$F$3:$F$2000,Regles_regimes!$A$3:$A$2000,C81,Regles_regimes!$B$3:$B$2000,D81,Regles_regimes!$C$3:$C$2000,MAX(1915,MIN(2025,E81)))</f>
        <v/>
      </c>
      <c r="AB81" s="77">
        <f>IF(AND(SUMIFS(Regles_regimes!$L$3:$L$2000,Regles_regimes!$A$3:$A$2000,C81,Regles_regimes!$B$3:$B$2000,D81,Regles_regimes!$C$3:$C$2000,MAX(1915,MIN(2025,E81)))=1,G81&lt;2009,C81&lt;&gt;"Privé"),MIN(20,L81*4/5),0)</f>
        <v/>
      </c>
      <c r="AC81" s="89">
        <f>SUMIFS(Donnees_regimes!$M$3:$M$1118,Donnees_regimes!$A$3:$A$1118,C81,Donnees_regimes!$B$3:$B$1118,M81)</f>
        <v/>
      </c>
      <c r="AD81" s="14">
        <f>SUMIFS(Donnees_annuelles!$Y$3:$Y$188,Donnees_annuelles!$A$3:$A$188,M81)*SUMIFS(Donnees_generations!$I$3:$I$113,Donnees_generations!$A$3:$A$113,MAX(1915,MIN(2025,E81)))/H81</f>
        <v/>
      </c>
      <c r="AE81" s="14">
        <f>IF(C81="Privé",SUMIFS(Donnees_annuelles!$Y$3:$Y$188,Donnees_annuelles!$A$3:$A$188,M81)*MIN(L81,SUMIFS(Donnees_generations!$I$3:$I$113,Donnees_generations!$A$3:$A$113,MAX(1915,MIN(2025,E81))))/L81,AD81*AC81*MIN(IF(AB81&gt;0,0.8/0.75,1),(L81*4+AB81)/AA81))</f>
        <v/>
      </c>
      <c r="AF81" s="14">
        <f>AE81/12</f>
        <v/>
      </c>
      <c r="AG81" s="77">
        <f>MIN(68,MAX(56,2*INT(K81/2)))</f>
        <v/>
      </c>
      <c r="AH81" s="75">
        <f>(CHOOSE((AG81-56)/2+1,SUMIFS(Donnees_generations!$U$3:$U$113,Donnees_generations!$A$3:$A$113,MAX(1915,MIN(2025,E81))),SUMIFS(Donnees_generations!$V$3:$V$113,Donnees_generations!$A$3:$A$113,MAX(1915,MIN(2025,E81))),SUMIFS(Donnees_generations!$W$3:$W$113,Donnees_generations!$A$3:$A$113,MAX(1915,MIN(2025,E81))),SUMIFS(Donnees_generations!$X$3:$X$113,Donnees_generations!$A$3:$A$113,MAX(1915,MIN(2025,E81))),SUMIFS(Donnees_generations!$Y$3:$Y$113,Donnees_generations!$A$3:$A$113,MAX(1915,MIN(2025,E81))),SUMIFS(Donnees_generations!$Z$3:$Z$113,Donnees_generations!$A$3:$A$113,MAX(1915,MIN(2025,E81))),SUMIFS(Donnees_generations!$AA$3:$AA$113,Donnees_generations!$A$3:$A$113,MAX(1915,MIN(2025,E81))),SUMIFS(Donnees_generations!$AB$3:$AB$113,Donnees_generations!$A$3:$A$113,MAX(1915,MIN(2025,E81))))+CHOOSE((AG81-56)/2+1,SUMIFS(Donnees_generations!$AC$3:$AC$113,Donnees_generations!$A$3:$A$113,MAX(1915,MIN(2025,E81))),SUMIFS(Donnees_generations!$AD$3:$AD$113,Donnees_generations!$A$3:$A$113,MAX(1915,MIN(2025,E81))),SUMIFS(Donnees_generations!$AE$3:$AE$113,Donnees_generations!$A$3:$A$113,MAX(1915,MIN(2025,E81))),SUMIFS(Donnees_generations!$AF$3:$AF$113,Donnees_generations!$A$3:$A$113,MAX(1915,MIN(2025,E81))),SUMIFS(Donnees_generations!$AG$3:$AG$113,Donnees_generations!$A$3:$A$113,MAX(1915,MIN(2025,E81))),SUMIFS(Donnees_generations!$AH$3:$AH$113,Donnees_generations!$A$3:$A$113,MAX(1915,MIN(2025,E81))),SUMIFS(Donnees_generations!$AI$3:$AI$113,Donnees_generations!$A$3:$A$113,MAX(1915,MIN(2025,E81))),SUMIFS(Donnees_generations!$AJ$3:$AJ$113,Donnees_generations!$A$3:$A$113,MAX(1915,MIN(2025,E81)))))/2</f>
        <v/>
      </c>
      <c r="AI81" s="75">
        <f>(CHOOSE(((AG81+2)-56)/2+1,SUMIFS(Donnees_generations!$U$3:$U$113,Donnees_generations!$A$3:$A$113,MAX(1915,MIN(2025,E81))),SUMIFS(Donnees_generations!$V$3:$V$113,Donnees_generations!$A$3:$A$113,MAX(1915,MIN(2025,E81))),SUMIFS(Donnees_generations!$W$3:$W$113,Donnees_generations!$A$3:$A$113,MAX(1915,MIN(2025,E81))),SUMIFS(Donnees_generations!$X$3:$X$113,Donnees_generations!$A$3:$A$113,MAX(1915,MIN(2025,E81))),SUMIFS(Donnees_generations!$Y$3:$Y$113,Donnees_generations!$A$3:$A$113,MAX(1915,MIN(2025,E81))),SUMIFS(Donnees_generations!$Z$3:$Z$113,Donnees_generations!$A$3:$A$113,MAX(1915,MIN(2025,E81))),SUMIFS(Donnees_generations!$AA$3:$AA$113,Donnees_generations!$A$3:$A$113,MAX(1915,MIN(2025,E81))),SUMIFS(Donnees_generations!$AB$3:$AB$113,Donnees_generations!$A$3:$A$113,MAX(1915,MIN(2025,E81))))+CHOOSE(((AG81+2)-56)/2+1,SUMIFS(Donnees_generations!$AC$3:$AC$113,Donnees_generations!$A$3:$A$113,MAX(1915,MIN(2025,E81))),SUMIFS(Donnees_generations!$AD$3:$AD$113,Donnees_generations!$A$3:$A$113,MAX(1915,MIN(2025,E81))),SUMIFS(Donnees_generations!$AE$3:$AE$113,Donnees_generations!$A$3:$A$113,MAX(1915,MIN(2025,E81))),SUMIFS(Donnees_generations!$AF$3:$AF$113,Donnees_generations!$A$3:$A$113,MAX(1915,MIN(2025,E81))),SUMIFS(Donnees_generations!$AG$3:$AG$113,Donnees_generations!$A$3:$A$113,MAX(1915,MIN(2025,E81))),SUMIFS(Donnees_generations!$AH$3:$AH$113,Donnees_generations!$A$3:$A$113,MAX(1915,MIN(2025,E81))),SUMIFS(Donnees_generations!$AI$3:$AI$113,Donnees_generations!$A$3:$A$113,MAX(1915,MIN(2025,E81))),SUMIFS(Donnees_generations!$AJ$3:$AJ$113,Donnees_generations!$A$3:$A$113,MAX(1915,MIN(2025,E81)))))/2</f>
        <v/>
      </c>
      <c r="AJ81" s="8">
        <f>MAX(0,AH81+(AI81-AH81)*(K81-AG81)/2)</f>
        <v/>
      </c>
      <c r="AK81" s="8">
        <f>K81+AJ81</f>
        <v/>
      </c>
      <c r="AL81" s="14">
        <f>AE81*AJ81</f>
        <v/>
      </c>
      <c r="AM81" s="17">
        <f>V81/AL81</f>
        <v/>
      </c>
      <c r="AN81" s="17">
        <f>Z81/AL81</f>
        <v/>
      </c>
      <c r="AO81" s="33">
        <f>IF(V81+Z81=0,0,Z81/(V81+Z81))</f>
        <v/>
      </c>
      <c r="AP81" s="14">
        <f>AL81/V81*100</f>
        <v/>
      </c>
      <c r="AQ81" s="8">
        <f>P81/AL81*1000</f>
        <v/>
      </c>
      <c r="AR81" s="77">
        <f>MAX(N81,M81-1)</f>
        <v/>
      </c>
      <c r="AS81" s="14">
        <f>SUMIFS(Donnees_regimes!$R$3:$R$1118,Donnees_regimes!$A$3:$A$1118,C81,Donnees_regimes!$B$3:$B$1118,"&gt;="&amp;G81,Donnees_regimes!$B$3:$B$1118,"&lt;="&amp;N81)*L81/ROUNDUP(L81,0)*SUMIFS(Donnees_annuelles!$AG$3:$AG$188,Donnees_annuelles!$A$3:$A$188,AR81)*SUMIFS(Donnees_annuelles!$AA$3:$AA$188,Donnees_annuelles!$A$3:$A$188,AR81)</f>
        <v/>
      </c>
      <c r="AT81" s="36">
        <f>AS81/V81</f>
        <v/>
      </c>
      <c r="AU81" s="14">
        <f>AL81</f>
        <v/>
      </c>
      <c r="AV81" s="39">
        <f>AS81-AL81</f>
        <v/>
      </c>
      <c r="AW81" s="9">
        <f>AS81/AL81-1</f>
        <v/>
      </c>
      <c r="AX81" s="14">
        <f>AS81/AJ81/12</f>
        <v/>
      </c>
      <c r="AY81" s="14">
        <f>AF81</f>
        <v/>
      </c>
      <c r="AZ81" s="39">
        <f>AX81-AF81</f>
        <v/>
      </c>
      <c r="BA81" s="14">
        <f>SUMIFS(Donnees_regimes!$S$3:$S$1118,Donnees_regimes!$A$3:$A$1118,C81,Donnees_regimes!$B$3:$B$1118,"&gt;="&amp;G81,Donnees_regimes!$B$3:$B$1118,"&lt;="&amp;N81)*L81/ROUNDUP(L81,0)*SUMIFS(Donnees_annuelles!$AH$3:$AH$188,Donnees_annuelles!$A$3:$A$188,AR81)*SUMIFS(Donnees_annuelles!$AA$3:$AA$188,Donnees_annuelles!$A$3:$A$188,AR81)</f>
        <v/>
      </c>
      <c r="BB81" s="39">
        <f>BA81-AL81</f>
        <v/>
      </c>
      <c r="BC81" s="7">
        <f>IF(M81+AJ81&gt;2026,IF(G81&gt;2026,"entièrement projeté","en partie projeté"),"observé")</f>
        <v/>
      </c>
    </row>
    <row r="82">
      <c r="A82" s="7" t="inlineStr">
        <is>
          <t>Génération Z</t>
        </is>
      </c>
      <c r="B82" s="84" t="inlineStr">
        <is>
          <t>Privé</t>
        </is>
      </c>
      <c r="C82" s="7">
        <f>IF(G82&gt;=SUMIFS(Regimes!$C$5:$C$10,Regimes!$A$5:$A$10,B82),"Privé",B82)</f>
        <v/>
      </c>
      <c r="D82" s="7">
        <f>INDEX(Regimes!$D$5:$D$10,MATCH(C82,Regimes!$A$5:$A$10,0))</f>
        <v/>
      </c>
      <c r="E82" s="88" t="n">
        <v>2007</v>
      </c>
      <c r="F82" s="8">
        <f>Donnees_generations!C95</f>
        <v/>
      </c>
      <c r="G82" s="77">
        <f>Donnees_generations!D95</f>
        <v/>
      </c>
      <c r="H82" s="8">
        <f>SUMIFS(Donnees_generations!$S$3:$S$113,Donnees_generations!$A$3:$A$113,MAX(1915,MIN(2025,E82)))</f>
        <v/>
      </c>
      <c r="I82" s="8">
        <f>SUMIFS(Donnees_generations!$T$3:$T$113,Donnees_generations!$A$3:$A$113,MAX(1915,MIN(2025,E82)))</f>
        <v/>
      </c>
      <c r="J82" s="8">
        <f>IF(G82&gt;=2000,MAX(I82,Parametres!$B$3),I82)</f>
        <v/>
      </c>
      <c r="K82" s="8">
        <f>IF(C82="Privé",J82,SUMIFS(Regles_regimes!$J$3:$J$2000,Regles_regimes!$A$3:$A$2000,C82,Regles_regimes!$B$3:$B$2000,D82,Regles_regimes!$C$3:$C$2000,MAX(1915,MIN(2025,E82))))</f>
        <v/>
      </c>
      <c r="L82" s="8">
        <f>IF(C82="Privé",H82,(K82-F82)*H82/(J82-F82))</f>
        <v/>
      </c>
      <c r="M82" s="77">
        <f>INT(E82+K82)</f>
        <v/>
      </c>
      <c r="N82" s="77">
        <f>G82+ROUNDUP(L82,0)-1</f>
        <v/>
      </c>
      <c r="O82" s="89">
        <f>SUMIFS(Regles_regimes!$K$3:$K$2000,Regles_regimes!$A$3:$A$2000,C82,Regles_regimes!$B$3:$B$2000,D82,Regles_regimes!$C$3:$C$2000,MAX(1915,MIN(2025,E82)))</f>
        <v/>
      </c>
      <c r="P82" s="13">
        <f>SUMIFS(Donnees_annuelles!$W$3:$W$188,Donnees_annuelles!$A$3:$A$188,"&gt;="&amp;G82,Donnees_annuelles!$A$3:$A$188,"&lt;="&amp;N82)*L82/ROUNDUP(L82,0)*O82</f>
        <v/>
      </c>
      <c r="Q82" s="13">
        <f>SUMIFS(Donnees_annuelles!$V$3:$V$188,Donnees_annuelles!$A$3:$A$188,"&gt;="&amp;G82,Donnees_annuelles!$A$3:$A$188,"&lt;="&amp;N82)*L82/ROUNDUP(L82,0)</f>
        <v/>
      </c>
      <c r="R82" s="13">
        <f>P82/L82</f>
        <v/>
      </c>
      <c r="S82" s="14">
        <f>SUMIFS(Donnees_annuelles!$D$3:$D$188,Donnees_annuelles!$A$3:$A$188,"&gt;="&amp;G82,Donnees_annuelles!$A$3:$A$188,"&lt;="&amp;N82)*L82/ROUNDUP(L82,0)</f>
        <v/>
      </c>
      <c r="T82" s="14">
        <f>SUMIFS(Donnees_regimes!$N$3:$N$1118,Donnees_regimes!$A$3:$A$1118,C82,Donnees_regimes!$B$3:$B$1118,"&gt;="&amp;G82,Donnees_regimes!$B$3:$B$1118,"&lt;="&amp;N82)*L82/ROUNDUP(L82,0)</f>
        <v/>
      </c>
      <c r="U82" s="14">
        <f>SUMIFS(Donnees_regimes!$O$3:$O$1118,Donnees_regimes!$A$3:$A$1118,C82,Donnees_regimes!$B$3:$B$1118,"&gt;="&amp;G82,Donnees_regimes!$B$3:$B$1118,"&lt;="&amp;N82)*L82/ROUNDUP(L82,0)</f>
        <v/>
      </c>
      <c r="V82" s="14">
        <f>T82+U82</f>
        <v/>
      </c>
      <c r="W82" s="33">
        <f>V82/S82</f>
        <v/>
      </c>
      <c r="X82" s="14">
        <f>S82+U82</f>
        <v/>
      </c>
      <c r="Y82" s="17">
        <f>V82/P82</f>
        <v/>
      </c>
      <c r="Z82" s="14">
        <f>SUMIFS(Donnees_regimes!$Q$3:$Q$1118,Donnees_regimes!$A$3:$A$1118,C82,Donnees_regimes!$B$3:$B$1118,"&gt;="&amp;G82,Donnees_regimes!$B$3:$B$1118,"&lt;="&amp;N82)*L82/ROUNDUP(L82,0)</f>
        <v/>
      </c>
      <c r="AA82" s="77">
        <f>SUMIFS(Regles_regimes!$F$3:$F$2000,Regles_regimes!$A$3:$A$2000,C82,Regles_regimes!$B$3:$B$2000,D82,Regles_regimes!$C$3:$C$2000,MAX(1915,MIN(2025,E82)))</f>
        <v/>
      </c>
      <c r="AB82" s="77">
        <f>IF(AND(SUMIFS(Regles_regimes!$L$3:$L$2000,Regles_regimes!$A$3:$A$2000,C82,Regles_regimes!$B$3:$B$2000,D82,Regles_regimes!$C$3:$C$2000,MAX(1915,MIN(2025,E82)))=1,G82&lt;2009,C82&lt;&gt;"Privé"),MIN(20,L82*4/5),0)</f>
        <v/>
      </c>
      <c r="AC82" s="89">
        <f>SUMIFS(Donnees_regimes!$M$3:$M$1118,Donnees_regimes!$A$3:$A$1118,C82,Donnees_regimes!$B$3:$B$1118,M82)</f>
        <v/>
      </c>
      <c r="AD82" s="14">
        <f>SUMIFS(Donnees_annuelles!$Y$3:$Y$188,Donnees_annuelles!$A$3:$A$188,M82)*SUMIFS(Donnees_generations!$I$3:$I$113,Donnees_generations!$A$3:$A$113,MAX(1915,MIN(2025,E82)))/H82</f>
        <v/>
      </c>
      <c r="AE82" s="14">
        <f>IF(C82="Privé",SUMIFS(Donnees_annuelles!$Y$3:$Y$188,Donnees_annuelles!$A$3:$A$188,M82)*MIN(L82,SUMIFS(Donnees_generations!$I$3:$I$113,Donnees_generations!$A$3:$A$113,MAX(1915,MIN(2025,E82))))/L82,AD82*AC82*MIN(IF(AB82&gt;0,0.8/0.75,1),(L82*4+AB82)/AA82))</f>
        <v/>
      </c>
      <c r="AF82" s="14">
        <f>AE82/12</f>
        <v/>
      </c>
      <c r="AG82" s="77">
        <f>MIN(68,MAX(56,2*INT(K82/2)))</f>
        <v/>
      </c>
      <c r="AH82" s="75">
        <f>(CHOOSE((AG82-56)/2+1,SUMIFS(Donnees_generations!$U$3:$U$113,Donnees_generations!$A$3:$A$113,MAX(1915,MIN(2025,E82))),SUMIFS(Donnees_generations!$V$3:$V$113,Donnees_generations!$A$3:$A$113,MAX(1915,MIN(2025,E82))),SUMIFS(Donnees_generations!$W$3:$W$113,Donnees_generations!$A$3:$A$113,MAX(1915,MIN(2025,E82))),SUMIFS(Donnees_generations!$X$3:$X$113,Donnees_generations!$A$3:$A$113,MAX(1915,MIN(2025,E82))),SUMIFS(Donnees_generations!$Y$3:$Y$113,Donnees_generations!$A$3:$A$113,MAX(1915,MIN(2025,E82))),SUMIFS(Donnees_generations!$Z$3:$Z$113,Donnees_generations!$A$3:$A$113,MAX(1915,MIN(2025,E82))),SUMIFS(Donnees_generations!$AA$3:$AA$113,Donnees_generations!$A$3:$A$113,MAX(1915,MIN(2025,E82))),SUMIFS(Donnees_generations!$AB$3:$AB$113,Donnees_generations!$A$3:$A$113,MAX(1915,MIN(2025,E82))))+CHOOSE((AG82-56)/2+1,SUMIFS(Donnees_generations!$AC$3:$AC$113,Donnees_generations!$A$3:$A$113,MAX(1915,MIN(2025,E82))),SUMIFS(Donnees_generations!$AD$3:$AD$113,Donnees_generations!$A$3:$A$113,MAX(1915,MIN(2025,E82))),SUMIFS(Donnees_generations!$AE$3:$AE$113,Donnees_generations!$A$3:$A$113,MAX(1915,MIN(2025,E82))),SUMIFS(Donnees_generations!$AF$3:$AF$113,Donnees_generations!$A$3:$A$113,MAX(1915,MIN(2025,E82))),SUMIFS(Donnees_generations!$AG$3:$AG$113,Donnees_generations!$A$3:$A$113,MAX(1915,MIN(2025,E82))),SUMIFS(Donnees_generations!$AH$3:$AH$113,Donnees_generations!$A$3:$A$113,MAX(1915,MIN(2025,E82))),SUMIFS(Donnees_generations!$AI$3:$AI$113,Donnees_generations!$A$3:$A$113,MAX(1915,MIN(2025,E82))),SUMIFS(Donnees_generations!$AJ$3:$AJ$113,Donnees_generations!$A$3:$A$113,MAX(1915,MIN(2025,E82)))))/2</f>
        <v/>
      </c>
      <c r="AI82" s="75">
        <f>(CHOOSE(((AG82+2)-56)/2+1,SUMIFS(Donnees_generations!$U$3:$U$113,Donnees_generations!$A$3:$A$113,MAX(1915,MIN(2025,E82))),SUMIFS(Donnees_generations!$V$3:$V$113,Donnees_generations!$A$3:$A$113,MAX(1915,MIN(2025,E82))),SUMIFS(Donnees_generations!$W$3:$W$113,Donnees_generations!$A$3:$A$113,MAX(1915,MIN(2025,E82))),SUMIFS(Donnees_generations!$X$3:$X$113,Donnees_generations!$A$3:$A$113,MAX(1915,MIN(2025,E82))),SUMIFS(Donnees_generations!$Y$3:$Y$113,Donnees_generations!$A$3:$A$113,MAX(1915,MIN(2025,E82))),SUMIFS(Donnees_generations!$Z$3:$Z$113,Donnees_generations!$A$3:$A$113,MAX(1915,MIN(2025,E82))),SUMIFS(Donnees_generations!$AA$3:$AA$113,Donnees_generations!$A$3:$A$113,MAX(1915,MIN(2025,E82))),SUMIFS(Donnees_generations!$AB$3:$AB$113,Donnees_generations!$A$3:$A$113,MAX(1915,MIN(2025,E82))))+CHOOSE(((AG82+2)-56)/2+1,SUMIFS(Donnees_generations!$AC$3:$AC$113,Donnees_generations!$A$3:$A$113,MAX(1915,MIN(2025,E82))),SUMIFS(Donnees_generations!$AD$3:$AD$113,Donnees_generations!$A$3:$A$113,MAX(1915,MIN(2025,E82))),SUMIFS(Donnees_generations!$AE$3:$AE$113,Donnees_generations!$A$3:$A$113,MAX(1915,MIN(2025,E82))),SUMIFS(Donnees_generations!$AF$3:$AF$113,Donnees_generations!$A$3:$A$113,MAX(1915,MIN(2025,E82))),SUMIFS(Donnees_generations!$AG$3:$AG$113,Donnees_generations!$A$3:$A$113,MAX(1915,MIN(2025,E82))),SUMIFS(Donnees_generations!$AH$3:$AH$113,Donnees_generations!$A$3:$A$113,MAX(1915,MIN(2025,E82))),SUMIFS(Donnees_generations!$AI$3:$AI$113,Donnees_generations!$A$3:$A$113,MAX(1915,MIN(2025,E82))),SUMIFS(Donnees_generations!$AJ$3:$AJ$113,Donnees_generations!$A$3:$A$113,MAX(1915,MIN(2025,E82)))))/2</f>
        <v/>
      </c>
      <c r="AJ82" s="8">
        <f>MAX(0,AH82+(AI82-AH82)*(K82-AG82)/2)</f>
        <v/>
      </c>
      <c r="AK82" s="8">
        <f>K82+AJ82</f>
        <v/>
      </c>
      <c r="AL82" s="14">
        <f>AE82*AJ82</f>
        <v/>
      </c>
      <c r="AM82" s="17">
        <f>V82/AL82</f>
        <v/>
      </c>
      <c r="AN82" s="17">
        <f>Z82/AL82</f>
        <v/>
      </c>
      <c r="AO82" s="33">
        <f>IF(V82+Z82=0,0,Z82/(V82+Z82))</f>
        <v/>
      </c>
      <c r="AP82" s="14">
        <f>AL82/V82*100</f>
        <v/>
      </c>
      <c r="AQ82" s="8">
        <f>P82/AL82*1000</f>
        <v/>
      </c>
      <c r="AR82" s="77">
        <f>MAX(N82,M82-1)</f>
        <v/>
      </c>
      <c r="AS82" s="14">
        <f>SUMIFS(Donnees_regimes!$R$3:$R$1118,Donnees_regimes!$A$3:$A$1118,C82,Donnees_regimes!$B$3:$B$1118,"&gt;="&amp;G82,Donnees_regimes!$B$3:$B$1118,"&lt;="&amp;N82)*L82/ROUNDUP(L82,0)*SUMIFS(Donnees_annuelles!$AG$3:$AG$188,Donnees_annuelles!$A$3:$A$188,AR82)*SUMIFS(Donnees_annuelles!$AA$3:$AA$188,Donnees_annuelles!$A$3:$A$188,AR82)</f>
        <v/>
      </c>
      <c r="AT82" s="36">
        <f>AS82/V82</f>
        <v/>
      </c>
      <c r="AU82" s="14">
        <f>AL82</f>
        <v/>
      </c>
      <c r="AV82" s="39">
        <f>AS82-AL82</f>
        <v/>
      </c>
      <c r="AW82" s="9">
        <f>AS82/AL82-1</f>
        <v/>
      </c>
      <c r="AX82" s="14">
        <f>AS82/AJ82/12</f>
        <v/>
      </c>
      <c r="AY82" s="14">
        <f>AF82</f>
        <v/>
      </c>
      <c r="AZ82" s="39">
        <f>AX82-AF82</f>
        <v/>
      </c>
      <c r="BA82" s="14">
        <f>SUMIFS(Donnees_regimes!$S$3:$S$1118,Donnees_regimes!$A$3:$A$1118,C82,Donnees_regimes!$B$3:$B$1118,"&gt;="&amp;G82,Donnees_regimes!$B$3:$B$1118,"&lt;="&amp;N82)*L82/ROUNDUP(L82,0)*SUMIFS(Donnees_annuelles!$AH$3:$AH$188,Donnees_annuelles!$A$3:$A$188,AR82)*SUMIFS(Donnees_annuelles!$AA$3:$AA$188,Donnees_annuelles!$A$3:$A$188,AR82)</f>
        <v/>
      </c>
      <c r="BB82" s="39">
        <f>BA82-AL82</f>
        <v/>
      </c>
      <c r="BC82" s="7">
        <f>IF(M82+AJ82&gt;2026,IF(G82&gt;2026,"entièrement projeté","en partie projeté"),"observé")</f>
        <v/>
      </c>
    </row>
    <row r="83">
      <c r="A83" s="7" t="inlineStr">
        <is>
          <t>Génération Z</t>
        </is>
      </c>
      <c r="B83" s="84" t="inlineStr">
        <is>
          <t>Privé</t>
        </is>
      </c>
      <c r="C83" s="7">
        <f>IF(G83&gt;=SUMIFS(Regimes!$C$5:$C$10,Regimes!$A$5:$A$10,B83),"Privé",B83)</f>
        <v/>
      </c>
      <c r="D83" s="7">
        <f>INDEX(Regimes!$D$5:$D$10,MATCH(C83,Regimes!$A$5:$A$10,0))</f>
        <v/>
      </c>
      <c r="E83" s="88" t="n">
        <v>2008</v>
      </c>
      <c r="F83" s="8">
        <f>Donnees_generations!C96</f>
        <v/>
      </c>
      <c r="G83" s="77">
        <f>Donnees_generations!D96</f>
        <v/>
      </c>
      <c r="H83" s="8">
        <f>SUMIFS(Donnees_generations!$S$3:$S$113,Donnees_generations!$A$3:$A$113,MAX(1915,MIN(2025,E83)))</f>
        <v/>
      </c>
      <c r="I83" s="8">
        <f>SUMIFS(Donnees_generations!$T$3:$T$113,Donnees_generations!$A$3:$A$113,MAX(1915,MIN(2025,E83)))</f>
        <v/>
      </c>
      <c r="J83" s="8">
        <f>IF(G83&gt;=2000,MAX(I83,Parametres!$B$3),I83)</f>
        <v/>
      </c>
      <c r="K83" s="8">
        <f>IF(C83="Privé",J83,SUMIFS(Regles_regimes!$J$3:$J$2000,Regles_regimes!$A$3:$A$2000,C83,Regles_regimes!$B$3:$B$2000,D83,Regles_regimes!$C$3:$C$2000,MAX(1915,MIN(2025,E83))))</f>
        <v/>
      </c>
      <c r="L83" s="8">
        <f>IF(C83="Privé",H83,(K83-F83)*H83/(J83-F83))</f>
        <v/>
      </c>
      <c r="M83" s="77">
        <f>INT(E83+K83)</f>
        <v/>
      </c>
      <c r="N83" s="77">
        <f>G83+ROUNDUP(L83,0)-1</f>
        <v/>
      </c>
      <c r="O83" s="89">
        <f>SUMIFS(Regles_regimes!$K$3:$K$2000,Regles_regimes!$A$3:$A$2000,C83,Regles_regimes!$B$3:$B$2000,D83,Regles_regimes!$C$3:$C$2000,MAX(1915,MIN(2025,E83)))</f>
        <v/>
      </c>
      <c r="P83" s="13">
        <f>SUMIFS(Donnees_annuelles!$W$3:$W$188,Donnees_annuelles!$A$3:$A$188,"&gt;="&amp;G83,Donnees_annuelles!$A$3:$A$188,"&lt;="&amp;N83)*L83/ROUNDUP(L83,0)*O83</f>
        <v/>
      </c>
      <c r="Q83" s="13">
        <f>SUMIFS(Donnees_annuelles!$V$3:$V$188,Donnees_annuelles!$A$3:$A$188,"&gt;="&amp;G83,Donnees_annuelles!$A$3:$A$188,"&lt;="&amp;N83)*L83/ROUNDUP(L83,0)</f>
        <v/>
      </c>
      <c r="R83" s="13">
        <f>P83/L83</f>
        <v/>
      </c>
      <c r="S83" s="14">
        <f>SUMIFS(Donnees_annuelles!$D$3:$D$188,Donnees_annuelles!$A$3:$A$188,"&gt;="&amp;G83,Donnees_annuelles!$A$3:$A$188,"&lt;="&amp;N83)*L83/ROUNDUP(L83,0)</f>
        <v/>
      </c>
      <c r="T83" s="14">
        <f>SUMIFS(Donnees_regimes!$N$3:$N$1118,Donnees_regimes!$A$3:$A$1118,C83,Donnees_regimes!$B$3:$B$1118,"&gt;="&amp;G83,Donnees_regimes!$B$3:$B$1118,"&lt;="&amp;N83)*L83/ROUNDUP(L83,0)</f>
        <v/>
      </c>
      <c r="U83" s="14">
        <f>SUMIFS(Donnees_regimes!$O$3:$O$1118,Donnees_regimes!$A$3:$A$1118,C83,Donnees_regimes!$B$3:$B$1118,"&gt;="&amp;G83,Donnees_regimes!$B$3:$B$1118,"&lt;="&amp;N83)*L83/ROUNDUP(L83,0)</f>
        <v/>
      </c>
      <c r="V83" s="14">
        <f>T83+U83</f>
        <v/>
      </c>
      <c r="W83" s="33">
        <f>V83/S83</f>
        <v/>
      </c>
      <c r="X83" s="14">
        <f>S83+U83</f>
        <v/>
      </c>
      <c r="Y83" s="17">
        <f>V83/P83</f>
        <v/>
      </c>
      <c r="Z83" s="14">
        <f>SUMIFS(Donnees_regimes!$Q$3:$Q$1118,Donnees_regimes!$A$3:$A$1118,C83,Donnees_regimes!$B$3:$B$1118,"&gt;="&amp;G83,Donnees_regimes!$B$3:$B$1118,"&lt;="&amp;N83)*L83/ROUNDUP(L83,0)</f>
        <v/>
      </c>
      <c r="AA83" s="77">
        <f>SUMIFS(Regles_regimes!$F$3:$F$2000,Regles_regimes!$A$3:$A$2000,C83,Regles_regimes!$B$3:$B$2000,D83,Regles_regimes!$C$3:$C$2000,MAX(1915,MIN(2025,E83)))</f>
        <v/>
      </c>
      <c r="AB83" s="77">
        <f>IF(AND(SUMIFS(Regles_regimes!$L$3:$L$2000,Regles_regimes!$A$3:$A$2000,C83,Regles_regimes!$B$3:$B$2000,D83,Regles_regimes!$C$3:$C$2000,MAX(1915,MIN(2025,E83)))=1,G83&lt;2009,C83&lt;&gt;"Privé"),MIN(20,L83*4/5),0)</f>
        <v/>
      </c>
      <c r="AC83" s="89">
        <f>SUMIFS(Donnees_regimes!$M$3:$M$1118,Donnees_regimes!$A$3:$A$1118,C83,Donnees_regimes!$B$3:$B$1118,M83)</f>
        <v/>
      </c>
      <c r="AD83" s="14">
        <f>SUMIFS(Donnees_annuelles!$Y$3:$Y$188,Donnees_annuelles!$A$3:$A$188,M83)*SUMIFS(Donnees_generations!$I$3:$I$113,Donnees_generations!$A$3:$A$113,MAX(1915,MIN(2025,E83)))/H83</f>
        <v/>
      </c>
      <c r="AE83" s="14">
        <f>IF(C83="Privé",SUMIFS(Donnees_annuelles!$Y$3:$Y$188,Donnees_annuelles!$A$3:$A$188,M83)*MIN(L83,SUMIFS(Donnees_generations!$I$3:$I$113,Donnees_generations!$A$3:$A$113,MAX(1915,MIN(2025,E83))))/L83,AD83*AC83*MIN(IF(AB83&gt;0,0.8/0.75,1),(L83*4+AB83)/AA83))</f>
        <v/>
      </c>
      <c r="AF83" s="14">
        <f>AE83/12</f>
        <v/>
      </c>
      <c r="AG83" s="77">
        <f>MIN(68,MAX(56,2*INT(K83/2)))</f>
        <v/>
      </c>
      <c r="AH83" s="75">
        <f>(CHOOSE((AG83-56)/2+1,SUMIFS(Donnees_generations!$U$3:$U$113,Donnees_generations!$A$3:$A$113,MAX(1915,MIN(2025,E83))),SUMIFS(Donnees_generations!$V$3:$V$113,Donnees_generations!$A$3:$A$113,MAX(1915,MIN(2025,E83))),SUMIFS(Donnees_generations!$W$3:$W$113,Donnees_generations!$A$3:$A$113,MAX(1915,MIN(2025,E83))),SUMIFS(Donnees_generations!$X$3:$X$113,Donnees_generations!$A$3:$A$113,MAX(1915,MIN(2025,E83))),SUMIFS(Donnees_generations!$Y$3:$Y$113,Donnees_generations!$A$3:$A$113,MAX(1915,MIN(2025,E83))),SUMIFS(Donnees_generations!$Z$3:$Z$113,Donnees_generations!$A$3:$A$113,MAX(1915,MIN(2025,E83))),SUMIFS(Donnees_generations!$AA$3:$AA$113,Donnees_generations!$A$3:$A$113,MAX(1915,MIN(2025,E83))),SUMIFS(Donnees_generations!$AB$3:$AB$113,Donnees_generations!$A$3:$A$113,MAX(1915,MIN(2025,E83))))+CHOOSE((AG83-56)/2+1,SUMIFS(Donnees_generations!$AC$3:$AC$113,Donnees_generations!$A$3:$A$113,MAX(1915,MIN(2025,E83))),SUMIFS(Donnees_generations!$AD$3:$AD$113,Donnees_generations!$A$3:$A$113,MAX(1915,MIN(2025,E83))),SUMIFS(Donnees_generations!$AE$3:$AE$113,Donnees_generations!$A$3:$A$113,MAX(1915,MIN(2025,E83))),SUMIFS(Donnees_generations!$AF$3:$AF$113,Donnees_generations!$A$3:$A$113,MAX(1915,MIN(2025,E83))),SUMIFS(Donnees_generations!$AG$3:$AG$113,Donnees_generations!$A$3:$A$113,MAX(1915,MIN(2025,E83))),SUMIFS(Donnees_generations!$AH$3:$AH$113,Donnees_generations!$A$3:$A$113,MAX(1915,MIN(2025,E83))),SUMIFS(Donnees_generations!$AI$3:$AI$113,Donnees_generations!$A$3:$A$113,MAX(1915,MIN(2025,E83))),SUMIFS(Donnees_generations!$AJ$3:$AJ$113,Donnees_generations!$A$3:$A$113,MAX(1915,MIN(2025,E83)))))/2</f>
        <v/>
      </c>
      <c r="AI83" s="75">
        <f>(CHOOSE(((AG83+2)-56)/2+1,SUMIFS(Donnees_generations!$U$3:$U$113,Donnees_generations!$A$3:$A$113,MAX(1915,MIN(2025,E83))),SUMIFS(Donnees_generations!$V$3:$V$113,Donnees_generations!$A$3:$A$113,MAX(1915,MIN(2025,E83))),SUMIFS(Donnees_generations!$W$3:$W$113,Donnees_generations!$A$3:$A$113,MAX(1915,MIN(2025,E83))),SUMIFS(Donnees_generations!$X$3:$X$113,Donnees_generations!$A$3:$A$113,MAX(1915,MIN(2025,E83))),SUMIFS(Donnees_generations!$Y$3:$Y$113,Donnees_generations!$A$3:$A$113,MAX(1915,MIN(2025,E83))),SUMIFS(Donnees_generations!$Z$3:$Z$113,Donnees_generations!$A$3:$A$113,MAX(1915,MIN(2025,E83))),SUMIFS(Donnees_generations!$AA$3:$AA$113,Donnees_generations!$A$3:$A$113,MAX(1915,MIN(2025,E83))),SUMIFS(Donnees_generations!$AB$3:$AB$113,Donnees_generations!$A$3:$A$113,MAX(1915,MIN(2025,E83))))+CHOOSE(((AG83+2)-56)/2+1,SUMIFS(Donnees_generations!$AC$3:$AC$113,Donnees_generations!$A$3:$A$113,MAX(1915,MIN(2025,E83))),SUMIFS(Donnees_generations!$AD$3:$AD$113,Donnees_generations!$A$3:$A$113,MAX(1915,MIN(2025,E83))),SUMIFS(Donnees_generations!$AE$3:$AE$113,Donnees_generations!$A$3:$A$113,MAX(1915,MIN(2025,E83))),SUMIFS(Donnees_generations!$AF$3:$AF$113,Donnees_generations!$A$3:$A$113,MAX(1915,MIN(2025,E83))),SUMIFS(Donnees_generations!$AG$3:$AG$113,Donnees_generations!$A$3:$A$113,MAX(1915,MIN(2025,E83))),SUMIFS(Donnees_generations!$AH$3:$AH$113,Donnees_generations!$A$3:$A$113,MAX(1915,MIN(2025,E83))),SUMIFS(Donnees_generations!$AI$3:$AI$113,Donnees_generations!$A$3:$A$113,MAX(1915,MIN(2025,E83))),SUMIFS(Donnees_generations!$AJ$3:$AJ$113,Donnees_generations!$A$3:$A$113,MAX(1915,MIN(2025,E83)))))/2</f>
        <v/>
      </c>
      <c r="AJ83" s="8">
        <f>MAX(0,AH83+(AI83-AH83)*(K83-AG83)/2)</f>
        <v/>
      </c>
      <c r="AK83" s="8">
        <f>K83+AJ83</f>
        <v/>
      </c>
      <c r="AL83" s="14">
        <f>AE83*AJ83</f>
        <v/>
      </c>
      <c r="AM83" s="17">
        <f>V83/AL83</f>
        <v/>
      </c>
      <c r="AN83" s="17">
        <f>Z83/AL83</f>
        <v/>
      </c>
      <c r="AO83" s="33">
        <f>IF(V83+Z83=0,0,Z83/(V83+Z83))</f>
        <v/>
      </c>
      <c r="AP83" s="14">
        <f>AL83/V83*100</f>
        <v/>
      </c>
      <c r="AQ83" s="8">
        <f>P83/AL83*1000</f>
        <v/>
      </c>
      <c r="AR83" s="77">
        <f>MAX(N83,M83-1)</f>
        <v/>
      </c>
      <c r="AS83" s="14">
        <f>SUMIFS(Donnees_regimes!$R$3:$R$1118,Donnees_regimes!$A$3:$A$1118,C83,Donnees_regimes!$B$3:$B$1118,"&gt;="&amp;G83,Donnees_regimes!$B$3:$B$1118,"&lt;="&amp;N83)*L83/ROUNDUP(L83,0)*SUMIFS(Donnees_annuelles!$AG$3:$AG$188,Donnees_annuelles!$A$3:$A$188,AR83)*SUMIFS(Donnees_annuelles!$AA$3:$AA$188,Donnees_annuelles!$A$3:$A$188,AR83)</f>
        <v/>
      </c>
      <c r="AT83" s="36">
        <f>AS83/V83</f>
        <v/>
      </c>
      <c r="AU83" s="14">
        <f>AL83</f>
        <v/>
      </c>
      <c r="AV83" s="39">
        <f>AS83-AL83</f>
        <v/>
      </c>
      <c r="AW83" s="9">
        <f>AS83/AL83-1</f>
        <v/>
      </c>
      <c r="AX83" s="14">
        <f>AS83/AJ83/12</f>
        <v/>
      </c>
      <c r="AY83" s="14">
        <f>AF83</f>
        <v/>
      </c>
      <c r="AZ83" s="39">
        <f>AX83-AF83</f>
        <v/>
      </c>
      <c r="BA83" s="14">
        <f>SUMIFS(Donnees_regimes!$S$3:$S$1118,Donnees_regimes!$A$3:$A$1118,C83,Donnees_regimes!$B$3:$B$1118,"&gt;="&amp;G83,Donnees_regimes!$B$3:$B$1118,"&lt;="&amp;N83)*L83/ROUNDUP(L83,0)*SUMIFS(Donnees_annuelles!$AH$3:$AH$188,Donnees_annuelles!$A$3:$A$188,AR83)*SUMIFS(Donnees_annuelles!$AA$3:$AA$188,Donnees_annuelles!$A$3:$A$188,AR83)</f>
        <v/>
      </c>
      <c r="BB83" s="39">
        <f>BA83-AL83</f>
        <v/>
      </c>
      <c r="BC83" s="7">
        <f>IF(M83+AJ83&gt;2026,IF(G83&gt;2026,"entièrement projeté","en partie projeté"),"observé")</f>
        <v/>
      </c>
    </row>
    <row r="84">
      <c r="A84" s="7" t="inlineStr">
        <is>
          <t>Génération Z</t>
        </is>
      </c>
      <c r="B84" s="84" t="inlineStr">
        <is>
          <t>Privé</t>
        </is>
      </c>
      <c r="C84" s="7">
        <f>IF(G84&gt;=SUMIFS(Regimes!$C$5:$C$10,Regimes!$A$5:$A$10,B84),"Privé",B84)</f>
        <v/>
      </c>
      <c r="D84" s="7">
        <f>INDEX(Regimes!$D$5:$D$10,MATCH(C84,Regimes!$A$5:$A$10,0))</f>
        <v/>
      </c>
      <c r="E84" s="88" t="n">
        <v>2009</v>
      </c>
      <c r="F84" s="8">
        <f>Donnees_generations!C97</f>
        <v/>
      </c>
      <c r="G84" s="77">
        <f>Donnees_generations!D97</f>
        <v/>
      </c>
      <c r="H84" s="8">
        <f>SUMIFS(Donnees_generations!$S$3:$S$113,Donnees_generations!$A$3:$A$113,MAX(1915,MIN(2025,E84)))</f>
        <v/>
      </c>
      <c r="I84" s="8">
        <f>SUMIFS(Donnees_generations!$T$3:$T$113,Donnees_generations!$A$3:$A$113,MAX(1915,MIN(2025,E84)))</f>
        <v/>
      </c>
      <c r="J84" s="8">
        <f>IF(G84&gt;=2000,MAX(I84,Parametres!$B$3),I84)</f>
        <v/>
      </c>
      <c r="K84" s="8">
        <f>IF(C84="Privé",J84,SUMIFS(Regles_regimes!$J$3:$J$2000,Regles_regimes!$A$3:$A$2000,C84,Regles_regimes!$B$3:$B$2000,D84,Regles_regimes!$C$3:$C$2000,MAX(1915,MIN(2025,E84))))</f>
        <v/>
      </c>
      <c r="L84" s="8">
        <f>IF(C84="Privé",H84,(K84-F84)*H84/(J84-F84))</f>
        <v/>
      </c>
      <c r="M84" s="77">
        <f>INT(E84+K84)</f>
        <v/>
      </c>
      <c r="N84" s="77">
        <f>G84+ROUNDUP(L84,0)-1</f>
        <v/>
      </c>
      <c r="O84" s="89">
        <f>SUMIFS(Regles_regimes!$K$3:$K$2000,Regles_regimes!$A$3:$A$2000,C84,Regles_regimes!$B$3:$B$2000,D84,Regles_regimes!$C$3:$C$2000,MAX(1915,MIN(2025,E84)))</f>
        <v/>
      </c>
      <c r="P84" s="13">
        <f>SUMIFS(Donnees_annuelles!$W$3:$W$188,Donnees_annuelles!$A$3:$A$188,"&gt;="&amp;G84,Donnees_annuelles!$A$3:$A$188,"&lt;="&amp;N84)*L84/ROUNDUP(L84,0)*O84</f>
        <v/>
      </c>
      <c r="Q84" s="13">
        <f>SUMIFS(Donnees_annuelles!$V$3:$V$188,Donnees_annuelles!$A$3:$A$188,"&gt;="&amp;G84,Donnees_annuelles!$A$3:$A$188,"&lt;="&amp;N84)*L84/ROUNDUP(L84,0)</f>
        <v/>
      </c>
      <c r="R84" s="13">
        <f>P84/L84</f>
        <v/>
      </c>
      <c r="S84" s="14">
        <f>SUMIFS(Donnees_annuelles!$D$3:$D$188,Donnees_annuelles!$A$3:$A$188,"&gt;="&amp;G84,Donnees_annuelles!$A$3:$A$188,"&lt;="&amp;N84)*L84/ROUNDUP(L84,0)</f>
        <v/>
      </c>
      <c r="T84" s="14">
        <f>SUMIFS(Donnees_regimes!$N$3:$N$1118,Donnees_regimes!$A$3:$A$1118,C84,Donnees_regimes!$B$3:$B$1118,"&gt;="&amp;G84,Donnees_regimes!$B$3:$B$1118,"&lt;="&amp;N84)*L84/ROUNDUP(L84,0)</f>
        <v/>
      </c>
      <c r="U84" s="14">
        <f>SUMIFS(Donnees_regimes!$O$3:$O$1118,Donnees_regimes!$A$3:$A$1118,C84,Donnees_regimes!$B$3:$B$1118,"&gt;="&amp;G84,Donnees_regimes!$B$3:$B$1118,"&lt;="&amp;N84)*L84/ROUNDUP(L84,0)</f>
        <v/>
      </c>
      <c r="V84" s="14">
        <f>T84+U84</f>
        <v/>
      </c>
      <c r="W84" s="33">
        <f>V84/S84</f>
        <v/>
      </c>
      <c r="X84" s="14">
        <f>S84+U84</f>
        <v/>
      </c>
      <c r="Y84" s="17">
        <f>V84/P84</f>
        <v/>
      </c>
      <c r="Z84" s="14">
        <f>SUMIFS(Donnees_regimes!$Q$3:$Q$1118,Donnees_regimes!$A$3:$A$1118,C84,Donnees_regimes!$B$3:$B$1118,"&gt;="&amp;G84,Donnees_regimes!$B$3:$B$1118,"&lt;="&amp;N84)*L84/ROUNDUP(L84,0)</f>
        <v/>
      </c>
      <c r="AA84" s="77">
        <f>SUMIFS(Regles_regimes!$F$3:$F$2000,Regles_regimes!$A$3:$A$2000,C84,Regles_regimes!$B$3:$B$2000,D84,Regles_regimes!$C$3:$C$2000,MAX(1915,MIN(2025,E84)))</f>
        <v/>
      </c>
      <c r="AB84" s="77">
        <f>IF(AND(SUMIFS(Regles_regimes!$L$3:$L$2000,Regles_regimes!$A$3:$A$2000,C84,Regles_regimes!$B$3:$B$2000,D84,Regles_regimes!$C$3:$C$2000,MAX(1915,MIN(2025,E84)))=1,G84&lt;2009,C84&lt;&gt;"Privé"),MIN(20,L84*4/5),0)</f>
        <v/>
      </c>
      <c r="AC84" s="89">
        <f>SUMIFS(Donnees_regimes!$M$3:$M$1118,Donnees_regimes!$A$3:$A$1118,C84,Donnees_regimes!$B$3:$B$1118,M84)</f>
        <v/>
      </c>
      <c r="AD84" s="14">
        <f>SUMIFS(Donnees_annuelles!$Y$3:$Y$188,Donnees_annuelles!$A$3:$A$188,M84)*SUMIFS(Donnees_generations!$I$3:$I$113,Donnees_generations!$A$3:$A$113,MAX(1915,MIN(2025,E84)))/H84</f>
        <v/>
      </c>
      <c r="AE84" s="14">
        <f>IF(C84="Privé",SUMIFS(Donnees_annuelles!$Y$3:$Y$188,Donnees_annuelles!$A$3:$A$188,M84)*MIN(L84,SUMIFS(Donnees_generations!$I$3:$I$113,Donnees_generations!$A$3:$A$113,MAX(1915,MIN(2025,E84))))/L84,AD84*AC84*MIN(IF(AB84&gt;0,0.8/0.75,1),(L84*4+AB84)/AA84))</f>
        <v/>
      </c>
      <c r="AF84" s="14">
        <f>AE84/12</f>
        <v/>
      </c>
      <c r="AG84" s="77">
        <f>MIN(68,MAX(56,2*INT(K84/2)))</f>
        <v/>
      </c>
      <c r="AH84" s="75">
        <f>(CHOOSE((AG84-56)/2+1,SUMIFS(Donnees_generations!$U$3:$U$113,Donnees_generations!$A$3:$A$113,MAX(1915,MIN(2025,E84))),SUMIFS(Donnees_generations!$V$3:$V$113,Donnees_generations!$A$3:$A$113,MAX(1915,MIN(2025,E84))),SUMIFS(Donnees_generations!$W$3:$W$113,Donnees_generations!$A$3:$A$113,MAX(1915,MIN(2025,E84))),SUMIFS(Donnees_generations!$X$3:$X$113,Donnees_generations!$A$3:$A$113,MAX(1915,MIN(2025,E84))),SUMIFS(Donnees_generations!$Y$3:$Y$113,Donnees_generations!$A$3:$A$113,MAX(1915,MIN(2025,E84))),SUMIFS(Donnees_generations!$Z$3:$Z$113,Donnees_generations!$A$3:$A$113,MAX(1915,MIN(2025,E84))),SUMIFS(Donnees_generations!$AA$3:$AA$113,Donnees_generations!$A$3:$A$113,MAX(1915,MIN(2025,E84))),SUMIFS(Donnees_generations!$AB$3:$AB$113,Donnees_generations!$A$3:$A$113,MAX(1915,MIN(2025,E84))))+CHOOSE((AG84-56)/2+1,SUMIFS(Donnees_generations!$AC$3:$AC$113,Donnees_generations!$A$3:$A$113,MAX(1915,MIN(2025,E84))),SUMIFS(Donnees_generations!$AD$3:$AD$113,Donnees_generations!$A$3:$A$113,MAX(1915,MIN(2025,E84))),SUMIFS(Donnees_generations!$AE$3:$AE$113,Donnees_generations!$A$3:$A$113,MAX(1915,MIN(2025,E84))),SUMIFS(Donnees_generations!$AF$3:$AF$113,Donnees_generations!$A$3:$A$113,MAX(1915,MIN(2025,E84))),SUMIFS(Donnees_generations!$AG$3:$AG$113,Donnees_generations!$A$3:$A$113,MAX(1915,MIN(2025,E84))),SUMIFS(Donnees_generations!$AH$3:$AH$113,Donnees_generations!$A$3:$A$113,MAX(1915,MIN(2025,E84))),SUMIFS(Donnees_generations!$AI$3:$AI$113,Donnees_generations!$A$3:$A$113,MAX(1915,MIN(2025,E84))),SUMIFS(Donnees_generations!$AJ$3:$AJ$113,Donnees_generations!$A$3:$A$113,MAX(1915,MIN(2025,E84)))))/2</f>
        <v/>
      </c>
      <c r="AI84" s="75">
        <f>(CHOOSE(((AG84+2)-56)/2+1,SUMIFS(Donnees_generations!$U$3:$U$113,Donnees_generations!$A$3:$A$113,MAX(1915,MIN(2025,E84))),SUMIFS(Donnees_generations!$V$3:$V$113,Donnees_generations!$A$3:$A$113,MAX(1915,MIN(2025,E84))),SUMIFS(Donnees_generations!$W$3:$W$113,Donnees_generations!$A$3:$A$113,MAX(1915,MIN(2025,E84))),SUMIFS(Donnees_generations!$X$3:$X$113,Donnees_generations!$A$3:$A$113,MAX(1915,MIN(2025,E84))),SUMIFS(Donnees_generations!$Y$3:$Y$113,Donnees_generations!$A$3:$A$113,MAX(1915,MIN(2025,E84))),SUMIFS(Donnees_generations!$Z$3:$Z$113,Donnees_generations!$A$3:$A$113,MAX(1915,MIN(2025,E84))),SUMIFS(Donnees_generations!$AA$3:$AA$113,Donnees_generations!$A$3:$A$113,MAX(1915,MIN(2025,E84))),SUMIFS(Donnees_generations!$AB$3:$AB$113,Donnees_generations!$A$3:$A$113,MAX(1915,MIN(2025,E84))))+CHOOSE(((AG84+2)-56)/2+1,SUMIFS(Donnees_generations!$AC$3:$AC$113,Donnees_generations!$A$3:$A$113,MAX(1915,MIN(2025,E84))),SUMIFS(Donnees_generations!$AD$3:$AD$113,Donnees_generations!$A$3:$A$113,MAX(1915,MIN(2025,E84))),SUMIFS(Donnees_generations!$AE$3:$AE$113,Donnees_generations!$A$3:$A$113,MAX(1915,MIN(2025,E84))),SUMIFS(Donnees_generations!$AF$3:$AF$113,Donnees_generations!$A$3:$A$113,MAX(1915,MIN(2025,E84))),SUMIFS(Donnees_generations!$AG$3:$AG$113,Donnees_generations!$A$3:$A$113,MAX(1915,MIN(2025,E84))),SUMIFS(Donnees_generations!$AH$3:$AH$113,Donnees_generations!$A$3:$A$113,MAX(1915,MIN(2025,E84))),SUMIFS(Donnees_generations!$AI$3:$AI$113,Donnees_generations!$A$3:$A$113,MAX(1915,MIN(2025,E84))),SUMIFS(Donnees_generations!$AJ$3:$AJ$113,Donnees_generations!$A$3:$A$113,MAX(1915,MIN(2025,E84)))))/2</f>
        <v/>
      </c>
      <c r="AJ84" s="8">
        <f>MAX(0,AH84+(AI84-AH84)*(K84-AG84)/2)</f>
        <v/>
      </c>
      <c r="AK84" s="8">
        <f>K84+AJ84</f>
        <v/>
      </c>
      <c r="AL84" s="14">
        <f>AE84*AJ84</f>
        <v/>
      </c>
      <c r="AM84" s="17">
        <f>V84/AL84</f>
        <v/>
      </c>
      <c r="AN84" s="17">
        <f>Z84/AL84</f>
        <v/>
      </c>
      <c r="AO84" s="33">
        <f>IF(V84+Z84=0,0,Z84/(V84+Z84))</f>
        <v/>
      </c>
      <c r="AP84" s="14">
        <f>AL84/V84*100</f>
        <v/>
      </c>
      <c r="AQ84" s="8">
        <f>P84/AL84*1000</f>
        <v/>
      </c>
      <c r="AR84" s="77">
        <f>MAX(N84,M84-1)</f>
        <v/>
      </c>
      <c r="AS84" s="14">
        <f>SUMIFS(Donnees_regimes!$R$3:$R$1118,Donnees_regimes!$A$3:$A$1118,C84,Donnees_regimes!$B$3:$B$1118,"&gt;="&amp;G84,Donnees_regimes!$B$3:$B$1118,"&lt;="&amp;N84)*L84/ROUNDUP(L84,0)*SUMIFS(Donnees_annuelles!$AG$3:$AG$188,Donnees_annuelles!$A$3:$A$188,AR84)*SUMIFS(Donnees_annuelles!$AA$3:$AA$188,Donnees_annuelles!$A$3:$A$188,AR84)</f>
        <v/>
      </c>
      <c r="AT84" s="36">
        <f>AS84/V84</f>
        <v/>
      </c>
      <c r="AU84" s="14">
        <f>AL84</f>
        <v/>
      </c>
      <c r="AV84" s="39">
        <f>AS84-AL84</f>
        <v/>
      </c>
      <c r="AW84" s="9">
        <f>AS84/AL84-1</f>
        <v/>
      </c>
      <c r="AX84" s="14">
        <f>AS84/AJ84/12</f>
        <v/>
      </c>
      <c r="AY84" s="14">
        <f>AF84</f>
        <v/>
      </c>
      <c r="AZ84" s="39">
        <f>AX84-AF84</f>
        <v/>
      </c>
      <c r="BA84" s="14">
        <f>SUMIFS(Donnees_regimes!$S$3:$S$1118,Donnees_regimes!$A$3:$A$1118,C84,Donnees_regimes!$B$3:$B$1118,"&gt;="&amp;G84,Donnees_regimes!$B$3:$B$1118,"&lt;="&amp;N84)*L84/ROUNDUP(L84,0)*SUMIFS(Donnees_annuelles!$AH$3:$AH$188,Donnees_annuelles!$A$3:$A$188,AR84)*SUMIFS(Donnees_annuelles!$AA$3:$AA$188,Donnees_annuelles!$A$3:$A$188,AR84)</f>
        <v/>
      </c>
      <c r="BB84" s="39">
        <f>BA84-AL84</f>
        <v/>
      </c>
      <c r="BC84" s="7">
        <f>IF(M84+AJ84&gt;2026,IF(G84&gt;2026,"entièrement projeté","en partie projeté"),"observé")</f>
        <v/>
      </c>
    </row>
    <row r="85">
      <c r="A85" s="7" t="inlineStr">
        <is>
          <t>Génération Z</t>
        </is>
      </c>
      <c r="B85" s="84" t="inlineStr">
        <is>
          <t>Privé</t>
        </is>
      </c>
      <c r="C85" s="7">
        <f>IF(G85&gt;=SUMIFS(Regimes!$C$5:$C$10,Regimes!$A$5:$A$10,B85),"Privé",B85)</f>
        <v/>
      </c>
      <c r="D85" s="7">
        <f>INDEX(Regimes!$D$5:$D$10,MATCH(C85,Regimes!$A$5:$A$10,0))</f>
        <v/>
      </c>
      <c r="E85" s="88" t="n">
        <v>2010</v>
      </c>
      <c r="F85" s="8">
        <f>Donnees_generations!C98</f>
        <v/>
      </c>
      <c r="G85" s="77">
        <f>Donnees_generations!D98</f>
        <v/>
      </c>
      <c r="H85" s="8">
        <f>SUMIFS(Donnees_generations!$S$3:$S$113,Donnees_generations!$A$3:$A$113,MAX(1915,MIN(2025,E85)))</f>
        <v/>
      </c>
      <c r="I85" s="8">
        <f>SUMIFS(Donnees_generations!$T$3:$T$113,Donnees_generations!$A$3:$A$113,MAX(1915,MIN(2025,E85)))</f>
        <v/>
      </c>
      <c r="J85" s="8">
        <f>IF(G85&gt;=2000,MAX(I85,Parametres!$B$3),I85)</f>
        <v/>
      </c>
      <c r="K85" s="8">
        <f>IF(C85="Privé",J85,SUMIFS(Regles_regimes!$J$3:$J$2000,Regles_regimes!$A$3:$A$2000,C85,Regles_regimes!$B$3:$B$2000,D85,Regles_regimes!$C$3:$C$2000,MAX(1915,MIN(2025,E85))))</f>
        <v/>
      </c>
      <c r="L85" s="8">
        <f>IF(C85="Privé",H85,(K85-F85)*H85/(J85-F85))</f>
        <v/>
      </c>
      <c r="M85" s="77">
        <f>INT(E85+K85)</f>
        <v/>
      </c>
      <c r="N85" s="77">
        <f>G85+ROUNDUP(L85,0)-1</f>
        <v/>
      </c>
      <c r="O85" s="89">
        <f>SUMIFS(Regles_regimes!$K$3:$K$2000,Regles_regimes!$A$3:$A$2000,C85,Regles_regimes!$B$3:$B$2000,D85,Regles_regimes!$C$3:$C$2000,MAX(1915,MIN(2025,E85)))</f>
        <v/>
      </c>
      <c r="P85" s="13">
        <f>SUMIFS(Donnees_annuelles!$W$3:$W$188,Donnees_annuelles!$A$3:$A$188,"&gt;="&amp;G85,Donnees_annuelles!$A$3:$A$188,"&lt;="&amp;N85)*L85/ROUNDUP(L85,0)*O85</f>
        <v/>
      </c>
      <c r="Q85" s="13">
        <f>SUMIFS(Donnees_annuelles!$V$3:$V$188,Donnees_annuelles!$A$3:$A$188,"&gt;="&amp;G85,Donnees_annuelles!$A$3:$A$188,"&lt;="&amp;N85)*L85/ROUNDUP(L85,0)</f>
        <v/>
      </c>
      <c r="R85" s="13">
        <f>P85/L85</f>
        <v/>
      </c>
      <c r="S85" s="14">
        <f>SUMIFS(Donnees_annuelles!$D$3:$D$188,Donnees_annuelles!$A$3:$A$188,"&gt;="&amp;G85,Donnees_annuelles!$A$3:$A$188,"&lt;="&amp;N85)*L85/ROUNDUP(L85,0)</f>
        <v/>
      </c>
      <c r="T85" s="14">
        <f>SUMIFS(Donnees_regimes!$N$3:$N$1118,Donnees_regimes!$A$3:$A$1118,C85,Donnees_regimes!$B$3:$B$1118,"&gt;="&amp;G85,Donnees_regimes!$B$3:$B$1118,"&lt;="&amp;N85)*L85/ROUNDUP(L85,0)</f>
        <v/>
      </c>
      <c r="U85" s="14">
        <f>SUMIFS(Donnees_regimes!$O$3:$O$1118,Donnees_regimes!$A$3:$A$1118,C85,Donnees_regimes!$B$3:$B$1118,"&gt;="&amp;G85,Donnees_regimes!$B$3:$B$1118,"&lt;="&amp;N85)*L85/ROUNDUP(L85,0)</f>
        <v/>
      </c>
      <c r="V85" s="14">
        <f>T85+U85</f>
        <v/>
      </c>
      <c r="W85" s="33">
        <f>V85/S85</f>
        <v/>
      </c>
      <c r="X85" s="14">
        <f>S85+U85</f>
        <v/>
      </c>
      <c r="Y85" s="17">
        <f>V85/P85</f>
        <v/>
      </c>
      <c r="Z85" s="14">
        <f>SUMIFS(Donnees_regimes!$Q$3:$Q$1118,Donnees_regimes!$A$3:$A$1118,C85,Donnees_regimes!$B$3:$B$1118,"&gt;="&amp;G85,Donnees_regimes!$B$3:$B$1118,"&lt;="&amp;N85)*L85/ROUNDUP(L85,0)</f>
        <v/>
      </c>
      <c r="AA85" s="77">
        <f>SUMIFS(Regles_regimes!$F$3:$F$2000,Regles_regimes!$A$3:$A$2000,C85,Regles_regimes!$B$3:$B$2000,D85,Regles_regimes!$C$3:$C$2000,MAX(1915,MIN(2025,E85)))</f>
        <v/>
      </c>
      <c r="AB85" s="77">
        <f>IF(AND(SUMIFS(Regles_regimes!$L$3:$L$2000,Regles_regimes!$A$3:$A$2000,C85,Regles_regimes!$B$3:$B$2000,D85,Regles_regimes!$C$3:$C$2000,MAX(1915,MIN(2025,E85)))=1,G85&lt;2009,C85&lt;&gt;"Privé"),MIN(20,L85*4/5),0)</f>
        <v/>
      </c>
      <c r="AC85" s="89">
        <f>SUMIFS(Donnees_regimes!$M$3:$M$1118,Donnees_regimes!$A$3:$A$1118,C85,Donnees_regimes!$B$3:$B$1118,M85)</f>
        <v/>
      </c>
      <c r="AD85" s="14">
        <f>SUMIFS(Donnees_annuelles!$Y$3:$Y$188,Donnees_annuelles!$A$3:$A$188,M85)*SUMIFS(Donnees_generations!$I$3:$I$113,Donnees_generations!$A$3:$A$113,MAX(1915,MIN(2025,E85)))/H85</f>
        <v/>
      </c>
      <c r="AE85" s="14">
        <f>IF(C85="Privé",SUMIFS(Donnees_annuelles!$Y$3:$Y$188,Donnees_annuelles!$A$3:$A$188,M85)*MIN(L85,SUMIFS(Donnees_generations!$I$3:$I$113,Donnees_generations!$A$3:$A$113,MAX(1915,MIN(2025,E85))))/L85,AD85*AC85*MIN(IF(AB85&gt;0,0.8/0.75,1),(L85*4+AB85)/AA85))</f>
        <v/>
      </c>
      <c r="AF85" s="14">
        <f>AE85/12</f>
        <v/>
      </c>
      <c r="AG85" s="77">
        <f>MIN(68,MAX(56,2*INT(K85/2)))</f>
        <v/>
      </c>
      <c r="AH85" s="75">
        <f>(CHOOSE((AG85-56)/2+1,SUMIFS(Donnees_generations!$U$3:$U$113,Donnees_generations!$A$3:$A$113,MAX(1915,MIN(2025,E85))),SUMIFS(Donnees_generations!$V$3:$V$113,Donnees_generations!$A$3:$A$113,MAX(1915,MIN(2025,E85))),SUMIFS(Donnees_generations!$W$3:$W$113,Donnees_generations!$A$3:$A$113,MAX(1915,MIN(2025,E85))),SUMIFS(Donnees_generations!$X$3:$X$113,Donnees_generations!$A$3:$A$113,MAX(1915,MIN(2025,E85))),SUMIFS(Donnees_generations!$Y$3:$Y$113,Donnees_generations!$A$3:$A$113,MAX(1915,MIN(2025,E85))),SUMIFS(Donnees_generations!$Z$3:$Z$113,Donnees_generations!$A$3:$A$113,MAX(1915,MIN(2025,E85))),SUMIFS(Donnees_generations!$AA$3:$AA$113,Donnees_generations!$A$3:$A$113,MAX(1915,MIN(2025,E85))),SUMIFS(Donnees_generations!$AB$3:$AB$113,Donnees_generations!$A$3:$A$113,MAX(1915,MIN(2025,E85))))+CHOOSE((AG85-56)/2+1,SUMIFS(Donnees_generations!$AC$3:$AC$113,Donnees_generations!$A$3:$A$113,MAX(1915,MIN(2025,E85))),SUMIFS(Donnees_generations!$AD$3:$AD$113,Donnees_generations!$A$3:$A$113,MAX(1915,MIN(2025,E85))),SUMIFS(Donnees_generations!$AE$3:$AE$113,Donnees_generations!$A$3:$A$113,MAX(1915,MIN(2025,E85))),SUMIFS(Donnees_generations!$AF$3:$AF$113,Donnees_generations!$A$3:$A$113,MAX(1915,MIN(2025,E85))),SUMIFS(Donnees_generations!$AG$3:$AG$113,Donnees_generations!$A$3:$A$113,MAX(1915,MIN(2025,E85))),SUMIFS(Donnees_generations!$AH$3:$AH$113,Donnees_generations!$A$3:$A$113,MAX(1915,MIN(2025,E85))),SUMIFS(Donnees_generations!$AI$3:$AI$113,Donnees_generations!$A$3:$A$113,MAX(1915,MIN(2025,E85))),SUMIFS(Donnees_generations!$AJ$3:$AJ$113,Donnees_generations!$A$3:$A$113,MAX(1915,MIN(2025,E85)))))/2</f>
        <v/>
      </c>
      <c r="AI85" s="75">
        <f>(CHOOSE(((AG85+2)-56)/2+1,SUMIFS(Donnees_generations!$U$3:$U$113,Donnees_generations!$A$3:$A$113,MAX(1915,MIN(2025,E85))),SUMIFS(Donnees_generations!$V$3:$V$113,Donnees_generations!$A$3:$A$113,MAX(1915,MIN(2025,E85))),SUMIFS(Donnees_generations!$W$3:$W$113,Donnees_generations!$A$3:$A$113,MAX(1915,MIN(2025,E85))),SUMIFS(Donnees_generations!$X$3:$X$113,Donnees_generations!$A$3:$A$113,MAX(1915,MIN(2025,E85))),SUMIFS(Donnees_generations!$Y$3:$Y$113,Donnees_generations!$A$3:$A$113,MAX(1915,MIN(2025,E85))),SUMIFS(Donnees_generations!$Z$3:$Z$113,Donnees_generations!$A$3:$A$113,MAX(1915,MIN(2025,E85))),SUMIFS(Donnees_generations!$AA$3:$AA$113,Donnees_generations!$A$3:$A$113,MAX(1915,MIN(2025,E85))),SUMIFS(Donnees_generations!$AB$3:$AB$113,Donnees_generations!$A$3:$A$113,MAX(1915,MIN(2025,E85))))+CHOOSE(((AG85+2)-56)/2+1,SUMIFS(Donnees_generations!$AC$3:$AC$113,Donnees_generations!$A$3:$A$113,MAX(1915,MIN(2025,E85))),SUMIFS(Donnees_generations!$AD$3:$AD$113,Donnees_generations!$A$3:$A$113,MAX(1915,MIN(2025,E85))),SUMIFS(Donnees_generations!$AE$3:$AE$113,Donnees_generations!$A$3:$A$113,MAX(1915,MIN(2025,E85))),SUMIFS(Donnees_generations!$AF$3:$AF$113,Donnees_generations!$A$3:$A$113,MAX(1915,MIN(2025,E85))),SUMIFS(Donnees_generations!$AG$3:$AG$113,Donnees_generations!$A$3:$A$113,MAX(1915,MIN(2025,E85))),SUMIFS(Donnees_generations!$AH$3:$AH$113,Donnees_generations!$A$3:$A$113,MAX(1915,MIN(2025,E85))),SUMIFS(Donnees_generations!$AI$3:$AI$113,Donnees_generations!$A$3:$A$113,MAX(1915,MIN(2025,E85))),SUMIFS(Donnees_generations!$AJ$3:$AJ$113,Donnees_generations!$A$3:$A$113,MAX(1915,MIN(2025,E85)))))/2</f>
        <v/>
      </c>
      <c r="AJ85" s="8">
        <f>MAX(0,AH85+(AI85-AH85)*(K85-AG85)/2)</f>
        <v/>
      </c>
      <c r="AK85" s="8">
        <f>K85+AJ85</f>
        <v/>
      </c>
      <c r="AL85" s="14">
        <f>AE85*AJ85</f>
        <v/>
      </c>
      <c r="AM85" s="17">
        <f>V85/AL85</f>
        <v/>
      </c>
      <c r="AN85" s="17">
        <f>Z85/AL85</f>
        <v/>
      </c>
      <c r="AO85" s="33">
        <f>IF(V85+Z85=0,0,Z85/(V85+Z85))</f>
        <v/>
      </c>
      <c r="AP85" s="14">
        <f>AL85/V85*100</f>
        <v/>
      </c>
      <c r="AQ85" s="8">
        <f>P85/AL85*1000</f>
        <v/>
      </c>
      <c r="AR85" s="77">
        <f>MAX(N85,M85-1)</f>
        <v/>
      </c>
      <c r="AS85" s="14">
        <f>SUMIFS(Donnees_regimes!$R$3:$R$1118,Donnees_regimes!$A$3:$A$1118,C85,Donnees_regimes!$B$3:$B$1118,"&gt;="&amp;G85,Donnees_regimes!$B$3:$B$1118,"&lt;="&amp;N85)*L85/ROUNDUP(L85,0)*SUMIFS(Donnees_annuelles!$AG$3:$AG$188,Donnees_annuelles!$A$3:$A$188,AR85)*SUMIFS(Donnees_annuelles!$AA$3:$AA$188,Donnees_annuelles!$A$3:$A$188,AR85)</f>
        <v/>
      </c>
      <c r="AT85" s="36">
        <f>AS85/V85</f>
        <v/>
      </c>
      <c r="AU85" s="14">
        <f>AL85</f>
        <v/>
      </c>
      <c r="AV85" s="39">
        <f>AS85-AL85</f>
        <v/>
      </c>
      <c r="AW85" s="9">
        <f>AS85/AL85-1</f>
        <v/>
      </c>
      <c r="AX85" s="14">
        <f>AS85/AJ85/12</f>
        <v/>
      </c>
      <c r="AY85" s="14">
        <f>AF85</f>
        <v/>
      </c>
      <c r="AZ85" s="39">
        <f>AX85-AF85</f>
        <v/>
      </c>
      <c r="BA85" s="14">
        <f>SUMIFS(Donnees_regimes!$S$3:$S$1118,Donnees_regimes!$A$3:$A$1118,C85,Donnees_regimes!$B$3:$B$1118,"&gt;="&amp;G85,Donnees_regimes!$B$3:$B$1118,"&lt;="&amp;N85)*L85/ROUNDUP(L85,0)*SUMIFS(Donnees_annuelles!$AH$3:$AH$188,Donnees_annuelles!$A$3:$A$188,AR85)*SUMIFS(Donnees_annuelles!$AA$3:$AA$188,Donnees_annuelles!$A$3:$A$188,AR85)</f>
        <v/>
      </c>
      <c r="BB85" s="39">
        <f>BA85-AL85</f>
        <v/>
      </c>
      <c r="BC85" s="7">
        <f>IF(M85+AJ85&gt;2026,IF(G85&gt;2026,"entièrement projeté","en partie projeté"),"observé")</f>
        <v/>
      </c>
    </row>
    <row r="86">
      <c r="A86" s="7" t="inlineStr">
        <is>
          <t>Génération Z</t>
        </is>
      </c>
      <c r="B86" s="84" t="inlineStr">
        <is>
          <t>Privé</t>
        </is>
      </c>
      <c r="C86" s="7">
        <f>IF(G86&gt;=SUMIFS(Regimes!$C$5:$C$10,Regimes!$A$5:$A$10,B86),"Privé",B86)</f>
        <v/>
      </c>
      <c r="D86" s="7">
        <f>INDEX(Regimes!$D$5:$D$10,MATCH(C86,Regimes!$A$5:$A$10,0))</f>
        <v/>
      </c>
      <c r="E86" s="88" t="n">
        <v>2011</v>
      </c>
      <c r="F86" s="8">
        <f>Donnees_generations!C99</f>
        <v/>
      </c>
      <c r="G86" s="77">
        <f>Donnees_generations!D99</f>
        <v/>
      </c>
      <c r="H86" s="8">
        <f>SUMIFS(Donnees_generations!$S$3:$S$113,Donnees_generations!$A$3:$A$113,MAX(1915,MIN(2025,E86)))</f>
        <v/>
      </c>
      <c r="I86" s="8">
        <f>SUMIFS(Donnees_generations!$T$3:$T$113,Donnees_generations!$A$3:$A$113,MAX(1915,MIN(2025,E86)))</f>
        <v/>
      </c>
      <c r="J86" s="8">
        <f>IF(G86&gt;=2000,MAX(I86,Parametres!$B$3),I86)</f>
        <v/>
      </c>
      <c r="K86" s="8">
        <f>IF(C86="Privé",J86,SUMIFS(Regles_regimes!$J$3:$J$2000,Regles_regimes!$A$3:$A$2000,C86,Regles_regimes!$B$3:$B$2000,D86,Regles_regimes!$C$3:$C$2000,MAX(1915,MIN(2025,E86))))</f>
        <v/>
      </c>
      <c r="L86" s="8">
        <f>IF(C86="Privé",H86,(K86-F86)*H86/(J86-F86))</f>
        <v/>
      </c>
      <c r="M86" s="77">
        <f>INT(E86+K86)</f>
        <v/>
      </c>
      <c r="N86" s="77">
        <f>G86+ROUNDUP(L86,0)-1</f>
        <v/>
      </c>
      <c r="O86" s="89">
        <f>SUMIFS(Regles_regimes!$K$3:$K$2000,Regles_regimes!$A$3:$A$2000,C86,Regles_regimes!$B$3:$B$2000,D86,Regles_regimes!$C$3:$C$2000,MAX(1915,MIN(2025,E86)))</f>
        <v/>
      </c>
      <c r="P86" s="13">
        <f>SUMIFS(Donnees_annuelles!$W$3:$W$188,Donnees_annuelles!$A$3:$A$188,"&gt;="&amp;G86,Donnees_annuelles!$A$3:$A$188,"&lt;="&amp;N86)*L86/ROUNDUP(L86,0)*O86</f>
        <v/>
      </c>
      <c r="Q86" s="13">
        <f>SUMIFS(Donnees_annuelles!$V$3:$V$188,Donnees_annuelles!$A$3:$A$188,"&gt;="&amp;G86,Donnees_annuelles!$A$3:$A$188,"&lt;="&amp;N86)*L86/ROUNDUP(L86,0)</f>
        <v/>
      </c>
      <c r="R86" s="13">
        <f>P86/L86</f>
        <v/>
      </c>
      <c r="S86" s="14">
        <f>SUMIFS(Donnees_annuelles!$D$3:$D$188,Donnees_annuelles!$A$3:$A$188,"&gt;="&amp;G86,Donnees_annuelles!$A$3:$A$188,"&lt;="&amp;N86)*L86/ROUNDUP(L86,0)</f>
        <v/>
      </c>
      <c r="T86" s="14">
        <f>SUMIFS(Donnees_regimes!$N$3:$N$1118,Donnees_regimes!$A$3:$A$1118,C86,Donnees_regimes!$B$3:$B$1118,"&gt;="&amp;G86,Donnees_regimes!$B$3:$B$1118,"&lt;="&amp;N86)*L86/ROUNDUP(L86,0)</f>
        <v/>
      </c>
      <c r="U86" s="14">
        <f>SUMIFS(Donnees_regimes!$O$3:$O$1118,Donnees_regimes!$A$3:$A$1118,C86,Donnees_regimes!$B$3:$B$1118,"&gt;="&amp;G86,Donnees_regimes!$B$3:$B$1118,"&lt;="&amp;N86)*L86/ROUNDUP(L86,0)</f>
        <v/>
      </c>
      <c r="V86" s="14">
        <f>T86+U86</f>
        <v/>
      </c>
      <c r="W86" s="33">
        <f>V86/S86</f>
        <v/>
      </c>
      <c r="X86" s="14">
        <f>S86+U86</f>
        <v/>
      </c>
      <c r="Y86" s="17">
        <f>V86/P86</f>
        <v/>
      </c>
      <c r="Z86" s="14">
        <f>SUMIFS(Donnees_regimes!$Q$3:$Q$1118,Donnees_regimes!$A$3:$A$1118,C86,Donnees_regimes!$B$3:$B$1118,"&gt;="&amp;G86,Donnees_regimes!$B$3:$B$1118,"&lt;="&amp;N86)*L86/ROUNDUP(L86,0)</f>
        <v/>
      </c>
      <c r="AA86" s="77">
        <f>SUMIFS(Regles_regimes!$F$3:$F$2000,Regles_regimes!$A$3:$A$2000,C86,Regles_regimes!$B$3:$B$2000,D86,Regles_regimes!$C$3:$C$2000,MAX(1915,MIN(2025,E86)))</f>
        <v/>
      </c>
      <c r="AB86" s="77">
        <f>IF(AND(SUMIFS(Regles_regimes!$L$3:$L$2000,Regles_regimes!$A$3:$A$2000,C86,Regles_regimes!$B$3:$B$2000,D86,Regles_regimes!$C$3:$C$2000,MAX(1915,MIN(2025,E86)))=1,G86&lt;2009,C86&lt;&gt;"Privé"),MIN(20,L86*4/5),0)</f>
        <v/>
      </c>
      <c r="AC86" s="89">
        <f>SUMIFS(Donnees_regimes!$M$3:$M$1118,Donnees_regimes!$A$3:$A$1118,C86,Donnees_regimes!$B$3:$B$1118,M86)</f>
        <v/>
      </c>
      <c r="AD86" s="14">
        <f>SUMIFS(Donnees_annuelles!$Y$3:$Y$188,Donnees_annuelles!$A$3:$A$188,M86)*SUMIFS(Donnees_generations!$I$3:$I$113,Donnees_generations!$A$3:$A$113,MAX(1915,MIN(2025,E86)))/H86</f>
        <v/>
      </c>
      <c r="AE86" s="14">
        <f>IF(C86="Privé",SUMIFS(Donnees_annuelles!$Y$3:$Y$188,Donnees_annuelles!$A$3:$A$188,M86)*MIN(L86,SUMIFS(Donnees_generations!$I$3:$I$113,Donnees_generations!$A$3:$A$113,MAX(1915,MIN(2025,E86))))/L86,AD86*AC86*MIN(IF(AB86&gt;0,0.8/0.75,1),(L86*4+AB86)/AA86))</f>
        <v/>
      </c>
      <c r="AF86" s="14">
        <f>AE86/12</f>
        <v/>
      </c>
      <c r="AG86" s="77">
        <f>MIN(68,MAX(56,2*INT(K86/2)))</f>
        <v/>
      </c>
      <c r="AH86" s="75">
        <f>(CHOOSE((AG86-56)/2+1,SUMIFS(Donnees_generations!$U$3:$U$113,Donnees_generations!$A$3:$A$113,MAX(1915,MIN(2025,E86))),SUMIFS(Donnees_generations!$V$3:$V$113,Donnees_generations!$A$3:$A$113,MAX(1915,MIN(2025,E86))),SUMIFS(Donnees_generations!$W$3:$W$113,Donnees_generations!$A$3:$A$113,MAX(1915,MIN(2025,E86))),SUMIFS(Donnees_generations!$X$3:$X$113,Donnees_generations!$A$3:$A$113,MAX(1915,MIN(2025,E86))),SUMIFS(Donnees_generations!$Y$3:$Y$113,Donnees_generations!$A$3:$A$113,MAX(1915,MIN(2025,E86))),SUMIFS(Donnees_generations!$Z$3:$Z$113,Donnees_generations!$A$3:$A$113,MAX(1915,MIN(2025,E86))),SUMIFS(Donnees_generations!$AA$3:$AA$113,Donnees_generations!$A$3:$A$113,MAX(1915,MIN(2025,E86))),SUMIFS(Donnees_generations!$AB$3:$AB$113,Donnees_generations!$A$3:$A$113,MAX(1915,MIN(2025,E86))))+CHOOSE((AG86-56)/2+1,SUMIFS(Donnees_generations!$AC$3:$AC$113,Donnees_generations!$A$3:$A$113,MAX(1915,MIN(2025,E86))),SUMIFS(Donnees_generations!$AD$3:$AD$113,Donnees_generations!$A$3:$A$113,MAX(1915,MIN(2025,E86))),SUMIFS(Donnees_generations!$AE$3:$AE$113,Donnees_generations!$A$3:$A$113,MAX(1915,MIN(2025,E86))),SUMIFS(Donnees_generations!$AF$3:$AF$113,Donnees_generations!$A$3:$A$113,MAX(1915,MIN(2025,E86))),SUMIFS(Donnees_generations!$AG$3:$AG$113,Donnees_generations!$A$3:$A$113,MAX(1915,MIN(2025,E86))),SUMIFS(Donnees_generations!$AH$3:$AH$113,Donnees_generations!$A$3:$A$113,MAX(1915,MIN(2025,E86))),SUMIFS(Donnees_generations!$AI$3:$AI$113,Donnees_generations!$A$3:$A$113,MAX(1915,MIN(2025,E86))),SUMIFS(Donnees_generations!$AJ$3:$AJ$113,Donnees_generations!$A$3:$A$113,MAX(1915,MIN(2025,E86)))))/2</f>
        <v/>
      </c>
      <c r="AI86" s="75">
        <f>(CHOOSE(((AG86+2)-56)/2+1,SUMIFS(Donnees_generations!$U$3:$U$113,Donnees_generations!$A$3:$A$113,MAX(1915,MIN(2025,E86))),SUMIFS(Donnees_generations!$V$3:$V$113,Donnees_generations!$A$3:$A$113,MAX(1915,MIN(2025,E86))),SUMIFS(Donnees_generations!$W$3:$W$113,Donnees_generations!$A$3:$A$113,MAX(1915,MIN(2025,E86))),SUMIFS(Donnees_generations!$X$3:$X$113,Donnees_generations!$A$3:$A$113,MAX(1915,MIN(2025,E86))),SUMIFS(Donnees_generations!$Y$3:$Y$113,Donnees_generations!$A$3:$A$113,MAX(1915,MIN(2025,E86))),SUMIFS(Donnees_generations!$Z$3:$Z$113,Donnees_generations!$A$3:$A$113,MAX(1915,MIN(2025,E86))),SUMIFS(Donnees_generations!$AA$3:$AA$113,Donnees_generations!$A$3:$A$113,MAX(1915,MIN(2025,E86))),SUMIFS(Donnees_generations!$AB$3:$AB$113,Donnees_generations!$A$3:$A$113,MAX(1915,MIN(2025,E86))))+CHOOSE(((AG86+2)-56)/2+1,SUMIFS(Donnees_generations!$AC$3:$AC$113,Donnees_generations!$A$3:$A$113,MAX(1915,MIN(2025,E86))),SUMIFS(Donnees_generations!$AD$3:$AD$113,Donnees_generations!$A$3:$A$113,MAX(1915,MIN(2025,E86))),SUMIFS(Donnees_generations!$AE$3:$AE$113,Donnees_generations!$A$3:$A$113,MAX(1915,MIN(2025,E86))),SUMIFS(Donnees_generations!$AF$3:$AF$113,Donnees_generations!$A$3:$A$113,MAX(1915,MIN(2025,E86))),SUMIFS(Donnees_generations!$AG$3:$AG$113,Donnees_generations!$A$3:$A$113,MAX(1915,MIN(2025,E86))),SUMIFS(Donnees_generations!$AH$3:$AH$113,Donnees_generations!$A$3:$A$113,MAX(1915,MIN(2025,E86))),SUMIFS(Donnees_generations!$AI$3:$AI$113,Donnees_generations!$A$3:$A$113,MAX(1915,MIN(2025,E86))),SUMIFS(Donnees_generations!$AJ$3:$AJ$113,Donnees_generations!$A$3:$A$113,MAX(1915,MIN(2025,E86)))))/2</f>
        <v/>
      </c>
      <c r="AJ86" s="8">
        <f>MAX(0,AH86+(AI86-AH86)*(K86-AG86)/2)</f>
        <v/>
      </c>
      <c r="AK86" s="8">
        <f>K86+AJ86</f>
        <v/>
      </c>
      <c r="AL86" s="14">
        <f>AE86*AJ86</f>
        <v/>
      </c>
      <c r="AM86" s="17">
        <f>V86/AL86</f>
        <v/>
      </c>
      <c r="AN86" s="17">
        <f>Z86/AL86</f>
        <v/>
      </c>
      <c r="AO86" s="33">
        <f>IF(V86+Z86=0,0,Z86/(V86+Z86))</f>
        <v/>
      </c>
      <c r="AP86" s="14">
        <f>AL86/V86*100</f>
        <v/>
      </c>
      <c r="AQ86" s="8">
        <f>P86/AL86*1000</f>
        <v/>
      </c>
      <c r="AR86" s="77">
        <f>MAX(N86,M86-1)</f>
        <v/>
      </c>
      <c r="AS86" s="14">
        <f>SUMIFS(Donnees_regimes!$R$3:$R$1118,Donnees_regimes!$A$3:$A$1118,C86,Donnees_regimes!$B$3:$B$1118,"&gt;="&amp;G86,Donnees_regimes!$B$3:$B$1118,"&lt;="&amp;N86)*L86/ROUNDUP(L86,0)*SUMIFS(Donnees_annuelles!$AG$3:$AG$188,Donnees_annuelles!$A$3:$A$188,AR86)*SUMIFS(Donnees_annuelles!$AA$3:$AA$188,Donnees_annuelles!$A$3:$A$188,AR86)</f>
        <v/>
      </c>
      <c r="AT86" s="36">
        <f>AS86/V86</f>
        <v/>
      </c>
      <c r="AU86" s="14">
        <f>AL86</f>
        <v/>
      </c>
      <c r="AV86" s="39">
        <f>AS86-AL86</f>
        <v/>
      </c>
      <c r="AW86" s="9">
        <f>AS86/AL86-1</f>
        <v/>
      </c>
      <c r="AX86" s="14">
        <f>AS86/AJ86/12</f>
        <v/>
      </c>
      <c r="AY86" s="14">
        <f>AF86</f>
        <v/>
      </c>
      <c r="AZ86" s="39">
        <f>AX86-AF86</f>
        <v/>
      </c>
      <c r="BA86" s="14">
        <f>SUMIFS(Donnees_regimes!$S$3:$S$1118,Donnees_regimes!$A$3:$A$1118,C86,Donnees_regimes!$B$3:$B$1118,"&gt;="&amp;G86,Donnees_regimes!$B$3:$B$1118,"&lt;="&amp;N86)*L86/ROUNDUP(L86,0)*SUMIFS(Donnees_annuelles!$AH$3:$AH$188,Donnees_annuelles!$A$3:$A$188,AR86)*SUMIFS(Donnees_annuelles!$AA$3:$AA$188,Donnees_annuelles!$A$3:$A$188,AR86)</f>
        <v/>
      </c>
      <c r="BB86" s="39">
        <f>BA86-AL86</f>
        <v/>
      </c>
      <c r="BC86" s="7">
        <f>IF(M86+AJ86&gt;2026,IF(G86&gt;2026,"entièrement projeté","en partie projeté"),"observé")</f>
        <v/>
      </c>
    </row>
    <row r="87">
      <c r="A87" s="7" t="inlineStr">
        <is>
          <t>Génération Z</t>
        </is>
      </c>
      <c r="B87" s="84" t="inlineStr">
        <is>
          <t>Privé</t>
        </is>
      </c>
      <c r="C87" s="7">
        <f>IF(G87&gt;=SUMIFS(Regimes!$C$5:$C$10,Regimes!$A$5:$A$10,B87),"Privé",B87)</f>
        <v/>
      </c>
      <c r="D87" s="7">
        <f>INDEX(Regimes!$D$5:$D$10,MATCH(C87,Regimes!$A$5:$A$10,0))</f>
        <v/>
      </c>
      <c r="E87" s="88" t="n">
        <v>2012</v>
      </c>
      <c r="F87" s="8">
        <f>Donnees_generations!C100</f>
        <v/>
      </c>
      <c r="G87" s="77">
        <f>Donnees_generations!D100</f>
        <v/>
      </c>
      <c r="H87" s="8">
        <f>SUMIFS(Donnees_generations!$S$3:$S$113,Donnees_generations!$A$3:$A$113,MAX(1915,MIN(2025,E87)))</f>
        <v/>
      </c>
      <c r="I87" s="8">
        <f>SUMIFS(Donnees_generations!$T$3:$T$113,Donnees_generations!$A$3:$A$113,MAX(1915,MIN(2025,E87)))</f>
        <v/>
      </c>
      <c r="J87" s="8">
        <f>IF(G87&gt;=2000,MAX(I87,Parametres!$B$3),I87)</f>
        <v/>
      </c>
      <c r="K87" s="8">
        <f>IF(C87="Privé",J87,SUMIFS(Regles_regimes!$J$3:$J$2000,Regles_regimes!$A$3:$A$2000,C87,Regles_regimes!$B$3:$B$2000,D87,Regles_regimes!$C$3:$C$2000,MAX(1915,MIN(2025,E87))))</f>
        <v/>
      </c>
      <c r="L87" s="8">
        <f>IF(C87="Privé",H87,(K87-F87)*H87/(J87-F87))</f>
        <v/>
      </c>
      <c r="M87" s="77">
        <f>INT(E87+K87)</f>
        <v/>
      </c>
      <c r="N87" s="77">
        <f>G87+ROUNDUP(L87,0)-1</f>
        <v/>
      </c>
      <c r="O87" s="89">
        <f>SUMIFS(Regles_regimes!$K$3:$K$2000,Regles_regimes!$A$3:$A$2000,C87,Regles_regimes!$B$3:$B$2000,D87,Regles_regimes!$C$3:$C$2000,MAX(1915,MIN(2025,E87)))</f>
        <v/>
      </c>
      <c r="P87" s="13">
        <f>SUMIFS(Donnees_annuelles!$W$3:$W$188,Donnees_annuelles!$A$3:$A$188,"&gt;="&amp;G87,Donnees_annuelles!$A$3:$A$188,"&lt;="&amp;N87)*L87/ROUNDUP(L87,0)*O87</f>
        <v/>
      </c>
      <c r="Q87" s="13">
        <f>SUMIFS(Donnees_annuelles!$V$3:$V$188,Donnees_annuelles!$A$3:$A$188,"&gt;="&amp;G87,Donnees_annuelles!$A$3:$A$188,"&lt;="&amp;N87)*L87/ROUNDUP(L87,0)</f>
        <v/>
      </c>
      <c r="R87" s="13">
        <f>P87/L87</f>
        <v/>
      </c>
      <c r="S87" s="14">
        <f>SUMIFS(Donnees_annuelles!$D$3:$D$188,Donnees_annuelles!$A$3:$A$188,"&gt;="&amp;G87,Donnees_annuelles!$A$3:$A$188,"&lt;="&amp;N87)*L87/ROUNDUP(L87,0)</f>
        <v/>
      </c>
      <c r="T87" s="14">
        <f>SUMIFS(Donnees_regimes!$N$3:$N$1118,Donnees_regimes!$A$3:$A$1118,C87,Donnees_regimes!$B$3:$B$1118,"&gt;="&amp;G87,Donnees_regimes!$B$3:$B$1118,"&lt;="&amp;N87)*L87/ROUNDUP(L87,0)</f>
        <v/>
      </c>
      <c r="U87" s="14">
        <f>SUMIFS(Donnees_regimes!$O$3:$O$1118,Donnees_regimes!$A$3:$A$1118,C87,Donnees_regimes!$B$3:$B$1118,"&gt;="&amp;G87,Donnees_regimes!$B$3:$B$1118,"&lt;="&amp;N87)*L87/ROUNDUP(L87,0)</f>
        <v/>
      </c>
      <c r="V87" s="14">
        <f>T87+U87</f>
        <v/>
      </c>
      <c r="W87" s="33">
        <f>V87/S87</f>
        <v/>
      </c>
      <c r="X87" s="14">
        <f>S87+U87</f>
        <v/>
      </c>
      <c r="Y87" s="17">
        <f>V87/P87</f>
        <v/>
      </c>
      <c r="Z87" s="14">
        <f>SUMIFS(Donnees_regimes!$Q$3:$Q$1118,Donnees_regimes!$A$3:$A$1118,C87,Donnees_regimes!$B$3:$B$1118,"&gt;="&amp;G87,Donnees_regimes!$B$3:$B$1118,"&lt;="&amp;N87)*L87/ROUNDUP(L87,0)</f>
        <v/>
      </c>
      <c r="AA87" s="77">
        <f>SUMIFS(Regles_regimes!$F$3:$F$2000,Regles_regimes!$A$3:$A$2000,C87,Regles_regimes!$B$3:$B$2000,D87,Regles_regimes!$C$3:$C$2000,MAX(1915,MIN(2025,E87)))</f>
        <v/>
      </c>
      <c r="AB87" s="77">
        <f>IF(AND(SUMIFS(Regles_regimes!$L$3:$L$2000,Regles_regimes!$A$3:$A$2000,C87,Regles_regimes!$B$3:$B$2000,D87,Regles_regimes!$C$3:$C$2000,MAX(1915,MIN(2025,E87)))=1,G87&lt;2009,C87&lt;&gt;"Privé"),MIN(20,L87*4/5),0)</f>
        <v/>
      </c>
      <c r="AC87" s="89">
        <f>SUMIFS(Donnees_regimes!$M$3:$M$1118,Donnees_regimes!$A$3:$A$1118,C87,Donnees_regimes!$B$3:$B$1118,M87)</f>
        <v/>
      </c>
      <c r="AD87" s="14">
        <f>SUMIFS(Donnees_annuelles!$Y$3:$Y$188,Donnees_annuelles!$A$3:$A$188,M87)*SUMIFS(Donnees_generations!$I$3:$I$113,Donnees_generations!$A$3:$A$113,MAX(1915,MIN(2025,E87)))/H87</f>
        <v/>
      </c>
      <c r="AE87" s="14">
        <f>IF(C87="Privé",SUMIFS(Donnees_annuelles!$Y$3:$Y$188,Donnees_annuelles!$A$3:$A$188,M87)*MIN(L87,SUMIFS(Donnees_generations!$I$3:$I$113,Donnees_generations!$A$3:$A$113,MAX(1915,MIN(2025,E87))))/L87,AD87*AC87*MIN(IF(AB87&gt;0,0.8/0.75,1),(L87*4+AB87)/AA87))</f>
        <v/>
      </c>
      <c r="AF87" s="14">
        <f>AE87/12</f>
        <v/>
      </c>
      <c r="AG87" s="77">
        <f>MIN(68,MAX(56,2*INT(K87/2)))</f>
        <v/>
      </c>
      <c r="AH87" s="75">
        <f>(CHOOSE((AG87-56)/2+1,SUMIFS(Donnees_generations!$U$3:$U$113,Donnees_generations!$A$3:$A$113,MAX(1915,MIN(2025,E87))),SUMIFS(Donnees_generations!$V$3:$V$113,Donnees_generations!$A$3:$A$113,MAX(1915,MIN(2025,E87))),SUMIFS(Donnees_generations!$W$3:$W$113,Donnees_generations!$A$3:$A$113,MAX(1915,MIN(2025,E87))),SUMIFS(Donnees_generations!$X$3:$X$113,Donnees_generations!$A$3:$A$113,MAX(1915,MIN(2025,E87))),SUMIFS(Donnees_generations!$Y$3:$Y$113,Donnees_generations!$A$3:$A$113,MAX(1915,MIN(2025,E87))),SUMIFS(Donnees_generations!$Z$3:$Z$113,Donnees_generations!$A$3:$A$113,MAX(1915,MIN(2025,E87))),SUMIFS(Donnees_generations!$AA$3:$AA$113,Donnees_generations!$A$3:$A$113,MAX(1915,MIN(2025,E87))),SUMIFS(Donnees_generations!$AB$3:$AB$113,Donnees_generations!$A$3:$A$113,MAX(1915,MIN(2025,E87))))+CHOOSE((AG87-56)/2+1,SUMIFS(Donnees_generations!$AC$3:$AC$113,Donnees_generations!$A$3:$A$113,MAX(1915,MIN(2025,E87))),SUMIFS(Donnees_generations!$AD$3:$AD$113,Donnees_generations!$A$3:$A$113,MAX(1915,MIN(2025,E87))),SUMIFS(Donnees_generations!$AE$3:$AE$113,Donnees_generations!$A$3:$A$113,MAX(1915,MIN(2025,E87))),SUMIFS(Donnees_generations!$AF$3:$AF$113,Donnees_generations!$A$3:$A$113,MAX(1915,MIN(2025,E87))),SUMIFS(Donnees_generations!$AG$3:$AG$113,Donnees_generations!$A$3:$A$113,MAX(1915,MIN(2025,E87))),SUMIFS(Donnees_generations!$AH$3:$AH$113,Donnees_generations!$A$3:$A$113,MAX(1915,MIN(2025,E87))),SUMIFS(Donnees_generations!$AI$3:$AI$113,Donnees_generations!$A$3:$A$113,MAX(1915,MIN(2025,E87))),SUMIFS(Donnees_generations!$AJ$3:$AJ$113,Donnees_generations!$A$3:$A$113,MAX(1915,MIN(2025,E87)))))/2</f>
        <v/>
      </c>
      <c r="AI87" s="75">
        <f>(CHOOSE(((AG87+2)-56)/2+1,SUMIFS(Donnees_generations!$U$3:$U$113,Donnees_generations!$A$3:$A$113,MAX(1915,MIN(2025,E87))),SUMIFS(Donnees_generations!$V$3:$V$113,Donnees_generations!$A$3:$A$113,MAX(1915,MIN(2025,E87))),SUMIFS(Donnees_generations!$W$3:$W$113,Donnees_generations!$A$3:$A$113,MAX(1915,MIN(2025,E87))),SUMIFS(Donnees_generations!$X$3:$X$113,Donnees_generations!$A$3:$A$113,MAX(1915,MIN(2025,E87))),SUMIFS(Donnees_generations!$Y$3:$Y$113,Donnees_generations!$A$3:$A$113,MAX(1915,MIN(2025,E87))),SUMIFS(Donnees_generations!$Z$3:$Z$113,Donnees_generations!$A$3:$A$113,MAX(1915,MIN(2025,E87))),SUMIFS(Donnees_generations!$AA$3:$AA$113,Donnees_generations!$A$3:$A$113,MAX(1915,MIN(2025,E87))),SUMIFS(Donnees_generations!$AB$3:$AB$113,Donnees_generations!$A$3:$A$113,MAX(1915,MIN(2025,E87))))+CHOOSE(((AG87+2)-56)/2+1,SUMIFS(Donnees_generations!$AC$3:$AC$113,Donnees_generations!$A$3:$A$113,MAX(1915,MIN(2025,E87))),SUMIFS(Donnees_generations!$AD$3:$AD$113,Donnees_generations!$A$3:$A$113,MAX(1915,MIN(2025,E87))),SUMIFS(Donnees_generations!$AE$3:$AE$113,Donnees_generations!$A$3:$A$113,MAX(1915,MIN(2025,E87))),SUMIFS(Donnees_generations!$AF$3:$AF$113,Donnees_generations!$A$3:$A$113,MAX(1915,MIN(2025,E87))),SUMIFS(Donnees_generations!$AG$3:$AG$113,Donnees_generations!$A$3:$A$113,MAX(1915,MIN(2025,E87))),SUMIFS(Donnees_generations!$AH$3:$AH$113,Donnees_generations!$A$3:$A$113,MAX(1915,MIN(2025,E87))),SUMIFS(Donnees_generations!$AI$3:$AI$113,Donnees_generations!$A$3:$A$113,MAX(1915,MIN(2025,E87))),SUMIFS(Donnees_generations!$AJ$3:$AJ$113,Donnees_generations!$A$3:$A$113,MAX(1915,MIN(2025,E87)))))/2</f>
        <v/>
      </c>
      <c r="AJ87" s="8">
        <f>MAX(0,AH87+(AI87-AH87)*(K87-AG87)/2)</f>
        <v/>
      </c>
      <c r="AK87" s="8">
        <f>K87+AJ87</f>
        <v/>
      </c>
      <c r="AL87" s="14">
        <f>AE87*AJ87</f>
        <v/>
      </c>
      <c r="AM87" s="17">
        <f>V87/AL87</f>
        <v/>
      </c>
      <c r="AN87" s="17">
        <f>Z87/AL87</f>
        <v/>
      </c>
      <c r="AO87" s="33">
        <f>IF(V87+Z87=0,0,Z87/(V87+Z87))</f>
        <v/>
      </c>
      <c r="AP87" s="14">
        <f>AL87/V87*100</f>
        <v/>
      </c>
      <c r="AQ87" s="8">
        <f>P87/AL87*1000</f>
        <v/>
      </c>
      <c r="AR87" s="77">
        <f>MAX(N87,M87-1)</f>
        <v/>
      </c>
      <c r="AS87" s="14">
        <f>SUMIFS(Donnees_regimes!$R$3:$R$1118,Donnees_regimes!$A$3:$A$1118,C87,Donnees_regimes!$B$3:$B$1118,"&gt;="&amp;G87,Donnees_regimes!$B$3:$B$1118,"&lt;="&amp;N87)*L87/ROUNDUP(L87,0)*SUMIFS(Donnees_annuelles!$AG$3:$AG$188,Donnees_annuelles!$A$3:$A$188,AR87)*SUMIFS(Donnees_annuelles!$AA$3:$AA$188,Donnees_annuelles!$A$3:$A$188,AR87)</f>
        <v/>
      </c>
      <c r="AT87" s="36">
        <f>AS87/V87</f>
        <v/>
      </c>
      <c r="AU87" s="14">
        <f>AL87</f>
        <v/>
      </c>
      <c r="AV87" s="39">
        <f>AS87-AL87</f>
        <v/>
      </c>
      <c r="AW87" s="9">
        <f>AS87/AL87-1</f>
        <v/>
      </c>
      <c r="AX87" s="14">
        <f>AS87/AJ87/12</f>
        <v/>
      </c>
      <c r="AY87" s="14">
        <f>AF87</f>
        <v/>
      </c>
      <c r="AZ87" s="39">
        <f>AX87-AF87</f>
        <v/>
      </c>
      <c r="BA87" s="14">
        <f>SUMIFS(Donnees_regimes!$S$3:$S$1118,Donnees_regimes!$A$3:$A$1118,C87,Donnees_regimes!$B$3:$B$1118,"&gt;="&amp;G87,Donnees_regimes!$B$3:$B$1118,"&lt;="&amp;N87)*L87/ROUNDUP(L87,0)*SUMIFS(Donnees_annuelles!$AH$3:$AH$188,Donnees_annuelles!$A$3:$A$188,AR87)*SUMIFS(Donnees_annuelles!$AA$3:$AA$188,Donnees_annuelles!$A$3:$A$188,AR87)</f>
        <v/>
      </c>
      <c r="BB87" s="39">
        <f>BA87-AL87</f>
        <v/>
      </c>
      <c r="BC87" s="7">
        <f>IF(M87+AJ87&gt;2026,IF(G87&gt;2026,"entièrement projeté","en partie projeté"),"observé")</f>
        <v/>
      </c>
    </row>
    <row r="88">
      <c r="A88" s="7" t="inlineStr">
        <is>
          <t>Génération Alpha</t>
        </is>
      </c>
      <c r="B88" s="84" t="inlineStr">
        <is>
          <t>Privé</t>
        </is>
      </c>
      <c r="C88" s="7">
        <f>IF(G88&gt;=SUMIFS(Regimes!$C$5:$C$10,Regimes!$A$5:$A$10,B88),"Privé",B88)</f>
        <v/>
      </c>
      <c r="D88" s="7">
        <f>INDEX(Regimes!$D$5:$D$10,MATCH(C88,Regimes!$A$5:$A$10,0))</f>
        <v/>
      </c>
      <c r="E88" s="88" t="n">
        <v>2013</v>
      </c>
      <c r="F88" s="8">
        <f>Donnees_generations!C101</f>
        <v/>
      </c>
      <c r="G88" s="77">
        <f>Donnees_generations!D101</f>
        <v/>
      </c>
      <c r="H88" s="8">
        <f>SUMIFS(Donnees_generations!$S$3:$S$113,Donnees_generations!$A$3:$A$113,MAX(1915,MIN(2025,E88)))</f>
        <v/>
      </c>
      <c r="I88" s="8">
        <f>SUMIFS(Donnees_generations!$T$3:$T$113,Donnees_generations!$A$3:$A$113,MAX(1915,MIN(2025,E88)))</f>
        <v/>
      </c>
      <c r="J88" s="8">
        <f>IF(G88&gt;=2000,MAX(I88,Parametres!$B$3),I88)</f>
        <v/>
      </c>
      <c r="K88" s="8">
        <f>IF(C88="Privé",J88,SUMIFS(Regles_regimes!$J$3:$J$2000,Regles_regimes!$A$3:$A$2000,C88,Regles_regimes!$B$3:$B$2000,D88,Regles_regimes!$C$3:$C$2000,MAX(1915,MIN(2025,E88))))</f>
        <v/>
      </c>
      <c r="L88" s="8">
        <f>IF(C88="Privé",H88,(K88-F88)*H88/(J88-F88))</f>
        <v/>
      </c>
      <c r="M88" s="77">
        <f>INT(E88+K88)</f>
        <v/>
      </c>
      <c r="N88" s="77">
        <f>G88+ROUNDUP(L88,0)-1</f>
        <v/>
      </c>
      <c r="O88" s="89">
        <f>SUMIFS(Regles_regimes!$K$3:$K$2000,Regles_regimes!$A$3:$A$2000,C88,Regles_regimes!$B$3:$B$2000,D88,Regles_regimes!$C$3:$C$2000,MAX(1915,MIN(2025,E88)))</f>
        <v/>
      </c>
      <c r="P88" s="13">
        <f>SUMIFS(Donnees_annuelles!$W$3:$W$188,Donnees_annuelles!$A$3:$A$188,"&gt;="&amp;G88,Donnees_annuelles!$A$3:$A$188,"&lt;="&amp;N88)*L88/ROUNDUP(L88,0)*O88</f>
        <v/>
      </c>
      <c r="Q88" s="13">
        <f>SUMIFS(Donnees_annuelles!$V$3:$V$188,Donnees_annuelles!$A$3:$A$188,"&gt;="&amp;G88,Donnees_annuelles!$A$3:$A$188,"&lt;="&amp;N88)*L88/ROUNDUP(L88,0)</f>
        <v/>
      </c>
      <c r="R88" s="13">
        <f>P88/L88</f>
        <v/>
      </c>
      <c r="S88" s="14">
        <f>SUMIFS(Donnees_annuelles!$D$3:$D$188,Donnees_annuelles!$A$3:$A$188,"&gt;="&amp;G88,Donnees_annuelles!$A$3:$A$188,"&lt;="&amp;N88)*L88/ROUNDUP(L88,0)</f>
        <v/>
      </c>
      <c r="T88" s="14">
        <f>SUMIFS(Donnees_regimes!$N$3:$N$1118,Donnees_regimes!$A$3:$A$1118,C88,Donnees_regimes!$B$3:$B$1118,"&gt;="&amp;G88,Donnees_regimes!$B$3:$B$1118,"&lt;="&amp;N88)*L88/ROUNDUP(L88,0)</f>
        <v/>
      </c>
      <c r="U88" s="14">
        <f>SUMIFS(Donnees_regimes!$O$3:$O$1118,Donnees_regimes!$A$3:$A$1118,C88,Donnees_regimes!$B$3:$B$1118,"&gt;="&amp;G88,Donnees_regimes!$B$3:$B$1118,"&lt;="&amp;N88)*L88/ROUNDUP(L88,0)</f>
        <v/>
      </c>
      <c r="V88" s="14">
        <f>T88+U88</f>
        <v/>
      </c>
      <c r="W88" s="33">
        <f>V88/S88</f>
        <v/>
      </c>
      <c r="X88" s="14">
        <f>S88+U88</f>
        <v/>
      </c>
      <c r="Y88" s="17">
        <f>V88/P88</f>
        <v/>
      </c>
      <c r="Z88" s="14">
        <f>SUMIFS(Donnees_regimes!$Q$3:$Q$1118,Donnees_regimes!$A$3:$A$1118,C88,Donnees_regimes!$B$3:$B$1118,"&gt;="&amp;G88,Donnees_regimes!$B$3:$B$1118,"&lt;="&amp;N88)*L88/ROUNDUP(L88,0)</f>
        <v/>
      </c>
      <c r="AA88" s="77">
        <f>SUMIFS(Regles_regimes!$F$3:$F$2000,Regles_regimes!$A$3:$A$2000,C88,Regles_regimes!$B$3:$B$2000,D88,Regles_regimes!$C$3:$C$2000,MAX(1915,MIN(2025,E88)))</f>
        <v/>
      </c>
      <c r="AB88" s="77">
        <f>IF(AND(SUMIFS(Regles_regimes!$L$3:$L$2000,Regles_regimes!$A$3:$A$2000,C88,Regles_regimes!$B$3:$B$2000,D88,Regles_regimes!$C$3:$C$2000,MAX(1915,MIN(2025,E88)))=1,G88&lt;2009,C88&lt;&gt;"Privé"),MIN(20,L88*4/5),0)</f>
        <v/>
      </c>
      <c r="AC88" s="89">
        <f>SUMIFS(Donnees_regimes!$M$3:$M$1118,Donnees_regimes!$A$3:$A$1118,C88,Donnees_regimes!$B$3:$B$1118,M88)</f>
        <v/>
      </c>
      <c r="AD88" s="14">
        <f>SUMIFS(Donnees_annuelles!$Y$3:$Y$188,Donnees_annuelles!$A$3:$A$188,M88)*SUMIFS(Donnees_generations!$I$3:$I$113,Donnees_generations!$A$3:$A$113,MAX(1915,MIN(2025,E88)))/H88</f>
        <v/>
      </c>
      <c r="AE88" s="14">
        <f>IF(C88="Privé",SUMIFS(Donnees_annuelles!$Y$3:$Y$188,Donnees_annuelles!$A$3:$A$188,M88)*MIN(L88,SUMIFS(Donnees_generations!$I$3:$I$113,Donnees_generations!$A$3:$A$113,MAX(1915,MIN(2025,E88))))/L88,AD88*AC88*MIN(IF(AB88&gt;0,0.8/0.75,1),(L88*4+AB88)/AA88))</f>
        <v/>
      </c>
      <c r="AF88" s="14">
        <f>AE88/12</f>
        <v/>
      </c>
      <c r="AG88" s="77">
        <f>MIN(68,MAX(56,2*INT(K88/2)))</f>
        <v/>
      </c>
      <c r="AH88" s="75">
        <f>(CHOOSE((AG88-56)/2+1,SUMIFS(Donnees_generations!$U$3:$U$113,Donnees_generations!$A$3:$A$113,MAX(1915,MIN(2025,E88))),SUMIFS(Donnees_generations!$V$3:$V$113,Donnees_generations!$A$3:$A$113,MAX(1915,MIN(2025,E88))),SUMIFS(Donnees_generations!$W$3:$W$113,Donnees_generations!$A$3:$A$113,MAX(1915,MIN(2025,E88))),SUMIFS(Donnees_generations!$X$3:$X$113,Donnees_generations!$A$3:$A$113,MAX(1915,MIN(2025,E88))),SUMIFS(Donnees_generations!$Y$3:$Y$113,Donnees_generations!$A$3:$A$113,MAX(1915,MIN(2025,E88))),SUMIFS(Donnees_generations!$Z$3:$Z$113,Donnees_generations!$A$3:$A$113,MAX(1915,MIN(2025,E88))),SUMIFS(Donnees_generations!$AA$3:$AA$113,Donnees_generations!$A$3:$A$113,MAX(1915,MIN(2025,E88))),SUMIFS(Donnees_generations!$AB$3:$AB$113,Donnees_generations!$A$3:$A$113,MAX(1915,MIN(2025,E88))))+CHOOSE((AG88-56)/2+1,SUMIFS(Donnees_generations!$AC$3:$AC$113,Donnees_generations!$A$3:$A$113,MAX(1915,MIN(2025,E88))),SUMIFS(Donnees_generations!$AD$3:$AD$113,Donnees_generations!$A$3:$A$113,MAX(1915,MIN(2025,E88))),SUMIFS(Donnees_generations!$AE$3:$AE$113,Donnees_generations!$A$3:$A$113,MAX(1915,MIN(2025,E88))),SUMIFS(Donnees_generations!$AF$3:$AF$113,Donnees_generations!$A$3:$A$113,MAX(1915,MIN(2025,E88))),SUMIFS(Donnees_generations!$AG$3:$AG$113,Donnees_generations!$A$3:$A$113,MAX(1915,MIN(2025,E88))),SUMIFS(Donnees_generations!$AH$3:$AH$113,Donnees_generations!$A$3:$A$113,MAX(1915,MIN(2025,E88))),SUMIFS(Donnees_generations!$AI$3:$AI$113,Donnees_generations!$A$3:$A$113,MAX(1915,MIN(2025,E88))),SUMIFS(Donnees_generations!$AJ$3:$AJ$113,Donnees_generations!$A$3:$A$113,MAX(1915,MIN(2025,E88)))))/2</f>
        <v/>
      </c>
      <c r="AI88" s="75">
        <f>(CHOOSE(((AG88+2)-56)/2+1,SUMIFS(Donnees_generations!$U$3:$U$113,Donnees_generations!$A$3:$A$113,MAX(1915,MIN(2025,E88))),SUMIFS(Donnees_generations!$V$3:$V$113,Donnees_generations!$A$3:$A$113,MAX(1915,MIN(2025,E88))),SUMIFS(Donnees_generations!$W$3:$W$113,Donnees_generations!$A$3:$A$113,MAX(1915,MIN(2025,E88))),SUMIFS(Donnees_generations!$X$3:$X$113,Donnees_generations!$A$3:$A$113,MAX(1915,MIN(2025,E88))),SUMIFS(Donnees_generations!$Y$3:$Y$113,Donnees_generations!$A$3:$A$113,MAX(1915,MIN(2025,E88))),SUMIFS(Donnees_generations!$Z$3:$Z$113,Donnees_generations!$A$3:$A$113,MAX(1915,MIN(2025,E88))),SUMIFS(Donnees_generations!$AA$3:$AA$113,Donnees_generations!$A$3:$A$113,MAX(1915,MIN(2025,E88))),SUMIFS(Donnees_generations!$AB$3:$AB$113,Donnees_generations!$A$3:$A$113,MAX(1915,MIN(2025,E88))))+CHOOSE(((AG88+2)-56)/2+1,SUMIFS(Donnees_generations!$AC$3:$AC$113,Donnees_generations!$A$3:$A$113,MAX(1915,MIN(2025,E88))),SUMIFS(Donnees_generations!$AD$3:$AD$113,Donnees_generations!$A$3:$A$113,MAX(1915,MIN(2025,E88))),SUMIFS(Donnees_generations!$AE$3:$AE$113,Donnees_generations!$A$3:$A$113,MAX(1915,MIN(2025,E88))),SUMIFS(Donnees_generations!$AF$3:$AF$113,Donnees_generations!$A$3:$A$113,MAX(1915,MIN(2025,E88))),SUMIFS(Donnees_generations!$AG$3:$AG$113,Donnees_generations!$A$3:$A$113,MAX(1915,MIN(2025,E88))),SUMIFS(Donnees_generations!$AH$3:$AH$113,Donnees_generations!$A$3:$A$113,MAX(1915,MIN(2025,E88))),SUMIFS(Donnees_generations!$AI$3:$AI$113,Donnees_generations!$A$3:$A$113,MAX(1915,MIN(2025,E88))),SUMIFS(Donnees_generations!$AJ$3:$AJ$113,Donnees_generations!$A$3:$A$113,MAX(1915,MIN(2025,E88)))))/2</f>
        <v/>
      </c>
      <c r="AJ88" s="8">
        <f>MAX(0,AH88+(AI88-AH88)*(K88-AG88)/2)</f>
        <v/>
      </c>
      <c r="AK88" s="8">
        <f>K88+AJ88</f>
        <v/>
      </c>
      <c r="AL88" s="14">
        <f>AE88*AJ88</f>
        <v/>
      </c>
      <c r="AM88" s="17">
        <f>V88/AL88</f>
        <v/>
      </c>
      <c r="AN88" s="17">
        <f>Z88/AL88</f>
        <v/>
      </c>
      <c r="AO88" s="33">
        <f>IF(V88+Z88=0,0,Z88/(V88+Z88))</f>
        <v/>
      </c>
      <c r="AP88" s="14">
        <f>AL88/V88*100</f>
        <v/>
      </c>
      <c r="AQ88" s="8">
        <f>P88/AL88*1000</f>
        <v/>
      </c>
      <c r="AR88" s="77">
        <f>MAX(N88,M88-1)</f>
        <v/>
      </c>
      <c r="AS88" s="14">
        <f>SUMIFS(Donnees_regimes!$R$3:$R$1118,Donnees_regimes!$A$3:$A$1118,C88,Donnees_regimes!$B$3:$B$1118,"&gt;="&amp;G88,Donnees_regimes!$B$3:$B$1118,"&lt;="&amp;N88)*L88/ROUNDUP(L88,0)*SUMIFS(Donnees_annuelles!$AG$3:$AG$188,Donnees_annuelles!$A$3:$A$188,AR88)*SUMIFS(Donnees_annuelles!$AA$3:$AA$188,Donnees_annuelles!$A$3:$A$188,AR88)</f>
        <v/>
      </c>
      <c r="AT88" s="36">
        <f>AS88/V88</f>
        <v/>
      </c>
      <c r="AU88" s="14">
        <f>AL88</f>
        <v/>
      </c>
      <c r="AV88" s="39">
        <f>AS88-AL88</f>
        <v/>
      </c>
      <c r="AW88" s="9">
        <f>AS88/AL88-1</f>
        <v/>
      </c>
      <c r="AX88" s="14">
        <f>AS88/AJ88/12</f>
        <v/>
      </c>
      <c r="AY88" s="14">
        <f>AF88</f>
        <v/>
      </c>
      <c r="AZ88" s="39">
        <f>AX88-AF88</f>
        <v/>
      </c>
      <c r="BA88" s="14">
        <f>SUMIFS(Donnees_regimes!$S$3:$S$1118,Donnees_regimes!$A$3:$A$1118,C88,Donnees_regimes!$B$3:$B$1118,"&gt;="&amp;G88,Donnees_regimes!$B$3:$B$1118,"&lt;="&amp;N88)*L88/ROUNDUP(L88,0)*SUMIFS(Donnees_annuelles!$AH$3:$AH$188,Donnees_annuelles!$A$3:$A$188,AR88)*SUMIFS(Donnees_annuelles!$AA$3:$AA$188,Donnees_annuelles!$A$3:$A$188,AR88)</f>
        <v/>
      </c>
      <c r="BB88" s="39">
        <f>BA88-AL88</f>
        <v/>
      </c>
      <c r="BC88" s="7">
        <f>IF(M88+AJ88&gt;2026,IF(G88&gt;2026,"entièrement projeté","en partie projeté"),"observé")</f>
        <v/>
      </c>
    </row>
    <row r="89">
      <c r="A89" s="7" t="inlineStr">
        <is>
          <t>Génération Alpha</t>
        </is>
      </c>
      <c r="B89" s="84" t="inlineStr">
        <is>
          <t>Privé</t>
        </is>
      </c>
      <c r="C89" s="7">
        <f>IF(G89&gt;=SUMIFS(Regimes!$C$5:$C$10,Regimes!$A$5:$A$10,B89),"Privé",B89)</f>
        <v/>
      </c>
      <c r="D89" s="7">
        <f>INDEX(Regimes!$D$5:$D$10,MATCH(C89,Regimes!$A$5:$A$10,0))</f>
        <v/>
      </c>
      <c r="E89" s="88" t="n">
        <v>2014</v>
      </c>
      <c r="F89" s="8">
        <f>Donnees_generations!C102</f>
        <v/>
      </c>
      <c r="G89" s="77">
        <f>Donnees_generations!D102</f>
        <v/>
      </c>
      <c r="H89" s="8">
        <f>SUMIFS(Donnees_generations!$S$3:$S$113,Donnees_generations!$A$3:$A$113,MAX(1915,MIN(2025,E89)))</f>
        <v/>
      </c>
      <c r="I89" s="8">
        <f>SUMIFS(Donnees_generations!$T$3:$T$113,Donnees_generations!$A$3:$A$113,MAX(1915,MIN(2025,E89)))</f>
        <v/>
      </c>
      <c r="J89" s="8">
        <f>IF(G89&gt;=2000,MAX(I89,Parametres!$B$3),I89)</f>
        <v/>
      </c>
      <c r="K89" s="8">
        <f>IF(C89="Privé",J89,SUMIFS(Regles_regimes!$J$3:$J$2000,Regles_regimes!$A$3:$A$2000,C89,Regles_regimes!$B$3:$B$2000,D89,Regles_regimes!$C$3:$C$2000,MAX(1915,MIN(2025,E89))))</f>
        <v/>
      </c>
      <c r="L89" s="8">
        <f>IF(C89="Privé",H89,(K89-F89)*H89/(J89-F89))</f>
        <v/>
      </c>
      <c r="M89" s="77">
        <f>INT(E89+K89)</f>
        <v/>
      </c>
      <c r="N89" s="77">
        <f>G89+ROUNDUP(L89,0)-1</f>
        <v/>
      </c>
      <c r="O89" s="89">
        <f>SUMIFS(Regles_regimes!$K$3:$K$2000,Regles_regimes!$A$3:$A$2000,C89,Regles_regimes!$B$3:$B$2000,D89,Regles_regimes!$C$3:$C$2000,MAX(1915,MIN(2025,E89)))</f>
        <v/>
      </c>
      <c r="P89" s="13">
        <f>SUMIFS(Donnees_annuelles!$W$3:$W$188,Donnees_annuelles!$A$3:$A$188,"&gt;="&amp;G89,Donnees_annuelles!$A$3:$A$188,"&lt;="&amp;N89)*L89/ROUNDUP(L89,0)*O89</f>
        <v/>
      </c>
      <c r="Q89" s="13">
        <f>SUMIFS(Donnees_annuelles!$V$3:$V$188,Donnees_annuelles!$A$3:$A$188,"&gt;="&amp;G89,Donnees_annuelles!$A$3:$A$188,"&lt;="&amp;N89)*L89/ROUNDUP(L89,0)</f>
        <v/>
      </c>
      <c r="R89" s="13">
        <f>P89/L89</f>
        <v/>
      </c>
      <c r="S89" s="14">
        <f>SUMIFS(Donnees_annuelles!$D$3:$D$188,Donnees_annuelles!$A$3:$A$188,"&gt;="&amp;G89,Donnees_annuelles!$A$3:$A$188,"&lt;="&amp;N89)*L89/ROUNDUP(L89,0)</f>
        <v/>
      </c>
      <c r="T89" s="14">
        <f>SUMIFS(Donnees_regimes!$N$3:$N$1118,Donnees_regimes!$A$3:$A$1118,C89,Donnees_regimes!$B$3:$B$1118,"&gt;="&amp;G89,Donnees_regimes!$B$3:$B$1118,"&lt;="&amp;N89)*L89/ROUNDUP(L89,0)</f>
        <v/>
      </c>
      <c r="U89" s="14">
        <f>SUMIFS(Donnees_regimes!$O$3:$O$1118,Donnees_regimes!$A$3:$A$1118,C89,Donnees_regimes!$B$3:$B$1118,"&gt;="&amp;G89,Donnees_regimes!$B$3:$B$1118,"&lt;="&amp;N89)*L89/ROUNDUP(L89,0)</f>
        <v/>
      </c>
      <c r="V89" s="14">
        <f>T89+U89</f>
        <v/>
      </c>
      <c r="W89" s="33">
        <f>V89/S89</f>
        <v/>
      </c>
      <c r="X89" s="14">
        <f>S89+U89</f>
        <v/>
      </c>
      <c r="Y89" s="17">
        <f>V89/P89</f>
        <v/>
      </c>
      <c r="Z89" s="14">
        <f>SUMIFS(Donnees_regimes!$Q$3:$Q$1118,Donnees_regimes!$A$3:$A$1118,C89,Donnees_regimes!$B$3:$B$1118,"&gt;="&amp;G89,Donnees_regimes!$B$3:$B$1118,"&lt;="&amp;N89)*L89/ROUNDUP(L89,0)</f>
        <v/>
      </c>
      <c r="AA89" s="77">
        <f>SUMIFS(Regles_regimes!$F$3:$F$2000,Regles_regimes!$A$3:$A$2000,C89,Regles_regimes!$B$3:$B$2000,D89,Regles_regimes!$C$3:$C$2000,MAX(1915,MIN(2025,E89)))</f>
        <v/>
      </c>
      <c r="AB89" s="77">
        <f>IF(AND(SUMIFS(Regles_regimes!$L$3:$L$2000,Regles_regimes!$A$3:$A$2000,C89,Regles_regimes!$B$3:$B$2000,D89,Regles_regimes!$C$3:$C$2000,MAX(1915,MIN(2025,E89)))=1,G89&lt;2009,C89&lt;&gt;"Privé"),MIN(20,L89*4/5),0)</f>
        <v/>
      </c>
      <c r="AC89" s="89">
        <f>SUMIFS(Donnees_regimes!$M$3:$M$1118,Donnees_regimes!$A$3:$A$1118,C89,Donnees_regimes!$B$3:$B$1118,M89)</f>
        <v/>
      </c>
      <c r="AD89" s="14">
        <f>SUMIFS(Donnees_annuelles!$Y$3:$Y$188,Donnees_annuelles!$A$3:$A$188,M89)*SUMIFS(Donnees_generations!$I$3:$I$113,Donnees_generations!$A$3:$A$113,MAX(1915,MIN(2025,E89)))/H89</f>
        <v/>
      </c>
      <c r="AE89" s="14">
        <f>IF(C89="Privé",SUMIFS(Donnees_annuelles!$Y$3:$Y$188,Donnees_annuelles!$A$3:$A$188,M89)*MIN(L89,SUMIFS(Donnees_generations!$I$3:$I$113,Donnees_generations!$A$3:$A$113,MAX(1915,MIN(2025,E89))))/L89,AD89*AC89*MIN(IF(AB89&gt;0,0.8/0.75,1),(L89*4+AB89)/AA89))</f>
        <v/>
      </c>
      <c r="AF89" s="14">
        <f>AE89/12</f>
        <v/>
      </c>
      <c r="AG89" s="77">
        <f>MIN(68,MAX(56,2*INT(K89/2)))</f>
        <v/>
      </c>
      <c r="AH89" s="75">
        <f>(CHOOSE((AG89-56)/2+1,SUMIFS(Donnees_generations!$U$3:$U$113,Donnees_generations!$A$3:$A$113,MAX(1915,MIN(2025,E89))),SUMIFS(Donnees_generations!$V$3:$V$113,Donnees_generations!$A$3:$A$113,MAX(1915,MIN(2025,E89))),SUMIFS(Donnees_generations!$W$3:$W$113,Donnees_generations!$A$3:$A$113,MAX(1915,MIN(2025,E89))),SUMIFS(Donnees_generations!$X$3:$X$113,Donnees_generations!$A$3:$A$113,MAX(1915,MIN(2025,E89))),SUMIFS(Donnees_generations!$Y$3:$Y$113,Donnees_generations!$A$3:$A$113,MAX(1915,MIN(2025,E89))),SUMIFS(Donnees_generations!$Z$3:$Z$113,Donnees_generations!$A$3:$A$113,MAX(1915,MIN(2025,E89))),SUMIFS(Donnees_generations!$AA$3:$AA$113,Donnees_generations!$A$3:$A$113,MAX(1915,MIN(2025,E89))),SUMIFS(Donnees_generations!$AB$3:$AB$113,Donnees_generations!$A$3:$A$113,MAX(1915,MIN(2025,E89))))+CHOOSE((AG89-56)/2+1,SUMIFS(Donnees_generations!$AC$3:$AC$113,Donnees_generations!$A$3:$A$113,MAX(1915,MIN(2025,E89))),SUMIFS(Donnees_generations!$AD$3:$AD$113,Donnees_generations!$A$3:$A$113,MAX(1915,MIN(2025,E89))),SUMIFS(Donnees_generations!$AE$3:$AE$113,Donnees_generations!$A$3:$A$113,MAX(1915,MIN(2025,E89))),SUMIFS(Donnees_generations!$AF$3:$AF$113,Donnees_generations!$A$3:$A$113,MAX(1915,MIN(2025,E89))),SUMIFS(Donnees_generations!$AG$3:$AG$113,Donnees_generations!$A$3:$A$113,MAX(1915,MIN(2025,E89))),SUMIFS(Donnees_generations!$AH$3:$AH$113,Donnees_generations!$A$3:$A$113,MAX(1915,MIN(2025,E89))),SUMIFS(Donnees_generations!$AI$3:$AI$113,Donnees_generations!$A$3:$A$113,MAX(1915,MIN(2025,E89))),SUMIFS(Donnees_generations!$AJ$3:$AJ$113,Donnees_generations!$A$3:$A$113,MAX(1915,MIN(2025,E89)))))/2</f>
        <v/>
      </c>
      <c r="AI89" s="75">
        <f>(CHOOSE(((AG89+2)-56)/2+1,SUMIFS(Donnees_generations!$U$3:$U$113,Donnees_generations!$A$3:$A$113,MAX(1915,MIN(2025,E89))),SUMIFS(Donnees_generations!$V$3:$V$113,Donnees_generations!$A$3:$A$113,MAX(1915,MIN(2025,E89))),SUMIFS(Donnees_generations!$W$3:$W$113,Donnees_generations!$A$3:$A$113,MAX(1915,MIN(2025,E89))),SUMIFS(Donnees_generations!$X$3:$X$113,Donnees_generations!$A$3:$A$113,MAX(1915,MIN(2025,E89))),SUMIFS(Donnees_generations!$Y$3:$Y$113,Donnees_generations!$A$3:$A$113,MAX(1915,MIN(2025,E89))),SUMIFS(Donnees_generations!$Z$3:$Z$113,Donnees_generations!$A$3:$A$113,MAX(1915,MIN(2025,E89))),SUMIFS(Donnees_generations!$AA$3:$AA$113,Donnees_generations!$A$3:$A$113,MAX(1915,MIN(2025,E89))),SUMIFS(Donnees_generations!$AB$3:$AB$113,Donnees_generations!$A$3:$A$113,MAX(1915,MIN(2025,E89))))+CHOOSE(((AG89+2)-56)/2+1,SUMIFS(Donnees_generations!$AC$3:$AC$113,Donnees_generations!$A$3:$A$113,MAX(1915,MIN(2025,E89))),SUMIFS(Donnees_generations!$AD$3:$AD$113,Donnees_generations!$A$3:$A$113,MAX(1915,MIN(2025,E89))),SUMIFS(Donnees_generations!$AE$3:$AE$113,Donnees_generations!$A$3:$A$113,MAX(1915,MIN(2025,E89))),SUMIFS(Donnees_generations!$AF$3:$AF$113,Donnees_generations!$A$3:$A$113,MAX(1915,MIN(2025,E89))),SUMIFS(Donnees_generations!$AG$3:$AG$113,Donnees_generations!$A$3:$A$113,MAX(1915,MIN(2025,E89))),SUMIFS(Donnees_generations!$AH$3:$AH$113,Donnees_generations!$A$3:$A$113,MAX(1915,MIN(2025,E89))),SUMIFS(Donnees_generations!$AI$3:$AI$113,Donnees_generations!$A$3:$A$113,MAX(1915,MIN(2025,E89))),SUMIFS(Donnees_generations!$AJ$3:$AJ$113,Donnees_generations!$A$3:$A$113,MAX(1915,MIN(2025,E89)))))/2</f>
        <v/>
      </c>
      <c r="AJ89" s="8">
        <f>MAX(0,AH89+(AI89-AH89)*(K89-AG89)/2)</f>
        <v/>
      </c>
      <c r="AK89" s="8">
        <f>K89+AJ89</f>
        <v/>
      </c>
      <c r="AL89" s="14">
        <f>AE89*AJ89</f>
        <v/>
      </c>
      <c r="AM89" s="17">
        <f>V89/AL89</f>
        <v/>
      </c>
      <c r="AN89" s="17">
        <f>Z89/AL89</f>
        <v/>
      </c>
      <c r="AO89" s="33">
        <f>IF(V89+Z89=0,0,Z89/(V89+Z89))</f>
        <v/>
      </c>
      <c r="AP89" s="14">
        <f>AL89/V89*100</f>
        <v/>
      </c>
      <c r="AQ89" s="8">
        <f>P89/AL89*1000</f>
        <v/>
      </c>
      <c r="AR89" s="77">
        <f>MAX(N89,M89-1)</f>
        <v/>
      </c>
      <c r="AS89" s="14">
        <f>SUMIFS(Donnees_regimes!$R$3:$R$1118,Donnees_regimes!$A$3:$A$1118,C89,Donnees_regimes!$B$3:$B$1118,"&gt;="&amp;G89,Donnees_regimes!$B$3:$B$1118,"&lt;="&amp;N89)*L89/ROUNDUP(L89,0)*SUMIFS(Donnees_annuelles!$AG$3:$AG$188,Donnees_annuelles!$A$3:$A$188,AR89)*SUMIFS(Donnees_annuelles!$AA$3:$AA$188,Donnees_annuelles!$A$3:$A$188,AR89)</f>
        <v/>
      </c>
      <c r="AT89" s="36">
        <f>AS89/V89</f>
        <v/>
      </c>
      <c r="AU89" s="14">
        <f>AL89</f>
        <v/>
      </c>
      <c r="AV89" s="39">
        <f>AS89-AL89</f>
        <v/>
      </c>
      <c r="AW89" s="9">
        <f>AS89/AL89-1</f>
        <v/>
      </c>
      <c r="AX89" s="14">
        <f>AS89/AJ89/12</f>
        <v/>
      </c>
      <c r="AY89" s="14">
        <f>AF89</f>
        <v/>
      </c>
      <c r="AZ89" s="39">
        <f>AX89-AF89</f>
        <v/>
      </c>
      <c r="BA89" s="14">
        <f>SUMIFS(Donnees_regimes!$S$3:$S$1118,Donnees_regimes!$A$3:$A$1118,C89,Donnees_regimes!$B$3:$B$1118,"&gt;="&amp;G89,Donnees_regimes!$B$3:$B$1118,"&lt;="&amp;N89)*L89/ROUNDUP(L89,0)*SUMIFS(Donnees_annuelles!$AH$3:$AH$188,Donnees_annuelles!$A$3:$A$188,AR89)*SUMIFS(Donnees_annuelles!$AA$3:$AA$188,Donnees_annuelles!$A$3:$A$188,AR89)</f>
        <v/>
      </c>
      <c r="BB89" s="39">
        <f>BA89-AL89</f>
        <v/>
      </c>
      <c r="BC89" s="7">
        <f>IF(M89+AJ89&gt;2026,IF(G89&gt;2026,"entièrement projeté","en partie projeté"),"observé")</f>
        <v/>
      </c>
    </row>
    <row r="90">
      <c r="A90" s="7" t="inlineStr">
        <is>
          <t>Génération Alpha</t>
        </is>
      </c>
      <c r="B90" s="84" t="inlineStr">
        <is>
          <t>Privé</t>
        </is>
      </c>
      <c r="C90" s="7">
        <f>IF(G90&gt;=SUMIFS(Regimes!$C$5:$C$10,Regimes!$A$5:$A$10,B90),"Privé",B90)</f>
        <v/>
      </c>
      <c r="D90" s="7">
        <f>INDEX(Regimes!$D$5:$D$10,MATCH(C90,Regimes!$A$5:$A$10,0))</f>
        <v/>
      </c>
      <c r="E90" s="88" t="n">
        <v>2015</v>
      </c>
      <c r="F90" s="8">
        <f>Donnees_generations!C103</f>
        <v/>
      </c>
      <c r="G90" s="77">
        <f>Donnees_generations!D103</f>
        <v/>
      </c>
      <c r="H90" s="8">
        <f>SUMIFS(Donnees_generations!$S$3:$S$113,Donnees_generations!$A$3:$A$113,MAX(1915,MIN(2025,E90)))</f>
        <v/>
      </c>
      <c r="I90" s="8">
        <f>SUMIFS(Donnees_generations!$T$3:$T$113,Donnees_generations!$A$3:$A$113,MAX(1915,MIN(2025,E90)))</f>
        <v/>
      </c>
      <c r="J90" s="8">
        <f>IF(G90&gt;=2000,MAX(I90,Parametres!$B$3),I90)</f>
        <v/>
      </c>
      <c r="K90" s="8">
        <f>IF(C90="Privé",J90,SUMIFS(Regles_regimes!$J$3:$J$2000,Regles_regimes!$A$3:$A$2000,C90,Regles_regimes!$B$3:$B$2000,D90,Regles_regimes!$C$3:$C$2000,MAX(1915,MIN(2025,E90))))</f>
        <v/>
      </c>
      <c r="L90" s="8">
        <f>IF(C90="Privé",H90,(K90-F90)*H90/(J90-F90))</f>
        <v/>
      </c>
      <c r="M90" s="77">
        <f>INT(E90+K90)</f>
        <v/>
      </c>
      <c r="N90" s="77">
        <f>G90+ROUNDUP(L90,0)-1</f>
        <v/>
      </c>
      <c r="O90" s="89">
        <f>SUMIFS(Regles_regimes!$K$3:$K$2000,Regles_regimes!$A$3:$A$2000,C90,Regles_regimes!$B$3:$B$2000,D90,Regles_regimes!$C$3:$C$2000,MAX(1915,MIN(2025,E90)))</f>
        <v/>
      </c>
      <c r="P90" s="13">
        <f>SUMIFS(Donnees_annuelles!$W$3:$W$188,Donnees_annuelles!$A$3:$A$188,"&gt;="&amp;G90,Donnees_annuelles!$A$3:$A$188,"&lt;="&amp;N90)*L90/ROUNDUP(L90,0)*O90</f>
        <v/>
      </c>
      <c r="Q90" s="13">
        <f>SUMIFS(Donnees_annuelles!$V$3:$V$188,Donnees_annuelles!$A$3:$A$188,"&gt;="&amp;G90,Donnees_annuelles!$A$3:$A$188,"&lt;="&amp;N90)*L90/ROUNDUP(L90,0)</f>
        <v/>
      </c>
      <c r="R90" s="13">
        <f>P90/L90</f>
        <v/>
      </c>
      <c r="S90" s="14">
        <f>SUMIFS(Donnees_annuelles!$D$3:$D$188,Donnees_annuelles!$A$3:$A$188,"&gt;="&amp;G90,Donnees_annuelles!$A$3:$A$188,"&lt;="&amp;N90)*L90/ROUNDUP(L90,0)</f>
        <v/>
      </c>
      <c r="T90" s="14">
        <f>SUMIFS(Donnees_regimes!$N$3:$N$1118,Donnees_regimes!$A$3:$A$1118,C90,Donnees_regimes!$B$3:$B$1118,"&gt;="&amp;G90,Donnees_regimes!$B$3:$B$1118,"&lt;="&amp;N90)*L90/ROUNDUP(L90,0)</f>
        <v/>
      </c>
      <c r="U90" s="14">
        <f>SUMIFS(Donnees_regimes!$O$3:$O$1118,Donnees_regimes!$A$3:$A$1118,C90,Donnees_regimes!$B$3:$B$1118,"&gt;="&amp;G90,Donnees_regimes!$B$3:$B$1118,"&lt;="&amp;N90)*L90/ROUNDUP(L90,0)</f>
        <v/>
      </c>
      <c r="V90" s="14">
        <f>T90+U90</f>
        <v/>
      </c>
      <c r="W90" s="33">
        <f>V90/S90</f>
        <v/>
      </c>
      <c r="X90" s="14">
        <f>S90+U90</f>
        <v/>
      </c>
      <c r="Y90" s="17">
        <f>V90/P90</f>
        <v/>
      </c>
      <c r="Z90" s="14">
        <f>SUMIFS(Donnees_regimes!$Q$3:$Q$1118,Donnees_regimes!$A$3:$A$1118,C90,Donnees_regimes!$B$3:$B$1118,"&gt;="&amp;G90,Donnees_regimes!$B$3:$B$1118,"&lt;="&amp;N90)*L90/ROUNDUP(L90,0)</f>
        <v/>
      </c>
      <c r="AA90" s="77">
        <f>SUMIFS(Regles_regimes!$F$3:$F$2000,Regles_regimes!$A$3:$A$2000,C90,Regles_regimes!$B$3:$B$2000,D90,Regles_regimes!$C$3:$C$2000,MAX(1915,MIN(2025,E90)))</f>
        <v/>
      </c>
      <c r="AB90" s="77">
        <f>IF(AND(SUMIFS(Regles_regimes!$L$3:$L$2000,Regles_regimes!$A$3:$A$2000,C90,Regles_regimes!$B$3:$B$2000,D90,Regles_regimes!$C$3:$C$2000,MAX(1915,MIN(2025,E90)))=1,G90&lt;2009,C90&lt;&gt;"Privé"),MIN(20,L90*4/5),0)</f>
        <v/>
      </c>
      <c r="AC90" s="89">
        <f>SUMIFS(Donnees_regimes!$M$3:$M$1118,Donnees_regimes!$A$3:$A$1118,C90,Donnees_regimes!$B$3:$B$1118,M90)</f>
        <v/>
      </c>
      <c r="AD90" s="14">
        <f>SUMIFS(Donnees_annuelles!$Y$3:$Y$188,Donnees_annuelles!$A$3:$A$188,M90)*SUMIFS(Donnees_generations!$I$3:$I$113,Donnees_generations!$A$3:$A$113,MAX(1915,MIN(2025,E90)))/H90</f>
        <v/>
      </c>
      <c r="AE90" s="14">
        <f>IF(C90="Privé",SUMIFS(Donnees_annuelles!$Y$3:$Y$188,Donnees_annuelles!$A$3:$A$188,M90)*MIN(L90,SUMIFS(Donnees_generations!$I$3:$I$113,Donnees_generations!$A$3:$A$113,MAX(1915,MIN(2025,E90))))/L90,AD90*AC90*MIN(IF(AB90&gt;0,0.8/0.75,1),(L90*4+AB90)/AA90))</f>
        <v/>
      </c>
      <c r="AF90" s="14">
        <f>AE90/12</f>
        <v/>
      </c>
      <c r="AG90" s="77">
        <f>MIN(68,MAX(56,2*INT(K90/2)))</f>
        <v/>
      </c>
      <c r="AH90" s="75">
        <f>(CHOOSE((AG90-56)/2+1,SUMIFS(Donnees_generations!$U$3:$U$113,Donnees_generations!$A$3:$A$113,MAX(1915,MIN(2025,E90))),SUMIFS(Donnees_generations!$V$3:$V$113,Donnees_generations!$A$3:$A$113,MAX(1915,MIN(2025,E90))),SUMIFS(Donnees_generations!$W$3:$W$113,Donnees_generations!$A$3:$A$113,MAX(1915,MIN(2025,E90))),SUMIFS(Donnees_generations!$X$3:$X$113,Donnees_generations!$A$3:$A$113,MAX(1915,MIN(2025,E90))),SUMIFS(Donnees_generations!$Y$3:$Y$113,Donnees_generations!$A$3:$A$113,MAX(1915,MIN(2025,E90))),SUMIFS(Donnees_generations!$Z$3:$Z$113,Donnees_generations!$A$3:$A$113,MAX(1915,MIN(2025,E90))),SUMIFS(Donnees_generations!$AA$3:$AA$113,Donnees_generations!$A$3:$A$113,MAX(1915,MIN(2025,E90))),SUMIFS(Donnees_generations!$AB$3:$AB$113,Donnees_generations!$A$3:$A$113,MAX(1915,MIN(2025,E90))))+CHOOSE((AG90-56)/2+1,SUMIFS(Donnees_generations!$AC$3:$AC$113,Donnees_generations!$A$3:$A$113,MAX(1915,MIN(2025,E90))),SUMIFS(Donnees_generations!$AD$3:$AD$113,Donnees_generations!$A$3:$A$113,MAX(1915,MIN(2025,E90))),SUMIFS(Donnees_generations!$AE$3:$AE$113,Donnees_generations!$A$3:$A$113,MAX(1915,MIN(2025,E90))),SUMIFS(Donnees_generations!$AF$3:$AF$113,Donnees_generations!$A$3:$A$113,MAX(1915,MIN(2025,E90))),SUMIFS(Donnees_generations!$AG$3:$AG$113,Donnees_generations!$A$3:$A$113,MAX(1915,MIN(2025,E90))),SUMIFS(Donnees_generations!$AH$3:$AH$113,Donnees_generations!$A$3:$A$113,MAX(1915,MIN(2025,E90))),SUMIFS(Donnees_generations!$AI$3:$AI$113,Donnees_generations!$A$3:$A$113,MAX(1915,MIN(2025,E90))),SUMIFS(Donnees_generations!$AJ$3:$AJ$113,Donnees_generations!$A$3:$A$113,MAX(1915,MIN(2025,E90)))))/2</f>
        <v/>
      </c>
      <c r="AI90" s="75">
        <f>(CHOOSE(((AG90+2)-56)/2+1,SUMIFS(Donnees_generations!$U$3:$U$113,Donnees_generations!$A$3:$A$113,MAX(1915,MIN(2025,E90))),SUMIFS(Donnees_generations!$V$3:$V$113,Donnees_generations!$A$3:$A$113,MAX(1915,MIN(2025,E90))),SUMIFS(Donnees_generations!$W$3:$W$113,Donnees_generations!$A$3:$A$113,MAX(1915,MIN(2025,E90))),SUMIFS(Donnees_generations!$X$3:$X$113,Donnees_generations!$A$3:$A$113,MAX(1915,MIN(2025,E90))),SUMIFS(Donnees_generations!$Y$3:$Y$113,Donnees_generations!$A$3:$A$113,MAX(1915,MIN(2025,E90))),SUMIFS(Donnees_generations!$Z$3:$Z$113,Donnees_generations!$A$3:$A$113,MAX(1915,MIN(2025,E90))),SUMIFS(Donnees_generations!$AA$3:$AA$113,Donnees_generations!$A$3:$A$113,MAX(1915,MIN(2025,E90))),SUMIFS(Donnees_generations!$AB$3:$AB$113,Donnees_generations!$A$3:$A$113,MAX(1915,MIN(2025,E90))))+CHOOSE(((AG90+2)-56)/2+1,SUMIFS(Donnees_generations!$AC$3:$AC$113,Donnees_generations!$A$3:$A$113,MAX(1915,MIN(2025,E90))),SUMIFS(Donnees_generations!$AD$3:$AD$113,Donnees_generations!$A$3:$A$113,MAX(1915,MIN(2025,E90))),SUMIFS(Donnees_generations!$AE$3:$AE$113,Donnees_generations!$A$3:$A$113,MAX(1915,MIN(2025,E90))),SUMIFS(Donnees_generations!$AF$3:$AF$113,Donnees_generations!$A$3:$A$113,MAX(1915,MIN(2025,E90))),SUMIFS(Donnees_generations!$AG$3:$AG$113,Donnees_generations!$A$3:$A$113,MAX(1915,MIN(2025,E90))),SUMIFS(Donnees_generations!$AH$3:$AH$113,Donnees_generations!$A$3:$A$113,MAX(1915,MIN(2025,E90))),SUMIFS(Donnees_generations!$AI$3:$AI$113,Donnees_generations!$A$3:$A$113,MAX(1915,MIN(2025,E90))),SUMIFS(Donnees_generations!$AJ$3:$AJ$113,Donnees_generations!$A$3:$A$113,MAX(1915,MIN(2025,E90)))))/2</f>
        <v/>
      </c>
      <c r="AJ90" s="8">
        <f>MAX(0,AH90+(AI90-AH90)*(K90-AG90)/2)</f>
        <v/>
      </c>
      <c r="AK90" s="8">
        <f>K90+AJ90</f>
        <v/>
      </c>
      <c r="AL90" s="14">
        <f>AE90*AJ90</f>
        <v/>
      </c>
      <c r="AM90" s="17">
        <f>V90/AL90</f>
        <v/>
      </c>
      <c r="AN90" s="17">
        <f>Z90/AL90</f>
        <v/>
      </c>
      <c r="AO90" s="33">
        <f>IF(V90+Z90=0,0,Z90/(V90+Z90))</f>
        <v/>
      </c>
      <c r="AP90" s="14">
        <f>AL90/V90*100</f>
        <v/>
      </c>
      <c r="AQ90" s="8">
        <f>P90/AL90*1000</f>
        <v/>
      </c>
      <c r="AR90" s="77">
        <f>MAX(N90,M90-1)</f>
        <v/>
      </c>
      <c r="AS90" s="14">
        <f>SUMIFS(Donnees_regimes!$R$3:$R$1118,Donnees_regimes!$A$3:$A$1118,C90,Donnees_regimes!$B$3:$B$1118,"&gt;="&amp;G90,Donnees_regimes!$B$3:$B$1118,"&lt;="&amp;N90)*L90/ROUNDUP(L90,0)*SUMIFS(Donnees_annuelles!$AG$3:$AG$188,Donnees_annuelles!$A$3:$A$188,AR90)*SUMIFS(Donnees_annuelles!$AA$3:$AA$188,Donnees_annuelles!$A$3:$A$188,AR90)</f>
        <v/>
      </c>
      <c r="AT90" s="36">
        <f>AS90/V90</f>
        <v/>
      </c>
      <c r="AU90" s="14">
        <f>AL90</f>
        <v/>
      </c>
      <c r="AV90" s="39">
        <f>AS90-AL90</f>
        <v/>
      </c>
      <c r="AW90" s="9">
        <f>AS90/AL90-1</f>
        <v/>
      </c>
      <c r="AX90" s="14">
        <f>AS90/AJ90/12</f>
        <v/>
      </c>
      <c r="AY90" s="14">
        <f>AF90</f>
        <v/>
      </c>
      <c r="AZ90" s="39">
        <f>AX90-AF90</f>
        <v/>
      </c>
      <c r="BA90" s="14">
        <f>SUMIFS(Donnees_regimes!$S$3:$S$1118,Donnees_regimes!$A$3:$A$1118,C90,Donnees_regimes!$B$3:$B$1118,"&gt;="&amp;G90,Donnees_regimes!$B$3:$B$1118,"&lt;="&amp;N90)*L90/ROUNDUP(L90,0)*SUMIFS(Donnees_annuelles!$AH$3:$AH$188,Donnees_annuelles!$A$3:$A$188,AR90)*SUMIFS(Donnees_annuelles!$AA$3:$AA$188,Donnees_annuelles!$A$3:$A$188,AR90)</f>
        <v/>
      </c>
      <c r="BB90" s="39">
        <f>BA90-AL90</f>
        <v/>
      </c>
      <c r="BC90" s="7">
        <f>IF(M90+AJ90&gt;2026,IF(G90&gt;2026,"entièrement projeté","en partie projeté"),"observé")</f>
        <v/>
      </c>
    </row>
    <row r="91">
      <c r="A91" s="7" t="inlineStr">
        <is>
          <t>Génération Alpha</t>
        </is>
      </c>
      <c r="B91" s="84" t="inlineStr">
        <is>
          <t>Privé</t>
        </is>
      </c>
      <c r="C91" s="7">
        <f>IF(G91&gt;=SUMIFS(Regimes!$C$5:$C$10,Regimes!$A$5:$A$10,B91),"Privé",B91)</f>
        <v/>
      </c>
      <c r="D91" s="7">
        <f>INDEX(Regimes!$D$5:$D$10,MATCH(C91,Regimes!$A$5:$A$10,0))</f>
        <v/>
      </c>
      <c r="E91" s="88" t="n">
        <v>2016</v>
      </c>
      <c r="F91" s="8">
        <f>Donnees_generations!C104</f>
        <v/>
      </c>
      <c r="G91" s="77">
        <f>Donnees_generations!D104</f>
        <v/>
      </c>
      <c r="H91" s="8">
        <f>SUMIFS(Donnees_generations!$S$3:$S$113,Donnees_generations!$A$3:$A$113,MAX(1915,MIN(2025,E91)))</f>
        <v/>
      </c>
      <c r="I91" s="8">
        <f>SUMIFS(Donnees_generations!$T$3:$T$113,Donnees_generations!$A$3:$A$113,MAX(1915,MIN(2025,E91)))</f>
        <v/>
      </c>
      <c r="J91" s="8">
        <f>IF(G91&gt;=2000,MAX(I91,Parametres!$B$3),I91)</f>
        <v/>
      </c>
      <c r="K91" s="8">
        <f>IF(C91="Privé",J91,SUMIFS(Regles_regimes!$J$3:$J$2000,Regles_regimes!$A$3:$A$2000,C91,Regles_regimes!$B$3:$B$2000,D91,Regles_regimes!$C$3:$C$2000,MAX(1915,MIN(2025,E91))))</f>
        <v/>
      </c>
      <c r="L91" s="8">
        <f>IF(C91="Privé",H91,(K91-F91)*H91/(J91-F91))</f>
        <v/>
      </c>
      <c r="M91" s="77">
        <f>INT(E91+K91)</f>
        <v/>
      </c>
      <c r="N91" s="77">
        <f>G91+ROUNDUP(L91,0)-1</f>
        <v/>
      </c>
      <c r="O91" s="89">
        <f>SUMIFS(Regles_regimes!$K$3:$K$2000,Regles_regimes!$A$3:$A$2000,C91,Regles_regimes!$B$3:$B$2000,D91,Regles_regimes!$C$3:$C$2000,MAX(1915,MIN(2025,E91)))</f>
        <v/>
      </c>
      <c r="P91" s="13">
        <f>SUMIFS(Donnees_annuelles!$W$3:$W$188,Donnees_annuelles!$A$3:$A$188,"&gt;="&amp;G91,Donnees_annuelles!$A$3:$A$188,"&lt;="&amp;N91)*L91/ROUNDUP(L91,0)*O91</f>
        <v/>
      </c>
      <c r="Q91" s="13">
        <f>SUMIFS(Donnees_annuelles!$V$3:$V$188,Donnees_annuelles!$A$3:$A$188,"&gt;="&amp;G91,Donnees_annuelles!$A$3:$A$188,"&lt;="&amp;N91)*L91/ROUNDUP(L91,0)</f>
        <v/>
      </c>
      <c r="R91" s="13">
        <f>P91/L91</f>
        <v/>
      </c>
      <c r="S91" s="14">
        <f>SUMIFS(Donnees_annuelles!$D$3:$D$188,Donnees_annuelles!$A$3:$A$188,"&gt;="&amp;G91,Donnees_annuelles!$A$3:$A$188,"&lt;="&amp;N91)*L91/ROUNDUP(L91,0)</f>
        <v/>
      </c>
      <c r="T91" s="14">
        <f>SUMIFS(Donnees_regimes!$N$3:$N$1118,Donnees_regimes!$A$3:$A$1118,C91,Donnees_regimes!$B$3:$B$1118,"&gt;="&amp;G91,Donnees_regimes!$B$3:$B$1118,"&lt;="&amp;N91)*L91/ROUNDUP(L91,0)</f>
        <v/>
      </c>
      <c r="U91" s="14">
        <f>SUMIFS(Donnees_regimes!$O$3:$O$1118,Donnees_regimes!$A$3:$A$1118,C91,Donnees_regimes!$B$3:$B$1118,"&gt;="&amp;G91,Donnees_regimes!$B$3:$B$1118,"&lt;="&amp;N91)*L91/ROUNDUP(L91,0)</f>
        <v/>
      </c>
      <c r="V91" s="14">
        <f>T91+U91</f>
        <v/>
      </c>
      <c r="W91" s="33">
        <f>V91/S91</f>
        <v/>
      </c>
      <c r="X91" s="14">
        <f>S91+U91</f>
        <v/>
      </c>
      <c r="Y91" s="17">
        <f>V91/P91</f>
        <v/>
      </c>
      <c r="Z91" s="14">
        <f>SUMIFS(Donnees_regimes!$Q$3:$Q$1118,Donnees_regimes!$A$3:$A$1118,C91,Donnees_regimes!$B$3:$B$1118,"&gt;="&amp;G91,Donnees_regimes!$B$3:$B$1118,"&lt;="&amp;N91)*L91/ROUNDUP(L91,0)</f>
        <v/>
      </c>
      <c r="AA91" s="77">
        <f>SUMIFS(Regles_regimes!$F$3:$F$2000,Regles_regimes!$A$3:$A$2000,C91,Regles_regimes!$B$3:$B$2000,D91,Regles_regimes!$C$3:$C$2000,MAX(1915,MIN(2025,E91)))</f>
        <v/>
      </c>
      <c r="AB91" s="77">
        <f>IF(AND(SUMIFS(Regles_regimes!$L$3:$L$2000,Regles_regimes!$A$3:$A$2000,C91,Regles_regimes!$B$3:$B$2000,D91,Regles_regimes!$C$3:$C$2000,MAX(1915,MIN(2025,E91)))=1,G91&lt;2009,C91&lt;&gt;"Privé"),MIN(20,L91*4/5),0)</f>
        <v/>
      </c>
      <c r="AC91" s="89">
        <f>SUMIFS(Donnees_regimes!$M$3:$M$1118,Donnees_regimes!$A$3:$A$1118,C91,Donnees_regimes!$B$3:$B$1118,M91)</f>
        <v/>
      </c>
      <c r="AD91" s="14">
        <f>SUMIFS(Donnees_annuelles!$Y$3:$Y$188,Donnees_annuelles!$A$3:$A$188,M91)*SUMIFS(Donnees_generations!$I$3:$I$113,Donnees_generations!$A$3:$A$113,MAX(1915,MIN(2025,E91)))/H91</f>
        <v/>
      </c>
      <c r="AE91" s="14">
        <f>IF(C91="Privé",SUMIFS(Donnees_annuelles!$Y$3:$Y$188,Donnees_annuelles!$A$3:$A$188,M91)*MIN(L91,SUMIFS(Donnees_generations!$I$3:$I$113,Donnees_generations!$A$3:$A$113,MAX(1915,MIN(2025,E91))))/L91,AD91*AC91*MIN(IF(AB91&gt;0,0.8/0.75,1),(L91*4+AB91)/AA91))</f>
        <v/>
      </c>
      <c r="AF91" s="14">
        <f>AE91/12</f>
        <v/>
      </c>
      <c r="AG91" s="77">
        <f>MIN(68,MAX(56,2*INT(K91/2)))</f>
        <v/>
      </c>
      <c r="AH91" s="75">
        <f>(CHOOSE((AG91-56)/2+1,SUMIFS(Donnees_generations!$U$3:$U$113,Donnees_generations!$A$3:$A$113,MAX(1915,MIN(2025,E91))),SUMIFS(Donnees_generations!$V$3:$V$113,Donnees_generations!$A$3:$A$113,MAX(1915,MIN(2025,E91))),SUMIFS(Donnees_generations!$W$3:$W$113,Donnees_generations!$A$3:$A$113,MAX(1915,MIN(2025,E91))),SUMIFS(Donnees_generations!$X$3:$X$113,Donnees_generations!$A$3:$A$113,MAX(1915,MIN(2025,E91))),SUMIFS(Donnees_generations!$Y$3:$Y$113,Donnees_generations!$A$3:$A$113,MAX(1915,MIN(2025,E91))),SUMIFS(Donnees_generations!$Z$3:$Z$113,Donnees_generations!$A$3:$A$113,MAX(1915,MIN(2025,E91))),SUMIFS(Donnees_generations!$AA$3:$AA$113,Donnees_generations!$A$3:$A$113,MAX(1915,MIN(2025,E91))),SUMIFS(Donnees_generations!$AB$3:$AB$113,Donnees_generations!$A$3:$A$113,MAX(1915,MIN(2025,E91))))+CHOOSE((AG91-56)/2+1,SUMIFS(Donnees_generations!$AC$3:$AC$113,Donnees_generations!$A$3:$A$113,MAX(1915,MIN(2025,E91))),SUMIFS(Donnees_generations!$AD$3:$AD$113,Donnees_generations!$A$3:$A$113,MAX(1915,MIN(2025,E91))),SUMIFS(Donnees_generations!$AE$3:$AE$113,Donnees_generations!$A$3:$A$113,MAX(1915,MIN(2025,E91))),SUMIFS(Donnees_generations!$AF$3:$AF$113,Donnees_generations!$A$3:$A$113,MAX(1915,MIN(2025,E91))),SUMIFS(Donnees_generations!$AG$3:$AG$113,Donnees_generations!$A$3:$A$113,MAX(1915,MIN(2025,E91))),SUMIFS(Donnees_generations!$AH$3:$AH$113,Donnees_generations!$A$3:$A$113,MAX(1915,MIN(2025,E91))),SUMIFS(Donnees_generations!$AI$3:$AI$113,Donnees_generations!$A$3:$A$113,MAX(1915,MIN(2025,E91))),SUMIFS(Donnees_generations!$AJ$3:$AJ$113,Donnees_generations!$A$3:$A$113,MAX(1915,MIN(2025,E91)))))/2</f>
        <v/>
      </c>
      <c r="AI91" s="75">
        <f>(CHOOSE(((AG91+2)-56)/2+1,SUMIFS(Donnees_generations!$U$3:$U$113,Donnees_generations!$A$3:$A$113,MAX(1915,MIN(2025,E91))),SUMIFS(Donnees_generations!$V$3:$V$113,Donnees_generations!$A$3:$A$113,MAX(1915,MIN(2025,E91))),SUMIFS(Donnees_generations!$W$3:$W$113,Donnees_generations!$A$3:$A$113,MAX(1915,MIN(2025,E91))),SUMIFS(Donnees_generations!$X$3:$X$113,Donnees_generations!$A$3:$A$113,MAX(1915,MIN(2025,E91))),SUMIFS(Donnees_generations!$Y$3:$Y$113,Donnees_generations!$A$3:$A$113,MAX(1915,MIN(2025,E91))),SUMIFS(Donnees_generations!$Z$3:$Z$113,Donnees_generations!$A$3:$A$113,MAX(1915,MIN(2025,E91))),SUMIFS(Donnees_generations!$AA$3:$AA$113,Donnees_generations!$A$3:$A$113,MAX(1915,MIN(2025,E91))),SUMIFS(Donnees_generations!$AB$3:$AB$113,Donnees_generations!$A$3:$A$113,MAX(1915,MIN(2025,E91))))+CHOOSE(((AG91+2)-56)/2+1,SUMIFS(Donnees_generations!$AC$3:$AC$113,Donnees_generations!$A$3:$A$113,MAX(1915,MIN(2025,E91))),SUMIFS(Donnees_generations!$AD$3:$AD$113,Donnees_generations!$A$3:$A$113,MAX(1915,MIN(2025,E91))),SUMIFS(Donnees_generations!$AE$3:$AE$113,Donnees_generations!$A$3:$A$113,MAX(1915,MIN(2025,E91))),SUMIFS(Donnees_generations!$AF$3:$AF$113,Donnees_generations!$A$3:$A$113,MAX(1915,MIN(2025,E91))),SUMIFS(Donnees_generations!$AG$3:$AG$113,Donnees_generations!$A$3:$A$113,MAX(1915,MIN(2025,E91))),SUMIFS(Donnees_generations!$AH$3:$AH$113,Donnees_generations!$A$3:$A$113,MAX(1915,MIN(2025,E91))),SUMIFS(Donnees_generations!$AI$3:$AI$113,Donnees_generations!$A$3:$A$113,MAX(1915,MIN(2025,E91))),SUMIFS(Donnees_generations!$AJ$3:$AJ$113,Donnees_generations!$A$3:$A$113,MAX(1915,MIN(2025,E91)))))/2</f>
        <v/>
      </c>
      <c r="AJ91" s="8">
        <f>MAX(0,AH91+(AI91-AH91)*(K91-AG91)/2)</f>
        <v/>
      </c>
      <c r="AK91" s="8">
        <f>K91+AJ91</f>
        <v/>
      </c>
      <c r="AL91" s="14">
        <f>AE91*AJ91</f>
        <v/>
      </c>
      <c r="AM91" s="17">
        <f>V91/AL91</f>
        <v/>
      </c>
      <c r="AN91" s="17">
        <f>Z91/AL91</f>
        <v/>
      </c>
      <c r="AO91" s="33">
        <f>IF(V91+Z91=0,0,Z91/(V91+Z91))</f>
        <v/>
      </c>
      <c r="AP91" s="14">
        <f>AL91/V91*100</f>
        <v/>
      </c>
      <c r="AQ91" s="8">
        <f>P91/AL91*1000</f>
        <v/>
      </c>
      <c r="AR91" s="77">
        <f>MAX(N91,M91-1)</f>
        <v/>
      </c>
      <c r="AS91" s="14">
        <f>SUMIFS(Donnees_regimes!$R$3:$R$1118,Donnees_regimes!$A$3:$A$1118,C91,Donnees_regimes!$B$3:$B$1118,"&gt;="&amp;G91,Donnees_regimes!$B$3:$B$1118,"&lt;="&amp;N91)*L91/ROUNDUP(L91,0)*SUMIFS(Donnees_annuelles!$AG$3:$AG$188,Donnees_annuelles!$A$3:$A$188,AR91)*SUMIFS(Donnees_annuelles!$AA$3:$AA$188,Donnees_annuelles!$A$3:$A$188,AR91)</f>
        <v/>
      </c>
      <c r="AT91" s="36">
        <f>AS91/V91</f>
        <v/>
      </c>
      <c r="AU91" s="14">
        <f>AL91</f>
        <v/>
      </c>
      <c r="AV91" s="39">
        <f>AS91-AL91</f>
        <v/>
      </c>
      <c r="AW91" s="9">
        <f>AS91/AL91-1</f>
        <v/>
      </c>
      <c r="AX91" s="14">
        <f>AS91/AJ91/12</f>
        <v/>
      </c>
      <c r="AY91" s="14">
        <f>AF91</f>
        <v/>
      </c>
      <c r="AZ91" s="39">
        <f>AX91-AF91</f>
        <v/>
      </c>
      <c r="BA91" s="14">
        <f>SUMIFS(Donnees_regimes!$S$3:$S$1118,Donnees_regimes!$A$3:$A$1118,C91,Donnees_regimes!$B$3:$B$1118,"&gt;="&amp;G91,Donnees_regimes!$B$3:$B$1118,"&lt;="&amp;N91)*L91/ROUNDUP(L91,0)*SUMIFS(Donnees_annuelles!$AH$3:$AH$188,Donnees_annuelles!$A$3:$A$188,AR91)*SUMIFS(Donnees_annuelles!$AA$3:$AA$188,Donnees_annuelles!$A$3:$A$188,AR91)</f>
        <v/>
      </c>
      <c r="BB91" s="39">
        <f>BA91-AL91</f>
        <v/>
      </c>
      <c r="BC91" s="7">
        <f>IF(M91+AJ91&gt;2026,IF(G91&gt;2026,"entièrement projeté","en partie projeté"),"observé")</f>
        <v/>
      </c>
    </row>
    <row r="92">
      <c r="A92" s="7" t="inlineStr">
        <is>
          <t>Génération Alpha</t>
        </is>
      </c>
      <c r="B92" s="84" t="inlineStr">
        <is>
          <t>Privé</t>
        </is>
      </c>
      <c r="C92" s="7">
        <f>IF(G92&gt;=SUMIFS(Regimes!$C$5:$C$10,Regimes!$A$5:$A$10,B92),"Privé",B92)</f>
        <v/>
      </c>
      <c r="D92" s="7">
        <f>INDEX(Regimes!$D$5:$D$10,MATCH(C92,Regimes!$A$5:$A$10,0))</f>
        <v/>
      </c>
      <c r="E92" s="88" t="n">
        <v>2017</v>
      </c>
      <c r="F92" s="8">
        <f>Donnees_generations!C105</f>
        <v/>
      </c>
      <c r="G92" s="77">
        <f>Donnees_generations!D105</f>
        <v/>
      </c>
      <c r="H92" s="8">
        <f>SUMIFS(Donnees_generations!$S$3:$S$113,Donnees_generations!$A$3:$A$113,MAX(1915,MIN(2025,E92)))</f>
        <v/>
      </c>
      <c r="I92" s="8">
        <f>SUMIFS(Donnees_generations!$T$3:$T$113,Donnees_generations!$A$3:$A$113,MAX(1915,MIN(2025,E92)))</f>
        <v/>
      </c>
      <c r="J92" s="8">
        <f>IF(G92&gt;=2000,MAX(I92,Parametres!$B$3),I92)</f>
        <v/>
      </c>
      <c r="K92" s="8">
        <f>IF(C92="Privé",J92,SUMIFS(Regles_regimes!$J$3:$J$2000,Regles_regimes!$A$3:$A$2000,C92,Regles_regimes!$B$3:$B$2000,D92,Regles_regimes!$C$3:$C$2000,MAX(1915,MIN(2025,E92))))</f>
        <v/>
      </c>
      <c r="L92" s="8">
        <f>IF(C92="Privé",H92,(K92-F92)*H92/(J92-F92))</f>
        <v/>
      </c>
      <c r="M92" s="77">
        <f>INT(E92+K92)</f>
        <v/>
      </c>
      <c r="N92" s="77">
        <f>G92+ROUNDUP(L92,0)-1</f>
        <v/>
      </c>
      <c r="O92" s="89">
        <f>SUMIFS(Regles_regimes!$K$3:$K$2000,Regles_regimes!$A$3:$A$2000,C92,Regles_regimes!$B$3:$B$2000,D92,Regles_regimes!$C$3:$C$2000,MAX(1915,MIN(2025,E92)))</f>
        <v/>
      </c>
      <c r="P92" s="13">
        <f>SUMIFS(Donnees_annuelles!$W$3:$W$188,Donnees_annuelles!$A$3:$A$188,"&gt;="&amp;G92,Donnees_annuelles!$A$3:$A$188,"&lt;="&amp;N92)*L92/ROUNDUP(L92,0)*O92</f>
        <v/>
      </c>
      <c r="Q92" s="13">
        <f>SUMIFS(Donnees_annuelles!$V$3:$V$188,Donnees_annuelles!$A$3:$A$188,"&gt;="&amp;G92,Donnees_annuelles!$A$3:$A$188,"&lt;="&amp;N92)*L92/ROUNDUP(L92,0)</f>
        <v/>
      </c>
      <c r="R92" s="13">
        <f>P92/L92</f>
        <v/>
      </c>
      <c r="S92" s="14">
        <f>SUMIFS(Donnees_annuelles!$D$3:$D$188,Donnees_annuelles!$A$3:$A$188,"&gt;="&amp;G92,Donnees_annuelles!$A$3:$A$188,"&lt;="&amp;N92)*L92/ROUNDUP(L92,0)</f>
        <v/>
      </c>
      <c r="T92" s="14">
        <f>SUMIFS(Donnees_regimes!$N$3:$N$1118,Donnees_regimes!$A$3:$A$1118,C92,Donnees_regimes!$B$3:$B$1118,"&gt;="&amp;G92,Donnees_regimes!$B$3:$B$1118,"&lt;="&amp;N92)*L92/ROUNDUP(L92,0)</f>
        <v/>
      </c>
      <c r="U92" s="14">
        <f>SUMIFS(Donnees_regimes!$O$3:$O$1118,Donnees_regimes!$A$3:$A$1118,C92,Donnees_regimes!$B$3:$B$1118,"&gt;="&amp;G92,Donnees_regimes!$B$3:$B$1118,"&lt;="&amp;N92)*L92/ROUNDUP(L92,0)</f>
        <v/>
      </c>
      <c r="V92" s="14">
        <f>T92+U92</f>
        <v/>
      </c>
      <c r="W92" s="33">
        <f>V92/S92</f>
        <v/>
      </c>
      <c r="X92" s="14">
        <f>S92+U92</f>
        <v/>
      </c>
      <c r="Y92" s="17">
        <f>V92/P92</f>
        <v/>
      </c>
      <c r="Z92" s="14">
        <f>SUMIFS(Donnees_regimes!$Q$3:$Q$1118,Donnees_regimes!$A$3:$A$1118,C92,Donnees_regimes!$B$3:$B$1118,"&gt;="&amp;G92,Donnees_regimes!$B$3:$B$1118,"&lt;="&amp;N92)*L92/ROUNDUP(L92,0)</f>
        <v/>
      </c>
      <c r="AA92" s="77">
        <f>SUMIFS(Regles_regimes!$F$3:$F$2000,Regles_regimes!$A$3:$A$2000,C92,Regles_regimes!$B$3:$B$2000,D92,Regles_regimes!$C$3:$C$2000,MAX(1915,MIN(2025,E92)))</f>
        <v/>
      </c>
      <c r="AB92" s="77">
        <f>IF(AND(SUMIFS(Regles_regimes!$L$3:$L$2000,Regles_regimes!$A$3:$A$2000,C92,Regles_regimes!$B$3:$B$2000,D92,Regles_regimes!$C$3:$C$2000,MAX(1915,MIN(2025,E92)))=1,G92&lt;2009,C92&lt;&gt;"Privé"),MIN(20,L92*4/5),0)</f>
        <v/>
      </c>
      <c r="AC92" s="89">
        <f>SUMIFS(Donnees_regimes!$M$3:$M$1118,Donnees_regimes!$A$3:$A$1118,C92,Donnees_regimes!$B$3:$B$1118,M92)</f>
        <v/>
      </c>
      <c r="AD92" s="14">
        <f>SUMIFS(Donnees_annuelles!$Y$3:$Y$188,Donnees_annuelles!$A$3:$A$188,M92)*SUMIFS(Donnees_generations!$I$3:$I$113,Donnees_generations!$A$3:$A$113,MAX(1915,MIN(2025,E92)))/H92</f>
        <v/>
      </c>
      <c r="AE92" s="14">
        <f>IF(C92="Privé",SUMIFS(Donnees_annuelles!$Y$3:$Y$188,Donnees_annuelles!$A$3:$A$188,M92)*MIN(L92,SUMIFS(Donnees_generations!$I$3:$I$113,Donnees_generations!$A$3:$A$113,MAX(1915,MIN(2025,E92))))/L92,AD92*AC92*MIN(IF(AB92&gt;0,0.8/0.75,1),(L92*4+AB92)/AA92))</f>
        <v/>
      </c>
      <c r="AF92" s="14">
        <f>AE92/12</f>
        <v/>
      </c>
      <c r="AG92" s="77">
        <f>MIN(68,MAX(56,2*INT(K92/2)))</f>
        <v/>
      </c>
      <c r="AH92" s="75">
        <f>(CHOOSE((AG92-56)/2+1,SUMIFS(Donnees_generations!$U$3:$U$113,Donnees_generations!$A$3:$A$113,MAX(1915,MIN(2025,E92))),SUMIFS(Donnees_generations!$V$3:$V$113,Donnees_generations!$A$3:$A$113,MAX(1915,MIN(2025,E92))),SUMIFS(Donnees_generations!$W$3:$W$113,Donnees_generations!$A$3:$A$113,MAX(1915,MIN(2025,E92))),SUMIFS(Donnees_generations!$X$3:$X$113,Donnees_generations!$A$3:$A$113,MAX(1915,MIN(2025,E92))),SUMIFS(Donnees_generations!$Y$3:$Y$113,Donnees_generations!$A$3:$A$113,MAX(1915,MIN(2025,E92))),SUMIFS(Donnees_generations!$Z$3:$Z$113,Donnees_generations!$A$3:$A$113,MAX(1915,MIN(2025,E92))),SUMIFS(Donnees_generations!$AA$3:$AA$113,Donnees_generations!$A$3:$A$113,MAX(1915,MIN(2025,E92))),SUMIFS(Donnees_generations!$AB$3:$AB$113,Donnees_generations!$A$3:$A$113,MAX(1915,MIN(2025,E92))))+CHOOSE((AG92-56)/2+1,SUMIFS(Donnees_generations!$AC$3:$AC$113,Donnees_generations!$A$3:$A$113,MAX(1915,MIN(2025,E92))),SUMIFS(Donnees_generations!$AD$3:$AD$113,Donnees_generations!$A$3:$A$113,MAX(1915,MIN(2025,E92))),SUMIFS(Donnees_generations!$AE$3:$AE$113,Donnees_generations!$A$3:$A$113,MAX(1915,MIN(2025,E92))),SUMIFS(Donnees_generations!$AF$3:$AF$113,Donnees_generations!$A$3:$A$113,MAX(1915,MIN(2025,E92))),SUMIFS(Donnees_generations!$AG$3:$AG$113,Donnees_generations!$A$3:$A$113,MAX(1915,MIN(2025,E92))),SUMIFS(Donnees_generations!$AH$3:$AH$113,Donnees_generations!$A$3:$A$113,MAX(1915,MIN(2025,E92))),SUMIFS(Donnees_generations!$AI$3:$AI$113,Donnees_generations!$A$3:$A$113,MAX(1915,MIN(2025,E92))),SUMIFS(Donnees_generations!$AJ$3:$AJ$113,Donnees_generations!$A$3:$A$113,MAX(1915,MIN(2025,E92)))))/2</f>
        <v/>
      </c>
      <c r="AI92" s="75">
        <f>(CHOOSE(((AG92+2)-56)/2+1,SUMIFS(Donnees_generations!$U$3:$U$113,Donnees_generations!$A$3:$A$113,MAX(1915,MIN(2025,E92))),SUMIFS(Donnees_generations!$V$3:$V$113,Donnees_generations!$A$3:$A$113,MAX(1915,MIN(2025,E92))),SUMIFS(Donnees_generations!$W$3:$W$113,Donnees_generations!$A$3:$A$113,MAX(1915,MIN(2025,E92))),SUMIFS(Donnees_generations!$X$3:$X$113,Donnees_generations!$A$3:$A$113,MAX(1915,MIN(2025,E92))),SUMIFS(Donnees_generations!$Y$3:$Y$113,Donnees_generations!$A$3:$A$113,MAX(1915,MIN(2025,E92))),SUMIFS(Donnees_generations!$Z$3:$Z$113,Donnees_generations!$A$3:$A$113,MAX(1915,MIN(2025,E92))),SUMIFS(Donnees_generations!$AA$3:$AA$113,Donnees_generations!$A$3:$A$113,MAX(1915,MIN(2025,E92))),SUMIFS(Donnees_generations!$AB$3:$AB$113,Donnees_generations!$A$3:$A$113,MAX(1915,MIN(2025,E92))))+CHOOSE(((AG92+2)-56)/2+1,SUMIFS(Donnees_generations!$AC$3:$AC$113,Donnees_generations!$A$3:$A$113,MAX(1915,MIN(2025,E92))),SUMIFS(Donnees_generations!$AD$3:$AD$113,Donnees_generations!$A$3:$A$113,MAX(1915,MIN(2025,E92))),SUMIFS(Donnees_generations!$AE$3:$AE$113,Donnees_generations!$A$3:$A$113,MAX(1915,MIN(2025,E92))),SUMIFS(Donnees_generations!$AF$3:$AF$113,Donnees_generations!$A$3:$A$113,MAX(1915,MIN(2025,E92))),SUMIFS(Donnees_generations!$AG$3:$AG$113,Donnees_generations!$A$3:$A$113,MAX(1915,MIN(2025,E92))),SUMIFS(Donnees_generations!$AH$3:$AH$113,Donnees_generations!$A$3:$A$113,MAX(1915,MIN(2025,E92))),SUMIFS(Donnees_generations!$AI$3:$AI$113,Donnees_generations!$A$3:$A$113,MAX(1915,MIN(2025,E92))),SUMIFS(Donnees_generations!$AJ$3:$AJ$113,Donnees_generations!$A$3:$A$113,MAX(1915,MIN(2025,E92)))))/2</f>
        <v/>
      </c>
      <c r="AJ92" s="8">
        <f>MAX(0,AH92+(AI92-AH92)*(K92-AG92)/2)</f>
        <v/>
      </c>
      <c r="AK92" s="8">
        <f>K92+AJ92</f>
        <v/>
      </c>
      <c r="AL92" s="14">
        <f>AE92*AJ92</f>
        <v/>
      </c>
      <c r="AM92" s="17">
        <f>V92/AL92</f>
        <v/>
      </c>
      <c r="AN92" s="17">
        <f>Z92/AL92</f>
        <v/>
      </c>
      <c r="AO92" s="33">
        <f>IF(V92+Z92=0,0,Z92/(V92+Z92))</f>
        <v/>
      </c>
      <c r="AP92" s="14">
        <f>AL92/V92*100</f>
        <v/>
      </c>
      <c r="AQ92" s="8">
        <f>P92/AL92*1000</f>
        <v/>
      </c>
      <c r="AR92" s="77">
        <f>MAX(N92,M92-1)</f>
        <v/>
      </c>
      <c r="AS92" s="14">
        <f>SUMIFS(Donnees_regimes!$R$3:$R$1118,Donnees_regimes!$A$3:$A$1118,C92,Donnees_regimes!$B$3:$B$1118,"&gt;="&amp;G92,Donnees_regimes!$B$3:$B$1118,"&lt;="&amp;N92)*L92/ROUNDUP(L92,0)*SUMIFS(Donnees_annuelles!$AG$3:$AG$188,Donnees_annuelles!$A$3:$A$188,AR92)*SUMIFS(Donnees_annuelles!$AA$3:$AA$188,Donnees_annuelles!$A$3:$A$188,AR92)</f>
        <v/>
      </c>
      <c r="AT92" s="36">
        <f>AS92/V92</f>
        <v/>
      </c>
      <c r="AU92" s="14">
        <f>AL92</f>
        <v/>
      </c>
      <c r="AV92" s="39">
        <f>AS92-AL92</f>
        <v/>
      </c>
      <c r="AW92" s="9">
        <f>AS92/AL92-1</f>
        <v/>
      </c>
      <c r="AX92" s="14">
        <f>AS92/AJ92/12</f>
        <v/>
      </c>
      <c r="AY92" s="14">
        <f>AF92</f>
        <v/>
      </c>
      <c r="AZ92" s="39">
        <f>AX92-AF92</f>
        <v/>
      </c>
      <c r="BA92" s="14">
        <f>SUMIFS(Donnees_regimes!$S$3:$S$1118,Donnees_regimes!$A$3:$A$1118,C92,Donnees_regimes!$B$3:$B$1118,"&gt;="&amp;G92,Donnees_regimes!$B$3:$B$1118,"&lt;="&amp;N92)*L92/ROUNDUP(L92,0)*SUMIFS(Donnees_annuelles!$AH$3:$AH$188,Donnees_annuelles!$A$3:$A$188,AR92)*SUMIFS(Donnees_annuelles!$AA$3:$AA$188,Donnees_annuelles!$A$3:$A$188,AR92)</f>
        <v/>
      </c>
      <c r="BB92" s="39">
        <f>BA92-AL92</f>
        <v/>
      </c>
      <c r="BC92" s="7">
        <f>IF(M92+AJ92&gt;2026,IF(G92&gt;2026,"entièrement projeté","en partie projeté"),"observé")</f>
        <v/>
      </c>
    </row>
    <row r="93">
      <c r="A93" s="7" t="inlineStr">
        <is>
          <t>Génération Alpha</t>
        </is>
      </c>
      <c r="B93" s="84" t="inlineStr">
        <is>
          <t>Privé</t>
        </is>
      </c>
      <c r="C93" s="7">
        <f>IF(G93&gt;=SUMIFS(Regimes!$C$5:$C$10,Regimes!$A$5:$A$10,B93),"Privé",B93)</f>
        <v/>
      </c>
      <c r="D93" s="7">
        <f>INDEX(Regimes!$D$5:$D$10,MATCH(C93,Regimes!$A$5:$A$10,0))</f>
        <v/>
      </c>
      <c r="E93" s="88" t="n">
        <v>2018</v>
      </c>
      <c r="F93" s="8">
        <f>Donnees_generations!C106</f>
        <v/>
      </c>
      <c r="G93" s="77">
        <f>Donnees_generations!D106</f>
        <v/>
      </c>
      <c r="H93" s="8">
        <f>SUMIFS(Donnees_generations!$S$3:$S$113,Donnees_generations!$A$3:$A$113,MAX(1915,MIN(2025,E93)))</f>
        <v/>
      </c>
      <c r="I93" s="8">
        <f>SUMIFS(Donnees_generations!$T$3:$T$113,Donnees_generations!$A$3:$A$113,MAX(1915,MIN(2025,E93)))</f>
        <v/>
      </c>
      <c r="J93" s="8">
        <f>IF(G93&gt;=2000,MAX(I93,Parametres!$B$3),I93)</f>
        <v/>
      </c>
      <c r="K93" s="8">
        <f>IF(C93="Privé",J93,SUMIFS(Regles_regimes!$J$3:$J$2000,Regles_regimes!$A$3:$A$2000,C93,Regles_regimes!$B$3:$B$2000,D93,Regles_regimes!$C$3:$C$2000,MAX(1915,MIN(2025,E93))))</f>
        <v/>
      </c>
      <c r="L93" s="8">
        <f>IF(C93="Privé",H93,(K93-F93)*H93/(J93-F93))</f>
        <v/>
      </c>
      <c r="M93" s="77">
        <f>INT(E93+K93)</f>
        <v/>
      </c>
      <c r="N93" s="77">
        <f>G93+ROUNDUP(L93,0)-1</f>
        <v/>
      </c>
      <c r="O93" s="89">
        <f>SUMIFS(Regles_regimes!$K$3:$K$2000,Regles_regimes!$A$3:$A$2000,C93,Regles_regimes!$B$3:$B$2000,D93,Regles_regimes!$C$3:$C$2000,MAX(1915,MIN(2025,E93)))</f>
        <v/>
      </c>
      <c r="P93" s="13">
        <f>SUMIFS(Donnees_annuelles!$W$3:$W$188,Donnees_annuelles!$A$3:$A$188,"&gt;="&amp;G93,Donnees_annuelles!$A$3:$A$188,"&lt;="&amp;N93)*L93/ROUNDUP(L93,0)*O93</f>
        <v/>
      </c>
      <c r="Q93" s="13">
        <f>SUMIFS(Donnees_annuelles!$V$3:$V$188,Donnees_annuelles!$A$3:$A$188,"&gt;="&amp;G93,Donnees_annuelles!$A$3:$A$188,"&lt;="&amp;N93)*L93/ROUNDUP(L93,0)</f>
        <v/>
      </c>
      <c r="R93" s="13">
        <f>P93/L93</f>
        <v/>
      </c>
      <c r="S93" s="14">
        <f>SUMIFS(Donnees_annuelles!$D$3:$D$188,Donnees_annuelles!$A$3:$A$188,"&gt;="&amp;G93,Donnees_annuelles!$A$3:$A$188,"&lt;="&amp;N93)*L93/ROUNDUP(L93,0)</f>
        <v/>
      </c>
      <c r="T93" s="14">
        <f>SUMIFS(Donnees_regimes!$N$3:$N$1118,Donnees_regimes!$A$3:$A$1118,C93,Donnees_regimes!$B$3:$B$1118,"&gt;="&amp;G93,Donnees_regimes!$B$3:$B$1118,"&lt;="&amp;N93)*L93/ROUNDUP(L93,0)</f>
        <v/>
      </c>
      <c r="U93" s="14">
        <f>SUMIFS(Donnees_regimes!$O$3:$O$1118,Donnees_regimes!$A$3:$A$1118,C93,Donnees_regimes!$B$3:$B$1118,"&gt;="&amp;G93,Donnees_regimes!$B$3:$B$1118,"&lt;="&amp;N93)*L93/ROUNDUP(L93,0)</f>
        <v/>
      </c>
      <c r="V93" s="14">
        <f>T93+U93</f>
        <v/>
      </c>
      <c r="W93" s="33">
        <f>V93/S93</f>
        <v/>
      </c>
      <c r="X93" s="14">
        <f>S93+U93</f>
        <v/>
      </c>
      <c r="Y93" s="17">
        <f>V93/P93</f>
        <v/>
      </c>
      <c r="Z93" s="14">
        <f>SUMIFS(Donnees_regimes!$Q$3:$Q$1118,Donnees_regimes!$A$3:$A$1118,C93,Donnees_regimes!$B$3:$B$1118,"&gt;="&amp;G93,Donnees_regimes!$B$3:$B$1118,"&lt;="&amp;N93)*L93/ROUNDUP(L93,0)</f>
        <v/>
      </c>
      <c r="AA93" s="77">
        <f>SUMIFS(Regles_regimes!$F$3:$F$2000,Regles_regimes!$A$3:$A$2000,C93,Regles_regimes!$B$3:$B$2000,D93,Regles_regimes!$C$3:$C$2000,MAX(1915,MIN(2025,E93)))</f>
        <v/>
      </c>
      <c r="AB93" s="77">
        <f>IF(AND(SUMIFS(Regles_regimes!$L$3:$L$2000,Regles_regimes!$A$3:$A$2000,C93,Regles_regimes!$B$3:$B$2000,D93,Regles_regimes!$C$3:$C$2000,MAX(1915,MIN(2025,E93)))=1,G93&lt;2009,C93&lt;&gt;"Privé"),MIN(20,L93*4/5),0)</f>
        <v/>
      </c>
      <c r="AC93" s="89">
        <f>SUMIFS(Donnees_regimes!$M$3:$M$1118,Donnees_regimes!$A$3:$A$1118,C93,Donnees_regimes!$B$3:$B$1118,M93)</f>
        <v/>
      </c>
      <c r="AD93" s="14">
        <f>SUMIFS(Donnees_annuelles!$Y$3:$Y$188,Donnees_annuelles!$A$3:$A$188,M93)*SUMIFS(Donnees_generations!$I$3:$I$113,Donnees_generations!$A$3:$A$113,MAX(1915,MIN(2025,E93)))/H93</f>
        <v/>
      </c>
      <c r="AE93" s="14">
        <f>IF(C93="Privé",SUMIFS(Donnees_annuelles!$Y$3:$Y$188,Donnees_annuelles!$A$3:$A$188,M93)*MIN(L93,SUMIFS(Donnees_generations!$I$3:$I$113,Donnees_generations!$A$3:$A$113,MAX(1915,MIN(2025,E93))))/L93,AD93*AC93*MIN(IF(AB93&gt;0,0.8/0.75,1),(L93*4+AB93)/AA93))</f>
        <v/>
      </c>
      <c r="AF93" s="14">
        <f>AE93/12</f>
        <v/>
      </c>
      <c r="AG93" s="77">
        <f>MIN(68,MAX(56,2*INT(K93/2)))</f>
        <v/>
      </c>
      <c r="AH93" s="75">
        <f>(CHOOSE((AG93-56)/2+1,SUMIFS(Donnees_generations!$U$3:$U$113,Donnees_generations!$A$3:$A$113,MAX(1915,MIN(2025,E93))),SUMIFS(Donnees_generations!$V$3:$V$113,Donnees_generations!$A$3:$A$113,MAX(1915,MIN(2025,E93))),SUMIFS(Donnees_generations!$W$3:$W$113,Donnees_generations!$A$3:$A$113,MAX(1915,MIN(2025,E93))),SUMIFS(Donnees_generations!$X$3:$X$113,Donnees_generations!$A$3:$A$113,MAX(1915,MIN(2025,E93))),SUMIFS(Donnees_generations!$Y$3:$Y$113,Donnees_generations!$A$3:$A$113,MAX(1915,MIN(2025,E93))),SUMIFS(Donnees_generations!$Z$3:$Z$113,Donnees_generations!$A$3:$A$113,MAX(1915,MIN(2025,E93))),SUMIFS(Donnees_generations!$AA$3:$AA$113,Donnees_generations!$A$3:$A$113,MAX(1915,MIN(2025,E93))),SUMIFS(Donnees_generations!$AB$3:$AB$113,Donnees_generations!$A$3:$A$113,MAX(1915,MIN(2025,E93))))+CHOOSE((AG93-56)/2+1,SUMIFS(Donnees_generations!$AC$3:$AC$113,Donnees_generations!$A$3:$A$113,MAX(1915,MIN(2025,E93))),SUMIFS(Donnees_generations!$AD$3:$AD$113,Donnees_generations!$A$3:$A$113,MAX(1915,MIN(2025,E93))),SUMIFS(Donnees_generations!$AE$3:$AE$113,Donnees_generations!$A$3:$A$113,MAX(1915,MIN(2025,E93))),SUMIFS(Donnees_generations!$AF$3:$AF$113,Donnees_generations!$A$3:$A$113,MAX(1915,MIN(2025,E93))),SUMIFS(Donnees_generations!$AG$3:$AG$113,Donnees_generations!$A$3:$A$113,MAX(1915,MIN(2025,E93))),SUMIFS(Donnees_generations!$AH$3:$AH$113,Donnees_generations!$A$3:$A$113,MAX(1915,MIN(2025,E93))),SUMIFS(Donnees_generations!$AI$3:$AI$113,Donnees_generations!$A$3:$A$113,MAX(1915,MIN(2025,E93))),SUMIFS(Donnees_generations!$AJ$3:$AJ$113,Donnees_generations!$A$3:$A$113,MAX(1915,MIN(2025,E93)))))/2</f>
        <v/>
      </c>
      <c r="AI93" s="75">
        <f>(CHOOSE(((AG93+2)-56)/2+1,SUMIFS(Donnees_generations!$U$3:$U$113,Donnees_generations!$A$3:$A$113,MAX(1915,MIN(2025,E93))),SUMIFS(Donnees_generations!$V$3:$V$113,Donnees_generations!$A$3:$A$113,MAX(1915,MIN(2025,E93))),SUMIFS(Donnees_generations!$W$3:$W$113,Donnees_generations!$A$3:$A$113,MAX(1915,MIN(2025,E93))),SUMIFS(Donnees_generations!$X$3:$X$113,Donnees_generations!$A$3:$A$113,MAX(1915,MIN(2025,E93))),SUMIFS(Donnees_generations!$Y$3:$Y$113,Donnees_generations!$A$3:$A$113,MAX(1915,MIN(2025,E93))),SUMIFS(Donnees_generations!$Z$3:$Z$113,Donnees_generations!$A$3:$A$113,MAX(1915,MIN(2025,E93))),SUMIFS(Donnees_generations!$AA$3:$AA$113,Donnees_generations!$A$3:$A$113,MAX(1915,MIN(2025,E93))),SUMIFS(Donnees_generations!$AB$3:$AB$113,Donnees_generations!$A$3:$A$113,MAX(1915,MIN(2025,E93))))+CHOOSE(((AG93+2)-56)/2+1,SUMIFS(Donnees_generations!$AC$3:$AC$113,Donnees_generations!$A$3:$A$113,MAX(1915,MIN(2025,E93))),SUMIFS(Donnees_generations!$AD$3:$AD$113,Donnees_generations!$A$3:$A$113,MAX(1915,MIN(2025,E93))),SUMIFS(Donnees_generations!$AE$3:$AE$113,Donnees_generations!$A$3:$A$113,MAX(1915,MIN(2025,E93))),SUMIFS(Donnees_generations!$AF$3:$AF$113,Donnees_generations!$A$3:$A$113,MAX(1915,MIN(2025,E93))),SUMIFS(Donnees_generations!$AG$3:$AG$113,Donnees_generations!$A$3:$A$113,MAX(1915,MIN(2025,E93))),SUMIFS(Donnees_generations!$AH$3:$AH$113,Donnees_generations!$A$3:$A$113,MAX(1915,MIN(2025,E93))),SUMIFS(Donnees_generations!$AI$3:$AI$113,Donnees_generations!$A$3:$A$113,MAX(1915,MIN(2025,E93))),SUMIFS(Donnees_generations!$AJ$3:$AJ$113,Donnees_generations!$A$3:$A$113,MAX(1915,MIN(2025,E93)))))/2</f>
        <v/>
      </c>
      <c r="AJ93" s="8">
        <f>MAX(0,AH93+(AI93-AH93)*(K93-AG93)/2)</f>
        <v/>
      </c>
      <c r="AK93" s="8">
        <f>K93+AJ93</f>
        <v/>
      </c>
      <c r="AL93" s="14">
        <f>AE93*AJ93</f>
        <v/>
      </c>
      <c r="AM93" s="17">
        <f>V93/AL93</f>
        <v/>
      </c>
      <c r="AN93" s="17">
        <f>Z93/AL93</f>
        <v/>
      </c>
      <c r="AO93" s="33">
        <f>IF(V93+Z93=0,0,Z93/(V93+Z93))</f>
        <v/>
      </c>
      <c r="AP93" s="14">
        <f>AL93/V93*100</f>
        <v/>
      </c>
      <c r="AQ93" s="8">
        <f>P93/AL93*1000</f>
        <v/>
      </c>
      <c r="AR93" s="77">
        <f>MAX(N93,M93-1)</f>
        <v/>
      </c>
      <c r="AS93" s="14">
        <f>SUMIFS(Donnees_regimes!$R$3:$R$1118,Donnees_regimes!$A$3:$A$1118,C93,Donnees_regimes!$B$3:$B$1118,"&gt;="&amp;G93,Donnees_regimes!$B$3:$B$1118,"&lt;="&amp;N93)*L93/ROUNDUP(L93,0)*SUMIFS(Donnees_annuelles!$AG$3:$AG$188,Donnees_annuelles!$A$3:$A$188,AR93)*SUMIFS(Donnees_annuelles!$AA$3:$AA$188,Donnees_annuelles!$A$3:$A$188,AR93)</f>
        <v/>
      </c>
      <c r="AT93" s="36">
        <f>AS93/V93</f>
        <v/>
      </c>
      <c r="AU93" s="14">
        <f>AL93</f>
        <v/>
      </c>
      <c r="AV93" s="39">
        <f>AS93-AL93</f>
        <v/>
      </c>
      <c r="AW93" s="9">
        <f>AS93/AL93-1</f>
        <v/>
      </c>
      <c r="AX93" s="14">
        <f>AS93/AJ93/12</f>
        <v/>
      </c>
      <c r="AY93" s="14">
        <f>AF93</f>
        <v/>
      </c>
      <c r="AZ93" s="39">
        <f>AX93-AF93</f>
        <v/>
      </c>
      <c r="BA93" s="14">
        <f>SUMIFS(Donnees_regimes!$S$3:$S$1118,Donnees_regimes!$A$3:$A$1118,C93,Donnees_regimes!$B$3:$B$1118,"&gt;="&amp;G93,Donnees_regimes!$B$3:$B$1118,"&lt;="&amp;N93)*L93/ROUNDUP(L93,0)*SUMIFS(Donnees_annuelles!$AH$3:$AH$188,Donnees_annuelles!$A$3:$A$188,AR93)*SUMIFS(Donnees_annuelles!$AA$3:$AA$188,Donnees_annuelles!$A$3:$A$188,AR93)</f>
        <v/>
      </c>
      <c r="BB93" s="39">
        <f>BA93-AL93</f>
        <v/>
      </c>
      <c r="BC93" s="7">
        <f>IF(M93+AJ93&gt;2026,IF(G93&gt;2026,"entièrement projeté","en partie projeté"),"observé")</f>
        <v/>
      </c>
    </row>
    <row r="94">
      <c r="A94" s="7" t="inlineStr">
        <is>
          <t>Génération Alpha</t>
        </is>
      </c>
      <c r="B94" s="84" t="inlineStr">
        <is>
          <t>Privé</t>
        </is>
      </c>
      <c r="C94" s="7">
        <f>IF(G94&gt;=SUMIFS(Regimes!$C$5:$C$10,Regimes!$A$5:$A$10,B94),"Privé",B94)</f>
        <v/>
      </c>
      <c r="D94" s="7">
        <f>INDEX(Regimes!$D$5:$D$10,MATCH(C94,Regimes!$A$5:$A$10,0))</f>
        <v/>
      </c>
      <c r="E94" s="88" t="n">
        <v>2019</v>
      </c>
      <c r="F94" s="8">
        <f>Donnees_generations!C107</f>
        <v/>
      </c>
      <c r="G94" s="77">
        <f>Donnees_generations!D107</f>
        <v/>
      </c>
      <c r="H94" s="8">
        <f>SUMIFS(Donnees_generations!$S$3:$S$113,Donnees_generations!$A$3:$A$113,MAX(1915,MIN(2025,E94)))</f>
        <v/>
      </c>
      <c r="I94" s="8">
        <f>SUMIFS(Donnees_generations!$T$3:$T$113,Donnees_generations!$A$3:$A$113,MAX(1915,MIN(2025,E94)))</f>
        <v/>
      </c>
      <c r="J94" s="8">
        <f>IF(G94&gt;=2000,MAX(I94,Parametres!$B$3),I94)</f>
        <v/>
      </c>
      <c r="K94" s="8">
        <f>IF(C94="Privé",J94,SUMIFS(Regles_regimes!$J$3:$J$2000,Regles_regimes!$A$3:$A$2000,C94,Regles_regimes!$B$3:$B$2000,D94,Regles_regimes!$C$3:$C$2000,MAX(1915,MIN(2025,E94))))</f>
        <v/>
      </c>
      <c r="L94" s="8">
        <f>IF(C94="Privé",H94,(K94-F94)*H94/(J94-F94))</f>
        <v/>
      </c>
      <c r="M94" s="77">
        <f>INT(E94+K94)</f>
        <v/>
      </c>
      <c r="N94" s="77">
        <f>G94+ROUNDUP(L94,0)-1</f>
        <v/>
      </c>
      <c r="O94" s="89">
        <f>SUMIFS(Regles_regimes!$K$3:$K$2000,Regles_regimes!$A$3:$A$2000,C94,Regles_regimes!$B$3:$B$2000,D94,Regles_regimes!$C$3:$C$2000,MAX(1915,MIN(2025,E94)))</f>
        <v/>
      </c>
      <c r="P94" s="13">
        <f>SUMIFS(Donnees_annuelles!$W$3:$W$188,Donnees_annuelles!$A$3:$A$188,"&gt;="&amp;G94,Donnees_annuelles!$A$3:$A$188,"&lt;="&amp;N94)*L94/ROUNDUP(L94,0)*O94</f>
        <v/>
      </c>
      <c r="Q94" s="13">
        <f>SUMIFS(Donnees_annuelles!$V$3:$V$188,Donnees_annuelles!$A$3:$A$188,"&gt;="&amp;G94,Donnees_annuelles!$A$3:$A$188,"&lt;="&amp;N94)*L94/ROUNDUP(L94,0)</f>
        <v/>
      </c>
      <c r="R94" s="13">
        <f>P94/L94</f>
        <v/>
      </c>
      <c r="S94" s="14">
        <f>SUMIFS(Donnees_annuelles!$D$3:$D$188,Donnees_annuelles!$A$3:$A$188,"&gt;="&amp;G94,Donnees_annuelles!$A$3:$A$188,"&lt;="&amp;N94)*L94/ROUNDUP(L94,0)</f>
        <v/>
      </c>
      <c r="T94" s="14">
        <f>SUMIFS(Donnees_regimes!$N$3:$N$1118,Donnees_regimes!$A$3:$A$1118,C94,Donnees_regimes!$B$3:$B$1118,"&gt;="&amp;G94,Donnees_regimes!$B$3:$B$1118,"&lt;="&amp;N94)*L94/ROUNDUP(L94,0)</f>
        <v/>
      </c>
      <c r="U94" s="14">
        <f>SUMIFS(Donnees_regimes!$O$3:$O$1118,Donnees_regimes!$A$3:$A$1118,C94,Donnees_regimes!$B$3:$B$1118,"&gt;="&amp;G94,Donnees_regimes!$B$3:$B$1118,"&lt;="&amp;N94)*L94/ROUNDUP(L94,0)</f>
        <v/>
      </c>
      <c r="V94" s="14">
        <f>T94+U94</f>
        <v/>
      </c>
      <c r="W94" s="33">
        <f>V94/S94</f>
        <v/>
      </c>
      <c r="X94" s="14">
        <f>S94+U94</f>
        <v/>
      </c>
      <c r="Y94" s="17">
        <f>V94/P94</f>
        <v/>
      </c>
      <c r="Z94" s="14">
        <f>SUMIFS(Donnees_regimes!$Q$3:$Q$1118,Donnees_regimes!$A$3:$A$1118,C94,Donnees_regimes!$B$3:$B$1118,"&gt;="&amp;G94,Donnees_regimes!$B$3:$B$1118,"&lt;="&amp;N94)*L94/ROUNDUP(L94,0)</f>
        <v/>
      </c>
      <c r="AA94" s="77">
        <f>SUMIFS(Regles_regimes!$F$3:$F$2000,Regles_regimes!$A$3:$A$2000,C94,Regles_regimes!$B$3:$B$2000,D94,Regles_regimes!$C$3:$C$2000,MAX(1915,MIN(2025,E94)))</f>
        <v/>
      </c>
      <c r="AB94" s="77">
        <f>IF(AND(SUMIFS(Regles_regimes!$L$3:$L$2000,Regles_regimes!$A$3:$A$2000,C94,Regles_regimes!$B$3:$B$2000,D94,Regles_regimes!$C$3:$C$2000,MAX(1915,MIN(2025,E94)))=1,G94&lt;2009,C94&lt;&gt;"Privé"),MIN(20,L94*4/5),0)</f>
        <v/>
      </c>
      <c r="AC94" s="89">
        <f>SUMIFS(Donnees_regimes!$M$3:$M$1118,Donnees_regimes!$A$3:$A$1118,C94,Donnees_regimes!$B$3:$B$1118,M94)</f>
        <v/>
      </c>
      <c r="AD94" s="14">
        <f>SUMIFS(Donnees_annuelles!$Y$3:$Y$188,Donnees_annuelles!$A$3:$A$188,M94)*SUMIFS(Donnees_generations!$I$3:$I$113,Donnees_generations!$A$3:$A$113,MAX(1915,MIN(2025,E94)))/H94</f>
        <v/>
      </c>
      <c r="AE94" s="14">
        <f>IF(C94="Privé",SUMIFS(Donnees_annuelles!$Y$3:$Y$188,Donnees_annuelles!$A$3:$A$188,M94)*MIN(L94,SUMIFS(Donnees_generations!$I$3:$I$113,Donnees_generations!$A$3:$A$113,MAX(1915,MIN(2025,E94))))/L94,AD94*AC94*MIN(IF(AB94&gt;0,0.8/0.75,1),(L94*4+AB94)/AA94))</f>
        <v/>
      </c>
      <c r="AF94" s="14">
        <f>AE94/12</f>
        <v/>
      </c>
      <c r="AG94" s="77">
        <f>MIN(68,MAX(56,2*INT(K94/2)))</f>
        <v/>
      </c>
      <c r="AH94" s="75">
        <f>(CHOOSE((AG94-56)/2+1,SUMIFS(Donnees_generations!$U$3:$U$113,Donnees_generations!$A$3:$A$113,MAX(1915,MIN(2025,E94))),SUMIFS(Donnees_generations!$V$3:$V$113,Donnees_generations!$A$3:$A$113,MAX(1915,MIN(2025,E94))),SUMIFS(Donnees_generations!$W$3:$W$113,Donnees_generations!$A$3:$A$113,MAX(1915,MIN(2025,E94))),SUMIFS(Donnees_generations!$X$3:$X$113,Donnees_generations!$A$3:$A$113,MAX(1915,MIN(2025,E94))),SUMIFS(Donnees_generations!$Y$3:$Y$113,Donnees_generations!$A$3:$A$113,MAX(1915,MIN(2025,E94))),SUMIFS(Donnees_generations!$Z$3:$Z$113,Donnees_generations!$A$3:$A$113,MAX(1915,MIN(2025,E94))),SUMIFS(Donnees_generations!$AA$3:$AA$113,Donnees_generations!$A$3:$A$113,MAX(1915,MIN(2025,E94))),SUMIFS(Donnees_generations!$AB$3:$AB$113,Donnees_generations!$A$3:$A$113,MAX(1915,MIN(2025,E94))))+CHOOSE((AG94-56)/2+1,SUMIFS(Donnees_generations!$AC$3:$AC$113,Donnees_generations!$A$3:$A$113,MAX(1915,MIN(2025,E94))),SUMIFS(Donnees_generations!$AD$3:$AD$113,Donnees_generations!$A$3:$A$113,MAX(1915,MIN(2025,E94))),SUMIFS(Donnees_generations!$AE$3:$AE$113,Donnees_generations!$A$3:$A$113,MAX(1915,MIN(2025,E94))),SUMIFS(Donnees_generations!$AF$3:$AF$113,Donnees_generations!$A$3:$A$113,MAX(1915,MIN(2025,E94))),SUMIFS(Donnees_generations!$AG$3:$AG$113,Donnees_generations!$A$3:$A$113,MAX(1915,MIN(2025,E94))),SUMIFS(Donnees_generations!$AH$3:$AH$113,Donnees_generations!$A$3:$A$113,MAX(1915,MIN(2025,E94))),SUMIFS(Donnees_generations!$AI$3:$AI$113,Donnees_generations!$A$3:$A$113,MAX(1915,MIN(2025,E94))),SUMIFS(Donnees_generations!$AJ$3:$AJ$113,Donnees_generations!$A$3:$A$113,MAX(1915,MIN(2025,E94)))))/2</f>
        <v/>
      </c>
      <c r="AI94" s="75">
        <f>(CHOOSE(((AG94+2)-56)/2+1,SUMIFS(Donnees_generations!$U$3:$U$113,Donnees_generations!$A$3:$A$113,MAX(1915,MIN(2025,E94))),SUMIFS(Donnees_generations!$V$3:$V$113,Donnees_generations!$A$3:$A$113,MAX(1915,MIN(2025,E94))),SUMIFS(Donnees_generations!$W$3:$W$113,Donnees_generations!$A$3:$A$113,MAX(1915,MIN(2025,E94))),SUMIFS(Donnees_generations!$X$3:$X$113,Donnees_generations!$A$3:$A$113,MAX(1915,MIN(2025,E94))),SUMIFS(Donnees_generations!$Y$3:$Y$113,Donnees_generations!$A$3:$A$113,MAX(1915,MIN(2025,E94))),SUMIFS(Donnees_generations!$Z$3:$Z$113,Donnees_generations!$A$3:$A$113,MAX(1915,MIN(2025,E94))),SUMIFS(Donnees_generations!$AA$3:$AA$113,Donnees_generations!$A$3:$A$113,MAX(1915,MIN(2025,E94))),SUMIFS(Donnees_generations!$AB$3:$AB$113,Donnees_generations!$A$3:$A$113,MAX(1915,MIN(2025,E94))))+CHOOSE(((AG94+2)-56)/2+1,SUMIFS(Donnees_generations!$AC$3:$AC$113,Donnees_generations!$A$3:$A$113,MAX(1915,MIN(2025,E94))),SUMIFS(Donnees_generations!$AD$3:$AD$113,Donnees_generations!$A$3:$A$113,MAX(1915,MIN(2025,E94))),SUMIFS(Donnees_generations!$AE$3:$AE$113,Donnees_generations!$A$3:$A$113,MAX(1915,MIN(2025,E94))),SUMIFS(Donnees_generations!$AF$3:$AF$113,Donnees_generations!$A$3:$A$113,MAX(1915,MIN(2025,E94))),SUMIFS(Donnees_generations!$AG$3:$AG$113,Donnees_generations!$A$3:$A$113,MAX(1915,MIN(2025,E94))),SUMIFS(Donnees_generations!$AH$3:$AH$113,Donnees_generations!$A$3:$A$113,MAX(1915,MIN(2025,E94))),SUMIFS(Donnees_generations!$AI$3:$AI$113,Donnees_generations!$A$3:$A$113,MAX(1915,MIN(2025,E94))),SUMIFS(Donnees_generations!$AJ$3:$AJ$113,Donnees_generations!$A$3:$A$113,MAX(1915,MIN(2025,E94)))))/2</f>
        <v/>
      </c>
      <c r="AJ94" s="8">
        <f>MAX(0,AH94+(AI94-AH94)*(K94-AG94)/2)</f>
        <v/>
      </c>
      <c r="AK94" s="8">
        <f>K94+AJ94</f>
        <v/>
      </c>
      <c r="AL94" s="14">
        <f>AE94*AJ94</f>
        <v/>
      </c>
      <c r="AM94" s="17">
        <f>V94/AL94</f>
        <v/>
      </c>
      <c r="AN94" s="17">
        <f>Z94/AL94</f>
        <v/>
      </c>
      <c r="AO94" s="33">
        <f>IF(V94+Z94=0,0,Z94/(V94+Z94))</f>
        <v/>
      </c>
      <c r="AP94" s="14">
        <f>AL94/V94*100</f>
        <v/>
      </c>
      <c r="AQ94" s="8">
        <f>P94/AL94*1000</f>
        <v/>
      </c>
      <c r="AR94" s="77">
        <f>MAX(N94,M94-1)</f>
        <v/>
      </c>
      <c r="AS94" s="14">
        <f>SUMIFS(Donnees_regimes!$R$3:$R$1118,Donnees_regimes!$A$3:$A$1118,C94,Donnees_regimes!$B$3:$B$1118,"&gt;="&amp;G94,Donnees_regimes!$B$3:$B$1118,"&lt;="&amp;N94)*L94/ROUNDUP(L94,0)*SUMIFS(Donnees_annuelles!$AG$3:$AG$188,Donnees_annuelles!$A$3:$A$188,AR94)*SUMIFS(Donnees_annuelles!$AA$3:$AA$188,Donnees_annuelles!$A$3:$A$188,AR94)</f>
        <v/>
      </c>
      <c r="AT94" s="36">
        <f>AS94/V94</f>
        <v/>
      </c>
      <c r="AU94" s="14">
        <f>AL94</f>
        <v/>
      </c>
      <c r="AV94" s="39">
        <f>AS94-AL94</f>
        <v/>
      </c>
      <c r="AW94" s="9">
        <f>AS94/AL94-1</f>
        <v/>
      </c>
      <c r="AX94" s="14">
        <f>AS94/AJ94/12</f>
        <v/>
      </c>
      <c r="AY94" s="14">
        <f>AF94</f>
        <v/>
      </c>
      <c r="AZ94" s="39">
        <f>AX94-AF94</f>
        <v/>
      </c>
      <c r="BA94" s="14">
        <f>SUMIFS(Donnees_regimes!$S$3:$S$1118,Donnees_regimes!$A$3:$A$1118,C94,Donnees_regimes!$B$3:$B$1118,"&gt;="&amp;G94,Donnees_regimes!$B$3:$B$1118,"&lt;="&amp;N94)*L94/ROUNDUP(L94,0)*SUMIFS(Donnees_annuelles!$AH$3:$AH$188,Donnees_annuelles!$A$3:$A$188,AR94)*SUMIFS(Donnees_annuelles!$AA$3:$AA$188,Donnees_annuelles!$A$3:$A$188,AR94)</f>
        <v/>
      </c>
      <c r="BB94" s="39">
        <f>BA94-AL94</f>
        <v/>
      </c>
      <c r="BC94" s="7">
        <f>IF(M94+AJ94&gt;2026,IF(G94&gt;2026,"entièrement projeté","en partie projeté"),"observé")</f>
        <v/>
      </c>
    </row>
    <row r="95">
      <c r="A95" s="7" t="inlineStr">
        <is>
          <t>Génération Alpha</t>
        </is>
      </c>
      <c r="B95" s="84" t="inlineStr">
        <is>
          <t>Privé</t>
        </is>
      </c>
      <c r="C95" s="7">
        <f>IF(G95&gt;=SUMIFS(Regimes!$C$5:$C$10,Regimes!$A$5:$A$10,B95),"Privé",B95)</f>
        <v/>
      </c>
      <c r="D95" s="7">
        <f>INDEX(Regimes!$D$5:$D$10,MATCH(C95,Regimes!$A$5:$A$10,0))</f>
        <v/>
      </c>
      <c r="E95" s="88" t="n">
        <v>2020</v>
      </c>
      <c r="F95" s="8">
        <f>Donnees_generations!C108</f>
        <v/>
      </c>
      <c r="G95" s="77">
        <f>Donnees_generations!D108</f>
        <v/>
      </c>
      <c r="H95" s="8">
        <f>SUMIFS(Donnees_generations!$S$3:$S$113,Donnees_generations!$A$3:$A$113,MAX(1915,MIN(2025,E95)))</f>
        <v/>
      </c>
      <c r="I95" s="8">
        <f>SUMIFS(Donnees_generations!$T$3:$T$113,Donnees_generations!$A$3:$A$113,MAX(1915,MIN(2025,E95)))</f>
        <v/>
      </c>
      <c r="J95" s="8">
        <f>IF(G95&gt;=2000,MAX(I95,Parametres!$B$3),I95)</f>
        <v/>
      </c>
      <c r="K95" s="8">
        <f>IF(C95="Privé",J95,SUMIFS(Regles_regimes!$J$3:$J$2000,Regles_regimes!$A$3:$A$2000,C95,Regles_regimes!$B$3:$B$2000,D95,Regles_regimes!$C$3:$C$2000,MAX(1915,MIN(2025,E95))))</f>
        <v/>
      </c>
      <c r="L95" s="8">
        <f>IF(C95="Privé",H95,(K95-F95)*H95/(J95-F95))</f>
        <v/>
      </c>
      <c r="M95" s="77">
        <f>INT(E95+K95)</f>
        <v/>
      </c>
      <c r="N95" s="77">
        <f>G95+ROUNDUP(L95,0)-1</f>
        <v/>
      </c>
      <c r="O95" s="89">
        <f>SUMIFS(Regles_regimes!$K$3:$K$2000,Regles_regimes!$A$3:$A$2000,C95,Regles_regimes!$B$3:$B$2000,D95,Regles_regimes!$C$3:$C$2000,MAX(1915,MIN(2025,E95)))</f>
        <v/>
      </c>
      <c r="P95" s="13">
        <f>SUMIFS(Donnees_annuelles!$W$3:$W$188,Donnees_annuelles!$A$3:$A$188,"&gt;="&amp;G95,Donnees_annuelles!$A$3:$A$188,"&lt;="&amp;N95)*L95/ROUNDUP(L95,0)*O95</f>
        <v/>
      </c>
      <c r="Q95" s="13">
        <f>SUMIFS(Donnees_annuelles!$V$3:$V$188,Donnees_annuelles!$A$3:$A$188,"&gt;="&amp;G95,Donnees_annuelles!$A$3:$A$188,"&lt;="&amp;N95)*L95/ROUNDUP(L95,0)</f>
        <v/>
      </c>
      <c r="R95" s="13">
        <f>P95/L95</f>
        <v/>
      </c>
      <c r="S95" s="14">
        <f>SUMIFS(Donnees_annuelles!$D$3:$D$188,Donnees_annuelles!$A$3:$A$188,"&gt;="&amp;G95,Donnees_annuelles!$A$3:$A$188,"&lt;="&amp;N95)*L95/ROUNDUP(L95,0)</f>
        <v/>
      </c>
      <c r="T95" s="14">
        <f>SUMIFS(Donnees_regimes!$N$3:$N$1118,Donnees_regimes!$A$3:$A$1118,C95,Donnees_regimes!$B$3:$B$1118,"&gt;="&amp;G95,Donnees_regimes!$B$3:$B$1118,"&lt;="&amp;N95)*L95/ROUNDUP(L95,0)</f>
        <v/>
      </c>
      <c r="U95" s="14">
        <f>SUMIFS(Donnees_regimes!$O$3:$O$1118,Donnees_regimes!$A$3:$A$1118,C95,Donnees_regimes!$B$3:$B$1118,"&gt;="&amp;G95,Donnees_regimes!$B$3:$B$1118,"&lt;="&amp;N95)*L95/ROUNDUP(L95,0)</f>
        <v/>
      </c>
      <c r="V95" s="14">
        <f>T95+U95</f>
        <v/>
      </c>
      <c r="W95" s="33">
        <f>V95/S95</f>
        <v/>
      </c>
      <c r="X95" s="14">
        <f>S95+U95</f>
        <v/>
      </c>
      <c r="Y95" s="17">
        <f>V95/P95</f>
        <v/>
      </c>
      <c r="Z95" s="14">
        <f>SUMIFS(Donnees_regimes!$Q$3:$Q$1118,Donnees_regimes!$A$3:$A$1118,C95,Donnees_regimes!$B$3:$B$1118,"&gt;="&amp;G95,Donnees_regimes!$B$3:$B$1118,"&lt;="&amp;N95)*L95/ROUNDUP(L95,0)</f>
        <v/>
      </c>
      <c r="AA95" s="77">
        <f>SUMIFS(Regles_regimes!$F$3:$F$2000,Regles_regimes!$A$3:$A$2000,C95,Regles_regimes!$B$3:$B$2000,D95,Regles_regimes!$C$3:$C$2000,MAX(1915,MIN(2025,E95)))</f>
        <v/>
      </c>
      <c r="AB95" s="77">
        <f>IF(AND(SUMIFS(Regles_regimes!$L$3:$L$2000,Regles_regimes!$A$3:$A$2000,C95,Regles_regimes!$B$3:$B$2000,D95,Regles_regimes!$C$3:$C$2000,MAX(1915,MIN(2025,E95)))=1,G95&lt;2009,C95&lt;&gt;"Privé"),MIN(20,L95*4/5),0)</f>
        <v/>
      </c>
      <c r="AC95" s="89">
        <f>SUMIFS(Donnees_regimes!$M$3:$M$1118,Donnees_regimes!$A$3:$A$1118,C95,Donnees_regimes!$B$3:$B$1118,M95)</f>
        <v/>
      </c>
      <c r="AD95" s="14">
        <f>SUMIFS(Donnees_annuelles!$Y$3:$Y$188,Donnees_annuelles!$A$3:$A$188,M95)*SUMIFS(Donnees_generations!$I$3:$I$113,Donnees_generations!$A$3:$A$113,MAX(1915,MIN(2025,E95)))/H95</f>
        <v/>
      </c>
      <c r="AE95" s="14">
        <f>IF(C95="Privé",SUMIFS(Donnees_annuelles!$Y$3:$Y$188,Donnees_annuelles!$A$3:$A$188,M95)*MIN(L95,SUMIFS(Donnees_generations!$I$3:$I$113,Donnees_generations!$A$3:$A$113,MAX(1915,MIN(2025,E95))))/L95,AD95*AC95*MIN(IF(AB95&gt;0,0.8/0.75,1),(L95*4+AB95)/AA95))</f>
        <v/>
      </c>
      <c r="AF95" s="14">
        <f>AE95/12</f>
        <v/>
      </c>
      <c r="AG95" s="77">
        <f>MIN(68,MAX(56,2*INT(K95/2)))</f>
        <v/>
      </c>
      <c r="AH95" s="75">
        <f>(CHOOSE((AG95-56)/2+1,SUMIFS(Donnees_generations!$U$3:$U$113,Donnees_generations!$A$3:$A$113,MAX(1915,MIN(2025,E95))),SUMIFS(Donnees_generations!$V$3:$V$113,Donnees_generations!$A$3:$A$113,MAX(1915,MIN(2025,E95))),SUMIFS(Donnees_generations!$W$3:$W$113,Donnees_generations!$A$3:$A$113,MAX(1915,MIN(2025,E95))),SUMIFS(Donnees_generations!$X$3:$X$113,Donnees_generations!$A$3:$A$113,MAX(1915,MIN(2025,E95))),SUMIFS(Donnees_generations!$Y$3:$Y$113,Donnees_generations!$A$3:$A$113,MAX(1915,MIN(2025,E95))),SUMIFS(Donnees_generations!$Z$3:$Z$113,Donnees_generations!$A$3:$A$113,MAX(1915,MIN(2025,E95))),SUMIFS(Donnees_generations!$AA$3:$AA$113,Donnees_generations!$A$3:$A$113,MAX(1915,MIN(2025,E95))),SUMIFS(Donnees_generations!$AB$3:$AB$113,Donnees_generations!$A$3:$A$113,MAX(1915,MIN(2025,E95))))+CHOOSE((AG95-56)/2+1,SUMIFS(Donnees_generations!$AC$3:$AC$113,Donnees_generations!$A$3:$A$113,MAX(1915,MIN(2025,E95))),SUMIFS(Donnees_generations!$AD$3:$AD$113,Donnees_generations!$A$3:$A$113,MAX(1915,MIN(2025,E95))),SUMIFS(Donnees_generations!$AE$3:$AE$113,Donnees_generations!$A$3:$A$113,MAX(1915,MIN(2025,E95))),SUMIFS(Donnees_generations!$AF$3:$AF$113,Donnees_generations!$A$3:$A$113,MAX(1915,MIN(2025,E95))),SUMIFS(Donnees_generations!$AG$3:$AG$113,Donnees_generations!$A$3:$A$113,MAX(1915,MIN(2025,E95))),SUMIFS(Donnees_generations!$AH$3:$AH$113,Donnees_generations!$A$3:$A$113,MAX(1915,MIN(2025,E95))),SUMIFS(Donnees_generations!$AI$3:$AI$113,Donnees_generations!$A$3:$A$113,MAX(1915,MIN(2025,E95))),SUMIFS(Donnees_generations!$AJ$3:$AJ$113,Donnees_generations!$A$3:$A$113,MAX(1915,MIN(2025,E95)))))/2</f>
        <v/>
      </c>
      <c r="AI95" s="75">
        <f>(CHOOSE(((AG95+2)-56)/2+1,SUMIFS(Donnees_generations!$U$3:$U$113,Donnees_generations!$A$3:$A$113,MAX(1915,MIN(2025,E95))),SUMIFS(Donnees_generations!$V$3:$V$113,Donnees_generations!$A$3:$A$113,MAX(1915,MIN(2025,E95))),SUMIFS(Donnees_generations!$W$3:$W$113,Donnees_generations!$A$3:$A$113,MAX(1915,MIN(2025,E95))),SUMIFS(Donnees_generations!$X$3:$X$113,Donnees_generations!$A$3:$A$113,MAX(1915,MIN(2025,E95))),SUMIFS(Donnees_generations!$Y$3:$Y$113,Donnees_generations!$A$3:$A$113,MAX(1915,MIN(2025,E95))),SUMIFS(Donnees_generations!$Z$3:$Z$113,Donnees_generations!$A$3:$A$113,MAX(1915,MIN(2025,E95))),SUMIFS(Donnees_generations!$AA$3:$AA$113,Donnees_generations!$A$3:$A$113,MAX(1915,MIN(2025,E95))),SUMIFS(Donnees_generations!$AB$3:$AB$113,Donnees_generations!$A$3:$A$113,MAX(1915,MIN(2025,E95))))+CHOOSE(((AG95+2)-56)/2+1,SUMIFS(Donnees_generations!$AC$3:$AC$113,Donnees_generations!$A$3:$A$113,MAX(1915,MIN(2025,E95))),SUMIFS(Donnees_generations!$AD$3:$AD$113,Donnees_generations!$A$3:$A$113,MAX(1915,MIN(2025,E95))),SUMIFS(Donnees_generations!$AE$3:$AE$113,Donnees_generations!$A$3:$A$113,MAX(1915,MIN(2025,E95))),SUMIFS(Donnees_generations!$AF$3:$AF$113,Donnees_generations!$A$3:$A$113,MAX(1915,MIN(2025,E95))),SUMIFS(Donnees_generations!$AG$3:$AG$113,Donnees_generations!$A$3:$A$113,MAX(1915,MIN(2025,E95))),SUMIFS(Donnees_generations!$AH$3:$AH$113,Donnees_generations!$A$3:$A$113,MAX(1915,MIN(2025,E95))),SUMIFS(Donnees_generations!$AI$3:$AI$113,Donnees_generations!$A$3:$A$113,MAX(1915,MIN(2025,E95))),SUMIFS(Donnees_generations!$AJ$3:$AJ$113,Donnees_generations!$A$3:$A$113,MAX(1915,MIN(2025,E95)))))/2</f>
        <v/>
      </c>
      <c r="AJ95" s="8">
        <f>MAX(0,AH95+(AI95-AH95)*(K95-AG95)/2)</f>
        <v/>
      </c>
      <c r="AK95" s="8">
        <f>K95+AJ95</f>
        <v/>
      </c>
      <c r="AL95" s="14">
        <f>AE95*AJ95</f>
        <v/>
      </c>
      <c r="AM95" s="17">
        <f>V95/AL95</f>
        <v/>
      </c>
      <c r="AN95" s="17">
        <f>Z95/AL95</f>
        <v/>
      </c>
      <c r="AO95" s="33">
        <f>IF(V95+Z95=0,0,Z95/(V95+Z95))</f>
        <v/>
      </c>
      <c r="AP95" s="14">
        <f>AL95/V95*100</f>
        <v/>
      </c>
      <c r="AQ95" s="8">
        <f>P95/AL95*1000</f>
        <v/>
      </c>
      <c r="AR95" s="77">
        <f>MAX(N95,M95-1)</f>
        <v/>
      </c>
      <c r="AS95" s="14">
        <f>SUMIFS(Donnees_regimes!$R$3:$R$1118,Donnees_regimes!$A$3:$A$1118,C95,Donnees_regimes!$B$3:$B$1118,"&gt;="&amp;G95,Donnees_regimes!$B$3:$B$1118,"&lt;="&amp;N95)*L95/ROUNDUP(L95,0)*SUMIFS(Donnees_annuelles!$AG$3:$AG$188,Donnees_annuelles!$A$3:$A$188,AR95)*SUMIFS(Donnees_annuelles!$AA$3:$AA$188,Donnees_annuelles!$A$3:$A$188,AR95)</f>
        <v/>
      </c>
      <c r="AT95" s="36">
        <f>AS95/V95</f>
        <v/>
      </c>
      <c r="AU95" s="14">
        <f>AL95</f>
        <v/>
      </c>
      <c r="AV95" s="39">
        <f>AS95-AL95</f>
        <v/>
      </c>
      <c r="AW95" s="9">
        <f>AS95/AL95-1</f>
        <v/>
      </c>
      <c r="AX95" s="14">
        <f>AS95/AJ95/12</f>
        <v/>
      </c>
      <c r="AY95" s="14">
        <f>AF95</f>
        <v/>
      </c>
      <c r="AZ95" s="39">
        <f>AX95-AF95</f>
        <v/>
      </c>
      <c r="BA95" s="14">
        <f>SUMIFS(Donnees_regimes!$S$3:$S$1118,Donnees_regimes!$A$3:$A$1118,C95,Donnees_regimes!$B$3:$B$1118,"&gt;="&amp;G95,Donnees_regimes!$B$3:$B$1118,"&lt;="&amp;N95)*L95/ROUNDUP(L95,0)*SUMIFS(Donnees_annuelles!$AH$3:$AH$188,Donnees_annuelles!$A$3:$A$188,AR95)*SUMIFS(Donnees_annuelles!$AA$3:$AA$188,Donnees_annuelles!$A$3:$A$188,AR95)</f>
        <v/>
      </c>
      <c r="BB95" s="39">
        <f>BA95-AL95</f>
        <v/>
      </c>
      <c r="BC95" s="7">
        <f>IF(M95+AJ95&gt;2026,IF(G95&gt;2026,"entièrement projeté","en partie projeté"),"observé")</f>
        <v/>
      </c>
    </row>
    <row r="96">
      <c r="A96" s="7" t="inlineStr">
        <is>
          <t>Génération Alpha</t>
        </is>
      </c>
      <c r="B96" s="84" t="inlineStr">
        <is>
          <t>Privé</t>
        </is>
      </c>
      <c r="C96" s="7">
        <f>IF(G96&gt;=SUMIFS(Regimes!$C$5:$C$10,Regimes!$A$5:$A$10,B96),"Privé",B96)</f>
        <v/>
      </c>
      <c r="D96" s="7">
        <f>INDEX(Regimes!$D$5:$D$10,MATCH(C96,Regimes!$A$5:$A$10,0))</f>
        <v/>
      </c>
      <c r="E96" s="88" t="n">
        <v>2021</v>
      </c>
      <c r="F96" s="8">
        <f>Donnees_generations!C109</f>
        <v/>
      </c>
      <c r="G96" s="77">
        <f>Donnees_generations!D109</f>
        <v/>
      </c>
      <c r="H96" s="8">
        <f>SUMIFS(Donnees_generations!$S$3:$S$113,Donnees_generations!$A$3:$A$113,MAX(1915,MIN(2025,E96)))</f>
        <v/>
      </c>
      <c r="I96" s="8">
        <f>SUMIFS(Donnees_generations!$T$3:$T$113,Donnees_generations!$A$3:$A$113,MAX(1915,MIN(2025,E96)))</f>
        <v/>
      </c>
      <c r="J96" s="8">
        <f>IF(G96&gt;=2000,MAX(I96,Parametres!$B$3),I96)</f>
        <v/>
      </c>
      <c r="K96" s="8">
        <f>IF(C96="Privé",J96,SUMIFS(Regles_regimes!$J$3:$J$2000,Regles_regimes!$A$3:$A$2000,C96,Regles_regimes!$B$3:$B$2000,D96,Regles_regimes!$C$3:$C$2000,MAX(1915,MIN(2025,E96))))</f>
        <v/>
      </c>
      <c r="L96" s="8">
        <f>IF(C96="Privé",H96,(K96-F96)*H96/(J96-F96))</f>
        <v/>
      </c>
      <c r="M96" s="77">
        <f>INT(E96+K96)</f>
        <v/>
      </c>
      <c r="N96" s="77">
        <f>G96+ROUNDUP(L96,0)-1</f>
        <v/>
      </c>
      <c r="O96" s="89">
        <f>SUMIFS(Regles_regimes!$K$3:$K$2000,Regles_regimes!$A$3:$A$2000,C96,Regles_regimes!$B$3:$B$2000,D96,Regles_regimes!$C$3:$C$2000,MAX(1915,MIN(2025,E96)))</f>
        <v/>
      </c>
      <c r="P96" s="13">
        <f>SUMIFS(Donnees_annuelles!$W$3:$W$188,Donnees_annuelles!$A$3:$A$188,"&gt;="&amp;G96,Donnees_annuelles!$A$3:$A$188,"&lt;="&amp;N96)*L96/ROUNDUP(L96,0)*O96</f>
        <v/>
      </c>
      <c r="Q96" s="13">
        <f>SUMIFS(Donnees_annuelles!$V$3:$V$188,Donnees_annuelles!$A$3:$A$188,"&gt;="&amp;G96,Donnees_annuelles!$A$3:$A$188,"&lt;="&amp;N96)*L96/ROUNDUP(L96,0)</f>
        <v/>
      </c>
      <c r="R96" s="13">
        <f>P96/L96</f>
        <v/>
      </c>
      <c r="S96" s="14">
        <f>SUMIFS(Donnees_annuelles!$D$3:$D$188,Donnees_annuelles!$A$3:$A$188,"&gt;="&amp;G96,Donnees_annuelles!$A$3:$A$188,"&lt;="&amp;N96)*L96/ROUNDUP(L96,0)</f>
        <v/>
      </c>
      <c r="T96" s="14">
        <f>SUMIFS(Donnees_regimes!$N$3:$N$1118,Donnees_regimes!$A$3:$A$1118,C96,Donnees_regimes!$B$3:$B$1118,"&gt;="&amp;G96,Donnees_regimes!$B$3:$B$1118,"&lt;="&amp;N96)*L96/ROUNDUP(L96,0)</f>
        <v/>
      </c>
      <c r="U96" s="14">
        <f>SUMIFS(Donnees_regimes!$O$3:$O$1118,Donnees_regimes!$A$3:$A$1118,C96,Donnees_regimes!$B$3:$B$1118,"&gt;="&amp;G96,Donnees_regimes!$B$3:$B$1118,"&lt;="&amp;N96)*L96/ROUNDUP(L96,0)</f>
        <v/>
      </c>
      <c r="V96" s="14">
        <f>T96+U96</f>
        <v/>
      </c>
      <c r="W96" s="33">
        <f>V96/S96</f>
        <v/>
      </c>
      <c r="X96" s="14">
        <f>S96+U96</f>
        <v/>
      </c>
      <c r="Y96" s="17">
        <f>V96/P96</f>
        <v/>
      </c>
      <c r="Z96" s="14">
        <f>SUMIFS(Donnees_regimes!$Q$3:$Q$1118,Donnees_regimes!$A$3:$A$1118,C96,Donnees_regimes!$B$3:$B$1118,"&gt;="&amp;G96,Donnees_regimes!$B$3:$B$1118,"&lt;="&amp;N96)*L96/ROUNDUP(L96,0)</f>
        <v/>
      </c>
      <c r="AA96" s="77">
        <f>SUMIFS(Regles_regimes!$F$3:$F$2000,Regles_regimes!$A$3:$A$2000,C96,Regles_regimes!$B$3:$B$2000,D96,Regles_regimes!$C$3:$C$2000,MAX(1915,MIN(2025,E96)))</f>
        <v/>
      </c>
      <c r="AB96" s="77">
        <f>IF(AND(SUMIFS(Regles_regimes!$L$3:$L$2000,Regles_regimes!$A$3:$A$2000,C96,Regles_regimes!$B$3:$B$2000,D96,Regles_regimes!$C$3:$C$2000,MAX(1915,MIN(2025,E96)))=1,G96&lt;2009,C96&lt;&gt;"Privé"),MIN(20,L96*4/5),0)</f>
        <v/>
      </c>
      <c r="AC96" s="89">
        <f>SUMIFS(Donnees_regimes!$M$3:$M$1118,Donnees_regimes!$A$3:$A$1118,C96,Donnees_regimes!$B$3:$B$1118,M96)</f>
        <v/>
      </c>
      <c r="AD96" s="14">
        <f>SUMIFS(Donnees_annuelles!$Y$3:$Y$188,Donnees_annuelles!$A$3:$A$188,M96)*SUMIFS(Donnees_generations!$I$3:$I$113,Donnees_generations!$A$3:$A$113,MAX(1915,MIN(2025,E96)))/H96</f>
        <v/>
      </c>
      <c r="AE96" s="14">
        <f>IF(C96="Privé",SUMIFS(Donnees_annuelles!$Y$3:$Y$188,Donnees_annuelles!$A$3:$A$188,M96)*MIN(L96,SUMIFS(Donnees_generations!$I$3:$I$113,Donnees_generations!$A$3:$A$113,MAX(1915,MIN(2025,E96))))/L96,AD96*AC96*MIN(IF(AB96&gt;0,0.8/0.75,1),(L96*4+AB96)/AA96))</f>
        <v/>
      </c>
      <c r="AF96" s="14">
        <f>AE96/12</f>
        <v/>
      </c>
      <c r="AG96" s="77">
        <f>MIN(68,MAX(56,2*INT(K96/2)))</f>
        <v/>
      </c>
      <c r="AH96" s="75">
        <f>(CHOOSE((AG96-56)/2+1,SUMIFS(Donnees_generations!$U$3:$U$113,Donnees_generations!$A$3:$A$113,MAX(1915,MIN(2025,E96))),SUMIFS(Donnees_generations!$V$3:$V$113,Donnees_generations!$A$3:$A$113,MAX(1915,MIN(2025,E96))),SUMIFS(Donnees_generations!$W$3:$W$113,Donnees_generations!$A$3:$A$113,MAX(1915,MIN(2025,E96))),SUMIFS(Donnees_generations!$X$3:$X$113,Donnees_generations!$A$3:$A$113,MAX(1915,MIN(2025,E96))),SUMIFS(Donnees_generations!$Y$3:$Y$113,Donnees_generations!$A$3:$A$113,MAX(1915,MIN(2025,E96))),SUMIFS(Donnees_generations!$Z$3:$Z$113,Donnees_generations!$A$3:$A$113,MAX(1915,MIN(2025,E96))),SUMIFS(Donnees_generations!$AA$3:$AA$113,Donnees_generations!$A$3:$A$113,MAX(1915,MIN(2025,E96))),SUMIFS(Donnees_generations!$AB$3:$AB$113,Donnees_generations!$A$3:$A$113,MAX(1915,MIN(2025,E96))))+CHOOSE((AG96-56)/2+1,SUMIFS(Donnees_generations!$AC$3:$AC$113,Donnees_generations!$A$3:$A$113,MAX(1915,MIN(2025,E96))),SUMIFS(Donnees_generations!$AD$3:$AD$113,Donnees_generations!$A$3:$A$113,MAX(1915,MIN(2025,E96))),SUMIFS(Donnees_generations!$AE$3:$AE$113,Donnees_generations!$A$3:$A$113,MAX(1915,MIN(2025,E96))),SUMIFS(Donnees_generations!$AF$3:$AF$113,Donnees_generations!$A$3:$A$113,MAX(1915,MIN(2025,E96))),SUMIFS(Donnees_generations!$AG$3:$AG$113,Donnees_generations!$A$3:$A$113,MAX(1915,MIN(2025,E96))),SUMIFS(Donnees_generations!$AH$3:$AH$113,Donnees_generations!$A$3:$A$113,MAX(1915,MIN(2025,E96))),SUMIFS(Donnees_generations!$AI$3:$AI$113,Donnees_generations!$A$3:$A$113,MAX(1915,MIN(2025,E96))),SUMIFS(Donnees_generations!$AJ$3:$AJ$113,Donnees_generations!$A$3:$A$113,MAX(1915,MIN(2025,E96)))))/2</f>
        <v/>
      </c>
      <c r="AI96" s="75">
        <f>(CHOOSE(((AG96+2)-56)/2+1,SUMIFS(Donnees_generations!$U$3:$U$113,Donnees_generations!$A$3:$A$113,MAX(1915,MIN(2025,E96))),SUMIFS(Donnees_generations!$V$3:$V$113,Donnees_generations!$A$3:$A$113,MAX(1915,MIN(2025,E96))),SUMIFS(Donnees_generations!$W$3:$W$113,Donnees_generations!$A$3:$A$113,MAX(1915,MIN(2025,E96))),SUMIFS(Donnees_generations!$X$3:$X$113,Donnees_generations!$A$3:$A$113,MAX(1915,MIN(2025,E96))),SUMIFS(Donnees_generations!$Y$3:$Y$113,Donnees_generations!$A$3:$A$113,MAX(1915,MIN(2025,E96))),SUMIFS(Donnees_generations!$Z$3:$Z$113,Donnees_generations!$A$3:$A$113,MAX(1915,MIN(2025,E96))),SUMIFS(Donnees_generations!$AA$3:$AA$113,Donnees_generations!$A$3:$A$113,MAX(1915,MIN(2025,E96))),SUMIFS(Donnees_generations!$AB$3:$AB$113,Donnees_generations!$A$3:$A$113,MAX(1915,MIN(2025,E96))))+CHOOSE(((AG96+2)-56)/2+1,SUMIFS(Donnees_generations!$AC$3:$AC$113,Donnees_generations!$A$3:$A$113,MAX(1915,MIN(2025,E96))),SUMIFS(Donnees_generations!$AD$3:$AD$113,Donnees_generations!$A$3:$A$113,MAX(1915,MIN(2025,E96))),SUMIFS(Donnees_generations!$AE$3:$AE$113,Donnees_generations!$A$3:$A$113,MAX(1915,MIN(2025,E96))),SUMIFS(Donnees_generations!$AF$3:$AF$113,Donnees_generations!$A$3:$A$113,MAX(1915,MIN(2025,E96))),SUMIFS(Donnees_generations!$AG$3:$AG$113,Donnees_generations!$A$3:$A$113,MAX(1915,MIN(2025,E96))),SUMIFS(Donnees_generations!$AH$3:$AH$113,Donnees_generations!$A$3:$A$113,MAX(1915,MIN(2025,E96))),SUMIFS(Donnees_generations!$AI$3:$AI$113,Donnees_generations!$A$3:$A$113,MAX(1915,MIN(2025,E96))),SUMIFS(Donnees_generations!$AJ$3:$AJ$113,Donnees_generations!$A$3:$A$113,MAX(1915,MIN(2025,E96)))))/2</f>
        <v/>
      </c>
      <c r="AJ96" s="8">
        <f>MAX(0,AH96+(AI96-AH96)*(K96-AG96)/2)</f>
        <v/>
      </c>
      <c r="AK96" s="8">
        <f>K96+AJ96</f>
        <v/>
      </c>
      <c r="AL96" s="14">
        <f>AE96*AJ96</f>
        <v/>
      </c>
      <c r="AM96" s="17">
        <f>V96/AL96</f>
        <v/>
      </c>
      <c r="AN96" s="17">
        <f>Z96/AL96</f>
        <v/>
      </c>
      <c r="AO96" s="33">
        <f>IF(V96+Z96=0,0,Z96/(V96+Z96))</f>
        <v/>
      </c>
      <c r="AP96" s="14">
        <f>AL96/V96*100</f>
        <v/>
      </c>
      <c r="AQ96" s="8">
        <f>P96/AL96*1000</f>
        <v/>
      </c>
      <c r="AR96" s="77">
        <f>MAX(N96,M96-1)</f>
        <v/>
      </c>
      <c r="AS96" s="14">
        <f>SUMIFS(Donnees_regimes!$R$3:$R$1118,Donnees_regimes!$A$3:$A$1118,C96,Donnees_regimes!$B$3:$B$1118,"&gt;="&amp;G96,Donnees_regimes!$B$3:$B$1118,"&lt;="&amp;N96)*L96/ROUNDUP(L96,0)*SUMIFS(Donnees_annuelles!$AG$3:$AG$188,Donnees_annuelles!$A$3:$A$188,AR96)*SUMIFS(Donnees_annuelles!$AA$3:$AA$188,Donnees_annuelles!$A$3:$A$188,AR96)</f>
        <v/>
      </c>
      <c r="AT96" s="36">
        <f>AS96/V96</f>
        <v/>
      </c>
      <c r="AU96" s="14">
        <f>AL96</f>
        <v/>
      </c>
      <c r="AV96" s="39">
        <f>AS96-AL96</f>
        <v/>
      </c>
      <c r="AW96" s="9">
        <f>AS96/AL96-1</f>
        <v/>
      </c>
      <c r="AX96" s="14">
        <f>AS96/AJ96/12</f>
        <v/>
      </c>
      <c r="AY96" s="14">
        <f>AF96</f>
        <v/>
      </c>
      <c r="AZ96" s="39">
        <f>AX96-AF96</f>
        <v/>
      </c>
      <c r="BA96" s="14">
        <f>SUMIFS(Donnees_regimes!$S$3:$S$1118,Donnees_regimes!$A$3:$A$1118,C96,Donnees_regimes!$B$3:$B$1118,"&gt;="&amp;G96,Donnees_regimes!$B$3:$B$1118,"&lt;="&amp;N96)*L96/ROUNDUP(L96,0)*SUMIFS(Donnees_annuelles!$AH$3:$AH$188,Donnees_annuelles!$A$3:$A$188,AR96)*SUMIFS(Donnees_annuelles!$AA$3:$AA$188,Donnees_annuelles!$A$3:$A$188,AR96)</f>
        <v/>
      </c>
      <c r="BB96" s="39">
        <f>BA96-AL96</f>
        <v/>
      </c>
      <c r="BC96" s="7">
        <f>IF(M96+AJ96&gt;2026,IF(G96&gt;2026,"entièrement projeté","en partie projeté"),"observé")</f>
        <v/>
      </c>
    </row>
    <row r="97">
      <c r="A97" s="7" t="inlineStr">
        <is>
          <t>Génération Alpha</t>
        </is>
      </c>
      <c r="B97" s="84" t="inlineStr">
        <is>
          <t>Privé</t>
        </is>
      </c>
      <c r="C97" s="7">
        <f>IF(G97&gt;=SUMIFS(Regimes!$C$5:$C$10,Regimes!$A$5:$A$10,B97),"Privé",B97)</f>
        <v/>
      </c>
      <c r="D97" s="7">
        <f>INDEX(Regimes!$D$5:$D$10,MATCH(C97,Regimes!$A$5:$A$10,0))</f>
        <v/>
      </c>
      <c r="E97" s="88" t="n">
        <v>2022</v>
      </c>
      <c r="F97" s="8">
        <f>Donnees_generations!C110</f>
        <v/>
      </c>
      <c r="G97" s="77">
        <f>Donnees_generations!D110</f>
        <v/>
      </c>
      <c r="H97" s="8">
        <f>SUMIFS(Donnees_generations!$S$3:$S$113,Donnees_generations!$A$3:$A$113,MAX(1915,MIN(2025,E97)))</f>
        <v/>
      </c>
      <c r="I97" s="8">
        <f>SUMIFS(Donnees_generations!$T$3:$T$113,Donnees_generations!$A$3:$A$113,MAX(1915,MIN(2025,E97)))</f>
        <v/>
      </c>
      <c r="J97" s="8">
        <f>IF(G97&gt;=2000,MAX(I97,Parametres!$B$3),I97)</f>
        <v/>
      </c>
      <c r="K97" s="8">
        <f>IF(C97="Privé",J97,SUMIFS(Regles_regimes!$J$3:$J$2000,Regles_regimes!$A$3:$A$2000,C97,Regles_regimes!$B$3:$B$2000,D97,Regles_regimes!$C$3:$C$2000,MAX(1915,MIN(2025,E97))))</f>
        <v/>
      </c>
      <c r="L97" s="8">
        <f>IF(C97="Privé",H97,(K97-F97)*H97/(J97-F97))</f>
        <v/>
      </c>
      <c r="M97" s="77">
        <f>INT(E97+K97)</f>
        <v/>
      </c>
      <c r="N97" s="77">
        <f>G97+ROUNDUP(L97,0)-1</f>
        <v/>
      </c>
      <c r="O97" s="89">
        <f>SUMIFS(Regles_regimes!$K$3:$K$2000,Regles_regimes!$A$3:$A$2000,C97,Regles_regimes!$B$3:$B$2000,D97,Regles_regimes!$C$3:$C$2000,MAX(1915,MIN(2025,E97)))</f>
        <v/>
      </c>
      <c r="P97" s="13">
        <f>SUMIFS(Donnees_annuelles!$W$3:$W$188,Donnees_annuelles!$A$3:$A$188,"&gt;="&amp;G97,Donnees_annuelles!$A$3:$A$188,"&lt;="&amp;N97)*L97/ROUNDUP(L97,0)*O97</f>
        <v/>
      </c>
      <c r="Q97" s="13">
        <f>SUMIFS(Donnees_annuelles!$V$3:$V$188,Donnees_annuelles!$A$3:$A$188,"&gt;="&amp;G97,Donnees_annuelles!$A$3:$A$188,"&lt;="&amp;N97)*L97/ROUNDUP(L97,0)</f>
        <v/>
      </c>
      <c r="R97" s="13">
        <f>P97/L97</f>
        <v/>
      </c>
      <c r="S97" s="14">
        <f>SUMIFS(Donnees_annuelles!$D$3:$D$188,Donnees_annuelles!$A$3:$A$188,"&gt;="&amp;G97,Donnees_annuelles!$A$3:$A$188,"&lt;="&amp;N97)*L97/ROUNDUP(L97,0)</f>
        <v/>
      </c>
      <c r="T97" s="14">
        <f>SUMIFS(Donnees_regimes!$N$3:$N$1118,Donnees_regimes!$A$3:$A$1118,C97,Donnees_regimes!$B$3:$B$1118,"&gt;="&amp;G97,Donnees_regimes!$B$3:$B$1118,"&lt;="&amp;N97)*L97/ROUNDUP(L97,0)</f>
        <v/>
      </c>
      <c r="U97" s="14">
        <f>SUMIFS(Donnees_regimes!$O$3:$O$1118,Donnees_regimes!$A$3:$A$1118,C97,Donnees_regimes!$B$3:$B$1118,"&gt;="&amp;G97,Donnees_regimes!$B$3:$B$1118,"&lt;="&amp;N97)*L97/ROUNDUP(L97,0)</f>
        <v/>
      </c>
      <c r="V97" s="14">
        <f>T97+U97</f>
        <v/>
      </c>
      <c r="W97" s="33">
        <f>V97/S97</f>
        <v/>
      </c>
      <c r="X97" s="14">
        <f>S97+U97</f>
        <v/>
      </c>
      <c r="Y97" s="17">
        <f>V97/P97</f>
        <v/>
      </c>
      <c r="Z97" s="14">
        <f>SUMIFS(Donnees_regimes!$Q$3:$Q$1118,Donnees_regimes!$A$3:$A$1118,C97,Donnees_regimes!$B$3:$B$1118,"&gt;="&amp;G97,Donnees_regimes!$B$3:$B$1118,"&lt;="&amp;N97)*L97/ROUNDUP(L97,0)</f>
        <v/>
      </c>
      <c r="AA97" s="77">
        <f>SUMIFS(Regles_regimes!$F$3:$F$2000,Regles_regimes!$A$3:$A$2000,C97,Regles_regimes!$B$3:$B$2000,D97,Regles_regimes!$C$3:$C$2000,MAX(1915,MIN(2025,E97)))</f>
        <v/>
      </c>
      <c r="AB97" s="77">
        <f>IF(AND(SUMIFS(Regles_regimes!$L$3:$L$2000,Regles_regimes!$A$3:$A$2000,C97,Regles_regimes!$B$3:$B$2000,D97,Regles_regimes!$C$3:$C$2000,MAX(1915,MIN(2025,E97)))=1,G97&lt;2009,C97&lt;&gt;"Privé"),MIN(20,L97*4/5),0)</f>
        <v/>
      </c>
      <c r="AC97" s="89">
        <f>SUMIFS(Donnees_regimes!$M$3:$M$1118,Donnees_regimes!$A$3:$A$1118,C97,Donnees_regimes!$B$3:$B$1118,M97)</f>
        <v/>
      </c>
      <c r="AD97" s="14">
        <f>SUMIFS(Donnees_annuelles!$Y$3:$Y$188,Donnees_annuelles!$A$3:$A$188,M97)*SUMIFS(Donnees_generations!$I$3:$I$113,Donnees_generations!$A$3:$A$113,MAX(1915,MIN(2025,E97)))/H97</f>
        <v/>
      </c>
      <c r="AE97" s="14">
        <f>IF(C97="Privé",SUMIFS(Donnees_annuelles!$Y$3:$Y$188,Donnees_annuelles!$A$3:$A$188,M97)*MIN(L97,SUMIFS(Donnees_generations!$I$3:$I$113,Donnees_generations!$A$3:$A$113,MAX(1915,MIN(2025,E97))))/L97,AD97*AC97*MIN(IF(AB97&gt;0,0.8/0.75,1),(L97*4+AB97)/AA97))</f>
        <v/>
      </c>
      <c r="AF97" s="14">
        <f>AE97/12</f>
        <v/>
      </c>
      <c r="AG97" s="77">
        <f>MIN(68,MAX(56,2*INT(K97/2)))</f>
        <v/>
      </c>
      <c r="AH97" s="75">
        <f>(CHOOSE((AG97-56)/2+1,SUMIFS(Donnees_generations!$U$3:$U$113,Donnees_generations!$A$3:$A$113,MAX(1915,MIN(2025,E97))),SUMIFS(Donnees_generations!$V$3:$V$113,Donnees_generations!$A$3:$A$113,MAX(1915,MIN(2025,E97))),SUMIFS(Donnees_generations!$W$3:$W$113,Donnees_generations!$A$3:$A$113,MAX(1915,MIN(2025,E97))),SUMIFS(Donnees_generations!$X$3:$X$113,Donnees_generations!$A$3:$A$113,MAX(1915,MIN(2025,E97))),SUMIFS(Donnees_generations!$Y$3:$Y$113,Donnees_generations!$A$3:$A$113,MAX(1915,MIN(2025,E97))),SUMIFS(Donnees_generations!$Z$3:$Z$113,Donnees_generations!$A$3:$A$113,MAX(1915,MIN(2025,E97))),SUMIFS(Donnees_generations!$AA$3:$AA$113,Donnees_generations!$A$3:$A$113,MAX(1915,MIN(2025,E97))),SUMIFS(Donnees_generations!$AB$3:$AB$113,Donnees_generations!$A$3:$A$113,MAX(1915,MIN(2025,E97))))+CHOOSE((AG97-56)/2+1,SUMIFS(Donnees_generations!$AC$3:$AC$113,Donnees_generations!$A$3:$A$113,MAX(1915,MIN(2025,E97))),SUMIFS(Donnees_generations!$AD$3:$AD$113,Donnees_generations!$A$3:$A$113,MAX(1915,MIN(2025,E97))),SUMIFS(Donnees_generations!$AE$3:$AE$113,Donnees_generations!$A$3:$A$113,MAX(1915,MIN(2025,E97))),SUMIFS(Donnees_generations!$AF$3:$AF$113,Donnees_generations!$A$3:$A$113,MAX(1915,MIN(2025,E97))),SUMIFS(Donnees_generations!$AG$3:$AG$113,Donnees_generations!$A$3:$A$113,MAX(1915,MIN(2025,E97))),SUMIFS(Donnees_generations!$AH$3:$AH$113,Donnees_generations!$A$3:$A$113,MAX(1915,MIN(2025,E97))),SUMIFS(Donnees_generations!$AI$3:$AI$113,Donnees_generations!$A$3:$A$113,MAX(1915,MIN(2025,E97))),SUMIFS(Donnees_generations!$AJ$3:$AJ$113,Donnees_generations!$A$3:$A$113,MAX(1915,MIN(2025,E97)))))/2</f>
        <v/>
      </c>
      <c r="AI97" s="75">
        <f>(CHOOSE(((AG97+2)-56)/2+1,SUMIFS(Donnees_generations!$U$3:$U$113,Donnees_generations!$A$3:$A$113,MAX(1915,MIN(2025,E97))),SUMIFS(Donnees_generations!$V$3:$V$113,Donnees_generations!$A$3:$A$113,MAX(1915,MIN(2025,E97))),SUMIFS(Donnees_generations!$W$3:$W$113,Donnees_generations!$A$3:$A$113,MAX(1915,MIN(2025,E97))),SUMIFS(Donnees_generations!$X$3:$X$113,Donnees_generations!$A$3:$A$113,MAX(1915,MIN(2025,E97))),SUMIFS(Donnees_generations!$Y$3:$Y$113,Donnees_generations!$A$3:$A$113,MAX(1915,MIN(2025,E97))),SUMIFS(Donnees_generations!$Z$3:$Z$113,Donnees_generations!$A$3:$A$113,MAX(1915,MIN(2025,E97))),SUMIFS(Donnees_generations!$AA$3:$AA$113,Donnees_generations!$A$3:$A$113,MAX(1915,MIN(2025,E97))),SUMIFS(Donnees_generations!$AB$3:$AB$113,Donnees_generations!$A$3:$A$113,MAX(1915,MIN(2025,E97))))+CHOOSE(((AG97+2)-56)/2+1,SUMIFS(Donnees_generations!$AC$3:$AC$113,Donnees_generations!$A$3:$A$113,MAX(1915,MIN(2025,E97))),SUMIFS(Donnees_generations!$AD$3:$AD$113,Donnees_generations!$A$3:$A$113,MAX(1915,MIN(2025,E97))),SUMIFS(Donnees_generations!$AE$3:$AE$113,Donnees_generations!$A$3:$A$113,MAX(1915,MIN(2025,E97))),SUMIFS(Donnees_generations!$AF$3:$AF$113,Donnees_generations!$A$3:$A$113,MAX(1915,MIN(2025,E97))),SUMIFS(Donnees_generations!$AG$3:$AG$113,Donnees_generations!$A$3:$A$113,MAX(1915,MIN(2025,E97))),SUMIFS(Donnees_generations!$AH$3:$AH$113,Donnees_generations!$A$3:$A$113,MAX(1915,MIN(2025,E97))),SUMIFS(Donnees_generations!$AI$3:$AI$113,Donnees_generations!$A$3:$A$113,MAX(1915,MIN(2025,E97))),SUMIFS(Donnees_generations!$AJ$3:$AJ$113,Donnees_generations!$A$3:$A$113,MAX(1915,MIN(2025,E97)))))/2</f>
        <v/>
      </c>
      <c r="AJ97" s="8">
        <f>MAX(0,AH97+(AI97-AH97)*(K97-AG97)/2)</f>
        <v/>
      </c>
      <c r="AK97" s="8">
        <f>K97+AJ97</f>
        <v/>
      </c>
      <c r="AL97" s="14">
        <f>AE97*AJ97</f>
        <v/>
      </c>
      <c r="AM97" s="17">
        <f>V97/AL97</f>
        <v/>
      </c>
      <c r="AN97" s="17">
        <f>Z97/AL97</f>
        <v/>
      </c>
      <c r="AO97" s="33">
        <f>IF(V97+Z97=0,0,Z97/(V97+Z97))</f>
        <v/>
      </c>
      <c r="AP97" s="14">
        <f>AL97/V97*100</f>
        <v/>
      </c>
      <c r="AQ97" s="8">
        <f>P97/AL97*1000</f>
        <v/>
      </c>
      <c r="AR97" s="77">
        <f>MAX(N97,M97-1)</f>
        <v/>
      </c>
      <c r="AS97" s="14">
        <f>SUMIFS(Donnees_regimes!$R$3:$R$1118,Donnees_regimes!$A$3:$A$1118,C97,Donnees_regimes!$B$3:$B$1118,"&gt;="&amp;G97,Donnees_regimes!$B$3:$B$1118,"&lt;="&amp;N97)*L97/ROUNDUP(L97,0)*SUMIFS(Donnees_annuelles!$AG$3:$AG$188,Donnees_annuelles!$A$3:$A$188,AR97)*SUMIFS(Donnees_annuelles!$AA$3:$AA$188,Donnees_annuelles!$A$3:$A$188,AR97)</f>
        <v/>
      </c>
      <c r="AT97" s="36">
        <f>AS97/V97</f>
        <v/>
      </c>
      <c r="AU97" s="14">
        <f>AL97</f>
        <v/>
      </c>
      <c r="AV97" s="39">
        <f>AS97-AL97</f>
        <v/>
      </c>
      <c r="AW97" s="9">
        <f>AS97/AL97-1</f>
        <v/>
      </c>
      <c r="AX97" s="14">
        <f>AS97/AJ97/12</f>
        <v/>
      </c>
      <c r="AY97" s="14">
        <f>AF97</f>
        <v/>
      </c>
      <c r="AZ97" s="39">
        <f>AX97-AF97</f>
        <v/>
      </c>
      <c r="BA97" s="14">
        <f>SUMIFS(Donnees_regimes!$S$3:$S$1118,Donnees_regimes!$A$3:$A$1118,C97,Donnees_regimes!$B$3:$B$1118,"&gt;="&amp;G97,Donnees_regimes!$B$3:$B$1118,"&lt;="&amp;N97)*L97/ROUNDUP(L97,0)*SUMIFS(Donnees_annuelles!$AH$3:$AH$188,Donnees_annuelles!$A$3:$A$188,AR97)*SUMIFS(Donnees_annuelles!$AA$3:$AA$188,Donnees_annuelles!$A$3:$A$188,AR97)</f>
        <v/>
      </c>
      <c r="BB97" s="39">
        <f>BA97-AL97</f>
        <v/>
      </c>
      <c r="BC97" s="7">
        <f>IF(M97+AJ97&gt;2026,IF(G97&gt;2026,"entièrement projeté","en partie projeté"),"observé")</f>
        <v/>
      </c>
    </row>
    <row r="98">
      <c r="A98" s="7" t="inlineStr">
        <is>
          <t>Génération Alpha</t>
        </is>
      </c>
      <c r="B98" s="84" t="inlineStr">
        <is>
          <t>Privé</t>
        </is>
      </c>
      <c r="C98" s="7">
        <f>IF(G98&gt;=SUMIFS(Regimes!$C$5:$C$10,Regimes!$A$5:$A$10,B98),"Privé",B98)</f>
        <v/>
      </c>
      <c r="D98" s="7">
        <f>INDEX(Regimes!$D$5:$D$10,MATCH(C98,Regimes!$A$5:$A$10,0))</f>
        <v/>
      </c>
      <c r="E98" s="88" t="n">
        <v>2023</v>
      </c>
      <c r="F98" s="8">
        <f>Donnees_generations!C111</f>
        <v/>
      </c>
      <c r="G98" s="77">
        <f>Donnees_generations!D111</f>
        <v/>
      </c>
      <c r="H98" s="8">
        <f>SUMIFS(Donnees_generations!$S$3:$S$113,Donnees_generations!$A$3:$A$113,MAX(1915,MIN(2025,E98)))</f>
        <v/>
      </c>
      <c r="I98" s="8">
        <f>SUMIFS(Donnees_generations!$T$3:$T$113,Donnees_generations!$A$3:$A$113,MAX(1915,MIN(2025,E98)))</f>
        <v/>
      </c>
      <c r="J98" s="8">
        <f>IF(G98&gt;=2000,MAX(I98,Parametres!$B$3),I98)</f>
        <v/>
      </c>
      <c r="K98" s="8">
        <f>IF(C98="Privé",J98,SUMIFS(Regles_regimes!$J$3:$J$2000,Regles_regimes!$A$3:$A$2000,C98,Regles_regimes!$B$3:$B$2000,D98,Regles_regimes!$C$3:$C$2000,MAX(1915,MIN(2025,E98))))</f>
        <v/>
      </c>
      <c r="L98" s="8">
        <f>IF(C98="Privé",H98,(K98-F98)*H98/(J98-F98))</f>
        <v/>
      </c>
      <c r="M98" s="77">
        <f>INT(E98+K98)</f>
        <v/>
      </c>
      <c r="N98" s="77">
        <f>G98+ROUNDUP(L98,0)-1</f>
        <v/>
      </c>
      <c r="O98" s="89">
        <f>SUMIFS(Regles_regimes!$K$3:$K$2000,Regles_regimes!$A$3:$A$2000,C98,Regles_regimes!$B$3:$B$2000,D98,Regles_regimes!$C$3:$C$2000,MAX(1915,MIN(2025,E98)))</f>
        <v/>
      </c>
      <c r="P98" s="13">
        <f>SUMIFS(Donnees_annuelles!$W$3:$W$188,Donnees_annuelles!$A$3:$A$188,"&gt;="&amp;G98,Donnees_annuelles!$A$3:$A$188,"&lt;="&amp;N98)*L98/ROUNDUP(L98,0)*O98</f>
        <v/>
      </c>
      <c r="Q98" s="13">
        <f>SUMIFS(Donnees_annuelles!$V$3:$V$188,Donnees_annuelles!$A$3:$A$188,"&gt;="&amp;G98,Donnees_annuelles!$A$3:$A$188,"&lt;="&amp;N98)*L98/ROUNDUP(L98,0)</f>
        <v/>
      </c>
      <c r="R98" s="13">
        <f>P98/L98</f>
        <v/>
      </c>
      <c r="S98" s="14">
        <f>SUMIFS(Donnees_annuelles!$D$3:$D$188,Donnees_annuelles!$A$3:$A$188,"&gt;="&amp;G98,Donnees_annuelles!$A$3:$A$188,"&lt;="&amp;N98)*L98/ROUNDUP(L98,0)</f>
        <v/>
      </c>
      <c r="T98" s="14">
        <f>SUMIFS(Donnees_regimes!$N$3:$N$1118,Donnees_regimes!$A$3:$A$1118,C98,Donnees_regimes!$B$3:$B$1118,"&gt;="&amp;G98,Donnees_regimes!$B$3:$B$1118,"&lt;="&amp;N98)*L98/ROUNDUP(L98,0)</f>
        <v/>
      </c>
      <c r="U98" s="14">
        <f>SUMIFS(Donnees_regimes!$O$3:$O$1118,Donnees_regimes!$A$3:$A$1118,C98,Donnees_regimes!$B$3:$B$1118,"&gt;="&amp;G98,Donnees_regimes!$B$3:$B$1118,"&lt;="&amp;N98)*L98/ROUNDUP(L98,0)</f>
        <v/>
      </c>
      <c r="V98" s="14">
        <f>T98+U98</f>
        <v/>
      </c>
      <c r="W98" s="33">
        <f>V98/S98</f>
        <v/>
      </c>
      <c r="X98" s="14">
        <f>S98+U98</f>
        <v/>
      </c>
      <c r="Y98" s="17">
        <f>V98/P98</f>
        <v/>
      </c>
      <c r="Z98" s="14">
        <f>SUMIFS(Donnees_regimes!$Q$3:$Q$1118,Donnees_regimes!$A$3:$A$1118,C98,Donnees_regimes!$B$3:$B$1118,"&gt;="&amp;G98,Donnees_regimes!$B$3:$B$1118,"&lt;="&amp;N98)*L98/ROUNDUP(L98,0)</f>
        <v/>
      </c>
      <c r="AA98" s="77">
        <f>SUMIFS(Regles_regimes!$F$3:$F$2000,Regles_regimes!$A$3:$A$2000,C98,Regles_regimes!$B$3:$B$2000,D98,Regles_regimes!$C$3:$C$2000,MAX(1915,MIN(2025,E98)))</f>
        <v/>
      </c>
      <c r="AB98" s="77">
        <f>IF(AND(SUMIFS(Regles_regimes!$L$3:$L$2000,Regles_regimes!$A$3:$A$2000,C98,Regles_regimes!$B$3:$B$2000,D98,Regles_regimes!$C$3:$C$2000,MAX(1915,MIN(2025,E98)))=1,G98&lt;2009,C98&lt;&gt;"Privé"),MIN(20,L98*4/5),0)</f>
        <v/>
      </c>
      <c r="AC98" s="89">
        <f>SUMIFS(Donnees_regimes!$M$3:$M$1118,Donnees_regimes!$A$3:$A$1118,C98,Donnees_regimes!$B$3:$B$1118,M98)</f>
        <v/>
      </c>
      <c r="AD98" s="14">
        <f>SUMIFS(Donnees_annuelles!$Y$3:$Y$188,Donnees_annuelles!$A$3:$A$188,M98)*SUMIFS(Donnees_generations!$I$3:$I$113,Donnees_generations!$A$3:$A$113,MAX(1915,MIN(2025,E98)))/H98</f>
        <v/>
      </c>
      <c r="AE98" s="14">
        <f>IF(C98="Privé",SUMIFS(Donnees_annuelles!$Y$3:$Y$188,Donnees_annuelles!$A$3:$A$188,M98)*MIN(L98,SUMIFS(Donnees_generations!$I$3:$I$113,Donnees_generations!$A$3:$A$113,MAX(1915,MIN(2025,E98))))/L98,AD98*AC98*MIN(IF(AB98&gt;0,0.8/0.75,1),(L98*4+AB98)/AA98))</f>
        <v/>
      </c>
      <c r="AF98" s="14">
        <f>AE98/12</f>
        <v/>
      </c>
      <c r="AG98" s="77">
        <f>MIN(68,MAX(56,2*INT(K98/2)))</f>
        <v/>
      </c>
      <c r="AH98" s="75">
        <f>(CHOOSE((AG98-56)/2+1,SUMIFS(Donnees_generations!$U$3:$U$113,Donnees_generations!$A$3:$A$113,MAX(1915,MIN(2025,E98))),SUMIFS(Donnees_generations!$V$3:$V$113,Donnees_generations!$A$3:$A$113,MAX(1915,MIN(2025,E98))),SUMIFS(Donnees_generations!$W$3:$W$113,Donnees_generations!$A$3:$A$113,MAX(1915,MIN(2025,E98))),SUMIFS(Donnees_generations!$X$3:$X$113,Donnees_generations!$A$3:$A$113,MAX(1915,MIN(2025,E98))),SUMIFS(Donnees_generations!$Y$3:$Y$113,Donnees_generations!$A$3:$A$113,MAX(1915,MIN(2025,E98))),SUMIFS(Donnees_generations!$Z$3:$Z$113,Donnees_generations!$A$3:$A$113,MAX(1915,MIN(2025,E98))),SUMIFS(Donnees_generations!$AA$3:$AA$113,Donnees_generations!$A$3:$A$113,MAX(1915,MIN(2025,E98))),SUMIFS(Donnees_generations!$AB$3:$AB$113,Donnees_generations!$A$3:$A$113,MAX(1915,MIN(2025,E98))))+CHOOSE((AG98-56)/2+1,SUMIFS(Donnees_generations!$AC$3:$AC$113,Donnees_generations!$A$3:$A$113,MAX(1915,MIN(2025,E98))),SUMIFS(Donnees_generations!$AD$3:$AD$113,Donnees_generations!$A$3:$A$113,MAX(1915,MIN(2025,E98))),SUMIFS(Donnees_generations!$AE$3:$AE$113,Donnees_generations!$A$3:$A$113,MAX(1915,MIN(2025,E98))),SUMIFS(Donnees_generations!$AF$3:$AF$113,Donnees_generations!$A$3:$A$113,MAX(1915,MIN(2025,E98))),SUMIFS(Donnees_generations!$AG$3:$AG$113,Donnees_generations!$A$3:$A$113,MAX(1915,MIN(2025,E98))),SUMIFS(Donnees_generations!$AH$3:$AH$113,Donnees_generations!$A$3:$A$113,MAX(1915,MIN(2025,E98))),SUMIFS(Donnees_generations!$AI$3:$AI$113,Donnees_generations!$A$3:$A$113,MAX(1915,MIN(2025,E98))),SUMIFS(Donnees_generations!$AJ$3:$AJ$113,Donnees_generations!$A$3:$A$113,MAX(1915,MIN(2025,E98)))))/2</f>
        <v/>
      </c>
      <c r="AI98" s="75">
        <f>(CHOOSE(((AG98+2)-56)/2+1,SUMIFS(Donnees_generations!$U$3:$U$113,Donnees_generations!$A$3:$A$113,MAX(1915,MIN(2025,E98))),SUMIFS(Donnees_generations!$V$3:$V$113,Donnees_generations!$A$3:$A$113,MAX(1915,MIN(2025,E98))),SUMIFS(Donnees_generations!$W$3:$W$113,Donnees_generations!$A$3:$A$113,MAX(1915,MIN(2025,E98))),SUMIFS(Donnees_generations!$X$3:$X$113,Donnees_generations!$A$3:$A$113,MAX(1915,MIN(2025,E98))),SUMIFS(Donnees_generations!$Y$3:$Y$113,Donnees_generations!$A$3:$A$113,MAX(1915,MIN(2025,E98))),SUMIFS(Donnees_generations!$Z$3:$Z$113,Donnees_generations!$A$3:$A$113,MAX(1915,MIN(2025,E98))),SUMIFS(Donnees_generations!$AA$3:$AA$113,Donnees_generations!$A$3:$A$113,MAX(1915,MIN(2025,E98))),SUMIFS(Donnees_generations!$AB$3:$AB$113,Donnees_generations!$A$3:$A$113,MAX(1915,MIN(2025,E98))))+CHOOSE(((AG98+2)-56)/2+1,SUMIFS(Donnees_generations!$AC$3:$AC$113,Donnees_generations!$A$3:$A$113,MAX(1915,MIN(2025,E98))),SUMIFS(Donnees_generations!$AD$3:$AD$113,Donnees_generations!$A$3:$A$113,MAX(1915,MIN(2025,E98))),SUMIFS(Donnees_generations!$AE$3:$AE$113,Donnees_generations!$A$3:$A$113,MAX(1915,MIN(2025,E98))),SUMIFS(Donnees_generations!$AF$3:$AF$113,Donnees_generations!$A$3:$A$113,MAX(1915,MIN(2025,E98))),SUMIFS(Donnees_generations!$AG$3:$AG$113,Donnees_generations!$A$3:$A$113,MAX(1915,MIN(2025,E98))),SUMIFS(Donnees_generations!$AH$3:$AH$113,Donnees_generations!$A$3:$A$113,MAX(1915,MIN(2025,E98))),SUMIFS(Donnees_generations!$AI$3:$AI$113,Donnees_generations!$A$3:$A$113,MAX(1915,MIN(2025,E98))),SUMIFS(Donnees_generations!$AJ$3:$AJ$113,Donnees_generations!$A$3:$A$113,MAX(1915,MIN(2025,E98)))))/2</f>
        <v/>
      </c>
      <c r="AJ98" s="8">
        <f>MAX(0,AH98+(AI98-AH98)*(K98-AG98)/2)</f>
        <v/>
      </c>
      <c r="AK98" s="8">
        <f>K98+AJ98</f>
        <v/>
      </c>
      <c r="AL98" s="14">
        <f>AE98*AJ98</f>
        <v/>
      </c>
      <c r="AM98" s="17">
        <f>V98/AL98</f>
        <v/>
      </c>
      <c r="AN98" s="17">
        <f>Z98/AL98</f>
        <v/>
      </c>
      <c r="AO98" s="33">
        <f>IF(V98+Z98=0,0,Z98/(V98+Z98))</f>
        <v/>
      </c>
      <c r="AP98" s="14">
        <f>AL98/V98*100</f>
        <v/>
      </c>
      <c r="AQ98" s="8">
        <f>P98/AL98*1000</f>
        <v/>
      </c>
      <c r="AR98" s="77">
        <f>MAX(N98,M98-1)</f>
        <v/>
      </c>
      <c r="AS98" s="14">
        <f>SUMIFS(Donnees_regimes!$R$3:$R$1118,Donnees_regimes!$A$3:$A$1118,C98,Donnees_regimes!$B$3:$B$1118,"&gt;="&amp;G98,Donnees_regimes!$B$3:$B$1118,"&lt;="&amp;N98)*L98/ROUNDUP(L98,0)*SUMIFS(Donnees_annuelles!$AG$3:$AG$188,Donnees_annuelles!$A$3:$A$188,AR98)*SUMIFS(Donnees_annuelles!$AA$3:$AA$188,Donnees_annuelles!$A$3:$A$188,AR98)</f>
        <v/>
      </c>
      <c r="AT98" s="36">
        <f>AS98/V98</f>
        <v/>
      </c>
      <c r="AU98" s="14">
        <f>AL98</f>
        <v/>
      </c>
      <c r="AV98" s="39">
        <f>AS98-AL98</f>
        <v/>
      </c>
      <c r="AW98" s="9">
        <f>AS98/AL98-1</f>
        <v/>
      </c>
      <c r="AX98" s="14">
        <f>AS98/AJ98/12</f>
        <v/>
      </c>
      <c r="AY98" s="14">
        <f>AF98</f>
        <v/>
      </c>
      <c r="AZ98" s="39">
        <f>AX98-AF98</f>
        <v/>
      </c>
      <c r="BA98" s="14">
        <f>SUMIFS(Donnees_regimes!$S$3:$S$1118,Donnees_regimes!$A$3:$A$1118,C98,Donnees_regimes!$B$3:$B$1118,"&gt;="&amp;G98,Donnees_regimes!$B$3:$B$1118,"&lt;="&amp;N98)*L98/ROUNDUP(L98,0)*SUMIFS(Donnees_annuelles!$AH$3:$AH$188,Donnees_annuelles!$A$3:$A$188,AR98)*SUMIFS(Donnees_annuelles!$AA$3:$AA$188,Donnees_annuelles!$A$3:$A$188,AR98)</f>
        <v/>
      </c>
      <c r="BB98" s="39">
        <f>BA98-AL98</f>
        <v/>
      </c>
      <c r="BC98" s="7">
        <f>IF(M98+AJ98&gt;2026,IF(G98&gt;2026,"entièrement projeté","en partie projeté"),"observé")</f>
        <v/>
      </c>
    </row>
    <row r="99">
      <c r="A99" s="7" t="inlineStr">
        <is>
          <t>Génération Alpha</t>
        </is>
      </c>
      <c r="B99" s="84" t="inlineStr">
        <is>
          <t>Privé</t>
        </is>
      </c>
      <c r="C99" s="7">
        <f>IF(G99&gt;=SUMIFS(Regimes!$C$5:$C$10,Regimes!$A$5:$A$10,B99),"Privé",B99)</f>
        <v/>
      </c>
      <c r="D99" s="7">
        <f>INDEX(Regimes!$D$5:$D$10,MATCH(C99,Regimes!$A$5:$A$10,0))</f>
        <v/>
      </c>
      <c r="E99" s="88" t="n">
        <v>2024</v>
      </c>
      <c r="F99" s="8">
        <f>Donnees_generations!C112</f>
        <v/>
      </c>
      <c r="G99" s="77">
        <f>Donnees_generations!D112</f>
        <v/>
      </c>
      <c r="H99" s="8">
        <f>SUMIFS(Donnees_generations!$S$3:$S$113,Donnees_generations!$A$3:$A$113,MAX(1915,MIN(2025,E99)))</f>
        <v/>
      </c>
      <c r="I99" s="8">
        <f>SUMIFS(Donnees_generations!$T$3:$T$113,Donnees_generations!$A$3:$A$113,MAX(1915,MIN(2025,E99)))</f>
        <v/>
      </c>
      <c r="J99" s="8">
        <f>IF(G99&gt;=2000,MAX(I99,Parametres!$B$3),I99)</f>
        <v/>
      </c>
      <c r="K99" s="8">
        <f>IF(C99="Privé",J99,SUMIFS(Regles_regimes!$J$3:$J$2000,Regles_regimes!$A$3:$A$2000,C99,Regles_regimes!$B$3:$B$2000,D99,Regles_regimes!$C$3:$C$2000,MAX(1915,MIN(2025,E99))))</f>
        <v/>
      </c>
      <c r="L99" s="8">
        <f>IF(C99="Privé",H99,(K99-F99)*H99/(J99-F99))</f>
        <v/>
      </c>
      <c r="M99" s="77">
        <f>INT(E99+K99)</f>
        <v/>
      </c>
      <c r="N99" s="77">
        <f>G99+ROUNDUP(L99,0)-1</f>
        <v/>
      </c>
      <c r="O99" s="89">
        <f>SUMIFS(Regles_regimes!$K$3:$K$2000,Regles_regimes!$A$3:$A$2000,C99,Regles_regimes!$B$3:$B$2000,D99,Regles_regimes!$C$3:$C$2000,MAX(1915,MIN(2025,E99)))</f>
        <v/>
      </c>
      <c r="P99" s="13">
        <f>SUMIFS(Donnees_annuelles!$W$3:$W$188,Donnees_annuelles!$A$3:$A$188,"&gt;="&amp;G99,Donnees_annuelles!$A$3:$A$188,"&lt;="&amp;N99)*L99/ROUNDUP(L99,0)*O99</f>
        <v/>
      </c>
      <c r="Q99" s="13">
        <f>SUMIFS(Donnees_annuelles!$V$3:$V$188,Donnees_annuelles!$A$3:$A$188,"&gt;="&amp;G99,Donnees_annuelles!$A$3:$A$188,"&lt;="&amp;N99)*L99/ROUNDUP(L99,0)</f>
        <v/>
      </c>
      <c r="R99" s="13">
        <f>P99/L99</f>
        <v/>
      </c>
      <c r="S99" s="14">
        <f>SUMIFS(Donnees_annuelles!$D$3:$D$188,Donnees_annuelles!$A$3:$A$188,"&gt;="&amp;G99,Donnees_annuelles!$A$3:$A$188,"&lt;="&amp;N99)*L99/ROUNDUP(L99,0)</f>
        <v/>
      </c>
      <c r="T99" s="14">
        <f>SUMIFS(Donnees_regimes!$N$3:$N$1118,Donnees_regimes!$A$3:$A$1118,C99,Donnees_regimes!$B$3:$B$1118,"&gt;="&amp;G99,Donnees_regimes!$B$3:$B$1118,"&lt;="&amp;N99)*L99/ROUNDUP(L99,0)</f>
        <v/>
      </c>
      <c r="U99" s="14">
        <f>SUMIFS(Donnees_regimes!$O$3:$O$1118,Donnees_regimes!$A$3:$A$1118,C99,Donnees_regimes!$B$3:$B$1118,"&gt;="&amp;G99,Donnees_regimes!$B$3:$B$1118,"&lt;="&amp;N99)*L99/ROUNDUP(L99,0)</f>
        <v/>
      </c>
      <c r="V99" s="14">
        <f>T99+U99</f>
        <v/>
      </c>
      <c r="W99" s="33">
        <f>V99/S99</f>
        <v/>
      </c>
      <c r="X99" s="14">
        <f>S99+U99</f>
        <v/>
      </c>
      <c r="Y99" s="17">
        <f>V99/P99</f>
        <v/>
      </c>
      <c r="Z99" s="14">
        <f>SUMIFS(Donnees_regimes!$Q$3:$Q$1118,Donnees_regimes!$A$3:$A$1118,C99,Donnees_regimes!$B$3:$B$1118,"&gt;="&amp;G99,Donnees_regimes!$B$3:$B$1118,"&lt;="&amp;N99)*L99/ROUNDUP(L99,0)</f>
        <v/>
      </c>
      <c r="AA99" s="77">
        <f>SUMIFS(Regles_regimes!$F$3:$F$2000,Regles_regimes!$A$3:$A$2000,C99,Regles_regimes!$B$3:$B$2000,D99,Regles_regimes!$C$3:$C$2000,MAX(1915,MIN(2025,E99)))</f>
        <v/>
      </c>
      <c r="AB99" s="77">
        <f>IF(AND(SUMIFS(Regles_regimes!$L$3:$L$2000,Regles_regimes!$A$3:$A$2000,C99,Regles_regimes!$B$3:$B$2000,D99,Regles_regimes!$C$3:$C$2000,MAX(1915,MIN(2025,E99)))=1,G99&lt;2009,C99&lt;&gt;"Privé"),MIN(20,L99*4/5),0)</f>
        <v/>
      </c>
      <c r="AC99" s="89">
        <f>SUMIFS(Donnees_regimes!$M$3:$M$1118,Donnees_regimes!$A$3:$A$1118,C99,Donnees_regimes!$B$3:$B$1118,M99)</f>
        <v/>
      </c>
      <c r="AD99" s="14">
        <f>SUMIFS(Donnees_annuelles!$Y$3:$Y$188,Donnees_annuelles!$A$3:$A$188,M99)*SUMIFS(Donnees_generations!$I$3:$I$113,Donnees_generations!$A$3:$A$113,MAX(1915,MIN(2025,E99)))/H99</f>
        <v/>
      </c>
      <c r="AE99" s="14">
        <f>IF(C99="Privé",SUMIFS(Donnees_annuelles!$Y$3:$Y$188,Donnees_annuelles!$A$3:$A$188,M99)*MIN(L99,SUMIFS(Donnees_generations!$I$3:$I$113,Donnees_generations!$A$3:$A$113,MAX(1915,MIN(2025,E99))))/L99,AD99*AC99*MIN(IF(AB99&gt;0,0.8/0.75,1),(L99*4+AB99)/AA99))</f>
        <v/>
      </c>
      <c r="AF99" s="14">
        <f>AE99/12</f>
        <v/>
      </c>
      <c r="AG99" s="77">
        <f>MIN(68,MAX(56,2*INT(K99/2)))</f>
        <v/>
      </c>
      <c r="AH99" s="75">
        <f>(CHOOSE((AG99-56)/2+1,SUMIFS(Donnees_generations!$U$3:$U$113,Donnees_generations!$A$3:$A$113,MAX(1915,MIN(2025,E99))),SUMIFS(Donnees_generations!$V$3:$V$113,Donnees_generations!$A$3:$A$113,MAX(1915,MIN(2025,E99))),SUMIFS(Donnees_generations!$W$3:$W$113,Donnees_generations!$A$3:$A$113,MAX(1915,MIN(2025,E99))),SUMIFS(Donnees_generations!$X$3:$X$113,Donnees_generations!$A$3:$A$113,MAX(1915,MIN(2025,E99))),SUMIFS(Donnees_generations!$Y$3:$Y$113,Donnees_generations!$A$3:$A$113,MAX(1915,MIN(2025,E99))),SUMIFS(Donnees_generations!$Z$3:$Z$113,Donnees_generations!$A$3:$A$113,MAX(1915,MIN(2025,E99))),SUMIFS(Donnees_generations!$AA$3:$AA$113,Donnees_generations!$A$3:$A$113,MAX(1915,MIN(2025,E99))),SUMIFS(Donnees_generations!$AB$3:$AB$113,Donnees_generations!$A$3:$A$113,MAX(1915,MIN(2025,E99))))+CHOOSE((AG99-56)/2+1,SUMIFS(Donnees_generations!$AC$3:$AC$113,Donnees_generations!$A$3:$A$113,MAX(1915,MIN(2025,E99))),SUMIFS(Donnees_generations!$AD$3:$AD$113,Donnees_generations!$A$3:$A$113,MAX(1915,MIN(2025,E99))),SUMIFS(Donnees_generations!$AE$3:$AE$113,Donnees_generations!$A$3:$A$113,MAX(1915,MIN(2025,E99))),SUMIFS(Donnees_generations!$AF$3:$AF$113,Donnees_generations!$A$3:$A$113,MAX(1915,MIN(2025,E99))),SUMIFS(Donnees_generations!$AG$3:$AG$113,Donnees_generations!$A$3:$A$113,MAX(1915,MIN(2025,E99))),SUMIFS(Donnees_generations!$AH$3:$AH$113,Donnees_generations!$A$3:$A$113,MAX(1915,MIN(2025,E99))),SUMIFS(Donnees_generations!$AI$3:$AI$113,Donnees_generations!$A$3:$A$113,MAX(1915,MIN(2025,E99))),SUMIFS(Donnees_generations!$AJ$3:$AJ$113,Donnees_generations!$A$3:$A$113,MAX(1915,MIN(2025,E99)))))/2</f>
        <v/>
      </c>
      <c r="AI99" s="75">
        <f>(CHOOSE(((AG99+2)-56)/2+1,SUMIFS(Donnees_generations!$U$3:$U$113,Donnees_generations!$A$3:$A$113,MAX(1915,MIN(2025,E99))),SUMIFS(Donnees_generations!$V$3:$V$113,Donnees_generations!$A$3:$A$113,MAX(1915,MIN(2025,E99))),SUMIFS(Donnees_generations!$W$3:$W$113,Donnees_generations!$A$3:$A$113,MAX(1915,MIN(2025,E99))),SUMIFS(Donnees_generations!$X$3:$X$113,Donnees_generations!$A$3:$A$113,MAX(1915,MIN(2025,E99))),SUMIFS(Donnees_generations!$Y$3:$Y$113,Donnees_generations!$A$3:$A$113,MAX(1915,MIN(2025,E99))),SUMIFS(Donnees_generations!$Z$3:$Z$113,Donnees_generations!$A$3:$A$113,MAX(1915,MIN(2025,E99))),SUMIFS(Donnees_generations!$AA$3:$AA$113,Donnees_generations!$A$3:$A$113,MAX(1915,MIN(2025,E99))),SUMIFS(Donnees_generations!$AB$3:$AB$113,Donnees_generations!$A$3:$A$113,MAX(1915,MIN(2025,E99))))+CHOOSE(((AG99+2)-56)/2+1,SUMIFS(Donnees_generations!$AC$3:$AC$113,Donnees_generations!$A$3:$A$113,MAX(1915,MIN(2025,E99))),SUMIFS(Donnees_generations!$AD$3:$AD$113,Donnees_generations!$A$3:$A$113,MAX(1915,MIN(2025,E99))),SUMIFS(Donnees_generations!$AE$3:$AE$113,Donnees_generations!$A$3:$A$113,MAX(1915,MIN(2025,E99))),SUMIFS(Donnees_generations!$AF$3:$AF$113,Donnees_generations!$A$3:$A$113,MAX(1915,MIN(2025,E99))),SUMIFS(Donnees_generations!$AG$3:$AG$113,Donnees_generations!$A$3:$A$113,MAX(1915,MIN(2025,E99))),SUMIFS(Donnees_generations!$AH$3:$AH$113,Donnees_generations!$A$3:$A$113,MAX(1915,MIN(2025,E99))),SUMIFS(Donnees_generations!$AI$3:$AI$113,Donnees_generations!$A$3:$A$113,MAX(1915,MIN(2025,E99))),SUMIFS(Donnees_generations!$AJ$3:$AJ$113,Donnees_generations!$A$3:$A$113,MAX(1915,MIN(2025,E99)))))/2</f>
        <v/>
      </c>
      <c r="AJ99" s="8">
        <f>MAX(0,AH99+(AI99-AH99)*(K99-AG99)/2)</f>
        <v/>
      </c>
      <c r="AK99" s="8">
        <f>K99+AJ99</f>
        <v/>
      </c>
      <c r="AL99" s="14">
        <f>AE99*AJ99</f>
        <v/>
      </c>
      <c r="AM99" s="17">
        <f>V99/AL99</f>
        <v/>
      </c>
      <c r="AN99" s="17">
        <f>Z99/AL99</f>
        <v/>
      </c>
      <c r="AO99" s="33">
        <f>IF(V99+Z99=0,0,Z99/(V99+Z99))</f>
        <v/>
      </c>
      <c r="AP99" s="14">
        <f>AL99/V99*100</f>
        <v/>
      </c>
      <c r="AQ99" s="8">
        <f>P99/AL99*1000</f>
        <v/>
      </c>
      <c r="AR99" s="77">
        <f>MAX(N99,M99-1)</f>
        <v/>
      </c>
      <c r="AS99" s="14">
        <f>SUMIFS(Donnees_regimes!$R$3:$R$1118,Donnees_regimes!$A$3:$A$1118,C99,Donnees_regimes!$B$3:$B$1118,"&gt;="&amp;G99,Donnees_regimes!$B$3:$B$1118,"&lt;="&amp;N99)*L99/ROUNDUP(L99,0)*SUMIFS(Donnees_annuelles!$AG$3:$AG$188,Donnees_annuelles!$A$3:$A$188,AR99)*SUMIFS(Donnees_annuelles!$AA$3:$AA$188,Donnees_annuelles!$A$3:$A$188,AR99)</f>
        <v/>
      </c>
      <c r="AT99" s="36">
        <f>AS99/V99</f>
        <v/>
      </c>
      <c r="AU99" s="14">
        <f>AL99</f>
        <v/>
      </c>
      <c r="AV99" s="39">
        <f>AS99-AL99</f>
        <v/>
      </c>
      <c r="AW99" s="9">
        <f>AS99/AL99-1</f>
        <v/>
      </c>
      <c r="AX99" s="14">
        <f>AS99/AJ99/12</f>
        <v/>
      </c>
      <c r="AY99" s="14">
        <f>AF99</f>
        <v/>
      </c>
      <c r="AZ99" s="39">
        <f>AX99-AF99</f>
        <v/>
      </c>
      <c r="BA99" s="14">
        <f>SUMIFS(Donnees_regimes!$S$3:$S$1118,Donnees_regimes!$A$3:$A$1118,C99,Donnees_regimes!$B$3:$B$1118,"&gt;="&amp;G99,Donnees_regimes!$B$3:$B$1118,"&lt;="&amp;N99)*L99/ROUNDUP(L99,0)*SUMIFS(Donnees_annuelles!$AH$3:$AH$188,Donnees_annuelles!$A$3:$A$188,AR99)*SUMIFS(Donnees_annuelles!$AA$3:$AA$188,Donnees_annuelles!$A$3:$A$188,AR99)</f>
        <v/>
      </c>
      <c r="BB99" s="39">
        <f>BA99-AL99</f>
        <v/>
      </c>
      <c r="BC99" s="7">
        <f>IF(M99+AJ99&gt;2026,IF(G99&gt;2026,"entièrement projeté","en partie projeté"),"observé")</f>
        <v/>
      </c>
    </row>
    <row r="100">
      <c r="A100" s="7" t="inlineStr">
        <is>
          <t>Génération Alpha</t>
        </is>
      </c>
      <c r="B100" s="84" t="inlineStr">
        <is>
          <t>Privé</t>
        </is>
      </c>
      <c r="C100" s="7">
        <f>IF(G100&gt;=SUMIFS(Regimes!$C$5:$C$10,Regimes!$A$5:$A$10,B100),"Privé",B100)</f>
        <v/>
      </c>
      <c r="D100" s="7">
        <f>INDEX(Regimes!$D$5:$D$10,MATCH(C100,Regimes!$A$5:$A$10,0))</f>
        <v/>
      </c>
      <c r="E100" s="88" t="n">
        <v>2025</v>
      </c>
      <c r="F100" s="8">
        <f>Donnees_generations!C113</f>
        <v/>
      </c>
      <c r="G100" s="77">
        <f>Donnees_generations!D113</f>
        <v/>
      </c>
      <c r="H100" s="8">
        <f>SUMIFS(Donnees_generations!$S$3:$S$113,Donnees_generations!$A$3:$A$113,MAX(1915,MIN(2025,E100)))</f>
        <v/>
      </c>
      <c r="I100" s="8">
        <f>SUMIFS(Donnees_generations!$T$3:$T$113,Donnees_generations!$A$3:$A$113,MAX(1915,MIN(2025,E100)))</f>
        <v/>
      </c>
      <c r="J100" s="8">
        <f>IF(G100&gt;=2000,MAX(I100,Parametres!$B$3),I100)</f>
        <v/>
      </c>
      <c r="K100" s="8">
        <f>IF(C100="Privé",J100,SUMIFS(Regles_regimes!$J$3:$J$2000,Regles_regimes!$A$3:$A$2000,C100,Regles_regimes!$B$3:$B$2000,D100,Regles_regimes!$C$3:$C$2000,MAX(1915,MIN(2025,E100))))</f>
        <v/>
      </c>
      <c r="L100" s="8">
        <f>IF(C100="Privé",H100,(K100-F100)*H100/(J100-F100))</f>
        <v/>
      </c>
      <c r="M100" s="77">
        <f>INT(E100+K100)</f>
        <v/>
      </c>
      <c r="N100" s="77">
        <f>G100+ROUNDUP(L100,0)-1</f>
        <v/>
      </c>
      <c r="O100" s="89">
        <f>SUMIFS(Regles_regimes!$K$3:$K$2000,Regles_regimes!$A$3:$A$2000,C100,Regles_regimes!$B$3:$B$2000,D100,Regles_regimes!$C$3:$C$2000,MAX(1915,MIN(2025,E100)))</f>
        <v/>
      </c>
      <c r="P100" s="13">
        <f>SUMIFS(Donnees_annuelles!$W$3:$W$188,Donnees_annuelles!$A$3:$A$188,"&gt;="&amp;G100,Donnees_annuelles!$A$3:$A$188,"&lt;="&amp;N100)*L100/ROUNDUP(L100,0)*O100</f>
        <v/>
      </c>
      <c r="Q100" s="13">
        <f>SUMIFS(Donnees_annuelles!$V$3:$V$188,Donnees_annuelles!$A$3:$A$188,"&gt;="&amp;G100,Donnees_annuelles!$A$3:$A$188,"&lt;="&amp;N100)*L100/ROUNDUP(L100,0)</f>
        <v/>
      </c>
      <c r="R100" s="13">
        <f>P100/L100</f>
        <v/>
      </c>
      <c r="S100" s="14">
        <f>SUMIFS(Donnees_annuelles!$D$3:$D$188,Donnees_annuelles!$A$3:$A$188,"&gt;="&amp;G100,Donnees_annuelles!$A$3:$A$188,"&lt;="&amp;N100)*L100/ROUNDUP(L100,0)</f>
        <v/>
      </c>
      <c r="T100" s="14">
        <f>SUMIFS(Donnees_regimes!$N$3:$N$1118,Donnees_regimes!$A$3:$A$1118,C100,Donnees_regimes!$B$3:$B$1118,"&gt;="&amp;G100,Donnees_regimes!$B$3:$B$1118,"&lt;="&amp;N100)*L100/ROUNDUP(L100,0)</f>
        <v/>
      </c>
      <c r="U100" s="14">
        <f>SUMIFS(Donnees_regimes!$O$3:$O$1118,Donnees_regimes!$A$3:$A$1118,C100,Donnees_regimes!$B$3:$B$1118,"&gt;="&amp;G100,Donnees_regimes!$B$3:$B$1118,"&lt;="&amp;N100)*L100/ROUNDUP(L100,0)</f>
        <v/>
      </c>
      <c r="V100" s="14">
        <f>T100+U100</f>
        <v/>
      </c>
      <c r="W100" s="33">
        <f>V100/S100</f>
        <v/>
      </c>
      <c r="X100" s="14">
        <f>S100+U100</f>
        <v/>
      </c>
      <c r="Y100" s="17">
        <f>V100/P100</f>
        <v/>
      </c>
      <c r="Z100" s="14">
        <f>SUMIFS(Donnees_regimes!$Q$3:$Q$1118,Donnees_regimes!$A$3:$A$1118,C100,Donnees_regimes!$B$3:$B$1118,"&gt;="&amp;G100,Donnees_regimes!$B$3:$B$1118,"&lt;="&amp;N100)*L100/ROUNDUP(L100,0)</f>
        <v/>
      </c>
      <c r="AA100" s="77">
        <f>SUMIFS(Regles_regimes!$F$3:$F$2000,Regles_regimes!$A$3:$A$2000,C100,Regles_regimes!$B$3:$B$2000,D100,Regles_regimes!$C$3:$C$2000,MAX(1915,MIN(2025,E100)))</f>
        <v/>
      </c>
      <c r="AB100" s="77">
        <f>IF(AND(SUMIFS(Regles_regimes!$L$3:$L$2000,Regles_regimes!$A$3:$A$2000,C100,Regles_regimes!$B$3:$B$2000,D100,Regles_regimes!$C$3:$C$2000,MAX(1915,MIN(2025,E100)))=1,G100&lt;2009,C100&lt;&gt;"Privé"),MIN(20,L100*4/5),0)</f>
        <v/>
      </c>
      <c r="AC100" s="89">
        <f>SUMIFS(Donnees_regimes!$M$3:$M$1118,Donnees_regimes!$A$3:$A$1118,C100,Donnees_regimes!$B$3:$B$1118,M100)</f>
        <v/>
      </c>
      <c r="AD100" s="14">
        <f>SUMIFS(Donnees_annuelles!$Y$3:$Y$188,Donnees_annuelles!$A$3:$A$188,M100)*SUMIFS(Donnees_generations!$I$3:$I$113,Donnees_generations!$A$3:$A$113,MAX(1915,MIN(2025,E100)))/H100</f>
        <v/>
      </c>
      <c r="AE100" s="14">
        <f>IF(C100="Privé",SUMIFS(Donnees_annuelles!$Y$3:$Y$188,Donnees_annuelles!$A$3:$A$188,M100)*MIN(L100,SUMIFS(Donnees_generations!$I$3:$I$113,Donnees_generations!$A$3:$A$113,MAX(1915,MIN(2025,E100))))/L100,AD100*AC100*MIN(IF(AB100&gt;0,0.8/0.75,1),(L100*4+AB100)/AA100))</f>
        <v/>
      </c>
      <c r="AF100" s="14">
        <f>AE100/12</f>
        <v/>
      </c>
      <c r="AG100" s="77">
        <f>MIN(68,MAX(56,2*INT(K100/2)))</f>
        <v/>
      </c>
      <c r="AH100" s="75">
        <f>(CHOOSE((AG100-56)/2+1,SUMIFS(Donnees_generations!$U$3:$U$113,Donnees_generations!$A$3:$A$113,MAX(1915,MIN(2025,E100))),SUMIFS(Donnees_generations!$V$3:$V$113,Donnees_generations!$A$3:$A$113,MAX(1915,MIN(2025,E100))),SUMIFS(Donnees_generations!$W$3:$W$113,Donnees_generations!$A$3:$A$113,MAX(1915,MIN(2025,E100))),SUMIFS(Donnees_generations!$X$3:$X$113,Donnees_generations!$A$3:$A$113,MAX(1915,MIN(2025,E100))),SUMIFS(Donnees_generations!$Y$3:$Y$113,Donnees_generations!$A$3:$A$113,MAX(1915,MIN(2025,E100))),SUMIFS(Donnees_generations!$Z$3:$Z$113,Donnees_generations!$A$3:$A$113,MAX(1915,MIN(2025,E100))),SUMIFS(Donnees_generations!$AA$3:$AA$113,Donnees_generations!$A$3:$A$113,MAX(1915,MIN(2025,E100))),SUMIFS(Donnees_generations!$AB$3:$AB$113,Donnees_generations!$A$3:$A$113,MAX(1915,MIN(2025,E100))))+CHOOSE((AG100-56)/2+1,SUMIFS(Donnees_generations!$AC$3:$AC$113,Donnees_generations!$A$3:$A$113,MAX(1915,MIN(2025,E100))),SUMIFS(Donnees_generations!$AD$3:$AD$113,Donnees_generations!$A$3:$A$113,MAX(1915,MIN(2025,E100))),SUMIFS(Donnees_generations!$AE$3:$AE$113,Donnees_generations!$A$3:$A$113,MAX(1915,MIN(2025,E100))),SUMIFS(Donnees_generations!$AF$3:$AF$113,Donnees_generations!$A$3:$A$113,MAX(1915,MIN(2025,E100))),SUMIFS(Donnees_generations!$AG$3:$AG$113,Donnees_generations!$A$3:$A$113,MAX(1915,MIN(2025,E100))),SUMIFS(Donnees_generations!$AH$3:$AH$113,Donnees_generations!$A$3:$A$113,MAX(1915,MIN(2025,E100))),SUMIFS(Donnees_generations!$AI$3:$AI$113,Donnees_generations!$A$3:$A$113,MAX(1915,MIN(2025,E100))),SUMIFS(Donnees_generations!$AJ$3:$AJ$113,Donnees_generations!$A$3:$A$113,MAX(1915,MIN(2025,E100)))))/2</f>
        <v/>
      </c>
      <c r="AI100" s="75">
        <f>(CHOOSE(((AG100+2)-56)/2+1,SUMIFS(Donnees_generations!$U$3:$U$113,Donnees_generations!$A$3:$A$113,MAX(1915,MIN(2025,E100))),SUMIFS(Donnees_generations!$V$3:$V$113,Donnees_generations!$A$3:$A$113,MAX(1915,MIN(2025,E100))),SUMIFS(Donnees_generations!$W$3:$W$113,Donnees_generations!$A$3:$A$113,MAX(1915,MIN(2025,E100))),SUMIFS(Donnees_generations!$X$3:$X$113,Donnees_generations!$A$3:$A$113,MAX(1915,MIN(2025,E100))),SUMIFS(Donnees_generations!$Y$3:$Y$113,Donnees_generations!$A$3:$A$113,MAX(1915,MIN(2025,E100))),SUMIFS(Donnees_generations!$Z$3:$Z$113,Donnees_generations!$A$3:$A$113,MAX(1915,MIN(2025,E100))),SUMIFS(Donnees_generations!$AA$3:$AA$113,Donnees_generations!$A$3:$A$113,MAX(1915,MIN(2025,E100))),SUMIFS(Donnees_generations!$AB$3:$AB$113,Donnees_generations!$A$3:$A$113,MAX(1915,MIN(2025,E100))))+CHOOSE(((AG100+2)-56)/2+1,SUMIFS(Donnees_generations!$AC$3:$AC$113,Donnees_generations!$A$3:$A$113,MAX(1915,MIN(2025,E100))),SUMIFS(Donnees_generations!$AD$3:$AD$113,Donnees_generations!$A$3:$A$113,MAX(1915,MIN(2025,E100))),SUMIFS(Donnees_generations!$AE$3:$AE$113,Donnees_generations!$A$3:$A$113,MAX(1915,MIN(2025,E100))),SUMIFS(Donnees_generations!$AF$3:$AF$113,Donnees_generations!$A$3:$A$113,MAX(1915,MIN(2025,E100))),SUMIFS(Donnees_generations!$AG$3:$AG$113,Donnees_generations!$A$3:$A$113,MAX(1915,MIN(2025,E100))),SUMIFS(Donnees_generations!$AH$3:$AH$113,Donnees_generations!$A$3:$A$113,MAX(1915,MIN(2025,E100))),SUMIFS(Donnees_generations!$AI$3:$AI$113,Donnees_generations!$A$3:$A$113,MAX(1915,MIN(2025,E100))),SUMIFS(Donnees_generations!$AJ$3:$AJ$113,Donnees_generations!$A$3:$A$113,MAX(1915,MIN(2025,E100)))))/2</f>
        <v/>
      </c>
      <c r="AJ100" s="8">
        <f>MAX(0,AH100+(AI100-AH100)*(K100-AG100)/2)</f>
        <v/>
      </c>
      <c r="AK100" s="8">
        <f>K100+AJ100</f>
        <v/>
      </c>
      <c r="AL100" s="14">
        <f>AE100*AJ100</f>
        <v/>
      </c>
      <c r="AM100" s="17">
        <f>V100/AL100</f>
        <v/>
      </c>
      <c r="AN100" s="17">
        <f>Z100/AL100</f>
        <v/>
      </c>
      <c r="AO100" s="33">
        <f>IF(V100+Z100=0,0,Z100/(V100+Z100))</f>
        <v/>
      </c>
      <c r="AP100" s="14">
        <f>AL100/V100*100</f>
        <v/>
      </c>
      <c r="AQ100" s="8">
        <f>P100/AL100*1000</f>
        <v/>
      </c>
      <c r="AR100" s="77">
        <f>MAX(N100,M100-1)</f>
        <v/>
      </c>
      <c r="AS100" s="14">
        <f>SUMIFS(Donnees_regimes!$R$3:$R$1118,Donnees_regimes!$A$3:$A$1118,C100,Donnees_regimes!$B$3:$B$1118,"&gt;="&amp;G100,Donnees_regimes!$B$3:$B$1118,"&lt;="&amp;N100)*L100/ROUNDUP(L100,0)*SUMIFS(Donnees_annuelles!$AG$3:$AG$188,Donnees_annuelles!$A$3:$A$188,AR100)*SUMIFS(Donnees_annuelles!$AA$3:$AA$188,Donnees_annuelles!$A$3:$A$188,AR100)</f>
        <v/>
      </c>
      <c r="AT100" s="36">
        <f>AS100/V100</f>
        <v/>
      </c>
      <c r="AU100" s="14">
        <f>AL100</f>
        <v/>
      </c>
      <c r="AV100" s="39">
        <f>AS100-AL100</f>
        <v/>
      </c>
      <c r="AW100" s="9">
        <f>AS100/AL100-1</f>
        <v/>
      </c>
      <c r="AX100" s="14">
        <f>AS100/AJ100/12</f>
        <v/>
      </c>
      <c r="AY100" s="14">
        <f>AF100</f>
        <v/>
      </c>
      <c r="AZ100" s="39">
        <f>AX100-AF100</f>
        <v/>
      </c>
      <c r="BA100" s="14">
        <f>SUMIFS(Donnees_regimes!$S$3:$S$1118,Donnees_regimes!$A$3:$A$1118,C100,Donnees_regimes!$B$3:$B$1118,"&gt;="&amp;G100,Donnees_regimes!$B$3:$B$1118,"&lt;="&amp;N100)*L100/ROUNDUP(L100,0)*SUMIFS(Donnees_annuelles!$AH$3:$AH$188,Donnees_annuelles!$A$3:$A$188,AR100)*SUMIFS(Donnees_annuelles!$AA$3:$AA$188,Donnees_annuelles!$A$3:$A$188,AR100)</f>
        <v/>
      </c>
      <c r="BB100" s="39">
        <f>BA100-AL100</f>
        <v/>
      </c>
      <c r="BC100" s="7">
        <f>IF(M100+AJ100&gt;2026,IF(G100&gt;2026,"entièrement projeté","en partie projeté"),"observé")</f>
        <v/>
      </c>
    </row>
    <row r="101">
      <c r="A101" s="7" t="inlineStr">
        <is>
          <t>Génération silencieuse</t>
        </is>
      </c>
      <c r="B101" s="84" t="inlineStr">
        <is>
          <t>Fonction publique d'État</t>
        </is>
      </c>
      <c r="C101" s="7">
        <f>IF(G101&gt;=SUMIFS(Regimes!$C$5:$C$10,Regimes!$A$5:$A$10,B101),"Privé",B101)</f>
        <v/>
      </c>
      <c r="D101" s="7">
        <f>INDEX(Regimes!$D$5:$D$10,MATCH(C101,Regimes!$A$5:$A$10,0))</f>
        <v/>
      </c>
      <c r="E101" s="88" t="n">
        <v>1928</v>
      </c>
      <c r="F101" s="8">
        <f>Donnees_generations!C16</f>
        <v/>
      </c>
      <c r="G101" s="77">
        <f>Donnees_generations!D16</f>
        <v/>
      </c>
      <c r="H101" s="8">
        <f>SUMIFS(Donnees_generations!$S$3:$S$113,Donnees_generations!$A$3:$A$113,MAX(1915,MIN(2025,E101)))</f>
        <v/>
      </c>
      <c r="I101" s="8">
        <f>SUMIFS(Donnees_generations!$T$3:$T$113,Donnees_generations!$A$3:$A$113,MAX(1915,MIN(2025,E101)))</f>
        <v/>
      </c>
      <c r="J101" s="8">
        <f>IF(G101&gt;=2000,MAX(I101,Parametres!$B$3),I101)</f>
        <v/>
      </c>
      <c r="K101" s="8">
        <f>IF(C101="Privé",J101,SUMIFS(Regles_regimes!$J$3:$J$2000,Regles_regimes!$A$3:$A$2000,C101,Regles_regimes!$B$3:$B$2000,D101,Regles_regimes!$C$3:$C$2000,MAX(1915,MIN(2025,E101))))</f>
        <v/>
      </c>
      <c r="L101" s="8">
        <f>IF(C101="Privé",H101,(K101-F101)*H101/(J101-F101))</f>
        <v/>
      </c>
      <c r="M101" s="77">
        <f>INT(E101+K101)</f>
        <v/>
      </c>
      <c r="N101" s="77">
        <f>G101+ROUNDUP(L101,0)-1</f>
        <v/>
      </c>
      <c r="O101" s="89">
        <f>SUMIFS(Regles_regimes!$K$3:$K$2000,Regles_regimes!$A$3:$A$2000,C101,Regles_regimes!$B$3:$B$2000,D101,Regles_regimes!$C$3:$C$2000,MAX(1915,MIN(2025,E101)))</f>
        <v/>
      </c>
      <c r="P101" s="13">
        <f>SUMIFS(Donnees_annuelles!$W$3:$W$188,Donnees_annuelles!$A$3:$A$188,"&gt;="&amp;G101,Donnees_annuelles!$A$3:$A$188,"&lt;="&amp;N101)*L101/ROUNDUP(L101,0)*O101</f>
        <v/>
      </c>
      <c r="Q101" s="13">
        <f>SUMIFS(Donnees_annuelles!$V$3:$V$188,Donnees_annuelles!$A$3:$A$188,"&gt;="&amp;G101,Donnees_annuelles!$A$3:$A$188,"&lt;="&amp;N101)*L101/ROUNDUP(L101,0)</f>
        <v/>
      </c>
      <c r="R101" s="13">
        <f>P101/L101</f>
        <v/>
      </c>
      <c r="S101" s="14">
        <f>SUMIFS(Donnees_annuelles!$D$3:$D$188,Donnees_annuelles!$A$3:$A$188,"&gt;="&amp;G101,Donnees_annuelles!$A$3:$A$188,"&lt;="&amp;N101)*L101/ROUNDUP(L101,0)</f>
        <v/>
      </c>
      <c r="T101" s="14">
        <f>SUMIFS(Donnees_regimes!$N$3:$N$1118,Donnees_regimes!$A$3:$A$1118,C101,Donnees_regimes!$B$3:$B$1118,"&gt;="&amp;G101,Donnees_regimes!$B$3:$B$1118,"&lt;="&amp;N101)*L101/ROUNDUP(L101,0)</f>
        <v/>
      </c>
      <c r="U101" s="14">
        <f>SUMIFS(Donnees_regimes!$O$3:$O$1118,Donnees_regimes!$A$3:$A$1118,C101,Donnees_regimes!$B$3:$B$1118,"&gt;="&amp;G101,Donnees_regimes!$B$3:$B$1118,"&lt;="&amp;N101)*L101/ROUNDUP(L101,0)</f>
        <v/>
      </c>
      <c r="V101" s="14">
        <f>T101+U101</f>
        <v/>
      </c>
      <c r="W101" s="33">
        <f>V101/S101</f>
        <v/>
      </c>
      <c r="X101" s="14">
        <f>S101+U101</f>
        <v/>
      </c>
      <c r="Y101" s="17">
        <f>V101/P101</f>
        <v/>
      </c>
      <c r="Z101" s="14">
        <f>SUMIFS(Donnees_regimes!$Q$3:$Q$1118,Donnees_regimes!$A$3:$A$1118,C101,Donnees_regimes!$B$3:$B$1118,"&gt;="&amp;G101,Donnees_regimes!$B$3:$B$1118,"&lt;="&amp;N101)*L101/ROUNDUP(L101,0)</f>
        <v/>
      </c>
      <c r="AA101" s="77">
        <f>SUMIFS(Regles_regimes!$F$3:$F$2000,Regles_regimes!$A$3:$A$2000,C101,Regles_regimes!$B$3:$B$2000,D101,Regles_regimes!$C$3:$C$2000,MAX(1915,MIN(2025,E101)))</f>
        <v/>
      </c>
      <c r="AB101" s="77">
        <f>IF(AND(SUMIFS(Regles_regimes!$L$3:$L$2000,Regles_regimes!$A$3:$A$2000,C101,Regles_regimes!$B$3:$B$2000,D101,Regles_regimes!$C$3:$C$2000,MAX(1915,MIN(2025,E101)))=1,G101&lt;2009,C101&lt;&gt;"Privé"),MIN(20,L101*4/5),0)</f>
        <v/>
      </c>
      <c r="AC101" s="89">
        <f>SUMIFS(Donnees_regimes!$M$3:$M$1118,Donnees_regimes!$A$3:$A$1118,C101,Donnees_regimes!$B$3:$B$1118,M101)</f>
        <v/>
      </c>
      <c r="AD101" s="14">
        <f>SUMIFS(Donnees_annuelles!$Y$3:$Y$188,Donnees_annuelles!$A$3:$A$188,M101)*SUMIFS(Donnees_generations!$I$3:$I$113,Donnees_generations!$A$3:$A$113,MAX(1915,MIN(2025,E101)))/H101</f>
        <v/>
      </c>
      <c r="AE101" s="14">
        <f>IF(C101="Privé",SUMIFS(Donnees_annuelles!$Y$3:$Y$188,Donnees_annuelles!$A$3:$A$188,M101)*MIN(L101,SUMIFS(Donnees_generations!$I$3:$I$113,Donnees_generations!$A$3:$A$113,MAX(1915,MIN(2025,E101))))/L101,AD101*AC101*MIN(IF(AB101&gt;0,0.8/0.75,1),(L101*4+AB101)/AA101))</f>
        <v/>
      </c>
      <c r="AF101" s="14">
        <f>AE101/12</f>
        <v/>
      </c>
      <c r="AG101" s="77">
        <f>MIN(68,MAX(56,2*INT(K101/2)))</f>
        <v/>
      </c>
      <c r="AH101" s="75">
        <f>(CHOOSE((AG101-56)/2+1,SUMIFS(Donnees_generations!$U$3:$U$113,Donnees_generations!$A$3:$A$113,MAX(1915,MIN(2025,E101))),SUMIFS(Donnees_generations!$V$3:$V$113,Donnees_generations!$A$3:$A$113,MAX(1915,MIN(2025,E101))),SUMIFS(Donnees_generations!$W$3:$W$113,Donnees_generations!$A$3:$A$113,MAX(1915,MIN(2025,E101))),SUMIFS(Donnees_generations!$X$3:$X$113,Donnees_generations!$A$3:$A$113,MAX(1915,MIN(2025,E101))),SUMIFS(Donnees_generations!$Y$3:$Y$113,Donnees_generations!$A$3:$A$113,MAX(1915,MIN(2025,E101))),SUMIFS(Donnees_generations!$Z$3:$Z$113,Donnees_generations!$A$3:$A$113,MAX(1915,MIN(2025,E101))),SUMIFS(Donnees_generations!$AA$3:$AA$113,Donnees_generations!$A$3:$A$113,MAX(1915,MIN(2025,E101))),SUMIFS(Donnees_generations!$AB$3:$AB$113,Donnees_generations!$A$3:$A$113,MAX(1915,MIN(2025,E101))))+CHOOSE((AG101-56)/2+1,SUMIFS(Donnees_generations!$AC$3:$AC$113,Donnees_generations!$A$3:$A$113,MAX(1915,MIN(2025,E101))),SUMIFS(Donnees_generations!$AD$3:$AD$113,Donnees_generations!$A$3:$A$113,MAX(1915,MIN(2025,E101))),SUMIFS(Donnees_generations!$AE$3:$AE$113,Donnees_generations!$A$3:$A$113,MAX(1915,MIN(2025,E101))),SUMIFS(Donnees_generations!$AF$3:$AF$113,Donnees_generations!$A$3:$A$113,MAX(1915,MIN(2025,E101))),SUMIFS(Donnees_generations!$AG$3:$AG$113,Donnees_generations!$A$3:$A$113,MAX(1915,MIN(2025,E101))),SUMIFS(Donnees_generations!$AH$3:$AH$113,Donnees_generations!$A$3:$A$113,MAX(1915,MIN(2025,E101))),SUMIFS(Donnees_generations!$AI$3:$AI$113,Donnees_generations!$A$3:$A$113,MAX(1915,MIN(2025,E101))),SUMIFS(Donnees_generations!$AJ$3:$AJ$113,Donnees_generations!$A$3:$A$113,MAX(1915,MIN(2025,E101)))))/2</f>
        <v/>
      </c>
      <c r="AI101" s="75">
        <f>(CHOOSE(((AG101+2)-56)/2+1,SUMIFS(Donnees_generations!$U$3:$U$113,Donnees_generations!$A$3:$A$113,MAX(1915,MIN(2025,E101))),SUMIFS(Donnees_generations!$V$3:$V$113,Donnees_generations!$A$3:$A$113,MAX(1915,MIN(2025,E101))),SUMIFS(Donnees_generations!$W$3:$W$113,Donnees_generations!$A$3:$A$113,MAX(1915,MIN(2025,E101))),SUMIFS(Donnees_generations!$X$3:$X$113,Donnees_generations!$A$3:$A$113,MAX(1915,MIN(2025,E101))),SUMIFS(Donnees_generations!$Y$3:$Y$113,Donnees_generations!$A$3:$A$113,MAX(1915,MIN(2025,E101))),SUMIFS(Donnees_generations!$Z$3:$Z$113,Donnees_generations!$A$3:$A$113,MAX(1915,MIN(2025,E101))),SUMIFS(Donnees_generations!$AA$3:$AA$113,Donnees_generations!$A$3:$A$113,MAX(1915,MIN(2025,E101))),SUMIFS(Donnees_generations!$AB$3:$AB$113,Donnees_generations!$A$3:$A$113,MAX(1915,MIN(2025,E101))))+CHOOSE(((AG101+2)-56)/2+1,SUMIFS(Donnees_generations!$AC$3:$AC$113,Donnees_generations!$A$3:$A$113,MAX(1915,MIN(2025,E101))),SUMIFS(Donnees_generations!$AD$3:$AD$113,Donnees_generations!$A$3:$A$113,MAX(1915,MIN(2025,E101))),SUMIFS(Donnees_generations!$AE$3:$AE$113,Donnees_generations!$A$3:$A$113,MAX(1915,MIN(2025,E101))),SUMIFS(Donnees_generations!$AF$3:$AF$113,Donnees_generations!$A$3:$A$113,MAX(1915,MIN(2025,E101))),SUMIFS(Donnees_generations!$AG$3:$AG$113,Donnees_generations!$A$3:$A$113,MAX(1915,MIN(2025,E101))),SUMIFS(Donnees_generations!$AH$3:$AH$113,Donnees_generations!$A$3:$A$113,MAX(1915,MIN(2025,E101))),SUMIFS(Donnees_generations!$AI$3:$AI$113,Donnees_generations!$A$3:$A$113,MAX(1915,MIN(2025,E101))),SUMIFS(Donnees_generations!$AJ$3:$AJ$113,Donnees_generations!$A$3:$A$113,MAX(1915,MIN(2025,E101)))))/2</f>
        <v/>
      </c>
      <c r="AJ101" s="8">
        <f>MAX(0,AH101+(AI101-AH101)*(K101-AG101)/2)</f>
        <v/>
      </c>
      <c r="AK101" s="8">
        <f>K101+AJ101</f>
        <v/>
      </c>
      <c r="AL101" s="14">
        <f>AE101*AJ101</f>
        <v/>
      </c>
      <c r="AM101" s="17">
        <f>V101/AL101</f>
        <v/>
      </c>
      <c r="AN101" s="17">
        <f>Z101/AL101</f>
        <v/>
      </c>
      <c r="AO101" s="33">
        <f>IF(V101+Z101=0,0,Z101/(V101+Z101))</f>
        <v/>
      </c>
      <c r="AP101" s="14">
        <f>AL101/V101*100</f>
        <v/>
      </c>
      <c r="AQ101" s="8">
        <f>P101/AL101*1000</f>
        <v/>
      </c>
      <c r="AR101" s="77">
        <f>MAX(N101,M101-1)</f>
        <v/>
      </c>
      <c r="AS101" s="14">
        <f>SUMIFS(Donnees_regimes!$R$3:$R$1118,Donnees_regimes!$A$3:$A$1118,C101,Donnees_regimes!$B$3:$B$1118,"&gt;="&amp;G101,Donnees_regimes!$B$3:$B$1118,"&lt;="&amp;N101)*L101/ROUNDUP(L101,0)*SUMIFS(Donnees_annuelles!$AG$3:$AG$188,Donnees_annuelles!$A$3:$A$188,AR101)*SUMIFS(Donnees_annuelles!$AA$3:$AA$188,Donnees_annuelles!$A$3:$A$188,AR101)</f>
        <v/>
      </c>
      <c r="AT101" s="36">
        <f>AS101/V101</f>
        <v/>
      </c>
      <c r="AU101" s="14">
        <f>AL101</f>
        <v/>
      </c>
      <c r="AV101" s="39">
        <f>AS101-AL101</f>
        <v/>
      </c>
      <c r="AW101" s="9">
        <f>AS101/AL101-1</f>
        <v/>
      </c>
      <c r="AX101" s="14">
        <f>AS101/AJ101/12</f>
        <v/>
      </c>
      <c r="AY101" s="14">
        <f>AF101</f>
        <v/>
      </c>
      <c r="AZ101" s="39">
        <f>AX101-AF101</f>
        <v/>
      </c>
      <c r="BA101" s="14">
        <f>SUMIFS(Donnees_regimes!$S$3:$S$1118,Donnees_regimes!$A$3:$A$1118,C101,Donnees_regimes!$B$3:$B$1118,"&gt;="&amp;G101,Donnees_regimes!$B$3:$B$1118,"&lt;="&amp;N101)*L101/ROUNDUP(L101,0)*SUMIFS(Donnees_annuelles!$AH$3:$AH$188,Donnees_annuelles!$A$3:$A$188,AR101)*SUMIFS(Donnees_annuelles!$AA$3:$AA$188,Donnees_annuelles!$A$3:$A$188,AR101)</f>
        <v/>
      </c>
      <c r="BB101" s="39">
        <f>BA101-AL101</f>
        <v/>
      </c>
      <c r="BC101" s="7">
        <f>IF(M101+AJ101&gt;2026,IF(G101&gt;2026,"entièrement projeté","en partie projeté"),"observé")</f>
        <v/>
      </c>
    </row>
    <row r="102">
      <c r="A102" s="7" t="inlineStr">
        <is>
          <t>Génération silencieuse</t>
        </is>
      </c>
      <c r="B102" s="84" t="inlineStr">
        <is>
          <t>Fonction publique d'État</t>
        </is>
      </c>
      <c r="C102" s="7">
        <f>IF(G102&gt;=SUMIFS(Regimes!$C$5:$C$10,Regimes!$A$5:$A$10,B102),"Privé",B102)</f>
        <v/>
      </c>
      <c r="D102" s="7">
        <f>INDEX(Regimes!$D$5:$D$10,MATCH(C102,Regimes!$A$5:$A$10,0))</f>
        <v/>
      </c>
      <c r="E102" s="88" t="n">
        <v>1929</v>
      </c>
      <c r="F102" s="8">
        <f>Donnees_generations!C17</f>
        <v/>
      </c>
      <c r="G102" s="77">
        <f>Donnees_generations!D17</f>
        <v/>
      </c>
      <c r="H102" s="8">
        <f>SUMIFS(Donnees_generations!$S$3:$S$113,Donnees_generations!$A$3:$A$113,MAX(1915,MIN(2025,E102)))</f>
        <v/>
      </c>
      <c r="I102" s="8">
        <f>SUMIFS(Donnees_generations!$T$3:$T$113,Donnees_generations!$A$3:$A$113,MAX(1915,MIN(2025,E102)))</f>
        <v/>
      </c>
      <c r="J102" s="8">
        <f>IF(G102&gt;=2000,MAX(I102,Parametres!$B$3),I102)</f>
        <v/>
      </c>
      <c r="K102" s="8">
        <f>IF(C102="Privé",J102,SUMIFS(Regles_regimes!$J$3:$J$2000,Regles_regimes!$A$3:$A$2000,C102,Regles_regimes!$B$3:$B$2000,D102,Regles_regimes!$C$3:$C$2000,MAX(1915,MIN(2025,E102))))</f>
        <v/>
      </c>
      <c r="L102" s="8">
        <f>IF(C102="Privé",H102,(K102-F102)*H102/(J102-F102))</f>
        <v/>
      </c>
      <c r="M102" s="77">
        <f>INT(E102+K102)</f>
        <v/>
      </c>
      <c r="N102" s="77">
        <f>G102+ROUNDUP(L102,0)-1</f>
        <v/>
      </c>
      <c r="O102" s="89">
        <f>SUMIFS(Regles_regimes!$K$3:$K$2000,Regles_regimes!$A$3:$A$2000,C102,Regles_regimes!$B$3:$B$2000,D102,Regles_regimes!$C$3:$C$2000,MAX(1915,MIN(2025,E102)))</f>
        <v/>
      </c>
      <c r="P102" s="13">
        <f>SUMIFS(Donnees_annuelles!$W$3:$W$188,Donnees_annuelles!$A$3:$A$188,"&gt;="&amp;G102,Donnees_annuelles!$A$3:$A$188,"&lt;="&amp;N102)*L102/ROUNDUP(L102,0)*O102</f>
        <v/>
      </c>
      <c r="Q102" s="13">
        <f>SUMIFS(Donnees_annuelles!$V$3:$V$188,Donnees_annuelles!$A$3:$A$188,"&gt;="&amp;G102,Donnees_annuelles!$A$3:$A$188,"&lt;="&amp;N102)*L102/ROUNDUP(L102,0)</f>
        <v/>
      </c>
      <c r="R102" s="13">
        <f>P102/L102</f>
        <v/>
      </c>
      <c r="S102" s="14">
        <f>SUMIFS(Donnees_annuelles!$D$3:$D$188,Donnees_annuelles!$A$3:$A$188,"&gt;="&amp;G102,Donnees_annuelles!$A$3:$A$188,"&lt;="&amp;N102)*L102/ROUNDUP(L102,0)</f>
        <v/>
      </c>
      <c r="T102" s="14">
        <f>SUMIFS(Donnees_regimes!$N$3:$N$1118,Donnees_regimes!$A$3:$A$1118,C102,Donnees_regimes!$B$3:$B$1118,"&gt;="&amp;G102,Donnees_regimes!$B$3:$B$1118,"&lt;="&amp;N102)*L102/ROUNDUP(L102,0)</f>
        <v/>
      </c>
      <c r="U102" s="14">
        <f>SUMIFS(Donnees_regimes!$O$3:$O$1118,Donnees_regimes!$A$3:$A$1118,C102,Donnees_regimes!$B$3:$B$1118,"&gt;="&amp;G102,Donnees_regimes!$B$3:$B$1118,"&lt;="&amp;N102)*L102/ROUNDUP(L102,0)</f>
        <v/>
      </c>
      <c r="V102" s="14">
        <f>T102+U102</f>
        <v/>
      </c>
      <c r="W102" s="33">
        <f>V102/S102</f>
        <v/>
      </c>
      <c r="X102" s="14">
        <f>S102+U102</f>
        <v/>
      </c>
      <c r="Y102" s="17">
        <f>V102/P102</f>
        <v/>
      </c>
      <c r="Z102" s="14">
        <f>SUMIFS(Donnees_regimes!$Q$3:$Q$1118,Donnees_regimes!$A$3:$A$1118,C102,Donnees_regimes!$B$3:$B$1118,"&gt;="&amp;G102,Donnees_regimes!$B$3:$B$1118,"&lt;="&amp;N102)*L102/ROUNDUP(L102,0)</f>
        <v/>
      </c>
      <c r="AA102" s="77">
        <f>SUMIFS(Regles_regimes!$F$3:$F$2000,Regles_regimes!$A$3:$A$2000,C102,Regles_regimes!$B$3:$B$2000,D102,Regles_regimes!$C$3:$C$2000,MAX(1915,MIN(2025,E102)))</f>
        <v/>
      </c>
      <c r="AB102" s="77">
        <f>IF(AND(SUMIFS(Regles_regimes!$L$3:$L$2000,Regles_regimes!$A$3:$A$2000,C102,Regles_regimes!$B$3:$B$2000,D102,Regles_regimes!$C$3:$C$2000,MAX(1915,MIN(2025,E102)))=1,G102&lt;2009,C102&lt;&gt;"Privé"),MIN(20,L102*4/5),0)</f>
        <v/>
      </c>
      <c r="AC102" s="89">
        <f>SUMIFS(Donnees_regimes!$M$3:$M$1118,Donnees_regimes!$A$3:$A$1118,C102,Donnees_regimes!$B$3:$B$1118,M102)</f>
        <v/>
      </c>
      <c r="AD102" s="14">
        <f>SUMIFS(Donnees_annuelles!$Y$3:$Y$188,Donnees_annuelles!$A$3:$A$188,M102)*SUMIFS(Donnees_generations!$I$3:$I$113,Donnees_generations!$A$3:$A$113,MAX(1915,MIN(2025,E102)))/H102</f>
        <v/>
      </c>
      <c r="AE102" s="14">
        <f>IF(C102="Privé",SUMIFS(Donnees_annuelles!$Y$3:$Y$188,Donnees_annuelles!$A$3:$A$188,M102)*MIN(L102,SUMIFS(Donnees_generations!$I$3:$I$113,Donnees_generations!$A$3:$A$113,MAX(1915,MIN(2025,E102))))/L102,AD102*AC102*MIN(IF(AB102&gt;0,0.8/0.75,1),(L102*4+AB102)/AA102))</f>
        <v/>
      </c>
      <c r="AF102" s="14">
        <f>AE102/12</f>
        <v/>
      </c>
      <c r="AG102" s="77">
        <f>MIN(68,MAX(56,2*INT(K102/2)))</f>
        <v/>
      </c>
      <c r="AH102" s="75">
        <f>(CHOOSE((AG102-56)/2+1,SUMIFS(Donnees_generations!$U$3:$U$113,Donnees_generations!$A$3:$A$113,MAX(1915,MIN(2025,E102))),SUMIFS(Donnees_generations!$V$3:$V$113,Donnees_generations!$A$3:$A$113,MAX(1915,MIN(2025,E102))),SUMIFS(Donnees_generations!$W$3:$W$113,Donnees_generations!$A$3:$A$113,MAX(1915,MIN(2025,E102))),SUMIFS(Donnees_generations!$X$3:$X$113,Donnees_generations!$A$3:$A$113,MAX(1915,MIN(2025,E102))),SUMIFS(Donnees_generations!$Y$3:$Y$113,Donnees_generations!$A$3:$A$113,MAX(1915,MIN(2025,E102))),SUMIFS(Donnees_generations!$Z$3:$Z$113,Donnees_generations!$A$3:$A$113,MAX(1915,MIN(2025,E102))),SUMIFS(Donnees_generations!$AA$3:$AA$113,Donnees_generations!$A$3:$A$113,MAX(1915,MIN(2025,E102))),SUMIFS(Donnees_generations!$AB$3:$AB$113,Donnees_generations!$A$3:$A$113,MAX(1915,MIN(2025,E102))))+CHOOSE((AG102-56)/2+1,SUMIFS(Donnees_generations!$AC$3:$AC$113,Donnees_generations!$A$3:$A$113,MAX(1915,MIN(2025,E102))),SUMIFS(Donnees_generations!$AD$3:$AD$113,Donnees_generations!$A$3:$A$113,MAX(1915,MIN(2025,E102))),SUMIFS(Donnees_generations!$AE$3:$AE$113,Donnees_generations!$A$3:$A$113,MAX(1915,MIN(2025,E102))),SUMIFS(Donnees_generations!$AF$3:$AF$113,Donnees_generations!$A$3:$A$113,MAX(1915,MIN(2025,E102))),SUMIFS(Donnees_generations!$AG$3:$AG$113,Donnees_generations!$A$3:$A$113,MAX(1915,MIN(2025,E102))),SUMIFS(Donnees_generations!$AH$3:$AH$113,Donnees_generations!$A$3:$A$113,MAX(1915,MIN(2025,E102))),SUMIFS(Donnees_generations!$AI$3:$AI$113,Donnees_generations!$A$3:$A$113,MAX(1915,MIN(2025,E102))),SUMIFS(Donnees_generations!$AJ$3:$AJ$113,Donnees_generations!$A$3:$A$113,MAX(1915,MIN(2025,E102)))))/2</f>
        <v/>
      </c>
      <c r="AI102" s="75">
        <f>(CHOOSE(((AG102+2)-56)/2+1,SUMIFS(Donnees_generations!$U$3:$U$113,Donnees_generations!$A$3:$A$113,MAX(1915,MIN(2025,E102))),SUMIFS(Donnees_generations!$V$3:$V$113,Donnees_generations!$A$3:$A$113,MAX(1915,MIN(2025,E102))),SUMIFS(Donnees_generations!$W$3:$W$113,Donnees_generations!$A$3:$A$113,MAX(1915,MIN(2025,E102))),SUMIFS(Donnees_generations!$X$3:$X$113,Donnees_generations!$A$3:$A$113,MAX(1915,MIN(2025,E102))),SUMIFS(Donnees_generations!$Y$3:$Y$113,Donnees_generations!$A$3:$A$113,MAX(1915,MIN(2025,E102))),SUMIFS(Donnees_generations!$Z$3:$Z$113,Donnees_generations!$A$3:$A$113,MAX(1915,MIN(2025,E102))),SUMIFS(Donnees_generations!$AA$3:$AA$113,Donnees_generations!$A$3:$A$113,MAX(1915,MIN(2025,E102))),SUMIFS(Donnees_generations!$AB$3:$AB$113,Donnees_generations!$A$3:$A$113,MAX(1915,MIN(2025,E102))))+CHOOSE(((AG102+2)-56)/2+1,SUMIFS(Donnees_generations!$AC$3:$AC$113,Donnees_generations!$A$3:$A$113,MAX(1915,MIN(2025,E102))),SUMIFS(Donnees_generations!$AD$3:$AD$113,Donnees_generations!$A$3:$A$113,MAX(1915,MIN(2025,E102))),SUMIFS(Donnees_generations!$AE$3:$AE$113,Donnees_generations!$A$3:$A$113,MAX(1915,MIN(2025,E102))),SUMIFS(Donnees_generations!$AF$3:$AF$113,Donnees_generations!$A$3:$A$113,MAX(1915,MIN(2025,E102))),SUMIFS(Donnees_generations!$AG$3:$AG$113,Donnees_generations!$A$3:$A$113,MAX(1915,MIN(2025,E102))),SUMIFS(Donnees_generations!$AH$3:$AH$113,Donnees_generations!$A$3:$A$113,MAX(1915,MIN(2025,E102))),SUMIFS(Donnees_generations!$AI$3:$AI$113,Donnees_generations!$A$3:$A$113,MAX(1915,MIN(2025,E102))),SUMIFS(Donnees_generations!$AJ$3:$AJ$113,Donnees_generations!$A$3:$A$113,MAX(1915,MIN(2025,E102)))))/2</f>
        <v/>
      </c>
      <c r="AJ102" s="8">
        <f>MAX(0,AH102+(AI102-AH102)*(K102-AG102)/2)</f>
        <v/>
      </c>
      <c r="AK102" s="8">
        <f>K102+AJ102</f>
        <v/>
      </c>
      <c r="AL102" s="14">
        <f>AE102*AJ102</f>
        <v/>
      </c>
      <c r="AM102" s="17">
        <f>V102/AL102</f>
        <v/>
      </c>
      <c r="AN102" s="17">
        <f>Z102/AL102</f>
        <v/>
      </c>
      <c r="AO102" s="33">
        <f>IF(V102+Z102=0,0,Z102/(V102+Z102))</f>
        <v/>
      </c>
      <c r="AP102" s="14">
        <f>AL102/V102*100</f>
        <v/>
      </c>
      <c r="AQ102" s="8">
        <f>P102/AL102*1000</f>
        <v/>
      </c>
      <c r="AR102" s="77">
        <f>MAX(N102,M102-1)</f>
        <v/>
      </c>
      <c r="AS102" s="14">
        <f>SUMIFS(Donnees_regimes!$R$3:$R$1118,Donnees_regimes!$A$3:$A$1118,C102,Donnees_regimes!$B$3:$B$1118,"&gt;="&amp;G102,Donnees_regimes!$B$3:$B$1118,"&lt;="&amp;N102)*L102/ROUNDUP(L102,0)*SUMIFS(Donnees_annuelles!$AG$3:$AG$188,Donnees_annuelles!$A$3:$A$188,AR102)*SUMIFS(Donnees_annuelles!$AA$3:$AA$188,Donnees_annuelles!$A$3:$A$188,AR102)</f>
        <v/>
      </c>
      <c r="AT102" s="36">
        <f>AS102/V102</f>
        <v/>
      </c>
      <c r="AU102" s="14">
        <f>AL102</f>
        <v/>
      </c>
      <c r="AV102" s="39">
        <f>AS102-AL102</f>
        <v/>
      </c>
      <c r="AW102" s="9">
        <f>AS102/AL102-1</f>
        <v/>
      </c>
      <c r="AX102" s="14">
        <f>AS102/AJ102/12</f>
        <v/>
      </c>
      <c r="AY102" s="14">
        <f>AF102</f>
        <v/>
      </c>
      <c r="AZ102" s="39">
        <f>AX102-AF102</f>
        <v/>
      </c>
      <c r="BA102" s="14">
        <f>SUMIFS(Donnees_regimes!$S$3:$S$1118,Donnees_regimes!$A$3:$A$1118,C102,Donnees_regimes!$B$3:$B$1118,"&gt;="&amp;G102,Donnees_regimes!$B$3:$B$1118,"&lt;="&amp;N102)*L102/ROUNDUP(L102,0)*SUMIFS(Donnees_annuelles!$AH$3:$AH$188,Donnees_annuelles!$A$3:$A$188,AR102)*SUMIFS(Donnees_annuelles!$AA$3:$AA$188,Donnees_annuelles!$A$3:$A$188,AR102)</f>
        <v/>
      </c>
      <c r="BB102" s="39">
        <f>BA102-AL102</f>
        <v/>
      </c>
      <c r="BC102" s="7">
        <f>IF(M102+AJ102&gt;2026,IF(G102&gt;2026,"entièrement projeté","en partie projeté"),"observé")</f>
        <v/>
      </c>
    </row>
    <row r="103">
      <c r="A103" s="7" t="inlineStr">
        <is>
          <t>Génération silencieuse</t>
        </is>
      </c>
      <c r="B103" s="84" t="inlineStr">
        <is>
          <t>Fonction publique d'État</t>
        </is>
      </c>
      <c r="C103" s="7">
        <f>IF(G103&gt;=SUMIFS(Regimes!$C$5:$C$10,Regimes!$A$5:$A$10,B103),"Privé",B103)</f>
        <v/>
      </c>
      <c r="D103" s="7">
        <f>INDEX(Regimes!$D$5:$D$10,MATCH(C103,Regimes!$A$5:$A$10,0))</f>
        <v/>
      </c>
      <c r="E103" s="88" t="n">
        <v>1930</v>
      </c>
      <c r="F103" s="8">
        <f>Donnees_generations!C18</f>
        <v/>
      </c>
      <c r="G103" s="77">
        <f>Donnees_generations!D18</f>
        <v/>
      </c>
      <c r="H103" s="8">
        <f>SUMIFS(Donnees_generations!$S$3:$S$113,Donnees_generations!$A$3:$A$113,MAX(1915,MIN(2025,E103)))</f>
        <v/>
      </c>
      <c r="I103" s="8">
        <f>SUMIFS(Donnees_generations!$T$3:$T$113,Donnees_generations!$A$3:$A$113,MAX(1915,MIN(2025,E103)))</f>
        <v/>
      </c>
      <c r="J103" s="8">
        <f>IF(G103&gt;=2000,MAX(I103,Parametres!$B$3),I103)</f>
        <v/>
      </c>
      <c r="K103" s="8">
        <f>IF(C103="Privé",J103,SUMIFS(Regles_regimes!$J$3:$J$2000,Regles_regimes!$A$3:$A$2000,C103,Regles_regimes!$B$3:$B$2000,D103,Regles_regimes!$C$3:$C$2000,MAX(1915,MIN(2025,E103))))</f>
        <v/>
      </c>
      <c r="L103" s="8">
        <f>IF(C103="Privé",H103,(K103-F103)*H103/(J103-F103))</f>
        <v/>
      </c>
      <c r="M103" s="77">
        <f>INT(E103+K103)</f>
        <v/>
      </c>
      <c r="N103" s="77">
        <f>G103+ROUNDUP(L103,0)-1</f>
        <v/>
      </c>
      <c r="O103" s="89">
        <f>SUMIFS(Regles_regimes!$K$3:$K$2000,Regles_regimes!$A$3:$A$2000,C103,Regles_regimes!$B$3:$B$2000,D103,Regles_regimes!$C$3:$C$2000,MAX(1915,MIN(2025,E103)))</f>
        <v/>
      </c>
      <c r="P103" s="13">
        <f>SUMIFS(Donnees_annuelles!$W$3:$W$188,Donnees_annuelles!$A$3:$A$188,"&gt;="&amp;G103,Donnees_annuelles!$A$3:$A$188,"&lt;="&amp;N103)*L103/ROUNDUP(L103,0)*O103</f>
        <v/>
      </c>
      <c r="Q103" s="13">
        <f>SUMIFS(Donnees_annuelles!$V$3:$V$188,Donnees_annuelles!$A$3:$A$188,"&gt;="&amp;G103,Donnees_annuelles!$A$3:$A$188,"&lt;="&amp;N103)*L103/ROUNDUP(L103,0)</f>
        <v/>
      </c>
      <c r="R103" s="13">
        <f>P103/L103</f>
        <v/>
      </c>
      <c r="S103" s="14">
        <f>SUMIFS(Donnees_annuelles!$D$3:$D$188,Donnees_annuelles!$A$3:$A$188,"&gt;="&amp;G103,Donnees_annuelles!$A$3:$A$188,"&lt;="&amp;N103)*L103/ROUNDUP(L103,0)</f>
        <v/>
      </c>
      <c r="T103" s="14">
        <f>SUMIFS(Donnees_regimes!$N$3:$N$1118,Donnees_regimes!$A$3:$A$1118,C103,Donnees_regimes!$B$3:$B$1118,"&gt;="&amp;G103,Donnees_regimes!$B$3:$B$1118,"&lt;="&amp;N103)*L103/ROUNDUP(L103,0)</f>
        <v/>
      </c>
      <c r="U103" s="14">
        <f>SUMIFS(Donnees_regimes!$O$3:$O$1118,Donnees_regimes!$A$3:$A$1118,C103,Donnees_regimes!$B$3:$B$1118,"&gt;="&amp;G103,Donnees_regimes!$B$3:$B$1118,"&lt;="&amp;N103)*L103/ROUNDUP(L103,0)</f>
        <v/>
      </c>
      <c r="V103" s="14">
        <f>T103+U103</f>
        <v/>
      </c>
      <c r="W103" s="33">
        <f>V103/S103</f>
        <v/>
      </c>
      <c r="X103" s="14">
        <f>S103+U103</f>
        <v/>
      </c>
      <c r="Y103" s="17">
        <f>V103/P103</f>
        <v/>
      </c>
      <c r="Z103" s="14">
        <f>SUMIFS(Donnees_regimes!$Q$3:$Q$1118,Donnees_regimes!$A$3:$A$1118,C103,Donnees_regimes!$B$3:$B$1118,"&gt;="&amp;G103,Donnees_regimes!$B$3:$B$1118,"&lt;="&amp;N103)*L103/ROUNDUP(L103,0)</f>
        <v/>
      </c>
      <c r="AA103" s="77">
        <f>SUMIFS(Regles_regimes!$F$3:$F$2000,Regles_regimes!$A$3:$A$2000,C103,Regles_regimes!$B$3:$B$2000,D103,Regles_regimes!$C$3:$C$2000,MAX(1915,MIN(2025,E103)))</f>
        <v/>
      </c>
      <c r="AB103" s="77">
        <f>IF(AND(SUMIFS(Regles_regimes!$L$3:$L$2000,Regles_regimes!$A$3:$A$2000,C103,Regles_regimes!$B$3:$B$2000,D103,Regles_regimes!$C$3:$C$2000,MAX(1915,MIN(2025,E103)))=1,G103&lt;2009,C103&lt;&gt;"Privé"),MIN(20,L103*4/5),0)</f>
        <v/>
      </c>
      <c r="AC103" s="89">
        <f>SUMIFS(Donnees_regimes!$M$3:$M$1118,Donnees_regimes!$A$3:$A$1118,C103,Donnees_regimes!$B$3:$B$1118,M103)</f>
        <v/>
      </c>
      <c r="AD103" s="14">
        <f>SUMIFS(Donnees_annuelles!$Y$3:$Y$188,Donnees_annuelles!$A$3:$A$188,M103)*SUMIFS(Donnees_generations!$I$3:$I$113,Donnees_generations!$A$3:$A$113,MAX(1915,MIN(2025,E103)))/H103</f>
        <v/>
      </c>
      <c r="AE103" s="14">
        <f>IF(C103="Privé",SUMIFS(Donnees_annuelles!$Y$3:$Y$188,Donnees_annuelles!$A$3:$A$188,M103)*MIN(L103,SUMIFS(Donnees_generations!$I$3:$I$113,Donnees_generations!$A$3:$A$113,MAX(1915,MIN(2025,E103))))/L103,AD103*AC103*MIN(IF(AB103&gt;0,0.8/0.75,1),(L103*4+AB103)/AA103))</f>
        <v/>
      </c>
      <c r="AF103" s="14">
        <f>AE103/12</f>
        <v/>
      </c>
      <c r="AG103" s="77">
        <f>MIN(68,MAX(56,2*INT(K103/2)))</f>
        <v/>
      </c>
      <c r="AH103" s="75">
        <f>(CHOOSE((AG103-56)/2+1,SUMIFS(Donnees_generations!$U$3:$U$113,Donnees_generations!$A$3:$A$113,MAX(1915,MIN(2025,E103))),SUMIFS(Donnees_generations!$V$3:$V$113,Donnees_generations!$A$3:$A$113,MAX(1915,MIN(2025,E103))),SUMIFS(Donnees_generations!$W$3:$W$113,Donnees_generations!$A$3:$A$113,MAX(1915,MIN(2025,E103))),SUMIFS(Donnees_generations!$X$3:$X$113,Donnees_generations!$A$3:$A$113,MAX(1915,MIN(2025,E103))),SUMIFS(Donnees_generations!$Y$3:$Y$113,Donnees_generations!$A$3:$A$113,MAX(1915,MIN(2025,E103))),SUMIFS(Donnees_generations!$Z$3:$Z$113,Donnees_generations!$A$3:$A$113,MAX(1915,MIN(2025,E103))),SUMIFS(Donnees_generations!$AA$3:$AA$113,Donnees_generations!$A$3:$A$113,MAX(1915,MIN(2025,E103))),SUMIFS(Donnees_generations!$AB$3:$AB$113,Donnees_generations!$A$3:$A$113,MAX(1915,MIN(2025,E103))))+CHOOSE((AG103-56)/2+1,SUMIFS(Donnees_generations!$AC$3:$AC$113,Donnees_generations!$A$3:$A$113,MAX(1915,MIN(2025,E103))),SUMIFS(Donnees_generations!$AD$3:$AD$113,Donnees_generations!$A$3:$A$113,MAX(1915,MIN(2025,E103))),SUMIFS(Donnees_generations!$AE$3:$AE$113,Donnees_generations!$A$3:$A$113,MAX(1915,MIN(2025,E103))),SUMIFS(Donnees_generations!$AF$3:$AF$113,Donnees_generations!$A$3:$A$113,MAX(1915,MIN(2025,E103))),SUMIFS(Donnees_generations!$AG$3:$AG$113,Donnees_generations!$A$3:$A$113,MAX(1915,MIN(2025,E103))),SUMIFS(Donnees_generations!$AH$3:$AH$113,Donnees_generations!$A$3:$A$113,MAX(1915,MIN(2025,E103))),SUMIFS(Donnees_generations!$AI$3:$AI$113,Donnees_generations!$A$3:$A$113,MAX(1915,MIN(2025,E103))),SUMIFS(Donnees_generations!$AJ$3:$AJ$113,Donnees_generations!$A$3:$A$113,MAX(1915,MIN(2025,E103)))))/2</f>
        <v/>
      </c>
      <c r="AI103" s="75">
        <f>(CHOOSE(((AG103+2)-56)/2+1,SUMIFS(Donnees_generations!$U$3:$U$113,Donnees_generations!$A$3:$A$113,MAX(1915,MIN(2025,E103))),SUMIFS(Donnees_generations!$V$3:$V$113,Donnees_generations!$A$3:$A$113,MAX(1915,MIN(2025,E103))),SUMIFS(Donnees_generations!$W$3:$W$113,Donnees_generations!$A$3:$A$113,MAX(1915,MIN(2025,E103))),SUMIFS(Donnees_generations!$X$3:$X$113,Donnees_generations!$A$3:$A$113,MAX(1915,MIN(2025,E103))),SUMIFS(Donnees_generations!$Y$3:$Y$113,Donnees_generations!$A$3:$A$113,MAX(1915,MIN(2025,E103))),SUMIFS(Donnees_generations!$Z$3:$Z$113,Donnees_generations!$A$3:$A$113,MAX(1915,MIN(2025,E103))),SUMIFS(Donnees_generations!$AA$3:$AA$113,Donnees_generations!$A$3:$A$113,MAX(1915,MIN(2025,E103))),SUMIFS(Donnees_generations!$AB$3:$AB$113,Donnees_generations!$A$3:$A$113,MAX(1915,MIN(2025,E103))))+CHOOSE(((AG103+2)-56)/2+1,SUMIFS(Donnees_generations!$AC$3:$AC$113,Donnees_generations!$A$3:$A$113,MAX(1915,MIN(2025,E103))),SUMIFS(Donnees_generations!$AD$3:$AD$113,Donnees_generations!$A$3:$A$113,MAX(1915,MIN(2025,E103))),SUMIFS(Donnees_generations!$AE$3:$AE$113,Donnees_generations!$A$3:$A$113,MAX(1915,MIN(2025,E103))),SUMIFS(Donnees_generations!$AF$3:$AF$113,Donnees_generations!$A$3:$A$113,MAX(1915,MIN(2025,E103))),SUMIFS(Donnees_generations!$AG$3:$AG$113,Donnees_generations!$A$3:$A$113,MAX(1915,MIN(2025,E103))),SUMIFS(Donnees_generations!$AH$3:$AH$113,Donnees_generations!$A$3:$A$113,MAX(1915,MIN(2025,E103))),SUMIFS(Donnees_generations!$AI$3:$AI$113,Donnees_generations!$A$3:$A$113,MAX(1915,MIN(2025,E103))),SUMIFS(Donnees_generations!$AJ$3:$AJ$113,Donnees_generations!$A$3:$A$113,MAX(1915,MIN(2025,E103)))))/2</f>
        <v/>
      </c>
      <c r="AJ103" s="8">
        <f>MAX(0,AH103+(AI103-AH103)*(K103-AG103)/2)</f>
        <v/>
      </c>
      <c r="AK103" s="8">
        <f>K103+AJ103</f>
        <v/>
      </c>
      <c r="AL103" s="14">
        <f>AE103*AJ103</f>
        <v/>
      </c>
      <c r="AM103" s="17">
        <f>V103/AL103</f>
        <v/>
      </c>
      <c r="AN103" s="17">
        <f>Z103/AL103</f>
        <v/>
      </c>
      <c r="AO103" s="33">
        <f>IF(V103+Z103=0,0,Z103/(V103+Z103))</f>
        <v/>
      </c>
      <c r="AP103" s="14">
        <f>AL103/V103*100</f>
        <v/>
      </c>
      <c r="AQ103" s="8">
        <f>P103/AL103*1000</f>
        <v/>
      </c>
      <c r="AR103" s="77">
        <f>MAX(N103,M103-1)</f>
        <v/>
      </c>
      <c r="AS103" s="14">
        <f>SUMIFS(Donnees_regimes!$R$3:$R$1118,Donnees_regimes!$A$3:$A$1118,C103,Donnees_regimes!$B$3:$B$1118,"&gt;="&amp;G103,Donnees_regimes!$B$3:$B$1118,"&lt;="&amp;N103)*L103/ROUNDUP(L103,0)*SUMIFS(Donnees_annuelles!$AG$3:$AG$188,Donnees_annuelles!$A$3:$A$188,AR103)*SUMIFS(Donnees_annuelles!$AA$3:$AA$188,Donnees_annuelles!$A$3:$A$188,AR103)</f>
        <v/>
      </c>
      <c r="AT103" s="36">
        <f>AS103/V103</f>
        <v/>
      </c>
      <c r="AU103" s="14">
        <f>AL103</f>
        <v/>
      </c>
      <c r="AV103" s="39">
        <f>AS103-AL103</f>
        <v/>
      </c>
      <c r="AW103" s="9">
        <f>AS103/AL103-1</f>
        <v/>
      </c>
      <c r="AX103" s="14">
        <f>AS103/AJ103/12</f>
        <v/>
      </c>
      <c r="AY103" s="14">
        <f>AF103</f>
        <v/>
      </c>
      <c r="AZ103" s="39">
        <f>AX103-AF103</f>
        <v/>
      </c>
      <c r="BA103" s="14">
        <f>SUMIFS(Donnees_regimes!$S$3:$S$1118,Donnees_regimes!$A$3:$A$1118,C103,Donnees_regimes!$B$3:$B$1118,"&gt;="&amp;G103,Donnees_regimes!$B$3:$B$1118,"&lt;="&amp;N103)*L103/ROUNDUP(L103,0)*SUMIFS(Donnees_annuelles!$AH$3:$AH$188,Donnees_annuelles!$A$3:$A$188,AR103)*SUMIFS(Donnees_annuelles!$AA$3:$AA$188,Donnees_annuelles!$A$3:$A$188,AR103)</f>
        <v/>
      </c>
      <c r="BB103" s="39">
        <f>BA103-AL103</f>
        <v/>
      </c>
      <c r="BC103" s="7">
        <f>IF(M103+AJ103&gt;2026,IF(G103&gt;2026,"entièrement projeté","en partie projeté"),"observé")</f>
        <v/>
      </c>
    </row>
    <row r="104">
      <c r="A104" s="7" t="inlineStr">
        <is>
          <t>Génération silencieuse</t>
        </is>
      </c>
      <c r="B104" s="84" t="inlineStr">
        <is>
          <t>Fonction publique d'État</t>
        </is>
      </c>
      <c r="C104" s="7">
        <f>IF(G104&gt;=SUMIFS(Regimes!$C$5:$C$10,Regimes!$A$5:$A$10,B104),"Privé",B104)</f>
        <v/>
      </c>
      <c r="D104" s="7">
        <f>INDEX(Regimes!$D$5:$D$10,MATCH(C104,Regimes!$A$5:$A$10,0))</f>
        <v/>
      </c>
      <c r="E104" s="88" t="n">
        <v>1931</v>
      </c>
      <c r="F104" s="8">
        <f>Donnees_generations!C19</f>
        <v/>
      </c>
      <c r="G104" s="77">
        <f>Donnees_generations!D19</f>
        <v/>
      </c>
      <c r="H104" s="8">
        <f>SUMIFS(Donnees_generations!$S$3:$S$113,Donnees_generations!$A$3:$A$113,MAX(1915,MIN(2025,E104)))</f>
        <v/>
      </c>
      <c r="I104" s="8">
        <f>SUMIFS(Donnees_generations!$T$3:$T$113,Donnees_generations!$A$3:$A$113,MAX(1915,MIN(2025,E104)))</f>
        <v/>
      </c>
      <c r="J104" s="8">
        <f>IF(G104&gt;=2000,MAX(I104,Parametres!$B$3),I104)</f>
        <v/>
      </c>
      <c r="K104" s="8">
        <f>IF(C104="Privé",J104,SUMIFS(Regles_regimes!$J$3:$J$2000,Regles_regimes!$A$3:$A$2000,C104,Regles_regimes!$B$3:$B$2000,D104,Regles_regimes!$C$3:$C$2000,MAX(1915,MIN(2025,E104))))</f>
        <v/>
      </c>
      <c r="L104" s="8">
        <f>IF(C104="Privé",H104,(K104-F104)*H104/(J104-F104))</f>
        <v/>
      </c>
      <c r="M104" s="77">
        <f>INT(E104+K104)</f>
        <v/>
      </c>
      <c r="N104" s="77">
        <f>G104+ROUNDUP(L104,0)-1</f>
        <v/>
      </c>
      <c r="O104" s="89">
        <f>SUMIFS(Regles_regimes!$K$3:$K$2000,Regles_regimes!$A$3:$A$2000,C104,Regles_regimes!$B$3:$B$2000,D104,Regles_regimes!$C$3:$C$2000,MAX(1915,MIN(2025,E104)))</f>
        <v/>
      </c>
      <c r="P104" s="13">
        <f>SUMIFS(Donnees_annuelles!$W$3:$W$188,Donnees_annuelles!$A$3:$A$188,"&gt;="&amp;G104,Donnees_annuelles!$A$3:$A$188,"&lt;="&amp;N104)*L104/ROUNDUP(L104,0)*O104</f>
        <v/>
      </c>
      <c r="Q104" s="13">
        <f>SUMIFS(Donnees_annuelles!$V$3:$V$188,Donnees_annuelles!$A$3:$A$188,"&gt;="&amp;G104,Donnees_annuelles!$A$3:$A$188,"&lt;="&amp;N104)*L104/ROUNDUP(L104,0)</f>
        <v/>
      </c>
      <c r="R104" s="13">
        <f>P104/L104</f>
        <v/>
      </c>
      <c r="S104" s="14">
        <f>SUMIFS(Donnees_annuelles!$D$3:$D$188,Donnees_annuelles!$A$3:$A$188,"&gt;="&amp;G104,Donnees_annuelles!$A$3:$A$188,"&lt;="&amp;N104)*L104/ROUNDUP(L104,0)</f>
        <v/>
      </c>
      <c r="T104" s="14">
        <f>SUMIFS(Donnees_regimes!$N$3:$N$1118,Donnees_regimes!$A$3:$A$1118,C104,Donnees_regimes!$B$3:$B$1118,"&gt;="&amp;G104,Donnees_regimes!$B$3:$B$1118,"&lt;="&amp;N104)*L104/ROUNDUP(L104,0)</f>
        <v/>
      </c>
      <c r="U104" s="14">
        <f>SUMIFS(Donnees_regimes!$O$3:$O$1118,Donnees_regimes!$A$3:$A$1118,C104,Donnees_regimes!$B$3:$B$1118,"&gt;="&amp;G104,Donnees_regimes!$B$3:$B$1118,"&lt;="&amp;N104)*L104/ROUNDUP(L104,0)</f>
        <v/>
      </c>
      <c r="V104" s="14">
        <f>T104+U104</f>
        <v/>
      </c>
      <c r="W104" s="33">
        <f>V104/S104</f>
        <v/>
      </c>
      <c r="X104" s="14">
        <f>S104+U104</f>
        <v/>
      </c>
      <c r="Y104" s="17">
        <f>V104/P104</f>
        <v/>
      </c>
      <c r="Z104" s="14">
        <f>SUMIFS(Donnees_regimes!$Q$3:$Q$1118,Donnees_regimes!$A$3:$A$1118,C104,Donnees_regimes!$B$3:$B$1118,"&gt;="&amp;G104,Donnees_regimes!$B$3:$B$1118,"&lt;="&amp;N104)*L104/ROUNDUP(L104,0)</f>
        <v/>
      </c>
      <c r="AA104" s="77">
        <f>SUMIFS(Regles_regimes!$F$3:$F$2000,Regles_regimes!$A$3:$A$2000,C104,Regles_regimes!$B$3:$B$2000,D104,Regles_regimes!$C$3:$C$2000,MAX(1915,MIN(2025,E104)))</f>
        <v/>
      </c>
      <c r="AB104" s="77">
        <f>IF(AND(SUMIFS(Regles_regimes!$L$3:$L$2000,Regles_regimes!$A$3:$A$2000,C104,Regles_regimes!$B$3:$B$2000,D104,Regles_regimes!$C$3:$C$2000,MAX(1915,MIN(2025,E104)))=1,G104&lt;2009,C104&lt;&gt;"Privé"),MIN(20,L104*4/5),0)</f>
        <v/>
      </c>
      <c r="AC104" s="89">
        <f>SUMIFS(Donnees_regimes!$M$3:$M$1118,Donnees_regimes!$A$3:$A$1118,C104,Donnees_regimes!$B$3:$B$1118,M104)</f>
        <v/>
      </c>
      <c r="AD104" s="14">
        <f>SUMIFS(Donnees_annuelles!$Y$3:$Y$188,Donnees_annuelles!$A$3:$A$188,M104)*SUMIFS(Donnees_generations!$I$3:$I$113,Donnees_generations!$A$3:$A$113,MAX(1915,MIN(2025,E104)))/H104</f>
        <v/>
      </c>
      <c r="AE104" s="14">
        <f>IF(C104="Privé",SUMIFS(Donnees_annuelles!$Y$3:$Y$188,Donnees_annuelles!$A$3:$A$188,M104)*MIN(L104,SUMIFS(Donnees_generations!$I$3:$I$113,Donnees_generations!$A$3:$A$113,MAX(1915,MIN(2025,E104))))/L104,AD104*AC104*MIN(IF(AB104&gt;0,0.8/0.75,1),(L104*4+AB104)/AA104))</f>
        <v/>
      </c>
      <c r="AF104" s="14">
        <f>AE104/12</f>
        <v/>
      </c>
      <c r="AG104" s="77">
        <f>MIN(68,MAX(56,2*INT(K104/2)))</f>
        <v/>
      </c>
      <c r="AH104" s="75">
        <f>(CHOOSE((AG104-56)/2+1,SUMIFS(Donnees_generations!$U$3:$U$113,Donnees_generations!$A$3:$A$113,MAX(1915,MIN(2025,E104))),SUMIFS(Donnees_generations!$V$3:$V$113,Donnees_generations!$A$3:$A$113,MAX(1915,MIN(2025,E104))),SUMIFS(Donnees_generations!$W$3:$W$113,Donnees_generations!$A$3:$A$113,MAX(1915,MIN(2025,E104))),SUMIFS(Donnees_generations!$X$3:$X$113,Donnees_generations!$A$3:$A$113,MAX(1915,MIN(2025,E104))),SUMIFS(Donnees_generations!$Y$3:$Y$113,Donnees_generations!$A$3:$A$113,MAX(1915,MIN(2025,E104))),SUMIFS(Donnees_generations!$Z$3:$Z$113,Donnees_generations!$A$3:$A$113,MAX(1915,MIN(2025,E104))),SUMIFS(Donnees_generations!$AA$3:$AA$113,Donnees_generations!$A$3:$A$113,MAX(1915,MIN(2025,E104))),SUMIFS(Donnees_generations!$AB$3:$AB$113,Donnees_generations!$A$3:$A$113,MAX(1915,MIN(2025,E104))))+CHOOSE((AG104-56)/2+1,SUMIFS(Donnees_generations!$AC$3:$AC$113,Donnees_generations!$A$3:$A$113,MAX(1915,MIN(2025,E104))),SUMIFS(Donnees_generations!$AD$3:$AD$113,Donnees_generations!$A$3:$A$113,MAX(1915,MIN(2025,E104))),SUMIFS(Donnees_generations!$AE$3:$AE$113,Donnees_generations!$A$3:$A$113,MAX(1915,MIN(2025,E104))),SUMIFS(Donnees_generations!$AF$3:$AF$113,Donnees_generations!$A$3:$A$113,MAX(1915,MIN(2025,E104))),SUMIFS(Donnees_generations!$AG$3:$AG$113,Donnees_generations!$A$3:$A$113,MAX(1915,MIN(2025,E104))),SUMIFS(Donnees_generations!$AH$3:$AH$113,Donnees_generations!$A$3:$A$113,MAX(1915,MIN(2025,E104))),SUMIFS(Donnees_generations!$AI$3:$AI$113,Donnees_generations!$A$3:$A$113,MAX(1915,MIN(2025,E104))),SUMIFS(Donnees_generations!$AJ$3:$AJ$113,Donnees_generations!$A$3:$A$113,MAX(1915,MIN(2025,E104)))))/2</f>
        <v/>
      </c>
      <c r="AI104" s="75">
        <f>(CHOOSE(((AG104+2)-56)/2+1,SUMIFS(Donnees_generations!$U$3:$U$113,Donnees_generations!$A$3:$A$113,MAX(1915,MIN(2025,E104))),SUMIFS(Donnees_generations!$V$3:$V$113,Donnees_generations!$A$3:$A$113,MAX(1915,MIN(2025,E104))),SUMIFS(Donnees_generations!$W$3:$W$113,Donnees_generations!$A$3:$A$113,MAX(1915,MIN(2025,E104))),SUMIFS(Donnees_generations!$X$3:$X$113,Donnees_generations!$A$3:$A$113,MAX(1915,MIN(2025,E104))),SUMIFS(Donnees_generations!$Y$3:$Y$113,Donnees_generations!$A$3:$A$113,MAX(1915,MIN(2025,E104))),SUMIFS(Donnees_generations!$Z$3:$Z$113,Donnees_generations!$A$3:$A$113,MAX(1915,MIN(2025,E104))),SUMIFS(Donnees_generations!$AA$3:$AA$113,Donnees_generations!$A$3:$A$113,MAX(1915,MIN(2025,E104))),SUMIFS(Donnees_generations!$AB$3:$AB$113,Donnees_generations!$A$3:$A$113,MAX(1915,MIN(2025,E104))))+CHOOSE(((AG104+2)-56)/2+1,SUMIFS(Donnees_generations!$AC$3:$AC$113,Donnees_generations!$A$3:$A$113,MAX(1915,MIN(2025,E104))),SUMIFS(Donnees_generations!$AD$3:$AD$113,Donnees_generations!$A$3:$A$113,MAX(1915,MIN(2025,E104))),SUMIFS(Donnees_generations!$AE$3:$AE$113,Donnees_generations!$A$3:$A$113,MAX(1915,MIN(2025,E104))),SUMIFS(Donnees_generations!$AF$3:$AF$113,Donnees_generations!$A$3:$A$113,MAX(1915,MIN(2025,E104))),SUMIFS(Donnees_generations!$AG$3:$AG$113,Donnees_generations!$A$3:$A$113,MAX(1915,MIN(2025,E104))),SUMIFS(Donnees_generations!$AH$3:$AH$113,Donnees_generations!$A$3:$A$113,MAX(1915,MIN(2025,E104))),SUMIFS(Donnees_generations!$AI$3:$AI$113,Donnees_generations!$A$3:$A$113,MAX(1915,MIN(2025,E104))),SUMIFS(Donnees_generations!$AJ$3:$AJ$113,Donnees_generations!$A$3:$A$113,MAX(1915,MIN(2025,E104)))))/2</f>
        <v/>
      </c>
      <c r="AJ104" s="8">
        <f>MAX(0,AH104+(AI104-AH104)*(K104-AG104)/2)</f>
        <v/>
      </c>
      <c r="AK104" s="8">
        <f>K104+AJ104</f>
        <v/>
      </c>
      <c r="AL104" s="14">
        <f>AE104*AJ104</f>
        <v/>
      </c>
      <c r="AM104" s="17">
        <f>V104/AL104</f>
        <v/>
      </c>
      <c r="AN104" s="17">
        <f>Z104/AL104</f>
        <v/>
      </c>
      <c r="AO104" s="33">
        <f>IF(V104+Z104=0,0,Z104/(V104+Z104))</f>
        <v/>
      </c>
      <c r="AP104" s="14">
        <f>AL104/V104*100</f>
        <v/>
      </c>
      <c r="AQ104" s="8">
        <f>P104/AL104*1000</f>
        <v/>
      </c>
      <c r="AR104" s="77">
        <f>MAX(N104,M104-1)</f>
        <v/>
      </c>
      <c r="AS104" s="14">
        <f>SUMIFS(Donnees_regimes!$R$3:$R$1118,Donnees_regimes!$A$3:$A$1118,C104,Donnees_regimes!$B$3:$B$1118,"&gt;="&amp;G104,Donnees_regimes!$B$3:$B$1118,"&lt;="&amp;N104)*L104/ROUNDUP(L104,0)*SUMIFS(Donnees_annuelles!$AG$3:$AG$188,Donnees_annuelles!$A$3:$A$188,AR104)*SUMIFS(Donnees_annuelles!$AA$3:$AA$188,Donnees_annuelles!$A$3:$A$188,AR104)</f>
        <v/>
      </c>
      <c r="AT104" s="36">
        <f>AS104/V104</f>
        <v/>
      </c>
      <c r="AU104" s="14">
        <f>AL104</f>
        <v/>
      </c>
      <c r="AV104" s="39">
        <f>AS104-AL104</f>
        <v/>
      </c>
      <c r="AW104" s="9">
        <f>AS104/AL104-1</f>
        <v/>
      </c>
      <c r="AX104" s="14">
        <f>AS104/AJ104/12</f>
        <v/>
      </c>
      <c r="AY104" s="14">
        <f>AF104</f>
        <v/>
      </c>
      <c r="AZ104" s="39">
        <f>AX104-AF104</f>
        <v/>
      </c>
      <c r="BA104" s="14">
        <f>SUMIFS(Donnees_regimes!$S$3:$S$1118,Donnees_regimes!$A$3:$A$1118,C104,Donnees_regimes!$B$3:$B$1118,"&gt;="&amp;G104,Donnees_regimes!$B$3:$B$1118,"&lt;="&amp;N104)*L104/ROUNDUP(L104,0)*SUMIFS(Donnees_annuelles!$AH$3:$AH$188,Donnees_annuelles!$A$3:$A$188,AR104)*SUMIFS(Donnees_annuelles!$AA$3:$AA$188,Donnees_annuelles!$A$3:$A$188,AR104)</f>
        <v/>
      </c>
      <c r="BB104" s="39">
        <f>BA104-AL104</f>
        <v/>
      </c>
      <c r="BC104" s="7">
        <f>IF(M104+AJ104&gt;2026,IF(G104&gt;2026,"entièrement projeté","en partie projeté"),"observé")</f>
        <v/>
      </c>
    </row>
    <row r="105">
      <c r="A105" s="7" t="inlineStr">
        <is>
          <t>Génération silencieuse</t>
        </is>
      </c>
      <c r="B105" s="84" t="inlineStr">
        <is>
          <t>Fonction publique d'État</t>
        </is>
      </c>
      <c r="C105" s="7">
        <f>IF(G105&gt;=SUMIFS(Regimes!$C$5:$C$10,Regimes!$A$5:$A$10,B105),"Privé",B105)</f>
        <v/>
      </c>
      <c r="D105" s="7">
        <f>INDEX(Regimes!$D$5:$D$10,MATCH(C105,Regimes!$A$5:$A$10,0))</f>
        <v/>
      </c>
      <c r="E105" s="88" t="n">
        <v>1932</v>
      </c>
      <c r="F105" s="8">
        <f>Donnees_generations!C20</f>
        <v/>
      </c>
      <c r="G105" s="77">
        <f>Donnees_generations!D20</f>
        <v/>
      </c>
      <c r="H105" s="8">
        <f>SUMIFS(Donnees_generations!$S$3:$S$113,Donnees_generations!$A$3:$A$113,MAX(1915,MIN(2025,E105)))</f>
        <v/>
      </c>
      <c r="I105" s="8">
        <f>SUMIFS(Donnees_generations!$T$3:$T$113,Donnees_generations!$A$3:$A$113,MAX(1915,MIN(2025,E105)))</f>
        <v/>
      </c>
      <c r="J105" s="8">
        <f>IF(G105&gt;=2000,MAX(I105,Parametres!$B$3),I105)</f>
        <v/>
      </c>
      <c r="K105" s="8">
        <f>IF(C105="Privé",J105,SUMIFS(Regles_regimes!$J$3:$J$2000,Regles_regimes!$A$3:$A$2000,C105,Regles_regimes!$B$3:$B$2000,D105,Regles_regimes!$C$3:$C$2000,MAX(1915,MIN(2025,E105))))</f>
        <v/>
      </c>
      <c r="L105" s="8">
        <f>IF(C105="Privé",H105,(K105-F105)*H105/(J105-F105))</f>
        <v/>
      </c>
      <c r="M105" s="77">
        <f>INT(E105+K105)</f>
        <v/>
      </c>
      <c r="N105" s="77">
        <f>G105+ROUNDUP(L105,0)-1</f>
        <v/>
      </c>
      <c r="O105" s="89">
        <f>SUMIFS(Regles_regimes!$K$3:$K$2000,Regles_regimes!$A$3:$A$2000,C105,Regles_regimes!$B$3:$B$2000,D105,Regles_regimes!$C$3:$C$2000,MAX(1915,MIN(2025,E105)))</f>
        <v/>
      </c>
      <c r="P105" s="13">
        <f>SUMIFS(Donnees_annuelles!$W$3:$W$188,Donnees_annuelles!$A$3:$A$188,"&gt;="&amp;G105,Donnees_annuelles!$A$3:$A$188,"&lt;="&amp;N105)*L105/ROUNDUP(L105,0)*O105</f>
        <v/>
      </c>
      <c r="Q105" s="13">
        <f>SUMIFS(Donnees_annuelles!$V$3:$V$188,Donnees_annuelles!$A$3:$A$188,"&gt;="&amp;G105,Donnees_annuelles!$A$3:$A$188,"&lt;="&amp;N105)*L105/ROUNDUP(L105,0)</f>
        <v/>
      </c>
      <c r="R105" s="13">
        <f>P105/L105</f>
        <v/>
      </c>
      <c r="S105" s="14">
        <f>SUMIFS(Donnees_annuelles!$D$3:$D$188,Donnees_annuelles!$A$3:$A$188,"&gt;="&amp;G105,Donnees_annuelles!$A$3:$A$188,"&lt;="&amp;N105)*L105/ROUNDUP(L105,0)</f>
        <v/>
      </c>
      <c r="T105" s="14">
        <f>SUMIFS(Donnees_regimes!$N$3:$N$1118,Donnees_regimes!$A$3:$A$1118,C105,Donnees_regimes!$B$3:$B$1118,"&gt;="&amp;G105,Donnees_regimes!$B$3:$B$1118,"&lt;="&amp;N105)*L105/ROUNDUP(L105,0)</f>
        <v/>
      </c>
      <c r="U105" s="14">
        <f>SUMIFS(Donnees_regimes!$O$3:$O$1118,Donnees_regimes!$A$3:$A$1118,C105,Donnees_regimes!$B$3:$B$1118,"&gt;="&amp;G105,Donnees_regimes!$B$3:$B$1118,"&lt;="&amp;N105)*L105/ROUNDUP(L105,0)</f>
        <v/>
      </c>
      <c r="V105" s="14">
        <f>T105+U105</f>
        <v/>
      </c>
      <c r="W105" s="33">
        <f>V105/S105</f>
        <v/>
      </c>
      <c r="X105" s="14">
        <f>S105+U105</f>
        <v/>
      </c>
      <c r="Y105" s="17">
        <f>V105/P105</f>
        <v/>
      </c>
      <c r="Z105" s="14">
        <f>SUMIFS(Donnees_regimes!$Q$3:$Q$1118,Donnees_regimes!$A$3:$A$1118,C105,Donnees_regimes!$B$3:$B$1118,"&gt;="&amp;G105,Donnees_regimes!$B$3:$B$1118,"&lt;="&amp;N105)*L105/ROUNDUP(L105,0)</f>
        <v/>
      </c>
      <c r="AA105" s="77">
        <f>SUMIFS(Regles_regimes!$F$3:$F$2000,Regles_regimes!$A$3:$A$2000,C105,Regles_regimes!$B$3:$B$2000,D105,Regles_regimes!$C$3:$C$2000,MAX(1915,MIN(2025,E105)))</f>
        <v/>
      </c>
      <c r="AB105" s="77">
        <f>IF(AND(SUMIFS(Regles_regimes!$L$3:$L$2000,Regles_regimes!$A$3:$A$2000,C105,Regles_regimes!$B$3:$B$2000,D105,Regles_regimes!$C$3:$C$2000,MAX(1915,MIN(2025,E105)))=1,G105&lt;2009,C105&lt;&gt;"Privé"),MIN(20,L105*4/5),0)</f>
        <v/>
      </c>
      <c r="AC105" s="89">
        <f>SUMIFS(Donnees_regimes!$M$3:$M$1118,Donnees_regimes!$A$3:$A$1118,C105,Donnees_regimes!$B$3:$B$1118,M105)</f>
        <v/>
      </c>
      <c r="AD105" s="14">
        <f>SUMIFS(Donnees_annuelles!$Y$3:$Y$188,Donnees_annuelles!$A$3:$A$188,M105)*SUMIFS(Donnees_generations!$I$3:$I$113,Donnees_generations!$A$3:$A$113,MAX(1915,MIN(2025,E105)))/H105</f>
        <v/>
      </c>
      <c r="AE105" s="14">
        <f>IF(C105="Privé",SUMIFS(Donnees_annuelles!$Y$3:$Y$188,Donnees_annuelles!$A$3:$A$188,M105)*MIN(L105,SUMIFS(Donnees_generations!$I$3:$I$113,Donnees_generations!$A$3:$A$113,MAX(1915,MIN(2025,E105))))/L105,AD105*AC105*MIN(IF(AB105&gt;0,0.8/0.75,1),(L105*4+AB105)/AA105))</f>
        <v/>
      </c>
      <c r="AF105" s="14">
        <f>AE105/12</f>
        <v/>
      </c>
      <c r="AG105" s="77">
        <f>MIN(68,MAX(56,2*INT(K105/2)))</f>
        <v/>
      </c>
      <c r="AH105" s="75">
        <f>(CHOOSE((AG105-56)/2+1,SUMIFS(Donnees_generations!$U$3:$U$113,Donnees_generations!$A$3:$A$113,MAX(1915,MIN(2025,E105))),SUMIFS(Donnees_generations!$V$3:$V$113,Donnees_generations!$A$3:$A$113,MAX(1915,MIN(2025,E105))),SUMIFS(Donnees_generations!$W$3:$W$113,Donnees_generations!$A$3:$A$113,MAX(1915,MIN(2025,E105))),SUMIFS(Donnees_generations!$X$3:$X$113,Donnees_generations!$A$3:$A$113,MAX(1915,MIN(2025,E105))),SUMIFS(Donnees_generations!$Y$3:$Y$113,Donnees_generations!$A$3:$A$113,MAX(1915,MIN(2025,E105))),SUMIFS(Donnees_generations!$Z$3:$Z$113,Donnees_generations!$A$3:$A$113,MAX(1915,MIN(2025,E105))),SUMIFS(Donnees_generations!$AA$3:$AA$113,Donnees_generations!$A$3:$A$113,MAX(1915,MIN(2025,E105))),SUMIFS(Donnees_generations!$AB$3:$AB$113,Donnees_generations!$A$3:$A$113,MAX(1915,MIN(2025,E105))))+CHOOSE((AG105-56)/2+1,SUMIFS(Donnees_generations!$AC$3:$AC$113,Donnees_generations!$A$3:$A$113,MAX(1915,MIN(2025,E105))),SUMIFS(Donnees_generations!$AD$3:$AD$113,Donnees_generations!$A$3:$A$113,MAX(1915,MIN(2025,E105))),SUMIFS(Donnees_generations!$AE$3:$AE$113,Donnees_generations!$A$3:$A$113,MAX(1915,MIN(2025,E105))),SUMIFS(Donnees_generations!$AF$3:$AF$113,Donnees_generations!$A$3:$A$113,MAX(1915,MIN(2025,E105))),SUMIFS(Donnees_generations!$AG$3:$AG$113,Donnees_generations!$A$3:$A$113,MAX(1915,MIN(2025,E105))),SUMIFS(Donnees_generations!$AH$3:$AH$113,Donnees_generations!$A$3:$A$113,MAX(1915,MIN(2025,E105))),SUMIFS(Donnees_generations!$AI$3:$AI$113,Donnees_generations!$A$3:$A$113,MAX(1915,MIN(2025,E105))),SUMIFS(Donnees_generations!$AJ$3:$AJ$113,Donnees_generations!$A$3:$A$113,MAX(1915,MIN(2025,E105)))))/2</f>
        <v/>
      </c>
      <c r="AI105" s="75">
        <f>(CHOOSE(((AG105+2)-56)/2+1,SUMIFS(Donnees_generations!$U$3:$U$113,Donnees_generations!$A$3:$A$113,MAX(1915,MIN(2025,E105))),SUMIFS(Donnees_generations!$V$3:$V$113,Donnees_generations!$A$3:$A$113,MAX(1915,MIN(2025,E105))),SUMIFS(Donnees_generations!$W$3:$W$113,Donnees_generations!$A$3:$A$113,MAX(1915,MIN(2025,E105))),SUMIFS(Donnees_generations!$X$3:$X$113,Donnees_generations!$A$3:$A$113,MAX(1915,MIN(2025,E105))),SUMIFS(Donnees_generations!$Y$3:$Y$113,Donnees_generations!$A$3:$A$113,MAX(1915,MIN(2025,E105))),SUMIFS(Donnees_generations!$Z$3:$Z$113,Donnees_generations!$A$3:$A$113,MAX(1915,MIN(2025,E105))),SUMIFS(Donnees_generations!$AA$3:$AA$113,Donnees_generations!$A$3:$A$113,MAX(1915,MIN(2025,E105))),SUMIFS(Donnees_generations!$AB$3:$AB$113,Donnees_generations!$A$3:$A$113,MAX(1915,MIN(2025,E105))))+CHOOSE(((AG105+2)-56)/2+1,SUMIFS(Donnees_generations!$AC$3:$AC$113,Donnees_generations!$A$3:$A$113,MAX(1915,MIN(2025,E105))),SUMIFS(Donnees_generations!$AD$3:$AD$113,Donnees_generations!$A$3:$A$113,MAX(1915,MIN(2025,E105))),SUMIFS(Donnees_generations!$AE$3:$AE$113,Donnees_generations!$A$3:$A$113,MAX(1915,MIN(2025,E105))),SUMIFS(Donnees_generations!$AF$3:$AF$113,Donnees_generations!$A$3:$A$113,MAX(1915,MIN(2025,E105))),SUMIFS(Donnees_generations!$AG$3:$AG$113,Donnees_generations!$A$3:$A$113,MAX(1915,MIN(2025,E105))),SUMIFS(Donnees_generations!$AH$3:$AH$113,Donnees_generations!$A$3:$A$113,MAX(1915,MIN(2025,E105))),SUMIFS(Donnees_generations!$AI$3:$AI$113,Donnees_generations!$A$3:$A$113,MAX(1915,MIN(2025,E105))),SUMIFS(Donnees_generations!$AJ$3:$AJ$113,Donnees_generations!$A$3:$A$113,MAX(1915,MIN(2025,E105)))))/2</f>
        <v/>
      </c>
      <c r="AJ105" s="8">
        <f>MAX(0,AH105+(AI105-AH105)*(K105-AG105)/2)</f>
        <v/>
      </c>
      <c r="AK105" s="8">
        <f>K105+AJ105</f>
        <v/>
      </c>
      <c r="AL105" s="14">
        <f>AE105*AJ105</f>
        <v/>
      </c>
      <c r="AM105" s="17">
        <f>V105/AL105</f>
        <v/>
      </c>
      <c r="AN105" s="17">
        <f>Z105/AL105</f>
        <v/>
      </c>
      <c r="AO105" s="33">
        <f>IF(V105+Z105=0,0,Z105/(V105+Z105))</f>
        <v/>
      </c>
      <c r="AP105" s="14">
        <f>AL105/V105*100</f>
        <v/>
      </c>
      <c r="AQ105" s="8">
        <f>P105/AL105*1000</f>
        <v/>
      </c>
      <c r="AR105" s="77">
        <f>MAX(N105,M105-1)</f>
        <v/>
      </c>
      <c r="AS105" s="14">
        <f>SUMIFS(Donnees_regimes!$R$3:$R$1118,Donnees_regimes!$A$3:$A$1118,C105,Donnees_regimes!$B$3:$B$1118,"&gt;="&amp;G105,Donnees_regimes!$B$3:$B$1118,"&lt;="&amp;N105)*L105/ROUNDUP(L105,0)*SUMIFS(Donnees_annuelles!$AG$3:$AG$188,Donnees_annuelles!$A$3:$A$188,AR105)*SUMIFS(Donnees_annuelles!$AA$3:$AA$188,Donnees_annuelles!$A$3:$A$188,AR105)</f>
        <v/>
      </c>
      <c r="AT105" s="36">
        <f>AS105/V105</f>
        <v/>
      </c>
      <c r="AU105" s="14">
        <f>AL105</f>
        <v/>
      </c>
      <c r="AV105" s="39">
        <f>AS105-AL105</f>
        <v/>
      </c>
      <c r="AW105" s="9">
        <f>AS105/AL105-1</f>
        <v/>
      </c>
      <c r="AX105" s="14">
        <f>AS105/AJ105/12</f>
        <v/>
      </c>
      <c r="AY105" s="14">
        <f>AF105</f>
        <v/>
      </c>
      <c r="AZ105" s="39">
        <f>AX105-AF105</f>
        <v/>
      </c>
      <c r="BA105" s="14">
        <f>SUMIFS(Donnees_regimes!$S$3:$S$1118,Donnees_regimes!$A$3:$A$1118,C105,Donnees_regimes!$B$3:$B$1118,"&gt;="&amp;G105,Donnees_regimes!$B$3:$B$1118,"&lt;="&amp;N105)*L105/ROUNDUP(L105,0)*SUMIFS(Donnees_annuelles!$AH$3:$AH$188,Donnees_annuelles!$A$3:$A$188,AR105)*SUMIFS(Donnees_annuelles!$AA$3:$AA$188,Donnees_annuelles!$A$3:$A$188,AR105)</f>
        <v/>
      </c>
      <c r="BB105" s="39">
        <f>BA105-AL105</f>
        <v/>
      </c>
      <c r="BC105" s="7">
        <f>IF(M105+AJ105&gt;2026,IF(G105&gt;2026,"entièrement projeté","en partie projeté"),"observé")</f>
        <v/>
      </c>
    </row>
    <row r="106">
      <c r="A106" s="7" t="inlineStr">
        <is>
          <t>Génération silencieuse</t>
        </is>
      </c>
      <c r="B106" s="84" t="inlineStr">
        <is>
          <t>Fonction publique d'État</t>
        </is>
      </c>
      <c r="C106" s="7">
        <f>IF(G106&gt;=SUMIFS(Regimes!$C$5:$C$10,Regimes!$A$5:$A$10,B106),"Privé",B106)</f>
        <v/>
      </c>
      <c r="D106" s="7">
        <f>INDEX(Regimes!$D$5:$D$10,MATCH(C106,Regimes!$A$5:$A$10,0))</f>
        <v/>
      </c>
      <c r="E106" s="88" t="n">
        <v>1933</v>
      </c>
      <c r="F106" s="8">
        <f>Donnees_generations!C21</f>
        <v/>
      </c>
      <c r="G106" s="77">
        <f>Donnees_generations!D21</f>
        <v/>
      </c>
      <c r="H106" s="8">
        <f>SUMIFS(Donnees_generations!$S$3:$S$113,Donnees_generations!$A$3:$A$113,MAX(1915,MIN(2025,E106)))</f>
        <v/>
      </c>
      <c r="I106" s="8">
        <f>SUMIFS(Donnees_generations!$T$3:$T$113,Donnees_generations!$A$3:$A$113,MAX(1915,MIN(2025,E106)))</f>
        <v/>
      </c>
      <c r="J106" s="8">
        <f>IF(G106&gt;=2000,MAX(I106,Parametres!$B$3),I106)</f>
        <v/>
      </c>
      <c r="K106" s="8">
        <f>IF(C106="Privé",J106,SUMIFS(Regles_regimes!$J$3:$J$2000,Regles_regimes!$A$3:$A$2000,C106,Regles_regimes!$B$3:$B$2000,D106,Regles_regimes!$C$3:$C$2000,MAX(1915,MIN(2025,E106))))</f>
        <v/>
      </c>
      <c r="L106" s="8">
        <f>IF(C106="Privé",H106,(K106-F106)*H106/(J106-F106))</f>
        <v/>
      </c>
      <c r="M106" s="77">
        <f>INT(E106+K106)</f>
        <v/>
      </c>
      <c r="N106" s="77">
        <f>G106+ROUNDUP(L106,0)-1</f>
        <v/>
      </c>
      <c r="O106" s="89">
        <f>SUMIFS(Regles_regimes!$K$3:$K$2000,Regles_regimes!$A$3:$A$2000,C106,Regles_regimes!$B$3:$B$2000,D106,Regles_regimes!$C$3:$C$2000,MAX(1915,MIN(2025,E106)))</f>
        <v/>
      </c>
      <c r="P106" s="13">
        <f>SUMIFS(Donnees_annuelles!$W$3:$W$188,Donnees_annuelles!$A$3:$A$188,"&gt;="&amp;G106,Donnees_annuelles!$A$3:$A$188,"&lt;="&amp;N106)*L106/ROUNDUP(L106,0)*O106</f>
        <v/>
      </c>
      <c r="Q106" s="13">
        <f>SUMIFS(Donnees_annuelles!$V$3:$V$188,Donnees_annuelles!$A$3:$A$188,"&gt;="&amp;G106,Donnees_annuelles!$A$3:$A$188,"&lt;="&amp;N106)*L106/ROUNDUP(L106,0)</f>
        <v/>
      </c>
      <c r="R106" s="13">
        <f>P106/L106</f>
        <v/>
      </c>
      <c r="S106" s="14">
        <f>SUMIFS(Donnees_annuelles!$D$3:$D$188,Donnees_annuelles!$A$3:$A$188,"&gt;="&amp;G106,Donnees_annuelles!$A$3:$A$188,"&lt;="&amp;N106)*L106/ROUNDUP(L106,0)</f>
        <v/>
      </c>
      <c r="T106" s="14">
        <f>SUMIFS(Donnees_regimes!$N$3:$N$1118,Donnees_regimes!$A$3:$A$1118,C106,Donnees_regimes!$B$3:$B$1118,"&gt;="&amp;G106,Donnees_regimes!$B$3:$B$1118,"&lt;="&amp;N106)*L106/ROUNDUP(L106,0)</f>
        <v/>
      </c>
      <c r="U106" s="14">
        <f>SUMIFS(Donnees_regimes!$O$3:$O$1118,Donnees_regimes!$A$3:$A$1118,C106,Donnees_regimes!$B$3:$B$1118,"&gt;="&amp;G106,Donnees_regimes!$B$3:$B$1118,"&lt;="&amp;N106)*L106/ROUNDUP(L106,0)</f>
        <v/>
      </c>
      <c r="V106" s="14">
        <f>T106+U106</f>
        <v/>
      </c>
      <c r="W106" s="33">
        <f>V106/S106</f>
        <v/>
      </c>
      <c r="X106" s="14">
        <f>S106+U106</f>
        <v/>
      </c>
      <c r="Y106" s="17">
        <f>V106/P106</f>
        <v/>
      </c>
      <c r="Z106" s="14">
        <f>SUMIFS(Donnees_regimes!$Q$3:$Q$1118,Donnees_regimes!$A$3:$A$1118,C106,Donnees_regimes!$B$3:$B$1118,"&gt;="&amp;G106,Donnees_regimes!$B$3:$B$1118,"&lt;="&amp;N106)*L106/ROUNDUP(L106,0)</f>
        <v/>
      </c>
      <c r="AA106" s="77">
        <f>SUMIFS(Regles_regimes!$F$3:$F$2000,Regles_regimes!$A$3:$A$2000,C106,Regles_regimes!$B$3:$B$2000,D106,Regles_regimes!$C$3:$C$2000,MAX(1915,MIN(2025,E106)))</f>
        <v/>
      </c>
      <c r="AB106" s="77">
        <f>IF(AND(SUMIFS(Regles_regimes!$L$3:$L$2000,Regles_regimes!$A$3:$A$2000,C106,Regles_regimes!$B$3:$B$2000,D106,Regles_regimes!$C$3:$C$2000,MAX(1915,MIN(2025,E106)))=1,G106&lt;2009,C106&lt;&gt;"Privé"),MIN(20,L106*4/5),0)</f>
        <v/>
      </c>
      <c r="AC106" s="89">
        <f>SUMIFS(Donnees_regimes!$M$3:$M$1118,Donnees_regimes!$A$3:$A$1118,C106,Donnees_regimes!$B$3:$B$1118,M106)</f>
        <v/>
      </c>
      <c r="AD106" s="14">
        <f>SUMIFS(Donnees_annuelles!$Y$3:$Y$188,Donnees_annuelles!$A$3:$A$188,M106)*SUMIFS(Donnees_generations!$I$3:$I$113,Donnees_generations!$A$3:$A$113,MAX(1915,MIN(2025,E106)))/H106</f>
        <v/>
      </c>
      <c r="AE106" s="14">
        <f>IF(C106="Privé",SUMIFS(Donnees_annuelles!$Y$3:$Y$188,Donnees_annuelles!$A$3:$A$188,M106)*MIN(L106,SUMIFS(Donnees_generations!$I$3:$I$113,Donnees_generations!$A$3:$A$113,MAX(1915,MIN(2025,E106))))/L106,AD106*AC106*MIN(IF(AB106&gt;0,0.8/0.75,1),(L106*4+AB106)/AA106))</f>
        <v/>
      </c>
      <c r="AF106" s="14">
        <f>AE106/12</f>
        <v/>
      </c>
      <c r="AG106" s="77">
        <f>MIN(68,MAX(56,2*INT(K106/2)))</f>
        <v/>
      </c>
      <c r="AH106" s="75">
        <f>(CHOOSE((AG106-56)/2+1,SUMIFS(Donnees_generations!$U$3:$U$113,Donnees_generations!$A$3:$A$113,MAX(1915,MIN(2025,E106))),SUMIFS(Donnees_generations!$V$3:$V$113,Donnees_generations!$A$3:$A$113,MAX(1915,MIN(2025,E106))),SUMIFS(Donnees_generations!$W$3:$W$113,Donnees_generations!$A$3:$A$113,MAX(1915,MIN(2025,E106))),SUMIFS(Donnees_generations!$X$3:$X$113,Donnees_generations!$A$3:$A$113,MAX(1915,MIN(2025,E106))),SUMIFS(Donnees_generations!$Y$3:$Y$113,Donnees_generations!$A$3:$A$113,MAX(1915,MIN(2025,E106))),SUMIFS(Donnees_generations!$Z$3:$Z$113,Donnees_generations!$A$3:$A$113,MAX(1915,MIN(2025,E106))),SUMIFS(Donnees_generations!$AA$3:$AA$113,Donnees_generations!$A$3:$A$113,MAX(1915,MIN(2025,E106))),SUMIFS(Donnees_generations!$AB$3:$AB$113,Donnees_generations!$A$3:$A$113,MAX(1915,MIN(2025,E106))))+CHOOSE((AG106-56)/2+1,SUMIFS(Donnees_generations!$AC$3:$AC$113,Donnees_generations!$A$3:$A$113,MAX(1915,MIN(2025,E106))),SUMIFS(Donnees_generations!$AD$3:$AD$113,Donnees_generations!$A$3:$A$113,MAX(1915,MIN(2025,E106))),SUMIFS(Donnees_generations!$AE$3:$AE$113,Donnees_generations!$A$3:$A$113,MAX(1915,MIN(2025,E106))),SUMIFS(Donnees_generations!$AF$3:$AF$113,Donnees_generations!$A$3:$A$113,MAX(1915,MIN(2025,E106))),SUMIFS(Donnees_generations!$AG$3:$AG$113,Donnees_generations!$A$3:$A$113,MAX(1915,MIN(2025,E106))),SUMIFS(Donnees_generations!$AH$3:$AH$113,Donnees_generations!$A$3:$A$113,MAX(1915,MIN(2025,E106))),SUMIFS(Donnees_generations!$AI$3:$AI$113,Donnees_generations!$A$3:$A$113,MAX(1915,MIN(2025,E106))),SUMIFS(Donnees_generations!$AJ$3:$AJ$113,Donnees_generations!$A$3:$A$113,MAX(1915,MIN(2025,E106)))))/2</f>
        <v/>
      </c>
      <c r="AI106" s="75">
        <f>(CHOOSE(((AG106+2)-56)/2+1,SUMIFS(Donnees_generations!$U$3:$U$113,Donnees_generations!$A$3:$A$113,MAX(1915,MIN(2025,E106))),SUMIFS(Donnees_generations!$V$3:$V$113,Donnees_generations!$A$3:$A$113,MAX(1915,MIN(2025,E106))),SUMIFS(Donnees_generations!$W$3:$W$113,Donnees_generations!$A$3:$A$113,MAX(1915,MIN(2025,E106))),SUMIFS(Donnees_generations!$X$3:$X$113,Donnees_generations!$A$3:$A$113,MAX(1915,MIN(2025,E106))),SUMIFS(Donnees_generations!$Y$3:$Y$113,Donnees_generations!$A$3:$A$113,MAX(1915,MIN(2025,E106))),SUMIFS(Donnees_generations!$Z$3:$Z$113,Donnees_generations!$A$3:$A$113,MAX(1915,MIN(2025,E106))),SUMIFS(Donnees_generations!$AA$3:$AA$113,Donnees_generations!$A$3:$A$113,MAX(1915,MIN(2025,E106))),SUMIFS(Donnees_generations!$AB$3:$AB$113,Donnees_generations!$A$3:$A$113,MAX(1915,MIN(2025,E106))))+CHOOSE(((AG106+2)-56)/2+1,SUMIFS(Donnees_generations!$AC$3:$AC$113,Donnees_generations!$A$3:$A$113,MAX(1915,MIN(2025,E106))),SUMIFS(Donnees_generations!$AD$3:$AD$113,Donnees_generations!$A$3:$A$113,MAX(1915,MIN(2025,E106))),SUMIFS(Donnees_generations!$AE$3:$AE$113,Donnees_generations!$A$3:$A$113,MAX(1915,MIN(2025,E106))),SUMIFS(Donnees_generations!$AF$3:$AF$113,Donnees_generations!$A$3:$A$113,MAX(1915,MIN(2025,E106))),SUMIFS(Donnees_generations!$AG$3:$AG$113,Donnees_generations!$A$3:$A$113,MAX(1915,MIN(2025,E106))),SUMIFS(Donnees_generations!$AH$3:$AH$113,Donnees_generations!$A$3:$A$113,MAX(1915,MIN(2025,E106))),SUMIFS(Donnees_generations!$AI$3:$AI$113,Donnees_generations!$A$3:$A$113,MAX(1915,MIN(2025,E106))),SUMIFS(Donnees_generations!$AJ$3:$AJ$113,Donnees_generations!$A$3:$A$113,MAX(1915,MIN(2025,E106)))))/2</f>
        <v/>
      </c>
      <c r="AJ106" s="8">
        <f>MAX(0,AH106+(AI106-AH106)*(K106-AG106)/2)</f>
        <v/>
      </c>
      <c r="AK106" s="8">
        <f>K106+AJ106</f>
        <v/>
      </c>
      <c r="AL106" s="14">
        <f>AE106*AJ106</f>
        <v/>
      </c>
      <c r="AM106" s="17">
        <f>V106/AL106</f>
        <v/>
      </c>
      <c r="AN106" s="17">
        <f>Z106/AL106</f>
        <v/>
      </c>
      <c r="AO106" s="33">
        <f>IF(V106+Z106=0,0,Z106/(V106+Z106))</f>
        <v/>
      </c>
      <c r="AP106" s="14">
        <f>AL106/V106*100</f>
        <v/>
      </c>
      <c r="AQ106" s="8">
        <f>P106/AL106*1000</f>
        <v/>
      </c>
      <c r="AR106" s="77">
        <f>MAX(N106,M106-1)</f>
        <v/>
      </c>
      <c r="AS106" s="14">
        <f>SUMIFS(Donnees_regimes!$R$3:$R$1118,Donnees_regimes!$A$3:$A$1118,C106,Donnees_regimes!$B$3:$B$1118,"&gt;="&amp;G106,Donnees_regimes!$B$3:$B$1118,"&lt;="&amp;N106)*L106/ROUNDUP(L106,0)*SUMIFS(Donnees_annuelles!$AG$3:$AG$188,Donnees_annuelles!$A$3:$A$188,AR106)*SUMIFS(Donnees_annuelles!$AA$3:$AA$188,Donnees_annuelles!$A$3:$A$188,AR106)</f>
        <v/>
      </c>
      <c r="AT106" s="36">
        <f>AS106/V106</f>
        <v/>
      </c>
      <c r="AU106" s="14">
        <f>AL106</f>
        <v/>
      </c>
      <c r="AV106" s="39">
        <f>AS106-AL106</f>
        <v/>
      </c>
      <c r="AW106" s="9">
        <f>AS106/AL106-1</f>
        <v/>
      </c>
      <c r="AX106" s="14">
        <f>AS106/AJ106/12</f>
        <v/>
      </c>
      <c r="AY106" s="14">
        <f>AF106</f>
        <v/>
      </c>
      <c r="AZ106" s="39">
        <f>AX106-AF106</f>
        <v/>
      </c>
      <c r="BA106" s="14">
        <f>SUMIFS(Donnees_regimes!$S$3:$S$1118,Donnees_regimes!$A$3:$A$1118,C106,Donnees_regimes!$B$3:$B$1118,"&gt;="&amp;G106,Donnees_regimes!$B$3:$B$1118,"&lt;="&amp;N106)*L106/ROUNDUP(L106,0)*SUMIFS(Donnees_annuelles!$AH$3:$AH$188,Donnees_annuelles!$A$3:$A$188,AR106)*SUMIFS(Donnees_annuelles!$AA$3:$AA$188,Donnees_annuelles!$A$3:$A$188,AR106)</f>
        <v/>
      </c>
      <c r="BB106" s="39">
        <f>BA106-AL106</f>
        <v/>
      </c>
      <c r="BC106" s="7">
        <f>IF(M106+AJ106&gt;2026,IF(G106&gt;2026,"entièrement projeté","en partie projeté"),"observé")</f>
        <v/>
      </c>
    </row>
    <row r="107">
      <c r="A107" s="7" t="inlineStr">
        <is>
          <t>Génération silencieuse</t>
        </is>
      </c>
      <c r="B107" s="84" t="inlineStr">
        <is>
          <t>Fonction publique d'État</t>
        </is>
      </c>
      <c r="C107" s="7">
        <f>IF(G107&gt;=SUMIFS(Regimes!$C$5:$C$10,Regimes!$A$5:$A$10,B107),"Privé",B107)</f>
        <v/>
      </c>
      <c r="D107" s="7">
        <f>INDEX(Regimes!$D$5:$D$10,MATCH(C107,Regimes!$A$5:$A$10,0))</f>
        <v/>
      </c>
      <c r="E107" s="88" t="n">
        <v>1934</v>
      </c>
      <c r="F107" s="8">
        <f>Donnees_generations!C22</f>
        <v/>
      </c>
      <c r="G107" s="77">
        <f>Donnees_generations!D22</f>
        <v/>
      </c>
      <c r="H107" s="8">
        <f>SUMIFS(Donnees_generations!$S$3:$S$113,Donnees_generations!$A$3:$A$113,MAX(1915,MIN(2025,E107)))</f>
        <v/>
      </c>
      <c r="I107" s="8">
        <f>SUMIFS(Donnees_generations!$T$3:$T$113,Donnees_generations!$A$3:$A$113,MAX(1915,MIN(2025,E107)))</f>
        <v/>
      </c>
      <c r="J107" s="8">
        <f>IF(G107&gt;=2000,MAX(I107,Parametres!$B$3),I107)</f>
        <v/>
      </c>
      <c r="K107" s="8">
        <f>IF(C107="Privé",J107,SUMIFS(Regles_regimes!$J$3:$J$2000,Regles_regimes!$A$3:$A$2000,C107,Regles_regimes!$B$3:$B$2000,D107,Regles_regimes!$C$3:$C$2000,MAX(1915,MIN(2025,E107))))</f>
        <v/>
      </c>
      <c r="L107" s="8">
        <f>IF(C107="Privé",H107,(K107-F107)*H107/(J107-F107))</f>
        <v/>
      </c>
      <c r="M107" s="77">
        <f>INT(E107+K107)</f>
        <v/>
      </c>
      <c r="N107" s="77">
        <f>G107+ROUNDUP(L107,0)-1</f>
        <v/>
      </c>
      <c r="O107" s="89">
        <f>SUMIFS(Regles_regimes!$K$3:$K$2000,Regles_regimes!$A$3:$A$2000,C107,Regles_regimes!$B$3:$B$2000,D107,Regles_regimes!$C$3:$C$2000,MAX(1915,MIN(2025,E107)))</f>
        <v/>
      </c>
      <c r="P107" s="13">
        <f>SUMIFS(Donnees_annuelles!$W$3:$W$188,Donnees_annuelles!$A$3:$A$188,"&gt;="&amp;G107,Donnees_annuelles!$A$3:$A$188,"&lt;="&amp;N107)*L107/ROUNDUP(L107,0)*O107</f>
        <v/>
      </c>
      <c r="Q107" s="13">
        <f>SUMIFS(Donnees_annuelles!$V$3:$V$188,Donnees_annuelles!$A$3:$A$188,"&gt;="&amp;G107,Donnees_annuelles!$A$3:$A$188,"&lt;="&amp;N107)*L107/ROUNDUP(L107,0)</f>
        <v/>
      </c>
      <c r="R107" s="13">
        <f>P107/L107</f>
        <v/>
      </c>
      <c r="S107" s="14">
        <f>SUMIFS(Donnees_annuelles!$D$3:$D$188,Donnees_annuelles!$A$3:$A$188,"&gt;="&amp;G107,Donnees_annuelles!$A$3:$A$188,"&lt;="&amp;N107)*L107/ROUNDUP(L107,0)</f>
        <v/>
      </c>
      <c r="T107" s="14">
        <f>SUMIFS(Donnees_regimes!$N$3:$N$1118,Donnees_regimes!$A$3:$A$1118,C107,Donnees_regimes!$B$3:$B$1118,"&gt;="&amp;G107,Donnees_regimes!$B$3:$B$1118,"&lt;="&amp;N107)*L107/ROUNDUP(L107,0)</f>
        <v/>
      </c>
      <c r="U107" s="14">
        <f>SUMIFS(Donnees_regimes!$O$3:$O$1118,Donnees_regimes!$A$3:$A$1118,C107,Donnees_regimes!$B$3:$B$1118,"&gt;="&amp;G107,Donnees_regimes!$B$3:$B$1118,"&lt;="&amp;N107)*L107/ROUNDUP(L107,0)</f>
        <v/>
      </c>
      <c r="V107" s="14">
        <f>T107+U107</f>
        <v/>
      </c>
      <c r="W107" s="33">
        <f>V107/S107</f>
        <v/>
      </c>
      <c r="X107" s="14">
        <f>S107+U107</f>
        <v/>
      </c>
      <c r="Y107" s="17">
        <f>V107/P107</f>
        <v/>
      </c>
      <c r="Z107" s="14">
        <f>SUMIFS(Donnees_regimes!$Q$3:$Q$1118,Donnees_regimes!$A$3:$A$1118,C107,Donnees_regimes!$B$3:$B$1118,"&gt;="&amp;G107,Donnees_regimes!$B$3:$B$1118,"&lt;="&amp;N107)*L107/ROUNDUP(L107,0)</f>
        <v/>
      </c>
      <c r="AA107" s="77">
        <f>SUMIFS(Regles_regimes!$F$3:$F$2000,Regles_regimes!$A$3:$A$2000,C107,Regles_regimes!$B$3:$B$2000,D107,Regles_regimes!$C$3:$C$2000,MAX(1915,MIN(2025,E107)))</f>
        <v/>
      </c>
      <c r="AB107" s="77">
        <f>IF(AND(SUMIFS(Regles_regimes!$L$3:$L$2000,Regles_regimes!$A$3:$A$2000,C107,Regles_regimes!$B$3:$B$2000,D107,Regles_regimes!$C$3:$C$2000,MAX(1915,MIN(2025,E107)))=1,G107&lt;2009,C107&lt;&gt;"Privé"),MIN(20,L107*4/5),0)</f>
        <v/>
      </c>
      <c r="AC107" s="89">
        <f>SUMIFS(Donnees_regimes!$M$3:$M$1118,Donnees_regimes!$A$3:$A$1118,C107,Donnees_regimes!$B$3:$B$1118,M107)</f>
        <v/>
      </c>
      <c r="AD107" s="14">
        <f>SUMIFS(Donnees_annuelles!$Y$3:$Y$188,Donnees_annuelles!$A$3:$A$188,M107)*SUMIFS(Donnees_generations!$I$3:$I$113,Donnees_generations!$A$3:$A$113,MAX(1915,MIN(2025,E107)))/H107</f>
        <v/>
      </c>
      <c r="AE107" s="14">
        <f>IF(C107="Privé",SUMIFS(Donnees_annuelles!$Y$3:$Y$188,Donnees_annuelles!$A$3:$A$188,M107)*MIN(L107,SUMIFS(Donnees_generations!$I$3:$I$113,Donnees_generations!$A$3:$A$113,MAX(1915,MIN(2025,E107))))/L107,AD107*AC107*MIN(IF(AB107&gt;0,0.8/0.75,1),(L107*4+AB107)/AA107))</f>
        <v/>
      </c>
      <c r="AF107" s="14">
        <f>AE107/12</f>
        <v/>
      </c>
      <c r="AG107" s="77">
        <f>MIN(68,MAX(56,2*INT(K107/2)))</f>
        <v/>
      </c>
      <c r="AH107" s="75">
        <f>(CHOOSE((AG107-56)/2+1,SUMIFS(Donnees_generations!$U$3:$U$113,Donnees_generations!$A$3:$A$113,MAX(1915,MIN(2025,E107))),SUMIFS(Donnees_generations!$V$3:$V$113,Donnees_generations!$A$3:$A$113,MAX(1915,MIN(2025,E107))),SUMIFS(Donnees_generations!$W$3:$W$113,Donnees_generations!$A$3:$A$113,MAX(1915,MIN(2025,E107))),SUMIFS(Donnees_generations!$X$3:$X$113,Donnees_generations!$A$3:$A$113,MAX(1915,MIN(2025,E107))),SUMIFS(Donnees_generations!$Y$3:$Y$113,Donnees_generations!$A$3:$A$113,MAX(1915,MIN(2025,E107))),SUMIFS(Donnees_generations!$Z$3:$Z$113,Donnees_generations!$A$3:$A$113,MAX(1915,MIN(2025,E107))),SUMIFS(Donnees_generations!$AA$3:$AA$113,Donnees_generations!$A$3:$A$113,MAX(1915,MIN(2025,E107))),SUMIFS(Donnees_generations!$AB$3:$AB$113,Donnees_generations!$A$3:$A$113,MAX(1915,MIN(2025,E107))))+CHOOSE((AG107-56)/2+1,SUMIFS(Donnees_generations!$AC$3:$AC$113,Donnees_generations!$A$3:$A$113,MAX(1915,MIN(2025,E107))),SUMIFS(Donnees_generations!$AD$3:$AD$113,Donnees_generations!$A$3:$A$113,MAX(1915,MIN(2025,E107))),SUMIFS(Donnees_generations!$AE$3:$AE$113,Donnees_generations!$A$3:$A$113,MAX(1915,MIN(2025,E107))),SUMIFS(Donnees_generations!$AF$3:$AF$113,Donnees_generations!$A$3:$A$113,MAX(1915,MIN(2025,E107))),SUMIFS(Donnees_generations!$AG$3:$AG$113,Donnees_generations!$A$3:$A$113,MAX(1915,MIN(2025,E107))),SUMIFS(Donnees_generations!$AH$3:$AH$113,Donnees_generations!$A$3:$A$113,MAX(1915,MIN(2025,E107))),SUMIFS(Donnees_generations!$AI$3:$AI$113,Donnees_generations!$A$3:$A$113,MAX(1915,MIN(2025,E107))),SUMIFS(Donnees_generations!$AJ$3:$AJ$113,Donnees_generations!$A$3:$A$113,MAX(1915,MIN(2025,E107)))))/2</f>
        <v/>
      </c>
      <c r="AI107" s="75">
        <f>(CHOOSE(((AG107+2)-56)/2+1,SUMIFS(Donnees_generations!$U$3:$U$113,Donnees_generations!$A$3:$A$113,MAX(1915,MIN(2025,E107))),SUMIFS(Donnees_generations!$V$3:$V$113,Donnees_generations!$A$3:$A$113,MAX(1915,MIN(2025,E107))),SUMIFS(Donnees_generations!$W$3:$W$113,Donnees_generations!$A$3:$A$113,MAX(1915,MIN(2025,E107))),SUMIFS(Donnees_generations!$X$3:$X$113,Donnees_generations!$A$3:$A$113,MAX(1915,MIN(2025,E107))),SUMIFS(Donnees_generations!$Y$3:$Y$113,Donnees_generations!$A$3:$A$113,MAX(1915,MIN(2025,E107))),SUMIFS(Donnees_generations!$Z$3:$Z$113,Donnees_generations!$A$3:$A$113,MAX(1915,MIN(2025,E107))),SUMIFS(Donnees_generations!$AA$3:$AA$113,Donnees_generations!$A$3:$A$113,MAX(1915,MIN(2025,E107))),SUMIFS(Donnees_generations!$AB$3:$AB$113,Donnees_generations!$A$3:$A$113,MAX(1915,MIN(2025,E107))))+CHOOSE(((AG107+2)-56)/2+1,SUMIFS(Donnees_generations!$AC$3:$AC$113,Donnees_generations!$A$3:$A$113,MAX(1915,MIN(2025,E107))),SUMIFS(Donnees_generations!$AD$3:$AD$113,Donnees_generations!$A$3:$A$113,MAX(1915,MIN(2025,E107))),SUMIFS(Donnees_generations!$AE$3:$AE$113,Donnees_generations!$A$3:$A$113,MAX(1915,MIN(2025,E107))),SUMIFS(Donnees_generations!$AF$3:$AF$113,Donnees_generations!$A$3:$A$113,MAX(1915,MIN(2025,E107))),SUMIFS(Donnees_generations!$AG$3:$AG$113,Donnees_generations!$A$3:$A$113,MAX(1915,MIN(2025,E107))),SUMIFS(Donnees_generations!$AH$3:$AH$113,Donnees_generations!$A$3:$A$113,MAX(1915,MIN(2025,E107))),SUMIFS(Donnees_generations!$AI$3:$AI$113,Donnees_generations!$A$3:$A$113,MAX(1915,MIN(2025,E107))),SUMIFS(Donnees_generations!$AJ$3:$AJ$113,Donnees_generations!$A$3:$A$113,MAX(1915,MIN(2025,E107)))))/2</f>
        <v/>
      </c>
      <c r="AJ107" s="8">
        <f>MAX(0,AH107+(AI107-AH107)*(K107-AG107)/2)</f>
        <v/>
      </c>
      <c r="AK107" s="8">
        <f>K107+AJ107</f>
        <v/>
      </c>
      <c r="AL107" s="14">
        <f>AE107*AJ107</f>
        <v/>
      </c>
      <c r="AM107" s="17">
        <f>V107/AL107</f>
        <v/>
      </c>
      <c r="AN107" s="17">
        <f>Z107/AL107</f>
        <v/>
      </c>
      <c r="AO107" s="33">
        <f>IF(V107+Z107=0,0,Z107/(V107+Z107))</f>
        <v/>
      </c>
      <c r="AP107" s="14">
        <f>AL107/V107*100</f>
        <v/>
      </c>
      <c r="AQ107" s="8">
        <f>P107/AL107*1000</f>
        <v/>
      </c>
      <c r="AR107" s="77">
        <f>MAX(N107,M107-1)</f>
        <v/>
      </c>
      <c r="AS107" s="14">
        <f>SUMIFS(Donnees_regimes!$R$3:$R$1118,Donnees_regimes!$A$3:$A$1118,C107,Donnees_regimes!$B$3:$B$1118,"&gt;="&amp;G107,Donnees_regimes!$B$3:$B$1118,"&lt;="&amp;N107)*L107/ROUNDUP(L107,0)*SUMIFS(Donnees_annuelles!$AG$3:$AG$188,Donnees_annuelles!$A$3:$A$188,AR107)*SUMIFS(Donnees_annuelles!$AA$3:$AA$188,Donnees_annuelles!$A$3:$A$188,AR107)</f>
        <v/>
      </c>
      <c r="AT107" s="36">
        <f>AS107/V107</f>
        <v/>
      </c>
      <c r="AU107" s="14">
        <f>AL107</f>
        <v/>
      </c>
      <c r="AV107" s="39">
        <f>AS107-AL107</f>
        <v/>
      </c>
      <c r="AW107" s="9">
        <f>AS107/AL107-1</f>
        <v/>
      </c>
      <c r="AX107" s="14">
        <f>AS107/AJ107/12</f>
        <v/>
      </c>
      <c r="AY107" s="14">
        <f>AF107</f>
        <v/>
      </c>
      <c r="AZ107" s="39">
        <f>AX107-AF107</f>
        <v/>
      </c>
      <c r="BA107" s="14">
        <f>SUMIFS(Donnees_regimes!$S$3:$S$1118,Donnees_regimes!$A$3:$A$1118,C107,Donnees_regimes!$B$3:$B$1118,"&gt;="&amp;G107,Donnees_regimes!$B$3:$B$1118,"&lt;="&amp;N107)*L107/ROUNDUP(L107,0)*SUMIFS(Donnees_annuelles!$AH$3:$AH$188,Donnees_annuelles!$A$3:$A$188,AR107)*SUMIFS(Donnees_annuelles!$AA$3:$AA$188,Donnees_annuelles!$A$3:$A$188,AR107)</f>
        <v/>
      </c>
      <c r="BB107" s="39">
        <f>BA107-AL107</f>
        <v/>
      </c>
      <c r="BC107" s="7">
        <f>IF(M107+AJ107&gt;2026,IF(G107&gt;2026,"entièrement projeté","en partie projeté"),"observé")</f>
        <v/>
      </c>
    </row>
    <row r="108">
      <c r="A108" s="7" t="inlineStr">
        <is>
          <t>Génération silencieuse</t>
        </is>
      </c>
      <c r="B108" s="84" t="inlineStr">
        <is>
          <t>Fonction publique d'État</t>
        </is>
      </c>
      <c r="C108" s="7">
        <f>IF(G108&gt;=SUMIFS(Regimes!$C$5:$C$10,Regimes!$A$5:$A$10,B108),"Privé",B108)</f>
        <v/>
      </c>
      <c r="D108" s="7">
        <f>INDEX(Regimes!$D$5:$D$10,MATCH(C108,Regimes!$A$5:$A$10,0))</f>
        <v/>
      </c>
      <c r="E108" s="88" t="n">
        <v>1935</v>
      </c>
      <c r="F108" s="8">
        <f>Donnees_generations!C23</f>
        <v/>
      </c>
      <c r="G108" s="77">
        <f>Donnees_generations!D23</f>
        <v/>
      </c>
      <c r="H108" s="8">
        <f>SUMIFS(Donnees_generations!$S$3:$S$113,Donnees_generations!$A$3:$A$113,MAX(1915,MIN(2025,E108)))</f>
        <v/>
      </c>
      <c r="I108" s="8">
        <f>SUMIFS(Donnees_generations!$T$3:$T$113,Donnees_generations!$A$3:$A$113,MAX(1915,MIN(2025,E108)))</f>
        <v/>
      </c>
      <c r="J108" s="8">
        <f>IF(G108&gt;=2000,MAX(I108,Parametres!$B$3),I108)</f>
        <v/>
      </c>
      <c r="K108" s="8">
        <f>IF(C108="Privé",J108,SUMIFS(Regles_regimes!$J$3:$J$2000,Regles_regimes!$A$3:$A$2000,C108,Regles_regimes!$B$3:$B$2000,D108,Regles_regimes!$C$3:$C$2000,MAX(1915,MIN(2025,E108))))</f>
        <v/>
      </c>
      <c r="L108" s="8">
        <f>IF(C108="Privé",H108,(K108-F108)*H108/(J108-F108))</f>
        <v/>
      </c>
      <c r="M108" s="77">
        <f>INT(E108+K108)</f>
        <v/>
      </c>
      <c r="N108" s="77">
        <f>G108+ROUNDUP(L108,0)-1</f>
        <v/>
      </c>
      <c r="O108" s="89">
        <f>SUMIFS(Regles_regimes!$K$3:$K$2000,Regles_regimes!$A$3:$A$2000,C108,Regles_regimes!$B$3:$B$2000,D108,Regles_regimes!$C$3:$C$2000,MAX(1915,MIN(2025,E108)))</f>
        <v/>
      </c>
      <c r="P108" s="13">
        <f>SUMIFS(Donnees_annuelles!$W$3:$W$188,Donnees_annuelles!$A$3:$A$188,"&gt;="&amp;G108,Donnees_annuelles!$A$3:$A$188,"&lt;="&amp;N108)*L108/ROUNDUP(L108,0)*O108</f>
        <v/>
      </c>
      <c r="Q108" s="13">
        <f>SUMIFS(Donnees_annuelles!$V$3:$V$188,Donnees_annuelles!$A$3:$A$188,"&gt;="&amp;G108,Donnees_annuelles!$A$3:$A$188,"&lt;="&amp;N108)*L108/ROUNDUP(L108,0)</f>
        <v/>
      </c>
      <c r="R108" s="13">
        <f>P108/L108</f>
        <v/>
      </c>
      <c r="S108" s="14">
        <f>SUMIFS(Donnees_annuelles!$D$3:$D$188,Donnees_annuelles!$A$3:$A$188,"&gt;="&amp;G108,Donnees_annuelles!$A$3:$A$188,"&lt;="&amp;N108)*L108/ROUNDUP(L108,0)</f>
        <v/>
      </c>
      <c r="T108" s="14">
        <f>SUMIFS(Donnees_regimes!$N$3:$N$1118,Donnees_regimes!$A$3:$A$1118,C108,Donnees_regimes!$B$3:$B$1118,"&gt;="&amp;G108,Donnees_regimes!$B$3:$B$1118,"&lt;="&amp;N108)*L108/ROUNDUP(L108,0)</f>
        <v/>
      </c>
      <c r="U108" s="14">
        <f>SUMIFS(Donnees_regimes!$O$3:$O$1118,Donnees_regimes!$A$3:$A$1118,C108,Donnees_regimes!$B$3:$B$1118,"&gt;="&amp;G108,Donnees_regimes!$B$3:$B$1118,"&lt;="&amp;N108)*L108/ROUNDUP(L108,0)</f>
        <v/>
      </c>
      <c r="V108" s="14">
        <f>T108+U108</f>
        <v/>
      </c>
      <c r="W108" s="33">
        <f>V108/S108</f>
        <v/>
      </c>
      <c r="X108" s="14">
        <f>S108+U108</f>
        <v/>
      </c>
      <c r="Y108" s="17">
        <f>V108/P108</f>
        <v/>
      </c>
      <c r="Z108" s="14">
        <f>SUMIFS(Donnees_regimes!$Q$3:$Q$1118,Donnees_regimes!$A$3:$A$1118,C108,Donnees_regimes!$B$3:$B$1118,"&gt;="&amp;G108,Donnees_regimes!$B$3:$B$1118,"&lt;="&amp;N108)*L108/ROUNDUP(L108,0)</f>
        <v/>
      </c>
      <c r="AA108" s="77">
        <f>SUMIFS(Regles_regimes!$F$3:$F$2000,Regles_regimes!$A$3:$A$2000,C108,Regles_regimes!$B$3:$B$2000,D108,Regles_regimes!$C$3:$C$2000,MAX(1915,MIN(2025,E108)))</f>
        <v/>
      </c>
      <c r="AB108" s="77">
        <f>IF(AND(SUMIFS(Regles_regimes!$L$3:$L$2000,Regles_regimes!$A$3:$A$2000,C108,Regles_regimes!$B$3:$B$2000,D108,Regles_regimes!$C$3:$C$2000,MAX(1915,MIN(2025,E108)))=1,G108&lt;2009,C108&lt;&gt;"Privé"),MIN(20,L108*4/5),0)</f>
        <v/>
      </c>
      <c r="AC108" s="89">
        <f>SUMIFS(Donnees_regimes!$M$3:$M$1118,Donnees_regimes!$A$3:$A$1118,C108,Donnees_regimes!$B$3:$B$1118,M108)</f>
        <v/>
      </c>
      <c r="AD108" s="14">
        <f>SUMIFS(Donnees_annuelles!$Y$3:$Y$188,Donnees_annuelles!$A$3:$A$188,M108)*SUMIFS(Donnees_generations!$I$3:$I$113,Donnees_generations!$A$3:$A$113,MAX(1915,MIN(2025,E108)))/H108</f>
        <v/>
      </c>
      <c r="AE108" s="14">
        <f>IF(C108="Privé",SUMIFS(Donnees_annuelles!$Y$3:$Y$188,Donnees_annuelles!$A$3:$A$188,M108)*MIN(L108,SUMIFS(Donnees_generations!$I$3:$I$113,Donnees_generations!$A$3:$A$113,MAX(1915,MIN(2025,E108))))/L108,AD108*AC108*MIN(IF(AB108&gt;0,0.8/0.75,1),(L108*4+AB108)/AA108))</f>
        <v/>
      </c>
      <c r="AF108" s="14">
        <f>AE108/12</f>
        <v/>
      </c>
      <c r="AG108" s="77">
        <f>MIN(68,MAX(56,2*INT(K108/2)))</f>
        <v/>
      </c>
      <c r="AH108" s="75">
        <f>(CHOOSE((AG108-56)/2+1,SUMIFS(Donnees_generations!$U$3:$U$113,Donnees_generations!$A$3:$A$113,MAX(1915,MIN(2025,E108))),SUMIFS(Donnees_generations!$V$3:$V$113,Donnees_generations!$A$3:$A$113,MAX(1915,MIN(2025,E108))),SUMIFS(Donnees_generations!$W$3:$W$113,Donnees_generations!$A$3:$A$113,MAX(1915,MIN(2025,E108))),SUMIFS(Donnees_generations!$X$3:$X$113,Donnees_generations!$A$3:$A$113,MAX(1915,MIN(2025,E108))),SUMIFS(Donnees_generations!$Y$3:$Y$113,Donnees_generations!$A$3:$A$113,MAX(1915,MIN(2025,E108))),SUMIFS(Donnees_generations!$Z$3:$Z$113,Donnees_generations!$A$3:$A$113,MAX(1915,MIN(2025,E108))),SUMIFS(Donnees_generations!$AA$3:$AA$113,Donnees_generations!$A$3:$A$113,MAX(1915,MIN(2025,E108))),SUMIFS(Donnees_generations!$AB$3:$AB$113,Donnees_generations!$A$3:$A$113,MAX(1915,MIN(2025,E108))))+CHOOSE((AG108-56)/2+1,SUMIFS(Donnees_generations!$AC$3:$AC$113,Donnees_generations!$A$3:$A$113,MAX(1915,MIN(2025,E108))),SUMIFS(Donnees_generations!$AD$3:$AD$113,Donnees_generations!$A$3:$A$113,MAX(1915,MIN(2025,E108))),SUMIFS(Donnees_generations!$AE$3:$AE$113,Donnees_generations!$A$3:$A$113,MAX(1915,MIN(2025,E108))),SUMIFS(Donnees_generations!$AF$3:$AF$113,Donnees_generations!$A$3:$A$113,MAX(1915,MIN(2025,E108))),SUMIFS(Donnees_generations!$AG$3:$AG$113,Donnees_generations!$A$3:$A$113,MAX(1915,MIN(2025,E108))),SUMIFS(Donnees_generations!$AH$3:$AH$113,Donnees_generations!$A$3:$A$113,MAX(1915,MIN(2025,E108))),SUMIFS(Donnees_generations!$AI$3:$AI$113,Donnees_generations!$A$3:$A$113,MAX(1915,MIN(2025,E108))),SUMIFS(Donnees_generations!$AJ$3:$AJ$113,Donnees_generations!$A$3:$A$113,MAX(1915,MIN(2025,E108)))))/2</f>
        <v/>
      </c>
      <c r="AI108" s="75">
        <f>(CHOOSE(((AG108+2)-56)/2+1,SUMIFS(Donnees_generations!$U$3:$U$113,Donnees_generations!$A$3:$A$113,MAX(1915,MIN(2025,E108))),SUMIFS(Donnees_generations!$V$3:$V$113,Donnees_generations!$A$3:$A$113,MAX(1915,MIN(2025,E108))),SUMIFS(Donnees_generations!$W$3:$W$113,Donnees_generations!$A$3:$A$113,MAX(1915,MIN(2025,E108))),SUMIFS(Donnees_generations!$X$3:$X$113,Donnees_generations!$A$3:$A$113,MAX(1915,MIN(2025,E108))),SUMIFS(Donnees_generations!$Y$3:$Y$113,Donnees_generations!$A$3:$A$113,MAX(1915,MIN(2025,E108))),SUMIFS(Donnees_generations!$Z$3:$Z$113,Donnees_generations!$A$3:$A$113,MAX(1915,MIN(2025,E108))),SUMIFS(Donnees_generations!$AA$3:$AA$113,Donnees_generations!$A$3:$A$113,MAX(1915,MIN(2025,E108))),SUMIFS(Donnees_generations!$AB$3:$AB$113,Donnees_generations!$A$3:$A$113,MAX(1915,MIN(2025,E108))))+CHOOSE(((AG108+2)-56)/2+1,SUMIFS(Donnees_generations!$AC$3:$AC$113,Donnees_generations!$A$3:$A$113,MAX(1915,MIN(2025,E108))),SUMIFS(Donnees_generations!$AD$3:$AD$113,Donnees_generations!$A$3:$A$113,MAX(1915,MIN(2025,E108))),SUMIFS(Donnees_generations!$AE$3:$AE$113,Donnees_generations!$A$3:$A$113,MAX(1915,MIN(2025,E108))),SUMIFS(Donnees_generations!$AF$3:$AF$113,Donnees_generations!$A$3:$A$113,MAX(1915,MIN(2025,E108))),SUMIFS(Donnees_generations!$AG$3:$AG$113,Donnees_generations!$A$3:$A$113,MAX(1915,MIN(2025,E108))),SUMIFS(Donnees_generations!$AH$3:$AH$113,Donnees_generations!$A$3:$A$113,MAX(1915,MIN(2025,E108))),SUMIFS(Donnees_generations!$AI$3:$AI$113,Donnees_generations!$A$3:$A$113,MAX(1915,MIN(2025,E108))),SUMIFS(Donnees_generations!$AJ$3:$AJ$113,Donnees_generations!$A$3:$A$113,MAX(1915,MIN(2025,E108)))))/2</f>
        <v/>
      </c>
      <c r="AJ108" s="8">
        <f>MAX(0,AH108+(AI108-AH108)*(K108-AG108)/2)</f>
        <v/>
      </c>
      <c r="AK108" s="8">
        <f>K108+AJ108</f>
        <v/>
      </c>
      <c r="AL108" s="14">
        <f>AE108*AJ108</f>
        <v/>
      </c>
      <c r="AM108" s="17">
        <f>V108/AL108</f>
        <v/>
      </c>
      <c r="AN108" s="17">
        <f>Z108/AL108</f>
        <v/>
      </c>
      <c r="AO108" s="33">
        <f>IF(V108+Z108=0,0,Z108/(V108+Z108))</f>
        <v/>
      </c>
      <c r="AP108" s="14">
        <f>AL108/V108*100</f>
        <v/>
      </c>
      <c r="AQ108" s="8">
        <f>P108/AL108*1000</f>
        <v/>
      </c>
      <c r="AR108" s="77">
        <f>MAX(N108,M108-1)</f>
        <v/>
      </c>
      <c r="AS108" s="14">
        <f>SUMIFS(Donnees_regimes!$R$3:$R$1118,Donnees_regimes!$A$3:$A$1118,C108,Donnees_regimes!$B$3:$B$1118,"&gt;="&amp;G108,Donnees_regimes!$B$3:$B$1118,"&lt;="&amp;N108)*L108/ROUNDUP(L108,0)*SUMIFS(Donnees_annuelles!$AG$3:$AG$188,Donnees_annuelles!$A$3:$A$188,AR108)*SUMIFS(Donnees_annuelles!$AA$3:$AA$188,Donnees_annuelles!$A$3:$A$188,AR108)</f>
        <v/>
      </c>
      <c r="AT108" s="36">
        <f>AS108/V108</f>
        <v/>
      </c>
      <c r="AU108" s="14">
        <f>AL108</f>
        <v/>
      </c>
      <c r="AV108" s="39">
        <f>AS108-AL108</f>
        <v/>
      </c>
      <c r="AW108" s="9">
        <f>AS108/AL108-1</f>
        <v/>
      </c>
      <c r="AX108" s="14">
        <f>AS108/AJ108/12</f>
        <v/>
      </c>
      <c r="AY108" s="14">
        <f>AF108</f>
        <v/>
      </c>
      <c r="AZ108" s="39">
        <f>AX108-AF108</f>
        <v/>
      </c>
      <c r="BA108" s="14">
        <f>SUMIFS(Donnees_regimes!$S$3:$S$1118,Donnees_regimes!$A$3:$A$1118,C108,Donnees_regimes!$B$3:$B$1118,"&gt;="&amp;G108,Donnees_regimes!$B$3:$B$1118,"&lt;="&amp;N108)*L108/ROUNDUP(L108,0)*SUMIFS(Donnees_annuelles!$AH$3:$AH$188,Donnees_annuelles!$A$3:$A$188,AR108)*SUMIFS(Donnees_annuelles!$AA$3:$AA$188,Donnees_annuelles!$A$3:$A$188,AR108)</f>
        <v/>
      </c>
      <c r="BB108" s="39">
        <f>BA108-AL108</f>
        <v/>
      </c>
      <c r="BC108" s="7">
        <f>IF(M108+AJ108&gt;2026,IF(G108&gt;2026,"entièrement projeté","en partie projeté"),"observé")</f>
        <v/>
      </c>
    </row>
    <row r="109">
      <c r="A109" s="7" t="inlineStr">
        <is>
          <t>Génération silencieuse</t>
        </is>
      </c>
      <c r="B109" s="84" t="inlineStr">
        <is>
          <t>Fonction publique d'État</t>
        </is>
      </c>
      <c r="C109" s="7">
        <f>IF(G109&gt;=SUMIFS(Regimes!$C$5:$C$10,Regimes!$A$5:$A$10,B109),"Privé",B109)</f>
        <v/>
      </c>
      <c r="D109" s="7">
        <f>INDEX(Regimes!$D$5:$D$10,MATCH(C109,Regimes!$A$5:$A$10,0))</f>
        <v/>
      </c>
      <c r="E109" s="88" t="n">
        <v>1936</v>
      </c>
      <c r="F109" s="8">
        <f>Donnees_generations!C24</f>
        <v/>
      </c>
      <c r="G109" s="77">
        <f>Donnees_generations!D24</f>
        <v/>
      </c>
      <c r="H109" s="8">
        <f>SUMIFS(Donnees_generations!$S$3:$S$113,Donnees_generations!$A$3:$A$113,MAX(1915,MIN(2025,E109)))</f>
        <v/>
      </c>
      <c r="I109" s="8">
        <f>SUMIFS(Donnees_generations!$T$3:$T$113,Donnees_generations!$A$3:$A$113,MAX(1915,MIN(2025,E109)))</f>
        <v/>
      </c>
      <c r="J109" s="8">
        <f>IF(G109&gt;=2000,MAX(I109,Parametres!$B$3),I109)</f>
        <v/>
      </c>
      <c r="K109" s="8">
        <f>IF(C109="Privé",J109,SUMIFS(Regles_regimes!$J$3:$J$2000,Regles_regimes!$A$3:$A$2000,C109,Regles_regimes!$B$3:$B$2000,D109,Regles_regimes!$C$3:$C$2000,MAX(1915,MIN(2025,E109))))</f>
        <v/>
      </c>
      <c r="L109" s="8">
        <f>IF(C109="Privé",H109,(K109-F109)*H109/(J109-F109))</f>
        <v/>
      </c>
      <c r="M109" s="77">
        <f>INT(E109+K109)</f>
        <v/>
      </c>
      <c r="N109" s="77">
        <f>G109+ROUNDUP(L109,0)-1</f>
        <v/>
      </c>
      <c r="O109" s="89">
        <f>SUMIFS(Regles_regimes!$K$3:$K$2000,Regles_regimes!$A$3:$A$2000,C109,Regles_regimes!$B$3:$B$2000,D109,Regles_regimes!$C$3:$C$2000,MAX(1915,MIN(2025,E109)))</f>
        <v/>
      </c>
      <c r="P109" s="13">
        <f>SUMIFS(Donnees_annuelles!$W$3:$W$188,Donnees_annuelles!$A$3:$A$188,"&gt;="&amp;G109,Donnees_annuelles!$A$3:$A$188,"&lt;="&amp;N109)*L109/ROUNDUP(L109,0)*O109</f>
        <v/>
      </c>
      <c r="Q109" s="13">
        <f>SUMIFS(Donnees_annuelles!$V$3:$V$188,Donnees_annuelles!$A$3:$A$188,"&gt;="&amp;G109,Donnees_annuelles!$A$3:$A$188,"&lt;="&amp;N109)*L109/ROUNDUP(L109,0)</f>
        <v/>
      </c>
      <c r="R109" s="13">
        <f>P109/L109</f>
        <v/>
      </c>
      <c r="S109" s="14">
        <f>SUMIFS(Donnees_annuelles!$D$3:$D$188,Donnees_annuelles!$A$3:$A$188,"&gt;="&amp;G109,Donnees_annuelles!$A$3:$A$188,"&lt;="&amp;N109)*L109/ROUNDUP(L109,0)</f>
        <v/>
      </c>
      <c r="T109" s="14">
        <f>SUMIFS(Donnees_regimes!$N$3:$N$1118,Donnees_regimes!$A$3:$A$1118,C109,Donnees_regimes!$B$3:$B$1118,"&gt;="&amp;G109,Donnees_regimes!$B$3:$B$1118,"&lt;="&amp;N109)*L109/ROUNDUP(L109,0)</f>
        <v/>
      </c>
      <c r="U109" s="14">
        <f>SUMIFS(Donnees_regimes!$O$3:$O$1118,Donnees_regimes!$A$3:$A$1118,C109,Donnees_regimes!$B$3:$B$1118,"&gt;="&amp;G109,Donnees_regimes!$B$3:$B$1118,"&lt;="&amp;N109)*L109/ROUNDUP(L109,0)</f>
        <v/>
      </c>
      <c r="V109" s="14">
        <f>T109+U109</f>
        <v/>
      </c>
      <c r="W109" s="33">
        <f>V109/S109</f>
        <v/>
      </c>
      <c r="X109" s="14">
        <f>S109+U109</f>
        <v/>
      </c>
      <c r="Y109" s="17">
        <f>V109/P109</f>
        <v/>
      </c>
      <c r="Z109" s="14">
        <f>SUMIFS(Donnees_regimes!$Q$3:$Q$1118,Donnees_regimes!$A$3:$A$1118,C109,Donnees_regimes!$B$3:$B$1118,"&gt;="&amp;G109,Donnees_regimes!$B$3:$B$1118,"&lt;="&amp;N109)*L109/ROUNDUP(L109,0)</f>
        <v/>
      </c>
      <c r="AA109" s="77">
        <f>SUMIFS(Regles_regimes!$F$3:$F$2000,Regles_regimes!$A$3:$A$2000,C109,Regles_regimes!$B$3:$B$2000,D109,Regles_regimes!$C$3:$C$2000,MAX(1915,MIN(2025,E109)))</f>
        <v/>
      </c>
      <c r="AB109" s="77">
        <f>IF(AND(SUMIFS(Regles_regimes!$L$3:$L$2000,Regles_regimes!$A$3:$A$2000,C109,Regles_regimes!$B$3:$B$2000,D109,Regles_regimes!$C$3:$C$2000,MAX(1915,MIN(2025,E109)))=1,G109&lt;2009,C109&lt;&gt;"Privé"),MIN(20,L109*4/5),0)</f>
        <v/>
      </c>
      <c r="AC109" s="89">
        <f>SUMIFS(Donnees_regimes!$M$3:$M$1118,Donnees_regimes!$A$3:$A$1118,C109,Donnees_regimes!$B$3:$B$1118,M109)</f>
        <v/>
      </c>
      <c r="AD109" s="14">
        <f>SUMIFS(Donnees_annuelles!$Y$3:$Y$188,Donnees_annuelles!$A$3:$A$188,M109)*SUMIFS(Donnees_generations!$I$3:$I$113,Donnees_generations!$A$3:$A$113,MAX(1915,MIN(2025,E109)))/H109</f>
        <v/>
      </c>
      <c r="AE109" s="14">
        <f>IF(C109="Privé",SUMIFS(Donnees_annuelles!$Y$3:$Y$188,Donnees_annuelles!$A$3:$A$188,M109)*MIN(L109,SUMIFS(Donnees_generations!$I$3:$I$113,Donnees_generations!$A$3:$A$113,MAX(1915,MIN(2025,E109))))/L109,AD109*AC109*MIN(IF(AB109&gt;0,0.8/0.75,1),(L109*4+AB109)/AA109))</f>
        <v/>
      </c>
      <c r="AF109" s="14">
        <f>AE109/12</f>
        <v/>
      </c>
      <c r="AG109" s="77">
        <f>MIN(68,MAX(56,2*INT(K109/2)))</f>
        <v/>
      </c>
      <c r="AH109" s="75">
        <f>(CHOOSE((AG109-56)/2+1,SUMIFS(Donnees_generations!$U$3:$U$113,Donnees_generations!$A$3:$A$113,MAX(1915,MIN(2025,E109))),SUMIFS(Donnees_generations!$V$3:$V$113,Donnees_generations!$A$3:$A$113,MAX(1915,MIN(2025,E109))),SUMIFS(Donnees_generations!$W$3:$W$113,Donnees_generations!$A$3:$A$113,MAX(1915,MIN(2025,E109))),SUMIFS(Donnees_generations!$X$3:$X$113,Donnees_generations!$A$3:$A$113,MAX(1915,MIN(2025,E109))),SUMIFS(Donnees_generations!$Y$3:$Y$113,Donnees_generations!$A$3:$A$113,MAX(1915,MIN(2025,E109))),SUMIFS(Donnees_generations!$Z$3:$Z$113,Donnees_generations!$A$3:$A$113,MAX(1915,MIN(2025,E109))),SUMIFS(Donnees_generations!$AA$3:$AA$113,Donnees_generations!$A$3:$A$113,MAX(1915,MIN(2025,E109))),SUMIFS(Donnees_generations!$AB$3:$AB$113,Donnees_generations!$A$3:$A$113,MAX(1915,MIN(2025,E109))))+CHOOSE((AG109-56)/2+1,SUMIFS(Donnees_generations!$AC$3:$AC$113,Donnees_generations!$A$3:$A$113,MAX(1915,MIN(2025,E109))),SUMIFS(Donnees_generations!$AD$3:$AD$113,Donnees_generations!$A$3:$A$113,MAX(1915,MIN(2025,E109))),SUMIFS(Donnees_generations!$AE$3:$AE$113,Donnees_generations!$A$3:$A$113,MAX(1915,MIN(2025,E109))),SUMIFS(Donnees_generations!$AF$3:$AF$113,Donnees_generations!$A$3:$A$113,MAX(1915,MIN(2025,E109))),SUMIFS(Donnees_generations!$AG$3:$AG$113,Donnees_generations!$A$3:$A$113,MAX(1915,MIN(2025,E109))),SUMIFS(Donnees_generations!$AH$3:$AH$113,Donnees_generations!$A$3:$A$113,MAX(1915,MIN(2025,E109))),SUMIFS(Donnees_generations!$AI$3:$AI$113,Donnees_generations!$A$3:$A$113,MAX(1915,MIN(2025,E109))),SUMIFS(Donnees_generations!$AJ$3:$AJ$113,Donnees_generations!$A$3:$A$113,MAX(1915,MIN(2025,E109)))))/2</f>
        <v/>
      </c>
      <c r="AI109" s="75">
        <f>(CHOOSE(((AG109+2)-56)/2+1,SUMIFS(Donnees_generations!$U$3:$U$113,Donnees_generations!$A$3:$A$113,MAX(1915,MIN(2025,E109))),SUMIFS(Donnees_generations!$V$3:$V$113,Donnees_generations!$A$3:$A$113,MAX(1915,MIN(2025,E109))),SUMIFS(Donnees_generations!$W$3:$W$113,Donnees_generations!$A$3:$A$113,MAX(1915,MIN(2025,E109))),SUMIFS(Donnees_generations!$X$3:$X$113,Donnees_generations!$A$3:$A$113,MAX(1915,MIN(2025,E109))),SUMIFS(Donnees_generations!$Y$3:$Y$113,Donnees_generations!$A$3:$A$113,MAX(1915,MIN(2025,E109))),SUMIFS(Donnees_generations!$Z$3:$Z$113,Donnees_generations!$A$3:$A$113,MAX(1915,MIN(2025,E109))),SUMIFS(Donnees_generations!$AA$3:$AA$113,Donnees_generations!$A$3:$A$113,MAX(1915,MIN(2025,E109))),SUMIFS(Donnees_generations!$AB$3:$AB$113,Donnees_generations!$A$3:$A$113,MAX(1915,MIN(2025,E109))))+CHOOSE(((AG109+2)-56)/2+1,SUMIFS(Donnees_generations!$AC$3:$AC$113,Donnees_generations!$A$3:$A$113,MAX(1915,MIN(2025,E109))),SUMIFS(Donnees_generations!$AD$3:$AD$113,Donnees_generations!$A$3:$A$113,MAX(1915,MIN(2025,E109))),SUMIFS(Donnees_generations!$AE$3:$AE$113,Donnees_generations!$A$3:$A$113,MAX(1915,MIN(2025,E109))),SUMIFS(Donnees_generations!$AF$3:$AF$113,Donnees_generations!$A$3:$A$113,MAX(1915,MIN(2025,E109))),SUMIFS(Donnees_generations!$AG$3:$AG$113,Donnees_generations!$A$3:$A$113,MAX(1915,MIN(2025,E109))),SUMIFS(Donnees_generations!$AH$3:$AH$113,Donnees_generations!$A$3:$A$113,MAX(1915,MIN(2025,E109))),SUMIFS(Donnees_generations!$AI$3:$AI$113,Donnees_generations!$A$3:$A$113,MAX(1915,MIN(2025,E109))),SUMIFS(Donnees_generations!$AJ$3:$AJ$113,Donnees_generations!$A$3:$A$113,MAX(1915,MIN(2025,E109)))))/2</f>
        <v/>
      </c>
      <c r="AJ109" s="8">
        <f>MAX(0,AH109+(AI109-AH109)*(K109-AG109)/2)</f>
        <v/>
      </c>
      <c r="AK109" s="8">
        <f>K109+AJ109</f>
        <v/>
      </c>
      <c r="AL109" s="14">
        <f>AE109*AJ109</f>
        <v/>
      </c>
      <c r="AM109" s="17">
        <f>V109/AL109</f>
        <v/>
      </c>
      <c r="AN109" s="17">
        <f>Z109/AL109</f>
        <v/>
      </c>
      <c r="AO109" s="33">
        <f>IF(V109+Z109=0,0,Z109/(V109+Z109))</f>
        <v/>
      </c>
      <c r="AP109" s="14">
        <f>AL109/V109*100</f>
        <v/>
      </c>
      <c r="AQ109" s="8">
        <f>P109/AL109*1000</f>
        <v/>
      </c>
      <c r="AR109" s="77">
        <f>MAX(N109,M109-1)</f>
        <v/>
      </c>
      <c r="AS109" s="14">
        <f>SUMIFS(Donnees_regimes!$R$3:$R$1118,Donnees_regimes!$A$3:$A$1118,C109,Donnees_regimes!$B$3:$B$1118,"&gt;="&amp;G109,Donnees_regimes!$B$3:$B$1118,"&lt;="&amp;N109)*L109/ROUNDUP(L109,0)*SUMIFS(Donnees_annuelles!$AG$3:$AG$188,Donnees_annuelles!$A$3:$A$188,AR109)*SUMIFS(Donnees_annuelles!$AA$3:$AA$188,Donnees_annuelles!$A$3:$A$188,AR109)</f>
        <v/>
      </c>
      <c r="AT109" s="36">
        <f>AS109/V109</f>
        <v/>
      </c>
      <c r="AU109" s="14">
        <f>AL109</f>
        <v/>
      </c>
      <c r="AV109" s="39">
        <f>AS109-AL109</f>
        <v/>
      </c>
      <c r="AW109" s="9">
        <f>AS109/AL109-1</f>
        <v/>
      </c>
      <c r="AX109" s="14">
        <f>AS109/AJ109/12</f>
        <v/>
      </c>
      <c r="AY109" s="14">
        <f>AF109</f>
        <v/>
      </c>
      <c r="AZ109" s="39">
        <f>AX109-AF109</f>
        <v/>
      </c>
      <c r="BA109" s="14">
        <f>SUMIFS(Donnees_regimes!$S$3:$S$1118,Donnees_regimes!$A$3:$A$1118,C109,Donnees_regimes!$B$3:$B$1118,"&gt;="&amp;G109,Donnees_regimes!$B$3:$B$1118,"&lt;="&amp;N109)*L109/ROUNDUP(L109,0)*SUMIFS(Donnees_annuelles!$AH$3:$AH$188,Donnees_annuelles!$A$3:$A$188,AR109)*SUMIFS(Donnees_annuelles!$AA$3:$AA$188,Donnees_annuelles!$A$3:$A$188,AR109)</f>
        <v/>
      </c>
      <c r="BB109" s="39">
        <f>BA109-AL109</f>
        <v/>
      </c>
      <c r="BC109" s="7">
        <f>IF(M109+AJ109&gt;2026,IF(G109&gt;2026,"entièrement projeté","en partie projeté"),"observé")</f>
        <v/>
      </c>
    </row>
    <row r="110">
      <c r="A110" s="7" t="inlineStr">
        <is>
          <t>Génération silencieuse</t>
        </is>
      </c>
      <c r="B110" s="84" t="inlineStr">
        <is>
          <t>Fonction publique d'État</t>
        </is>
      </c>
      <c r="C110" s="7">
        <f>IF(G110&gt;=SUMIFS(Regimes!$C$5:$C$10,Regimes!$A$5:$A$10,B110),"Privé",B110)</f>
        <v/>
      </c>
      <c r="D110" s="7">
        <f>INDEX(Regimes!$D$5:$D$10,MATCH(C110,Regimes!$A$5:$A$10,0))</f>
        <v/>
      </c>
      <c r="E110" s="88" t="n">
        <v>1937</v>
      </c>
      <c r="F110" s="8">
        <f>Donnees_generations!C25</f>
        <v/>
      </c>
      <c r="G110" s="77">
        <f>Donnees_generations!D25</f>
        <v/>
      </c>
      <c r="H110" s="8">
        <f>SUMIFS(Donnees_generations!$S$3:$S$113,Donnees_generations!$A$3:$A$113,MAX(1915,MIN(2025,E110)))</f>
        <v/>
      </c>
      <c r="I110" s="8">
        <f>SUMIFS(Donnees_generations!$T$3:$T$113,Donnees_generations!$A$3:$A$113,MAX(1915,MIN(2025,E110)))</f>
        <v/>
      </c>
      <c r="J110" s="8">
        <f>IF(G110&gt;=2000,MAX(I110,Parametres!$B$3),I110)</f>
        <v/>
      </c>
      <c r="K110" s="8">
        <f>IF(C110="Privé",J110,SUMIFS(Regles_regimes!$J$3:$J$2000,Regles_regimes!$A$3:$A$2000,C110,Regles_regimes!$B$3:$B$2000,D110,Regles_regimes!$C$3:$C$2000,MAX(1915,MIN(2025,E110))))</f>
        <v/>
      </c>
      <c r="L110" s="8">
        <f>IF(C110="Privé",H110,(K110-F110)*H110/(J110-F110))</f>
        <v/>
      </c>
      <c r="M110" s="77">
        <f>INT(E110+K110)</f>
        <v/>
      </c>
      <c r="N110" s="77">
        <f>G110+ROUNDUP(L110,0)-1</f>
        <v/>
      </c>
      <c r="O110" s="89">
        <f>SUMIFS(Regles_regimes!$K$3:$K$2000,Regles_regimes!$A$3:$A$2000,C110,Regles_regimes!$B$3:$B$2000,D110,Regles_regimes!$C$3:$C$2000,MAX(1915,MIN(2025,E110)))</f>
        <v/>
      </c>
      <c r="P110" s="13">
        <f>SUMIFS(Donnees_annuelles!$W$3:$W$188,Donnees_annuelles!$A$3:$A$188,"&gt;="&amp;G110,Donnees_annuelles!$A$3:$A$188,"&lt;="&amp;N110)*L110/ROUNDUP(L110,0)*O110</f>
        <v/>
      </c>
      <c r="Q110" s="13">
        <f>SUMIFS(Donnees_annuelles!$V$3:$V$188,Donnees_annuelles!$A$3:$A$188,"&gt;="&amp;G110,Donnees_annuelles!$A$3:$A$188,"&lt;="&amp;N110)*L110/ROUNDUP(L110,0)</f>
        <v/>
      </c>
      <c r="R110" s="13">
        <f>P110/L110</f>
        <v/>
      </c>
      <c r="S110" s="14">
        <f>SUMIFS(Donnees_annuelles!$D$3:$D$188,Donnees_annuelles!$A$3:$A$188,"&gt;="&amp;G110,Donnees_annuelles!$A$3:$A$188,"&lt;="&amp;N110)*L110/ROUNDUP(L110,0)</f>
        <v/>
      </c>
      <c r="T110" s="14">
        <f>SUMIFS(Donnees_regimes!$N$3:$N$1118,Donnees_regimes!$A$3:$A$1118,C110,Donnees_regimes!$B$3:$B$1118,"&gt;="&amp;G110,Donnees_regimes!$B$3:$B$1118,"&lt;="&amp;N110)*L110/ROUNDUP(L110,0)</f>
        <v/>
      </c>
      <c r="U110" s="14">
        <f>SUMIFS(Donnees_regimes!$O$3:$O$1118,Donnees_regimes!$A$3:$A$1118,C110,Donnees_regimes!$B$3:$B$1118,"&gt;="&amp;G110,Donnees_regimes!$B$3:$B$1118,"&lt;="&amp;N110)*L110/ROUNDUP(L110,0)</f>
        <v/>
      </c>
      <c r="V110" s="14">
        <f>T110+U110</f>
        <v/>
      </c>
      <c r="W110" s="33">
        <f>V110/S110</f>
        <v/>
      </c>
      <c r="X110" s="14">
        <f>S110+U110</f>
        <v/>
      </c>
      <c r="Y110" s="17">
        <f>V110/P110</f>
        <v/>
      </c>
      <c r="Z110" s="14">
        <f>SUMIFS(Donnees_regimes!$Q$3:$Q$1118,Donnees_regimes!$A$3:$A$1118,C110,Donnees_regimes!$B$3:$B$1118,"&gt;="&amp;G110,Donnees_regimes!$B$3:$B$1118,"&lt;="&amp;N110)*L110/ROUNDUP(L110,0)</f>
        <v/>
      </c>
      <c r="AA110" s="77">
        <f>SUMIFS(Regles_regimes!$F$3:$F$2000,Regles_regimes!$A$3:$A$2000,C110,Regles_regimes!$B$3:$B$2000,D110,Regles_regimes!$C$3:$C$2000,MAX(1915,MIN(2025,E110)))</f>
        <v/>
      </c>
      <c r="AB110" s="77">
        <f>IF(AND(SUMIFS(Regles_regimes!$L$3:$L$2000,Regles_regimes!$A$3:$A$2000,C110,Regles_regimes!$B$3:$B$2000,D110,Regles_regimes!$C$3:$C$2000,MAX(1915,MIN(2025,E110)))=1,G110&lt;2009,C110&lt;&gt;"Privé"),MIN(20,L110*4/5),0)</f>
        <v/>
      </c>
      <c r="AC110" s="89">
        <f>SUMIFS(Donnees_regimes!$M$3:$M$1118,Donnees_regimes!$A$3:$A$1118,C110,Donnees_regimes!$B$3:$B$1118,M110)</f>
        <v/>
      </c>
      <c r="AD110" s="14">
        <f>SUMIFS(Donnees_annuelles!$Y$3:$Y$188,Donnees_annuelles!$A$3:$A$188,M110)*SUMIFS(Donnees_generations!$I$3:$I$113,Donnees_generations!$A$3:$A$113,MAX(1915,MIN(2025,E110)))/H110</f>
        <v/>
      </c>
      <c r="AE110" s="14">
        <f>IF(C110="Privé",SUMIFS(Donnees_annuelles!$Y$3:$Y$188,Donnees_annuelles!$A$3:$A$188,M110)*MIN(L110,SUMIFS(Donnees_generations!$I$3:$I$113,Donnees_generations!$A$3:$A$113,MAX(1915,MIN(2025,E110))))/L110,AD110*AC110*MIN(IF(AB110&gt;0,0.8/0.75,1),(L110*4+AB110)/AA110))</f>
        <v/>
      </c>
      <c r="AF110" s="14">
        <f>AE110/12</f>
        <v/>
      </c>
      <c r="AG110" s="77">
        <f>MIN(68,MAX(56,2*INT(K110/2)))</f>
        <v/>
      </c>
      <c r="AH110" s="75">
        <f>(CHOOSE((AG110-56)/2+1,SUMIFS(Donnees_generations!$U$3:$U$113,Donnees_generations!$A$3:$A$113,MAX(1915,MIN(2025,E110))),SUMIFS(Donnees_generations!$V$3:$V$113,Donnees_generations!$A$3:$A$113,MAX(1915,MIN(2025,E110))),SUMIFS(Donnees_generations!$W$3:$W$113,Donnees_generations!$A$3:$A$113,MAX(1915,MIN(2025,E110))),SUMIFS(Donnees_generations!$X$3:$X$113,Donnees_generations!$A$3:$A$113,MAX(1915,MIN(2025,E110))),SUMIFS(Donnees_generations!$Y$3:$Y$113,Donnees_generations!$A$3:$A$113,MAX(1915,MIN(2025,E110))),SUMIFS(Donnees_generations!$Z$3:$Z$113,Donnees_generations!$A$3:$A$113,MAX(1915,MIN(2025,E110))),SUMIFS(Donnees_generations!$AA$3:$AA$113,Donnees_generations!$A$3:$A$113,MAX(1915,MIN(2025,E110))),SUMIFS(Donnees_generations!$AB$3:$AB$113,Donnees_generations!$A$3:$A$113,MAX(1915,MIN(2025,E110))))+CHOOSE((AG110-56)/2+1,SUMIFS(Donnees_generations!$AC$3:$AC$113,Donnees_generations!$A$3:$A$113,MAX(1915,MIN(2025,E110))),SUMIFS(Donnees_generations!$AD$3:$AD$113,Donnees_generations!$A$3:$A$113,MAX(1915,MIN(2025,E110))),SUMIFS(Donnees_generations!$AE$3:$AE$113,Donnees_generations!$A$3:$A$113,MAX(1915,MIN(2025,E110))),SUMIFS(Donnees_generations!$AF$3:$AF$113,Donnees_generations!$A$3:$A$113,MAX(1915,MIN(2025,E110))),SUMIFS(Donnees_generations!$AG$3:$AG$113,Donnees_generations!$A$3:$A$113,MAX(1915,MIN(2025,E110))),SUMIFS(Donnees_generations!$AH$3:$AH$113,Donnees_generations!$A$3:$A$113,MAX(1915,MIN(2025,E110))),SUMIFS(Donnees_generations!$AI$3:$AI$113,Donnees_generations!$A$3:$A$113,MAX(1915,MIN(2025,E110))),SUMIFS(Donnees_generations!$AJ$3:$AJ$113,Donnees_generations!$A$3:$A$113,MAX(1915,MIN(2025,E110)))))/2</f>
        <v/>
      </c>
      <c r="AI110" s="75">
        <f>(CHOOSE(((AG110+2)-56)/2+1,SUMIFS(Donnees_generations!$U$3:$U$113,Donnees_generations!$A$3:$A$113,MAX(1915,MIN(2025,E110))),SUMIFS(Donnees_generations!$V$3:$V$113,Donnees_generations!$A$3:$A$113,MAX(1915,MIN(2025,E110))),SUMIFS(Donnees_generations!$W$3:$W$113,Donnees_generations!$A$3:$A$113,MAX(1915,MIN(2025,E110))),SUMIFS(Donnees_generations!$X$3:$X$113,Donnees_generations!$A$3:$A$113,MAX(1915,MIN(2025,E110))),SUMIFS(Donnees_generations!$Y$3:$Y$113,Donnees_generations!$A$3:$A$113,MAX(1915,MIN(2025,E110))),SUMIFS(Donnees_generations!$Z$3:$Z$113,Donnees_generations!$A$3:$A$113,MAX(1915,MIN(2025,E110))),SUMIFS(Donnees_generations!$AA$3:$AA$113,Donnees_generations!$A$3:$A$113,MAX(1915,MIN(2025,E110))),SUMIFS(Donnees_generations!$AB$3:$AB$113,Donnees_generations!$A$3:$A$113,MAX(1915,MIN(2025,E110))))+CHOOSE(((AG110+2)-56)/2+1,SUMIFS(Donnees_generations!$AC$3:$AC$113,Donnees_generations!$A$3:$A$113,MAX(1915,MIN(2025,E110))),SUMIFS(Donnees_generations!$AD$3:$AD$113,Donnees_generations!$A$3:$A$113,MAX(1915,MIN(2025,E110))),SUMIFS(Donnees_generations!$AE$3:$AE$113,Donnees_generations!$A$3:$A$113,MAX(1915,MIN(2025,E110))),SUMIFS(Donnees_generations!$AF$3:$AF$113,Donnees_generations!$A$3:$A$113,MAX(1915,MIN(2025,E110))),SUMIFS(Donnees_generations!$AG$3:$AG$113,Donnees_generations!$A$3:$A$113,MAX(1915,MIN(2025,E110))),SUMIFS(Donnees_generations!$AH$3:$AH$113,Donnees_generations!$A$3:$A$113,MAX(1915,MIN(2025,E110))),SUMIFS(Donnees_generations!$AI$3:$AI$113,Donnees_generations!$A$3:$A$113,MAX(1915,MIN(2025,E110))),SUMIFS(Donnees_generations!$AJ$3:$AJ$113,Donnees_generations!$A$3:$A$113,MAX(1915,MIN(2025,E110)))))/2</f>
        <v/>
      </c>
      <c r="AJ110" s="8">
        <f>MAX(0,AH110+(AI110-AH110)*(K110-AG110)/2)</f>
        <v/>
      </c>
      <c r="AK110" s="8">
        <f>K110+AJ110</f>
        <v/>
      </c>
      <c r="AL110" s="14">
        <f>AE110*AJ110</f>
        <v/>
      </c>
      <c r="AM110" s="17">
        <f>V110/AL110</f>
        <v/>
      </c>
      <c r="AN110" s="17">
        <f>Z110/AL110</f>
        <v/>
      </c>
      <c r="AO110" s="33">
        <f>IF(V110+Z110=0,0,Z110/(V110+Z110))</f>
        <v/>
      </c>
      <c r="AP110" s="14">
        <f>AL110/V110*100</f>
        <v/>
      </c>
      <c r="AQ110" s="8">
        <f>P110/AL110*1000</f>
        <v/>
      </c>
      <c r="AR110" s="77">
        <f>MAX(N110,M110-1)</f>
        <v/>
      </c>
      <c r="AS110" s="14">
        <f>SUMIFS(Donnees_regimes!$R$3:$R$1118,Donnees_regimes!$A$3:$A$1118,C110,Donnees_regimes!$B$3:$B$1118,"&gt;="&amp;G110,Donnees_regimes!$B$3:$B$1118,"&lt;="&amp;N110)*L110/ROUNDUP(L110,0)*SUMIFS(Donnees_annuelles!$AG$3:$AG$188,Donnees_annuelles!$A$3:$A$188,AR110)*SUMIFS(Donnees_annuelles!$AA$3:$AA$188,Donnees_annuelles!$A$3:$A$188,AR110)</f>
        <v/>
      </c>
      <c r="AT110" s="36">
        <f>AS110/V110</f>
        <v/>
      </c>
      <c r="AU110" s="14">
        <f>AL110</f>
        <v/>
      </c>
      <c r="AV110" s="39">
        <f>AS110-AL110</f>
        <v/>
      </c>
      <c r="AW110" s="9">
        <f>AS110/AL110-1</f>
        <v/>
      </c>
      <c r="AX110" s="14">
        <f>AS110/AJ110/12</f>
        <v/>
      </c>
      <c r="AY110" s="14">
        <f>AF110</f>
        <v/>
      </c>
      <c r="AZ110" s="39">
        <f>AX110-AF110</f>
        <v/>
      </c>
      <c r="BA110" s="14">
        <f>SUMIFS(Donnees_regimes!$S$3:$S$1118,Donnees_regimes!$A$3:$A$1118,C110,Donnees_regimes!$B$3:$B$1118,"&gt;="&amp;G110,Donnees_regimes!$B$3:$B$1118,"&lt;="&amp;N110)*L110/ROUNDUP(L110,0)*SUMIFS(Donnees_annuelles!$AH$3:$AH$188,Donnees_annuelles!$A$3:$A$188,AR110)*SUMIFS(Donnees_annuelles!$AA$3:$AA$188,Donnees_annuelles!$A$3:$A$188,AR110)</f>
        <v/>
      </c>
      <c r="BB110" s="39">
        <f>BA110-AL110</f>
        <v/>
      </c>
      <c r="BC110" s="7">
        <f>IF(M110+AJ110&gt;2026,IF(G110&gt;2026,"entièrement projeté","en partie projeté"),"observé")</f>
        <v/>
      </c>
    </row>
    <row r="111">
      <c r="A111" s="7" t="inlineStr">
        <is>
          <t>Génération silencieuse</t>
        </is>
      </c>
      <c r="B111" s="84" t="inlineStr">
        <is>
          <t>Fonction publique d'État</t>
        </is>
      </c>
      <c r="C111" s="7">
        <f>IF(G111&gt;=SUMIFS(Regimes!$C$5:$C$10,Regimes!$A$5:$A$10,B111),"Privé",B111)</f>
        <v/>
      </c>
      <c r="D111" s="7">
        <f>INDEX(Regimes!$D$5:$D$10,MATCH(C111,Regimes!$A$5:$A$10,0))</f>
        <v/>
      </c>
      <c r="E111" s="88" t="n">
        <v>1938</v>
      </c>
      <c r="F111" s="8">
        <f>Donnees_generations!C26</f>
        <v/>
      </c>
      <c r="G111" s="77">
        <f>Donnees_generations!D26</f>
        <v/>
      </c>
      <c r="H111" s="8">
        <f>SUMIFS(Donnees_generations!$S$3:$S$113,Donnees_generations!$A$3:$A$113,MAX(1915,MIN(2025,E111)))</f>
        <v/>
      </c>
      <c r="I111" s="8">
        <f>SUMIFS(Donnees_generations!$T$3:$T$113,Donnees_generations!$A$3:$A$113,MAX(1915,MIN(2025,E111)))</f>
        <v/>
      </c>
      <c r="J111" s="8">
        <f>IF(G111&gt;=2000,MAX(I111,Parametres!$B$3),I111)</f>
        <v/>
      </c>
      <c r="K111" s="8">
        <f>IF(C111="Privé",J111,SUMIFS(Regles_regimes!$J$3:$J$2000,Regles_regimes!$A$3:$A$2000,C111,Regles_regimes!$B$3:$B$2000,D111,Regles_regimes!$C$3:$C$2000,MAX(1915,MIN(2025,E111))))</f>
        <v/>
      </c>
      <c r="L111" s="8">
        <f>IF(C111="Privé",H111,(K111-F111)*H111/(J111-F111))</f>
        <v/>
      </c>
      <c r="M111" s="77">
        <f>INT(E111+K111)</f>
        <v/>
      </c>
      <c r="N111" s="77">
        <f>G111+ROUNDUP(L111,0)-1</f>
        <v/>
      </c>
      <c r="O111" s="89">
        <f>SUMIFS(Regles_regimes!$K$3:$K$2000,Regles_regimes!$A$3:$A$2000,C111,Regles_regimes!$B$3:$B$2000,D111,Regles_regimes!$C$3:$C$2000,MAX(1915,MIN(2025,E111)))</f>
        <v/>
      </c>
      <c r="P111" s="13">
        <f>SUMIFS(Donnees_annuelles!$W$3:$W$188,Donnees_annuelles!$A$3:$A$188,"&gt;="&amp;G111,Donnees_annuelles!$A$3:$A$188,"&lt;="&amp;N111)*L111/ROUNDUP(L111,0)*O111</f>
        <v/>
      </c>
      <c r="Q111" s="13">
        <f>SUMIFS(Donnees_annuelles!$V$3:$V$188,Donnees_annuelles!$A$3:$A$188,"&gt;="&amp;G111,Donnees_annuelles!$A$3:$A$188,"&lt;="&amp;N111)*L111/ROUNDUP(L111,0)</f>
        <v/>
      </c>
      <c r="R111" s="13">
        <f>P111/L111</f>
        <v/>
      </c>
      <c r="S111" s="14">
        <f>SUMIFS(Donnees_annuelles!$D$3:$D$188,Donnees_annuelles!$A$3:$A$188,"&gt;="&amp;G111,Donnees_annuelles!$A$3:$A$188,"&lt;="&amp;N111)*L111/ROUNDUP(L111,0)</f>
        <v/>
      </c>
      <c r="T111" s="14">
        <f>SUMIFS(Donnees_regimes!$N$3:$N$1118,Donnees_regimes!$A$3:$A$1118,C111,Donnees_regimes!$B$3:$B$1118,"&gt;="&amp;G111,Donnees_regimes!$B$3:$B$1118,"&lt;="&amp;N111)*L111/ROUNDUP(L111,0)</f>
        <v/>
      </c>
      <c r="U111" s="14">
        <f>SUMIFS(Donnees_regimes!$O$3:$O$1118,Donnees_regimes!$A$3:$A$1118,C111,Donnees_regimes!$B$3:$B$1118,"&gt;="&amp;G111,Donnees_regimes!$B$3:$B$1118,"&lt;="&amp;N111)*L111/ROUNDUP(L111,0)</f>
        <v/>
      </c>
      <c r="V111" s="14">
        <f>T111+U111</f>
        <v/>
      </c>
      <c r="W111" s="33">
        <f>V111/S111</f>
        <v/>
      </c>
      <c r="X111" s="14">
        <f>S111+U111</f>
        <v/>
      </c>
      <c r="Y111" s="17">
        <f>V111/P111</f>
        <v/>
      </c>
      <c r="Z111" s="14">
        <f>SUMIFS(Donnees_regimes!$Q$3:$Q$1118,Donnees_regimes!$A$3:$A$1118,C111,Donnees_regimes!$B$3:$B$1118,"&gt;="&amp;G111,Donnees_regimes!$B$3:$B$1118,"&lt;="&amp;N111)*L111/ROUNDUP(L111,0)</f>
        <v/>
      </c>
      <c r="AA111" s="77">
        <f>SUMIFS(Regles_regimes!$F$3:$F$2000,Regles_regimes!$A$3:$A$2000,C111,Regles_regimes!$B$3:$B$2000,D111,Regles_regimes!$C$3:$C$2000,MAX(1915,MIN(2025,E111)))</f>
        <v/>
      </c>
      <c r="AB111" s="77">
        <f>IF(AND(SUMIFS(Regles_regimes!$L$3:$L$2000,Regles_regimes!$A$3:$A$2000,C111,Regles_regimes!$B$3:$B$2000,D111,Regles_regimes!$C$3:$C$2000,MAX(1915,MIN(2025,E111)))=1,G111&lt;2009,C111&lt;&gt;"Privé"),MIN(20,L111*4/5),0)</f>
        <v/>
      </c>
      <c r="AC111" s="89">
        <f>SUMIFS(Donnees_regimes!$M$3:$M$1118,Donnees_regimes!$A$3:$A$1118,C111,Donnees_regimes!$B$3:$B$1118,M111)</f>
        <v/>
      </c>
      <c r="AD111" s="14">
        <f>SUMIFS(Donnees_annuelles!$Y$3:$Y$188,Donnees_annuelles!$A$3:$A$188,M111)*SUMIFS(Donnees_generations!$I$3:$I$113,Donnees_generations!$A$3:$A$113,MAX(1915,MIN(2025,E111)))/H111</f>
        <v/>
      </c>
      <c r="AE111" s="14">
        <f>IF(C111="Privé",SUMIFS(Donnees_annuelles!$Y$3:$Y$188,Donnees_annuelles!$A$3:$A$188,M111)*MIN(L111,SUMIFS(Donnees_generations!$I$3:$I$113,Donnees_generations!$A$3:$A$113,MAX(1915,MIN(2025,E111))))/L111,AD111*AC111*MIN(IF(AB111&gt;0,0.8/0.75,1),(L111*4+AB111)/AA111))</f>
        <v/>
      </c>
      <c r="AF111" s="14">
        <f>AE111/12</f>
        <v/>
      </c>
      <c r="AG111" s="77">
        <f>MIN(68,MAX(56,2*INT(K111/2)))</f>
        <v/>
      </c>
      <c r="AH111" s="75">
        <f>(CHOOSE((AG111-56)/2+1,SUMIFS(Donnees_generations!$U$3:$U$113,Donnees_generations!$A$3:$A$113,MAX(1915,MIN(2025,E111))),SUMIFS(Donnees_generations!$V$3:$V$113,Donnees_generations!$A$3:$A$113,MAX(1915,MIN(2025,E111))),SUMIFS(Donnees_generations!$W$3:$W$113,Donnees_generations!$A$3:$A$113,MAX(1915,MIN(2025,E111))),SUMIFS(Donnees_generations!$X$3:$X$113,Donnees_generations!$A$3:$A$113,MAX(1915,MIN(2025,E111))),SUMIFS(Donnees_generations!$Y$3:$Y$113,Donnees_generations!$A$3:$A$113,MAX(1915,MIN(2025,E111))),SUMIFS(Donnees_generations!$Z$3:$Z$113,Donnees_generations!$A$3:$A$113,MAX(1915,MIN(2025,E111))),SUMIFS(Donnees_generations!$AA$3:$AA$113,Donnees_generations!$A$3:$A$113,MAX(1915,MIN(2025,E111))),SUMIFS(Donnees_generations!$AB$3:$AB$113,Donnees_generations!$A$3:$A$113,MAX(1915,MIN(2025,E111))))+CHOOSE((AG111-56)/2+1,SUMIFS(Donnees_generations!$AC$3:$AC$113,Donnees_generations!$A$3:$A$113,MAX(1915,MIN(2025,E111))),SUMIFS(Donnees_generations!$AD$3:$AD$113,Donnees_generations!$A$3:$A$113,MAX(1915,MIN(2025,E111))),SUMIFS(Donnees_generations!$AE$3:$AE$113,Donnees_generations!$A$3:$A$113,MAX(1915,MIN(2025,E111))),SUMIFS(Donnees_generations!$AF$3:$AF$113,Donnees_generations!$A$3:$A$113,MAX(1915,MIN(2025,E111))),SUMIFS(Donnees_generations!$AG$3:$AG$113,Donnees_generations!$A$3:$A$113,MAX(1915,MIN(2025,E111))),SUMIFS(Donnees_generations!$AH$3:$AH$113,Donnees_generations!$A$3:$A$113,MAX(1915,MIN(2025,E111))),SUMIFS(Donnees_generations!$AI$3:$AI$113,Donnees_generations!$A$3:$A$113,MAX(1915,MIN(2025,E111))),SUMIFS(Donnees_generations!$AJ$3:$AJ$113,Donnees_generations!$A$3:$A$113,MAX(1915,MIN(2025,E111)))))/2</f>
        <v/>
      </c>
      <c r="AI111" s="75">
        <f>(CHOOSE(((AG111+2)-56)/2+1,SUMIFS(Donnees_generations!$U$3:$U$113,Donnees_generations!$A$3:$A$113,MAX(1915,MIN(2025,E111))),SUMIFS(Donnees_generations!$V$3:$V$113,Donnees_generations!$A$3:$A$113,MAX(1915,MIN(2025,E111))),SUMIFS(Donnees_generations!$W$3:$W$113,Donnees_generations!$A$3:$A$113,MAX(1915,MIN(2025,E111))),SUMIFS(Donnees_generations!$X$3:$X$113,Donnees_generations!$A$3:$A$113,MAX(1915,MIN(2025,E111))),SUMIFS(Donnees_generations!$Y$3:$Y$113,Donnees_generations!$A$3:$A$113,MAX(1915,MIN(2025,E111))),SUMIFS(Donnees_generations!$Z$3:$Z$113,Donnees_generations!$A$3:$A$113,MAX(1915,MIN(2025,E111))),SUMIFS(Donnees_generations!$AA$3:$AA$113,Donnees_generations!$A$3:$A$113,MAX(1915,MIN(2025,E111))),SUMIFS(Donnees_generations!$AB$3:$AB$113,Donnees_generations!$A$3:$A$113,MAX(1915,MIN(2025,E111))))+CHOOSE(((AG111+2)-56)/2+1,SUMIFS(Donnees_generations!$AC$3:$AC$113,Donnees_generations!$A$3:$A$113,MAX(1915,MIN(2025,E111))),SUMIFS(Donnees_generations!$AD$3:$AD$113,Donnees_generations!$A$3:$A$113,MAX(1915,MIN(2025,E111))),SUMIFS(Donnees_generations!$AE$3:$AE$113,Donnees_generations!$A$3:$A$113,MAX(1915,MIN(2025,E111))),SUMIFS(Donnees_generations!$AF$3:$AF$113,Donnees_generations!$A$3:$A$113,MAX(1915,MIN(2025,E111))),SUMIFS(Donnees_generations!$AG$3:$AG$113,Donnees_generations!$A$3:$A$113,MAX(1915,MIN(2025,E111))),SUMIFS(Donnees_generations!$AH$3:$AH$113,Donnees_generations!$A$3:$A$113,MAX(1915,MIN(2025,E111))),SUMIFS(Donnees_generations!$AI$3:$AI$113,Donnees_generations!$A$3:$A$113,MAX(1915,MIN(2025,E111))),SUMIFS(Donnees_generations!$AJ$3:$AJ$113,Donnees_generations!$A$3:$A$113,MAX(1915,MIN(2025,E111)))))/2</f>
        <v/>
      </c>
      <c r="AJ111" s="8">
        <f>MAX(0,AH111+(AI111-AH111)*(K111-AG111)/2)</f>
        <v/>
      </c>
      <c r="AK111" s="8">
        <f>K111+AJ111</f>
        <v/>
      </c>
      <c r="AL111" s="14">
        <f>AE111*AJ111</f>
        <v/>
      </c>
      <c r="AM111" s="17">
        <f>V111/AL111</f>
        <v/>
      </c>
      <c r="AN111" s="17">
        <f>Z111/AL111</f>
        <v/>
      </c>
      <c r="AO111" s="33">
        <f>IF(V111+Z111=0,0,Z111/(V111+Z111))</f>
        <v/>
      </c>
      <c r="AP111" s="14">
        <f>AL111/V111*100</f>
        <v/>
      </c>
      <c r="AQ111" s="8">
        <f>P111/AL111*1000</f>
        <v/>
      </c>
      <c r="AR111" s="77">
        <f>MAX(N111,M111-1)</f>
        <v/>
      </c>
      <c r="AS111" s="14">
        <f>SUMIFS(Donnees_regimes!$R$3:$R$1118,Donnees_regimes!$A$3:$A$1118,C111,Donnees_regimes!$B$3:$B$1118,"&gt;="&amp;G111,Donnees_regimes!$B$3:$B$1118,"&lt;="&amp;N111)*L111/ROUNDUP(L111,0)*SUMIFS(Donnees_annuelles!$AG$3:$AG$188,Donnees_annuelles!$A$3:$A$188,AR111)*SUMIFS(Donnees_annuelles!$AA$3:$AA$188,Donnees_annuelles!$A$3:$A$188,AR111)</f>
        <v/>
      </c>
      <c r="AT111" s="36">
        <f>AS111/V111</f>
        <v/>
      </c>
      <c r="AU111" s="14">
        <f>AL111</f>
        <v/>
      </c>
      <c r="AV111" s="39">
        <f>AS111-AL111</f>
        <v/>
      </c>
      <c r="AW111" s="9">
        <f>AS111/AL111-1</f>
        <v/>
      </c>
      <c r="AX111" s="14">
        <f>AS111/AJ111/12</f>
        <v/>
      </c>
      <c r="AY111" s="14">
        <f>AF111</f>
        <v/>
      </c>
      <c r="AZ111" s="39">
        <f>AX111-AF111</f>
        <v/>
      </c>
      <c r="BA111" s="14">
        <f>SUMIFS(Donnees_regimes!$S$3:$S$1118,Donnees_regimes!$A$3:$A$1118,C111,Donnees_regimes!$B$3:$B$1118,"&gt;="&amp;G111,Donnees_regimes!$B$3:$B$1118,"&lt;="&amp;N111)*L111/ROUNDUP(L111,0)*SUMIFS(Donnees_annuelles!$AH$3:$AH$188,Donnees_annuelles!$A$3:$A$188,AR111)*SUMIFS(Donnees_annuelles!$AA$3:$AA$188,Donnees_annuelles!$A$3:$A$188,AR111)</f>
        <v/>
      </c>
      <c r="BB111" s="39">
        <f>BA111-AL111</f>
        <v/>
      </c>
      <c r="BC111" s="7">
        <f>IF(M111+AJ111&gt;2026,IF(G111&gt;2026,"entièrement projeté","en partie projeté"),"observé")</f>
        <v/>
      </c>
    </row>
    <row r="112">
      <c r="A112" s="7" t="inlineStr">
        <is>
          <t>Génération silencieuse</t>
        </is>
      </c>
      <c r="B112" s="84" t="inlineStr">
        <is>
          <t>Fonction publique d'État</t>
        </is>
      </c>
      <c r="C112" s="7">
        <f>IF(G112&gt;=SUMIFS(Regimes!$C$5:$C$10,Regimes!$A$5:$A$10,B112),"Privé",B112)</f>
        <v/>
      </c>
      <c r="D112" s="7">
        <f>INDEX(Regimes!$D$5:$D$10,MATCH(C112,Regimes!$A$5:$A$10,0))</f>
        <v/>
      </c>
      <c r="E112" s="88" t="n">
        <v>1939</v>
      </c>
      <c r="F112" s="8">
        <f>Donnees_generations!C27</f>
        <v/>
      </c>
      <c r="G112" s="77">
        <f>Donnees_generations!D27</f>
        <v/>
      </c>
      <c r="H112" s="8">
        <f>SUMIFS(Donnees_generations!$S$3:$S$113,Donnees_generations!$A$3:$A$113,MAX(1915,MIN(2025,E112)))</f>
        <v/>
      </c>
      <c r="I112" s="8">
        <f>SUMIFS(Donnees_generations!$T$3:$T$113,Donnees_generations!$A$3:$A$113,MAX(1915,MIN(2025,E112)))</f>
        <v/>
      </c>
      <c r="J112" s="8">
        <f>IF(G112&gt;=2000,MAX(I112,Parametres!$B$3),I112)</f>
        <v/>
      </c>
      <c r="K112" s="8">
        <f>IF(C112="Privé",J112,SUMIFS(Regles_regimes!$J$3:$J$2000,Regles_regimes!$A$3:$A$2000,C112,Regles_regimes!$B$3:$B$2000,D112,Regles_regimes!$C$3:$C$2000,MAX(1915,MIN(2025,E112))))</f>
        <v/>
      </c>
      <c r="L112" s="8">
        <f>IF(C112="Privé",H112,(K112-F112)*H112/(J112-F112))</f>
        <v/>
      </c>
      <c r="M112" s="77">
        <f>INT(E112+K112)</f>
        <v/>
      </c>
      <c r="N112" s="77">
        <f>G112+ROUNDUP(L112,0)-1</f>
        <v/>
      </c>
      <c r="O112" s="89">
        <f>SUMIFS(Regles_regimes!$K$3:$K$2000,Regles_regimes!$A$3:$A$2000,C112,Regles_regimes!$B$3:$B$2000,D112,Regles_regimes!$C$3:$C$2000,MAX(1915,MIN(2025,E112)))</f>
        <v/>
      </c>
      <c r="P112" s="13">
        <f>SUMIFS(Donnees_annuelles!$W$3:$W$188,Donnees_annuelles!$A$3:$A$188,"&gt;="&amp;G112,Donnees_annuelles!$A$3:$A$188,"&lt;="&amp;N112)*L112/ROUNDUP(L112,0)*O112</f>
        <v/>
      </c>
      <c r="Q112" s="13">
        <f>SUMIFS(Donnees_annuelles!$V$3:$V$188,Donnees_annuelles!$A$3:$A$188,"&gt;="&amp;G112,Donnees_annuelles!$A$3:$A$188,"&lt;="&amp;N112)*L112/ROUNDUP(L112,0)</f>
        <v/>
      </c>
      <c r="R112" s="13">
        <f>P112/L112</f>
        <v/>
      </c>
      <c r="S112" s="14">
        <f>SUMIFS(Donnees_annuelles!$D$3:$D$188,Donnees_annuelles!$A$3:$A$188,"&gt;="&amp;G112,Donnees_annuelles!$A$3:$A$188,"&lt;="&amp;N112)*L112/ROUNDUP(L112,0)</f>
        <v/>
      </c>
      <c r="T112" s="14">
        <f>SUMIFS(Donnees_regimes!$N$3:$N$1118,Donnees_regimes!$A$3:$A$1118,C112,Donnees_regimes!$B$3:$B$1118,"&gt;="&amp;G112,Donnees_regimes!$B$3:$B$1118,"&lt;="&amp;N112)*L112/ROUNDUP(L112,0)</f>
        <v/>
      </c>
      <c r="U112" s="14">
        <f>SUMIFS(Donnees_regimes!$O$3:$O$1118,Donnees_regimes!$A$3:$A$1118,C112,Donnees_regimes!$B$3:$B$1118,"&gt;="&amp;G112,Donnees_regimes!$B$3:$B$1118,"&lt;="&amp;N112)*L112/ROUNDUP(L112,0)</f>
        <v/>
      </c>
      <c r="V112" s="14">
        <f>T112+U112</f>
        <v/>
      </c>
      <c r="W112" s="33">
        <f>V112/S112</f>
        <v/>
      </c>
      <c r="X112" s="14">
        <f>S112+U112</f>
        <v/>
      </c>
      <c r="Y112" s="17">
        <f>V112/P112</f>
        <v/>
      </c>
      <c r="Z112" s="14">
        <f>SUMIFS(Donnees_regimes!$Q$3:$Q$1118,Donnees_regimes!$A$3:$A$1118,C112,Donnees_regimes!$B$3:$B$1118,"&gt;="&amp;G112,Donnees_regimes!$B$3:$B$1118,"&lt;="&amp;N112)*L112/ROUNDUP(L112,0)</f>
        <v/>
      </c>
      <c r="AA112" s="77">
        <f>SUMIFS(Regles_regimes!$F$3:$F$2000,Regles_regimes!$A$3:$A$2000,C112,Regles_regimes!$B$3:$B$2000,D112,Regles_regimes!$C$3:$C$2000,MAX(1915,MIN(2025,E112)))</f>
        <v/>
      </c>
      <c r="AB112" s="77">
        <f>IF(AND(SUMIFS(Regles_regimes!$L$3:$L$2000,Regles_regimes!$A$3:$A$2000,C112,Regles_regimes!$B$3:$B$2000,D112,Regles_regimes!$C$3:$C$2000,MAX(1915,MIN(2025,E112)))=1,G112&lt;2009,C112&lt;&gt;"Privé"),MIN(20,L112*4/5),0)</f>
        <v/>
      </c>
      <c r="AC112" s="89">
        <f>SUMIFS(Donnees_regimes!$M$3:$M$1118,Donnees_regimes!$A$3:$A$1118,C112,Donnees_regimes!$B$3:$B$1118,M112)</f>
        <v/>
      </c>
      <c r="AD112" s="14">
        <f>SUMIFS(Donnees_annuelles!$Y$3:$Y$188,Donnees_annuelles!$A$3:$A$188,M112)*SUMIFS(Donnees_generations!$I$3:$I$113,Donnees_generations!$A$3:$A$113,MAX(1915,MIN(2025,E112)))/H112</f>
        <v/>
      </c>
      <c r="AE112" s="14">
        <f>IF(C112="Privé",SUMIFS(Donnees_annuelles!$Y$3:$Y$188,Donnees_annuelles!$A$3:$A$188,M112)*MIN(L112,SUMIFS(Donnees_generations!$I$3:$I$113,Donnees_generations!$A$3:$A$113,MAX(1915,MIN(2025,E112))))/L112,AD112*AC112*MIN(IF(AB112&gt;0,0.8/0.75,1),(L112*4+AB112)/AA112))</f>
        <v/>
      </c>
      <c r="AF112" s="14">
        <f>AE112/12</f>
        <v/>
      </c>
      <c r="AG112" s="77">
        <f>MIN(68,MAX(56,2*INT(K112/2)))</f>
        <v/>
      </c>
      <c r="AH112" s="75">
        <f>(CHOOSE((AG112-56)/2+1,SUMIFS(Donnees_generations!$U$3:$U$113,Donnees_generations!$A$3:$A$113,MAX(1915,MIN(2025,E112))),SUMIFS(Donnees_generations!$V$3:$V$113,Donnees_generations!$A$3:$A$113,MAX(1915,MIN(2025,E112))),SUMIFS(Donnees_generations!$W$3:$W$113,Donnees_generations!$A$3:$A$113,MAX(1915,MIN(2025,E112))),SUMIFS(Donnees_generations!$X$3:$X$113,Donnees_generations!$A$3:$A$113,MAX(1915,MIN(2025,E112))),SUMIFS(Donnees_generations!$Y$3:$Y$113,Donnees_generations!$A$3:$A$113,MAX(1915,MIN(2025,E112))),SUMIFS(Donnees_generations!$Z$3:$Z$113,Donnees_generations!$A$3:$A$113,MAX(1915,MIN(2025,E112))),SUMIFS(Donnees_generations!$AA$3:$AA$113,Donnees_generations!$A$3:$A$113,MAX(1915,MIN(2025,E112))),SUMIFS(Donnees_generations!$AB$3:$AB$113,Donnees_generations!$A$3:$A$113,MAX(1915,MIN(2025,E112))))+CHOOSE((AG112-56)/2+1,SUMIFS(Donnees_generations!$AC$3:$AC$113,Donnees_generations!$A$3:$A$113,MAX(1915,MIN(2025,E112))),SUMIFS(Donnees_generations!$AD$3:$AD$113,Donnees_generations!$A$3:$A$113,MAX(1915,MIN(2025,E112))),SUMIFS(Donnees_generations!$AE$3:$AE$113,Donnees_generations!$A$3:$A$113,MAX(1915,MIN(2025,E112))),SUMIFS(Donnees_generations!$AF$3:$AF$113,Donnees_generations!$A$3:$A$113,MAX(1915,MIN(2025,E112))),SUMIFS(Donnees_generations!$AG$3:$AG$113,Donnees_generations!$A$3:$A$113,MAX(1915,MIN(2025,E112))),SUMIFS(Donnees_generations!$AH$3:$AH$113,Donnees_generations!$A$3:$A$113,MAX(1915,MIN(2025,E112))),SUMIFS(Donnees_generations!$AI$3:$AI$113,Donnees_generations!$A$3:$A$113,MAX(1915,MIN(2025,E112))),SUMIFS(Donnees_generations!$AJ$3:$AJ$113,Donnees_generations!$A$3:$A$113,MAX(1915,MIN(2025,E112)))))/2</f>
        <v/>
      </c>
      <c r="AI112" s="75">
        <f>(CHOOSE(((AG112+2)-56)/2+1,SUMIFS(Donnees_generations!$U$3:$U$113,Donnees_generations!$A$3:$A$113,MAX(1915,MIN(2025,E112))),SUMIFS(Donnees_generations!$V$3:$V$113,Donnees_generations!$A$3:$A$113,MAX(1915,MIN(2025,E112))),SUMIFS(Donnees_generations!$W$3:$W$113,Donnees_generations!$A$3:$A$113,MAX(1915,MIN(2025,E112))),SUMIFS(Donnees_generations!$X$3:$X$113,Donnees_generations!$A$3:$A$113,MAX(1915,MIN(2025,E112))),SUMIFS(Donnees_generations!$Y$3:$Y$113,Donnees_generations!$A$3:$A$113,MAX(1915,MIN(2025,E112))),SUMIFS(Donnees_generations!$Z$3:$Z$113,Donnees_generations!$A$3:$A$113,MAX(1915,MIN(2025,E112))),SUMIFS(Donnees_generations!$AA$3:$AA$113,Donnees_generations!$A$3:$A$113,MAX(1915,MIN(2025,E112))),SUMIFS(Donnees_generations!$AB$3:$AB$113,Donnees_generations!$A$3:$A$113,MAX(1915,MIN(2025,E112))))+CHOOSE(((AG112+2)-56)/2+1,SUMIFS(Donnees_generations!$AC$3:$AC$113,Donnees_generations!$A$3:$A$113,MAX(1915,MIN(2025,E112))),SUMIFS(Donnees_generations!$AD$3:$AD$113,Donnees_generations!$A$3:$A$113,MAX(1915,MIN(2025,E112))),SUMIFS(Donnees_generations!$AE$3:$AE$113,Donnees_generations!$A$3:$A$113,MAX(1915,MIN(2025,E112))),SUMIFS(Donnees_generations!$AF$3:$AF$113,Donnees_generations!$A$3:$A$113,MAX(1915,MIN(2025,E112))),SUMIFS(Donnees_generations!$AG$3:$AG$113,Donnees_generations!$A$3:$A$113,MAX(1915,MIN(2025,E112))),SUMIFS(Donnees_generations!$AH$3:$AH$113,Donnees_generations!$A$3:$A$113,MAX(1915,MIN(2025,E112))),SUMIFS(Donnees_generations!$AI$3:$AI$113,Donnees_generations!$A$3:$A$113,MAX(1915,MIN(2025,E112))),SUMIFS(Donnees_generations!$AJ$3:$AJ$113,Donnees_generations!$A$3:$A$113,MAX(1915,MIN(2025,E112)))))/2</f>
        <v/>
      </c>
      <c r="AJ112" s="8">
        <f>MAX(0,AH112+(AI112-AH112)*(K112-AG112)/2)</f>
        <v/>
      </c>
      <c r="AK112" s="8">
        <f>K112+AJ112</f>
        <v/>
      </c>
      <c r="AL112" s="14">
        <f>AE112*AJ112</f>
        <v/>
      </c>
      <c r="AM112" s="17">
        <f>V112/AL112</f>
        <v/>
      </c>
      <c r="AN112" s="17">
        <f>Z112/AL112</f>
        <v/>
      </c>
      <c r="AO112" s="33">
        <f>IF(V112+Z112=0,0,Z112/(V112+Z112))</f>
        <v/>
      </c>
      <c r="AP112" s="14">
        <f>AL112/V112*100</f>
        <v/>
      </c>
      <c r="AQ112" s="8">
        <f>P112/AL112*1000</f>
        <v/>
      </c>
      <c r="AR112" s="77">
        <f>MAX(N112,M112-1)</f>
        <v/>
      </c>
      <c r="AS112" s="14">
        <f>SUMIFS(Donnees_regimes!$R$3:$R$1118,Donnees_regimes!$A$3:$A$1118,C112,Donnees_regimes!$B$3:$B$1118,"&gt;="&amp;G112,Donnees_regimes!$B$3:$B$1118,"&lt;="&amp;N112)*L112/ROUNDUP(L112,0)*SUMIFS(Donnees_annuelles!$AG$3:$AG$188,Donnees_annuelles!$A$3:$A$188,AR112)*SUMIFS(Donnees_annuelles!$AA$3:$AA$188,Donnees_annuelles!$A$3:$A$188,AR112)</f>
        <v/>
      </c>
      <c r="AT112" s="36">
        <f>AS112/V112</f>
        <v/>
      </c>
      <c r="AU112" s="14">
        <f>AL112</f>
        <v/>
      </c>
      <c r="AV112" s="39">
        <f>AS112-AL112</f>
        <v/>
      </c>
      <c r="AW112" s="9">
        <f>AS112/AL112-1</f>
        <v/>
      </c>
      <c r="AX112" s="14">
        <f>AS112/AJ112/12</f>
        <v/>
      </c>
      <c r="AY112" s="14">
        <f>AF112</f>
        <v/>
      </c>
      <c r="AZ112" s="39">
        <f>AX112-AF112</f>
        <v/>
      </c>
      <c r="BA112" s="14">
        <f>SUMIFS(Donnees_regimes!$S$3:$S$1118,Donnees_regimes!$A$3:$A$1118,C112,Donnees_regimes!$B$3:$B$1118,"&gt;="&amp;G112,Donnees_regimes!$B$3:$B$1118,"&lt;="&amp;N112)*L112/ROUNDUP(L112,0)*SUMIFS(Donnees_annuelles!$AH$3:$AH$188,Donnees_annuelles!$A$3:$A$188,AR112)*SUMIFS(Donnees_annuelles!$AA$3:$AA$188,Donnees_annuelles!$A$3:$A$188,AR112)</f>
        <v/>
      </c>
      <c r="BB112" s="39">
        <f>BA112-AL112</f>
        <v/>
      </c>
      <c r="BC112" s="7">
        <f>IF(M112+AJ112&gt;2026,IF(G112&gt;2026,"entièrement projeté","en partie projeté"),"observé")</f>
        <v/>
      </c>
    </row>
    <row r="113">
      <c r="A113" s="7" t="inlineStr">
        <is>
          <t>Génération silencieuse</t>
        </is>
      </c>
      <c r="B113" s="84" t="inlineStr">
        <is>
          <t>Fonction publique d'État</t>
        </is>
      </c>
      <c r="C113" s="7">
        <f>IF(G113&gt;=SUMIFS(Regimes!$C$5:$C$10,Regimes!$A$5:$A$10,B113),"Privé",B113)</f>
        <v/>
      </c>
      <c r="D113" s="7">
        <f>INDEX(Regimes!$D$5:$D$10,MATCH(C113,Regimes!$A$5:$A$10,0))</f>
        <v/>
      </c>
      <c r="E113" s="88" t="n">
        <v>1940</v>
      </c>
      <c r="F113" s="8">
        <f>Donnees_generations!C28</f>
        <v/>
      </c>
      <c r="G113" s="77">
        <f>Donnees_generations!D28</f>
        <v/>
      </c>
      <c r="H113" s="8">
        <f>SUMIFS(Donnees_generations!$S$3:$S$113,Donnees_generations!$A$3:$A$113,MAX(1915,MIN(2025,E113)))</f>
        <v/>
      </c>
      <c r="I113" s="8">
        <f>SUMIFS(Donnees_generations!$T$3:$T$113,Donnees_generations!$A$3:$A$113,MAX(1915,MIN(2025,E113)))</f>
        <v/>
      </c>
      <c r="J113" s="8">
        <f>IF(G113&gt;=2000,MAX(I113,Parametres!$B$3),I113)</f>
        <v/>
      </c>
      <c r="K113" s="8">
        <f>IF(C113="Privé",J113,SUMIFS(Regles_regimes!$J$3:$J$2000,Regles_regimes!$A$3:$A$2000,C113,Regles_regimes!$B$3:$B$2000,D113,Regles_regimes!$C$3:$C$2000,MAX(1915,MIN(2025,E113))))</f>
        <v/>
      </c>
      <c r="L113" s="8">
        <f>IF(C113="Privé",H113,(K113-F113)*H113/(J113-F113))</f>
        <v/>
      </c>
      <c r="M113" s="77">
        <f>INT(E113+K113)</f>
        <v/>
      </c>
      <c r="N113" s="77">
        <f>G113+ROUNDUP(L113,0)-1</f>
        <v/>
      </c>
      <c r="O113" s="89">
        <f>SUMIFS(Regles_regimes!$K$3:$K$2000,Regles_regimes!$A$3:$A$2000,C113,Regles_regimes!$B$3:$B$2000,D113,Regles_regimes!$C$3:$C$2000,MAX(1915,MIN(2025,E113)))</f>
        <v/>
      </c>
      <c r="P113" s="13">
        <f>SUMIFS(Donnees_annuelles!$W$3:$W$188,Donnees_annuelles!$A$3:$A$188,"&gt;="&amp;G113,Donnees_annuelles!$A$3:$A$188,"&lt;="&amp;N113)*L113/ROUNDUP(L113,0)*O113</f>
        <v/>
      </c>
      <c r="Q113" s="13">
        <f>SUMIFS(Donnees_annuelles!$V$3:$V$188,Donnees_annuelles!$A$3:$A$188,"&gt;="&amp;G113,Donnees_annuelles!$A$3:$A$188,"&lt;="&amp;N113)*L113/ROUNDUP(L113,0)</f>
        <v/>
      </c>
      <c r="R113" s="13">
        <f>P113/L113</f>
        <v/>
      </c>
      <c r="S113" s="14">
        <f>SUMIFS(Donnees_annuelles!$D$3:$D$188,Donnees_annuelles!$A$3:$A$188,"&gt;="&amp;G113,Donnees_annuelles!$A$3:$A$188,"&lt;="&amp;N113)*L113/ROUNDUP(L113,0)</f>
        <v/>
      </c>
      <c r="T113" s="14">
        <f>SUMIFS(Donnees_regimes!$N$3:$N$1118,Donnees_regimes!$A$3:$A$1118,C113,Donnees_regimes!$B$3:$B$1118,"&gt;="&amp;G113,Donnees_regimes!$B$3:$B$1118,"&lt;="&amp;N113)*L113/ROUNDUP(L113,0)</f>
        <v/>
      </c>
      <c r="U113" s="14">
        <f>SUMIFS(Donnees_regimes!$O$3:$O$1118,Donnees_regimes!$A$3:$A$1118,C113,Donnees_regimes!$B$3:$B$1118,"&gt;="&amp;G113,Donnees_regimes!$B$3:$B$1118,"&lt;="&amp;N113)*L113/ROUNDUP(L113,0)</f>
        <v/>
      </c>
      <c r="V113" s="14">
        <f>T113+U113</f>
        <v/>
      </c>
      <c r="W113" s="33">
        <f>V113/S113</f>
        <v/>
      </c>
      <c r="X113" s="14">
        <f>S113+U113</f>
        <v/>
      </c>
      <c r="Y113" s="17">
        <f>V113/P113</f>
        <v/>
      </c>
      <c r="Z113" s="14">
        <f>SUMIFS(Donnees_regimes!$Q$3:$Q$1118,Donnees_regimes!$A$3:$A$1118,C113,Donnees_regimes!$B$3:$B$1118,"&gt;="&amp;G113,Donnees_regimes!$B$3:$B$1118,"&lt;="&amp;N113)*L113/ROUNDUP(L113,0)</f>
        <v/>
      </c>
      <c r="AA113" s="77">
        <f>SUMIFS(Regles_regimes!$F$3:$F$2000,Regles_regimes!$A$3:$A$2000,C113,Regles_regimes!$B$3:$B$2000,D113,Regles_regimes!$C$3:$C$2000,MAX(1915,MIN(2025,E113)))</f>
        <v/>
      </c>
      <c r="AB113" s="77">
        <f>IF(AND(SUMIFS(Regles_regimes!$L$3:$L$2000,Regles_regimes!$A$3:$A$2000,C113,Regles_regimes!$B$3:$B$2000,D113,Regles_regimes!$C$3:$C$2000,MAX(1915,MIN(2025,E113)))=1,G113&lt;2009,C113&lt;&gt;"Privé"),MIN(20,L113*4/5),0)</f>
        <v/>
      </c>
      <c r="AC113" s="89">
        <f>SUMIFS(Donnees_regimes!$M$3:$M$1118,Donnees_regimes!$A$3:$A$1118,C113,Donnees_regimes!$B$3:$B$1118,M113)</f>
        <v/>
      </c>
      <c r="AD113" s="14">
        <f>SUMIFS(Donnees_annuelles!$Y$3:$Y$188,Donnees_annuelles!$A$3:$A$188,M113)*SUMIFS(Donnees_generations!$I$3:$I$113,Donnees_generations!$A$3:$A$113,MAX(1915,MIN(2025,E113)))/H113</f>
        <v/>
      </c>
      <c r="AE113" s="14">
        <f>IF(C113="Privé",SUMIFS(Donnees_annuelles!$Y$3:$Y$188,Donnees_annuelles!$A$3:$A$188,M113)*MIN(L113,SUMIFS(Donnees_generations!$I$3:$I$113,Donnees_generations!$A$3:$A$113,MAX(1915,MIN(2025,E113))))/L113,AD113*AC113*MIN(IF(AB113&gt;0,0.8/0.75,1),(L113*4+AB113)/AA113))</f>
        <v/>
      </c>
      <c r="AF113" s="14">
        <f>AE113/12</f>
        <v/>
      </c>
      <c r="AG113" s="77">
        <f>MIN(68,MAX(56,2*INT(K113/2)))</f>
        <v/>
      </c>
      <c r="AH113" s="75">
        <f>(CHOOSE((AG113-56)/2+1,SUMIFS(Donnees_generations!$U$3:$U$113,Donnees_generations!$A$3:$A$113,MAX(1915,MIN(2025,E113))),SUMIFS(Donnees_generations!$V$3:$V$113,Donnees_generations!$A$3:$A$113,MAX(1915,MIN(2025,E113))),SUMIFS(Donnees_generations!$W$3:$W$113,Donnees_generations!$A$3:$A$113,MAX(1915,MIN(2025,E113))),SUMIFS(Donnees_generations!$X$3:$X$113,Donnees_generations!$A$3:$A$113,MAX(1915,MIN(2025,E113))),SUMIFS(Donnees_generations!$Y$3:$Y$113,Donnees_generations!$A$3:$A$113,MAX(1915,MIN(2025,E113))),SUMIFS(Donnees_generations!$Z$3:$Z$113,Donnees_generations!$A$3:$A$113,MAX(1915,MIN(2025,E113))),SUMIFS(Donnees_generations!$AA$3:$AA$113,Donnees_generations!$A$3:$A$113,MAX(1915,MIN(2025,E113))),SUMIFS(Donnees_generations!$AB$3:$AB$113,Donnees_generations!$A$3:$A$113,MAX(1915,MIN(2025,E113))))+CHOOSE((AG113-56)/2+1,SUMIFS(Donnees_generations!$AC$3:$AC$113,Donnees_generations!$A$3:$A$113,MAX(1915,MIN(2025,E113))),SUMIFS(Donnees_generations!$AD$3:$AD$113,Donnees_generations!$A$3:$A$113,MAX(1915,MIN(2025,E113))),SUMIFS(Donnees_generations!$AE$3:$AE$113,Donnees_generations!$A$3:$A$113,MAX(1915,MIN(2025,E113))),SUMIFS(Donnees_generations!$AF$3:$AF$113,Donnees_generations!$A$3:$A$113,MAX(1915,MIN(2025,E113))),SUMIFS(Donnees_generations!$AG$3:$AG$113,Donnees_generations!$A$3:$A$113,MAX(1915,MIN(2025,E113))),SUMIFS(Donnees_generations!$AH$3:$AH$113,Donnees_generations!$A$3:$A$113,MAX(1915,MIN(2025,E113))),SUMIFS(Donnees_generations!$AI$3:$AI$113,Donnees_generations!$A$3:$A$113,MAX(1915,MIN(2025,E113))),SUMIFS(Donnees_generations!$AJ$3:$AJ$113,Donnees_generations!$A$3:$A$113,MAX(1915,MIN(2025,E113)))))/2</f>
        <v/>
      </c>
      <c r="AI113" s="75">
        <f>(CHOOSE(((AG113+2)-56)/2+1,SUMIFS(Donnees_generations!$U$3:$U$113,Donnees_generations!$A$3:$A$113,MAX(1915,MIN(2025,E113))),SUMIFS(Donnees_generations!$V$3:$V$113,Donnees_generations!$A$3:$A$113,MAX(1915,MIN(2025,E113))),SUMIFS(Donnees_generations!$W$3:$W$113,Donnees_generations!$A$3:$A$113,MAX(1915,MIN(2025,E113))),SUMIFS(Donnees_generations!$X$3:$X$113,Donnees_generations!$A$3:$A$113,MAX(1915,MIN(2025,E113))),SUMIFS(Donnees_generations!$Y$3:$Y$113,Donnees_generations!$A$3:$A$113,MAX(1915,MIN(2025,E113))),SUMIFS(Donnees_generations!$Z$3:$Z$113,Donnees_generations!$A$3:$A$113,MAX(1915,MIN(2025,E113))),SUMIFS(Donnees_generations!$AA$3:$AA$113,Donnees_generations!$A$3:$A$113,MAX(1915,MIN(2025,E113))),SUMIFS(Donnees_generations!$AB$3:$AB$113,Donnees_generations!$A$3:$A$113,MAX(1915,MIN(2025,E113))))+CHOOSE(((AG113+2)-56)/2+1,SUMIFS(Donnees_generations!$AC$3:$AC$113,Donnees_generations!$A$3:$A$113,MAX(1915,MIN(2025,E113))),SUMIFS(Donnees_generations!$AD$3:$AD$113,Donnees_generations!$A$3:$A$113,MAX(1915,MIN(2025,E113))),SUMIFS(Donnees_generations!$AE$3:$AE$113,Donnees_generations!$A$3:$A$113,MAX(1915,MIN(2025,E113))),SUMIFS(Donnees_generations!$AF$3:$AF$113,Donnees_generations!$A$3:$A$113,MAX(1915,MIN(2025,E113))),SUMIFS(Donnees_generations!$AG$3:$AG$113,Donnees_generations!$A$3:$A$113,MAX(1915,MIN(2025,E113))),SUMIFS(Donnees_generations!$AH$3:$AH$113,Donnees_generations!$A$3:$A$113,MAX(1915,MIN(2025,E113))),SUMIFS(Donnees_generations!$AI$3:$AI$113,Donnees_generations!$A$3:$A$113,MAX(1915,MIN(2025,E113))),SUMIFS(Donnees_generations!$AJ$3:$AJ$113,Donnees_generations!$A$3:$A$113,MAX(1915,MIN(2025,E113)))))/2</f>
        <v/>
      </c>
      <c r="AJ113" s="8">
        <f>MAX(0,AH113+(AI113-AH113)*(K113-AG113)/2)</f>
        <v/>
      </c>
      <c r="AK113" s="8">
        <f>K113+AJ113</f>
        <v/>
      </c>
      <c r="AL113" s="14">
        <f>AE113*AJ113</f>
        <v/>
      </c>
      <c r="AM113" s="17">
        <f>V113/AL113</f>
        <v/>
      </c>
      <c r="AN113" s="17">
        <f>Z113/AL113</f>
        <v/>
      </c>
      <c r="AO113" s="33">
        <f>IF(V113+Z113=0,0,Z113/(V113+Z113))</f>
        <v/>
      </c>
      <c r="AP113" s="14">
        <f>AL113/V113*100</f>
        <v/>
      </c>
      <c r="AQ113" s="8">
        <f>P113/AL113*1000</f>
        <v/>
      </c>
      <c r="AR113" s="77">
        <f>MAX(N113,M113-1)</f>
        <v/>
      </c>
      <c r="AS113" s="14">
        <f>SUMIFS(Donnees_regimes!$R$3:$R$1118,Donnees_regimes!$A$3:$A$1118,C113,Donnees_regimes!$B$3:$B$1118,"&gt;="&amp;G113,Donnees_regimes!$B$3:$B$1118,"&lt;="&amp;N113)*L113/ROUNDUP(L113,0)*SUMIFS(Donnees_annuelles!$AG$3:$AG$188,Donnees_annuelles!$A$3:$A$188,AR113)*SUMIFS(Donnees_annuelles!$AA$3:$AA$188,Donnees_annuelles!$A$3:$A$188,AR113)</f>
        <v/>
      </c>
      <c r="AT113" s="36">
        <f>AS113/V113</f>
        <v/>
      </c>
      <c r="AU113" s="14">
        <f>AL113</f>
        <v/>
      </c>
      <c r="AV113" s="39">
        <f>AS113-AL113</f>
        <v/>
      </c>
      <c r="AW113" s="9">
        <f>AS113/AL113-1</f>
        <v/>
      </c>
      <c r="AX113" s="14">
        <f>AS113/AJ113/12</f>
        <v/>
      </c>
      <c r="AY113" s="14">
        <f>AF113</f>
        <v/>
      </c>
      <c r="AZ113" s="39">
        <f>AX113-AF113</f>
        <v/>
      </c>
      <c r="BA113" s="14">
        <f>SUMIFS(Donnees_regimes!$S$3:$S$1118,Donnees_regimes!$A$3:$A$1118,C113,Donnees_regimes!$B$3:$B$1118,"&gt;="&amp;G113,Donnees_regimes!$B$3:$B$1118,"&lt;="&amp;N113)*L113/ROUNDUP(L113,0)*SUMIFS(Donnees_annuelles!$AH$3:$AH$188,Donnees_annuelles!$A$3:$A$188,AR113)*SUMIFS(Donnees_annuelles!$AA$3:$AA$188,Donnees_annuelles!$A$3:$A$188,AR113)</f>
        <v/>
      </c>
      <c r="BB113" s="39">
        <f>BA113-AL113</f>
        <v/>
      </c>
      <c r="BC113" s="7">
        <f>IF(M113+AJ113&gt;2026,IF(G113&gt;2026,"entièrement projeté","en partie projeté"),"observé")</f>
        <v/>
      </c>
    </row>
    <row r="114">
      <c r="A114" s="7" t="inlineStr">
        <is>
          <t>Génération silencieuse</t>
        </is>
      </c>
      <c r="B114" s="84" t="inlineStr">
        <is>
          <t>Fonction publique d'État</t>
        </is>
      </c>
      <c r="C114" s="7">
        <f>IF(G114&gt;=SUMIFS(Regimes!$C$5:$C$10,Regimes!$A$5:$A$10,B114),"Privé",B114)</f>
        <v/>
      </c>
      <c r="D114" s="7">
        <f>INDEX(Regimes!$D$5:$D$10,MATCH(C114,Regimes!$A$5:$A$10,0))</f>
        <v/>
      </c>
      <c r="E114" s="88" t="n">
        <v>1941</v>
      </c>
      <c r="F114" s="8">
        <f>Donnees_generations!C29</f>
        <v/>
      </c>
      <c r="G114" s="77">
        <f>Donnees_generations!D29</f>
        <v/>
      </c>
      <c r="H114" s="8">
        <f>SUMIFS(Donnees_generations!$S$3:$S$113,Donnees_generations!$A$3:$A$113,MAX(1915,MIN(2025,E114)))</f>
        <v/>
      </c>
      <c r="I114" s="8">
        <f>SUMIFS(Donnees_generations!$T$3:$T$113,Donnees_generations!$A$3:$A$113,MAX(1915,MIN(2025,E114)))</f>
        <v/>
      </c>
      <c r="J114" s="8">
        <f>IF(G114&gt;=2000,MAX(I114,Parametres!$B$3),I114)</f>
        <v/>
      </c>
      <c r="K114" s="8">
        <f>IF(C114="Privé",J114,SUMIFS(Regles_regimes!$J$3:$J$2000,Regles_regimes!$A$3:$A$2000,C114,Regles_regimes!$B$3:$B$2000,D114,Regles_regimes!$C$3:$C$2000,MAX(1915,MIN(2025,E114))))</f>
        <v/>
      </c>
      <c r="L114" s="8">
        <f>IF(C114="Privé",H114,(K114-F114)*H114/(J114-F114))</f>
        <v/>
      </c>
      <c r="M114" s="77">
        <f>INT(E114+K114)</f>
        <v/>
      </c>
      <c r="N114" s="77">
        <f>G114+ROUNDUP(L114,0)-1</f>
        <v/>
      </c>
      <c r="O114" s="89">
        <f>SUMIFS(Regles_regimes!$K$3:$K$2000,Regles_regimes!$A$3:$A$2000,C114,Regles_regimes!$B$3:$B$2000,D114,Regles_regimes!$C$3:$C$2000,MAX(1915,MIN(2025,E114)))</f>
        <v/>
      </c>
      <c r="P114" s="13">
        <f>SUMIFS(Donnees_annuelles!$W$3:$W$188,Donnees_annuelles!$A$3:$A$188,"&gt;="&amp;G114,Donnees_annuelles!$A$3:$A$188,"&lt;="&amp;N114)*L114/ROUNDUP(L114,0)*O114</f>
        <v/>
      </c>
      <c r="Q114" s="13">
        <f>SUMIFS(Donnees_annuelles!$V$3:$V$188,Donnees_annuelles!$A$3:$A$188,"&gt;="&amp;G114,Donnees_annuelles!$A$3:$A$188,"&lt;="&amp;N114)*L114/ROUNDUP(L114,0)</f>
        <v/>
      </c>
      <c r="R114" s="13">
        <f>P114/L114</f>
        <v/>
      </c>
      <c r="S114" s="14">
        <f>SUMIFS(Donnees_annuelles!$D$3:$D$188,Donnees_annuelles!$A$3:$A$188,"&gt;="&amp;G114,Donnees_annuelles!$A$3:$A$188,"&lt;="&amp;N114)*L114/ROUNDUP(L114,0)</f>
        <v/>
      </c>
      <c r="T114" s="14">
        <f>SUMIFS(Donnees_regimes!$N$3:$N$1118,Donnees_regimes!$A$3:$A$1118,C114,Donnees_regimes!$B$3:$B$1118,"&gt;="&amp;G114,Donnees_regimes!$B$3:$B$1118,"&lt;="&amp;N114)*L114/ROUNDUP(L114,0)</f>
        <v/>
      </c>
      <c r="U114" s="14">
        <f>SUMIFS(Donnees_regimes!$O$3:$O$1118,Donnees_regimes!$A$3:$A$1118,C114,Donnees_regimes!$B$3:$B$1118,"&gt;="&amp;G114,Donnees_regimes!$B$3:$B$1118,"&lt;="&amp;N114)*L114/ROUNDUP(L114,0)</f>
        <v/>
      </c>
      <c r="V114" s="14">
        <f>T114+U114</f>
        <v/>
      </c>
      <c r="W114" s="33">
        <f>V114/S114</f>
        <v/>
      </c>
      <c r="X114" s="14">
        <f>S114+U114</f>
        <v/>
      </c>
      <c r="Y114" s="17">
        <f>V114/P114</f>
        <v/>
      </c>
      <c r="Z114" s="14">
        <f>SUMIFS(Donnees_regimes!$Q$3:$Q$1118,Donnees_regimes!$A$3:$A$1118,C114,Donnees_regimes!$B$3:$B$1118,"&gt;="&amp;G114,Donnees_regimes!$B$3:$B$1118,"&lt;="&amp;N114)*L114/ROUNDUP(L114,0)</f>
        <v/>
      </c>
      <c r="AA114" s="77">
        <f>SUMIFS(Regles_regimes!$F$3:$F$2000,Regles_regimes!$A$3:$A$2000,C114,Regles_regimes!$B$3:$B$2000,D114,Regles_regimes!$C$3:$C$2000,MAX(1915,MIN(2025,E114)))</f>
        <v/>
      </c>
      <c r="AB114" s="77">
        <f>IF(AND(SUMIFS(Regles_regimes!$L$3:$L$2000,Regles_regimes!$A$3:$A$2000,C114,Regles_regimes!$B$3:$B$2000,D114,Regles_regimes!$C$3:$C$2000,MAX(1915,MIN(2025,E114)))=1,G114&lt;2009,C114&lt;&gt;"Privé"),MIN(20,L114*4/5),0)</f>
        <v/>
      </c>
      <c r="AC114" s="89">
        <f>SUMIFS(Donnees_regimes!$M$3:$M$1118,Donnees_regimes!$A$3:$A$1118,C114,Donnees_regimes!$B$3:$B$1118,M114)</f>
        <v/>
      </c>
      <c r="AD114" s="14">
        <f>SUMIFS(Donnees_annuelles!$Y$3:$Y$188,Donnees_annuelles!$A$3:$A$188,M114)*SUMIFS(Donnees_generations!$I$3:$I$113,Donnees_generations!$A$3:$A$113,MAX(1915,MIN(2025,E114)))/H114</f>
        <v/>
      </c>
      <c r="AE114" s="14">
        <f>IF(C114="Privé",SUMIFS(Donnees_annuelles!$Y$3:$Y$188,Donnees_annuelles!$A$3:$A$188,M114)*MIN(L114,SUMIFS(Donnees_generations!$I$3:$I$113,Donnees_generations!$A$3:$A$113,MAX(1915,MIN(2025,E114))))/L114,AD114*AC114*MIN(IF(AB114&gt;0,0.8/0.75,1),(L114*4+AB114)/AA114))</f>
        <v/>
      </c>
      <c r="AF114" s="14">
        <f>AE114/12</f>
        <v/>
      </c>
      <c r="AG114" s="77">
        <f>MIN(68,MAX(56,2*INT(K114/2)))</f>
        <v/>
      </c>
      <c r="AH114" s="75">
        <f>(CHOOSE((AG114-56)/2+1,SUMIFS(Donnees_generations!$U$3:$U$113,Donnees_generations!$A$3:$A$113,MAX(1915,MIN(2025,E114))),SUMIFS(Donnees_generations!$V$3:$V$113,Donnees_generations!$A$3:$A$113,MAX(1915,MIN(2025,E114))),SUMIFS(Donnees_generations!$W$3:$W$113,Donnees_generations!$A$3:$A$113,MAX(1915,MIN(2025,E114))),SUMIFS(Donnees_generations!$X$3:$X$113,Donnees_generations!$A$3:$A$113,MAX(1915,MIN(2025,E114))),SUMIFS(Donnees_generations!$Y$3:$Y$113,Donnees_generations!$A$3:$A$113,MAX(1915,MIN(2025,E114))),SUMIFS(Donnees_generations!$Z$3:$Z$113,Donnees_generations!$A$3:$A$113,MAX(1915,MIN(2025,E114))),SUMIFS(Donnees_generations!$AA$3:$AA$113,Donnees_generations!$A$3:$A$113,MAX(1915,MIN(2025,E114))),SUMIFS(Donnees_generations!$AB$3:$AB$113,Donnees_generations!$A$3:$A$113,MAX(1915,MIN(2025,E114))))+CHOOSE((AG114-56)/2+1,SUMIFS(Donnees_generations!$AC$3:$AC$113,Donnees_generations!$A$3:$A$113,MAX(1915,MIN(2025,E114))),SUMIFS(Donnees_generations!$AD$3:$AD$113,Donnees_generations!$A$3:$A$113,MAX(1915,MIN(2025,E114))),SUMIFS(Donnees_generations!$AE$3:$AE$113,Donnees_generations!$A$3:$A$113,MAX(1915,MIN(2025,E114))),SUMIFS(Donnees_generations!$AF$3:$AF$113,Donnees_generations!$A$3:$A$113,MAX(1915,MIN(2025,E114))),SUMIFS(Donnees_generations!$AG$3:$AG$113,Donnees_generations!$A$3:$A$113,MAX(1915,MIN(2025,E114))),SUMIFS(Donnees_generations!$AH$3:$AH$113,Donnees_generations!$A$3:$A$113,MAX(1915,MIN(2025,E114))),SUMIFS(Donnees_generations!$AI$3:$AI$113,Donnees_generations!$A$3:$A$113,MAX(1915,MIN(2025,E114))),SUMIFS(Donnees_generations!$AJ$3:$AJ$113,Donnees_generations!$A$3:$A$113,MAX(1915,MIN(2025,E114)))))/2</f>
        <v/>
      </c>
      <c r="AI114" s="75">
        <f>(CHOOSE(((AG114+2)-56)/2+1,SUMIFS(Donnees_generations!$U$3:$U$113,Donnees_generations!$A$3:$A$113,MAX(1915,MIN(2025,E114))),SUMIFS(Donnees_generations!$V$3:$V$113,Donnees_generations!$A$3:$A$113,MAX(1915,MIN(2025,E114))),SUMIFS(Donnees_generations!$W$3:$W$113,Donnees_generations!$A$3:$A$113,MAX(1915,MIN(2025,E114))),SUMIFS(Donnees_generations!$X$3:$X$113,Donnees_generations!$A$3:$A$113,MAX(1915,MIN(2025,E114))),SUMIFS(Donnees_generations!$Y$3:$Y$113,Donnees_generations!$A$3:$A$113,MAX(1915,MIN(2025,E114))),SUMIFS(Donnees_generations!$Z$3:$Z$113,Donnees_generations!$A$3:$A$113,MAX(1915,MIN(2025,E114))),SUMIFS(Donnees_generations!$AA$3:$AA$113,Donnees_generations!$A$3:$A$113,MAX(1915,MIN(2025,E114))),SUMIFS(Donnees_generations!$AB$3:$AB$113,Donnees_generations!$A$3:$A$113,MAX(1915,MIN(2025,E114))))+CHOOSE(((AG114+2)-56)/2+1,SUMIFS(Donnees_generations!$AC$3:$AC$113,Donnees_generations!$A$3:$A$113,MAX(1915,MIN(2025,E114))),SUMIFS(Donnees_generations!$AD$3:$AD$113,Donnees_generations!$A$3:$A$113,MAX(1915,MIN(2025,E114))),SUMIFS(Donnees_generations!$AE$3:$AE$113,Donnees_generations!$A$3:$A$113,MAX(1915,MIN(2025,E114))),SUMIFS(Donnees_generations!$AF$3:$AF$113,Donnees_generations!$A$3:$A$113,MAX(1915,MIN(2025,E114))),SUMIFS(Donnees_generations!$AG$3:$AG$113,Donnees_generations!$A$3:$A$113,MAX(1915,MIN(2025,E114))),SUMIFS(Donnees_generations!$AH$3:$AH$113,Donnees_generations!$A$3:$A$113,MAX(1915,MIN(2025,E114))),SUMIFS(Donnees_generations!$AI$3:$AI$113,Donnees_generations!$A$3:$A$113,MAX(1915,MIN(2025,E114))),SUMIFS(Donnees_generations!$AJ$3:$AJ$113,Donnees_generations!$A$3:$A$113,MAX(1915,MIN(2025,E114)))))/2</f>
        <v/>
      </c>
      <c r="AJ114" s="8">
        <f>MAX(0,AH114+(AI114-AH114)*(K114-AG114)/2)</f>
        <v/>
      </c>
      <c r="AK114" s="8">
        <f>K114+AJ114</f>
        <v/>
      </c>
      <c r="AL114" s="14">
        <f>AE114*AJ114</f>
        <v/>
      </c>
      <c r="AM114" s="17">
        <f>V114/AL114</f>
        <v/>
      </c>
      <c r="AN114" s="17">
        <f>Z114/AL114</f>
        <v/>
      </c>
      <c r="AO114" s="33">
        <f>IF(V114+Z114=0,0,Z114/(V114+Z114))</f>
        <v/>
      </c>
      <c r="AP114" s="14">
        <f>AL114/V114*100</f>
        <v/>
      </c>
      <c r="AQ114" s="8">
        <f>P114/AL114*1000</f>
        <v/>
      </c>
      <c r="AR114" s="77">
        <f>MAX(N114,M114-1)</f>
        <v/>
      </c>
      <c r="AS114" s="14">
        <f>SUMIFS(Donnees_regimes!$R$3:$R$1118,Donnees_regimes!$A$3:$A$1118,C114,Donnees_regimes!$B$3:$B$1118,"&gt;="&amp;G114,Donnees_regimes!$B$3:$B$1118,"&lt;="&amp;N114)*L114/ROUNDUP(L114,0)*SUMIFS(Donnees_annuelles!$AG$3:$AG$188,Donnees_annuelles!$A$3:$A$188,AR114)*SUMIFS(Donnees_annuelles!$AA$3:$AA$188,Donnees_annuelles!$A$3:$A$188,AR114)</f>
        <v/>
      </c>
      <c r="AT114" s="36">
        <f>AS114/V114</f>
        <v/>
      </c>
      <c r="AU114" s="14">
        <f>AL114</f>
        <v/>
      </c>
      <c r="AV114" s="39">
        <f>AS114-AL114</f>
        <v/>
      </c>
      <c r="AW114" s="9">
        <f>AS114/AL114-1</f>
        <v/>
      </c>
      <c r="AX114" s="14">
        <f>AS114/AJ114/12</f>
        <v/>
      </c>
      <c r="AY114" s="14">
        <f>AF114</f>
        <v/>
      </c>
      <c r="AZ114" s="39">
        <f>AX114-AF114</f>
        <v/>
      </c>
      <c r="BA114" s="14">
        <f>SUMIFS(Donnees_regimes!$S$3:$S$1118,Donnees_regimes!$A$3:$A$1118,C114,Donnees_regimes!$B$3:$B$1118,"&gt;="&amp;G114,Donnees_regimes!$B$3:$B$1118,"&lt;="&amp;N114)*L114/ROUNDUP(L114,0)*SUMIFS(Donnees_annuelles!$AH$3:$AH$188,Donnees_annuelles!$A$3:$A$188,AR114)*SUMIFS(Donnees_annuelles!$AA$3:$AA$188,Donnees_annuelles!$A$3:$A$188,AR114)</f>
        <v/>
      </c>
      <c r="BB114" s="39">
        <f>BA114-AL114</f>
        <v/>
      </c>
      <c r="BC114" s="7">
        <f>IF(M114+AJ114&gt;2026,IF(G114&gt;2026,"entièrement projeté","en partie projeté"),"observé")</f>
        <v/>
      </c>
    </row>
    <row r="115">
      <c r="A115" s="7" t="inlineStr">
        <is>
          <t>Génération silencieuse</t>
        </is>
      </c>
      <c r="B115" s="84" t="inlineStr">
        <is>
          <t>Fonction publique d'État</t>
        </is>
      </c>
      <c r="C115" s="7">
        <f>IF(G115&gt;=SUMIFS(Regimes!$C$5:$C$10,Regimes!$A$5:$A$10,B115),"Privé",B115)</f>
        <v/>
      </c>
      <c r="D115" s="7">
        <f>INDEX(Regimes!$D$5:$D$10,MATCH(C115,Regimes!$A$5:$A$10,0))</f>
        <v/>
      </c>
      <c r="E115" s="88" t="n">
        <v>1942</v>
      </c>
      <c r="F115" s="8">
        <f>Donnees_generations!C30</f>
        <v/>
      </c>
      <c r="G115" s="77">
        <f>Donnees_generations!D30</f>
        <v/>
      </c>
      <c r="H115" s="8">
        <f>SUMIFS(Donnees_generations!$S$3:$S$113,Donnees_generations!$A$3:$A$113,MAX(1915,MIN(2025,E115)))</f>
        <v/>
      </c>
      <c r="I115" s="8">
        <f>SUMIFS(Donnees_generations!$T$3:$T$113,Donnees_generations!$A$3:$A$113,MAX(1915,MIN(2025,E115)))</f>
        <v/>
      </c>
      <c r="J115" s="8">
        <f>IF(G115&gt;=2000,MAX(I115,Parametres!$B$3),I115)</f>
        <v/>
      </c>
      <c r="K115" s="8">
        <f>IF(C115="Privé",J115,SUMIFS(Regles_regimes!$J$3:$J$2000,Regles_regimes!$A$3:$A$2000,C115,Regles_regimes!$B$3:$B$2000,D115,Regles_regimes!$C$3:$C$2000,MAX(1915,MIN(2025,E115))))</f>
        <v/>
      </c>
      <c r="L115" s="8">
        <f>IF(C115="Privé",H115,(K115-F115)*H115/(J115-F115))</f>
        <v/>
      </c>
      <c r="M115" s="77">
        <f>INT(E115+K115)</f>
        <v/>
      </c>
      <c r="N115" s="77">
        <f>G115+ROUNDUP(L115,0)-1</f>
        <v/>
      </c>
      <c r="O115" s="89">
        <f>SUMIFS(Regles_regimes!$K$3:$K$2000,Regles_regimes!$A$3:$A$2000,C115,Regles_regimes!$B$3:$B$2000,D115,Regles_regimes!$C$3:$C$2000,MAX(1915,MIN(2025,E115)))</f>
        <v/>
      </c>
      <c r="P115" s="13">
        <f>SUMIFS(Donnees_annuelles!$W$3:$W$188,Donnees_annuelles!$A$3:$A$188,"&gt;="&amp;G115,Donnees_annuelles!$A$3:$A$188,"&lt;="&amp;N115)*L115/ROUNDUP(L115,0)*O115</f>
        <v/>
      </c>
      <c r="Q115" s="13">
        <f>SUMIFS(Donnees_annuelles!$V$3:$V$188,Donnees_annuelles!$A$3:$A$188,"&gt;="&amp;G115,Donnees_annuelles!$A$3:$A$188,"&lt;="&amp;N115)*L115/ROUNDUP(L115,0)</f>
        <v/>
      </c>
      <c r="R115" s="13">
        <f>P115/L115</f>
        <v/>
      </c>
      <c r="S115" s="14">
        <f>SUMIFS(Donnees_annuelles!$D$3:$D$188,Donnees_annuelles!$A$3:$A$188,"&gt;="&amp;G115,Donnees_annuelles!$A$3:$A$188,"&lt;="&amp;N115)*L115/ROUNDUP(L115,0)</f>
        <v/>
      </c>
      <c r="T115" s="14">
        <f>SUMIFS(Donnees_regimes!$N$3:$N$1118,Donnees_regimes!$A$3:$A$1118,C115,Donnees_regimes!$B$3:$B$1118,"&gt;="&amp;G115,Donnees_regimes!$B$3:$B$1118,"&lt;="&amp;N115)*L115/ROUNDUP(L115,0)</f>
        <v/>
      </c>
      <c r="U115" s="14">
        <f>SUMIFS(Donnees_regimes!$O$3:$O$1118,Donnees_regimes!$A$3:$A$1118,C115,Donnees_regimes!$B$3:$B$1118,"&gt;="&amp;G115,Donnees_regimes!$B$3:$B$1118,"&lt;="&amp;N115)*L115/ROUNDUP(L115,0)</f>
        <v/>
      </c>
      <c r="V115" s="14">
        <f>T115+U115</f>
        <v/>
      </c>
      <c r="W115" s="33">
        <f>V115/S115</f>
        <v/>
      </c>
      <c r="X115" s="14">
        <f>S115+U115</f>
        <v/>
      </c>
      <c r="Y115" s="17">
        <f>V115/P115</f>
        <v/>
      </c>
      <c r="Z115" s="14">
        <f>SUMIFS(Donnees_regimes!$Q$3:$Q$1118,Donnees_regimes!$A$3:$A$1118,C115,Donnees_regimes!$B$3:$B$1118,"&gt;="&amp;G115,Donnees_regimes!$B$3:$B$1118,"&lt;="&amp;N115)*L115/ROUNDUP(L115,0)</f>
        <v/>
      </c>
      <c r="AA115" s="77">
        <f>SUMIFS(Regles_regimes!$F$3:$F$2000,Regles_regimes!$A$3:$A$2000,C115,Regles_regimes!$B$3:$B$2000,D115,Regles_regimes!$C$3:$C$2000,MAX(1915,MIN(2025,E115)))</f>
        <v/>
      </c>
      <c r="AB115" s="77">
        <f>IF(AND(SUMIFS(Regles_regimes!$L$3:$L$2000,Regles_regimes!$A$3:$A$2000,C115,Regles_regimes!$B$3:$B$2000,D115,Regles_regimes!$C$3:$C$2000,MAX(1915,MIN(2025,E115)))=1,G115&lt;2009,C115&lt;&gt;"Privé"),MIN(20,L115*4/5),0)</f>
        <v/>
      </c>
      <c r="AC115" s="89">
        <f>SUMIFS(Donnees_regimes!$M$3:$M$1118,Donnees_regimes!$A$3:$A$1118,C115,Donnees_regimes!$B$3:$B$1118,M115)</f>
        <v/>
      </c>
      <c r="AD115" s="14">
        <f>SUMIFS(Donnees_annuelles!$Y$3:$Y$188,Donnees_annuelles!$A$3:$A$188,M115)*SUMIFS(Donnees_generations!$I$3:$I$113,Donnees_generations!$A$3:$A$113,MAX(1915,MIN(2025,E115)))/H115</f>
        <v/>
      </c>
      <c r="AE115" s="14">
        <f>IF(C115="Privé",SUMIFS(Donnees_annuelles!$Y$3:$Y$188,Donnees_annuelles!$A$3:$A$188,M115)*MIN(L115,SUMIFS(Donnees_generations!$I$3:$I$113,Donnees_generations!$A$3:$A$113,MAX(1915,MIN(2025,E115))))/L115,AD115*AC115*MIN(IF(AB115&gt;0,0.8/0.75,1),(L115*4+AB115)/AA115))</f>
        <v/>
      </c>
      <c r="AF115" s="14">
        <f>AE115/12</f>
        <v/>
      </c>
      <c r="AG115" s="77">
        <f>MIN(68,MAX(56,2*INT(K115/2)))</f>
        <v/>
      </c>
      <c r="AH115" s="75">
        <f>(CHOOSE((AG115-56)/2+1,SUMIFS(Donnees_generations!$U$3:$U$113,Donnees_generations!$A$3:$A$113,MAX(1915,MIN(2025,E115))),SUMIFS(Donnees_generations!$V$3:$V$113,Donnees_generations!$A$3:$A$113,MAX(1915,MIN(2025,E115))),SUMIFS(Donnees_generations!$W$3:$W$113,Donnees_generations!$A$3:$A$113,MAX(1915,MIN(2025,E115))),SUMIFS(Donnees_generations!$X$3:$X$113,Donnees_generations!$A$3:$A$113,MAX(1915,MIN(2025,E115))),SUMIFS(Donnees_generations!$Y$3:$Y$113,Donnees_generations!$A$3:$A$113,MAX(1915,MIN(2025,E115))),SUMIFS(Donnees_generations!$Z$3:$Z$113,Donnees_generations!$A$3:$A$113,MAX(1915,MIN(2025,E115))),SUMIFS(Donnees_generations!$AA$3:$AA$113,Donnees_generations!$A$3:$A$113,MAX(1915,MIN(2025,E115))),SUMIFS(Donnees_generations!$AB$3:$AB$113,Donnees_generations!$A$3:$A$113,MAX(1915,MIN(2025,E115))))+CHOOSE((AG115-56)/2+1,SUMIFS(Donnees_generations!$AC$3:$AC$113,Donnees_generations!$A$3:$A$113,MAX(1915,MIN(2025,E115))),SUMIFS(Donnees_generations!$AD$3:$AD$113,Donnees_generations!$A$3:$A$113,MAX(1915,MIN(2025,E115))),SUMIFS(Donnees_generations!$AE$3:$AE$113,Donnees_generations!$A$3:$A$113,MAX(1915,MIN(2025,E115))),SUMIFS(Donnees_generations!$AF$3:$AF$113,Donnees_generations!$A$3:$A$113,MAX(1915,MIN(2025,E115))),SUMIFS(Donnees_generations!$AG$3:$AG$113,Donnees_generations!$A$3:$A$113,MAX(1915,MIN(2025,E115))),SUMIFS(Donnees_generations!$AH$3:$AH$113,Donnees_generations!$A$3:$A$113,MAX(1915,MIN(2025,E115))),SUMIFS(Donnees_generations!$AI$3:$AI$113,Donnees_generations!$A$3:$A$113,MAX(1915,MIN(2025,E115))),SUMIFS(Donnees_generations!$AJ$3:$AJ$113,Donnees_generations!$A$3:$A$113,MAX(1915,MIN(2025,E115)))))/2</f>
        <v/>
      </c>
      <c r="AI115" s="75">
        <f>(CHOOSE(((AG115+2)-56)/2+1,SUMIFS(Donnees_generations!$U$3:$U$113,Donnees_generations!$A$3:$A$113,MAX(1915,MIN(2025,E115))),SUMIFS(Donnees_generations!$V$3:$V$113,Donnees_generations!$A$3:$A$113,MAX(1915,MIN(2025,E115))),SUMIFS(Donnees_generations!$W$3:$W$113,Donnees_generations!$A$3:$A$113,MAX(1915,MIN(2025,E115))),SUMIFS(Donnees_generations!$X$3:$X$113,Donnees_generations!$A$3:$A$113,MAX(1915,MIN(2025,E115))),SUMIFS(Donnees_generations!$Y$3:$Y$113,Donnees_generations!$A$3:$A$113,MAX(1915,MIN(2025,E115))),SUMIFS(Donnees_generations!$Z$3:$Z$113,Donnees_generations!$A$3:$A$113,MAX(1915,MIN(2025,E115))),SUMIFS(Donnees_generations!$AA$3:$AA$113,Donnees_generations!$A$3:$A$113,MAX(1915,MIN(2025,E115))),SUMIFS(Donnees_generations!$AB$3:$AB$113,Donnees_generations!$A$3:$A$113,MAX(1915,MIN(2025,E115))))+CHOOSE(((AG115+2)-56)/2+1,SUMIFS(Donnees_generations!$AC$3:$AC$113,Donnees_generations!$A$3:$A$113,MAX(1915,MIN(2025,E115))),SUMIFS(Donnees_generations!$AD$3:$AD$113,Donnees_generations!$A$3:$A$113,MAX(1915,MIN(2025,E115))),SUMIFS(Donnees_generations!$AE$3:$AE$113,Donnees_generations!$A$3:$A$113,MAX(1915,MIN(2025,E115))),SUMIFS(Donnees_generations!$AF$3:$AF$113,Donnees_generations!$A$3:$A$113,MAX(1915,MIN(2025,E115))),SUMIFS(Donnees_generations!$AG$3:$AG$113,Donnees_generations!$A$3:$A$113,MAX(1915,MIN(2025,E115))),SUMIFS(Donnees_generations!$AH$3:$AH$113,Donnees_generations!$A$3:$A$113,MAX(1915,MIN(2025,E115))),SUMIFS(Donnees_generations!$AI$3:$AI$113,Donnees_generations!$A$3:$A$113,MAX(1915,MIN(2025,E115))),SUMIFS(Donnees_generations!$AJ$3:$AJ$113,Donnees_generations!$A$3:$A$113,MAX(1915,MIN(2025,E115)))))/2</f>
        <v/>
      </c>
      <c r="AJ115" s="8">
        <f>MAX(0,AH115+(AI115-AH115)*(K115-AG115)/2)</f>
        <v/>
      </c>
      <c r="AK115" s="8">
        <f>K115+AJ115</f>
        <v/>
      </c>
      <c r="AL115" s="14">
        <f>AE115*AJ115</f>
        <v/>
      </c>
      <c r="AM115" s="17">
        <f>V115/AL115</f>
        <v/>
      </c>
      <c r="AN115" s="17">
        <f>Z115/AL115</f>
        <v/>
      </c>
      <c r="AO115" s="33">
        <f>IF(V115+Z115=0,0,Z115/(V115+Z115))</f>
        <v/>
      </c>
      <c r="AP115" s="14">
        <f>AL115/V115*100</f>
        <v/>
      </c>
      <c r="AQ115" s="8">
        <f>P115/AL115*1000</f>
        <v/>
      </c>
      <c r="AR115" s="77">
        <f>MAX(N115,M115-1)</f>
        <v/>
      </c>
      <c r="AS115" s="14">
        <f>SUMIFS(Donnees_regimes!$R$3:$R$1118,Donnees_regimes!$A$3:$A$1118,C115,Donnees_regimes!$B$3:$B$1118,"&gt;="&amp;G115,Donnees_regimes!$B$3:$B$1118,"&lt;="&amp;N115)*L115/ROUNDUP(L115,0)*SUMIFS(Donnees_annuelles!$AG$3:$AG$188,Donnees_annuelles!$A$3:$A$188,AR115)*SUMIFS(Donnees_annuelles!$AA$3:$AA$188,Donnees_annuelles!$A$3:$A$188,AR115)</f>
        <v/>
      </c>
      <c r="AT115" s="36">
        <f>AS115/V115</f>
        <v/>
      </c>
      <c r="AU115" s="14">
        <f>AL115</f>
        <v/>
      </c>
      <c r="AV115" s="39">
        <f>AS115-AL115</f>
        <v/>
      </c>
      <c r="AW115" s="9">
        <f>AS115/AL115-1</f>
        <v/>
      </c>
      <c r="AX115" s="14">
        <f>AS115/AJ115/12</f>
        <v/>
      </c>
      <c r="AY115" s="14">
        <f>AF115</f>
        <v/>
      </c>
      <c r="AZ115" s="39">
        <f>AX115-AF115</f>
        <v/>
      </c>
      <c r="BA115" s="14">
        <f>SUMIFS(Donnees_regimes!$S$3:$S$1118,Donnees_regimes!$A$3:$A$1118,C115,Donnees_regimes!$B$3:$B$1118,"&gt;="&amp;G115,Donnees_regimes!$B$3:$B$1118,"&lt;="&amp;N115)*L115/ROUNDUP(L115,0)*SUMIFS(Donnees_annuelles!$AH$3:$AH$188,Donnees_annuelles!$A$3:$A$188,AR115)*SUMIFS(Donnees_annuelles!$AA$3:$AA$188,Donnees_annuelles!$A$3:$A$188,AR115)</f>
        <v/>
      </c>
      <c r="BB115" s="39">
        <f>BA115-AL115</f>
        <v/>
      </c>
      <c r="BC115" s="7">
        <f>IF(M115+AJ115&gt;2026,IF(G115&gt;2026,"entièrement projeté","en partie projeté"),"observé")</f>
        <v/>
      </c>
    </row>
    <row r="116">
      <c r="A116" s="7" t="inlineStr">
        <is>
          <t>Génération silencieuse</t>
        </is>
      </c>
      <c r="B116" s="84" t="inlineStr">
        <is>
          <t>Fonction publique d'État</t>
        </is>
      </c>
      <c r="C116" s="7">
        <f>IF(G116&gt;=SUMIFS(Regimes!$C$5:$C$10,Regimes!$A$5:$A$10,B116),"Privé",B116)</f>
        <v/>
      </c>
      <c r="D116" s="7">
        <f>INDEX(Regimes!$D$5:$D$10,MATCH(C116,Regimes!$A$5:$A$10,0))</f>
        <v/>
      </c>
      <c r="E116" s="88" t="n">
        <v>1943</v>
      </c>
      <c r="F116" s="8">
        <f>Donnees_generations!C31</f>
        <v/>
      </c>
      <c r="G116" s="77">
        <f>Donnees_generations!D31</f>
        <v/>
      </c>
      <c r="H116" s="8">
        <f>SUMIFS(Donnees_generations!$S$3:$S$113,Donnees_generations!$A$3:$A$113,MAX(1915,MIN(2025,E116)))</f>
        <v/>
      </c>
      <c r="I116" s="8">
        <f>SUMIFS(Donnees_generations!$T$3:$T$113,Donnees_generations!$A$3:$A$113,MAX(1915,MIN(2025,E116)))</f>
        <v/>
      </c>
      <c r="J116" s="8">
        <f>IF(G116&gt;=2000,MAX(I116,Parametres!$B$3),I116)</f>
        <v/>
      </c>
      <c r="K116" s="8">
        <f>IF(C116="Privé",J116,SUMIFS(Regles_regimes!$J$3:$J$2000,Regles_regimes!$A$3:$A$2000,C116,Regles_regimes!$B$3:$B$2000,D116,Regles_regimes!$C$3:$C$2000,MAX(1915,MIN(2025,E116))))</f>
        <v/>
      </c>
      <c r="L116" s="8">
        <f>IF(C116="Privé",H116,(K116-F116)*H116/(J116-F116))</f>
        <v/>
      </c>
      <c r="M116" s="77">
        <f>INT(E116+K116)</f>
        <v/>
      </c>
      <c r="N116" s="77">
        <f>G116+ROUNDUP(L116,0)-1</f>
        <v/>
      </c>
      <c r="O116" s="89">
        <f>SUMIFS(Regles_regimes!$K$3:$K$2000,Regles_regimes!$A$3:$A$2000,C116,Regles_regimes!$B$3:$B$2000,D116,Regles_regimes!$C$3:$C$2000,MAX(1915,MIN(2025,E116)))</f>
        <v/>
      </c>
      <c r="P116" s="13">
        <f>SUMIFS(Donnees_annuelles!$W$3:$W$188,Donnees_annuelles!$A$3:$A$188,"&gt;="&amp;G116,Donnees_annuelles!$A$3:$A$188,"&lt;="&amp;N116)*L116/ROUNDUP(L116,0)*O116</f>
        <v/>
      </c>
      <c r="Q116" s="13">
        <f>SUMIFS(Donnees_annuelles!$V$3:$V$188,Donnees_annuelles!$A$3:$A$188,"&gt;="&amp;G116,Donnees_annuelles!$A$3:$A$188,"&lt;="&amp;N116)*L116/ROUNDUP(L116,0)</f>
        <v/>
      </c>
      <c r="R116" s="13">
        <f>P116/L116</f>
        <v/>
      </c>
      <c r="S116" s="14">
        <f>SUMIFS(Donnees_annuelles!$D$3:$D$188,Donnees_annuelles!$A$3:$A$188,"&gt;="&amp;G116,Donnees_annuelles!$A$3:$A$188,"&lt;="&amp;N116)*L116/ROUNDUP(L116,0)</f>
        <v/>
      </c>
      <c r="T116" s="14">
        <f>SUMIFS(Donnees_regimes!$N$3:$N$1118,Donnees_regimes!$A$3:$A$1118,C116,Donnees_regimes!$B$3:$B$1118,"&gt;="&amp;G116,Donnees_regimes!$B$3:$B$1118,"&lt;="&amp;N116)*L116/ROUNDUP(L116,0)</f>
        <v/>
      </c>
      <c r="U116" s="14">
        <f>SUMIFS(Donnees_regimes!$O$3:$O$1118,Donnees_regimes!$A$3:$A$1118,C116,Donnees_regimes!$B$3:$B$1118,"&gt;="&amp;G116,Donnees_regimes!$B$3:$B$1118,"&lt;="&amp;N116)*L116/ROUNDUP(L116,0)</f>
        <v/>
      </c>
      <c r="V116" s="14">
        <f>T116+U116</f>
        <v/>
      </c>
      <c r="W116" s="33">
        <f>V116/S116</f>
        <v/>
      </c>
      <c r="X116" s="14">
        <f>S116+U116</f>
        <v/>
      </c>
      <c r="Y116" s="17">
        <f>V116/P116</f>
        <v/>
      </c>
      <c r="Z116" s="14">
        <f>SUMIFS(Donnees_regimes!$Q$3:$Q$1118,Donnees_regimes!$A$3:$A$1118,C116,Donnees_regimes!$B$3:$B$1118,"&gt;="&amp;G116,Donnees_regimes!$B$3:$B$1118,"&lt;="&amp;N116)*L116/ROUNDUP(L116,0)</f>
        <v/>
      </c>
      <c r="AA116" s="77">
        <f>SUMIFS(Regles_regimes!$F$3:$F$2000,Regles_regimes!$A$3:$A$2000,C116,Regles_regimes!$B$3:$B$2000,D116,Regles_regimes!$C$3:$C$2000,MAX(1915,MIN(2025,E116)))</f>
        <v/>
      </c>
      <c r="AB116" s="77">
        <f>IF(AND(SUMIFS(Regles_regimes!$L$3:$L$2000,Regles_regimes!$A$3:$A$2000,C116,Regles_regimes!$B$3:$B$2000,D116,Regles_regimes!$C$3:$C$2000,MAX(1915,MIN(2025,E116)))=1,G116&lt;2009,C116&lt;&gt;"Privé"),MIN(20,L116*4/5),0)</f>
        <v/>
      </c>
      <c r="AC116" s="89">
        <f>SUMIFS(Donnees_regimes!$M$3:$M$1118,Donnees_regimes!$A$3:$A$1118,C116,Donnees_regimes!$B$3:$B$1118,M116)</f>
        <v/>
      </c>
      <c r="AD116" s="14">
        <f>SUMIFS(Donnees_annuelles!$Y$3:$Y$188,Donnees_annuelles!$A$3:$A$188,M116)*SUMIFS(Donnees_generations!$I$3:$I$113,Donnees_generations!$A$3:$A$113,MAX(1915,MIN(2025,E116)))/H116</f>
        <v/>
      </c>
      <c r="AE116" s="14">
        <f>IF(C116="Privé",SUMIFS(Donnees_annuelles!$Y$3:$Y$188,Donnees_annuelles!$A$3:$A$188,M116)*MIN(L116,SUMIFS(Donnees_generations!$I$3:$I$113,Donnees_generations!$A$3:$A$113,MAX(1915,MIN(2025,E116))))/L116,AD116*AC116*MIN(IF(AB116&gt;0,0.8/0.75,1),(L116*4+AB116)/AA116))</f>
        <v/>
      </c>
      <c r="AF116" s="14">
        <f>AE116/12</f>
        <v/>
      </c>
      <c r="AG116" s="77">
        <f>MIN(68,MAX(56,2*INT(K116/2)))</f>
        <v/>
      </c>
      <c r="AH116" s="75">
        <f>(CHOOSE((AG116-56)/2+1,SUMIFS(Donnees_generations!$U$3:$U$113,Donnees_generations!$A$3:$A$113,MAX(1915,MIN(2025,E116))),SUMIFS(Donnees_generations!$V$3:$V$113,Donnees_generations!$A$3:$A$113,MAX(1915,MIN(2025,E116))),SUMIFS(Donnees_generations!$W$3:$W$113,Donnees_generations!$A$3:$A$113,MAX(1915,MIN(2025,E116))),SUMIFS(Donnees_generations!$X$3:$X$113,Donnees_generations!$A$3:$A$113,MAX(1915,MIN(2025,E116))),SUMIFS(Donnees_generations!$Y$3:$Y$113,Donnees_generations!$A$3:$A$113,MAX(1915,MIN(2025,E116))),SUMIFS(Donnees_generations!$Z$3:$Z$113,Donnees_generations!$A$3:$A$113,MAX(1915,MIN(2025,E116))),SUMIFS(Donnees_generations!$AA$3:$AA$113,Donnees_generations!$A$3:$A$113,MAX(1915,MIN(2025,E116))),SUMIFS(Donnees_generations!$AB$3:$AB$113,Donnees_generations!$A$3:$A$113,MAX(1915,MIN(2025,E116))))+CHOOSE((AG116-56)/2+1,SUMIFS(Donnees_generations!$AC$3:$AC$113,Donnees_generations!$A$3:$A$113,MAX(1915,MIN(2025,E116))),SUMIFS(Donnees_generations!$AD$3:$AD$113,Donnees_generations!$A$3:$A$113,MAX(1915,MIN(2025,E116))),SUMIFS(Donnees_generations!$AE$3:$AE$113,Donnees_generations!$A$3:$A$113,MAX(1915,MIN(2025,E116))),SUMIFS(Donnees_generations!$AF$3:$AF$113,Donnees_generations!$A$3:$A$113,MAX(1915,MIN(2025,E116))),SUMIFS(Donnees_generations!$AG$3:$AG$113,Donnees_generations!$A$3:$A$113,MAX(1915,MIN(2025,E116))),SUMIFS(Donnees_generations!$AH$3:$AH$113,Donnees_generations!$A$3:$A$113,MAX(1915,MIN(2025,E116))),SUMIFS(Donnees_generations!$AI$3:$AI$113,Donnees_generations!$A$3:$A$113,MAX(1915,MIN(2025,E116))),SUMIFS(Donnees_generations!$AJ$3:$AJ$113,Donnees_generations!$A$3:$A$113,MAX(1915,MIN(2025,E116)))))/2</f>
        <v/>
      </c>
      <c r="AI116" s="75">
        <f>(CHOOSE(((AG116+2)-56)/2+1,SUMIFS(Donnees_generations!$U$3:$U$113,Donnees_generations!$A$3:$A$113,MAX(1915,MIN(2025,E116))),SUMIFS(Donnees_generations!$V$3:$V$113,Donnees_generations!$A$3:$A$113,MAX(1915,MIN(2025,E116))),SUMIFS(Donnees_generations!$W$3:$W$113,Donnees_generations!$A$3:$A$113,MAX(1915,MIN(2025,E116))),SUMIFS(Donnees_generations!$X$3:$X$113,Donnees_generations!$A$3:$A$113,MAX(1915,MIN(2025,E116))),SUMIFS(Donnees_generations!$Y$3:$Y$113,Donnees_generations!$A$3:$A$113,MAX(1915,MIN(2025,E116))),SUMIFS(Donnees_generations!$Z$3:$Z$113,Donnees_generations!$A$3:$A$113,MAX(1915,MIN(2025,E116))),SUMIFS(Donnees_generations!$AA$3:$AA$113,Donnees_generations!$A$3:$A$113,MAX(1915,MIN(2025,E116))),SUMIFS(Donnees_generations!$AB$3:$AB$113,Donnees_generations!$A$3:$A$113,MAX(1915,MIN(2025,E116))))+CHOOSE(((AG116+2)-56)/2+1,SUMIFS(Donnees_generations!$AC$3:$AC$113,Donnees_generations!$A$3:$A$113,MAX(1915,MIN(2025,E116))),SUMIFS(Donnees_generations!$AD$3:$AD$113,Donnees_generations!$A$3:$A$113,MAX(1915,MIN(2025,E116))),SUMIFS(Donnees_generations!$AE$3:$AE$113,Donnees_generations!$A$3:$A$113,MAX(1915,MIN(2025,E116))),SUMIFS(Donnees_generations!$AF$3:$AF$113,Donnees_generations!$A$3:$A$113,MAX(1915,MIN(2025,E116))),SUMIFS(Donnees_generations!$AG$3:$AG$113,Donnees_generations!$A$3:$A$113,MAX(1915,MIN(2025,E116))),SUMIFS(Donnees_generations!$AH$3:$AH$113,Donnees_generations!$A$3:$A$113,MAX(1915,MIN(2025,E116))),SUMIFS(Donnees_generations!$AI$3:$AI$113,Donnees_generations!$A$3:$A$113,MAX(1915,MIN(2025,E116))),SUMIFS(Donnees_generations!$AJ$3:$AJ$113,Donnees_generations!$A$3:$A$113,MAX(1915,MIN(2025,E116)))))/2</f>
        <v/>
      </c>
      <c r="AJ116" s="8">
        <f>MAX(0,AH116+(AI116-AH116)*(K116-AG116)/2)</f>
        <v/>
      </c>
      <c r="AK116" s="8">
        <f>K116+AJ116</f>
        <v/>
      </c>
      <c r="AL116" s="14">
        <f>AE116*AJ116</f>
        <v/>
      </c>
      <c r="AM116" s="17">
        <f>V116/AL116</f>
        <v/>
      </c>
      <c r="AN116" s="17">
        <f>Z116/AL116</f>
        <v/>
      </c>
      <c r="AO116" s="33">
        <f>IF(V116+Z116=0,0,Z116/(V116+Z116))</f>
        <v/>
      </c>
      <c r="AP116" s="14">
        <f>AL116/V116*100</f>
        <v/>
      </c>
      <c r="AQ116" s="8">
        <f>P116/AL116*1000</f>
        <v/>
      </c>
      <c r="AR116" s="77">
        <f>MAX(N116,M116-1)</f>
        <v/>
      </c>
      <c r="AS116" s="14">
        <f>SUMIFS(Donnees_regimes!$R$3:$R$1118,Donnees_regimes!$A$3:$A$1118,C116,Donnees_regimes!$B$3:$B$1118,"&gt;="&amp;G116,Donnees_regimes!$B$3:$B$1118,"&lt;="&amp;N116)*L116/ROUNDUP(L116,0)*SUMIFS(Donnees_annuelles!$AG$3:$AG$188,Donnees_annuelles!$A$3:$A$188,AR116)*SUMIFS(Donnees_annuelles!$AA$3:$AA$188,Donnees_annuelles!$A$3:$A$188,AR116)</f>
        <v/>
      </c>
      <c r="AT116" s="36">
        <f>AS116/V116</f>
        <v/>
      </c>
      <c r="AU116" s="14">
        <f>AL116</f>
        <v/>
      </c>
      <c r="AV116" s="39">
        <f>AS116-AL116</f>
        <v/>
      </c>
      <c r="AW116" s="9">
        <f>AS116/AL116-1</f>
        <v/>
      </c>
      <c r="AX116" s="14">
        <f>AS116/AJ116/12</f>
        <v/>
      </c>
      <c r="AY116" s="14">
        <f>AF116</f>
        <v/>
      </c>
      <c r="AZ116" s="39">
        <f>AX116-AF116</f>
        <v/>
      </c>
      <c r="BA116" s="14">
        <f>SUMIFS(Donnees_regimes!$S$3:$S$1118,Donnees_regimes!$A$3:$A$1118,C116,Donnees_regimes!$B$3:$B$1118,"&gt;="&amp;G116,Donnees_regimes!$B$3:$B$1118,"&lt;="&amp;N116)*L116/ROUNDUP(L116,0)*SUMIFS(Donnees_annuelles!$AH$3:$AH$188,Donnees_annuelles!$A$3:$A$188,AR116)*SUMIFS(Donnees_annuelles!$AA$3:$AA$188,Donnees_annuelles!$A$3:$A$188,AR116)</f>
        <v/>
      </c>
      <c r="BB116" s="39">
        <f>BA116-AL116</f>
        <v/>
      </c>
      <c r="BC116" s="7">
        <f>IF(M116+AJ116&gt;2026,IF(G116&gt;2026,"entièrement projeté","en partie projeté"),"observé")</f>
        <v/>
      </c>
    </row>
    <row r="117">
      <c r="A117" s="7" t="inlineStr">
        <is>
          <t>Génération silencieuse</t>
        </is>
      </c>
      <c r="B117" s="84" t="inlineStr">
        <is>
          <t>Fonction publique d'État</t>
        </is>
      </c>
      <c r="C117" s="7">
        <f>IF(G117&gt;=SUMIFS(Regimes!$C$5:$C$10,Regimes!$A$5:$A$10,B117),"Privé",B117)</f>
        <v/>
      </c>
      <c r="D117" s="7">
        <f>INDEX(Regimes!$D$5:$D$10,MATCH(C117,Regimes!$A$5:$A$10,0))</f>
        <v/>
      </c>
      <c r="E117" s="88" t="n">
        <v>1944</v>
      </c>
      <c r="F117" s="8">
        <f>Donnees_generations!C32</f>
        <v/>
      </c>
      <c r="G117" s="77">
        <f>Donnees_generations!D32</f>
        <v/>
      </c>
      <c r="H117" s="8">
        <f>SUMIFS(Donnees_generations!$S$3:$S$113,Donnees_generations!$A$3:$A$113,MAX(1915,MIN(2025,E117)))</f>
        <v/>
      </c>
      <c r="I117" s="8">
        <f>SUMIFS(Donnees_generations!$T$3:$T$113,Donnees_generations!$A$3:$A$113,MAX(1915,MIN(2025,E117)))</f>
        <v/>
      </c>
      <c r="J117" s="8">
        <f>IF(G117&gt;=2000,MAX(I117,Parametres!$B$3),I117)</f>
        <v/>
      </c>
      <c r="K117" s="8">
        <f>IF(C117="Privé",J117,SUMIFS(Regles_regimes!$J$3:$J$2000,Regles_regimes!$A$3:$A$2000,C117,Regles_regimes!$B$3:$B$2000,D117,Regles_regimes!$C$3:$C$2000,MAX(1915,MIN(2025,E117))))</f>
        <v/>
      </c>
      <c r="L117" s="8">
        <f>IF(C117="Privé",H117,(K117-F117)*H117/(J117-F117))</f>
        <v/>
      </c>
      <c r="M117" s="77">
        <f>INT(E117+K117)</f>
        <v/>
      </c>
      <c r="N117" s="77">
        <f>G117+ROUNDUP(L117,0)-1</f>
        <v/>
      </c>
      <c r="O117" s="89">
        <f>SUMIFS(Regles_regimes!$K$3:$K$2000,Regles_regimes!$A$3:$A$2000,C117,Regles_regimes!$B$3:$B$2000,D117,Regles_regimes!$C$3:$C$2000,MAX(1915,MIN(2025,E117)))</f>
        <v/>
      </c>
      <c r="P117" s="13">
        <f>SUMIFS(Donnees_annuelles!$W$3:$W$188,Donnees_annuelles!$A$3:$A$188,"&gt;="&amp;G117,Donnees_annuelles!$A$3:$A$188,"&lt;="&amp;N117)*L117/ROUNDUP(L117,0)*O117</f>
        <v/>
      </c>
      <c r="Q117" s="13">
        <f>SUMIFS(Donnees_annuelles!$V$3:$V$188,Donnees_annuelles!$A$3:$A$188,"&gt;="&amp;G117,Donnees_annuelles!$A$3:$A$188,"&lt;="&amp;N117)*L117/ROUNDUP(L117,0)</f>
        <v/>
      </c>
      <c r="R117" s="13">
        <f>P117/L117</f>
        <v/>
      </c>
      <c r="S117" s="14">
        <f>SUMIFS(Donnees_annuelles!$D$3:$D$188,Donnees_annuelles!$A$3:$A$188,"&gt;="&amp;G117,Donnees_annuelles!$A$3:$A$188,"&lt;="&amp;N117)*L117/ROUNDUP(L117,0)</f>
        <v/>
      </c>
      <c r="T117" s="14">
        <f>SUMIFS(Donnees_regimes!$N$3:$N$1118,Donnees_regimes!$A$3:$A$1118,C117,Donnees_regimes!$B$3:$B$1118,"&gt;="&amp;G117,Donnees_regimes!$B$3:$B$1118,"&lt;="&amp;N117)*L117/ROUNDUP(L117,0)</f>
        <v/>
      </c>
      <c r="U117" s="14">
        <f>SUMIFS(Donnees_regimes!$O$3:$O$1118,Donnees_regimes!$A$3:$A$1118,C117,Donnees_regimes!$B$3:$B$1118,"&gt;="&amp;G117,Donnees_regimes!$B$3:$B$1118,"&lt;="&amp;N117)*L117/ROUNDUP(L117,0)</f>
        <v/>
      </c>
      <c r="V117" s="14">
        <f>T117+U117</f>
        <v/>
      </c>
      <c r="W117" s="33">
        <f>V117/S117</f>
        <v/>
      </c>
      <c r="X117" s="14">
        <f>S117+U117</f>
        <v/>
      </c>
      <c r="Y117" s="17">
        <f>V117/P117</f>
        <v/>
      </c>
      <c r="Z117" s="14">
        <f>SUMIFS(Donnees_regimes!$Q$3:$Q$1118,Donnees_regimes!$A$3:$A$1118,C117,Donnees_regimes!$B$3:$B$1118,"&gt;="&amp;G117,Donnees_regimes!$B$3:$B$1118,"&lt;="&amp;N117)*L117/ROUNDUP(L117,0)</f>
        <v/>
      </c>
      <c r="AA117" s="77">
        <f>SUMIFS(Regles_regimes!$F$3:$F$2000,Regles_regimes!$A$3:$A$2000,C117,Regles_regimes!$B$3:$B$2000,D117,Regles_regimes!$C$3:$C$2000,MAX(1915,MIN(2025,E117)))</f>
        <v/>
      </c>
      <c r="AB117" s="77">
        <f>IF(AND(SUMIFS(Regles_regimes!$L$3:$L$2000,Regles_regimes!$A$3:$A$2000,C117,Regles_regimes!$B$3:$B$2000,D117,Regles_regimes!$C$3:$C$2000,MAX(1915,MIN(2025,E117)))=1,G117&lt;2009,C117&lt;&gt;"Privé"),MIN(20,L117*4/5),0)</f>
        <v/>
      </c>
      <c r="AC117" s="89">
        <f>SUMIFS(Donnees_regimes!$M$3:$M$1118,Donnees_regimes!$A$3:$A$1118,C117,Donnees_regimes!$B$3:$B$1118,M117)</f>
        <v/>
      </c>
      <c r="AD117" s="14">
        <f>SUMIFS(Donnees_annuelles!$Y$3:$Y$188,Donnees_annuelles!$A$3:$A$188,M117)*SUMIFS(Donnees_generations!$I$3:$I$113,Donnees_generations!$A$3:$A$113,MAX(1915,MIN(2025,E117)))/H117</f>
        <v/>
      </c>
      <c r="AE117" s="14">
        <f>IF(C117="Privé",SUMIFS(Donnees_annuelles!$Y$3:$Y$188,Donnees_annuelles!$A$3:$A$188,M117)*MIN(L117,SUMIFS(Donnees_generations!$I$3:$I$113,Donnees_generations!$A$3:$A$113,MAX(1915,MIN(2025,E117))))/L117,AD117*AC117*MIN(IF(AB117&gt;0,0.8/0.75,1),(L117*4+AB117)/AA117))</f>
        <v/>
      </c>
      <c r="AF117" s="14">
        <f>AE117/12</f>
        <v/>
      </c>
      <c r="AG117" s="77">
        <f>MIN(68,MAX(56,2*INT(K117/2)))</f>
        <v/>
      </c>
      <c r="AH117" s="75">
        <f>(CHOOSE((AG117-56)/2+1,SUMIFS(Donnees_generations!$U$3:$U$113,Donnees_generations!$A$3:$A$113,MAX(1915,MIN(2025,E117))),SUMIFS(Donnees_generations!$V$3:$V$113,Donnees_generations!$A$3:$A$113,MAX(1915,MIN(2025,E117))),SUMIFS(Donnees_generations!$W$3:$W$113,Donnees_generations!$A$3:$A$113,MAX(1915,MIN(2025,E117))),SUMIFS(Donnees_generations!$X$3:$X$113,Donnees_generations!$A$3:$A$113,MAX(1915,MIN(2025,E117))),SUMIFS(Donnees_generations!$Y$3:$Y$113,Donnees_generations!$A$3:$A$113,MAX(1915,MIN(2025,E117))),SUMIFS(Donnees_generations!$Z$3:$Z$113,Donnees_generations!$A$3:$A$113,MAX(1915,MIN(2025,E117))),SUMIFS(Donnees_generations!$AA$3:$AA$113,Donnees_generations!$A$3:$A$113,MAX(1915,MIN(2025,E117))),SUMIFS(Donnees_generations!$AB$3:$AB$113,Donnees_generations!$A$3:$A$113,MAX(1915,MIN(2025,E117))))+CHOOSE((AG117-56)/2+1,SUMIFS(Donnees_generations!$AC$3:$AC$113,Donnees_generations!$A$3:$A$113,MAX(1915,MIN(2025,E117))),SUMIFS(Donnees_generations!$AD$3:$AD$113,Donnees_generations!$A$3:$A$113,MAX(1915,MIN(2025,E117))),SUMIFS(Donnees_generations!$AE$3:$AE$113,Donnees_generations!$A$3:$A$113,MAX(1915,MIN(2025,E117))),SUMIFS(Donnees_generations!$AF$3:$AF$113,Donnees_generations!$A$3:$A$113,MAX(1915,MIN(2025,E117))),SUMIFS(Donnees_generations!$AG$3:$AG$113,Donnees_generations!$A$3:$A$113,MAX(1915,MIN(2025,E117))),SUMIFS(Donnees_generations!$AH$3:$AH$113,Donnees_generations!$A$3:$A$113,MAX(1915,MIN(2025,E117))),SUMIFS(Donnees_generations!$AI$3:$AI$113,Donnees_generations!$A$3:$A$113,MAX(1915,MIN(2025,E117))),SUMIFS(Donnees_generations!$AJ$3:$AJ$113,Donnees_generations!$A$3:$A$113,MAX(1915,MIN(2025,E117)))))/2</f>
        <v/>
      </c>
      <c r="AI117" s="75">
        <f>(CHOOSE(((AG117+2)-56)/2+1,SUMIFS(Donnees_generations!$U$3:$U$113,Donnees_generations!$A$3:$A$113,MAX(1915,MIN(2025,E117))),SUMIFS(Donnees_generations!$V$3:$V$113,Donnees_generations!$A$3:$A$113,MAX(1915,MIN(2025,E117))),SUMIFS(Donnees_generations!$W$3:$W$113,Donnees_generations!$A$3:$A$113,MAX(1915,MIN(2025,E117))),SUMIFS(Donnees_generations!$X$3:$X$113,Donnees_generations!$A$3:$A$113,MAX(1915,MIN(2025,E117))),SUMIFS(Donnees_generations!$Y$3:$Y$113,Donnees_generations!$A$3:$A$113,MAX(1915,MIN(2025,E117))),SUMIFS(Donnees_generations!$Z$3:$Z$113,Donnees_generations!$A$3:$A$113,MAX(1915,MIN(2025,E117))),SUMIFS(Donnees_generations!$AA$3:$AA$113,Donnees_generations!$A$3:$A$113,MAX(1915,MIN(2025,E117))),SUMIFS(Donnees_generations!$AB$3:$AB$113,Donnees_generations!$A$3:$A$113,MAX(1915,MIN(2025,E117))))+CHOOSE(((AG117+2)-56)/2+1,SUMIFS(Donnees_generations!$AC$3:$AC$113,Donnees_generations!$A$3:$A$113,MAX(1915,MIN(2025,E117))),SUMIFS(Donnees_generations!$AD$3:$AD$113,Donnees_generations!$A$3:$A$113,MAX(1915,MIN(2025,E117))),SUMIFS(Donnees_generations!$AE$3:$AE$113,Donnees_generations!$A$3:$A$113,MAX(1915,MIN(2025,E117))),SUMIFS(Donnees_generations!$AF$3:$AF$113,Donnees_generations!$A$3:$A$113,MAX(1915,MIN(2025,E117))),SUMIFS(Donnees_generations!$AG$3:$AG$113,Donnees_generations!$A$3:$A$113,MAX(1915,MIN(2025,E117))),SUMIFS(Donnees_generations!$AH$3:$AH$113,Donnees_generations!$A$3:$A$113,MAX(1915,MIN(2025,E117))),SUMIFS(Donnees_generations!$AI$3:$AI$113,Donnees_generations!$A$3:$A$113,MAX(1915,MIN(2025,E117))),SUMIFS(Donnees_generations!$AJ$3:$AJ$113,Donnees_generations!$A$3:$A$113,MAX(1915,MIN(2025,E117)))))/2</f>
        <v/>
      </c>
      <c r="AJ117" s="8">
        <f>MAX(0,AH117+(AI117-AH117)*(K117-AG117)/2)</f>
        <v/>
      </c>
      <c r="AK117" s="8">
        <f>K117+AJ117</f>
        <v/>
      </c>
      <c r="AL117" s="14">
        <f>AE117*AJ117</f>
        <v/>
      </c>
      <c r="AM117" s="17">
        <f>V117/AL117</f>
        <v/>
      </c>
      <c r="AN117" s="17">
        <f>Z117/AL117</f>
        <v/>
      </c>
      <c r="AO117" s="33">
        <f>IF(V117+Z117=0,0,Z117/(V117+Z117))</f>
        <v/>
      </c>
      <c r="AP117" s="14">
        <f>AL117/V117*100</f>
        <v/>
      </c>
      <c r="AQ117" s="8">
        <f>P117/AL117*1000</f>
        <v/>
      </c>
      <c r="AR117" s="77">
        <f>MAX(N117,M117-1)</f>
        <v/>
      </c>
      <c r="AS117" s="14">
        <f>SUMIFS(Donnees_regimes!$R$3:$R$1118,Donnees_regimes!$A$3:$A$1118,C117,Donnees_regimes!$B$3:$B$1118,"&gt;="&amp;G117,Donnees_regimes!$B$3:$B$1118,"&lt;="&amp;N117)*L117/ROUNDUP(L117,0)*SUMIFS(Donnees_annuelles!$AG$3:$AG$188,Donnees_annuelles!$A$3:$A$188,AR117)*SUMIFS(Donnees_annuelles!$AA$3:$AA$188,Donnees_annuelles!$A$3:$A$188,AR117)</f>
        <v/>
      </c>
      <c r="AT117" s="36">
        <f>AS117/V117</f>
        <v/>
      </c>
      <c r="AU117" s="14">
        <f>AL117</f>
        <v/>
      </c>
      <c r="AV117" s="39">
        <f>AS117-AL117</f>
        <v/>
      </c>
      <c r="AW117" s="9">
        <f>AS117/AL117-1</f>
        <v/>
      </c>
      <c r="AX117" s="14">
        <f>AS117/AJ117/12</f>
        <v/>
      </c>
      <c r="AY117" s="14">
        <f>AF117</f>
        <v/>
      </c>
      <c r="AZ117" s="39">
        <f>AX117-AF117</f>
        <v/>
      </c>
      <c r="BA117" s="14">
        <f>SUMIFS(Donnees_regimes!$S$3:$S$1118,Donnees_regimes!$A$3:$A$1118,C117,Donnees_regimes!$B$3:$B$1118,"&gt;="&amp;G117,Donnees_regimes!$B$3:$B$1118,"&lt;="&amp;N117)*L117/ROUNDUP(L117,0)*SUMIFS(Donnees_annuelles!$AH$3:$AH$188,Donnees_annuelles!$A$3:$A$188,AR117)*SUMIFS(Donnees_annuelles!$AA$3:$AA$188,Donnees_annuelles!$A$3:$A$188,AR117)</f>
        <v/>
      </c>
      <c r="BB117" s="39">
        <f>BA117-AL117</f>
        <v/>
      </c>
      <c r="BC117" s="7">
        <f>IF(M117+AJ117&gt;2026,IF(G117&gt;2026,"entièrement projeté","en partie projeté"),"observé")</f>
        <v/>
      </c>
    </row>
    <row r="118">
      <c r="A118" s="7" t="inlineStr">
        <is>
          <t>Génération silencieuse</t>
        </is>
      </c>
      <c r="B118" s="84" t="inlineStr">
        <is>
          <t>Fonction publique d'État</t>
        </is>
      </c>
      <c r="C118" s="7">
        <f>IF(G118&gt;=SUMIFS(Regimes!$C$5:$C$10,Regimes!$A$5:$A$10,B118),"Privé",B118)</f>
        <v/>
      </c>
      <c r="D118" s="7">
        <f>INDEX(Regimes!$D$5:$D$10,MATCH(C118,Regimes!$A$5:$A$10,0))</f>
        <v/>
      </c>
      <c r="E118" s="88" t="n">
        <v>1945</v>
      </c>
      <c r="F118" s="8">
        <f>Donnees_generations!C33</f>
        <v/>
      </c>
      <c r="G118" s="77">
        <f>Donnees_generations!D33</f>
        <v/>
      </c>
      <c r="H118" s="8">
        <f>SUMIFS(Donnees_generations!$S$3:$S$113,Donnees_generations!$A$3:$A$113,MAX(1915,MIN(2025,E118)))</f>
        <v/>
      </c>
      <c r="I118" s="8">
        <f>SUMIFS(Donnees_generations!$T$3:$T$113,Donnees_generations!$A$3:$A$113,MAX(1915,MIN(2025,E118)))</f>
        <v/>
      </c>
      <c r="J118" s="8">
        <f>IF(G118&gt;=2000,MAX(I118,Parametres!$B$3),I118)</f>
        <v/>
      </c>
      <c r="K118" s="8">
        <f>IF(C118="Privé",J118,SUMIFS(Regles_regimes!$J$3:$J$2000,Regles_regimes!$A$3:$A$2000,C118,Regles_regimes!$B$3:$B$2000,D118,Regles_regimes!$C$3:$C$2000,MAX(1915,MIN(2025,E118))))</f>
        <v/>
      </c>
      <c r="L118" s="8">
        <f>IF(C118="Privé",H118,(K118-F118)*H118/(J118-F118))</f>
        <v/>
      </c>
      <c r="M118" s="77">
        <f>INT(E118+K118)</f>
        <v/>
      </c>
      <c r="N118" s="77">
        <f>G118+ROUNDUP(L118,0)-1</f>
        <v/>
      </c>
      <c r="O118" s="89">
        <f>SUMIFS(Regles_regimes!$K$3:$K$2000,Regles_regimes!$A$3:$A$2000,C118,Regles_regimes!$B$3:$B$2000,D118,Regles_regimes!$C$3:$C$2000,MAX(1915,MIN(2025,E118)))</f>
        <v/>
      </c>
      <c r="P118" s="13">
        <f>SUMIFS(Donnees_annuelles!$W$3:$W$188,Donnees_annuelles!$A$3:$A$188,"&gt;="&amp;G118,Donnees_annuelles!$A$3:$A$188,"&lt;="&amp;N118)*L118/ROUNDUP(L118,0)*O118</f>
        <v/>
      </c>
      <c r="Q118" s="13">
        <f>SUMIFS(Donnees_annuelles!$V$3:$V$188,Donnees_annuelles!$A$3:$A$188,"&gt;="&amp;G118,Donnees_annuelles!$A$3:$A$188,"&lt;="&amp;N118)*L118/ROUNDUP(L118,0)</f>
        <v/>
      </c>
      <c r="R118" s="13">
        <f>P118/L118</f>
        <v/>
      </c>
      <c r="S118" s="14">
        <f>SUMIFS(Donnees_annuelles!$D$3:$D$188,Donnees_annuelles!$A$3:$A$188,"&gt;="&amp;G118,Donnees_annuelles!$A$3:$A$188,"&lt;="&amp;N118)*L118/ROUNDUP(L118,0)</f>
        <v/>
      </c>
      <c r="T118" s="14">
        <f>SUMIFS(Donnees_regimes!$N$3:$N$1118,Donnees_regimes!$A$3:$A$1118,C118,Donnees_regimes!$B$3:$B$1118,"&gt;="&amp;G118,Donnees_regimes!$B$3:$B$1118,"&lt;="&amp;N118)*L118/ROUNDUP(L118,0)</f>
        <v/>
      </c>
      <c r="U118" s="14">
        <f>SUMIFS(Donnees_regimes!$O$3:$O$1118,Donnees_regimes!$A$3:$A$1118,C118,Donnees_regimes!$B$3:$B$1118,"&gt;="&amp;G118,Donnees_regimes!$B$3:$B$1118,"&lt;="&amp;N118)*L118/ROUNDUP(L118,0)</f>
        <v/>
      </c>
      <c r="V118" s="14">
        <f>T118+U118</f>
        <v/>
      </c>
      <c r="W118" s="33">
        <f>V118/S118</f>
        <v/>
      </c>
      <c r="X118" s="14">
        <f>S118+U118</f>
        <v/>
      </c>
      <c r="Y118" s="17">
        <f>V118/P118</f>
        <v/>
      </c>
      <c r="Z118" s="14">
        <f>SUMIFS(Donnees_regimes!$Q$3:$Q$1118,Donnees_regimes!$A$3:$A$1118,C118,Donnees_regimes!$B$3:$B$1118,"&gt;="&amp;G118,Donnees_regimes!$B$3:$B$1118,"&lt;="&amp;N118)*L118/ROUNDUP(L118,0)</f>
        <v/>
      </c>
      <c r="AA118" s="77">
        <f>SUMIFS(Regles_regimes!$F$3:$F$2000,Regles_regimes!$A$3:$A$2000,C118,Regles_regimes!$B$3:$B$2000,D118,Regles_regimes!$C$3:$C$2000,MAX(1915,MIN(2025,E118)))</f>
        <v/>
      </c>
      <c r="AB118" s="77">
        <f>IF(AND(SUMIFS(Regles_regimes!$L$3:$L$2000,Regles_regimes!$A$3:$A$2000,C118,Regles_regimes!$B$3:$B$2000,D118,Regles_regimes!$C$3:$C$2000,MAX(1915,MIN(2025,E118)))=1,G118&lt;2009,C118&lt;&gt;"Privé"),MIN(20,L118*4/5),0)</f>
        <v/>
      </c>
      <c r="AC118" s="89">
        <f>SUMIFS(Donnees_regimes!$M$3:$M$1118,Donnees_regimes!$A$3:$A$1118,C118,Donnees_regimes!$B$3:$B$1118,M118)</f>
        <v/>
      </c>
      <c r="AD118" s="14">
        <f>SUMIFS(Donnees_annuelles!$Y$3:$Y$188,Donnees_annuelles!$A$3:$A$188,M118)*SUMIFS(Donnees_generations!$I$3:$I$113,Donnees_generations!$A$3:$A$113,MAX(1915,MIN(2025,E118)))/H118</f>
        <v/>
      </c>
      <c r="AE118" s="14">
        <f>IF(C118="Privé",SUMIFS(Donnees_annuelles!$Y$3:$Y$188,Donnees_annuelles!$A$3:$A$188,M118)*MIN(L118,SUMIFS(Donnees_generations!$I$3:$I$113,Donnees_generations!$A$3:$A$113,MAX(1915,MIN(2025,E118))))/L118,AD118*AC118*MIN(IF(AB118&gt;0,0.8/0.75,1),(L118*4+AB118)/AA118))</f>
        <v/>
      </c>
      <c r="AF118" s="14">
        <f>AE118/12</f>
        <v/>
      </c>
      <c r="AG118" s="77">
        <f>MIN(68,MAX(56,2*INT(K118/2)))</f>
        <v/>
      </c>
      <c r="AH118" s="75">
        <f>(CHOOSE((AG118-56)/2+1,SUMIFS(Donnees_generations!$U$3:$U$113,Donnees_generations!$A$3:$A$113,MAX(1915,MIN(2025,E118))),SUMIFS(Donnees_generations!$V$3:$V$113,Donnees_generations!$A$3:$A$113,MAX(1915,MIN(2025,E118))),SUMIFS(Donnees_generations!$W$3:$W$113,Donnees_generations!$A$3:$A$113,MAX(1915,MIN(2025,E118))),SUMIFS(Donnees_generations!$X$3:$X$113,Donnees_generations!$A$3:$A$113,MAX(1915,MIN(2025,E118))),SUMIFS(Donnees_generations!$Y$3:$Y$113,Donnees_generations!$A$3:$A$113,MAX(1915,MIN(2025,E118))),SUMIFS(Donnees_generations!$Z$3:$Z$113,Donnees_generations!$A$3:$A$113,MAX(1915,MIN(2025,E118))),SUMIFS(Donnees_generations!$AA$3:$AA$113,Donnees_generations!$A$3:$A$113,MAX(1915,MIN(2025,E118))),SUMIFS(Donnees_generations!$AB$3:$AB$113,Donnees_generations!$A$3:$A$113,MAX(1915,MIN(2025,E118))))+CHOOSE((AG118-56)/2+1,SUMIFS(Donnees_generations!$AC$3:$AC$113,Donnees_generations!$A$3:$A$113,MAX(1915,MIN(2025,E118))),SUMIFS(Donnees_generations!$AD$3:$AD$113,Donnees_generations!$A$3:$A$113,MAX(1915,MIN(2025,E118))),SUMIFS(Donnees_generations!$AE$3:$AE$113,Donnees_generations!$A$3:$A$113,MAX(1915,MIN(2025,E118))),SUMIFS(Donnees_generations!$AF$3:$AF$113,Donnees_generations!$A$3:$A$113,MAX(1915,MIN(2025,E118))),SUMIFS(Donnees_generations!$AG$3:$AG$113,Donnees_generations!$A$3:$A$113,MAX(1915,MIN(2025,E118))),SUMIFS(Donnees_generations!$AH$3:$AH$113,Donnees_generations!$A$3:$A$113,MAX(1915,MIN(2025,E118))),SUMIFS(Donnees_generations!$AI$3:$AI$113,Donnees_generations!$A$3:$A$113,MAX(1915,MIN(2025,E118))),SUMIFS(Donnees_generations!$AJ$3:$AJ$113,Donnees_generations!$A$3:$A$113,MAX(1915,MIN(2025,E118)))))/2</f>
        <v/>
      </c>
      <c r="AI118" s="75">
        <f>(CHOOSE(((AG118+2)-56)/2+1,SUMIFS(Donnees_generations!$U$3:$U$113,Donnees_generations!$A$3:$A$113,MAX(1915,MIN(2025,E118))),SUMIFS(Donnees_generations!$V$3:$V$113,Donnees_generations!$A$3:$A$113,MAX(1915,MIN(2025,E118))),SUMIFS(Donnees_generations!$W$3:$W$113,Donnees_generations!$A$3:$A$113,MAX(1915,MIN(2025,E118))),SUMIFS(Donnees_generations!$X$3:$X$113,Donnees_generations!$A$3:$A$113,MAX(1915,MIN(2025,E118))),SUMIFS(Donnees_generations!$Y$3:$Y$113,Donnees_generations!$A$3:$A$113,MAX(1915,MIN(2025,E118))),SUMIFS(Donnees_generations!$Z$3:$Z$113,Donnees_generations!$A$3:$A$113,MAX(1915,MIN(2025,E118))),SUMIFS(Donnees_generations!$AA$3:$AA$113,Donnees_generations!$A$3:$A$113,MAX(1915,MIN(2025,E118))),SUMIFS(Donnees_generations!$AB$3:$AB$113,Donnees_generations!$A$3:$A$113,MAX(1915,MIN(2025,E118))))+CHOOSE(((AG118+2)-56)/2+1,SUMIFS(Donnees_generations!$AC$3:$AC$113,Donnees_generations!$A$3:$A$113,MAX(1915,MIN(2025,E118))),SUMIFS(Donnees_generations!$AD$3:$AD$113,Donnees_generations!$A$3:$A$113,MAX(1915,MIN(2025,E118))),SUMIFS(Donnees_generations!$AE$3:$AE$113,Donnees_generations!$A$3:$A$113,MAX(1915,MIN(2025,E118))),SUMIFS(Donnees_generations!$AF$3:$AF$113,Donnees_generations!$A$3:$A$113,MAX(1915,MIN(2025,E118))),SUMIFS(Donnees_generations!$AG$3:$AG$113,Donnees_generations!$A$3:$A$113,MAX(1915,MIN(2025,E118))),SUMIFS(Donnees_generations!$AH$3:$AH$113,Donnees_generations!$A$3:$A$113,MAX(1915,MIN(2025,E118))),SUMIFS(Donnees_generations!$AI$3:$AI$113,Donnees_generations!$A$3:$A$113,MAX(1915,MIN(2025,E118))),SUMIFS(Donnees_generations!$AJ$3:$AJ$113,Donnees_generations!$A$3:$A$113,MAX(1915,MIN(2025,E118)))))/2</f>
        <v/>
      </c>
      <c r="AJ118" s="8">
        <f>MAX(0,AH118+(AI118-AH118)*(K118-AG118)/2)</f>
        <v/>
      </c>
      <c r="AK118" s="8">
        <f>K118+AJ118</f>
        <v/>
      </c>
      <c r="AL118" s="14">
        <f>AE118*AJ118</f>
        <v/>
      </c>
      <c r="AM118" s="17">
        <f>V118/AL118</f>
        <v/>
      </c>
      <c r="AN118" s="17">
        <f>Z118/AL118</f>
        <v/>
      </c>
      <c r="AO118" s="33">
        <f>IF(V118+Z118=0,0,Z118/(V118+Z118))</f>
        <v/>
      </c>
      <c r="AP118" s="14">
        <f>AL118/V118*100</f>
        <v/>
      </c>
      <c r="AQ118" s="8">
        <f>P118/AL118*1000</f>
        <v/>
      </c>
      <c r="AR118" s="77">
        <f>MAX(N118,M118-1)</f>
        <v/>
      </c>
      <c r="AS118" s="14">
        <f>SUMIFS(Donnees_regimes!$R$3:$R$1118,Donnees_regimes!$A$3:$A$1118,C118,Donnees_regimes!$B$3:$B$1118,"&gt;="&amp;G118,Donnees_regimes!$B$3:$B$1118,"&lt;="&amp;N118)*L118/ROUNDUP(L118,0)*SUMIFS(Donnees_annuelles!$AG$3:$AG$188,Donnees_annuelles!$A$3:$A$188,AR118)*SUMIFS(Donnees_annuelles!$AA$3:$AA$188,Donnees_annuelles!$A$3:$A$188,AR118)</f>
        <v/>
      </c>
      <c r="AT118" s="36">
        <f>AS118/V118</f>
        <v/>
      </c>
      <c r="AU118" s="14">
        <f>AL118</f>
        <v/>
      </c>
      <c r="AV118" s="39">
        <f>AS118-AL118</f>
        <v/>
      </c>
      <c r="AW118" s="9">
        <f>AS118/AL118-1</f>
        <v/>
      </c>
      <c r="AX118" s="14">
        <f>AS118/AJ118/12</f>
        <v/>
      </c>
      <c r="AY118" s="14">
        <f>AF118</f>
        <v/>
      </c>
      <c r="AZ118" s="39">
        <f>AX118-AF118</f>
        <v/>
      </c>
      <c r="BA118" s="14">
        <f>SUMIFS(Donnees_regimes!$S$3:$S$1118,Donnees_regimes!$A$3:$A$1118,C118,Donnees_regimes!$B$3:$B$1118,"&gt;="&amp;G118,Donnees_regimes!$B$3:$B$1118,"&lt;="&amp;N118)*L118/ROUNDUP(L118,0)*SUMIFS(Donnees_annuelles!$AH$3:$AH$188,Donnees_annuelles!$A$3:$A$188,AR118)*SUMIFS(Donnees_annuelles!$AA$3:$AA$188,Donnees_annuelles!$A$3:$A$188,AR118)</f>
        <v/>
      </c>
      <c r="BB118" s="39">
        <f>BA118-AL118</f>
        <v/>
      </c>
      <c r="BC118" s="7">
        <f>IF(M118+AJ118&gt;2026,IF(G118&gt;2026,"entièrement projeté","en partie projeté"),"observé")</f>
        <v/>
      </c>
    </row>
    <row r="119">
      <c r="A119" s="7" t="inlineStr">
        <is>
          <t>Baby-boomers</t>
        </is>
      </c>
      <c r="B119" s="84" t="inlineStr">
        <is>
          <t>Fonction publique d'État</t>
        </is>
      </c>
      <c r="C119" s="7">
        <f>IF(G119&gt;=SUMIFS(Regimes!$C$5:$C$10,Regimes!$A$5:$A$10,B119),"Privé",B119)</f>
        <v/>
      </c>
      <c r="D119" s="7">
        <f>INDEX(Regimes!$D$5:$D$10,MATCH(C119,Regimes!$A$5:$A$10,0))</f>
        <v/>
      </c>
      <c r="E119" s="88" t="n">
        <v>1946</v>
      </c>
      <c r="F119" s="8">
        <f>Donnees_generations!C34</f>
        <v/>
      </c>
      <c r="G119" s="77">
        <f>Donnees_generations!D34</f>
        <v/>
      </c>
      <c r="H119" s="8">
        <f>SUMIFS(Donnees_generations!$S$3:$S$113,Donnees_generations!$A$3:$A$113,MAX(1915,MIN(2025,E119)))</f>
        <v/>
      </c>
      <c r="I119" s="8">
        <f>SUMIFS(Donnees_generations!$T$3:$T$113,Donnees_generations!$A$3:$A$113,MAX(1915,MIN(2025,E119)))</f>
        <v/>
      </c>
      <c r="J119" s="8">
        <f>IF(G119&gt;=2000,MAX(I119,Parametres!$B$3),I119)</f>
        <v/>
      </c>
      <c r="K119" s="8">
        <f>IF(C119="Privé",J119,SUMIFS(Regles_regimes!$J$3:$J$2000,Regles_regimes!$A$3:$A$2000,C119,Regles_regimes!$B$3:$B$2000,D119,Regles_regimes!$C$3:$C$2000,MAX(1915,MIN(2025,E119))))</f>
        <v/>
      </c>
      <c r="L119" s="8">
        <f>IF(C119="Privé",H119,(K119-F119)*H119/(J119-F119))</f>
        <v/>
      </c>
      <c r="M119" s="77">
        <f>INT(E119+K119)</f>
        <v/>
      </c>
      <c r="N119" s="77">
        <f>G119+ROUNDUP(L119,0)-1</f>
        <v/>
      </c>
      <c r="O119" s="89">
        <f>SUMIFS(Regles_regimes!$K$3:$K$2000,Regles_regimes!$A$3:$A$2000,C119,Regles_regimes!$B$3:$B$2000,D119,Regles_regimes!$C$3:$C$2000,MAX(1915,MIN(2025,E119)))</f>
        <v/>
      </c>
      <c r="P119" s="13">
        <f>SUMIFS(Donnees_annuelles!$W$3:$W$188,Donnees_annuelles!$A$3:$A$188,"&gt;="&amp;G119,Donnees_annuelles!$A$3:$A$188,"&lt;="&amp;N119)*L119/ROUNDUP(L119,0)*O119</f>
        <v/>
      </c>
      <c r="Q119" s="13">
        <f>SUMIFS(Donnees_annuelles!$V$3:$V$188,Donnees_annuelles!$A$3:$A$188,"&gt;="&amp;G119,Donnees_annuelles!$A$3:$A$188,"&lt;="&amp;N119)*L119/ROUNDUP(L119,0)</f>
        <v/>
      </c>
      <c r="R119" s="13">
        <f>P119/L119</f>
        <v/>
      </c>
      <c r="S119" s="14">
        <f>SUMIFS(Donnees_annuelles!$D$3:$D$188,Donnees_annuelles!$A$3:$A$188,"&gt;="&amp;G119,Donnees_annuelles!$A$3:$A$188,"&lt;="&amp;N119)*L119/ROUNDUP(L119,0)</f>
        <v/>
      </c>
      <c r="T119" s="14">
        <f>SUMIFS(Donnees_regimes!$N$3:$N$1118,Donnees_regimes!$A$3:$A$1118,C119,Donnees_regimes!$B$3:$B$1118,"&gt;="&amp;G119,Donnees_regimes!$B$3:$B$1118,"&lt;="&amp;N119)*L119/ROUNDUP(L119,0)</f>
        <v/>
      </c>
      <c r="U119" s="14">
        <f>SUMIFS(Donnees_regimes!$O$3:$O$1118,Donnees_regimes!$A$3:$A$1118,C119,Donnees_regimes!$B$3:$B$1118,"&gt;="&amp;G119,Donnees_regimes!$B$3:$B$1118,"&lt;="&amp;N119)*L119/ROUNDUP(L119,0)</f>
        <v/>
      </c>
      <c r="V119" s="14">
        <f>T119+U119</f>
        <v/>
      </c>
      <c r="W119" s="33">
        <f>V119/S119</f>
        <v/>
      </c>
      <c r="X119" s="14">
        <f>S119+U119</f>
        <v/>
      </c>
      <c r="Y119" s="17">
        <f>V119/P119</f>
        <v/>
      </c>
      <c r="Z119" s="14">
        <f>SUMIFS(Donnees_regimes!$Q$3:$Q$1118,Donnees_regimes!$A$3:$A$1118,C119,Donnees_regimes!$B$3:$B$1118,"&gt;="&amp;G119,Donnees_regimes!$B$3:$B$1118,"&lt;="&amp;N119)*L119/ROUNDUP(L119,0)</f>
        <v/>
      </c>
      <c r="AA119" s="77">
        <f>SUMIFS(Regles_regimes!$F$3:$F$2000,Regles_regimes!$A$3:$A$2000,C119,Regles_regimes!$B$3:$B$2000,D119,Regles_regimes!$C$3:$C$2000,MAX(1915,MIN(2025,E119)))</f>
        <v/>
      </c>
      <c r="AB119" s="77">
        <f>IF(AND(SUMIFS(Regles_regimes!$L$3:$L$2000,Regles_regimes!$A$3:$A$2000,C119,Regles_regimes!$B$3:$B$2000,D119,Regles_regimes!$C$3:$C$2000,MAX(1915,MIN(2025,E119)))=1,G119&lt;2009,C119&lt;&gt;"Privé"),MIN(20,L119*4/5),0)</f>
        <v/>
      </c>
      <c r="AC119" s="89">
        <f>SUMIFS(Donnees_regimes!$M$3:$M$1118,Donnees_regimes!$A$3:$A$1118,C119,Donnees_regimes!$B$3:$B$1118,M119)</f>
        <v/>
      </c>
      <c r="AD119" s="14">
        <f>SUMIFS(Donnees_annuelles!$Y$3:$Y$188,Donnees_annuelles!$A$3:$A$188,M119)*SUMIFS(Donnees_generations!$I$3:$I$113,Donnees_generations!$A$3:$A$113,MAX(1915,MIN(2025,E119)))/H119</f>
        <v/>
      </c>
      <c r="AE119" s="14">
        <f>IF(C119="Privé",SUMIFS(Donnees_annuelles!$Y$3:$Y$188,Donnees_annuelles!$A$3:$A$188,M119)*MIN(L119,SUMIFS(Donnees_generations!$I$3:$I$113,Donnees_generations!$A$3:$A$113,MAX(1915,MIN(2025,E119))))/L119,AD119*AC119*MIN(IF(AB119&gt;0,0.8/0.75,1),(L119*4+AB119)/AA119))</f>
        <v/>
      </c>
      <c r="AF119" s="14">
        <f>AE119/12</f>
        <v/>
      </c>
      <c r="AG119" s="77">
        <f>MIN(68,MAX(56,2*INT(K119/2)))</f>
        <v/>
      </c>
      <c r="AH119" s="75">
        <f>(CHOOSE((AG119-56)/2+1,SUMIFS(Donnees_generations!$U$3:$U$113,Donnees_generations!$A$3:$A$113,MAX(1915,MIN(2025,E119))),SUMIFS(Donnees_generations!$V$3:$V$113,Donnees_generations!$A$3:$A$113,MAX(1915,MIN(2025,E119))),SUMIFS(Donnees_generations!$W$3:$W$113,Donnees_generations!$A$3:$A$113,MAX(1915,MIN(2025,E119))),SUMIFS(Donnees_generations!$X$3:$X$113,Donnees_generations!$A$3:$A$113,MAX(1915,MIN(2025,E119))),SUMIFS(Donnees_generations!$Y$3:$Y$113,Donnees_generations!$A$3:$A$113,MAX(1915,MIN(2025,E119))),SUMIFS(Donnees_generations!$Z$3:$Z$113,Donnees_generations!$A$3:$A$113,MAX(1915,MIN(2025,E119))),SUMIFS(Donnees_generations!$AA$3:$AA$113,Donnees_generations!$A$3:$A$113,MAX(1915,MIN(2025,E119))),SUMIFS(Donnees_generations!$AB$3:$AB$113,Donnees_generations!$A$3:$A$113,MAX(1915,MIN(2025,E119))))+CHOOSE((AG119-56)/2+1,SUMIFS(Donnees_generations!$AC$3:$AC$113,Donnees_generations!$A$3:$A$113,MAX(1915,MIN(2025,E119))),SUMIFS(Donnees_generations!$AD$3:$AD$113,Donnees_generations!$A$3:$A$113,MAX(1915,MIN(2025,E119))),SUMIFS(Donnees_generations!$AE$3:$AE$113,Donnees_generations!$A$3:$A$113,MAX(1915,MIN(2025,E119))),SUMIFS(Donnees_generations!$AF$3:$AF$113,Donnees_generations!$A$3:$A$113,MAX(1915,MIN(2025,E119))),SUMIFS(Donnees_generations!$AG$3:$AG$113,Donnees_generations!$A$3:$A$113,MAX(1915,MIN(2025,E119))),SUMIFS(Donnees_generations!$AH$3:$AH$113,Donnees_generations!$A$3:$A$113,MAX(1915,MIN(2025,E119))),SUMIFS(Donnees_generations!$AI$3:$AI$113,Donnees_generations!$A$3:$A$113,MAX(1915,MIN(2025,E119))),SUMIFS(Donnees_generations!$AJ$3:$AJ$113,Donnees_generations!$A$3:$A$113,MAX(1915,MIN(2025,E119)))))/2</f>
        <v/>
      </c>
      <c r="AI119" s="75">
        <f>(CHOOSE(((AG119+2)-56)/2+1,SUMIFS(Donnees_generations!$U$3:$U$113,Donnees_generations!$A$3:$A$113,MAX(1915,MIN(2025,E119))),SUMIFS(Donnees_generations!$V$3:$V$113,Donnees_generations!$A$3:$A$113,MAX(1915,MIN(2025,E119))),SUMIFS(Donnees_generations!$W$3:$W$113,Donnees_generations!$A$3:$A$113,MAX(1915,MIN(2025,E119))),SUMIFS(Donnees_generations!$X$3:$X$113,Donnees_generations!$A$3:$A$113,MAX(1915,MIN(2025,E119))),SUMIFS(Donnees_generations!$Y$3:$Y$113,Donnees_generations!$A$3:$A$113,MAX(1915,MIN(2025,E119))),SUMIFS(Donnees_generations!$Z$3:$Z$113,Donnees_generations!$A$3:$A$113,MAX(1915,MIN(2025,E119))),SUMIFS(Donnees_generations!$AA$3:$AA$113,Donnees_generations!$A$3:$A$113,MAX(1915,MIN(2025,E119))),SUMIFS(Donnees_generations!$AB$3:$AB$113,Donnees_generations!$A$3:$A$113,MAX(1915,MIN(2025,E119))))+CHOOSE(((AG119+2)-56)/2+1,SUMIFS(Donnees_generations!$AC$3:$AC$113,Donnees_generations!$A$3:$A$113,MAX(1915,MIN(2025,E119))),SUMIFS(Donnees_generations!$AD$3:$AD$113,Donnees_generations!$A$3:$A$113,MAX(1915,MIN(2025,E119))),SUMIFS(Donnees_generations!$AE$3:$AE$113,Donnees_generations!$A$3:$A$113,MAX(1915,MIN(2025,E119))),SUMIFS(Donnees_generations!$AF$3:$AF$113,Donnees_generations!$A$3:$A$113,MAX(1915,MIN(2025,E119))),SUMIFS(Donnees_generations!$AG$3:$AG$113,Donnees_generations!$A$3:$A$113,MAX(1915,MIN(2025,E119))),SUMIFS(Donnees_generations!$AH$3:$AH$113,Donnees_generations!$A$3:$A$113,MAX(1915,MIN(2025,E119))),SUMIFS(Donnees_generations!$AI$3:$AI$113,Donnees_generations!$A$3:$A$113,MAX(1915,MIN(2025,E119))),SUMIFS(Donnees_generations!$AJ$3:$AJ$113,Donnees_generations!$A$3:$A$113,MAX(1915,MIN(2025,E119)))))/2</f>
        <v/>
      </c>
      <c r="AJ119" s="8">
        <f>MAX(0,AH119+(AI119-AH119)*(K119-AG119)/2)</f>
        <v/>
      </c>
      <c r="AK119" s="8">
        <f>K119+AJ119</f>
        <v/>
      </c>
      <c r="AL119" s="14">
        <f>AE119*AJ119</f>
        <v/>
      </c>
      <c r="AM119" s="17">
        <f>V119/AL119</f>
        <v/>
      </c>
      <c r="AN119" s="17">
        <f>Z119/AL119</f>
        <v/>
      </c>
      <c r="AO119" s="33">
        <f>IF(V119+Z119=0,0,Z119/(V119+Z119))</f>
        <v/>
      </c>
      <c r="AP119" s="14">
        <f>AL119/V119*100</f>
        <v/>
      </c>
      <c r="AQ119" s="8">
        <f>P119/AL119*1000</f>
        <v/>
      </c>
      <c r="AR119" s="77">
        <f>MAX(N119,M119-1)</f>
        <v/>
      </c>
      <c r="AS119" s="14">
        <f>SUMIFS(Donnees_regimes!$R$3:$R$1118,Donnees_regimes!$A$3:$A$1118,C119,Donnees_regimes!$B$3:$B$1118,"&gt;="&amp;G119,Donnees_regimes!$B$3:$B$1118,"&lt;="&amp;N119)*L119/ROUNDUP(L119,0)*SUMIFS(Donnees_annuelles!$AG$3:$AG$188,Donnees_annuelles!$A$3:$A$188,AR119)*SUMIFS(Donnees_annuelles!$AA$3:$AA$188,Donnees_annuelles!$A$3:$A$188,AR119)</f>
        <v/>
      </c>
      <c r="AT119" s="36">
        <f>AS119/V119</f>
        <v/>
      </c>
      <c r="AU119" s="14">
        <f>AL119</f>
        <v/>
      </c>
      <c r="AV119" s="39">
        <f>AS119-AL119</f>
        <v/>
      </c>
      <c r="AW119" s="9">
        <f>AS119/AL119-1</f>
        <v/>
      </c>
      <c r="AX119" s="14">
        <f>AS119/AJ119/12</f>
        <v/>
      </c>
      <c r="AY119" s="14">
        <f>AF119</f>
        <v/>
      </c>
      <c r="AZ119" s="39">
        <f>AX119-AF119</f>
        <v/>
      </c>
      <c r="BA119" s="14">
        <f>SUMIFS(Donnees_regimes!$S$3:$S$1118,Donnees_regimes!$A$3:$A$1118,C119,Donnees_regimes!$B$3:$B$1118,"&gt;="&amp;G119,Donnees_regimes!$B$3:$B$1118,"&lt;="&amp;N119)*L119/ROUNDUP(L119,0)*SUMIFS(Donnees_annuelles!$AH$3:$AH$188,Donnees_annuelles!$A$3:$A$188,AR119)*SUMIFS(Donnees_annuelles!$AA$3:$AA$188,Donnees_annuelles!$A$3:$A$188,AR119)</f>
        <v/>
      </c>
      <c r="BB119" s="39">
        <f>BA119-AL119</f>
        <v/>
      </c>
      <c r="BC119" s="7">
        <f>IF(M119+AJ119&gt;2026,IF(G119&gt;2026,"entièrement projeté","en partie projeté"),"observé")</f>
        <v/>
      </c>
    </row>
    <row r="120">
      <c r="A120" s="7" t="inlineStr">
        <is>
          <t>Baby-boomers</t>
        </is>
      </c>
      <c r="B120" s="84" t="inlineStr">
        <is>
          <t>Fonction publique d'État</t>
        </is>
      </c>
      <c r="C120" s="7">
        <f>IF(G120&gt;=SUMIFS(Regimes!$C$5:$C$10,Regimes!$A$5:$A$10,B120),"Privé",B120)</f>
        <v/>
      </c>
      <c r="D120" s="7">
        <f>INDEX(Regimes!$D$5:$D$10,MATCH(C120,Regimes!$A$5:$A$10,0))</f>
        <v/>
      </c>
      <c r="E120" s="88" t="n">
        <v>1947</v>
      </c>
      <c r="F120" s="8">
        <f>Donnees_generations!C35</f>
        <v/>
      </c>
      <c r="G120" s="77">
        <f>Donnees_generations!D35</f>
        <v/>
      </c>
      <c r="H120" s="8">
        <f>SUMIFS(Donnees_generations!$S$3:$S$113,Donnees_generations!$A$3:$A$113,MAX(1915,MIN(2025,E120)))</f>
        <v/>
      </c>
      <c r="I120" s="8">
        <f>SUMIFS(Donnees_generations!$T$3:$T$113,Donnees_generations!$A$3:$A$113,MAX(1915,MIN(2025,E120)))</f>
        <v/>
      </c>
      <c r="J120" s="8">
        <f>IF(G120&gt;=2000,MAX(I120,Parametres!$B$3),I120)</f>
        <v/>
      </c>
      <c r="K120" s="8">
        <f>IF(C120="Privé",J120,SUMIFS(Regles_regimes!$J$3:$J$2000,Regles_regimes!$A$3:$A$2000,C120,Regles_regimes!$B$3:$B$2000,D120,Regles_regimes!$C$3:$C$2000,MAX(1915,MIN(2025,E120))))</f>
        <v/>
      </c>
      <c r="L120" s="8">
        <f>IF(C120="Privé",H120,(K120-F120)*H120/(J120-F120))</f>
        <v/>
      </c>
      <c r="M120" s="77">
        <f>INT(E120+K120)</f>
        <v/>
      </c>
      <c r="N120" s="77">
        <f>G120+ROUNDUP(L120,0)-1</f>
        <v/>
      </c>
      <c r="O120" s="89">
        <f>SUMIFS(Regles_regimes!$K$3:$K$2000,Regles_regimes!$A$3:$A$2000,C120,Regles_regimes!$B$3:$B$2000,D120,Regles_regimes!$C$3:$C$2000,MAX(1915,MIN(2025,E120)))</f>
        <v/>
      </c>
      <c r="P120" s="13">
        <f>SUMIFS(Donnees_annuelles!$W$3:$W$188,Donnees_annuelles!$A$3:$A$188,"&gt;="&amp;G120,Donnees_annuelles!$A$3:$A$188,"&lt;="&amp;N120)*L120/ROUNDUP(L120,0)*O120</f>
        <v/>
      </c>
      <c r="Q120" s="13">
        <f>SUMIFS(Donnees_annuelles!$V$3:$V$188,Donnees_annuelles!$A$3:$A$188,"&gt;="&amp;G120,Donnees_annuelles!$A$3:$A$188,"&lt;="&amp;N120)*L120/ROUNDUP(L120,0)</f>
        <v/>
      </c>
      <c r="R120" s="13">
        <f>P120/L120</f>
        <v/>
      </c>
      <c r="S120" s="14">
        <f>SUMIFS(Donnees_annuelles!$D$3:$D$188,Donnees_annuelles!$A$3:$A$188,"&gt;="&amp;G120,Donnees_annuelles!$A$3:$A$188,"&lt;="&amp;N120)*L120/ROUNDUP(L120,0)</f>
        <v/>
      </c>
      <c r="T120" s="14">
        <f>SUMIFS(Donnees_regimes!$N$3:$N$1118,Donnees_regimes!$A$3:$A$1118,C120,Donnees_regimes!$B$3:$B$1118,"&gt;="&amp;G120,Donnees_regimes!$B$3:$B$1118,"&lt;="&amp;N120)*L120/ROUNDUP(L120,0)</f>
        <v/>
      </c>
      <c r="U120" s="14">
        <f>SUMIFS(Donnees_regimes!$O$3:$O$1118,Donnees_regimes!$A$3:$A$1118,C120,Donnees_regimes!$B$3:$B$1118,"&gt;="&amp;G120,Donnees_regimes!$B$3:$B$1118,"&lt;="&amp;N120)*L120/ROUNDUP(L120,0)</f>
        <v/>
      </c>
      <c r="V120" s="14">
        <f>T120+U120</f>
        <v/>
      </c>
      <c r="W120" s="33">
        <f>V120/S120</f>
        <v/>
      </c>
      <c r="X120" s="14">
        <f>S120+U120</f>
        <v/>
      </c>
      <c r="Y120" s="17">
        <f>V120/P120</f>
        <v/>
      </c>
      <c r="Z120" s="14">
        <f>SUMIFS(Donnees_regimes!$Q$3:$Q$1118,Donnees_regimes!$A$3:$A$1118,C120,Donnees_regimes!$B$3:$B$1118,"&gt;="&amp;G120,Donnees_regimes!$B$3:$B$1118,"&lt;="&amp;N120)*L120/ROUNDUP(L120,0)</f>
        <v/>
      </c>
      <c r="AA120" s="77">
        <f>SUMIFS(Regles_regimes!$F$3:$F$2000,Regles_regimes!$A$3:$A$2000,C120,Regles_regimes!$B$3:$B$2000,D120,Regles_regimes!$C$3:$C$2000,MAX(1915,MIN(2025,E120)))</f>
        <v/>
      </c>
      <c r="AB120" s="77">
        <f>IF(AND(SUMIFS(Regles_regimes!$L$3:$L$2000,Regles_regimes!$A$3:$A$2000,C120,Regles_regimes!$B$3:$B$2000,D120,Regles_regimes!$C$3:$C$2000,MAX(1915,MIN(2025,E120)))=1,G120&lt;2009,C120&lt;&gt;"Privé"),MIN(20,L120*4/5),0)</f>
        <v/>
      </c>
      <c r="AC120" s="89">
        <f>SUMIFS(Donnees_regimes!$M$3:$M$1118,Donnees_regimes!$A$3:$A$1118,C120,Donnees_regimes!$B$3:$B$1118,M120)</f>
        <v/>
      </c>
      <c r="AD120" s="14">
        <f>SUMIFS(Donnees_annuelles!$Y$3:$Y$188,Donnees_annuelles!$A$3:$A$188,M120)*SUMIFS(Donnees_generations!$I$3:$I$113,Donnees_generations!$A$3:$A$113,MAX(1915,MIN(2025,E120)))/H120</f>
        <v/>
      </c>
      <c r="AE120" s="14">
        <f>IF(C120="Privé",SUMIFS(Donnees_annuelles!$Y$3:$Y$188,Donnees_annuelles!$A$3:$A$188,M120)*MIN(L120,SUMIFS(Donnees_generations!$I$3:$I$113,Donnees_generations!$A$3:$A$113,MAX(1915,MIN(2025,E120))))/L120,AD120*AC120*MIN(IF(AB120&gt;0,0.8/0.75,1),(L120*4+AB120)/AA120))</f>
        <v/>
      </c>
      <c r="AF120" s="14">
        <f>AE120/12</f>
        <v/>
      </c>
      <c r="AG120" s="77">
        <f>MIN(68,MAX(56,2*INT(K120/2)))</f>
        <v/>
      </c>
      <c r="AH120" s="75">
        <f>(CHOOSE((AG120-56)/2+1,SUMIFS(Donnees_generations!$U$3:$U$113,Donnees_generations!$A$3:$A$113,MAX(1915,MIN(2025,E120))),SUMIFS(Donnees_generations!$V$3:$V$113,Donnees_generations!$A$3:$A$113,MAX(1915,MIN(2025,E120))),SUMIFS(Donnees_generations!$W$3:$W$113,Donnees_generations!$A$3:$A$113,MAX(1915,MIN(2025,E120))),SUMIFS(Donnees_generations!$X$3:$X$113,Donnees_generations!$A$3:$A$113,MAX(1915,MIN(2025,E120))),SUMIFS(Donnees_generations!$Y$3:$Y$113,Donnees_generations!$A$3:$A$113,MAX(1915,MIN(2025,E120))),SUMIFS(Donnees_generations!$Z$3:$Z$113,Donnees_generations!$A$3:$A$113,MAX(1915,MIN(2025,E120))),SUMIFS(Donnees_generations!$AA$3:$AA$113,Donnees_generations!$A$3:$A$113,MAX(1915,MIN(2025,E120))),SUMIFS(Donnees_generations!$AB$3:$AB$113,Donnees_generations!$A$3:$A$113,MAX(1915,MIN(2025,E120))))+CHOOSE((AG120-56)/2+1,SUMIFS(Donnees_generations!$AC$3:$AC$113,Donnees_generations!$A$3:$A$113,MAX(1915,MIN(2025,E120))),SUMIFS(Donnees_generations!$AD$3:$AD$113,Donnees_generations!$A$3:$A$113,MAX(1915,MIN(2025,E120))),SUMIFS(Donnees_generations!$AE$3:$AE$113,Donnees_generations!$A$3:$A$113,MAX(1915,MIN(2025,E120))),SUMIFS(Donnees_generations!$AF$3:$AF$113,Donnees_generations!$A$3:$A$113,MAX(1915,MIN(2025,E120))),SUMIFS(Donnees_generations!$AG$3:$AG$113,Donnees_generations!$A$3:$A$113,MAX(1915,MIN(2025,E120))),SUMIFS(Donnees_generations!$AH$3:$AH$113,Donnees_generations!$A$3:$A$113,MAX(1915,MIN(2025,E120))),SUMIFS(Donnees_generations!$AI$3:$AI$113,Donnees_generations!$A$3:$A$113,MAX(1915,MIN(2025,E120))),SUMIFS(Donnees_generations!$AJ$3:$AJ$113,Donnees_generations!$A$3:$A$113,MAX(1915,MIN(2025,E120)))))/2</f>
        <v/>
      </c>
      <c r="AI120" s="75">
        <f>(CHOOSE(((AG120+2)-56)/2+1,SUMIFS(Donnees_generations!$U$3:$U$113,Donnees_generations!$A$3:$A$113,MAX(1915,MIN(2025,E120))),SUMIFS(Donnees_generations!$V$3:$V$113,Donnees_generations!$A$3:$A$113,MAX(1915,MIN(2025,E120))),SUMIFS(Donnees_generations!$W$3:$W$113,Donnees_generations!$A$3:$A$113,MAX(1915,MIN(2025,E120))),SUMIFS(Donnees_generations!$X$3:$X$113,Donnees_generations!$A$3:$A$113,MAX(1915,MIN(2025,E120))),SUMIFS(Donnees_generations!$Y$3:$Y$113,Donnees_generations!$A$3:$A$113,MAX(1915,MIN(2025,E120))),SUMIFS(Donnees_generations!$Z$3:$Z$113,Donnees_generations!$A$3:$A$113,MAX(1915,MIN(2025,E120))),SUMIFS(Donnees_generations!$AA$3:$AA$113,Donnees_generations!$A$3:$A$113,MAX(1915,MIN(2025,E120))),SUMIFS(Donnees_generations!$AB$3:$AB$113,Donnees_generations!$A$3:$A$113,MAX(1915,MIN(2025,E120))))+CHOOSE(((AG120+2)-56)/2+1,SUMIFS(Donnees_generations!$AC$3:$AC$113,Donnees_generations!$A$3:$A$113,MAX(1915,MIN(2025,E120))),SUMIFS(Donnees_generations!$AD$3:$AD$113,Donnees_generations!$A$3:$A$113,MAX(1915,MIN(2025,E120))),SUMIFS(Donnees_generations!$AE$3:$AE$113,Donnees_generations!$A$3:$A$113,MAX(1915,MIN(2025,E120))),SUMIFS(Donnees_generations!$AF$3:$AF$113,Donnees_generations!$A$3:$A$113,MAX(1915,MIN(2025,E120))),SUMIFS(Donnees_generations!$AG$3:$AG$113,Donnees_generations!$A$3:$A$113,MAX(1915,MIN(2025,E120))),SUMIFS(Donnees_generations!$AH$3:$AH$113,Donnees_generations!$A$3:$A$113,MAX(1915,MIN(2025,E120))),SUMIFS(Donnees_generations!$AI$3:$AI$113,Donnees_generations!$A$3:$A$113,MAX(1915,MIN(2025,E120))),SUMIFS(Donnees_generations!$AJ$3:$AJ$113,Donnees_generations!$A$3:$A$113,MAX(1915,MIN(2025,E120)))))/2</f>
        <v/>
      </c>
      <c r="AJ120" s="8">
        <f>MAX(0,AH120+(AI120-AH120)*(K120-AG120)/2)</f>
        <v/>
      </c>
      <c r="AK120" s="8">
        <f>K120+AJ120</f>
        <v/>
      </c>
      <c r="AL120" s="14">
        <f>AE120*AJ120</f>
        <v/>
      </c>
      <c r="AM120" s="17">
        <f>V120/AL120</f>
        <v/>
      </c>
      <c r="AN120" s="17">
        <f>Z120/AL120</f>
        <v/>
      </c>
      <c r="AO120" s="33">
        <f>IF(V120+Z120=0,0,Z120/(V120+Z120))</f>
        <v/>
      </c>
      <c r="AP120" s="14">
        <f>AL120/V120*100</f>
        <v/>
      </c>
      <c r="AQ120" s="8">
        <f>P120/AL120*1000</f>
        <v/>
      </c>
      <c r="AR120" s="77">
        <f>MAX(N120,M120-1)</f>
        <v/>
      </c>
      <c r="AS120" s="14">
        <f>SUMIFS(Donnees_regimes!$R$3:$R$1118,Donnees_regimes!$A$3:$A$1118,C120,Donnees_regimes!$B$3:$B$1118,"&gt;="&amp;G120,Donnees_regimes!$B$3:$B$1118,"&lt;="&amp;N120)*L120/ROUNDUP(L120,0)*SUMIFS(Donnees_annuelles!$AG$3:$AG$188,Donnees_annuelles!$A$3:$A$188,AR120)*SUMIFS(Donnees_annuelles!$AA$3:$AA$188,Donnees_annuelles!$A$3:$A$188,AR120)</f>
        <v/>
      </c>
      <c r="AT120" s="36">
        <f>AS120/V120</f>
        <v/>
      </c>
      <c r="AU120" s="14">
        <f>AL120</f>
        <v/>
      </c>
      <c r="AV120" s="39">
        <f>AS120-AL120</f>
        <v/>
      </c>
      <c r="AW120" s="9">
        <f>AS120/AL120-1</f>
        <v/>
      </c>
      <c r="AX120" s="14">
        <f>AS120/AJ120/12</f>
        <v/>
      </c>
      <c r="AY120" s="14">
        <f>AF120</f>
        <v/>
      </c>
      <c r="AZ120" s="39">
        <f>AX120-AF120</f>
        <v/>
      </c>
      <c r="BA120" s="14">
        <f>SUMIFS(Donnees_regimes!$S$3:$S$1118,Donnees_regimes!$A$3:$A$1118,C120,Donnees_regimes!$B$3:$B$1118,"&gt;="&amp;G120,Donnees_regimes!$B$3:$B$1118,"&lt;="&amp;N120)*L120/ROUNDUP(L120,0)*SUMIFS(Donnees_annuelles!$AH$3:$AH$188,Donnees_annuelles!$A$3:$A$188,AR120)*SUMIFS(Donnees_annuelles!$AA$3:$AA$188,Donnees_annuelles!$A$3:$A$188,AR120)</f>
        <v/>
      </c>
      <c r="BB120" s="39">
        <f>BA120-AL120</f>
        <v/>
      </c>
      <c r="BC120" s="7">
        <f>IF(M120+AJ120&gt;2026,IF(G120&gt;2026,"entièrement projeté","en partie projeté"),"observé")</f>
        <v/>
      </c>
    </row>
    <row r="121">
      <c r="A121" s="7" t="inlineStr">
        <is>
          <t>Baby-boomers</t>
        </is>
      </c>
      <c r="B121" s="84" t="inlineStr">
        <is>
          <t>Fonction publique d'État</t>
        </is>
      </c>
      <c r="C121" s="7">
        <f>IF(G121&gt;=SUMIFS(Regimes!$C$5:$C$10,Regimes!$A$5:$A$10,B121),"Privé",B121)</f>
        <v/>
      </c>
      <c r="D121" s="7">
        <f>INDEX(Regimes!$D$5:$D$10,MATCH(C121,Regimes!$A$5:$A$10,0))</f>
        <v/>
      </c>
      <c r="E121" s="88" t="n">
        <v>1948</v>
      </c>
      <c r="F121" s="8">
        <f>Donnees_generations!C36</f>
        <v/>
      </c>
      <c r="G121" s="77">
        <f>Donnees_generations!D36</f>
        <v/>
      </c>
      <c r="H121" s="8">
        <f>SUMIFS(Donnees_generations!$S$3:$S$113,Donnees_generations!$A$3:$A$113,MAX(1915,MIN(2025,E121)))</f>
        <v/>
      </c>
      <c r="I121" s="8">
        <f>SUMIFS(Donnees_generations!$T$3:$T$113,Donnees_generations!$A$3:$A$113,MAX(1915,MIN(2025,E121)))</f>
        <v/>
      </c>
      <c r="J121" s="8">
        <f>IF(G121&gt;=2000,MAX(I121,Parametres!$B$3),I121)</f>
        <v/>
      </c>
      <c r="K121" s="8">
        <f>IF(C121="Privé",J121,SUMIFS(Regles_regimes!$J$3:$J$2000,Regles_regimes!$A$3:$A$2000,C121,Regles_regimes!$B$3:$B$2000,D121,Regles_regimes!$C$3:$C$2000,MAX(1915,MIN(2025,E121))))</f>
        <v/>
      </c>
      <c r="L121" s="8">
        <f>IF(C121="Privé",H121,(K121-F121)*H121/(J121-F121))</f>
        <v/>
      </c>
      <c r="M121" s="77">
        <f>INT(E121+K121)</f>
        <v/>
      </c>
      <c r="N121" s="77">
        <f>G121+ROUNDUP(L121,0)-1</f>
        <v/>
      </c>
      <c r="O121" s="89">
        <f>SUMIFS(Regles_regimes!$K$3:$K$2000,Regles_regimes!$A$3:$A$2000,C121,Regles_regimes!$B$3:$B$2000,D121,Regles_regimes!$C$3:$C$2000,MAX(1915,MIN(2025,E121)))</f>
        <v/>
      </c>
      <c r="P121" s="13">
        <f>SUMIFS(Donnees_annuelles!$W$3:$W$188,Donnees_annuelles!$A$3:$A$188,"&gt;="&amp;G121,Donnees_annuelles!$A$3:$A$188,"&lt;="&amp;N121)*L121/ROUNDUP(L121,0)*O121</f>
        <v/>
      </c>
      <c r="Q121" s="13">
        <f>SUMIFS(Donnees_annuelles!$V$3:$V$188,Donnees_annuelles!$A$3:$A$188,"&gt;="&amp;G121,Donnees_annuelles!$A$3:$A$188,"&lt;="&amp;N121)*L121/ROUNDUP(L121,0)</f>
        <v/>
      </c>
      <c r="R121" s="13">
        <f>P121/L121</f>
        <v/>
      </c>
      <c r="S121" s="14">
        <f>SUMIFS(Donnees_annuelles!$D$3:$D$188,Donnees_annuelles!$A$3:$A$188,"&gt;="&amp;G121,Donnees_annuelles!$A$3:$A$188,"&lt;="&amp;N121)*L121/ROUNDUP(L121,0)</f>
        <v/>
      </c>
      <c r="T121" s="14">
        <f>SUMIFS(Donnees_regimes!$N$3:$N$1118,Donnees_regimes!$A$3:$A$1118,C121,Donnees_regimes!$B$3:$B$1118,"&gt;="&amp;G121,Donnees_regimes!$B$3:$B$1118,"&lt;="&amp;N121)*L121/ROUNDUP(L121,0)</f>
        <v/>
      </c>
      <c r="U121" s="14">
        <f>SUMIFS(Donnees_regimes!$O$3:$O$1118,Donnees_regimes!$A$3:$A$1118,C121,Donnees_regimes!$B$3:$B$1118,"&gt;="&amp;G121,Donnees_regimes!$B$3:$B$1118,"&lt;="&amp;N121)*L121/ROUNDUP(L121,0)</f>
        <v/>
      </c>
      <c r="V121" s="14">
        <f>T121+U121</f>
        <v/>
      </c>
      <c r="W121" s="33">
        <f>V121/S121</f>
        <v/>
      </c>
      <c r="X121" s="14">
        <f>S121+U121</f>
        <v/>
      </c>
      <c r="Y121" s="17">
        <f>V121/P121</f>
        <v/>
      </c>
      <c r="Z121" s="14">
        <f>SUMIFS(Donnees_regimes!$Q$3:$Q$1118,Donnees_regimes!$A$3:$A$1118,C121,Donnees_regimes!$B$3:$B$1118,"&gt;="&amp;G121,Donnees_regimes!$B$3:$B$1118,"&lt;="&amp;N121)*L121/ROUNDUP(L121,0)</f>
        <v/>
      </c>
      <c r="AA121" s="77">
        <f>SUMIFS(Regles_regimes!$F$3:$F$2000,Regles_regimes!$A$3:$A$2000,C121,Regles_regimes!$B$3:$B$2000,D121,Regles_regimes!$C$3:$C$2000,MAX(1915,MIN(2025,E121)))</f>
        <v/>
      </c>
      <c r="AB121" s="77">
        <f>IF(AND(SUMIFS(Regles_regimes!$L$3:$L$2000,Regles_regimes!$A$3:$A$2000,C121,Regles_regimes!$B$3:$B$2000,D121,Regles_regimes!$C$3:$C$2000,MAX(1915,MIN(2025,E121)))=1,G121&lt;2009,C121&lt;&gt;"Privé"),MIN(20,L121*4/5),0)</f>
        <v/>
      </c>
      <c r="AC121" s="89">
        <f>SUMIFS(Donnees_regimes!$M$3:$M$1118,Donnees_regimes!$A$3:$A$1118,C121,Donnees_regimes!$B$3:$B$1118,M121)</f>
        <v/>
      </c>
      <c r="AD121" s="14">
        <f>SUMIFS(Donnees_annuelles!$Y$3:$Y$188,Donnees_annuelles!$A$3:$A$188,M121)*SUMIFS(Donnees_generations!$I$3:$I$113,Donnees_generations!$A$3:$A$113,MAX(1915,MIN(2025,E121)))/H121</f>
        <v/>
      </c>
      <c r="AE121" s="14">
        <f>IF(C121="Privé",SUMIFS(Donnees_annuelles!$Y$3:$Y$188,Donnees_annuelles!$A$3:$A$188,M121)*MIN(L121,SUMIFS(Donnees_generations!$I$3:$I$113,Donnees_generations!$A$3:$A$113,MAX(1915,MIN(2025,E121))))/L121,AD121*AC121*MIN(IF(AB121&gt;0,0.8/0.75,1),(L121*4+AB121)/AA121))</f>
        <v/>
      </c>
      <c r="AF121" s="14">
        <f>AE121/12</f>
        <v/>
      </c>
      <c r="AG121" s="77">
        <f>MIN(68,MAX(56,2*INT(K121/2)))</f>
        <v/>
      </c>
      <c r="AH121" s="75">
        <f>(CHOOSE((AG121-56)/2+1,SUMIFS(Donnees_generations!$U$3:$U$113,Donnees_generations!$A$3:$A$113,MAX(1915,MIN(2025,E121))),SUMIFS(Donnees_generations!$V$3:$V$113,Donnees_generations!$A$3:$A$113,MAX(1915,MIN(2025,E121))),SUMIFS(Donnees_generations!$W$3:$W$113,Donnees_generations!$A$3:$A$113,MAX(1915,MIN(2025,E121))),SUMIFS(Donnees_generations!$X$3:$X$113,Donnees_generations!$A$3:$A$113,MAX(1915,MIN(2025,E121))),SUMIFS(Donnees_generations!$Y$3:$Y$113,Donnees_generations!$A$3:$A$113,MAX(1915,MIN(2025,E121))),SUMIFS(Donnees_generations!$Z$3:$Z$113,Donnees_generations!$A$3:$A$113,MAX(1915,MIN(2025,E121))),SUMIFS(Donnees_generations!$AA$3:$AA$113,Donnees_generations!$A$3:$A$113,MAX(1915,MIN(2025,E121))),SUMIFS(Donnees_generations!$AB$3:$AB$113,Donnees_generations!$A$3:$A$113,MAX(1915,MIN(2025,E121))))+CHOOSE((AG121-56)/2+1,SUMIFS(Donnees_generations!$AC$3:$AC$113,Donnees_generations!$A$3:$A$113,MAX(1915,MIN(2025,E121))),SUMIFS(Donnees_generations!$AD$3:$AD$113,Donnees_generations!$A$3:$A$113,MAX(1915,MIN(2025,E121))),SUMIFS(Donnees_generations!$AE$3:$AE$113,Donnees_generations!$A$3:$A$113,MAX(1915,MIN(2025,E121))),SUMIFS(Donnees_generations!$AF$3:$AF$113,Donnees_generations!$A$3:$A$113,MAX(1915,MIN(2025,E121))),SUMIFS(Donnees_generations!$AG$3:$AG$113,Donnees_generations!$A$3:$A$113,MAX(1915,MIN(2025,E121))),SUMIFS(Donnees_generations!$AH$3:$AH$113,Donnees_generations!$A$3:$A$113,MAX(1915,MIN(2025,E121))),SUMIFS(Donnees_generations!$AI$3:$AI$113,Donnees_generations!$A$3:$A$113,MAX(1915,MIN(2025,E121))),SUMIFS(Donnees_generations!$AJ$3:$AJ$113,Donnees_generations!$A$3:$A$113,MAX(1915,MIN(2025,E121)))))/2</f>
        <v/>
      </c>
      <c r="AI121" s="75">
        <f>(CHOOSE(((AG121+2)-56)/2+1,SUMIFS(Donnees_generations!$U$3:$U$113,Donnees_generations!$A$3:$A$113,MAX(1915,MIN(2025,E121))),SUMIFS(Donnees_generations!$V$3:$V$113,Donnees_generations!$A$3:$A$113,MAX(1915,MIN(2025,E121))),SUMIFS(Donnees_generations!$W$3:$W$113,Donnees_generations!$A$3:$A$113,MAX(1915,MIN(2025,E121))),SUMIFS(Donnees_generations!$X$3:$X$113,Donnees_generations!$A$3:$A$113,MAX(1915,MIN(2025,E121))),SUMIFS(Donnees_generations!$Y$3:$Y$113,Donnees_generations!$A$3:$A$113,MAX(1915,MIN(2025,E121))),SUMIFS(Donnees_generations!$Z$3:$Z$113,Donnees_generations!$A$3:$A$113,MAX(1915,MIN(2025,E121))),SUMIFS(Donnees_generations!$AA$3:$AA$113,Donnees_generations!$A$3:$A$113,MAX(1915,MIN(2025,E121))),SUMIFS(Donnees_generations!$AB$3:$AB$113,Donnees_generations!$A$3:$A$113,MAX(1915,MIN(2025,E121))))+CHOOSE(((AG121+2)-56)/2+1,SUMIFS(Donnees_generations!$AC$3:$AC$113,Donnees_generations!$A$3:$A$113,MAX(1915,MIN(2025,E121))),SUMIFS(Donnees_generations!$AD$3:$AD$113,Donnees_generations!$A$3:$A$113,MAX(1915,MIN(2025,E121))),SUMIFS(Donnees_generations!$AE$3:$AE$113,Donnees_generations!$A$3:$A$113,MAX(1915,MIN(2025,E121))),SUMIFS(Donnees_generations!$AF$3:$AF$113,Donnees_generations!$A$3:$A$113,MAX(1915,MIN(2025,E121))),SUMIFS(Donnees_generations!$AG$3:$AG$113,Donnees_generations!$A$3:$A$113,MAX(1915,MIN(2025,E121))),SUMIFS(Donnees_generations!$AH$3:$AH$113,Donnees_generations!$A$3:$A$113,MAX(1915,MIN(2025,E121))),SUMIFS(Donnees_generations!$AI$3:$AI$113,Donnees_generations!$A$3:$A$113,MAX(1915,MIN(2025,E121))),SUMIFS(Donnees_generations!$AJ$3:$AJ$113,Donnees_generations!$A$3:$A$113,MAX(1915,MIN(2025,E121)))))/2</f>
        <v/>
      </c>
      <c r="AJ121" s="8">
        <f>MAX(0,AH121+(AI121-AH121)*(K121-AG121)/2)</f>
        <v/>
      </c>
      <c r="AK121" s="8">
        <f>K121+AJ121</f>
        <v/>
      </c>
      <c r="AL121" s="14">
        <f>AE121*AJ121</f>
        <v/>
      </c>
      <c r="AM121" s="17">
        <f>V121/AL121</f>
        <v/>
      </c>
      <c r="AN121" s="17">
        <f>Z121/AL121</f>
        <v/>
      </c>
      <c r="AO121" s="33">
        <f>IF(V121+Z121=0,0,Z121/(V121+Z121))</f>
        <v/>
      </c>
      <c r="AP121" s="14">
        <f>AL121/V121*100</f>
        <v/>
      </c>
      <c r="AQ121" s="8">
        <f>P121/AL121*1000</f>
        <v/>
      </c>
      <c r="AR121" s="77">
        <f>MAX(N121,M121-1)</f>
        <v/>
      </c>
      <c r="AS121" s="14">
        <f>SUMIFS(Donnees_regimes!$R$3:$R$1118,Donnees_regimes!$A$3:$A$1118,C121,Donnees_regimes!$B$3:$B$1118,"&gt;="&amp;G121,Donnees_regimes!$B$3:$B$1118,"&lt;="&amp;N121)*L121/ROUNDUP(L121,0)*SUMIFS(Donnees_annuelles!$AG$3:$AG$188,Donnees_annuelles!$A$3:$A$188,AR121)*SUMIFS(Donnees_annuelles!$AA$3:$AA$188,Donnees_annuelles!$A$3:$A$188,AR121)</f>
        <v/>
      </c>
      <c r="AT121" s="36">
        <f>AS121/V121</f>
        <v/>
      </c>
      <c r="AU121" s="14">
        <f>AL121</f>
        <v/>
      </c>
      <c r="AV121" s="39">
        <f>AS121-AL121</f>
        <v/>
      </c>
      <c r="AW121" s="9">
        <f>AS121/AL121-1</f>
        <v/>
      </c>
      <c r="AX121" s="14">
        <f>AS121/AJ121/12</f>
        <v/>
      </c>
      <c r="AY121" s="14">
        <f>AF121</f>
        <v/>
      </c>
      <c r="AZ121" s="39">
        <f>AX121-AF121</f>
        <v/>
      </c>
      <c r="BA121" s="14">
        <f>SUMIFS(Donnees_regimes!$S$3:$S$1118,Donnees_regimes!$A$3:$A$1118,C121,Donnees_regimes!$B$3:$B$1118,"&gt;="&amp;G121,Donnees_regimes!$B$3:$B$1118,"&lt;="&amp;N121)*L121/ROUNDUP(L121,0)*SUMIFS(Donnees_annuelles!$AH$3:$AH$188,Donnees_annuelles!$A$3:$A$188,AR121)*SUMIFS(Donnees_annuelles!$AA$3:$AA$188,Donnees_annuelles!$A$3:$A$188,AR121)</f>
        <v/>
      </c>
      <c r="BB121" s="39">
        <f>BA121-AL121</f>
        <v/>
      </c>
      <c r="BC121" s="7">
        <f>IF(M121+AJ121&gt;2026,IF(G121&gt;2026,"entièrement projeté","en partie projeté"),"observé")</f>
        <v/>
      </c>
    </row>
    <row r="122">
      <c r="A122" s="7" t="inlineStr">
        <is>
          <t>Baby-boomers</t>
        </is>
      </c>
      <c r="B122" s="84" t="inlineStr">
        <is>
          <t>Fonction publique d'État</t>
        </is>
      </c>
      <c r="C122" s="7">
        <f>IF(G122&gt;=SUMIFS(Regimes!$C$5:$C$10,Regimes!$A$5:$A$10,B122),"Privé",B122)</f>
        <v/>
      </c>
      <c r="D122" s="7">
        <f>INDEX(Regimes!$D$5:$D$10,MATCH(C122,Regimes!$A$5:$A$10,0))</f>
        <v/>
      </c>
      <c r="E122" s="88" t="n">
        <v>1949</v>
      </c>
      <c r="F122" s="8">
        <f>Donnees_generations!C37</f>
        <v/>
      </c>
      <c r="G122" s="77">
        <f>Donnees_generations!D37</f>
        <v/>
      </c>
      <c r="H122" s="8">
        <f>SUMIFS(Donnees_generations!$S$3:$S$113,Donnees_generations!$A$3:$A$113,MAX(1915,MIN(2025,E122)))</f>
        <v/>
      </c>
      <c r="I122" s="8">
        <f>SUMIFS(Donnees_generations!$T$3:$T$113,Donnees_generations!$A$3:$A$113,MAX(1915,MIN(2025,E122)))</f>
        <v/>
      </c>
      <c r="J122" s="8">
        <f>IF(G122&gt;=2000,MAX(I122,Parametres!$B$3),I122)</f>
        <v/>
      </c>
      <c r="K122" s="8">
        <f>IF(C122="Privé",J122,SUMIFS(Regles_regimes!$J$3:$J$2000,Regles_regimes!$A$3:$A$2000,C122,Regles_regimes!$B$3:$B$2000,D122,Regles_regimes!$C$3:$C$2000,MAX(1915,MIN(2025,E122))))</f>
        <v/>
      </c>
      <c r="L122" s="8">
        <f>IF(C122="Privé",H122,(K122-F122)*H122/(J122-F122))</f>
        <v/>
      </c>
      <c r="M122" s="77">
        <f>INT(E122+K122)</f>
        <v/>
      </c>
      <c r="N122" s="77">
        <f>G122+ROUNDUP(L122,0)-1</f>
        <v/>
      </c>
      <c r="O122" s="89">
        <f>SUMIFS(Regles_regimes!$K$3:$K$2000,Regles_regimes!$A$3:$A$2000,C122,Regles_regimes!$B$3:$B$2000,D122,Regles_regimes!$C$3:$C$2000,MAX(1915,MIN(2025,E122)))</f>
        <v/>
      </c>
      <c r="P122" s="13">
        <f>SUMIFS(Donnees_annuelles!$W$3:$W$188,Donnees_annuelles!$A$3:$A$188,"&gt;="&amp;G122,Donnees_annuelles!$A$3:$A$188,"&lt;="&amp;N122)*L122/ROUNDUP(L122,0)*O122</f>
        <v/>
      </c>
      <c r="Q122" s="13">
        <f>SUMIFS(Donnees_annuelles!$V$3:$V$188,Donnees_annuelles!$A$3:$A$188,"&gt;="&amp;G122,Donnees_annuelles!$A$3:$A$188,"&lt;="&amp;N122)*L122/ROUNDUP(L122,0)</f>
        <v/>
      </c>
      <c r="R122" s="13">
        <f>P122/L122</f>
        <v/>
      </c>
      <c r="S122" s="14">
        <f>SUMIFS(Donnees_annuelles!$D$3:$D$188,Donnees_annuelles!$A$3:$A$188,"&gt;="&amp;G122,Donnees_annuelles!$A$3:$A$188,"&lt;="&amp;N122)*L122/ROUNDUP(L122,0)</f>
        <v/>
      </c>
      <c r="T122" s="14">
        <f>SUMIFS(Donnees_regimes!$N$3:$N$1118,Donnees_regimes!$A$3:$A$1118,C122,Donnees_regimes!$B$3:$B$1118,"&gt;="&amp;G122,Donnees_regimes!$B$3:$B$1118,"&lt;="&amp;N122)*L122/ROUNDUP(L122,0)</f>
        <v/>
      </c>
      <c r="U122" s="14">
        <f>SUMIFS(Donnees_regimes!$O$3:$O$1118,Donnees_regimes!$A$3:$A$1118,C122,Donnees_regimes!$B$3:$B$1118,"&gt;="&amp;G122,Donnees_regimes!$B$3:$B$1118,"&lt;="&amp;N122)*L122/ROUNDUP(L122,0)</f>
        <v/>
      </c>
      <c r="V122" s="14">
        <f>T122+U122</f>
        <v/>
      </c>
      <c r="W122" s="33">
        <f>V122/S122</f>
        <v/>
      </c>
      <c r="X122" s="14">
        <f>S122+U122</f>
        <v/>
      </c>
      <c r="Y122" s="17">
        <f>V122/P122</f>
        <v/>
      </c>
      <c r="Z122" s="14">
        <f>SUMIFS(Donnees_regimes!$Q$3:$Q$1118,Donnees_regimes!$A$3:$A$1118,C122,Donnees_regimes!$B$3:$B$1118,"&gt;="&amp;G122,Donnees_regimes!$B$3:$B$1118,"&lt;="&amp;N122)*L122/ROUNDUP(L122,0)</f>
        <v/>
      </c>
      <c r="AA122" s="77">
        <f>SUMIFS(Regles_regimes!$F$3:$F$2000,Regles_regimes!$A$3:$A$2000,C122,Regles_regimes!$B$3:$B$2000,D122,Regles_regimes!$C$3:$C$2000,MAX(1915,MIN(2025,E122)))</f>
        <v/>
      </c>
      <c r="AB122" s="77">
        <f>IF(AND(SUMIFS(Regles_regimes!$L$3:$L$2000,Regles_regimes!$A$3:$A$2000,C122,Regles_regimes!$B$3:$B$2000,D122,Regles_regimes!$C$3:$C$2000,MAX(1915,MIN(2025,E122)))=1,G122&lt;2009,C122&lt;&gt;"Privé"),MIN(20,L122*4/5),0)</f>
        <v/>
      </c>
      <c r="AC122" s="89">
        <f>SUMIFS(Donnees_regimes!$M$3:$M$1118,Donnees_regimes!$A$3:$A$1118,C122,Donnees_regimes!$B$3:$B$1118,M122)</f>
        <v/>
      </c>
      <c r="AD122" s="14">
        <f>SUMIFS(Donnees_annuelles!$Y$3:$Y$188,Donnees_annuelles!$A$3:$A$188,M122)*SUMIFS(Donnees_generations!$I$3:$I$113,Donnees_generations!$A$3:$A$113,MAX(1915,MIN(2025,E122)))/H122</f>
        <v/>
      </c>
      <c r="AE122" s="14">
        <f>IF(C122="Privé",SUMIFS(Donnees_annuelles!$Y$3:$Y$188,Donnees_annuelles!$A$3:$A$188,M122)*MIN(L122,SUMIFS(Donnees_generations!$I$3:$I$113,Donnees_generations!$A$3:$A$113,MAX(1915,MIN(2025,E122))))/L122,AD122*AC122*MIN(IF(AB122&gt;0,0.8/0.75,1),(L122*4+AB122)/AA122))</f>
        <v/>
      </c>
      <c r="AF122" s="14">
        <f>AE122/12</f>
        <v/>
      </c>
      <c r="AG122" s="77">
        <f>MIN(68,MAX(56,2*INT(K122/2)))</f>
        <v/>
      </c>
      <c r="AH122" s="75">
        <f>(CHOOSE((AG122-56)/2+1,SUMIFS(Donnees_generations!$U$3:$U$113,Donnees_generations!$A$3:$A$113,MAX(1915,MIN(2025,E122))),SUMIFS(Donnees_generations!$V$3:$V$113,Donnees_generations!$A$3:$A$113,MAX(1915,MIN(2025,E122))),SUMIFS(Donnees_generations!$W$3:$W$113,Donnees_generations!$A$3:$A$113,MAX(1915,MIN(2025,E122))),SUMIFS(Donnees_generations!$X$3:$X$113,Donnees_generations!$A$3:$A$113,MAX(1915,MIN(2025,E122))),SUMIFS(Donnees_generations!$Y$3:$Y$113,Donnees_generations!$A$3:$A$113,MAX(1915,MIN(2025,E122))),SUMIFS(Donnees_generations!$Z$3:$Z$113,Donnees_generations!$A$3:$A$113,MAX(1915,MIN(2025,E122))),SUMIFS(Donnees_generations!$AA$3:$AA$113,Donnees_generations!$A$3:$A$113,MAX(1915,MIN(2025,E122))),SUMIFS(Donnees_generations!$AB$3:$AB$113,Donnees_generations!$A$3:$A$113,MAX(1915,MIN(2025,E122))))+CHOOSE((AG122-56)/2+1,SUMIFS(Donnees_generations!$AC$3:$AC$113,Donnees_generations!$A$3:$A$113,MAX(1915,MIN(2025,E122))),SUMIFS(Donnees_generations!$AD$3:$AD$113,Donnees_generations!$A$3:$A$113,MAX(1915,MIN(2025,E122))),SUMIFS(Donnees_generations!$AE$3:$AE$113,Donnees_generations!$A$3:$A$113,MAX(1915,MIN(2025,E122))),SUMIFS(Donnees_generations!$AF$3:$AF$113,Donnees_generations!$A$3:$A$113,MAX(1915,MIN(2025,E122))),SUMIFS(Donnees_generations!$AG$3:$AG$113,Donnees_generations!$A$3:$A$113,MAX(1915,MIN(2025,E122))),SUMIFS(Donnees_generations!$AH$3:$AH$113,Donnees_generations!$A$3:$A$113,MAX(1915,MIN(2025,E122))),SUMIFS(Donnees_generations!$AI$3:$AI$113,Donnees_generations!$A$3:$A$113,MAX(1915,MIN(2025,E122))),SUMIFS(Donnees_generations!$AJ$3:$AJ$113,Donnees_generations!$A$3:$A$113,MAX(1915,MIN(2025,E122)))))/2</f>
        <v/>
      </c>
      <c r="AI122" s="75">
        <f>(CHOOSE(((AG122+2)-56)/2+1,SUMIFS(Donnees_generations!$U$3:$U$113,Donnees_generations!$A$3:$A$113,MAX(1915,MIN(2025,E122))),SUMIFS(Donnees_generations!$V$3:$V$113,Donnees_generations!$A$3:$A$113,MAX(1915,MIN(2025,E122))),SUMIFS(Donnees_generations!$W$3:$W$113,Donnees_generations!$A$3:$A$113,MAX(1915,MIN(2025,E122))),SUMIFS(Donnees_generations!$X$3:$X$113,Donnees_generations!$A$3:$A$113,MAX(1915,MIN(2025,E122))),SUMIFS(Donnees_generations!$Y$3:$Y$113,Donnees_generations!$A$3:$A$113,MAX(1915,MIN(2025,E122))),SUMIFS(Donnees_generations!$Z$3:$Z$113,Donnees_generations!$A$3:$A$113,MAX(1915,MIN(2025,E122))),SUMIFS(Donnees_generations!$AA$3:$AA$113,Donnees_generations!$A$3:$A$113,MAX(1915,MIN(2025,E122))),SUMIFS(Donnees_generations!$AB$3:$AB$113,Donnees_generations!$A$3:$A$113,MAX(1915,MIN(2025,E122))))+CHOOSE(((AG122+2)-56)/2+1,SUMIFS(Donnees_generations!$AC$3:$AC$113,Donnees_generations!$A$3:$A$113,MAX(1915,MIN(2025,E122))),SUMIFS(Donnees_generations!$AD$3:$AD$113,Donnees_generations!$A$3:$A$113,MAX(1915,MIN(2025,E122))),SUMIFS(Donnees_generations!$AE$3:$AE$113,Donnees_generations!$A$3:$A$113,MAX(1915,MIN(2025,E122))),SUMIFS(Donnees_generations!$AF$3:$AF$113,Donnees_generations!$A$3:$A$113,MAX(1915,MIN(2025,E122))),SUMIFS(Donnees_generations!$AG$3:$AG$113,Donnees_generations!$A$3:$A$113,MAX(1915,MIN(2025,E122))),SUMIFS(Donnees_generations!$AH$3:$AH$113,Donnees_generations!$A$3:$A$113,MAX(1915,MIN(2025,E122))),SUMIFS(Donnees_generations!$AI$3:$AI$113,Donnees_generations!$A$3:$A$113,MAX(1915,MIN(2025,E122))),SUMIFS(Donnees_generations!$AJ$3:$AJ$113,Donnees_generations!$A$3:$A$113,MAX(1915,MIN(2025,E122)))))/2</f>
        <v/>
      </c>
      <c r="AJ122" s="8">
        <f>MAX(0,AH122+(AI122-AH122)*(K122-AG122)/2)</f>
        <v/>
      </c>
      <c r="AK122" s="8">
        <f>K122+AJ122</f>
        <v/>
      </c>
      <c r="AL122" s="14">
        <f>AE122*AJ122</f>
        <v/>
      </c>
      <c r="AM122" s="17">
        <f>V122/AL122</f>
        <v/>
      </c>
      <c r="AN122" s="17">
        <f>Z122/AL122</f>
        <v/>
      </c>
      <c r="AO122" s="33">
        <f>IF(V122+Z122=0,0,Z122/(V122+Z122))</f>
        <v/>
      </c>
      <c r="AP122" s="14">
        <f>AL122/V122*100</f>
        <v/>
      </c>
      <c r="AQ122" s="8">
        <f>P122/AL122*1000</f>
        <v/>
      </c>
      <c r="AR122" s="77">
        <f>MAX(N122,M122-1)</f>
        <v/>
      </c>
      <c r="AS122" s="14">
        <f>SUMIFS(Donnees_regimes!$R$3:$R$1118,Donnees_regimes!$A$3:$A$1118,C122,Donnees_regimes!$B$3:$B$1118,"&gt;="&amp;G122,Donnees_regimes!$B$3:$B$1118,"&lt;="&amp;N122)*L122/ROUNDUP(L122,0)*SUMIFS(Donnees_annuelles!$AG$3:$AG$188,Donnees_annuelles!$A$3:$A$188,AR122)*SUMIFS(Donnees_annuelles!$AA$3:$AA$188,Donnees_annuelles!$A$3:$A$188,AR122)</f>
        <v/>
      </c>
      <c r="AT122" s="36">
        <f>AS122/V122</f>
        <v/>
      </c>
      <c r="AU122" s="14">
        <f>AL122</f>
        <v/>
      </c>
      <c r="AV122" s="39">
        <f>AS122-AL122</f>
        <v/>
      </c>
      <c r="AW122" s="9">
        <f>AS122/AL122-1</f>
        <v/>
      </c>
      <c r="AX122" s="14">
        <f>AS122/AJ122/12</f>
        <v/>
      </c>
      <c r="AY122" s="14">
        <f>AF122</f>
        <v/>
      </c>
      <c r="AZ122" s="39">
        <f>AX122-AF122</f>
        <v/>
      </c>
      <c r="BA122" s="14">
        <f>SUMIFS(Donnees_regimes!$S$3:$S$1118,Donnees_regimes!$A$3:$A$1118,C122,Donnees_regimes!$B$3:$B$1118,"&gt;="&amp;G122,Donnees_regimes!$B$3:$B$1118,"&lt;="&amp;N122)*L122/ROUNDUP(L122,0)*SUMIFS(Donnees_annuelles!$AH$3:$AH$188,Donnees_annuelles!$A$3:$A$188,AR122)*SUMIFS(Donnees_annuelles!$AA$3:$AA$188,Donnees_annuelles!$A$3:$A$188,AR122)</f>
        <v/>
      </c>
      <c r="BB122" s="39">
        <f>BA122-AL122</f>
        <v/>
      </c>
      <c r="BC122" s="7">
        <f>IF(M122+AJ122&gt;2026,IF(G122&gt;2026,"entièrement projeté","en partie projeté"),"observé")</f>
        <v/>
      </c>
    </row>
    <row r="123">
      <c r="A123" s="7" t="inlineStr">
        <is>
          <t>Baby-boomers</t>
        </is>
      </c>
      <c r="B123" s="84" t="inlineStr">
        <is>
          <t>Fonction publique d'État</t>
        </is>
      </c>
      <c r="C123" s="7">
        <f>IF(G123&gt;=SUMIFS(Regimes!$C$5:$C$10,Regimes!$A$5:$A$10,B123),"Privé",B123)</f>
        <v/>
      </c>
      <c r="D123" s="7">
        <f>INDEX(Regimes!$D$5:$D$10,MATCH(C123,Regimes!$A$5:$A$10,0))</f>
        <v/>
      </c>
      <c r="E123" s="88" t="n">
        <v>1950</v>
      </c>
      <c r="F123" s="8">
        <f>Donnees_generations!C38</f>
        <v/>
      </c>
      <c r="G123" s="77">
        <f>Donnees_generations!D38</f>
        <v/>
      </c>
      <c r="H123" s="8">
        <f>SUMIFS(Donnees_generations!$S$3:$S$113,Donnees_generations!$A$3:$A$113,MAX(1915,MIN(2025,E123)))</f>
        <v/>
      </c>
      <c r="I123" s="8">
        <f>SUMIFS(Donnees_generations!$T$3:$T$113,Donnees_generations!$A$3:$A$113,MAX(1915,MIN(2025,E123)))</f>
        <v/>
      </c>
      <c r="J123" s="8">
        <f>IF(G123&gt;=2000,MAX(I123,Parametres!$B$3),I123)</f>
        <v/>
      </c>
      <c r="K123" s="8">
        <f>IF(C123="Privé",J123,SUMIFS(Regles_regimes!$J$3:$J$2000,Regles_regimes!$A$3:$A$2000,C123,Regles_regimes!$B$3:$B$2000,D123,Regles_regimes!$C$3:$C$2000,MAX(1915,MIN(2025,E123))))</f>
        <v/>
      </c>
      <c r="L123" s="8">
        <f>IF(C123="Privé",H123,(K123-F123)*H123/(J123-F123))</f>
        <v/>
      </c>
      <c r="M123" s="77">
        <f>INT(E123+K123)</f>
        <v/>
      </c>
      <c r="N123" s="77">
        <f>G123+ROUNDUP(L123,0)-1</f>
        <v/>
      </c>
      <c r="O123" s="89">
        <f>SUMIFS(Regles_regimes!$K$3:$K$2000,Regles_regimes!$A$3:$A$2000,C123,Regles_regimes!$B$3:$B$2000,D123,Regles_regimes!$C$3:$C$2000,MAX(1915,MIN(2025,E123)))</f>
        <v/>
      </c>
      <c r="P123" s="13">
        <f>SUMIFS(Donnees_annuelles!$W$3:$W$188,Donnees_annuelles!$A$3:$A$188,"&gt;="&amp;G123,Donnees_annuelles!$A$3:$A$188,"&lt;="&amp;N123)*L123/ROUNDUP(L123,0)*O123</f>
        <v/>
      </c>
      <c r="Q123" s="13">
        <f>SUMIFS(Donnees_annuelles!$V$3:$V$188,Donnees_annuelles!$A$3:$A$188,"&gt;="&amp;G123,Donnees_annuelles!$A$3:$A$188,"&lt;="&amp;N123)*L123/ROUNDUP(L123,0)</f>
        <v/>
      </c>
      <c r="R123" s="13">
        <f>P123/L123</f>
        <v/>
      </c>
      <c r="S123" s="14">
        <f>SUMIFS(Donnees_annuelles!$D$3:$D$188,Donnees_annuelles!$A$3:$A$188,"&gt;="&amp;G123,Donnees_annuelles!$A$3:$A$188,"&lt;="&amp;N123)*L123/ROUNDUP(L123,0)</f>
        <v/>
      </c>
      <c r="T123" s="14">
        <f>SUMIFS(Donnees_regimes!$N$3:$N$1118,Donnees_regimes!$A$3:$A$1118,C123,Donnees_regimes!$B$3:$B$1118,"&gt;="&amp;G123,Donnees_regimes!$B$3:$B$1118,"&lt;="&amp;N123)*L123/ROUNDUP(L123,0)</f>
        <v/>
      </c>
      <c r="U123" s="14">
        <f>SUMIFS(Donnees_regimes!$O$3:$O$1118,Donnees_regimes!$A$3:$A$1118,C123,Donnees_regimes!$B$3:$B$1118,"&gt;="&amp;G123,Donnees_regimes!$B$3:$B$1118,"&lt;="&amp;N123)*L123/ROUNDUP(L123,0)</f>
        <v/>
      </c>
      <c r="V123" s="14">
        <f>T123+U123</f>
        <v/>
      </c>
      <c r="W123" s="33">
        <f>V123/S123</f>
        <v/>
      </c>
      <c r="X123" s="14">
        <f>S123+U123</f>
        <v/>
      </c>
      <c r="Y123" s="17">
        <f>V123/P123</f>
        <v/>
      </c>
      <c r="Z123" s="14">
        <f>SUMIFS(Donnees_regimes!$Q$3:$Q$1118,Donnees_regimes!$A$3:$A$1118,C123,Donnees_regimes!$B$3:$B$1118,"&gt;="&amp;G123,Donnees_regimes!$B$3:$B$1118,"&lt;="&amp;N123)*L123/ROUNDUP(L123,0)</f>
        <v/>
      </c>
      <c r="AA123" s="77">
        <f>SUMIFS(Regles_regimes!$F$3:$F$2000,Regles_regimes!$A$3:$A$2000,C123,Regles_regimes!$B$3:$B$2000,D123,Regles_regimes!$C$3:$C$2000,MAX(1915,MIN(2025,E123)))</f>
        <v/>
      </c>
      <c r="AB123" s="77">
        <f>IF(AND(SUMIFS(Regles_regimes!$L$3:$L$2000,Regles_regimes!$A$3:$A$2000,C123,Regles_regimes!$B$3:$B$2000,D123,Regles_regimes!$C$3:$C$2000,MAX(1915,MIN(2025,E123)))=1,G123&lt;2009,C123&lt;&gt;"Privé"),MIN(20,L123*4/5),0)</f>
        <v/>
      </c>
      <c r="AC123" s="89">
        <f>SUMIFS(Donnees_regimes!$M$3:$M$1118,Donnees_regimes!$A$3:$A$1118,C123,Donnees_regimes!$B$3:$B$1118,M123)</f>
        <v/>
      </c>
      <c r="AD123" s="14">
        <f>SUMIFS(Donnees_annuelles!$Y$3:$Y$188,Donnees_annuelles!$A$3:$A$188,M123)*SUMIFS(Donnees_generations!$I$3:$I$113,Donnees_generations!$A$3:$A$113,MAX(1915,MIN(2025,E123)))/H123</f>
        <v/>
      </c>
      <c r="AE123" s="14">
        <f>IF(C123="Privé",SUMIFS(Donnees_annuelles!$Y$3:$Y$188,Donnees_annuelles!$A$3:$A$188,M123)*MIN(L123,SUMIFS(Donnees_generations!$I$3:$I$113,Donnees_generations!$A$3:$A$113,MAX(1915,MIN(2025,E123))))/L123,AD123*AC123*MIN(IF(AB123&gt;0,0.8/0.75,1),(L123*4+AB123)/AA123))</f>
        <v/>
      </c>
      <c r="AF123" s="14">
        <f>AE123/12</f>
        <v/>
      </c>
      <c r="AG123" s="77">
        <f>MIN(68,MAX(56,2*INT(K123/2)))</f>
        <v/>
      </c>
      <c r="AH123" s="75">
        <f>(CHOOSE((AG123-56)/2+1,SUMIFS(Donnees_generations!$U$3:$U$113,Donnees_generations!$A$3:$A$113,MAX(1915,MIN(2025,E123))),SUMIFS(Donnees_generations!$V$3:$V$113,Donnees_generations!$A$3:$A$113,MAX(1915,MIN(2025,E123))),SUMIFS(Donnees_generations!$W$3:$W$113,Donnees_generations!$A$3:$A$113,MAX(1915,MIN(2025,E123))),SUMIFS(Donnees_generations!$X$3:$X$113,Donnees_generations!$A$3:$A$113,MAX(1915,MIN(2025,E123))),SUMIFS(Donnees_generations!$Y$3:$Y$113,Donnees_generations!$A$3:$A$113,MAX(1915,MIN(2025,E123))),SUMIFS(Donnees_generations!$Z$3:$Z$113,Donnees_generations!$A$3:$A$113,MAX(1915,MIN(2025,E123))),SUMIFS(Donnees_generations!$AA$3:$AA$113,Donnees_generations!$A$3:$A$113,MAX(1915,MIN(2025,E123))),SUMIFS(Donnees_generations!$AB$3:$AB$113,Donnees_generations!$A$3:$A$113,MAX(1915,MIN(2025,E123))))+CHOOSE((AG123-56)/2+1,SUMIFS(Donnees_generations!$AC$3:$AC$113,Donnees_generations!$A$3:$A$113,MAX(1915,MIN(2025,E123))),SUMIFS(Donnees_generations!$AD$3:$AD$113,Donnees_generations!$A$3:$A$113,MAX(1915,MIN(2025,E123))),SUMIFS(Donnees_generations!$AE$3:$AE$113,Donnees_generations!$A$3:$A$113,MAX(1915,MIN(2025,E123))),SUMIFS(Donnees_generations!$AF$3:$AF$113,Donnees_generations!$A$3:$A$113,MAX(1915,MIN(2025,E123))),SUMIFS(Donnees_generations!$AG$3:$AG$113,Donnees_generations!$A$3:$A$113,MAX(1915,MIN(2025,E123))),SUMIFS(Donnees_generations!$AH$3:$AH$113,Donnees_generations!$A$3:$A$113,MAX(1915,MIN(2025,E123))),SUMIFS(Donnees_generations!$AI$3:$AI$113,Donnees_generations!$A$3:$A$113,MAX(1915,MIN(2025,E123))),SUMIFS(Donnees_generations!$AJ$3:$AJ$113,Donnees_generations!$A$3:$A$113,MAX(1915,MIN(2025,E123)))))/2</f>
        <v/>
      </c>
      <c r="AI123" s="75">
        <f>(CHOOSE(((AG123+2)-56)/2+1,SUMIFS(Donnees_generations!$U$3:$U$113,Donnees_generations!$A$3:$A$113,MAX(1915,MIN(2025,E123))),SUMIFS(Donnees_generations!$V$3:$V$113,Donnees_generations!$A$3:$A$113,MAX(1915,MIN(2025,E123))),SUMIFS(Donnees_generations!$W$3:$W$113,Donnees_generations!$A$3:$A$113,MAX(1915,MIN(2025,E123))),SUMIFS(Donnees_generations!$X$3:$X$113,Donnees_generations!$A$3:$A$113,MAX(1915,MIN(2025,E123))),SUMIFS(Donnees_generations!$Y$3:$Y$113,Donnees_generations!$A$3:$A$113,MAX(1915,MIN(2025,E123))),SUMIFS(Donnees_generations!$Z$3:$Z$113,Donnees_generations!$A$3:$A$113,MAX(1915,MIN(2025,E123))),SUMIFS(Donnees_generations!$AA$3:$AA$113,Donnees_generations!$A$3:$A$113,MAX(1915,MIN(2025,E123))),SUMIFS(Donnees_generations!$AB$3:$AB$113,Donnees_generations!$A$3:$A$113,MAX(1915,MIN(2025,E123))))+CHOOSE(((AG123+2)-56)/2+1,SUMIFS(Donnees_generations!$AC$3:$AC$113,Donnees_generations!$A$3:$A$113,MAX(1915,MIN(2025,E123))),SUMIFS(Donnees_generations!$AD$3:$AD$113,Donnees_generations!$A$3:$A$113,MAX(1915,MIN(2025,E123))),SUMIFS(Donnees_generations!$AE$3:$AE$113,Donnees_generations!$A$3:$A$113,MAX(1915,MIN(2025,E123))),SUMIFS(Donnees_generations!$AF$3:$AF$113,Donnees_generations!$A$3:$A$113,MAX(1915,MIN(2025,E123))),SUMIFS(Donnees_generations!$AG$3:$AG$113,Donnees_generations!$A$3:$A$113,MAX(1915,MIN(2025,E123))),SUMIFS(Donnees_generations!$AH$3:$AH$113,Donnees_generations!$A$3:$A$113,MAX(1915,MIN(2025,E123))),SUMIFS(Donnees_generations!$AI$3:$AI$113,Donnees_generations!$A$3:$A$113,MAX(1915,MIN(2025,E123))),SUMIFS(Donnees_generations!$AJ$3:$AJ$113,Donnees_generations!$A$3:$A$113,MAX(1915,MIN(2025,E123)))))/2</f>
        <v/>
      </c>
      <c r="AJ123" s="8">
        <f>MAX(0,AH123+(AI123-AH123)*(K123-AG123)/2)</f>
        <v/>
      </c>
      <c r="AK123" s="8">
        <f>K123+AJ123</f>
        <v/>
      </c>
      <c r="AL123" s="14">
        <f>AE123*AJ123</f>
        <v/>
      </c>
      <c r="AM123" s="17">
        <f>V123/AL123</f>
        <v/>
      </c>
      <c r="AN123" s="17">
        <f>Z123/AL123</f>
        <v/>
      </c>
      <c r="AO123" s="33">
        <f>IF(V123+Z123=0,0,Z123/(V123+Z123))</f>
        <v/>
      </c>
      <c r="AP123" s="14">
        <f>AL123/V123*100</f>
        <v/>
      </c>
      <c r="AQ123" s="8">
        <f>P123/AL123*1000</f>
        <v/>
      </c>
      <c r="AR123" s="77">
        <f>MAX(N123,M123-1)</f>
        <v/>
      </c>
      <c r="AS123" s="14">
        <f>SUMIFS(Donnees_regimes!$R$3:$R$1118,Donnees_regimes!$A$3:$A$1118,C123,Donnees_regimes!$B$3:$B$1118,"&gt;="&amp;G123,Donnees_regimes!$B$3:$B$1118,"&lt;="&amp;N123)*L123/ROUNDUP(L123,0)*SUMIFS(Donnees_annuelles!$AG$3:$AG$188,Donnees_annuelles!$A$3:$A$188,AR123)*SUMIFS(Donnees_annuelles!$AA$3:$AA$188,Donnees_annuelles!$A$3:$A$188,AR123)</f>
        <v/>
      </c>
      <c r="AT123" s="36">
        <f>AS123/V123</f>
        <v/>
      </c>
      <c r="AU123" s="14">
        <f>AL123</f>
        <v/>
      </c>
      <c r="AV123" s="39">
        <f>AS123-AL123</f>
        <v/>
      </c>
      <c r="AW123" s="9">
        <f>AS123/AL123-1</f>
        <v/>
      </c>
      <c r="AX123" s="14">
        <f>AS123/AJ123/12</f>
        <v/>
      </c>
      <c r="AY123" s="14">
        <f>AF123</f>
        <v/>
      </c>
      <c r="AZ123" s="39">
        <f>AX123-AF123</f>
        <v/>
      </c>
      <c r="BA123" s="14">
        <f>SUMIFS(Donnees_regimes!$S$3:$S$1118,Donnees_regimes!$A$3:$A$1118,C123,Donnees_regimes!$B$3:$B$1118,"&gt;="&amp;G123,Donnees_regimes!$B$3:$B$1118,"&lt;="&amp;N123)*L123/ROUNDUP(L123,0)*SUMIFS(Donnees_annuelles!$AH$3:$AH$188,Donnees_annuelles!$A$3:$A$188,AR123)*SUMIFS(Donnees_annuelles!$AA$3:$AA$188,Donnees_annuelles!$A$3:$A$188,AR123)</f>
        <v/>
      </c>
      <c r="BB123" s="39">
        <f>BA123-AL123</f>
        <v/>
      </c>
      <c r="BC123" s="7">
        <f>IF(M123+AJ123&gt;2026,IF(G123&gt;2026,"entièrement projeté","en partie projeté"),"observé")</f>
        <v/>
      </c>
    </row>
    <row r="124">
      <c r="A124" s="7" t="inlineStr">
        <is>
          <t>Baby-boomers</t>
        </is>
      </c>
      <c r="B124" s="84" t="inlineStr">
        <is>
          <t>Fonction publique d'État</t>
        </is>
      </c>
      <c r="C124" s="7">
        <f>IF(G124&gt;=SUMIFS(Regimes!$C$5:$C$10,Regimes!$A$5:$A$10,B124),"Privé",B124)</f>
        <v/>
      </c>
      <c r="D124" s="7">
        <f>INDEX(Regimes!$D$5:$D$10,MATCH(C124,Regimes!$A$5:$A$10,0))</f>
        <v/>
      </c>
      <c r="E124" s="88" t="n">
        <v>1951</v>
      </c>
      <c r="F124" s="8">
        <f>Donnees_generations!C39</f>
        <v/>
      </c>
      <c r="G124" s="77">
        <f>Donnees_generations!D39</f>
        <v/>
      </c>
      <c r="H124" s="8">
        <f>SUMIFS(Donnees_generations!$S$3:$S$113,Donnees_generations!$A$3:$A$113,MAX(1915,MIN(2025,E124)))</f>
        <v/>
      </c>
      <c r="I124" s="8">
        <f>SUMIFS(Donnees_generations!$T$3:$T$113,Donnees_generations!$A$3:$A$113,MAX(1915,MIN(2025,E124)))</f>
        <v/>
      </c>
      <c r="J124" s="8">
        <f>IF(G124&gt;=2000,MAX(I124,Parametres!$B$3),I124)</f>
        <v/>
      </c>
      <c r="K124" s="8">
        <f>IF(C124="Privé",J124,SUMIFS(Regles_regimes!$J$3:$J$2000,Regles_regimes!$A$3:$A$2000,C124,Regles_regimes!$B$3:$B$2000,D124,Regles_regimes!$C$3:$C$2000,MAX(1915,MIN(2025,E124))))</f>
        <v/>
      </c>
      <c r="L124" s="8">
        <f>IF(C124="Privé",H124,(K124-F124)*H124/(J124-F124))</f>
        <v/>
      </c>
      <c r="M124" s="77">
        <f>INT(E124+K124)</f>
        <v/>
      </c>
      <c r="N124" s="77">
        <f>G124+ROUNDUP(L124,0)-1</f>
        <v/>
      </c>
      <c r="O124" s="89">
        <f>SUMIFS(Regles_regimes!$K$3:$K$2000,Regles_regimes!$A$3:$A$2000,C124,Regles_regimes!$B$3:$B$2000,D124,Regles_regimes!$C$3:$C$2000,MAX(1915,MIN(2025,E124)))</f>
        <v/>
      </c>
      <c r="P124" s="13">
        <f>SUMIFS(Donnees_annuelles!$W$3:$W$188,Donnees_annuelles!$A$3:$A$188,"&gt;="&amp;G124,Donnees_annuelles!$A$3:$A$188,"&lt;="&amp;N124)*L124/ROUNDUP(L124,0)*O124</f>
        <v/>
      </c>
      <c r="Q124" s="13">
        <f>SUMIFS(Donnees_annuelles!$V$3:$V$188,Donnees_annuelles!$A$3:$A$188,"&gt;="&amp;G124,Donnees_annuelles!$A$3:$A$188,"&lt;="&amp;N124)*L124/ROUNDUP(L124,0)</f>
        <v/>
      </c>
      <c r="R124" s="13">
        <f>P124/L124</f>
        <v/>
      </c>
      <c r="S124" s="14">
        <f>SUMIFS(Donnees_annuelles!$D$3:$D$188,Donnees_annuelles!$A$3:$A$188,"&gt;="&amp;G124,Donnees_annuelles!$A$3:$A$188,"&lt;="&amp;N124)*L124/ROUNDUP(L124,0)</f>
        <v/>
      </c>
      <c r="T124" s="14">
        <f>SUMIFS(Donnees_regimes!$N$3:$N$1118,Donnees_regimes!$A$3:$A$1118,C124,Donnees_regimes!$B$3:$B$1118,"&gt;="&amp;G124,Donnees_regimes!$B$3:$B$1118,"&lt;="&amp;N124)*L124/ROUNDUP(L124,0)</f>
        <v/>
      </c>
      <c r="U124" s="14">
        <f>SUMIFS(Donnees_regimes!$O$3:$O$1118,Donnees_regimes!$A$3:$A$1118,C124,Donnees_regimes!$B$3:$B$1118,"&gt;="&amp;G124,Donnees_regimes!$B$3:$B$1118,"&lt;="&amp;N124)*L124/ROUNDUP(L124,0)</f>
        <v/>
      </c>
      <c r="V124" s="14">
        <f>T124+U124</f>
        <v/>
      </c>
      <c r="W124" s="33">
        <f>V124/S124</f>
        <v/>
      </c>
      <c r="X124" s="14">
        <f>S124+U124</f>
        <v/>
      </c>
      <c r="Y124" s="17">
        <f>V124/P124</f>
        <v/>
      </c>
      <c r="Z124" s="14">
        <f>SUMIFS(Donnees_regimes!$Q$3:$Q$1118,Donnees_regimes!$A$3:$A$1118,C124,Donnees_regimes!$B$3:$B$1118,"&gt;="&amp;G124,Donnees_regimes!$B$3:$B$1118,"&lt;="&amp;N124)*L124/ROUNDUP(L124,0)</f>
        <v/>
      </c>
      <c r="AA124" s="77">
        <f>SUMIFS(Regles_regimes!$F$3:$F$2000,Regles_regimes!$A$3:$A$2000,C124,Regles_regimes!$B$3:$B$2000,D124,Regles_regimes!$C$3:$C$2000,MAX(1915,MIN(2025,E124)))</f>
        <v/>
      </c>
      <c r="AB124" s="77">
        <f>IF(AND(SUMIFS(Regles_regimes!$L$3:$L$2000,Regles_regimes!$A$3:$A$2000,C124,Regles_regimes!$B$3:$B$2000,D124,Regles_regimes!$C$3:$C$2000,MAX(1915,MIN(2025,E124)))=1,G124&lt;2009,C124&lt;&gt;"Privé"),MIN(20,L124*4/5),0)</f>
        <v/>
      </c>
      <c r="AC124" s="89">
        <f>SUMIFS(Donnees_regimes!$M$3:$M$1118,Donnees_regimes!$A$3:$A$1118,C124,Donnees_regimes!$B$3:$B$1118,M124)</f>
        <v/>
      </c>
      <c r="AD124" s="14">
        <f>SUMIFS(Donnees_annuelles!$Y$3:$Y$188,Donnees_annuelles!$A$3:$A$188,M124)*SUMIFS(Donnees_generations!$I$3:$I$113,Donnees_generations!$A$3:$A$113,MAX(1915,MIN(2025,E124)))/H124</f>
        <v/>
      </c>
      <c r="AE124" s="14">
        <f>IF(C124="Privé",SUMIFS(Donnees_annuelles!$Y$3:$Y$188,Donnees_annuelles!$A$3:$A$188,M124)*MIN(L124,SUMIFS(Donnees_generations!$I$3:$I$113,Donnees_generations!$A$3:$A$113,MAX(1915,MIN(2025,E124))))/L124,AD124*AC124*MIN(IF(AB124&gt;0,0.8/0.75,1),(L124*4+AB124)/AA124))</f>
        <v/>
      </c>
      <c r="AF124" s="14">
        <f>AE124/12</f>
        <v/>
      </c>
      <c r="AG124" s="77">
        <f>MIN(68,MAX(56,2*INT(K124/2)))</f>
        <v/>
      </c>
      <c r="AH124" s="75">
        <f>(CHOOSE((AG124-56)/2+1,SUMIFS(Donnees_generations!$U$3:$U$113,Donnees_generations!$A$3:$A$113,MAX(1915,MIN(2025,E124))),SUMIFS(Donnees_generations!$V$3:$V$113,Donnees_generations!$A$3:$A$113,MAX(1915,MIN(2025,E124))),SUMIFS(Donnees_generations!$W$3:$W$113,Donnees_generations!$A$3:$A$113,MAX(1915,MIN(2025,E124))),SUMIFS(Donnees_generations!$X$3:$X$113,Donnees_generations!$A$3:$A$113,MAX(1915,MIN(2025,E124))),SUMIFS(Donnees_generations!$Y$3:$Y$113,Donnees_generations!$A$3:$A$113,MAX(1915,MIN(2025,E124))),SUMIFS(Donnees_generations!$Z$3:$Z$113,Donnees_generations!$A$3:$A$113,MAX(1915,MIN(2025,E124))),SUMIFS(Donnees_generations!$AA$3:$AA$113,Donnees_generations!$A$3:$A$113,MAX(1915,MIN(2025,E124))),SUMIFS(Donnees_generations!$AB$3:$AB$113,Donnees_generations!$A$3:$A$113,MAX(1915,MIN(2025,E124))))+CHOOSE((AG124-56)/2+1,SUMIFS(Donnees_generations!$AC$3:$AC$113,Donnees_generations!$A$3:$A$113,MAX(1915,MIN(2025,E124))),SUMIFS(Donnees_generations!$AD$3:$AD$113,Donnees_generations!$A$3:$A$113,MAX(1915,MIN(2025,E124))),SUMIFS(Donnees_generations!$AE$3:$AE$113,Donnees_generations!$A$3:$A$113,MAX(1915,MIN(2025,E124))),SUMIFS(Donnees_generations!$AF$3:$AF$113,Donnees_generations!$A$3:$A$113,MAX(1915,MIN(2025,E124))),SUMIFS(Donnees_generations!$AG$3:$AG$113,Donnees_generations!$A$3:$A$113,MAX(1915,MIN(2025,E124))),SUMIFS(Donnees_generations!$AH$3:$AH$113,Donnees_generations!$A$3:$A$113,MAX(1915,MIN(2025,E124))),SUMIFS(Donnees_generations!$AI$3:$AI$113,Donnees_generations!$A$3:$A$113,MAX(1915,MIN(2025,E124))),SUMIFS(Donnees_generations!$AJ$3:$AJ$113,Donnees_generations!$A$3:$A$113,MAX(1915,MIN(2025,E124)))))/2</f>
        <v/>
      </c>
      <c r="AI124" s="75">
        <f>(CHOOSE(((AG124+2)-56)/2+1,SUMIFS(Donnees_generations!$U$3:$U$113,Donnees_generations!$A$3:$A$113,MAX(1915,MIN(2025,E124))),SUMIFS(Donnees_generations!$V$3:$V$113,Donnees_generations!$A$3:$A$113,MAX(1915,MIN(2025,E124))),SUMIFS(Donnees_generations!$W$3:$W$113,Donnees_generations!$A$3:$A$113,MAX(1915,MIN(2025,E124))),SUMIFS(Donnees_generations!$X$3:$X$113,Donnees_generations!$A$3:$A$113,MAX(1915,MIN(2025,E124))),SUMIFS(Donnees_generations!$Y$3:$Y$113,Donnees_generations!$A$3:$A$113,MAX(1915,MIN(2025,E124))),SUMIFS(Donnees_generations!$Z$3:$Z$113,Donnees_generations!$A$3:$A$113,MAX(1915,MIN(2025,E124))),SUMIFS(Donnees_generations!$AA$3:$AA$113,Donnees_generations!$A$3:$A$113,MAX(1915,MIN(2025,E124))),SUMIFS(Donnees_generations!$AB$3:$AB$113,Donnees_generations!$A$3:$A$113,MAX(1915,MIN(2025,E124))))+CHOOSE(((AG124+2)-56)/2+1,SUMIFS(Donnees_generations!$AC$3:$AC$113,Donnees_generations!$A$3:$A$113,MAX(1915,MIN(2025,E124))),SUMIFS(Donnees_generations!$AD$3:$AD$113,Donnees_generations!$A$3:$A$113,MAX(1915,MIN(2025,E124))),SUMIFS(Donnees_generations!$AE$3:$AE$113,Donnees_generations!$A$3:$A$113,MAX(1915,MIN(2025,E124))),SUMIFS(Donnees_generations!$AF$3:$AF$113,Donnees_generations!$A$3:$A$113,MAX(1915,MIN(2025,E124))),SUMIFS(Donnees_generations!$AG$3:$AG$113,Donnees_generations!$A$3:$A$113,MAX(1915,MIN(2025,E124))),SUMIFS(Donnees_generations!$AH$3:$AH$113,Donnees_generations!$A$3:$A$113,MAX(1915,MIN(2025,E124))),SUMIFS(Donnees_generations!$AI$3:$AI$113,Donnees_generations!$A$3:$A$113,MAX(1915,MIN(2025,E124))),SUMIFS(Donnees_generations!$AJ$3:$AJ$113,Donnees_generations!$A$3:$A$113,MAX(1915,MIN(2025,E124)))))/2</f>
        <v/>
      </c>
      <c r="AJ124" s="8">
        <f>MAX(0,AH124+(AI124-AH124)*(K124-AG124)/2)</f>
        <v/>
      </c>
      <c r="AK124" s="8">
        <f>K124+AJ124</f>
        <v/>
      </c>
      <c r="AL124" s="14">
        <f>AE124*AJ124</f>
        <v/>
      </c>
      <c r="AM124" s="17">
        <f>V124/AL124</f>
        <v/>
      </c>
      <c r="AN124" s="17">
        <f>Z124/AL124</f>
        <v/>
      </c>
      <c r="AO124" s="33">
        <f>IF(V124+Z124=0,0,Z124/(V124+Z124))</f>
        <v/>
      </c>
      <c r="AP124" s="14">
        <f>AL124/V124*100</f>
        <v/>
      </c>
      <c r="AQ124" s="8">
        <f>P124/AL124*1000</f>
        <v/>
      </c>
      <c r="AR124" s="77">
        <f>MAX(N124,M124-1)</f>
        <v/>
      </c>
      <c r="AS124" s="14">
        <f>SUMIFS(Donnees_regimes!$R$3:$R$1118,Donnees_regimes!$A$3:$A$1118,C124,Donnees_regimes!$B$3:$B$1118,"&gt;="&amp;G124,Donnees_regimes!$B$3:$B$1118,"&lt;="&amp;N124)*L124/ROUNDUP(L124,0)*SUMIFS(Donnees_annuelles!$AG$3:$AG$188,Donnees_annuelles!$A$3:$A$188,AR124)*SUMIFS(Donnees_annuelles!$AA$3:$AA$188,Donnees_annuelles!$A$3:$A$188,AR124)</f>
        <v/>
      </c>
      <c r="AT124" s="36">
        <f>AS124/V124</f>
        <v/>
      </c>
      <c r="AU124" s="14">
        <f>AL124</f>
        <v/>
      </c>
      <c r="AV124" s="39">
        <f>AS124-AL124</f>
        <v/>
      </c>
      <c r="AW124" s="9">
        <f>AS124/AL124-1</f>
        <v/>
      </c>
      <c r="AX124" s="14">
        <f>AS124/AJ124/12</f>
        <v/>
      </c>
      <c r="AY124" s="14">
        <f>AF124</f>
        <v/>
      </c>
      <c r="AZ124" s="39">
        <f>AX124-AF124</f>
        <v/>
      </c>
      <c r="BA124" s="14">
        <f>SUMIFS(Donnees_regimes!$S$3:$S$1118,Donnees_regimes!$A$3:$A$1118,C124,Donnees_regimes!$B$3:$B$1118,"&gt;="&amp;G124,Donnees_regimes!$B$3:$B$1118,"&lt;="&amp;N124)*L124/ROUNDUP(L124,0)*SUMIFS(Donnees_annuelles!$AH$3:$AH$188,Donnees_annuelles!$A$3:$A$188,AR124)*SUMIFS(Donnees_annuelles!$AA$3:$AA$188,Donnees_annuelles!$A$3:$A$188,AR124)</f>
        <v/>
      </c>
      <c r="BB124" s="39">
        <f>BA124-AL124</f>
        <v/>
      </c>
      <c r="BC124" s="7">
        <f>IF(M124+AJ124&gt;2026,IF(G124&gt;2026,"entièrement projeté","en partie projeté"),"observé")</f>
        <v/>
      </c>
    </row>
    <row r="125">
      <c r="A125" s="7" t="inlineStr">
        <is>
          <t>Baby-boomers</t>
        </is>
      </c>
      <c r="B125" s="84" t="inlineStr">
        <is>
          <t>Fonction publique d'État</t>
        </is>
      </c>
      <c r="C125" s="7">
        <f>IF(G125&gt;=SUMIFS(Regimes!$C$5:$C$10,Regimes!$A$5:$A$10,B125),"Privé",B125)</f>
        <v/>
      </c>
      <c r="D125" s="7">
        <f>INDEX(Regimes!$D$5:$D$10,MATCH(C125,Regimes!$A$5:$A$10,0))</f>
        <v/>
      </c>
      <c r="E125" s="88" t="n">
        <v>1952</v>
      </c>
      <c r="F125" s="8">
        <f>Donnees_generations!C40</f>
        <v/>
      </c>
      <c r="G125" s="77">
        <f>Donnees_generations!D40</f>
        <v/>
      </c>
      <c r="H125" s="8">
        <f>SUMIFS(Donnees_generations!$S$3:$S$113,Donnees_generations!$A$3:$A$113,MAX(1915,MIN(2025,E125)))</f>
        <v/>
      </c>
      <c r="I125" s="8">
        <f>SUMIFS(Donnees_generations!$T$3:$T$113,Donnees_generations!$A$3:$A$113,MAX(1915,MIN(2025,E125)))</f>
        <v/>
      </c>
      <c r="J125" s="8">
        <f>IF(G125&gt;=2000,MAX(I125,Parametres!$B$3),I125)</f>
        <v/>
      </c>
      <c r="K125" s="8">
        <f>IF(C125="Privé",J125,SUMIFS(Regles_regimes!$J$3:$J$2000,Regles_regimes!$A$3:$A$2000,C125,Regles_regimes!$B$3:$B$2000,D125,Regles_regimes!$C$3:$C$2000,MAX(1915,MIN(2025,E125))))</f>
        <v/>
      </c>
      <c r="L125" s="8">
        <f>IF(C125="Privé",H125,(K125-F125)*H125/(J125-F125))</f>
        <v/>
      </c>
      <c r="M125" s="77">
        <f>INT(E125+K125)</f>
        <v/>
      </c>
      <c r="N125" s="77">
        <f>G125+ROUNDUP(L125,0)-1</f>
        <v/>
      </c>
      <c r="O125" s="89">
        <f>SUMIFS(Regles_regimes!$K$3:$K$2000,Regles_regimes!$A$3:$A$2000,C125,Regles_regimes!$B$3:$B$2000,D125,Regles_regimes!$C$3:$C$2000,MAX(1915,MIN(2025,E125)))</f>
        <v/>
      </c>
      <c r="P125" s="13">
        <f>SUMIFS(Donnees_annuelles!$W$3:$W$188,Donnees_annuelles!$A$3:$A$188,"&gt;="&amp;G125,Donnees_annuelles!$A$3:$A$188,"&lt;="&amp;N125)*L125/ROUNDUP(L125,0)*O125</f>
        <v/>
      </c>
      <c r="Q125" s="13">
        <f>SUMIFS(Donnees_annuelles!$V$3:$V$188,Donnees_annuelles!$A$3:$A$188,"&gt;="&amp;G125,Donnees_annuelles!$A$3:$A$188,"&lt;="&amp;N125)*L125/ROUNDUP(L125,0)</f>
        <v/>
      </c>
      <c r="R125" s="13">
        <f>P125/L125</f>
        <v/>
      </c>
      <c r="S125" s="14">
        <f>SUMIFS(Donnees_annuelles!$D$3:$D$188,Donnees_annuelles!$A$3:$A$188,"&gt;="&amp;G125,Donnees_annuelles!$A$3:$A$188,"&lt;="&amp;N125)*L125/ROUNDUP(L125,0)</f>
        <v/>
      </c>
      <c r="T125" s="14">
        <f>SUMIFS(Donnees_regimes!$N$3:$N$1118,Donnees_regimes!$A$3:$A$1118,C125,Donnees_regimes!$B$3:$B$1118,"&gt;="&amp;G125,Donnees_regimes!$B$3:$B$1118,"&lt;="&amp;N125)*L125/ROUNDUP(L125,0)</f>
        <v/>
      </c>
      <c r="U125" s="14">
        <f>SUMIFS(Donnees_regimes!$O$3:$O$1118,Donnees_regimes!$A$3:$A$1118,C125,Donnees_regimes!$B$3:$B$1118,"&gt;="&amp;G125,Donnees_regimes!$B$3:$B$1118,"&lt;="&amp;N125)*L125/ROUNDUP(L125,0)</f>
        <v/>
      </c>
      <c r="V125" s="14">
        <f>T125+U125</f>
        <v/>
      </c>
      <c r="W125" s="33">
        <f>V125/S125</f>
        <v/>
      </c>
      <c r="X125" s="14">
        <f>S125+U125</f>
        <v/>
      </c>
      <c r="Y125" s="17">
        <f>V125/P125</f>
        <v/>
      </c>
      <c r="Z125" s="14">
        <f>SUMIFS(Donnees_regimes!$Q$3:$Q$1118,Donnees_regimes!$A$3:$A$1118,C125,Donnees_regimes!$B$3:$B$1118,"&gt;="&amp;G125,Donnees_regimes!$B$3:$B$1118,"&lt;="&amp;N125)*L125/ROUNDUP(L125,0)</f>
        <v/>
      </c>
      <c r="AA125" s="77">
        <f>SUMIFS(Regles_regimes!$F$3:$F$2000,Regles_regimes!$A$3:$A$2000,C125,Regles_regimes!$B$3:$B$2000,D125,Regles_regimes!$C$3:$C$2000,MAX(1915,MIN(2025,E125)))</f>
        <v/>
      </c>
      <c r="AB125" s="77">
        <f>IF(AND(SUMIFS(Regles_regimes!$L$3:$L$2000,Regles_regimes!$A$3:$A$2000,C125,Regles_regimes!$B$3:$B$2000,D125,Regles_regimes!$C$3:$C$2000,MAX(1915,MIN(2025,E125)))=1,G125&lt;2009,C125&lt;&gt;"Privé"),MIN(20,L125*4/5),0)</f>
        <v/>
      </c>
      <c r="AC125" s="89">
        <f>SUMIFS(Donnees_regimes!$M$3:$M$1118,Donnees_regimes!$A$3:$A$1118,C125,Donnees_regimes!$B$3:$B$1118,M125)</f>
        <v/>
      </c>
      <c r="AD125" s="14">
        <f>SUMIFS(Donnees_annuelles!$Y$3:$Y$188,Donnees_annuelles!$A$3:$A$188,M125)*SUMIFS(Donnees_generations!$I$3:$I$113,Donnees_generations!$A$3:$A$113,MAX(1915,MIN(2025,E125)))/H125</f>
        <v/>
      </c>
      <c r="AE125" s="14">
        <f>IF(C125="Privé",SUMIFS(Donnees_annuelles!$Y$3:$Y$188,Donnees_annuelles!$A$3:$A$188,M125)*MIN(L125,SUMIFS(Donnees_generations!$I$3:$I$113,Donnees_generations!$A$3:$A$113,MAX(1915,MIN(2025,E125))))/L125,AD125*AC125*MIN(IF(AB125&gt;0,0.8/0.75,1),(L125*4+AB125)/AA125))</f>
        <v/>
      </c>
      <c r="AF125" s="14">
        <f>AE125/12</f>
        <v/>
      </c>
      <c r="AG125" s="77">
        <f>MIN(68,MAX(56,2*INT(K125/2)))</f>
        <v/>
      </c>
      <c r="AH125" s="75">
        <f>(CHOOSE((AG125-56)/2+1,SUMIFS(Donnees_generations!$U$3:$U$113,Donnees_generations!$A$3:$A$113,MAX(1915,MIN(2025,E125))),SUMIFS(Donnees_generations!$V$3:$V$113,Donnees_generations!$A$3:$A$113,MAX(1915,MIN(2025,E125))),SUMIFS(Donnees_generations!$W$3:$W$113,Donnees_generations!$A$3:$A$113,MAX(1915,MIN(2025,E125))),SUMIFS(Donnees_generations!$X$3:$X$113,Donnees_generations!$A$3:$A$113,MAX(1915,MIN(2025,E125))),SUMIFS(Donnees_generations!$Y$3:$Y$113,Donnees_generations!$A$3:$A$113,MAX(1915,MIN(2025,E125))),SUMIFS(Donnees_generations!$Z$3:$Z$113,Donnees_generations!$A$3:$A$113,MAX(1915,MIN(2025,E125))),SUMIFS(Donnees_generations!$AA$3:$AA$113,Donnees_generations!$A$3:$A$113,MAX(1915,MIN(2025,E125))),SUMIFS(Donnees_generations!$AB$3:$AB$113,Donnees_generations!$A$3:$A$113,MAX(1915,MIN(2025,E125))))+CHOOSE((AG125-56)/2+1,SUMIFS(Donnees_generations!$AC$3:$AC$113,Donnees_generations!$A$3:$A$113,MAX(1915,MIN(2025,E125))),SUMIFS(Donnees_generations!$AD$3:$AD$113,Donnees_generations!$A$3:$A$113,MAX(1915,MIN(2025,E125))),SUMIFS(Donnees_generations!$AE$3:$AE$113,Donnees_generations!$A$3:$A$113,MAX(1915,MIN(2025,E125))),SUMIFS(Donnees_generations!$AF$3:$AF$113,Donnees_generations!$A$3:$A$113,MAX(1915,MIN(2025,E125))),SUMIFS(Donnees_generations!$AG$3:$AG$113,Donnees_generations!$A$3:$A$113,MAX(1915,MIN(2025,E125))),SUMIFS(Donnees_generations!$AH$3:$AH$113,Donnees_generations!$A$3:$A$113,MAX(1915,MIN(2025,E125))),SUMIFS(Donnees_generations!$AI$3:$AI$113,Donnees_generations!$A$3:$A$113,MAX(1915,MIN(2025,E125))),SUMIFS(Donnees_generations!$AJ$3:$AJ$113,Donnees_generations!$A$3:$A$113,MAX(1915,MIN(2025,E125)))))/2</f>
        <v/>
      </c>
      <c r="AI125" s="75">
        <f>(CHOOSE(((AG125+2)-56)/2+1,SUMIFS(Donnees_generations!$U$3:$U$113,Donnees_generations!$A$3:$A$113,MAX(1915,MIN(2025,E125))),SUMIFS(Donnees_generations!$V$3:$V$113,Donnees_generations!$A$3:$A$113,MAX(1915,MIN(2025,E125))),SUMIFS(Donnees_generations!$W$3:$W$113,Donnees_generations!$A$3:$A$113,MAX(1915,MIN(2025,E125))),SUMIFS(Donnees_generations!$X$3:$X$113,Donnees_generations!$A$3:$A$113,MAX(1915,MIN(2025,E125))),SUMIFS(Donnees_generations!$Y$3:$Y$113,Donnees_generations!$A$3:$A$113,MAX(1915,MIN(2025,E125))),SUMIFS(Donnees_generations!$Z$3:$Z$113,Donnees_generations!$A$3:$A$113,MAX(1915,MIN(2025,E125))),SUMIFS(Donnees_generations!$AA$3:$AA$113,Donnees_generations!$A$3:$A$113,MAX(1915,MIN(2025,E125))),SUMIFS(Donnees_generations!$AB$3:$AB$113,Donnees_generations!$A$3:$A$113,MAX(1915,MIN(2025,E125))))+CHOOSE(((AG125+2)-56)/2+1,SUMIFS(Donnees_generations!$AC$3:$AC$113,Donnees_generations!$A$3:$A$113,MAX(1915,MIN(2025,E125))),SUMIFS(Donnees_generations!$AD$3:$AD$113,Donnees_generations!$A$3:$A$113,MAX(1915,MIN(2025,E125))),SUMIFS(Donnees_generations!$AE$3:$AE$113,Donnees_generations!$A$3:$A$113,MAX(1915,MIN(2025,E125))),SUMIFS(Donnees_generations!$AF$3:$AF$113,Donnees_generations!$A$3:$A$113,MAX(1915,MIN(2025,E125))),SUMIFS(Donnees_generations!$AG$3:$AG$113,Donnees_generations!$A$3:$A$113,MAX(1915,MIN(2025,E125))),SUMIFS(Donnees_generations!$AH$3:$AH$113,Donnees_generations!$A$3:$A$113,MAX(1915,MIN(2025,E125))),SUMIFS(Donnees_generations!$AI$3:$AI$113,Donnees_generations!$A$3:$A$113,MAX(1915,MIN(2025,E125))),SUMIFS(Donnees_generations!$AJ$3:$AJ$113,Donnees_generations!$A$3:$A$113,MAX(1915,MIN(2025,E125)))))/2</f>
        <v/>
      </c>
      <c r="AJ125" s="8">
        <f>MAX(0,AH125+(AI125-AH125)*(K125-AG125)/2)</f>
        <v/>
      </c>
      <c r="AK125" s="8">
        <f>K125+AJ125</f>
        <v/>
      </c>
      <c r="AL125" s="14">
        <f>AE125*AJ125</f>
        <v/>
      </c>
      <c r="AM125" s="17">
        <f>V125/AL125</f>
        <v/>
      </c>
      <c r="AN125" s="17">
        <f>Z125/AL125</f>
        <v/>
      </c>
      <c r="AO125" s="33">
        <f>IF(V125+Z125=0,0,Z125/(V125+Z125))</f>
        <v/>
      </c>
      <c r="AP125" s="14">
        <f>AL125/V125*100</f>
        <v/>
      </c>
      <c r="AQ125" s="8">
        <f>P125/AL125*1000</f>
        <v/>
      </c>
      <c r="AR125" s="77">
        <f>MAX(N125,M125-1)</f>
        <v/>
      </c>
      <c r="AS125" s="14">
        <f>SUMIFS(Donnees_regimes!$R$3:$R$1118,Donnees_regimes!$A$3:$A$1118,C125,Donnees_regimes!$B$3:$B$1118,"&gt;="&amp;G125,Donnees_regimes!$B$3:$B$1118,"&lt;="&amp;N125)*L125/ROUNDUP(L125,0)*SUMIFS(Donnees_annuelles!$AG$3:$AG$188,Donnees_annuelles!$A$3:$A$188,AR125)*SUMIFS(Donnees_annuelles!$AA$3:$AA$188,Donnees_annuelles!$A$3:$A$188,AR125)</f>
        <v/>
      </c>
      <c r="AT125" s="36">
        <f>AS125/V125</f>
        <v/>
      </c>
      <c r="AU125" s="14">
        <f>AL125</f>
        <v/>
      </c>
      <c r="AV125" s="39">
        <f>AS125-AL125</f>
        <v/>
      </c>
      <c r="AW125" s="9">
        <f>AS125/AL125-1</f>
        <v/>
      </c>
      <c r="AX125" s="14">
        <f>AS125/AJ125/12</f>
        <v/>
      </c>
      <c r="AY125" s="14">
        <f>AF125</f>
        <v/>
      </c>
      <c r="AZ125" s="39">
        <f>AX125-AF125</f>
        <v/>
      </c>
      <c r="BA125" s="14">
        <f>SUMIFS(Donnees_regimes!$S$3:$S$1118,Donnees_regimes!$A$3:$A$1118,C125,Donnees_regimes!$B$3:$B$1118,"&gt;="&amp;G125,Donnees_regimes!$B$3:$B$1118,"&lt;="&amp;N125)*L125/ROUNDUP(L125,0)*SUMIFS(Donnees_annuelles!$AH$3:$AH$188,Donnees_annuelles!$A$3:$A$188,AR125)*SUMIFS(Donnees_annuelles!$AA$3:$AA$188,Donnees_annuelles!$A$3:$A$188,AR125)</f>
        <v/>
      </c>
      <c r="BB125" s="39">
        <f>BA125-AL125</f>
        <v/>
      </c>
      <c r="BC125" s="7">
        <f>IF(M125+AJ125&gt;2026,IF(G125&gt;2026,"entièrement projeté","en partie projeté"),"observé")</f>
        <v/>
      </c>
    </row>
    <row r="126">
      <c r="A126" s="7" t="inlineStr">
        <is>
          <t>Baby-boomers</t>
        </is>
      </c>
      <c r="B126" s="84" t="inlineStr">
        <is>
          <t>Fonction publique d'État</t>
        </is>
      </c>
      <c r="C126" s="7">
        <f>IF(G126&gt;=SUMIFS(Regimes!$C$5:$C$10,Regimes!$A$5:$A$10,B126),"Privé",B126)</f>
        <v/>
      </c>
      <c r="D126" s="7">
        <f>INDEX(Regimes!$D$5:$D$10,MATCH(C126,Regimes!$A$5:$A$10,0))</f>
        <v/>
      </c>
      <c r="E126" s="88" t="n">
        <v>1953</v>
      </c>
      <c r="F126" s="8">
        <f>Donnees_generations!C41</f>
        <v/>
      </c>
      <c r="G126" s="77">
        <f>Donnees_generations!D41</f>
        <v/>
      </c>
      <c r="H126" s="8">
        <f>SUMIFS(Donnees_generations!$S$3:$S$113,Donnees_generations!$A$3:$A$113,MAX(1915,MIN(2025,E126)))</f>
        <v/>
      </c>
      <c r="I126" s="8">
        <f>SUMIFS(Donnees_generations!$T$3:$T$113,Donnees_generations!$A$3:$A$113,MAX(1915,MIN(2025,E126)))</f>
        <v/>
      </c>
      <c r="J126" s="8">
        <f>IF(G126&gt;=2000,MAX(I126,Parametres!$B$3),I126)</f>
        <v/>
      </c>
      <c r="K126" s="8">
        <f>IF(C126="Privé",J126,SUMIFS(Regles_regimes!$J$3:$J$2000,Regles_regimes!$A$3:$A$2000,C126,Regles_regimes!$B$3:$B$2000,D126,Regles_regimes!$C$3:$C$2000,MAX(1915,MIN(2025,E126))))</f>
        <v/>
      </c>
      <c r="L126" s="8">
        <f>IF(C126="Privé",H126,(K126-F126)*H126/(J126-F126))</f>
        <v/>
      </c>
      <c r="M126" s="77">
        <f>INT(E126+K126)</f>
        <v/>
      </c>
      <c r="N126" s="77">
        <f>G126+ROUNDUP(L126,0)-1</f>
        <v/>
      </c>
      <c r="O126" s="89">
        <f>SUMIFS(Regles_regimes!$K$3:$K$2000,Regles_regimes!$A$3:$A$2000,C126,Regles_regimes!$B$3:$B$2000,D126,Regles_regimes!$C$3:$C$2000,MAX(1915,MIN(2025,E126)))</f>
        <v/>
      </c>
      <c r="P126" s="13">
        <f>SUMIFS(Donnees_annuelles!$W$3:$W$188,Donnees_annuelles!$A$3:$A$188,"&gt;="&amp;G126,Donnees_annuelles!$A$3:$A$188,"&lt;="&amp;N126)*L126/ROUNDUP(L126,0)*O126</f>
        <v/>
      </c>
      <c r="Q126" s="13">
        <f>SUMIFS(Donnees_annuelles!$V$3:$V$188,Donnees_annuelles!$A$3:$A$188,"&gt;="&amp;G126,Donnees_annuelles!$A$3:$A$188,"&lt;="&amp;N126)*L126/ROUNDUP(L126,0)</f>
        <v/>
      </c>
      <c r="R126" s="13">
        <f>P126/L126</f>
        <v/>
      </c>
      <c r="S126" s="14">
        <f>SUMIFS(Donnees_annuelles!$D$3:$D$188,Donnees_annuelles!$A$3:$A$188,"&gt;="&amp;G126,Donnees_annuelles!$A$3:$A$188,"&lt;="&amp;N126)*L126/ROUNDUP(L126,0)</f>
        <v/>
      </c>
      <c r="T126" s="14">
        <f>SUMIFS(Donnees_regimes!$N$3:$N$1118,Donnees_regimes!$A$3:$A$1118,C126,Donnees_regimes!$B$3:$B$1118,"&gt;="&amp;G126,Donnees_regimes!$B$3:$B$1118,"&lt;="&amp;N126)*L126/ROUNDUP(L126,0)</f>
        <v/>
      </c>
      <c r="U126" s="14">
        <f>SUMIFS(Donnees_regimes!$O$3:$O$1118,Donnees_regimes!$A$3:$A$1118,C126,Donnees_regimes!$B$3:$B$1118,"&gt;="&amp;G126,Donnees_regimes!$B$3:$B$1118,"&lt;="&amp;N126)*L126/ROUNDUP(L126,0)</f>
        <v/>
      </c>
      <c r="V126" s="14">
        <f>T126+U126</f>
        <v/>
      </c>
      <c r="W126" s="33">
        <f>V126/S126</f>
        <v/>
      </c>
      <c r="X126" s="14">
        <f>S126+U126</f>
        <v/>
      </c>
      <c r="Y126" s="17">
        <f>V126/P126</f>
        <v/>
      </c>
      <c r="Z126" s="14">
        <f>SUMIFS(Donnees_regimes!$Q$3:$Q$1118,Donnees_regimes!$A$3:$A$1118,C126,Donnees_regimes!$B$3:$B$1118,"&gt;="&amp;G126,Donnees_regimes!$B$3:$B$1118,"&lt;="&amp;N126)*L126/ROUNDUP(L126,0)</f>
        <v/>
      </c>
      <c r="AA126" s="77">
        <f>SUMIFS(Regles_regimes!$F$3:$F$2000,Regles_regimes!$A$3:$A$2000,C126,Regles_regimes!$B$3:$B$2000,D126,Regles_regimes!$C$3:$C$2000,MAX(1915,MIN(2025,E126)))</f>
        <v/>
      </c>
      <c r="AB126" s="77">
        <f>IF(AND(SUMIFS(Regles_regimes!$L$3:$L$2000,Regles_regimes!$A$3:$A$2000,C126,Regles_regimes!$B$3:$B$2000,D126,Regles_regimes!$C$3:$C$2000,MAX(1915,MIN(2025,E126)))=1,G126&lt;2009,C126&lt;&gt;"Privé"),MIN(20,L126*4/5),0)</f>
        <v/>
      </c>
      <c r="AC126" s="89">
        <f>SUMIFS(Donnees_regimes!$M$3:$M$1118,Donnees_regimes!$A$3:$A$1118,C126,Donnees_regimes!$B$3:$B$1118,M126)</f>
        <v/>
      </c>
      <c r="AD126" s="14">
        <f>SUMIFS(Donnees_annuelles!$Y$3:$Y$188,Donnees_annuelles!$A$3:$A$188,M126)*SUMIFS(Donnees_generations!$I$3:$I$113,Donnees_generations!$A$3:$A$113,MAX(1915,MIN(2025,E126)))/H126</f>
        <v/>
      </c>
      <c r="AE126" s="14">
        <f>IF(C126="Privé",SUMIFS(Donnees_annuelles!$Y$3:$Y$188,Donnees_annuelles!$A$3:$A$188,M126)*MIN(L126,SUMIFS(Donnees_generations!$I$3:$I$113,Donnees_generations!$A$3:$A$113,MAX(1915,MIN(2025,E126))))/L126,AD126*AC126*MIN(IF(AB126&gt;0,0.8/0.75,1),(L126*4+AB126)/AA126))</f>
        <v/>
      </c>
      <c r="AF126" s="14">
        <f>AE126/12</f>
        <v/>
      </c>
      <c r="AG126" s="77">
        <f>MIN(68,MAX(56,2*INT(K126/2)))</f>
        <v/>
      </c>
      <c r="AH126" s="75">
        <f>(CHOOSE((AG126-56)/2+1,SUMIFS(Donnees_generations!$U$3:$U$113,Donnees_generations!$A$3:$A$113,MAX(1915,MIN(2025,E126))),SUMIFS(Donnees_generations!$V$3:$V$113,Donnees_generations!$A$3:$A$113,MAX(1915,MIN(2025,E126))),SUMIFS(Donnees_generations!$W$3:$W$113,Donnees_generations!$A$3:$A$113,MAX(1915,MIN(2025,E126))),SUMIFS(Donnees_generations!$X$3:$X$113,Donnees_generations!$A$3:$A$113,MAX(1915,MIN(2025,E126))),SUMIFS(Donnees_generations!$Y$3:$Y$113,Donnees_generations!$A$3:$A$113,MAX(1915,MIN(2025,E126))),SUMIFS(Donnees_generations!$Z$3:$Z$113,Donnees_generations!$A$3:$A$113,MAX(1915,MIN(2025,E126))),SUMIFS(Donnees_generations!$AA$3:$AA$113,Donnees_generations!$A$3:$A$113,MAX(1915,MIN(2025,E126))),SUMIFS(Donnees_generations!$AB$3:$AB$113,Donnees_generations!$A$3:$A$113,MAX(1915,MIN(2025,E126))))+CHOOSE((AG126-56)/2+1,SUMIFS(Donnees_generations!$AC$3:$AC$113,Donnees_generations!$A$3:$A$113,MAX(1915,MIN(2025,E126))),SUMIFS(Donnees_generations!$AD$3:$AD$113,Donnees_generations!$A$3:$A$113,MAX(1915,MIN(2025,E126))),SUMIFS(Donnees_generations!$AE$3:$AE$113,Donnees_generations!$A$3:$A$113,MAX(1915,MIN(2025,E126))),SUMIFS(Donnees_generations!$AF$3:$AF$113,Donnees_generations!$A$3:$A$113,MAX(1915,MIN(2025,E126))),SUMIFS(Donnees_generations!$AG$3:$AG$113,Donnees_generations!$A$3:$A$113,MAX(1915,MIN(2025,E126))),SUMIFS(Donnees_generations!$AH$3:$AH$113,Donnees_generations!$A$3:$A$113,MAX(1915,MIN(2025,E126))),SUMIFS(Donnees_generations!$AI$3:$AI$113,Donnees_generations!$A$3:$A$113,MAX(1915,MIN(2025,E126))),SUMIFS(Donnees_generations!$AJ$3:$AJ$113,Donnees_generations!$A$3:$A$113,MAX(1915,MIN(2025,E126)))))/2</f>
        <v/>
      </c>
      <c r="AI126" s="75">
        <f>(CHOOSE(((AG126+2)-56)/2+1,SUMIFS(Donnees_generations!$U$3:$U$113,Donnees_generations!$A$3:$A$113,MAX(1915,MIN(2025,E126))),SUMIFS(Donnees_generations!$V$3:$V$113,Donnees_generations!$A$3:$A$113,MAX(1915,MIN(2025,E126))),SUMIFS(Donnees_generations!$W$3:$W$113,Donnees_generations!$A$3:$A$113,MAX(1915,MIN(2025,E126))),SUMIFS(Donnees_generations!$X$3:$X$113,Donnees_generations!$A$3:$A$113,MAX(1915,MIN(2025,E126))),SUMIFS(Donnees_generations!$Y$3:$Y$113,Donnees_generations!$A$3:$A$113,MAX(1915,MIN(2025,E126))),SUMIFS(Donnees_generations!$Z$3:$Z$113,Donnees_generations!$A$3:$A$113,MAX(1915,MIN(2025,E126))),SUMIFS(Donnees_generations!$AA$3:$AA$113,Donnees_generations!$A$3:$A$113,MAX(1915,MIN(2025,E126))),SUMIFS(Donnees_generations!$AB$3:$AB$113,Donnees_generations!$A$3:$A$113,MAX(1915,MIN(2025,E126))))+CHOOSE(((AG126+2)-56)/2+1,SUMIFS(Donnees_generations!$AC$3:$AC$113,Donnees_generations!$A$3:$A$113,MAX(1915,MIN(2025,E126))),SUMIFS(Donnees_generations!$AD$3:$AD$113,Donnees_generations!$A$3:$A$113,MAX(1915,MIN(2025,E126))),SUMIFS(Donnees_generations!$AE$3:$AE$113,Donnees_generations!$A$3:$A$113,MAX(1915,MIN(2025,E126))),SUMIFS(Donnees_generations!$AF$3:$AF$113,Donnees_generations!$A$3:$A$113,MAX(1915,MIN(2025,E126))),SUMIFS(Donnees_generations!$AG$3:$AG$113,Donnees_generations!$A$3:$A$113,MAX(1915,MIN(2025,E126))),SUMIFS(Donnees_generations!$AH$3:$AH$113,Donnees_generations!$A$3:$A$113,MAX(1915,MIN(2025,E126))),SUMIFS(Donnees_generations!$AI$3:$AI$113,Donnees_generations!$A$3:$A$113,MAX(1915,MIN(2025,E126))),SUMIFS(Donnees_generations!$AJ$3:$AJ$113,Donnees_generations!$A$3:$A$113,MAX(1915,MIN(2025,E126)))))/2</f>
        <v/>
      </c>
      <c r="AJ126" s="8">
        <f>MAX(0,AH126+(AI126-AH126)*(K126-AG126)/2)</f>
        <v/>
      </c>
      <c r="AK126" s="8">
        <f>K126+AJ126</f>
        <v/>
      </c>
      <c r="AL126" s="14">
        <f>AE126*AJ126</f>
        <v/>
      </c>
      <c r="AM126" s="17">
        <f>V126/AL126</f>
        <v/>
      </c>
      <c r="AN126" s="17">
        <f>Z126/AL126</f>
        <v/>
      </c>
      <c r="AO126" s="33">
        <f>IF(V126+Z126=0,0,Z126/(V126+Z126))</f>
        <v/>
      </c>
      <c r="AP126" s="14">
        <f>AL126/V126*100</f>
        <v/>
      </c>
      <c r="AQ126" s="8">
        <f>P126/AL126*1000</f>
        <v/>
      </c>
      <c r="AR126" s="77">
        <f>MAX(N126,M126-1)</f>
        <v/>
      </c>
      <c r="AS126" s="14">
        <f>SUMIFS(Donnees_regimes!$R$3:$R$1118,Donnees_regimes!$A$3:$A$1118,C126,Donnees_regimes!$B$3:$B$1118,"&gt;="&amp;G126,Donnees_regimes!$B$3:$B$1118,"&lt;="&amp;N126)*L126/ROUNDUP(L126,0)*SUMIFS(Donnees_annuelles!$AG$3:$AG$188,Donnees_annuelles!$A$3:$A$188,AR126)*SUMIFS(Donnees_annuelles!$AA$3:$AA$188,Donnees_annuelles!$A$3:$A$188,AR126)</f>
        <v/>
      </c>
      <c r="AT126" s="36">
        <f>AS126/V126</f>
        <v/>
      </c>
      <c r="AU126" s="14">
        <f>AL126</f>
        <v/>
      </c>
      <c r="AV126" s="39">
        <f>AS126-AL126</f>
        <v/>
      </c>
      <c r="AW126" s="9">
        <f>AS126/AL126-1</f>
        <v/>
      </c>
      <c r="AX126" s="14">
        <f>AS126/AJ126/12</f>
        <v/>
      </c>
      <c r="AY126" s="14">
        <f>AF126</f>
        <v/>
      </c>
      <c r="AZ126" s="39">
        <f>AX126-AF126</f>
        <v/>
      </c>
      <c r="BA126" s="14">
        <f>SUMIFS(Donnees_regimes!$S$3:$S$1118,Donnees_regimes!$A$3:$A$1118,C126,Donnees_regimes!$B$3:$B$1118,"&gt;="&amp;G126,Donnees_regimes!$B$3:$B$1118,"&lt;="&amp;N126)*L126/ROUNDUP(L126,0)*SUMIFS(Donnees_annuelles!$AH$3:$AH$188,Donnees_annuelles!$A$3:$A$188,AR126)*SUMIFS(Donnees_annuelles!$AA$3:$AA$188,Donnees_annuelles!$A$3:$A$188,AR126)</f>
        <v/>
      </c>
      <c r="BB126" s="39">
        <f>BA126-AL126</f>
        <v/>
      </c>
      <c r="BC126" s="7">
        <f>IF(M126+AJ126&gt;2026,IF(G126&gt;2026,"entièrement projeté","en partie projeté"),"observé")</f>
        <v/>
      </c>
    </row>
    <row r="127">
      <c r="A127" s="7" t="inlineStr">
        <is>
          <t>Baby-boomers</t>
        </is>
      </c>
      <c r="B127" s="84" t="inlineStr">
        <is>
          <t>Fonction publique d'État</t>
        </is>
      </c>
      <c r="C127" s="7">
        <f>IF(G127&gt;=SUMIFS(Regimes!$C$5:$C$10,Regimes!$A$5:$A$10,B127),"Privé",B127)</f>
        <v/>
      </c>
      <c r="D127" s="7">
        <f>INDEX(Regimes!$D$5:$D$10,MATCH(C127,Regimes!$A$5:$A$10,0))</f>
        <v/>
      </c>
      <c r="E127" s="88" t="n">
        <v>1954</v>
      </c>
      <c r="F127" s="8">
        <f>Donnees_generations!C42</f>
        <v/>
      </c>
      <c r="G127" s="77">
        <f>Donnees_generations!D42</f>
        <v/>
      </c>
      <c r="H127" s="8">
        <f>SUMIFS(Donnees_generations!$S$3:$S$113,Donnees_generations!$A$3:$A$113,MAX(1915,MIN(2025,E127)))</f>
        <v/>
      </c>
      <c r="I127" s="8">
        <f>SUMIFS(Donnees_generations!$T$3:$T$113,Donnees_generations!$A$3:$A$113,MAX(1915,MIN(2025,E127)))</f>
        <v/>
      </c>
      <c r="J127" s="8">
        <f>IF(G127&gt;=2000,MAX(I127,Parametres!$B$3),I127)</f>
        <v/>
      </c>
      <c r="K127" s="8">
        <f>IF(C127="Privé",J127,SUMIFS(Regles_regimes!$J$3:$J$2000,Regles_regimes!$A$3:$A$2000,C127,Regles_regimes!$B$3:$B$2000,D127,Regles_regimes!$C$3:$C$2000,MAX(1915,MIN(2025,E127))))</f>
        <v/>
      </c>
      <c r="L127" s="8">
        <f>IF(C127="Privé",H127,(K127-F127)*H127/(J127-F127))</f>
        <v/>
      </c>
      <c r="M127" s="77">
        <f>INT(E127+K127)</f>
        <v/>
      </c>
      <c r="N127" s="77">
        <f>G127+ROUNDUP(L127,0)-1</f>
        <v/>
      </c>
      <c r="O127" s="89">
        <f>SUMIFS(Regles_regimes!$K$3:$K$2000,Regles_regimes!$A$3:$A$2000,C127,Regles_regimes!$B$3:$B$2000,D127,Regles_regimes!$C$3:$C$2000,MAX(1915,MIN(2025,E127)))</f>
        <v/>
      </c>
      <c r="P127" s="13">
        <f>SUMIFS(Donnees_annuelles!$W$3:$W$188,Donnees_annuelles!$A$3:$A$188,"&gt;="&amp;G127,Donnees_annuelles!$A$3:$A$188,"&lt;="&amp;N127)*L127/ROUNDUP(L127,0)*O127</f>
        <v/>
      </c>
      <c r="Q127" s="13">
        <f>SUMIFS(Donnees_annuelles!$V$3:$V$188,Donnees_annuelles!$A$3:$A$188,"&gt;="&amp;G127,Donnees_annuelles!$A$3:$A$188,"&lt;="&amp;N127)*L127/ROUNDUP(L127,0)</f>
        <v/>
      </c>
      <c r="R127" s="13">
        <f>P127/L127</f>
        <v/>
      </c>
      <c r="S127" s="14">
        <f>SUMIFS(Donnees_annuelles!$D$3:$D$188,Donnees_annuelles!$A$3:$A$188,"&gt;="&amp;G127,Donnees_annuelles!$A$3:$A$188,"&lt;="&amp;N127)*L127/ROUNDUP(L127,0)</f>
        <v/>
      </c>
      <c r="T127" s="14">
        <f>SUMIFS(Donnees_regimes!$N$3:$N$1118,Donnees_regimes!$A$3:$A$1118,C127,Donnees_regimes!$B$3:$B$1118,"&gt;="&amp;G127,Donnees_regimes!$B$3:$B$1118,"&lt;="&amp;N127)*L127/ROUNDUP(L127,0)</f>
        <v/>
      </c>
      <c r="U127" s="14">
        <f>SUMIFS(Donnees_regimes!$O$3:$O$1118,Donnees_regimes!$A$3:$A$1118,C127,Donnees_regimes!$B$3:$B$1118,"&gt;="&amp;G127,Donnees_regimes!$B$3:$B$1118,"&lt;="&amp;N127)*L127/ROUNDUP(L127,0)</f>
        <v/>
      </c>
      <c r="V127" s="14">
        <f>T127+U127</f>
        <v/>
      </c>
      <c r="W127" s="33">
        <f>V127/S127</f>
        <v/>
      </c>
      <c r="X127" s="14">
        <f>S127+U127</f>
        <v/>
      </c>
      <c r="Y127" s="17">
        <f>V127/P127</f>
        <v/>
      </c>
      <c r="Z127" s="14">
        <f>SUMIFS(Donnees_regimes!$Q$3:$Q$1118,Donnees_regimes!$A$3:$A$1118,C127,Donnees_regimes!$B$3:$B$1118,"&gt;="&amp;G127,Donnees_regimes!$B$3:$B$1118,"&lt;="&amp;N127)*L127/ROUNDUP(L127,0)</f>
        <v/>
      </c>
      <c r="AA127" s="77">
        <f>SUMIFS(Regles_regimes!$F$3:$F$2000,Regles_regimes!$A$3:$A$2000,C127,Regles_regimes!$B$3:$B$2000,D127,Regles_regimes!$C$3:$C$2000,MAX(1915,MIN(2025,E127)))</f>
        <v/>
      </c>
      <c r="AB127" s="77">
        <f>IF(AND(SUMIFS(Regles_regimes!$L$3:$L$2000,Regles_regimes!$A$3:$A$2000,C127,Regles_regimes!$B$3:$B$2000,D127,Regles_regimes!$C$3:$C$2000,MAX(1915,MIN(2025,E127)))=1,G127&lt;2009,C127&lt;&gt;"Privé"),MIN(20,L127*4/5),0)</f>
        <v/>
      </c>
      <c r="AC127" s="89">
        <f>SUMIFS(Donnees_regimes!$M$3:$M$1118,Donnees_regimes!$A$3:$A$1118,C127,Donnees_regimes!$B$3:$B$1118,M127)</f>
        <v/>
      </c>
      <c r="AD127" s="14">
        <f>SUMIFS(Donnees_annuelles!$Y$3:$Y$188,Donnees_annuelles!$A$3:$A$188,M127)*SUMIFS(Donnees_generations!$I$3:$I$113,Donnees_generations!$A$3:$A$113,MAX(1915,MIN(2025,E127)))/H127</f>
        <v/>
      </c>
      <c r="AE127" s="14">
        <f>IF(C127="Privé",SUMIFS(Donnees_annuelles!$Y$3:$Y$188,Donnees_annuelles!$A$3:$A$188,M127)*MIN(L127,SUMIFS(Donnees_generations!$I$3:$I$113,Donnees_generations!$A$3:$A$113,MAX(1915,MIN(2025,E127))))/L127,AD127*AC127*MIN(IF(AB127&gt;0,0.8/0.75,1),(L127*4+AB127)/AA127))</f>
        <v/>
      </c>
      <c r="AF127" s="14">
        <f>AE127/12</f>
        <v/>
      </c>
      <c r="AG127" s="77">
        <f>MIN(68,MAX(56,2*INT(K127/2)))</f>
        <v/>
      </c>
      <c r="AH127" s="75">
        <f>(CHOOSE((AG127-56)/2+1,SUMIFS(Donnees_generations!$U$3:$U$113,Donnees_generations!$A$3:$A$113,MAX(1915,MIN(2025,E127))),SUMIFS(Donnees_generations!$V$3:$V$113,Donnees_generations!$A$3:$A$113,MAX(1915,MIN(2025,E127))),SUMIFS(Donnees_generations!$W$3:$W$113,Donnees_generations!$A$3:$A$113,MAX(1915,MIN(2025,E127))),SUMIFS(Donnees_generations!$X$3:$X$113,Donnees_generations!$A$3:$A$113,MAX(1915,MIN(2025,E127))),SUMIFS(Donnees_generations!$Y$3:$Y$113,Donnees_generations!$A$3:$A$113,MAX(1915,MIN(2025,E127))),SUMIFS(Donnees_generations!$Z$3:$Z$113,Donnees_generations!$A$3:$A$113,MAX(1915,MIN(2025,E127))),SUMIFS(Donnees_generations!$AA$3:$AA$113,Donnees_generations!$A$3:$A$113,MAX(1915,MIN(2025,E127))),SUMIFS(Donnees_generations!$AB$3:$AB$113,Donnees_generations!$A$3:$A$113,MAX(1915,MIN(2025,E127))))+CHOOSE((AG127-56)/2+1,SUMIFS(Donnees_generations!$AC$3:$AC$113,Donnees_generations!$A$3:$A$113,MAX(1915,MIN(2025,E127))),SUMIFS(Donnees_generations!$AD$3:$AD$113,Donnees_generations!$A$3:$A$113,MAX(1915,MIN(2025,E127))),SUMIFS(Donnees_generations!$AE$3:$AE$113,Donnees_generations!$A$3:$A$113,MAX(1915,MIN(2025,E127))),SUMIFS(Donnees_generations!$AF$3:$AF$113,Donnees_generations!$A$3:$A$113,MAX(1915,MIN(2025,E127))),SUMIFS(Donnees_generations!$AG$3:$AG$113,Donnees_generations!$A$3:$A$113,MAX(1915,MIN(2025,E127))),SUMIFS(Donnees_generations!$AH$3:$AH$113,Donnees_generations!$A$3:$A$113,MAX(1915,MIN(2025,E127))),SUMIFS(Donnees_generations!$AI$3:$AI$113,Donnees_generations!$A$3:$A$113,MAX(1915,MIN(2025,E127))),SUMIFS(Donnees_generations!$AJ$3:$AJ$113,Donnees_generations!$A$3:$A$113,MAX(1915,MIN(2025,E127)))))/2</f>
        <v/>
      </c>
      <c r="AI127" s="75">
        <f>(CHOOSE(((AG127+2)-56)/2+1,SUMIFS(Donnees_generations!$U$3:$U$113,Donnees_generations!$A$3:$A$113,MAX(1915,MIN(2025,E127))),SUMIFS(Donnees_generations!$V$3:$V$113,Donnees_generations!$A$3:$A$113,MAX(1915,MIN(2025,E127))),SUMIFS(Donnees_generations!$W$3:$W$113,Donnees_generations!$A$3:$A$113,MAX(1915,MIN(2025,E127))),SUMIFS(Donnees_generations!$X$3:$X$113,Donnees_generations!$A$3:$A$113,MAX(1915,MIN(2025,E127))),SUMIFS(Donnees_generations!$Y$3:$Y$113,Donnees_generations!$A$3:$A$113,MAX(1915,MIN(2025,E127))),SUMIFS(Donnees_generations!$Z$3:$Z$113,Donnees_generations!$A$3:$A$113,MAX(1915,MIN(2025,E127))),SUMIFS(Donnees_generations!$AA$3:$AA$113,Donnees_generations!$A$3:$A$113,MAX(1915,MIN(2025,E127))),SUMIFS(Donnees_generations!$AB$3:$AB$113,Donnees_generations!$A$3:$A$113,MAX(1915,MIN(2025,E127))))+CHOOSE(((AG127+2)-56)/2+1,SUMIFS(Donnees_generations!$AC$3:$AC$113,Donnees_generations!$A$3:$A$113,MAX(1915,MIN(2025,E127))),SUMIFS(Donnees_generations!$AD$3:$AD$113,Donnees_generations!$A$3:$A$113,MAX(1915,MIN(2025,E127))),SUMIFS(Donnees_generations!$AE$3:$AE$113,Donnees_generations!$A$3:$A$113,MAX(1915,MIN(2025,E127))),SUMIFS(Donnees_generations!$AF$3:$AF$113,Donnees_generations!$A$3:$A$113,MAX(1915,MIN(2025,E127))),SUMIFS(Donnees_generations!$AG$3:$AG$113,Donnees_generations!$A$3:$A$113,MAX(1915,MIN(2025,E127))),SUMIFS(Donnees_generations!$AH$3:$AH$113,Donnees_generations!$A$3:$A$113,MAX(1915,MIN(2025,E127))),SUMIFS(Donnees_generations!$AI$3:$AI$113,Donnees_generations!$A$3:$A$113,MAX(1915,MIN(2025,E127))),SUMIFS(Donnees_generations!$AJ$3:$AJ$113,Donnees_generations!$A$3:$A$113,MAX(1915,MIN(2025,E127)))))/2</f>
        <v/>
      </c>
      <c r="AJ127" s="8">
        <f>MAX(0,AH127+(AI127-AH127)*(K127-AG127)/2)</f>
        <v/>
      </c>
      <c r="AK127" s="8">
        <f>K127+AJ127</f>
        <v/>
      </c>
      <c r="AL127" s="14">
        <f>AE127*AJ127</f>
        <v/>
      </c>
      <c r="AM127" s="17">
        <f>V127/AL127</f>
        <v/>
      </c>
      <c r="AN127" s="17">
        <f>Z127/AL127</f>
        <v/>
      </c>
      <c r="AO127" s="33">
        <f>IF(V127+Z127=0,0,Z127/(V127+Z127))</f>
        <v/>
      </c>
      <c r="AP127" s="14">
        <f>AL127/V127*100</f>
        <v/>
      </c>
      <c r="AQ127" s="8">
        <f>P127/AL127*1000</f>
        <v/>
      </c>
      <c r="AR127" s="77">
        <f>MAX(N127,M127-1)</f>
        <v/>
      </c>
      <c r="AS127" s="14">
        <f>SUMIFS(Donnees_regimes!$R$3:$R$1118,Donnees_regimes!$A$3:$A$1118,C127,Donnees_regimes!$B$3:$B$1118,"&gt;="&amp;G127,Donnees_regimes!$B$3:$B$1118,"&lt;="&amp;N127)*L127/ROUNDUP(L127,0)*SUMIFS(Donnees_annuelles!$AG$3:$AG$188,Donnees_annuelles!$A$3:$A$188,AR127)*SUMIFS(Donnees_annuelles!$AA$3:$AA$188,Donnees_annuelles!$A$3:$A$188,AR127)</f>
        <v/>
      </c>
      <c r="AT127" s="36">
        <f>AS127/V127</f>
        <v/>
      </c>
      <c r="AU127" s="14">
        <f>AL127</f>
        <v/>
      </c>
      <c r="AV127" s="39">
        <f>AS127-AL127</f>
        <v/>
      </c>
      <c r="AW127" s="9">
        <f>AS127/AL127-1</f>
        <v/>
      </c>
      <c r="AX127" s="14">
        <f>AS127/AJ127/12</f>
        <v/>
      </c>
      <c r="AY127" s="14">
        <f>AF127</f>
        <v/>
      </c>
      <c r="AZ127" s="39">
        <f>AX127-AF127</f>
        <v/>
      </c>
      <c r="BA127" s="14">
        <f>SUMIFS(Donnees_regimes!$S$3:$S$1118,Donnees_regimes!$A$3:$A$1118,C127,Donnees_regimes!$B$3:$B$1118,"&gt;="&amp;G127,Donnees_regimes!$B$3:$B$1118,"&lt;="&amp;N127)*L127/ROUNDUP(L127,0)*SUMIFS(Donnees_annuelles!$AH$3:$AH$188,Donnees_annuelles!$A$3:$A$188,AR127)*SUMIFS(Donnees_annuelles!$AA$3:$AA$188,Donnees_annuelles!$A$3:$A$188,AR127)</f>
        <v/>
      </c>
      <c r="BB127" s="39">
        <f>BA127-AL127</f>
        <v/>
      </c>
      <c r="BC127" s="7">
        <f>IF(M127+AJ127&gt;2026,IF(G127&gt;2026,"entièrement projeté","en partie projeté"),"observé")</f>
        <v/>
      </c>
    </row>
    <row r="128">
      <c r="A128" s="7" t="inlineStr">
        <is>
          <t>Baby-boomers</t>
        </is>
      </c>
      <c r="B128" s="84" t="inlineStr">
        <is>
          <t>Fonction publique d'État</t>
        </is>
      </c>
      <c r="C128" s="7">
        <f>IF(G128&gt;=SUMIFS(Regimes!$C$5:$C$10,Regimes!$A$5:$A$10,B128),"Privé",B128)</f>
        <v/>
      </c>
      <c r="D128" s="7">
        <f>INDEX(Regimes!$D$5:$D$10,MATCH(C128,Regimes!$A$5:$A$10,0))</f>
        <v/>
      </c>
      <c r="E128" s="88" t="n">
        <v>1955</v>
      </c>
      <c r="F128" s="8">
        <f>Donnees_generations!C43</f>
        <v/>
      </c>
      <c r="G128" s="77">
        <f>Donnees_generations!D43</f>
        <v/>
      </c>
      <c r="H128" s="8">
        <f>SUMIFS(Donnees_generations!$S$3:$S$113,Donnees_generations!$A$3:$A$113,MAX(1915,MIN(2025,E128)))</f>
        <v/>
      </c>
      <c r="I128" s="8">
        <f>SUMIFS(Donnees_generations!$T$3:$T$113,Donnees_generations!$A$3:$A$113,MAX(1915,MIN(2025,E128)))</f>
        <v/>
      </c>
      <c r="J128" s="8">
        <f>IF(G128&gt;=2000,MAX(I128,Parametres!$B$3),I128)</f>
        <v/>
      </c>
      <c r="K128" s="8">
        <f>IF(C128="Privé",J128,SUMIFS(Regles_regimes!$J$3:$J$2000,Regles_regimes!$A$3:$A$2000,C128,Regles_regimes!$B$3:$B$2000,D128,Regles_regimes!$C$3:$C$2000,MAX(1915,MIN(2025,E128))))</f>
        <v/>
      </c>
      <c r="L128" s="8">
        <f>IF(C128="Privé",H128,(K128-F128)*H128/(J128-F128))</f>
        <v/>
      </c>
      <c r="M128" s="77">
        <f>INT(E128+K128)</f>
        <v/>
      </c>
      <c r="N128" s="77">
        <f>G128+ROUNDUP(L128,0)-1</f>
        <v/>
      </c>
      <c r="O128" s="89">
        <f>SUMIFS(Regles_regimes!$K$3:$K$2000,Regles_regimes!$A$3:$A$2000,C128,Regles_regimes!$B$3:$B$2000,D128,Regles_regimes!$C$3:$C$2000,MAX(1915,MIN(2025,E128)))</f>
        <v/>
      </c>
      <c r="P128" s="13">
        <f>SUMIFS(Donnees_annuelles!$W$3:$W$188,Donnees_annuelles!$A$3:$A$188,"&gt;="&amp;G128,Donnees_annuelles!$A$3:$A$188,"&lt;="&amp;N128)*L128/ROUNDUP(L128,0)*O128</f>
        <v/>
      </c>
      <c r="Q128" s="13">
        <f>SUMIFS(Donnees_annuelles!$V$3:$V$188,Donnees_annuelles!$A$3:$A$188,"&gt;="&amp;G128,Donnees_annuelles!$A$3:$A$188,"&lt;="&amp;N128)*L128/ROUNDUP(L128,0)</f>
        <v/>
      </c>
      <c r="R128" s="13">
        <f>P128/L128</f>
        <v/>
      </c>
      <c r="S128" s="14">
        <f>SUMIFS(Donnees_annuelles!$D$3:$D$188,Donnees_annuelles!$A$3:$A$188,"&gt;="&amp;G128,Donnees_annuelles!$A$3:$A$188,"&lt;="&amp;N128)*L128/ROUNDUP(L128,0)</f>
        <v/>
      </c>
      <c r="T128" s="14">
        <f>SUMIFS(Donnees_regimes!$N$3:$N$1118,Donnees_regimes!$A$3:$A$1118,C128,Donnees_regimes!$B$3:$B$1118,"&gt;="&amp;G128,Donnees_regimes!$B$3:$B$1118,"&lt;="&amp;N128)*L128/ROUNDUP(L128,0)</f>
        <v/>
      </c>
      <c r="U128" s="14">
        <f>SUMIFS(Donnees_regimes!$O$3:$O$1118,Donnees_regimes!$A$3:$A$1118,C128,Donnees_regimes!$B$3:$B$1118,"&gt;="&amp;G128,Donnees_regimes!$B$3:$B$1118,"&lt;="&amp;N128)*L128/ROUNDUP(L128,0)</f>
        <v/>
      </c>
      <c r="V128" s="14">
        <f>T128+U128</f>
        <v/>
      </c>
      <c r="W128" s="33">
        <f>V128/S128</f>
        <v/>
      </c>
      <c r="X128" s="14">
        <f>S128+U128</f>
        <v/>
      </c>
      <c r="Y128" s="17">
        <f>V128/P128</f>
        <v/>
      </c>
      <c r="Z128" s="14">
        <f>SUMIFS(Donnees_regimes!$Q$3:$Q$1118,Donnees_regimes!$A$3:$A$1118,C128,Donnees_regimes!$B$3:$B$1118,"&gt;="&amp;G128,Donnees_regimes!$B$3:$B$1118,"&lt;="&amp;N128)*L128/ROUNDUP(L128,0)</f>
        <v/>
      </c>
      <c r="AA128" s="77">
        <f>SUMIFS(Regles_regimes!$F$3:$F$2000,Regles_regimes!$A$3:$A$2000,C128,Regles_regimes!$B$3:$B$2000,D128,Regles_regimes!$C$3:$C$2000,MAX(1915,MIN(2025,E128)))</f>
        <v/>
      </c>
      <c r="AB128" s="77">
        <f>IF(AND(SUMIFS(Regles_regimes!$L$3:$L$2000,Regles_regimes!$A$3:$A$2000,C128,Regles_regimes!$B$3:$B$2000,D128,Regles_regimes!$C$3:$C$2000,MAX(1915,MIN(2025,E128)))=1,G128&lt;2009,C128&lt;&gt;"Privé"),MIN(20,L128*4/5),0)</f>
        <v/>
      </c>
      <c r="AC128" s="89">
        <f>SUMIFS(Donnees_regimes!$M$3:$M$1118,Donnees_regimes!$A$3:$A$1118,C128,Donnees_regimes!$B$3:$B$1118,M128)</f>
        <v/>
      </c>
      <c r="AD128" s="14">
        <f>SUMIFS(Donnees_annuelles!$Y$3:$Y$188,Donnees_annuelles!$A$3:$A$188,M128)*SUMIFS(Donnees_generations!$I$3:$I$113,Donnees_generations!$A$3:$A$113,MAX(1915,MIN(2025,E128)))/H128</f>
        <v/>
      </c>
      <c r="AE128" s="14">
        <f>IF(C128="Privé",SUMIFS(Donnees_annuelles!$Y$3:$Y$188,Donnees_annuelles!$A$3:$A$188,M128)*MIN(L128,SUMIFS(Donnees_generations!$I$3:$I$113,Donnees_generations!$A$3:$A$113,MAX(1915,MIN(2025,E128))))/L128,AD128*AC128*MIN(IF(AB128&gt;0,0.8/0.75,1),(L128*4+AB128)/AA128))</f>
        <v/>
      </c>
      <c r="AF128" s="14">
        <f>AE128/12</f>
        <v/>
      </c>
      <c r="AG128" s="77">
        <f>MIN(68,MAX(56,2*INT(K128/2)))</f>
        <v/>
      </c>
      <c r="AH128" s="75">
        <f>(CHOOSE((AG128-56)/2+1,SUMIFS(Donnees_generations!$U$3:$U$113,Donnees_generations!$A$3:$A$113,MAX(1915,MIN(2025,E128))),SUMIFS(Donnees_generations!$V$3:$V$113,Donnees_generations!$A$3:$A$113,MAX(1915,MIN(2025,E128))),SUMIFS(Donnees_generations!$W$3:$W$113,Donnees_generations!$A$3:$A$113,MAX(1915,MIN(2025,E128))),SUMIFS(Donnees_generations!$X$3:$X$113,Donnees_generations!$A$3:$A$113,MAX(1915,MIN(2025,E128))),SUMIFS(Donnees_generations!$Y$3:$Y$113,Donnees_generations!$A$3:$A$113,MAX(1915,MIN(2025,E128))),SUMIFS(Donnees_generations!$Z$3:$Z$113,Donnees_generations!$A$3:$A$113,MAX(1915,MIN(2025,E128))),SUMIFS(Donnees_generations!$AA$3:$AA$113,Donnees_generations!$A$3:$A$113,MAX(1915,MIN(2025,E128))),SUMIFS(Donnees_generations!$AB$3:$AB$113,Donnees_generations!$A$3:$A$113,MAX(1915,MIN(2025,E128))))+CHOOSE((AG128-56)/2+1,SUMIFS(Donnees_generations!$AC$3:$AC$113,Donnees_generations!$A$3:$A$113,MAX(1915,MIN(2025,E128))),SUMIFS(Donnees_generations!$AD$3:$AD$113,Donnees_generations!$A$3:$A$113,MAX(1915,MIN(2025,E128))),SUMIFS(Donnees_generations!$AE$3:$AE$113,Donnees_generations!$A$3:$A$113,MAX(1915,MIN(2025,E128))),SUMIFS(Donnees_generations!$AF$3:$AF$113,Donnees_generations!$A$3:$A$113,MAX(1915,MIN(2025,E128))),SUMIFS(Donnees_generations!$AG$3:$AG$113,Donnees_generations!$A$3:$A$113,MAX(1915,MIN(2025,E128))),SUMIFS(Donnees_generations!$AH$3:$AH$113,Donnees_generations!$A$3:$A$113,MAX(1915,MIN(2025,E128))),SUMIFS(Donnees_generations!$AI$3:$AI$113,Donnees_generations!$A$3:$A$113,MAX(1915,MIN(2025,E128))),SUMIFS(Donnees_generations!$AJ$3:$AJ$113,Donnees_generations!$A$3:$A$113,MAX(1915,MIN(2025,E128)))))/2</f>
        <v/>
      </c>
      <c r="AI128" s="75">
        <f>(CHOOSE(((AG128+2)-56)/2+1,SUMIFS(Donnees_generations!$U$3:$U$113,Donnees_generations!$A$3:$A$113,MAX(1915,MIN(2025,E128))),SUMIFS(Donnees_generations!$V$3:$V$113,Donnees_generations!$A$3:$A$113,MAX(1915,MIN(2025,E128))),SUMIFS(Donnees_generations!$W$3:$W$113,Donnees_generations!$A$3:$A$113,MAX(1915,MIN(2025,E128))),SUMIFS(Donnees_generations!$X$3:$X$113,Donnees_generations!$A$3:$A$113,MAX(1915,MIN(2025,E128))),SUMIFS(Donnees_generations!$Y$3:$Y$113,Donnees_generations!$A$3:$A$113,MAX(1915,MIN(2025,E128))),SUMIFS(Donnees_generations!$Z$3:$Z$113,Donnees_generations!$A$3:$A$113,MAX(1915,MIN(2025,E128))),SUMIFS(Donnees_generations!$AA$3:$AA$113,Donnees_generations!$A$3:$A$113,MAX(1915,MIN(2025,E128))),SUMIFS(Donnees_generations!$AB$3:$AB$113,Donnees_generations!$A$3:$A$113,MAX(1915,MIN(2025,E128))))+CHOOSE(((AG128+2)-56)/2+1,SUMIFS(Donnees_generations!$AC$3:$AC$113,Donnees_generations!$A$3:$A$113,MAX(1915,MIN(2025,E128))),SUMIFS(Donnees_generations!$AD$3:$AD$113,Donnees_generations!$A$3:$A$113,MAX(1915,MIN(2025,E128))),SUMIFS(Donnees_generations!$AE$3:$AE$113,Donnees_generations!$A$3:$A$113,MAX(1915,MIN(2025,E128))),SUMIFS(Donnees_generations!$AF$3:$AF$113,Donnees_generations!$A$3:$A$113,MAX(1915,MIN(2025,E128))),SUMIFS(Donnees_generations!$AG$3:$AG$113,Donnees_generations!$A$3:$A$113,MAX(1915,MIN(2025,E128))),SUMIFS(Donnees_generations!$AH$3:$AH$113,Donnees_generations!$A$3:$A$113,MAX(1915,MIN(2025,E128))),SUMIFS(Donnees_generations!$AI$3:$AI$113,Donnees_generations!$A$3:$A$113,MAX(1915,MIN(2025,E128))),SUMIFS(Donnees_generations!$AJ$3:$AJ$113,Donnees_generations!$A$3:$A$113,MAX(1915,MIN(2025,E128)))))/2</f>
        <v/>
      </c>
      <c r="AJ128" s="8">
        <f>MAX(0,AH128+(AI128-AH128)*(K128-AG128)/2)</f>
        <v/>
      </c>
      <c r="AK128" s="8">
        <f>K128+AJ128</f>
        <v/>
      </c>
      <c r="AL128" s="14">
        <f>AE128*AJ128</f>
        <v/>
      </c>
      <c r="AM128" s="17">
        <f>V128/AL128</f>
        <v/>
      </c>
      <c r="AN128" s="17">
        <f>Z128/AL128</f>
        <v/>
      </c>
      <c r="AO128" s="33">
        <f>IF(V128+Z128=0,0,Z128/(V128+Z128))</f>
        <v/>
      </c>
      <c r="AP128" s="14">
        <f>AL128/V128*100</f>
        <v/>
      </c>
      <c r="AQ128" s="8">
        <f>P128/AL128*1000</f>
        <v/>
      </c>
      <c r="AR128" s="77">
        <f>MAX(N128,M128-1)</f>
        <v/>
      </c>
      <c r="AS128" s="14">
        <f>SUMIFS(Donnees_regimes!$R$3:$R$1118,Donnees_regimes!$A$3:$A$1118,C128,Donnees_regimes!$B$3:$B$1118,"&gt;="&amp;G128,Donnees_regimes!$B$3:$B$1118,"&lt;="&amp;N128)*L128/ROUNDUP(L128,0)*SUMIFS(Donnees_annuelles!$AG$3:$AG$188,Donnees_annuelles!$A$3:$A$188,AR128)*SUMIFS(Donnees_annuelles!$AA$3:$AA$188,Donnees_annuelles!$A$3:$A$188,AR128)</f>
        <v/>
      </c>
      <c r="AT128" s="36">
        <f>AS128/V128</f>
        <v/>
      </c>
      <c r="AU128" s="14">
        <f>AL128</f>
        <v/>
      </c>
      <c r="AV128" s="39">
        <f>AS128-AL128</f>
        <v/>
      </c>
      <c r="AW128" s="9">
        <f>AS128/AL128-1</f>
        <v/>
      </c>
      <c r="AX128" s="14">
        <f>AS128/AJ128/12</f>
        <v/>
      </c>
      <c r="AY128" s="14">
        <f>AF128</f>
        <v/>
      </c>
      <c r="AZ128" s="39">
        <f>AX128-AF128</f>
        <v/>
      </c>
      <c r="BA128" s="14">
        <f>SUMIFS(Donnees_regimes!$S$3:$S$1118,Donnees_regimes!$A$3:$A$1118,C128,Donnees_regimes!$B$3:$B$1118,"&gt;="&amp;G128,Donnees_regimes!$B$3:$B$1118,"&lt;="&amp;N128)*L128/ROUNDUP(L128,0)*SUMIFS(Donnees_annuelles!$AH$3:$AH$188,Donnees_annuelles!$A$3:$A$188,AR128)*SUMIFS(Donnees_annuelles!$AA$3:$AA$188,Donnees_annuelles!$A$3:$A$188,AR128)</f>
        <v/>
      </c>
      <c r="BB128" s="39">
        <f>BA128-AL128</f>
        <v/>
      </c>
      <c r="BC128" s="7">
        <f>IF(M128+AJ128&gt;2026,IF(G128&gt;2026,"entièrement projeté","en partie projeté"),"observé")</f>
        <v/>
      </c>
    </row>
    <row r="129">
      <c r="A129" s="7" t="inlineStr">
        <is>
          <t>Baby-boomers</t>
        </is>
      </c>
      <c r="B129" s="84" t="inlineStr">
        <is>
          <t>Fonction publique d'État</t>
        </is>
      </c>
      <c r="C129" s="7">
        <f>IF(G129&gt;=SUMIFS(Regimes!$C$5:$C$10,Regimes!$A$5:$A$10,B129),"Privé",B129)</f>
        <v/>
      </c>
      <c r="D129" s="7">
        <f>INDEX(Regimes!$D$5:$D$10,MATCH(C129,Regimes!$A$5:$A$10,0))</f>
        <v/>
      </c>
      <c r="E129" s="88" t="n">
        <v>1956</v>
      </c>
      <c r="F129" s="8">
        <f>Donnees_generations!C44</f>
        <v/>
      </c>
      <c r="G129" s="77">
        <f>Donnees_generations!D44</f>
        <v/>
      </c>
      <c r="H129" s="8">
        <f>SUMIFS(Donnees_generations!$S$3:$S$113,Donnees_generations!$A$3:$A$113,MAX(1915,MIN(2025,E129)))</f>
        <v/>
      </c>
      <c r="I129" s="8">
        <f>SUMIFS(Donnees_generations!$T$3:$T$113,Donnees_generations!$A$3:$A$113,MAX(1915,MIN(2025,E129)))</f>
        <v/>
      </c>
      <c r="J129" s="8">
        <f>IF(G129&gt;=2000,MAX(I129,Parametres!$B$3),I129)</f>
        <v/>
      </c>
      <c r="K129" s="8">
        <f>IF(C129="Privé",J129,SUMIFS(Regles_regimes!$J$3:$J$2000,Regles_regimes!$A$3:$A$2000,C129,Regles_regimes!$B$3:$B$2000,D129,Regles_regimes!$C$3:$C$2000,MAX(1915,MIN(2025,E129))))</f>
        <v/>
      </c>
      <c r="L129" s="8">
        <f>IF(C129="Privé",H129,(K129-F129)*H129/(J129-F129))</f>
        <v/>
      </c>
      <c r="M129" s="77">
        <f>INT(E129+K129)</f>
        <v/>
      </c>
      <c r="N129" s="77">
        <f>G129+ROUNDUP(L129,0)-1</f>
        <v/>
      </c>
      <c r="O129" s="89">
        <f>SUMIFS(Regles_regimes!$K$3:$K$2000,Regles_regimes!$A$3:$A$2000,C129,Regles_regimes!$B$3:$B$2000,D129,Regles_regimes!$C$3:$C$2000,MAX(1915,MIN(2025,E129)))</f>
        <v/>
      </c>
      <c r="P129" s="13">
        <f>SUMIFS(Donnees_annuelles!$W$3:$W$188,Donnees_annuelles!$A$3:$A$188,"&gt;="&amp;G129,Donnees_annuelles!$A$3:$A$188,"&lt;="&amp;N129)*L129/ROUNDUP(L129,0)*O129</f>
        <v/>
      </c>
      <c r="Q129" s="13">
        <f>SUMIFS(Donnees_annuelles!$V$3:$V$188,Donnees_annuelles!$A$3:$A$188,"&gt;="&amp;G129,Donnees_annuelles!$A$3:$A$188,"&lt;="&amp;N129)*L129/ROUNDUP(L129,0)</f>
        <v/>
      </c>
      <c r="R129" s="13">
        <f>P129/L129</f>
        <v/>
      </c>
      <c r="S129" s="14">
        <f>SUMIFS(Donnees_annuelles!$D$3:$D$188,Donnees_annuelles!$A$3:$A$188,"&gt;="&amp;G129,Donnees_annuelles!$A$3:$A$188,"&lt;="&amp;N129)*L129/ROUNDUP(L129,0)</f>
        <v/>
      </c>
      <c r="T129" s="14">
        <f>SUMIFS(Donnees_regimes!$N$3:$N$1118,Donnees_regimes!$A$3:$A$1118,C129,Donnees_regimes!$B$3:$B$1118,"&gt;="&amp;G129,Donnees_regimes!$B$3:$B$1118,"&lt;="&amp;N129)*L129/ROUNDUP(L129,0)</f>
        <v/>
      </c>
      <c r="U129" s="14">
        <f>SUMIFS(Donnees_regimes!$O$3:$O$1118,Donnees_regimes!$A$3:$A$1118,C129,Donnees_regimes!$B$3:$B$1118,"&gt;="&amp;G129,Donnees_regimes!$B$3:$B$1118,"&lt;="&amp;N129)*L129/ROUNDUP(L129,0)</f>
        <v/>
      </c>
      <c r="V129" s="14">
        <f>T129+U129</f>
        <v/>
      </c>
      <c r="W129" s="33">
        <f>V129/S129</f>
        <v/>
      </c>
      <c r="X129" s="14">
        <f>S129+U129</f>
        <v/>
      </c>
      <c r="Y129" s="17">
        <f>V129/P129</f>
        <v/>
      </c>
      <c r="Z129" s="14">
        <f>SUMIFS(Donnees_regimes!$Q$3:$Q$1118,Donnees_regimes!$A$3:$A$1118,C129,Donnees_regimes!$B$3:$B$1118,"&gt;="&amp;G129,Donnees_regimes!$B$3:$B$1118,"&lt;="&amp;N129)*L129/ROUNDUP(L129,0)</f>
        <v/>
      </c>
      <c r="AA129" s="77">
        <f>SUMIFS(Regles_regimes!$F$3:$F$2000,Regles_regimes!$A$3:$A$2000,C129,Regles_regimes!$B$3:$B$2000,D129,Regles_regimes!$C$3:$C$2000,MAX(1915,MIN(2025,E129)))</f>
        <v/>
      </c>
      <c r="AB129" s="77">
        <f>IF(AND(SUMIFS(Regles_regimes!$L$3:$L$2000,Regles_regimes!$A$3:$A$2000,C129,Regles_regimes!$B$3:$B$2000,D129,Regles_regimes!$C$3:$C$2000,MAX(1915,MIN(2025,E129)))=1,G129&lt;2009,C129&lt;&gt;"Privé"),MIN(20,L129*4/5),0)</f>
        <v/>
      </c>
      <c r="AC129" s="89">
        <f>SUMIFS(Donnees_regimes!$M$3:$M$1118,Donnees_regimes!$A$3:$A$1118,C129,Donnees_regimes!$B$3:$B$1118,M129)</f>
        <v/>
      </c>
      <c r="AD129" s="14">
        <f>SUMIFS(Donnees_annuelles!$Y$3:$Y$188,Donnees_annuelles!$A$3:$A$188,M129)*SUMIFS(Donnees_generations!$I$3:$I$113,Donnees_generations!$A$3:$A$113,MAX(1915,MIN(2025,E129)))/H129</f>
        <v/>
      </c>
      <c r="AE129" s="14">
        <f>IF(C129="Privé",SUMIFS(Donnees_annuelles!$Y$3:$Y$188,Donnees_annuelles!$A$3:$A$188,M129)*MIN(L129,SUMIFS(Donnees_generations!$I$3:$I$113,Donnees_generations!$A$3:$A$113,MAX(1915,MIN(2025,E129))))/L129,AD129*AC129*MIN(IF(AB129&gt;0,0.8/0.75,1),(L129*4+AB129)/AA129))</f>
        <v/>
      </c>
      <c r="AF129" s="14">
        <f>AE129/12</f>
        <v/>
      </c>
      <c r="AG129" s="77">
        <f>MIN(68,MAX(56,2*INT(K129/2)))</f>
        <v/>
      </c>
      <c r="AH129" s="75">
        <f>(CHOOSE((AG129-56)/2+1,SUMIFS(Donnees_generations!$U$3:$U$113,Donnees_generations!$A$3:$A$113,MAX(1915,MIN(2025,E129))),SUMIFS(Donnees_generations!$V$3:$V$113,Donnees_generations!$A$3:$A$113,MAX(1915,MIN(2025,E129))),SUMIFS(Donnees_generations!$W$3:$W$113,Donnees_generations!$A$3:$A$113,MAX(1915,MIN(2025,E129))),SUMIFS(Donnees_generations!$X$3:$X$113,Donnees_generations!$A$3:$A$113,MAX(1915,MIN(2025,E129))),SUMIFS(Donnees_generations!$Y$3:$Y$113,Donnees_generations!$A$3:$A$113,MAX(1915,MIN(2025,E129))),SUMIFS(Donnees_generations!$Z$3:$Z$113,Donnees_generations!$A$3:$A$113,MAX(1915,MIN(2025,E129))),SUMIFS(Donnees_generations!$AA$3:$AA$113,Donnees_generations!$A$3:$A$113,MAX(1915,MIN(2025,E129))),SUMIFS(Donnees_generations!$AB$3:$AB$113,Donnees_generations!$A$3:$A$113,MAX(1915,MIN(2025,E129))))+CHOOSE((AG129-56)/2+1,SUMIFS(Donnees_generations!$AC$3:$AC$113,Donnees_generations!$A$3:$A$113,MAX(1915,MIN(2025,E129))),SUMIFS(Donnees_generations!$AD$3:$AD$113,Donnees_generations!$A$3:$A$113,MAX(1915,MIN(2025,E129))),SUMIFS(Donnees_generations!$AE$3:$AE$113,Donnees_generations!$A$3:$A$113,MAX(1915,MIN(2025,E129))),SUMIFS(Donnees_generations!$AF$3:$AF$113,Donnees_generations!$A$3:$A$113,MAX(1915,MIN(2025,E129))),SUMIFS(Donnees_generations!$AG$3:$AG$113,Donnees_generations!$A$3:$A$113,MAX(1915,MIN(2025,E129))),SUMIFS(Donnees_generations!$AH$3:$AH$113,Donnees_generations!$A$3:$A$113,MAX(1915,MIN(2025,E129))),SUMIFS(Donnees_generations!$AI$3:$AI$113,Donnees_generations!$A$3:$A$113,MAX(1915,MIN(2025,E129))),SUMIFS(Donnees_generations!$AJ$3:$AJ$113,Donnees_generations!$A$3:$A$113,MAX(1915,MIN(2025,E129)))))/2</f>
        <v/>
      </c>
      <c r="AI129" s="75">
        <f>(CHOOSE(((AG129+2)-56)/2+1,SUMIFS(Donnees_generations!$U$3:$U$113,Donnees_generations!$A$3:$A$113,MAX(1915,MIN(2025,E129))),SUMIFS(Donnees_generations!$V$3:$V$113,Donnees_generations!$A$3:$A$113,MAX(1915,MIN(2025,E129))),SUMIFS(Donnees_generations!$W$3:$W$113,Donnees_generations!$A$3:$A$113,MAX(1915,MIN(2025,E129))),SUMIFS(Donnees_generations!$X$3:$X$113,Donnees_generations!$A$3:$A$113,MAX(1915,MIN(2025,E129))),SUMIFS(Donnees_generations!$Y$3:$Y$113,Donnees_generations!$A$3:$A$113,MAX(1915,MIN(2025,E129))),SUMIFS(Donnees_generations!$Z$3:$Z$113,Donnees_generations!$A$3:$A$113,MAX(1915,MIN(2025,E129))),SUMIFS(Donnees_generations!$AA$3:$AA$113,Donnees_generations!$A$3:$A$113,MAX(1915,MIN(2025,E129))),SUMIFS(Donnees_generations!$AB$3:$AB$113,Donnees_generations!$A$3:$A$113,MAX(1915,MIN(2025,E129))))+CHOOSE(((AG129+2)-56)/2+1,SUMIFS(Donnees_generations!$AC$3:$AC$113,Donnees_generations!$A$3:$A$113,MAX(1915,MIN(2025,E129))),SUMIFS(Donnees_generations!$AD$3:$AD$113,Donnees_generations!$A$3:$A$113,MAX(1915,MIN(2025,E129))),SUMIFS(Donnees_generations!$AE$3:$AE$113,Donnees_generations!$A$3:$A$113,MAX(1915,MIN(2025,E129))),SUMIFS(Donnees_generations!$AF$3:$AF$113,Donnees_generations!$A$3:$A$113,MAX(1915,MIN(2025,E129))),SUMIFS(Donnees_generations!$AG$3:$AG$113,Donnees_generations!$A$3:$A$113,MAX(1915,MIN(2025,E129))),SUMIFS(Donnees_generations!$AH$3:$AH$113,Donnees_generations!$A$3:$A$113,MAX(1915,MIN(2025,E129))),SUMIFS(Donnees_generations!$AI$3:$AI$113,Donnees_generations!$A$3:$A$113,MAX(1915,MIN(2025,E129))),SUMIFS(Donnees_generations!$AJ$3:$AJ$113,Donnees_generations!$A$3:$A$113,MAX(1915,MIN(2025,E129)))))/2</f>
        <v/>
      </c>
      <c r="AJ129" s="8">
        <f>MAX(0,AH129+(AI129-AH129)*(K129-AG129)/2)</f>
        <v/>
      </c>
      <c r="AK129" s="8">
        <f>K129+AJ129</f>
        <v/>
      </c>
      <c r="AL129" s="14">
        <f>AE129*AJ129</f>
        <v/>
      </c>
      <c r="AM129" s="17">
        <f>V129/AL129</f>
        <v/>
      </c>
      <c r="AN129" s="17">
        <f>Z129/AL129</f>
        <v/>
      </c>
      <c r="AO129" s="33">
        <f>IF(V129+Z129=0,0,Z129/(V129+Z129))</f>
        <v/>
      </c>
      <c r="AP129" s="14">
        <f>AL129/V129*100</f>
        <v/>
      </c>
      <c r="AQ129" s="8">
        <f>P129/AL129*1000</f>
        <v/>
      </c>
      <c r="AR129" s="77">
        <f>MAX(N129,M129-1)</f>
        <v/>
      </c>
      <c r="AS129" s="14">
        <f>SUMIFS(Donnees_regimes!$R$3:$R$1118,Donnees_regimes!$A$3:$A$1118,C129,Donnees_regimes!$B$3:$B$1118,"&gt;="&amp;G129,Donnees_regimes!$B$3:$B$1118,"&lt;="&amp;N129)*L129/ROUNDUP(L129,0)*SUMIFS(Donnees_annuelles!$AG$3:$AG$188,Donnees_annuelles!$A$3:$A$188,AR129)*SUMIFS(Donnees_annuelles!$AA$3:$AA$188,Donnees_annuelles!$A$3:$A$188,AR129)</f>
        <v/>
      </c>
      <c r="AT129" s="36">
        <f>AS129/V129</f>
        <v/>
      </c>
      <c r="AU129" s="14">
        <f>AL129</f>
        <v/>
      </c>
      <c r="AV129" s="39">
        <f>AS129-AL129</f>
        <v/>
      </c>
      <c r="AW129" s="9">
        <f>AS129/AL129-1</f>
        <v/>
      </c>
      <c r="AX129" s="14">
        <f>AS129/AJ129/12</f>
        <v/>
      </c>
      <c r="AY129" s="14">
        <f>AF129</f>
        <v/>
      </c>
      <c r="AZ129" s="39">
        <f>AX129-AF129</f>
        <v/>
      </c>
      <c r="BA129" s="14">
        <f>SUMIFS(Donnees_regimes!$S$3:$S$1118,Donnees_regimes!$A$3:$A$1118,C129,Donnees_regimes!$B$3:$B$1118,"&gt;="&amp;G129,Donnees_regimes!$B$3:$B$1118,"&lt;="&amp;N129)*L129/ROUNDUP(L129,0)*SUMIFS(Donnees_annuelles!$AH$3:$AH$188,Donnees_annuelles!$A$3:$A$188,AR129)*SUMIFS(Donnees_annuelles!$AA$3:$AA$188,Donnees_annuelles!$A$3:$A$188,AR129)</f>
        <v/>
      </c>
      <c r="BB129" s="39">
        <f>BA129-AL129</f>
        <v/>
      </c>
      <c r="BC129" s="7">
        <f>IF(M129+AJ129&gt;2026,IF(G129&gt;2026,"entièrement projeté","en partie projeté"),"observé")</f>
        <v/>
      </c>
    </row>
    <row r="130">
      <c r="A130" s="7" t="inlineStr">
        <is>
          <t>Baby-boomers</t>
        </is>
      </c>
      <c r="B130" s="84" t="inlineStr">
        <is>
          <t>Fonction publique d'État</t>
        </is>
      </c>
      <c r="C130" s="7">
        <f>IF(G130&gt;=SUMIFS(Regimes!$C$5:$C$10,Regimes!$A$5:$A$10,B130),"Privé",B130)</f>
        <v/>
      </c>
      <c r="D130" s="7">
        <f>INDEX(Regimes!$D$5:$D$10,MATCH(C130,Regimes!$A$5:$A$10,0))</f>
        <v/>
      </c>
      <c r="E130" s="88" t="n">
        <v>1957</v>
      </c>
      <c r="F130" s="8">
        <f>Donnees_generations!C45</f>
        <v/>
      </c>
      <c r="G130" s="77">
        <f>Donnees_generations!D45</f>
        <v/>
      </c>
      <c r="H130" s="8">
        <f>SUMIFS(Donnees_generations!$S$3:$S$113,Donnees_generations!$A$3:$A$113,MAX(1915,MIN(2025,E130)))</f>
        <v/>
      </c>
      <c r="I130" s="8">
        <f>SUMIFS(Donnees_generations!$T$3:$T$113,Donnees_generations!$A$3:$A$113,MAX(1915,MIN(2025,E130)))</f>
        <v/>
      </c>
      <c r="J130" s="8">
        <f>IF(G130&gt;=2000,MAX(I130,Parametres!$B$3),I130)</f>
        <v/>
      </c>
      <c r="K130" s="8">
        <f>IF(C130="Privé",J130,SUMIFS(Regles_regimes!$J$3:$J$2000,Regles_regimes!$A$3:$A$2000,C130,Regles_regimes!$B$3:$B$2000,D130,Regles_regimes!$C$3:$C$2000,MAX(1915,MIN(2025,E130))))</f>
        <v/>
      </c>
      <c r="L130" s="8">
        <f>IF(C130="Privé",H130,(K130-F130)*H130/(J130-F130))</f>
        <v/>
      </c>
      <c r="M130" s="77">
        <f>INT(E130+K130)</f>
        <v/>
      </c>
      <c r="N130" s="77">
        <f>G130+ROUNDUP(L130,0)-1</f>
        <v/>
      </c>
      <c r="O130" s="89">
        <f>SUMIFS(Regles_regimes!$K$3:$K$2000,Regles_regimes!$A$3:$A$2000,C130,Regles_regimes!$B$3:$B$2000,D130,Regles_regimes!$C$3:$C$2000,MAX(1915,MIN(2025,E130)))</f>
        <v/>
      </c>
      <c r="P130" s="13">
        <f>SUMIFS(Donnees_annuelles!$W$3:$W$188,Donnees_annuelles!$A$3:$A$188,"&gt;="&amp;G130,Donnees_annuelles!$A$3:$A$188,"&lt;="&amp;N130)*L130/ROUNDUP(L130,0)*O130</f>
        <v/>
      </c>
      <c r="Q130" s="13">
        <f>SUMIFS(Donnees_annuelles!$V$3:$V$188,Donnees_annuelles!$A$3:$A$188,"&gt;="&amp;G130,Donnees_annuelles!$A$3:$A$188,"&lt;="&amp;N130)*L130/ROUNDUP(L130,0)</f>
        <v/>
      </c>
      <c r="R130" s="13">
        <f>P130/L130</f>
        <v/>
      </c>
      <c r="S130" s="14">
        <f>SUMIFS(Donnees_annuelles!$D$3:$D$188,Donnees_annuelles!$A$3:$A$188,"&gt;="&amp;G130,Donnees_annuelles!$A$3:$A$188,"&lt;="&amp;N130)*L130/ROUNDUP(L130,0)</f>
        <v/>
      </c>
      <c r="T130" s="14">
        <f>SUMIFS(Donnees_regimes!$N$3:$N$1118,Donnees_regimes!$A$3:$A$1118,C130,Donnees_regimes!$B$3:$B$1118,"&gt;="&amp;G130,Donnees_regimes!$B$3:$B$1118,"&lt;="&amp;N130)*L130/ROUNDUP(L130,0)</f>
        <v/>
      </c>
      <c r="U130" s="14">
        <f>SUMIFS(Donnees_regimes!$O$3:$O$1118,Donnees_regimes!$A$3:$A$1118,C130,Donnees_regimes!$B$3:$B$1118,"&gt;="&amp;G130,Donnees_regimes!$B$3:$B$1118,"&lt;="&amp;N130)*L130/ROUNDUP(L130,0)</f>
        <v/>
      </c>
      <c r="V130" s="14">
        <f>T130+U130</f>
        <v/>
      </c>
      <c r="W130" s="33">
        <f>V130/S130</f>
        <v/>
      </c>
      <c r="X130" s="14">
        <f>S130+U130</f>
        <v/>
      </c>
      <c r="Y130" s="17">
        <f>V130/P130</f>
        <v/>
      </c>
      <c r="Z130" s="14">
        <f>SUMIFS(Donnees_regimes!$Q$3:$Q$1118,Donnees_regimes!$A$3:$A$1118,C130,Donnees_regimes!$B$3:$B$1118,"&gt;="&amp;G130,Donnees_regimes!$B$3:$B$1118,"&lt;="&amp;N130)*L130/ROUNDUP(L130,0)</f>
        <v/>
      </c>
      <c r="AA130" s="77">
        <f>SUMIFS(Regles_regimes!$F$3:$F$2000,Regles_regimes!$A$3:$A$2000,C130,Regles_regimes!$B$3:$B$2000,D130,Regles_regimes!$C$3:$C$2000,MAX(1915,MIN(2025,E130)))</f>
        <v/>
      </c>
      <c r="AB130" s="77">
        <f>IF(AND(SUMIFS(Regles_regimes!$L$3:$L$2000,Regles_regimes!$A$3:$A$2000,C130,Regles_regimes!$B$3:$B$2000,D130,Regles_regimes!$C$3:$C$2000,MAX(1915,MIN(2025,E130)))=1,G130&lt;2009,C130&lt;&gt;"Privé"),MIN(20,L130*4/5),0)</f>
        <v/>
      </c>
      <c r="AC130" s="89">
        <f>SUMIFS(Donnees_regimes!$M$3:$M$1118,Donnees_regimes!$A$3:$A$1118,C130,Donnees_regimes!$B$3:$B$1118,M130)</f>
        <v/>
      </c>
      <c r="AD130" s="14">
        <f>SUMIFS(Donnees_annuelles!$Y$3:$Y$188,Donnees_annuelles!$A$3:$A$188,M130)*SUMIFS(Donnees_generations!$I$3:$I$113,Donnees_generations!$A$3:$A$113,MAX(1915,MIN(2025,E130)))/H130</f>
        <v/>
      </c>
      <c r="AE130" s="14">
        <f>IF(C130="Privé",SUMIFS(Donnees_annuelles!$Y$3:$Y$188,Donnees_annuelles!$A$3:$A$188,M130)*MIN(L130,SUMIFS(Donnees_generations!$I$3:$I$113,Donnees_generations!$A$3:$A$113,MAX(1915,MIN(2025,E130))))/L130,AD130*AC130*MIN(IF(AB130&gt;0,0.8/0.75,1),(L130*4+AB130)/AA130))</f>
        <v/>
      </c>
      <c r="AF130" s="14">
        <f>AE130/12</f>
        <v/>
      </c>
      <c r="AG130" s="77">
        <f>MIN(68,MAX(56,2*INT(K130/2)))</f>
        <v/>
      </c>
      <c r="AH130" s="75">
        <f>(CHOOSE((AG130-56)/2+1,SUMIFS(Donnees_generations!$U$3:$U$113,Donnees_generations!$A$3:$A$113,MAX(1915,MIN(2025,E130))),SUMIFS(Donnees_generations!$V$3:$V$113,Donnees_generations!$A$3:$A$113,MAX(1915,MIN(2025,E130))),SUMIFS(Donnees_generations!$W$3:$W$113,Donnees_generations!$A$3:$A$113,MAX(1915,MIN(2025,E130))),SUMIFS(Donnees_generations!$X$3:$X$113,Donnees_generations!$A$3:$A$113,MAX(1915,MIN(2025,E130))),SUMIFS(Donnees_generations!$Y$3:$Y$113,Donnees_generations!$A$3:$A$113,MAX(1915,MIN(2025,E130))),SUMIFS(Donnees_generations!$Z$3:$Z$113,Donnees_generations!$A$3:$A$113,MAX(1915,MIN(2025,E130))),SUMIFS(Donnees_generations!$AA$3:$AA$113,Donnees_generations!$A$3:$A$113,MAX(1915,MIN(2025,E130))),SUMIFS(Donnees_generations!$AB$3:$AB$113,Donnees_generations!$A$3:$A$113,MAX(1915,MIN(2025,E130))))+CHOOSE((AG130-56)/2+1,SUMIFS(Donnees_generations!$AC$3:$AC$113,Donnees_generations!$A$3:$A$113,MAX(1915,MIN(2025,E130))),SUMIFS(Donnees_generations!$AD$3:$AD$113,Donnees_generations!$A$3:$A$113,MAX(1915,MIN(2025,E130))),SUMIFS(Donnees_generations!$AE$3:$AE$113,Donnees_generations!$A$3:$A$113,MAX(1915,MIN(2025,E130))),SUMIFS(Donnees_generations!$AF$3:$AF$113,Donnees_generations!$A$3:$A$113,MAX(1915,MIN(2025,E130))),SUMIFS(Donnees_generations!$AG$3:$AG$113,Donnees_generations!$A$3:$A$113,MAX(1915,MIN(2025,E130))),SUMIFS(Donnees_generations!$AH$3:$AH$113,Donnees_generations!$A$3:$A$113,MAX(1915,MIN(2025,E130))),SUMIFS(Donnees_generations!$AI$3:$AI$113,Donnees_generations!$A$3:$A$113,MAX(1915,MIN(2025,E130))),SUMIFS(Donnees_generations!$AJ$3:$AJ$113,Donnees_generations!$A$3:$A$113,MAX(1915,MIN(2025,E130)))))/2</f>
        <v/>
      </c>
      <c r="AI130" s="75">
        <f>(CHOOSE(((AG130+2)-56)/2+1,SUMIFS(Donnees_generations!$U$3:$U$113,Donnees_generations!$A$3:$A$113,MAX(1915,MIN(2025,E130))),SUMIFS(Donnees_generations!$V$3:$V$113,Donnees_generations!$A$3:$A$113,MAX(1915,MIN(2025,E130))),SUMIFS(Donnees_generations!$W$3:$W$113,Donnees_generations!$A$3:$A$113,MAX(1915,MIN(2025,E130))),SUMIFS(Donnees_generations!$X$3:$X$113,Donnees_generations!$A$3:$A$113,MAX(1915,MIN(2025,E130))),SUMIFS(Donnees_generations!$Y$3:$Y$113,Donnees_generations!$A$3:$A$113,MAX(1915,MIN(2025,E130))),SUMIFS(Donnees_generations!$Z$3:$Z$113,Donnees_generations!$A$3:$A$113,MAX(1915,MIN(2025,E130))),SUMIFS(Donnees_generations!$AA$3:$AA$113,Donnees_generations!$A$3:$A$113,MAX(1915,MIN(2025,E130))),SUMIFS(Donnees_generations!$AB$3:$AB$113,Donnees_generations!$A$3:$A$113,MAX(1915,MIN(2025,E130))))+CHOOSE(((AG130+2)-56)/2+1,SUMIFS(Donnees_generations!$AC$3:$AC$113,Donnees_generations!$A$3:$A$113,MAX(1915,MIN(2025,E130))),SUMIFS(Donnees_generations!$AD$3:$AD$113,Donnees_generations!$A$3:$A$113,MAX(1915,MIN(2025,E130))),SUMIFS(Donnees_generations!$AE$3:$AE$113,Donnees_generations!$A$3:$A$113,MAX(1915,MIN(2025,E130))),SUMIFS(Donnees_generations!$AF$3:$AF$113,Donnees_generations!$A$3:$A$113,MAX(1915,MIN(2025,E130))),SUMIFS(Donnees_generations!$AG$3:$AG$113,Donnees_generations!$A$3:$A$113,MAX(1915,MIN(2025,E130))),SUMIFS(Donnees_generations!$AH$3:$AH$113,Donnees_generations!$A$3:$A$113,MAX(1915,MIN(2025,E130))),SUMIFS(Donnees_generations!$AI$3:$AI$113,Donnees_generations!$A$3:$A$113,MAX(1915,MIN(2025,E130))),SUMIFS(Donnees_generations!$AJ$3:$AJ$113,Donnees_generations!$A$3:$A$113,MAX(1915,MIN(2025,E130)))))/2</f>
        <v/>
      </c>
      <c r="AJ130" s="8">
        <f>MAX(0,AH130+(AI130-AH130)*(K130-AG130)/2)</f>
        <v/>
      </c>
      <c r="AK130" s="8">
        <f>K130+AJ130</f>
        <v/>
      </c>
      <c r="AL130" s="14">
        <f>AE130*AJ130</f>
        <v/>
      </c>
      <c r="AM130" s="17">
        <f>V130/AL130</f>
        <v/>
      </c>
      <c r="AN130" s="17">
        <f>Z130/AL130</f>
        <v/>
      </c>
      <c r="AO130" s="33">
        <f>IF(V130+Z130=0,0,Z130/(V130+Z130))</f>
        <v/>
      </c>
      <c r="AP130" s="14">
        <f>AL130/V130*100</f>
        <v/>
      </c>
      <c r="AQ130" s="8">
        <f>P130/AL130*1000</f>
        <v/>
      </c>
      <c r="AR130" s="77">
        <f>MAX(N130,M130-1)</f>
        <v/>
      </c>
      <c r="AS130" s="14">
        <f>SUMIFS(Donnees_regimes!$R$3:$R$1118,Donnees_regimes!$A$3:$A$1118,C130,Donnees_regimes!$B$3:$B$1118,"&gt;="&amp;G130,Donnees_regimes!$B$3:$B$1118,"&lt;="&amp;N130)*L130/ROUNDUP(L130,0)*SUMIFS(Donnees_annuelles!$AG$3:$AG$188,Donnees_annuelles!$A$3:$A$188,AR130)*SUMIFS(Donnees_annuelles!$AA$3:$AA$188,Donnees_annuelles!$A$3:$A$188,AR130)</f>
        <v/>
      </c>
      <c r="AT130" s="36">
        <f>AS130/V130</f>
        <v/>
      </c>
      <c r="AU130" s="14">
        <f>AL130</f>
        <v/>
      </c>
      <c r="AV130" s="39">
        <f>AS130-AL130</f>
        <v/>
      </c>
      <c r="AW130" s="9">
        <f>AS130/AL130-1</f>
        <v/>
      </c>
      <c r="AX130" s="14">
        <f>AS130/AJ130/12</f>
        <v/>
      </c>
      <c r="AY130" s="14">
        <f>AF130</f>
        <v/>
      </c>
      <c r="AZ130" s="39">
        <f>AX130-AF130</f>
        <v/>
      </c>
      <c r="BA130" s="14">
        <f>SUMIFS(Donnees_regimes!$S$3:$S$1118,Donnees_regimes!$A$3:$A$1118,C130,Donnees_regimes!$B$3:$B$1118,"&gt;="&amp;G130,Donnees_regimes!$B$3:$B$1118,"&lt;="&amp;N130)*L130/ROUNDUP(L130,0)*SUMIFS(Donnees_annuelles!$AH$3:$AH$188,Donnees_annuelles!$A$3:$A$188,AR130)*SUMIFS(Donnees_annuelles!$AA$3:$AA$188,Donnees_annuelles!$A$3:$A$188,AR130)</f>
        <v/>
      </c>
      <c r="BB130" s="39">
        <f>BA130-AL130</f>
        <v/>
      </c>
      <c r="BC130" s="7">
        <f>IF(M130+AJ130&gt;2026,IF(G130&gt;2026,"entièrement projeté","en partie projeté"),"observé")</f>
        <v/>
      </c>
    </row>
    <row r="131">
      <c r="A131" s="7" t="inlineStr">
        <is>
          <t>Baby-boomers</t>
        </is>
      </c>
      <c r="B131" s="84" t="inlineStr">
        <is>
          <t>Fonction publique d'État</t>
        </is>
      </c>
      <c r="C131" s="7">
        <f>IF(G131&gt;=SUMIFS(Regimes!$C$5:$C$10,Regimes!$A$5:$A$10,B131),"Privé",B131)</f>
        <v/>
      </c>
      <c r="D131" s="7">
        <f>INDEX(Regimes!$D$5:$D$10,MATCH(C131,Regimes!$A$5:$A$10,0))</f>
        <v/>
      </c>
      <c r="E131" s="88" t="n">
        <v>1958</v>
      </c>
      <c r="F131" s="8">
        <f>Donnees_generations!C46</f>
        <v/>
      </c>
      <c r="G131" s="77">
        <f>Donnees_generations!D46</f>
        <v/>
      </c>
      <c r="H131" s="8">
        <f>SUMIFS(Donnees_generations!$S$3:$S$113,Donnees_generations!$A$3:$A$113,MAX(1915,MIN(2025,E131)))</f>
        <v/>
      </c>
      <c r="I131" s="8">
        <f>SUMIFS(Donnees_generations!$T$3:$T$113,Donnees_generations!$A$3:$A$113,MAX(1915,MIN(2025,E131)))</f>
        <v/>
      </c>
      <c r="J131" s="8">
        <f>IF(G131&gt;=2000,MAX(I131,Parametres!$B$3),I131)</f>
        <v/>
      </c>
      <c r="K131" s="8">
        <f>IF(C131="Privé",J131,SUMIFS(Regles_regimes!$J$3:$J$2000,Regles_regimes!$A$3:$A$2000,C131,Regles_regimes!$B$3:$B$2000,D131,Regles_regimes!$C$3:$C$2000,MAX(1915,MIN(2025,E131))))</f>
        <v/>
      </c>
      <c r="L131" s="8">
        <f>IF(C131="Privé",H131,(K131-F131)*H131/(J131-F131))</f>
        <v/>
      </c>
      <c r="M131" s="77">
        <f>INT(E131+K131)</f>
        <v/>
      </c>
      <c r="N131" s="77">
        <f>G131+ROUNDUP(L131,0)-1</f>
        <v/>
      </c>
      <c r="O131" s="89">
        <f>SUMIFS(Regles_regimes!$K$3:$K$2000,Regles_regimes!$A$3:$A$2000,C131,Regles_regimes!$B$3:$B$2000,D131,Regles_regimes!$C$3:$C$2000,MAX(1915,MIN(2025,E131)))</f>
        <v/>
      </c>
      <c r="P131" s="13">
        <f>SUMIFS(Donnees_annuelles!$W$3:$W$188,Donnees_annuelles!$A$3:$A$188,"&gt;="&amp;G131,Donnees_annuelles!$A$3:$A$188,"&lt;="&amp;N131)*L131/ROUNDUP(L131,0)*O131</f>
        <v/>
      </c>
      <c r="Q131" s="13">
        <f>SUMIFS(Donnees_annuelles!$V$3:$V$188,Donnees_annuelles!$A$3:$A$188,"&gt;="&amp;G131,Donnees_annuelles!$A$3:$A$188,"&lt;="&amp;N131)*L131/ROUNDUP(L131,0)</f>
        <v/>
      </c>
      <c r="R131" s="13">
        <f>P131/L131</f>
        <v/>
      </c>
      <c r="S131" s="14">
        <f>SUMIFS(Donnees_annuelles!$D$3:$D$188,Donnees_annuelles!$A$3:$A$188,"&gt;="&amp;G131,Donnees_annuelles!$A$3:$A$188,"&lt;="&amp;N131)*L131/ROUNDUP(L131,0)</f>
        <v/>
      </c>
      <c r="T131" s="14">
        <f>SUMIFS(Donnees_regimes!$N$3:$N$1118,Donnees_regimes!$A$3:$A$1118,C131,Donnees_regimes!$B$3:$B$1118,"&gt;="&amp;G131,Donnees_regimes!$B$3:$B$1118,"&lt;="&amp;N131)*L131/ROUNDUP(L131,0)</f>
        <v/>
      </c>
      <c r="U131" s="14">
        <f>SUMIFS(Donnees_regimes!$O$3:$O$1118,Donnees_regimes!$A$3:$A$1118,C131,Donnees_regimes!$B$3:$B$1118,"&gt;="&amp;G131,Donnees_regimes!$B$3:$B$1118,"&lt;="&amp;N131)*L131/ROUNDUP(L131,0)</f>
        <v/>
      </c>
      <c r="V131" s="14">
        <f>T131+U131</f>
        <v/>
      </c>
      <c r="W131" s="33">
        <f>V131/S131</f>
        <v/>
      </c>
      <c r="X131" s="14">
        <f>S131+U131</f>
        <v/>
      </c>
      <c r="Y131" s="17">
        <f>V131/P131</f>
        <v/>
      </c>
      <c r="Z131" s="14">
        <f>SUMIFS(Donnees_regimes!$Q$3:$Q$1118,Donnees_regimes!$A$3:$A$1118,C131,Donnees_regimes!$B$3:$B$1118,"&gt;="&amp;G131,Donnees_regimes!$B$3:$B$1118,"&lt;="&amp;N131)*L131/ROUNDUP(L131,0)</f>
        <v/>
      </c>
      <c r="AA131" s="77">
        <f>SUMIFS(Regles_regimes!$F$3:$F$2000,Regles_regimes!$A$3:$A$2000,C131,Regles_regimes!$B$3:$B$2000,D131,Regles_regimes!$C$3:$C$2000,MAX(1915,MIN(2025,E131)))</f>
        <v/>
      </c>
      <c r="AB131" s="77">
        <f>IF(AND(SUMIFS(Regles_regimes!$L$3:$L$2000,Regles_regimes!$A$3:$A$2000,C131,Regles_regimes!$B$3:$B$2000,D131,Regles_regimes!$C$3:$C$2000,MAX(1915,MIN(2025,E131)))=1,G131&lt;2009,C131&lt;&gt;"Privé"),MIN(20,L131*4/5),0)</f>
        <v/>
      </c>
      <c r="AC131" s="89">
        <f>SUMIFS(Donnees_regimes!$M$3:$M$1118,Donnees_regimes!$A$3:$A$1118,C131,Donnees_regimes!$B$3:$B$1118,M131)</f>
        <v/>
      </c>
      <c r="AD131" s="14">
        <f>SUMIFS(Donnees_annuelles!$Y$3:$Y$188,Donnees_annuelles!$A$3:$A$188,M131)*SUMIFS(Donnees_generations!$I$3:$I$113,Donnees_generations!$A$3:$A$113,MAX(1915,MIN(2025,E131)))/H131</f>
        <v/>
      </c>
      <c r="AE131" s="14">
        <f>IF(C131="Privé",SUMIFS(Donnees_annuelles!$Y$3:$Y$188,Donnees_annuelles!$A$3:$A$188,M131)*MIN(L131,SUMIFS(Donnees_generations!$I$3:$I$113,Donnees_generations!$A$3:$A$113,MAX(1915,MIN(2025,E131))))/L131,AD131*AC131*MIN(IF(AB131&gt;0,0.8/0.75,1),(L131*4+AB131)/AA131))</f>
        <v/>
      </c>
      <c r="AF131" s="14">
        <f>AE131/12</f>
        <v/>
      </c>
      <c r="AG131" s="77">
        <f>MIN(68,MAX(56,2*INT(K131/2)))</f>
        <v/>
      </c>
      <c r="AH131" s="75">
        <f>(CHOOSE((AG131-56)/2+1,SUMIFS(Donnees_generations!$U$3:$U$113,Donnees_generations!$A$3:$A$113,MAX(1915,MIN(2025,E131))),SUMIFS(Donnees_generations!$V$3:$V$113,Donnees_generations!$A$3:$A$113,MAX(1915,MIN(2025,E131))),SUMIFS(Donnees_generations!$W$3:$W$113,Donnees_generations!$A$3:$A$113,MAX(1915,MIN(2025,E131))),SUMIFS(Donnees_generations!$X$3:$X$113,Donnees_generations!$A$3:$A$113,MAX(1915,MIN(2025,E131))),SUMIFS(Donnees_generations!$Y$3:$Y$113,Donnees_generations!$A$3:$A$113,MAX(1915,MIN(2025,E131))),SUMIFS(Donnees_generations!$Z$3:$Z$113,Donnees_generations!$A$3:$A$113,MAX(1915,MIN(2025,E131))),SUMIFS(Donnees_generations!$AA$3:$AA$113,Donnees_generations!$A$3:$A$113,MAX(1915,MIN(2025,E131))),SUMIFS(Donnees_generations!$AB$3:$AB$113,Donnees_generations!$A$3:$A$113,MAX(1915,MIN(2025,E131))))+CHOOSE((AG131-56)/2+1,SUMIFS(Donnees_generations!$AC$3:$AC$113,Donnees_generations!$A$3:$A$113,MAX(1915,MIN(2025,E131))),SUMIFS(Donnees_generations!$AD$3:$AD$113,Donnees_generations!$A$3:$A$113,MAX(1915,MIN(2025,E131))),SUMIFS(Donnees_generations!$AE$3:$AE$113,Donnees_generations!$A$3:$A$113,MAX(1915,MIN(2025,E131))),SUMIFS(Donnees_generations!$AF$3:$AF$113,Donnees_generations!$A$3:$A$113,MAX(1915,MIN(2025,E131))),SUMIFS(Donnees_generations!$AG$3:$AG$113,Donnees_generations!$A$3:$A$113,MAX(1915,MIN(2025,E131))),SUMIFS(Donnees_generations!$AH$3:$AH$113,Donnees_generations!$A$3:$A$113,MAX(1915,MIN(2025,E131))),SUMIFS(Donnees_generations!$AI$3:$AI$113,Donnees_generations!$A$3:$A$113,MAX(1915,MIN(2025,E131))),SUMIFS(Donnees_generations!$AJ$3:$AJ$113,Donnees_generations!$A$3:$A$113,MAX(1915,MIN(2025,E131)))))/2</f>
        <v/>
      </c>
      <c r="AI131" s="75">
        <f>(CHOOSE(((AG131+2)-56)/2+1,SUMIFS(Donnees_generations!$U$3:$U$113,Donnees_generations!$A$3:$A$113,MAX(1915,MIN(2025,E131))),SUMIFS(Donnees_generations!$V$3:$V$113,Donnees_generations!$A$3:$A$113,MAX(1915,MIN(2025,E131))),SUMIFS(Donnees_generations!$W$3:$W$113,Donnees_generations!$A$3:$A$113,MAX(1915,MIN(2025,E131))),SUMIFS(Donnees_generations!$X$3:$X$113,Donnees_generations!$A$3:$A$113,MAX(1915,MIN(2025,E131))),SUMIFS(Donnees_generations!$Y$3:$Y$113,Donnees_generations!$A$3:$A$113,MAX(1915,MIN(2025,E131))),SUMIFS(Donnees_generations!$Z$3:$Z$113,Donnees_generations!$A$3:$A$113,MAX(1915,MIN(2025,E131))),SUMIFS(Donnees_generations!$AA$3:$AA$113,Donnees_generations!$A$3:$A$113,MAX(1915,MIN(2025,E131))),SUMIFS(Donnees_generations!$AB$3:$AB$113,Donnees_generations!$A$3:$A$113,MAX(1915,MIN(2025,E131))))+CHOOSE(((AG131+2)-56)/2+1,SUMIFS(Donnees_generations!$AC$3:$AC$113,Donnees_generations!$A$3:$A$113,MAX(1915,MIN(2025,E131))),SUMIFS(Donnees_generations!$AD$3:$AD$113,Donnees_generations!$A$3:$A$113,MAX(1915,MIN(2025,E131))),SUMIFS(Donnees_generations!$AE$3:$AE$113,Donnees_generations!$A$3:$A$113,MAX(1915,MIN(2025,E131))),SUMIFS(Donnees_generations!$AF$3:$AF$113,Donnees_generations!$A$3:$A$113,MAX(1915,MIN(2025,E131))),SUMIFS(Donnees_generations!$AG$3:$AG$113,Donnees_generations!$A$3:$A$113,MAX(1915,MIN(2025,E131))),SUMIFS(Donnees_generations!$AH$3:$AH$113,Donnees_generations!$A$3:$A$113,MAX(1915,MIN(2025,E131))),SUMIFS(Donnees_generations!$AI$3:$AI$113,Donnees_generations!$A$3:$A$113,MAX(1915,MIN(2025,E131))),SUMIFS(Donnees_generations!$AJ$3:$AJ$113,Donnees_generations!$A$3:$A$113,MAX(1915,MIN(2025,E131)))))/2</f>
        <v/>
      </c>
      <c r="AJ131" s="8">
        <f>MAX(0,AH131+(AI131-AH131)*(K131-AG131)/2)</f>
        <v/>
      </c>
      <c r="AK131" s="8">
        <f>K131+AJ131</f>
        <v/>
      </c>
      <c r="AL131" s="14">
        <f>AE131*AJ131</f>
        <v/>
      </c>
      <c r="AM131" s="17">
        <f>V131/AL131</f>
        <v/>
      </c>
      <c r="AN131" s="17">
        <f>Z131/AL131</f>
        <v/>
      </c>
      <c r="AO131" s="33">
        <f>IF(V131+Z131=0,0,Z131/(V131+Z131))</f>
        <v/>
      </c>
      <c r="AP131" s="14">
        <f>AL131/V131*100</f>
        <v/>
      </c>
      <c r="AQ131" s="8">
        <f>P131/AL131*1000</f>
        <v/>
      </c>
      <c r="AR131" s="77">
        <f>MAX(N131,M131-1)</f>
        <v/>
      </c>
      <c r="AS131" s="14">
        <f>SUMIFS(Donnees_regimes!$R$3:$R$1118,Donnees_regimes!$A$3:$A$1118,C131,Donnees_regimes!$B$3:$B$1118,"&gt;="&amp;G131,Donnees_regimes!$B$3:$B$1118,"&lt;="&amp;N131)*L131/ROUNDUP(L131,0)*SUMIFS(Donnees_annuelles!$AG$3:$AG$188,Donnees_annuelles!$A$3:$A$188,AR131)*SUMIFS(Donnees_annuelles!$AA$3:$AA$188,Donnees_annuelles!$A$3:$A$188,AR131)</f>
        <v/>
      </c>
      <c r="AT131" s="36">
        <f>AS131/V131</f>
        <v/>
      </c>
      <c r="AU131" s="14">
        <f>AL131</f>
        <v/>
      </c>
      <c r="AV131" s="39">
        <f>AS131-AL131</f>
        <v/>
      </c>
      <c r="AW131" s="9">
        <f>AS131/AL131-1</f>
        <v/>
      </c>
      <c r="AX131" s="14">
        <f>AS131/AJ131/12</f>
        <v/>
      </c>
      <c r="AY131" s="14">
        <f>AF131</f>
        <v/>
      </c>
      <c r="AZ131" s="39">
        <f>AX131-AF131</f>
        <v/>
      </c>
      <c r="BA131" s="14">
        <f>SUMIFS(Donnees_regimes!$S$3:$S$1118,Donnees_regimes!$A$3:$A$1118,C131,Donnees_regimes!$B$3:$B$1118,"&gt;="&amp;G131,Donnees_regimes!$B$3:$B$1118,"&lt;="&amp;N131)*L131/ROUNDUP(L131,0)*SUMIFS(Donnees_annuelles!$AH$3:$AH$188,Donnees_annuelles!$A$3:$A$188,AR131)*SUMIFS(Donnees_annuelles!$AA$3:$AA$188,Donnees_annuelles!$A$3:$A$188,AR131)</f>
        <v/>
      </c>
      <c r="BB131" s="39">
        <f>BA131-AL131</f>
        <v/>
      </c>
      <c r="BC131" s="7">
        <f>IF(M131+AJ131&gt;2026,IF(G131&gt;2026,"entièrement projeté","en partie projeté"),"observé")</f>
        <v/>
      </c>
    </row>
    <row r="132">
      <c r="A132" s="7" t="inlineStr">
        <is>
          <t>Baby-boomers</t>
        </is>
      </c>
      <c r="B132" s="84" t="inlineStr">
        <is>
          <t>Fonction publique d'État</t>
        </is>
      </c>
      <c r="C132" s="7">
        <f>IF(G132&gt;=SUMIFS(Regimes!$C$5:$C$10,Regimes!$A$5:$A$10,B132),"Privé",B132)</f>
        <v/>
      </c>
      <c r="D132" s="7">
        <f>INDEX(Regimes!$D$5:$D$10,MATCH(C132,Regimes!$A$5:$A$10,0))</f>
        <v/>
      </c>
      <c r="E132" s="88" t="n">
        <v>1959</v>
      </c>
      <c r="F132" s="8">
        <f>Donnees_generations!C47</f>
        <v/>
      </c>
      <c r="G132" s="77">
        <f>Donnees_generations!D47</f>
        <v/>
      </c>
      <c r="H132" s="8">
        <f>SUMIFS(Donnees_generations!$S$3:$S$113,Donnees_generations!$A$3:$A$113,MAX(1915,MIN(2025,E132)))</f>
        <v/>
      </c>
      <c r="I132" s="8">
        <f>SUMIFS(Donnees_generations!$T$3:$T$113,Donnees_generations!$A$3:$A$113,MAX(1915,MIN(2025,E132)))</f>
        <v/>
      </c>
      <c r="J132" s="8">
        <f>IF(G132&gt;=2000,MAX(I132,Parametres!$B$3),I132)</f>
        <v/>
      </c>
      <c r="K132" s="8">
        <f>IF(C132="Privé",J132,SUMIFS(Regles_regimes!$J$3:$J$2000,Regles_regimes!$A$3:$A$2000,C132,Regles_regimes!$B$3:$B$2000,D132,Regles_regimes!$C$3:$C$2000,MAX(1915,MIN(2025,E132))))</f>
        <v/>
      </c>
      <c r="L132" s="8">
        <f>IF(C132="Privé",H132,(K132-F132)*H132/(J132-F132))</f>
        <v/>
      </c>
      <c r="M132" s="77">
        <f>INT(E132+K132)</f>
        <v/>
      </c>
      <c r="N132" s="77">
        <f>G132+ROUNDUP(L132,0)-1</f>
        <v/>
      </c>
      <c r="O132" s="89">
        <f>SUMIFS(Regles_regimes!$K$3:$K$2000,Regles_regimes!$A$3:$A$2000,C132,Regles_regimes!$B$3:$B$2000,D132,Regles_regimes!$C$3:$C$2000,MAX(1915,MIN(2025,E132)))</f>
        <v/>
      </c>
      <c r="P132" s="13">
        <f>SUMIFS(Donnees_annuelles!$W$3:$W$188,Donnees_annuelles!$A$3:$A$188,"&gt;="&amp;G132,Donnees_annuelles!$A$3:$A$188,"&lt;="&amp;N132)*L132/ROUNDUP(L132,0)*O132</f>
        <v/>
      </c>
      <c r="Q132" s="13">
        <f>SUMIFS(Donnees_annuelles!$V$3:$V$188,Donnees_annuelles!$A$3:$A$188,"&gt;="&amp;G132,Donnees_annuelles!$A$3:$A$188,"&lt;="&amp;N132)*L132/ROUNDUP(L132,0)</f>
        <v/>
      </c>
      <c r="R132" s="13">
        <f>P132/L132</f>
        <v/>
      </c>
      <c r="S132" s="14">
        <f>SUMIFS(Donnees_annuelles!$D$3:$D$188,Donnees_annuelles!$A$3:$A$188,"&gt;="&amp;G132,Donnees_annuelles!$A$3:$A$188,"&lt;="&amp;N132)*L132/ROUNDUP(L132,0)</f>
        <v/>
      </c>
      <c r="T132" s="14">
        <f>SUMIFS(Donnees_regimes!$N$3:$N$1118,Donnees_regimes!$A$3:$A$1118,C132,Donnees_regimes!$B$3:$B$1118,"&gt;="&amp;G132,Donnees_regimes!$B$3:$B$1118,"&lt;="&amp;N132)*L132/ROUNDUP(L132,0)</f>
        <v/>
      </c>
      <c r="U132" s="14">
        <f>SUMIFS(Donnees_regimes!$O$3:$O$1118,Donnees_regimes!$A$3:$A$1118,C132,Donnees_regimes!$B$3:$B$1118,"&gt;="&amp;G132,Donnees_regimes!$B$3:$B$1118,"&lt;="&amp;N132)*L132/ROUNDUP(L132,0)</f>
        <v/>
      </c>
      <c r="V132" s="14">
        <f>T132+U132</f>
        <v/>
      </c>
      <c r="W132" s="33">
        <f>V132/S132</f>
        <v/>
      </c>
      <c r="X132" s="14">
        <f>S132+U132</f>
        <v/>
      </c>
      <c r="Y132" s="17">
        <f>V132/P132</f>
        <v/>
      </c>
      <c r="Z132" s="14">
        <f>SUMIFS(Donnees_regimes!$Q$3:$Q$1118,Donnees_regimes!$A$3:$A$1118,C132,Donnees_regimes!$B$3:$B$1118,"&gt;="&amp;G132,Donnees_regimes!$B$3:$B$1118,"&lt;="&amp;N132)*L132/ROUNDUP(L132,0)</f>
        <v/>
      </c>
      <c r="AA132" s="77">
        <f>SUMIFS(Regles_regimes!$F$3:$F$2000,Regles_regimes!$A$3:$A$2000,C132,Regles_regimes!$B$3:$B$2000,D132,Regles_regimes!$C$3:$C$2000,MAX(1915,MIN(2025,E132)))</f>
        <v/>
      </c>
      <c r="AB132" s="77">
        <f>IF(AND(SUMIFS(Regles_regimes!$L$3:$L$2000,Regles_regimes!$A$3:$A$2000,C132,Regles_regimes!$B$3:$B$2000,D132,Regles_regimes!$C$3:$C$2000,MAX(1915,MIN(2025,E132)))=1,G132&lt;2009,C132&lt;&gt;"Privé"),MIN(20,L132*4/5),0)</f>
        <v/>
      </c>
      <c r="AC132" s="89">
        <f>SUMIFS(Donnees_regimes!$M$3:$M$1118,Donnees_regimes!$A$3:$A$1118,C132,Donnees_regimes!$B$3:$B$1118,M132)</f>
        <v/>
      </c>
      <c r="AD132" s="14">
        <f>SUMIFS(Donnees_annuelles!$Y$3:$Y$188,Donnees_annuelles!$A$3:$A$188,M132)*SUMIFS(Donnees_generations!$I$3:$I$113,Donnees_generations!$A$3:$A$113,MAX(1915,MIN(2025,E132)))/H132</f>
        <v/>
      </c>
      <c r="AE132" s="14">
        <f>IF(C132="Privé",SUMIFS(Donnees_annuelles!$Y$3:$Y$188,Donnees_annuelles!$A$3:$A$188,M132)*MIN(L132,SUMIFS(Donnees_generations!$I$3:$I$113,Donnees_generations!$A$3:$A$113,MAX(1915,MIN(2025,E132))))/L132,AD132*AC132*MIN(IF(AB132&gt;0,0.8/0.75,1),(L132*4+AB132)/AA132))</f>
        <v/>
      </c>
      <c r="AF132" s="14">
        <f>AE132/12</f>
        <v/>
      </c>
      <c r="AG132" s="77">
        <f>MIN(68,MAX(56,2*INT(K132/2)))</f>
        <v/>
      </c>
      <c r="AH132" s="75">
        <f>(CHOOSE((AG132-56)/2+1,SUMIFS(Donnees_generations!$U$3:$U$113,Donnees_generations!$A$3:$A$113,MAX(1915,MIN(2025,E132))),SUMIFS(Donnees_generations!$V$3:$V$113,Donnees_generations!$A$3:$A$113,MAX(1915,MIN(2025,E132))),SUMIFS(Donnees_generations!$W$3:$W$113,Donnees_generations!$A$3:$A$113,MAX(1915,MIN(2025,E132))),SUMIFS(Donnees_generations!$X$3:$X$113,Donnees_generations!$A$3:$A$113,MAX(1915,MIN(2025,E132))),SUMIFS(Donnees_generations!$Y$3:$Y$113,Donnees_generations!$A$3:$A$113,MAX(1915,MIN(2025,E132))),SUMIFS(Donnees_generations!$Z$3:$Z$113,Donnees_generations!$A$3:$A$113,MAX(1915,MIN(2025,E132))),SUMIFS(Donnees_generations!$AA$3:$AA$113,Donnees_generations!$A$3:$A$113,MAX(1915,MIN(2025,E132))),SUMIFS(Donnees_generations!$AB$3:$AB$113,Donnees_generations!$A$3:$A$113,MAX(1915,MIN(2025,E132))))+CHOOSE((AG132-56)/2+1,SUMIFS(Donnees_generations!$AC$3:$AC$113,Donnees_generations!$A$3:$A$113,MAX(1915,MIN(2025,E132))),SUMIFS(Donnees_generations!$AD$3:$AD$113,Donnees_generations!$A$3:$A$113,MAX(1915,MIN(2025,E132))),SUMIFS(Donnees_generations!$AE$3:$AE$113,Donnees_generations!$A$3:$A$113,MAX(1915,MIN(2025,E132))),SUMIFS(Donnees_generations!$AF$3:$AF$113,Donnees_generations!$A$3:$A$113,MAX(1915,MIN(2025,E132))),SUMIFS(Donnees_generations!$AG$3:$AG$113,Donnees_generations!$A$3:$A$113,MAX(1915,MIN(2025,E132))),SUMIFS(Donnees_generations!$AH$3:$AH$113,Donnees_generations!$A$3:$A$113,MAX(1915,MIN(2025,E132))),SUMIFS(Donnees_generations!$AI$3:$AI$113,Donnees_generations!$A$3:$A$113,MAX(1915,MIN(2025,E132))),SUMIFS(Donnees_generations!$AJ$3:$AJ$113,Donnees_generations!$A$3:$A$113,MAX(1915,MIN(2025,E132)))))/2</f>
        <v/>
      </c>
      <c r="AI132" s="75">
        <f>(CHOOSE(((AG132+2)-56)/2+1,SUMIFS(Donnees_generations!$U$3:$U$113,Donnees_generations!$A$3:$A$113,MAX(1915,MIN(2025,E132))),SUMIFS(Donnees_generations!$V$3:$V$113,Donnees_generations!$A$3:$A$113,MAX(1915,MIN(2025,E132))),SUMIFS(Donnees_generations!$W$3:$W$113,Donnees_generations!$A$3:$A$113,MAX(1915,MIN(2025,E132))),SUMIFS(Donnees_generations!$X$3:$X$113,Donnees_generations!$A$3:$A$113,MAX(1915,MIN(2025,E132))),SUMIFS(Donnees_generations!$Y$3:$Y$113,Donnees_generations!$A$3:$A$113,MAX(1915,MIN(2025,E132))),SUMIFS(Donnees_generations!$Z$3:$Z$113,Donnees_generations!$A$3:$A$113,MAX(1915,MIN(2025,E132))),SUMIFS(Donnees_generations!$AA$3:$AA$113,Donnees_generations!$A$3:$A$113,MAX(1915,MIN(2025,E132))),SUMIFS(Donnees_generations!$AB$3:$AB$113,Donnees_generations!$A$3:$A$113,MAX(1915,MIN(2025,E132))))+CHOOSE(((AG132+2)-56)/2+1,SUMIFS(Donnees_generations!$AC$3:$AC$113,Donnees_generations!$A$3:$A$113,MAX(1915,MIN(2025,E132))),SUMIFS(Donnees_generations!$AD$3:$AD$113,Donnees_generations!$A$3:$A$113,MAX(1915,MIN(2025,E132))),SUMIFS(Donnees_generations!$AE$3:$AE$113,Donnees_generations!$A$3:$A$113,MAX(1915,MIN(2025,E132))),SUMIFS(Donnees_generations!$AF$3:$AF$113,Donnees_generations!$A$3:$A$113,MAX(1915,MIN(2025,E132))),SUMIFS(Donnees_generations!$AG$3:$AG$113,Donnees_generations!$A$3:$A$113,MAX(1915,MIN(2025,E132))),SUMIFS(Donnees_generations!$AH$3:$AH$113,Donnees_generations!$A$3:$A$113,MAX(1915,MIN(2025,E132))),SUMIFS(Donnees_generations!$AI$3:$AI$113,Donnees_generations!$A$3:$A$113,MAX(1915,MIN(2025,E132))),SUMIFS(Donnees_generations!$AJ$3:$AJ$113,Donnees_generations!$A$3:$A$113,MAX(1915,MIN(2025,E132)))))/2</f>
        <v/>
      </c>
      <c r="AJ132" s="8">
        <f>MAX(0,AH132+(AI132-AH132)*(K132-AG132)/2)</f>
        <v/>
      </c>
      <c r="AK132" s="8">
        <f>K132+AJ132</f>
        <v/>
      </c>
      <c r="AL132" s="14">
        <f>AE132*AJ132</f>
        <v/>
      </c>
      <c r="AM132" s="17">
        <f>V132/AL132</f>
        <v/>
      </c>
      <c r="AN132" s="17">
        <f>Z132/AL132</f>
        <v/>
      </c>
      <c r="AO132" s="33">
        <f>IF(V132+Z132=0,0,Z132/(V132+Z132))</f>
        <v/>
      </c>
      <c r="AP132" s="14">
        <f>AL132/V132*100</f>
        <v/>
      </c>
      <c r="AQ132" s="8">
        <f>P132/AL132*1000</f>
        <v/>
      </c>
      <c r="AR132" s="77">
        <f>MAX(N132,M132-1)</f>
        <v/>
      </c>
      <c r="AS132" s="14">
        <f>SUMIFS(Donnees_regimes!$R$3:$R$1118,Donnees_regimes!$A$3:$A$1118,C132,Donnees_regimes!$B$3:$B$1118,"&gt;="&amp;G132,Donnees_regimes!$B$3:$B$1118,"&lt;="&amp;N132)*L132/ROUNDUP(L132,0)*SUMIFS(Donnees_annuelles!$AG$3:$AG$188,Donnees_annuelles!$A$3:$A$188,AR132)*SUMIFS(Donnees_annuelles!$AA$3:$AA$188,Donnees_annuelles!$A$3:$A$188,AR132)</f>
        <v/>
      </c>
      <c r="AT132" s="36">
        <f>AS132/V132</f>
        <v/>
      </c>
      <c r="AU132" s="14">
        <f>AL132</f>
        <v/>
      </c>
      <c r="AV132" s="39">
        <f>AS132-AL132</f>
        <v/>
      </c>
      <c r="AW132" s="9">
        <f>AS132/AL132-1</f>
        <v/>
      </c>
      <c r="AX132" s="14">
        <f>AS132/AJ132/12</f>
        <v/>
      </c>
      <c r="AY132" s="14">
        <f>AF132</f>
        <v/>
      </c>
      <c r="AZ132" s="39">
        <f>AX132-AF132</f>
        <v/>
      </c>
      <c r="BA132" s="14">
        <f>SUMIFS(Donnees_regimes!$S$3:$S$1118,Donnees_regimes!$A$3:$A$1118,C132,Donnees_regimes!$B$3:$B$1118,"&gt;="&amp;G132,Donnees_regimes!$B$3:$B$1118,"&lt;="&amp;N132)*L132/ROUNDUP(L132,0)*SUMIFS(Donnees_annuelles!$AH$3:$AH$188,Donnees_annuelles!$A$3:$A$188,AR132)*SUMIFS(Donnees_annuelles!$AA$3:$AA$188,Donnees_annuelles!$A$3:$A$188,AR132)</f>
        <v/>
      </c>
      <c r="BB132" s="39">
        <f>BA132-AL132</f>
        <v/>
      </c>
      <c r="BC132" s="7">
        <f>IF(M132+AJ132&gt;2026,IF(G132&gt;2026,"entièrement projeté","en partie projeté"),"observé")</f>
        <v/>
      </c>
    </row>
    <row r="133">
      <c r="A133" s="7" t="inlineStr">
        <is>
          <t>Baby-boomers</t>
        </is>
      </c>
      <c r="B133" s="84" t="inlineStr">
        <is>
          <t>Fonction publique d'État</t>
        </is>
      </c>
      <c r="C133" s="7">
        <f>IF(G133&gt;=SUMIFS(Regimes!$C$5:$C$10,Regimes!$A$5:$A$10,B133),"Privé",B133)</f>
        <v/>
      </c>
      <c r="D133" s="7">
        <f>INDEX(Regimes!$D$5:$D$10,MATCH(C133,Regimes!$A$5:$A$10,0))</f>
        <v/>
      </c>
      <c r="E133" s="88" t="n">
        <v>1960</v>
      </c>
      <c r="F133" s="8">
        <f>Donnees_generations!C48</f>
        <v/>
      </c>
      <c r="G133" s="77">
        <f>Donnees_generations!D48</f>
        <v/>
      </c>
      <c r="H133" s="8">
        <f>SUMIFS(Donnees_generations!$S$3:$S$113,Donnees_generations!$A$3:$A$113,MAX(1915,MIN(2025,E133)))</f>
        <v/>
      </c>
      <c r="I133" s="8">
        <f>SUMIFS(Donnees_generations!$T$3:$T$113,Donnees_generations!$A$3:$A$113,MAX(1915,MIN(2025,E133)))</f>
        <v/>
      </c>
      <c r="J133" s="8">
        <f>IF(G133&gt;=2000,MAX(I133,Parametres!$B$3),I133)</f>
        <v/>
      </c>
      <c r="K133" s="8">
        <f>IF(C133="Privé",J133,SUMIFS(Regles_regimes!$J$3:$J$2000,Regles_regimes!$A$3:$A$2000,C133,Regles_regimes!$B$3:$B$2000,D133,Regles_regimes!$C$3:$C$2000,MAX(1915,MIN(2025,E133))))</f>
        <v/>
      </c>
      <c r="L133" s="8">
        <f>IF(C133="Privé",H133,(K133-F133)*H133/(J133-F133))</f>
        <v/>
      </c>
      <c r="M133" s="77">
        <f>INT(E133+K133)</f>
        <v/>
      </c>
      <c r="N133" s="77">
        <f>G133+ROUNDUP(L133,0)-1</f>
        <v/>
      </c>
      <c r="O133" s="89">
        <f>SUMIFS(Regles_regimes!$K$3:$K$2000,Regles_regimes!$A$3:$A$2000,C133,Regles_regimes!$B$3:$B$2000,D133,Regles_regimes!$C$3:$C$2000,MAX(1915,MIN(2025,E133)))</f>
        <v/>
      </c>
      <c r="P133" s="13">
        <f>SUMIFS(Donnees_annuelles!$W$3:$W$188,Donnees_annuelles!$A$3:$A$188,"&gt;="&amp;G133,Donnees_annuelles!$A$3:$A$188,"&lt;="&amp;N133)*L133/ROUNDUP(L133,0)*O133</f>
        <v/>
      </c>
      <c r="Q133" s="13">
        <f>SUMIFS(Donnees_annuelles!$V$3:$V$188,Donnees_annuelles!$A$3:$A$188,"&gt;="&amp;G133,Donnees_annuelles!$A$3:$A$188,"&lt;="&amp;N133)*L133/ROUNDUP(L133,0)</f>
        <v/>
      </c>
      <c r="R133" s="13">
        <f>P133/L133</f>
        <v/>
      </c>
      <c r="S133" s="14">
        <f>SUMIFS(Donnees_annuelles!$D$3:$D$188,Donnees_annuelles!$A$3:$A$188,"&gt;="&amp;G133,Donnees_annuelles!$A$3:$A$188,"&lt;="&amp;N133)*L133/ROUNDUP(L133,0)</f>
        <v/>
      </c>
      <c r="T133" s="14">
        <f>SUMIFS(Donnees_regimes!$N$3:$N$1118,Donnees_regimes!$A$3:$A$1118,C133,Donnees_regimes!$B$3:$B$1118,"&gt;="&amp;G133,Donnees_regimes!$B$3:$B$1118,"&lt;="&amp;N133)*L133/ROUNDUP(L133,0)</f>
        <v/>
      </c>
      <c r="U133" s="14">
        <f>SUMIFS(Donnees_regimes!$O$3:$O$1118,Donnees_regimes!$A$3:$A$1118,C133,Donnees_regimes!$B$3:$B$1118,"&gt;="&amp;G133,Donnees_regimes!$B$3:$B$1118,"&lt;="&amp;N133)*L133/ROUNDUP(L133,0)</f>
        <v/>
      </c>
      <c r="V133" s="14">
        <f>T133+U133</f>
        <v/>
      </c>
      <c r="W133" s="33">
        <f>V133/S133</f>
        <v/>
      </c>
      <c r="X133" s="14">
        <f>S133+U133</f>
        <v/>
      </c>
      <c r="Y133" s="17">
        <f>V133/P133</f>
        <v/>
      </c>
      <c r="Z133" s="14">
        <f>SUMIFS(Donnees_regimes!$Q$3:$Q$1118,Donnees_regimes!$A$3:$A$1118,C133,Donnees_regimes!$B$3:$B$1118,"&gt;="&amp;G133,Donnees_regimes!$B$3:$B$1118,"&lt;="&amp;N133)*L133/ROUNDUP(L133,0)</f>
        <v/>
      </c>
      <c r="AA133" s="77">
        <f>SUMIFS(Regles_regimes!$F$3:$F$2000,Regles_regimes!$A$3:$A$2000,C133,Regles_regimes!$B$3:$B$2000,D133,Regles_regimes!$C$3:$C$2000,MAX(1915,MIN(2025,E133)))</f>
        <v/>
      </c>
      <c r="AB133" s="77">
        <f>IF(AND(SUMIFS(Regles_regimes!$L$3:$L$2000,Regles_regimes!$A$3:$A$2000,C133,Regles_regimes!$B$3:$B$2000,D133,Regles_regimes!$C$3:$C$2000,MAX(1915,MIN(2025,E133)))=1,G133&lt;2009,C133&lt;&gt;"Privé"),MIN(20,L133*4/5),0)</f>
        <v/>
      </c>
      <c r="AC133" s="89">
        <f>SUMIFS(Donnees_regimes!$M$3:$M$1118,Donnees_regimes!$A$3:$A$1118,C133,Donnees_regimes!$B$3:$B$1118,M133)</f>
        <v/>
      </c>
      <c r="AD133" s="14">
        <f>SUMIFS(Donnees_annuelles!$Y$3:$Y$188,Donnees_annuelles!$A$3:$A$188,M133)*SUMIFS(Donnees_generations!$I$3:$I$113,Donnees_generations!$A$3:$A$113,MAX(1915,MIN(2025,E133)))/H133</f>
        <v/>
      </c>
      <c r="AE133" s="14">
        <f>IF(C133="Privé",SUMIFS(Donnees_annuelles!$Y$3:$Y$188,Donnees_annuelles!$A$3:$A$188,M133)*MIN(L133,SUMIFS(Donnees_generations!$I$3:$I$113,Donnees_generations!$A$3:$A$113,MAX(1915,MIN(2025,E133))))/L133,AD133*AC133*MIN(IF(AB133&gt;0,0.8/0.75,1),(L133*4+AB133)/AA133))</f>
        <v/>
      </c>
      <c r="AF133" s="14">
        <f>AE133/12</f>
        <v/>
      </c>
      <c r="AG133" s="77">
        <f>MIN(68,MAX(56,2*INT(K133/2)))</f>
        <v/>
      </c>
      <c r="AH133" s="75">
        <f>(CHOOSE((AG133-56)/2+1,SUMIFS(Donnees_generations!$U$3:$U$113,Donnees_generations!$A$3:$A$113,MAX(1915,MIN(2025,E133))),SUMIFS(Donnees_generations!$V$3:$V$113,Donnees_generations!$A$3:$A$113,MAX(1915,MIN(2025,E133))),SUMIFS(Donnees_generations!$W$3:$W$113,Donnees_generations!$A$3:$A$113,MAX(1915,MIN(2025,E133))),SUMIFS(Donnees_generations!$X$3:$X$113,Donnees_generations!$A$3:$A$113,MAX(1915,MIN(2025,E133))),SUMIFS(Donnees_generations!$Y$3:$Y$113,Donnees_generations!$A$3:$A$113,MAX(1915,MIN(2025,E133))),SUMIFS(Donnees_generations!$Z$3:$Z$113,Donnees_generations!$A$3:$A$113,MAX(1915,MIN(2025,E133))),SUMIFS(Donnees_generations!$AA$3:$AA$113,Donnees_generations!$A$3:$A$113,MAX(1915,MIN(2025,E133))),SUMIFS(Donnees_generations!$AB$3:$AB$113,Donnees_generations!$A$3:$A$113,MAX(1915,MIN(2025,E133))))+CHOOSE((AG133-56)/2+1,SUMIFS(Donnees_generations!$AC$3:$AC$113,Donnees_generations!$A$3:$A$113,MAX(1915,MIN(2025,E133))),SUMIFS(Donnees_generations!$AD$3:$AD$113,Donnees_generations!$A$3:$A$113,MAX(1915,MIN(2025,E133))),SUMIFS(Donnees_generations!$AE$3:$AE$113,Donnees_generations!$A$3:$A$113,MAX(1915,MIN(2025,E133))),SUMIFS(Donnees_generations!$AF$3:$AF$113,Donnees_generations!$A$3:$A$113,MAX(1915,MIN(2025,E133))),SUMIFS(Donnees_generations!$AG$3:$AG$113,Donnees_generations!$A$3:$A$113,MAX(1915,MIN(2025,E133))),SUMIFS(Donnees_generations!$AH$3:$AH$113,Donnees_generations!$A$3:$A$113,MAX(1915,MIN(2025,E133))),SUMIFS(Donnees_generations!$AI$3:$AI$113,Donnees_generations!$A$3:$A$113,MAX(1915,MIN(2025,E133))),SUMIFS(Donnees_generations!$AJ$3:$AJ$113,Donnees_generations!$A$3:$A$113,MAX(1915,MIN(2025,E133)))))/2</f>
        <v/>
      </c>
      <c r="AI133" s="75">
        <f>(CHOOSE(((AG133+2)-56)/2+1,SUMIFS(Donnees_generations!$U$3:$U$113,Donnees_generations!$A$3:$A$113,MAX(1915,MIN(2025,E133))),SUMIFS(Donnees_generations!$V$3:$V$113,Donnees_generations!$A$3:$A$113,MAX(1915,MIN(2025,E133))),SUMIFS(Donnees_generations!$W$3:$W$113,Donnees_generations!$A$3:$A$113,MAX(1915,MIN(2025,E133))),SUMIFS(Donnees_generations!$X$3:$X$113,Donnees_generations!$A$3:$A$113,MAX(1915,MIN(2025,E133))),SUMIFS(Donnees_generations!$Y$3:$Y$113,Donnees_generations!$A$3:$A$113,MAX(1915,MIN(2025,E133))),SUMIFS(Donnees_generations!$Z$3:$Z$113,Donnees_generations!$A$3:$A$113,MAX(1915,MIN(2025,E133))),SUMIFS(Donnees_generations!$AA$3:$AA$113,Donnees_generations!$A$3:$A$113,MAX(1915,MIN(2025,E133))),SUMIFS(Donnees_generations!$AB$3:$AB$113,Donnees_generations!$A$3:$A$113,MAX(1915,MIN(2025,E133))))+CHOOSE(((AG133+2)-56)/2+1,SUMIFS(Donnees_generations!$AC$3:$AC$113,Donnees_generations!$A$3:$A$113,MAX(1915,MIN(2025,E133))),SUMIFS(Donnees_generations!$AD$3:$AD$113,Donnees_generations!$A$3:$A$113,MAX(1915,MIN(2025,E133))),SUMIFS(Donnees_generations!$AE$3:$AE$113,Donnees_generations!$A$3:$A$113,MAX(1915,MIN(2025,E133))),SUMIFS(Donnees_generations!$AF$3:$AF$113,Donnees_generations!$A$3:$A$113,MAX(1915,MIN(2025,E133))),SUMIFS(Donnees_generations!$AG$3:$AG$113,Donnees_generations!$A$3:$A$113,MAX(1915,MIN(2025,E133))),SUMIFS(Donnees_generations!$AH$3:$AH$113,Donnees_generations!$A$3:$A$113,MAX(1915,MIN(2025,E133))),SUMIFS(Donnees_generations!$AI$3:$AI$113,Donnees_generations!$A$3:$A$113,MAX(1915,MIN(2025,E133))),SUMIFS(Donnees_generations!$AJ$3:$AJ$113,Donnees_generations!$A$3:$A$113,MAX(1915,MIN(2025,E133)))))/2</f>
        <v/>
      </c>
      <c r="AJ133" s="8">
        <f>MAX(0,AH133+(AI133-AH133)*(K133-AG133)/2)</f>
        <v/>
      </c>
      <c r="AK133" s="8">
        <f>K133+AJ133</f>
        <v/>
      </c>
      <c r="AL133" s="14">
        <f>AE133*AJ133</f>
        <v/>
      </c>
      <c r="AM133" s="17">
        <f>V133/AL133</f>
        <v/>
      </c>
      <c r="AN133" s="17">
        <f>Z133/AL133</f>
        <v/>
      </c>
      <c r="AO133" s="33">
        <f>IF(V133+Z133=0,0,Z133/(V133+Z133))</f>
        <v/>
      </c>
      <c r="AP133" s="14">
        <f>AL133/V133*100</f>
        <v/>
      </c>
      <c r="AQ133" s="8">
        <f>P133/AL133*1000</f>
        <v/>
      </c>
      <c r="AR133" s="77">
        <f>MAX(N133,M133-1)</f>
        <v/>
      </c>
      <c r="AS133" s="14">
        <f>SUMIFS(Donnees_regimes!$R$3:$R$1118,Donnees_regimes!$A$3:$A$1118,C133,Donnees_regimes!$B$3:$B$1118,"&gt;="&amp;G133,Donnees_regimes!$B$3:$B$1118,"&lt;="&amp;N133)*L133/ROUNDUP(L133,0)*SUMIFS(Donnees_annuelles!$AG$3:$AG$188,Donnees_annuelles!$A$3:$A$188,AR133)*SUMIFS(Donnees_annuelles!$AA$3:$AA$188,Donnees_annuelles!$A$3:$A$188,AR133)</f>
        <v/>
      </c>
      <c r="AT133" s="36">
        <f>AS133/V133</f>
        <v/>
      </c>
      <c r="AU133" s="14">
        <f>AL133</f>
        <v/>
      </c>
      <c r="AV133" s="39">
        <f>AS133-AL133</f>
        <v/>
      </c>
      <c r="AW133" s="9">
        <f>AS133/AL133-1</f>
        <v/>
      </c>
      <c r="AX133" s="14">
        <f>AS133/AJ133/12</f>
        <v/>
      </c>
      <c r="AY133" s="14">
        <f>AF133</f>
        <v/>
      </c>
      <c r="AZ133" s="39">
        <f>AX133-AF133</f>
        <v/>
      </c>
      <c r="BA133" s="14">
        <f>SUMIFS(Donnees_regimes!$S$3:$S$1118,Donnees_regimes!$A$3:$A$1118,C133,Donnees_regimes!$B$3:$B$1118,"&gt;="&amp;G133,Donnees_regimes!$B$3:$B$1118,"&lt;="&amp;N133)*L133/ROUNDUP(L133,0)*SUMIFS(Donnees_annuelles!$AH$3:$AH$188,Donnees_annuelles!$A$3:$A$188,AR133)*SUMIFS(Donnees_annuelles!$AA$3:$AA$188,Donnees_annuelles!$A$3:$A$188,AR133)</f>
        <v/>
      </c>
      <c r="BB133" s="39">
        <f>BA133-AL133</f>
        <v/>
      </c>
      <c r="BC133" s="7">
        <f>IF(M133+AJ133&gt;2026,IF(G133&gt;2026,"entièrement projeté","en partie projeté"),"observé")</f>
        <v/>
      </c>
    </row>
    <row r="134">
      <c r="A134" s="7" t="inlineStr">
        <is>
          <t>Baby-boomers</t>
        </is>
      </c>
      <c r="B134" s="84" t="inlineStr">
        <is>
          <t>Fonction publique d'État</t>
        </is>
      </c>
      <c r="C134" s="7">
        <f>IF(G134&gt;=SUMIFS(Regimes!$C$5:$C$10,Regimes!$A$5:$A$10,B134),"Privé",B134)</f>
        <v/>
      </c>
      <c r="D134" s="7">
        <f>INDEX(Regimes!$D$5:$D$10,MATCH(C134,Regimes!$A$5:$A$10,0))</f>
        <v/>
      </c>
      <c r="E134" s="88" t="n">
        <v>1961</v>
      </c>
      <c r="F134" s="8">
        <f>Donnees_generations!C49</f>
        <v/>
      </c>
      <c r="G134" s="77">
        <f>Donnees_generations!D49</f>
        <v/>
      </c>
      <c r="H134" s="8">
        <f>SUMIFS(Donnees_generations!$S$3:$S$113,Donnees_generations!$A$3:$A$113,MAX(1915,MIN(2025,E134)))</f>
        <v/>
      </c>
      <c r="I134" s="8">
        <f>SUMIFS(Donnees_generations!$T$3:$T$113,Donnees_generations!$A$3:$A$113,MAX(1915,MIN(2025,E134)))</f>
        <v/>
      </c>
      <c r="J134" s="8">
        <f>IF(G134&gt;=2000,MAX(I134,Parametres!$B$3),I134)</f>
        <v/>
      </c>
      <c r="K134" s="8">
        <f>IF(C134="Privé",J134,SUMIFS(Regles_regimes!$J$3:$J$2000,Regles_regimes!$A$3:$A$2000,C134,Regles_regimes!$B$3:$B$2000,D134,Regles_regimes!$C$3:$C$2000,MAX(1915,MIN(2025,E134))))</f>
        <v/>
      </c>
      <c r="L134" s="8">
        <f>IF(C134="Privé",H134,(K134-F134)*H134/(J134-F134))</f>
        <v/>
      </c>
      <c r="M134" s="77">
        <f>INT(E134+K134)</f>
        <v/>
      </c>
      <c r="N134" s="77">
        <f>G134+ROUNDUP(L134,0)-1</f>
        <v/>
      </c>
      <c r="O134" s="89">
        <f>SUMIFS(Regles_regimes!$K$3:$K$2000,Regles_regimes!$A$3:$A$2000,C134,Regles_regimes!$B$3:$B$2000,D134,Regles_regimes!$C$3:$C$2000,MAX(1915,MIN(2025,E134)))</f>
        <v/>
      </c>
      <c r="P134" s="13">
        <f>SUMIFS(Donnees_annuelles!$W$3:$W$188,Donnees_annuelles!$A$3:$A$188,"&gt;="&amp;G134,Donnees_annuelles!$A$3:$A$188,"&lt;="&amp;N134)*L134/ROUNDUP(L134,0)*O134</f>
        <v/>
      </c>
      <c r="Q134" s="13">
        <f>SUMIFS(Donnees_annuelles!$V$3:$V$188,Donnees_annuelles!$A$3:$A$188,"&gt;="&amp;G134,Donnees_annuelles!$A$3:$A$188,"&lt;="&amp;N134)*L134/ROUNDUP(L134,0)</f>
        <v/>
      </c>
      <c r="R134" s="13">
        <f>P134/L134</f>
        <v/>
      </c>
      <c r="S134" s="14">
        <f>SUMIFS(Donnees_annuelles!$D$3:$D$188,Donnees_annuelles!$A$3:$A$188,"&gt;="&amp;G134,Donnees_annuelles!$A$3:$A$188,"&lt;="&amp;N134)*L134/ROUNDUP(L134,0)</f>
        <v/>
      </c>
      <c r="T134" s="14">
        <f>SUMIFS(Donnees_regimes!$N$3:$N$1118,Donnees_regimes!$A$3:$A$1118,C134,Donnees_regimes!$B$3:$B$1118,"&gt;="&amp;G134,Donnees_regimes!$B$3:$B$1118,"&lt;="&amp;N134)*L134/ROUNDUP(L134,0)</f>
        <v/>
      </c>
      <c r="U134" s="14">
        <f>SUMIFS(Donnees_regimes!$O$3:$O$1118,Donnees_regimes!$A$3:$A$1118,C134,Donnees_regimes!$B$3:$B$1118,"&gt;="&amp;G134,Donnees_regimes!$B$3:$B$1118,"&lt;="&amp;N134)*L134/ROUNDUP(L134,0)</f>
        <v/>
      </c>
      <c r="V134" s="14">
        <f>T134+U134</f>
        <v/>
      </c>
      <c r="W134" s="33">
        <f>V134/S134</f>
        <v/>
      </c>
      <c r="X134" s="14">
        <f>S134+U134</f>
        <v/>
      </c>
      <c r="Y134" s="17">
        <f>V134/P134</f>
        <v/>
      </c>
      <c r="Z134" s="14">
        <f>SUMIFS(Donnees_regimes!$Q$3:$Q$1118,Donnees_regimes!$A$3:$A$1118,C134,Donnees_regimes!$B$3:$B$1118,"&gt;="&amp;G134,Donnees_regimes!$B$3:$B$1118,"&lt;="&amp;N134)*L134/ROUNDUP(L134,0)</f>
        <v/>
      </c>
      <c r="AA134" s="77">
        <f>SUMIFS(Regles_regimes!$F$3:$F$2000,Regles_regimes!$A$3:$A$2000,C134,Regles_regimes!$B$3:$B$2000,D134,Regles_regimes!$C$3:$C$2000,MAX(1915,MIN(2025,E134)))</f>
        <v/>
      </c>
      <c r="AB134" s="77">
        <f>IF(AND(SUMIFS(Regles_regimes!$L$3:$L$2000,Regles_regimes!$A$3:$A$2000,C134,Regles_regimes!$B$3:$B$2000,D134,Regles_regimes!$C$3:$C$2000,MAX(1915,MIN(2025,E134)))=1,G134&lt;2009,C134&lt;&gt;"Privé"),MIN(20,L134*4/5),0)</f>
        <v/>
      </c>
      <c r="AC134" s="89">
        <f>SUMIFS(Donnees_regimes!$M$3:$M$1118,Donnees_regimes!$A$3:$A$1118,C134,Donnees_regimes!$B$3:$B$1118,M134)</f>
        <v/>
      </c>
      <c r="AD134" s="14">
        <f>SUMIFS(Donnees_annuelles!$Y$3:$Y$188,Donnees_annuelles!$A$3:$A$188,M134)*SUMIFS(Donnees_generations!$I$3:$I$113,Donnees_generations!$A$3:$A$113,MAX(1915,MIN(2025,E134)))/H134</f>
        <v/>
      </c>
      <c r="AE134" s="14">
        <f>IF(C134="Privé",SUMIFS(Donnees_annuelles!$Y$3:$Y$188,Donnees_annuelles!$A$3:$A$188,M134)*MIN(L134,SUMIFS(Donnees_generations!$I$3:$I$113,Donnees_generations!$A$3:$A$113,MAX(1915,MIN(2025,E134))))/L134,AD134*AC134*MIN(IF(AB134&gt;0,0.8/0.75,1),(L134*4+AB134)/AA134))</f>
        <v/>
      </c>
      <c r="AF134" s="14">
        <f>AE134/12</f>
        <v/>
      </c>
      <c r="AG134" s="77">
        <f>MIN(68,MAX(56,2*INT(K134/2)))</f>
        <v/>
      </c>
      <c r="AH134" s="75">
        <f>(CHOOSE((AG134-56)/2+1,SUMIFS(Donnees_generations!$U$3:$U$113,Donnees_generations!$A$3:$A$113,MAX(1915,MIN(2025,E134))),SUMIFS(Donnees_generations!$V$3:$V$113,Donnees_generations!$A$3:$A$113,MAX(1915,MIN(2025,E134))),SUMIFS(Donnees_generations!$W$3:$W$113,Donnees_generations!$A$3:$A$113,MAX(1915,MIN(2025,E134))),SUMIFS(Donnees_generations!$X$3:$X$113,Donnees_generations!$A$3:$A$113,MAX(1915,MIN(2025,E134))),SUMIFS(Donnees_generations!$Y$3:$Y$113,Donnees_generations!$A$3:$A$113,MAX(1915,MIN(2025,E134))),SUMIFS(Donnees_generations!$Z$3:$Z$113,Donnees_generations!$A$3:$A$113,MAX(1915,MIN(2025,E134))),SUMIFS(Donnees_generations!$AA$3:$AA$113,Donnees_generations!$A$3:$A$113,MAX(1915,MIN(2025,E134))),SUMIFS(Donnees_generations!$AB$3:$AB$113,Donnees_generations!$A$3:$A$113,MAX(1915,MIN(2025,E134))))+CHOOSE((AG134-56)/2+1,SUMIFS(Donnees_generations!$AC$3:$AC$113,Donnees_generations!$A$3:$A$113,MAX(1915,MIN(2025,E134))),SUMIFS(Donnees_generations!$AD$3:$AD$113,Donnees_generations!$A$3:$A$113,MAX(1915,MIN(2025,E134))),SUMIFS(Donnees_generations!$AE$3:$AE$113,Donnees_generations!$A$3:$A$113,MAX(1915,MIN(2025,E134))),SUMIFS(Donnees_generations!$AF$3:$AF$113,Donnees_generations!$A$3:$A$113,MAX(1915,MIN(2025,E134))),SUMIFS(Donnees_generations!$AG$3:$AG$113,Donnees_generations!$A$3:$A$113,MAX(1915,MIN(2025,E134))),SUMIFS(Donnees_generations!$AH$3:$AH$113,Donnees_generations!$A$3:$A$113,MAX(1915,MIN(2025,E134))),SUMIFS(Donnees_generations!$AI$3:$AI$113,Donnees_generations!$A$3:$A$113,MAX(1915,MIN(2025,E134))),SUMIFS(Donnees_generations!$AJ$3:$AJ$113,Donnees_generations!$A$3:$A$113,MAX(1915,MIN(2025,E134)))))/2</f>
        <v/>
      </c>
      <c r="AI134" s="75">
        <f>(CHOOSE(((AG134+2)-56)/2+1,SUMIFS(Donnees_generations!$U$3:$U$113,Donnees_generations!$A$3:$A$113,MAX(1915,MIN(2025,E134))),SUMIFS(Donnees_generations!$V$3:$V$113,Donnees_generations!$A$3:$A$113,MAX(1915,MIN(2025,E134))),SUMIFS(Donnees_generations!$W$3:$W$113,Donnees_generations!$A$3:$A$113,MAX(1915,MIN(2025,E134))),SUMIFS(Donnees_generations!$X$3:$X$113,Donnees_generations!$A$3:$A$113,MAX(1915,MIN(2025,E134))),SUMIFS(Donnees_generations!$Y$3:$Y$113,Donnees_generations!$A$3:$A$113,MAX(1915,MIN(2025,E134))),SUMIFS(Donnees_generations!$Z$3:$Z$113,Donnees_generations!$A$3:$A$113,MAX(1915,MIN(2025,E134))),SUMIFS(Donnees_generations!$AA$3:$AA$113,Donnees_generations!$A$3:$A$113,MAX(1915,MIN(2025,E134))),SUMIFS(Donnees_generations!$AB$3:$AB$113,Donnees_generations!$A$3:$A$113,MAX(1915,MIN(2025,E134))))+CHOOSE(((AG134+2)-56)/2+1,SUMIFS(Donnees_generations!$AC$3:$AC$113,Donnees_generations!$A$3:$A$113,MAX(1915,MIN(2025,E134))),SUMIFS(Donnees_generations!$AD$3:$AD$113,Donnees_generations!$A$3:$A$113,MAX(1915,MIN(2025,E134))),SUMIFS(Donnees_generations!$AE$3:$AE$113,Donnees_generations!$A$3:$A$113,MAX(1915,MIN(2025,E134))),SUMIFS(Donnees_generations!$AF$3:$AF$113,Donnees_generations!$A$3:$A$113,MAX(1915,MIN(2025,E134))),SUMIFS(Donnees_generations!$AG$3:$AG$113,Donnees_generations!$A$3:$A$113,MAX(1915,MIN(2025,E134))),SUMIFS(Donnees_generations!$AH$3:$AH$113,Donnees_generations!$A$3:$A$113,MAX(1915,MIN(2025,E134))),SUMIFS(Donnees_generations!$AI$3:$AI$113,Donnees_generations!$A$3:$A$113,MAX(1915,MIN(2025,E134))),SUMIFS(Donnees_generations!$AJ$3:$AJ$113,Donnees_generations!$A$3:$A$113,MAX(1915,MIN(2025,E134)))))/2</f>
        <v/>
      </c>
      <c r="AJ134" s="8">
        <f>MAX(0,AH134+(AI134-AH134)*(K134-AG134)/2)</f>
        <v/>
      </c>
      <c r="AK134" s="8">
        <f>K134+AJ134</f>
        <v/>
      </c>
      <c r="AL134" s="14">
        <f>AE134*AJ134</f>
        <v/>
      </c>
      <c r="AM134" s="17">
        <f>V134/AL134</f>
        <v/>
      </c>
      <c r="AN134" s="17">
        <f>Z134/AL134</f>
        <v/>
      </c>
      <c r="AO134" s="33">
        <f>IF(V134+Z134=0,0,Z134/(V134+Z134))</f>
        <v/>
      </c>
      <c r="AP134" s="14">
        <f>AL134/V134*100</f>
        <v/>
      </c>
      <c r="AQ134" s="8">
        <f>P134/AL134*1000</f>
        <v/>
      </c>
      <c r="AR134" s="77">
        <f>MAX(N134,M134-1)</f>
        <v/>
      </c>
      <c r="AS134" s="14">
        <f>SUMIFS(Donnees_regimes!$R$3:$R$1118,Donnees_regimes!$A$3:$A$1118,C134,Donnees_regimes!$B$3:$B$1118,"&gt;="&amp;G134,Donnees_regimes!$B$3:$B$1118,"&lt;="&amp;N134)*L134/ROUNDUP(L134,0)*SUMIFS(Donnees_annuelles!$AG$3:$AG$188,Donnees_annuelles!$A$3:$A$188,AR134)*SUMIFS(Donnees_annuelles!$AA$3:$AA$188,Donnees_annuelles!$A$3:$A$188,AR134)</f>
        <v/>
      </c>
      <c r="AT134" s="36">
        <f>AS134/V134</f>
        <v/>
      </c>
      <c r="AU134" s="14">
        <f>AL134</f>
        <v/>
      </c>
      <c r="AV134" s="39">
        <f>AS134-AL134</f>
        <v/>
      </c>
      <c r="AW134" s="9">
        <f>AS134/AL134-1</f>
        <v/>
      </c>
      <c r="AX134" s="14">
        <f>AS134/AJ134/12</f>
        <v/>
      </c>
      <c r="AY134" s="14">
        <f>AF134</f>
        <v/>
      </c>
      <c r="AZ134" s="39">
        <f>AX134-AF134</f>
        <v/>
      </c>
      <c r="BA134" s="14">
        <f>SUMIFS(Donnees_regimes!$S$3:$S$1118,Donnees_regimes!$A$3:$A$1118,C134,Donnees_regimes!$B$3:$B$1118,"&gt;="&amp;G134,Donnees_regimes!$B$3:$B$1118,"&lt;="&amp;N134)*L134/ROUNDUP(L134,0)*SUMIFS(Donnees_annuelles!$AH$3:$AH$188,Donnees_annuelles!$A$3:$A$188,AR134)*SUMIFS(Donnees_annuelles!$AA$3:$AA$188,Donnees_annuelles!$A$3:$A$188,AR134)</f>
        <v/>
      </c>
      <c r="BB134" s="39">
        <f>BA134-AL134</f>
        <v/>
      </c>
      <c r="BC134" s="7">
        <f>IF(M134+AJ134&gt;2026,IF(G134&gt;2026,"entièrement projeté","en partie projeté"),"observé")</f>
        <v/>
      </c>
    </row>
    <row r="135">
      <c r="A135" s="7" t="inlineStr">
        <is>
          <t>Baby-boomers</t>
        </is>
      </c>
      <c r="B135" s="84" t="inlineStr">
        <is>
          <t>Fonction publique d'État</t>
        </is>
      </c>
      <c r="C135" s="7">
        <f>IF(G135&gt;=SUMIFS(Regimes!$C$5:$C$10,Regimes!$A$5:$A$10,B135),"Privé",B135)</f>
        <v/>
      </c>
      <c r="D135" s="7">
        <f>INDEX(Regimes!$D$5:$D$10,MATCH(C135,Regimes!$A$5:$A$10,0))</f>
        <v/>
      </c>
      <c r="E135" s="88" t="n">
        <v>1962</v>
      </c>
      <c r="F135" s="8">
        <f>Donnees_generations!C50</f>
        <v/>
      </c>
      <c r="G135" s="77">
        <f>Donnees_generations!D50</f>
        <v/>
      </c>
      <c r="H135" s="8">
        <f>SUMIFS(Donnees_generations!$S$3:$S$113,Donnees_generations!$A$3:$A$113,MAX(1915,MIN(2025,E135)))</f>
        <v/>
      </c>
      <c r="I135" s="8">
        <f>SUMIFS(Donnees_generations!$T$3:$T$113,Donnees_generations!$A$3:$A$113,MAX(1915,MIN(2025,E135)))</f>
        <v/>
      </c>
      <c r="J135" s="8">
        <f>IF(G135&gt;=2000,MAX(I135,Parametres!$B$3),I135)</f>
        <v/>
      </c>
      <c r="K135" s="8">
        <f>IF(C135="Privé",J135,SUMIFS(Regles_regimes!$J$3:$J$2000,Regles_regimes!$A$3:$A$2000,C135,Regles_regimes!$B$3:$B$2000,D135,Regles_regimes!$C$3:$C$2000,MAX(1915,MIN(2025,E135))))</f>
        <v/>
      </c>
      <c r="L135" s="8">
        <f>IF(C135="Privé",H135,(K135-F135)*H135/(J135-F135))</f>
        <v/>
      </c>
      <c r="M135" s="77">
        <f>INT(E135+K135)</f>
        <v/>
      </c>
      <c r="N135" s="77">
        <f>G135+ROUNDUP(L135,0)-1</f>
        <v/>
      </c>
      <c r="O135" s="89">
        <f>SUMIFS(Regles_regimes!$K$3:$K$2000,Regles_regimes!$A$3:$A$2000,C135,Regles_regimes!$B$3:$B$2000,D135,Regles_regimes!$C$3:$C$2000,MAX(1915,MIN(2025,E135)))</f>
        <v/>
      </c>
      <c r="P135" s="13">
        <f>SUMIFS(Donnees_annuelles!$W$3:$W$188,Donnees_annuelles!$A$3:$A$188,"&gt;="&amp;G135,Donnees_annuelles!$A$3:$A$188,"&lt;="&amp;N135)*L135/ROUNDUP(L135,0)*O135</f>
        <v/>
      </c>
      <c r="Q135" s="13">
        <f>SUMIFS(Donnees_annuelles!$V$3:$V$188,Donnees_annuelles!$A$3:$A$188,"&gt;="&amp;G135,Donnees_annuelles!$A$3:$A$188,"&lt;="&amp;N135)*L135/ROUNDUP(L135,0)</f>
        <v/>
      </c>
      <c r="R135" s="13">
        <f>P135/L135</f>
        <v/>
      </c>
      <c r="S135" s="14">
        <f>SUMIFS(Donnees_annuelles!$D$3:$D$188,Donnees_annuelles!$A$3:$A$188,"&gt;="&amp;G135,Donnees_annuelles!$A$3:$A$188,"&lt;="&amp;N135)*L135/ROUNDUP(L135,0)</f>
        <v/>
      </c>
      <c r="T135" s="14">
        <f>SUMIFS(Donnees_regimes!$N$3:$N$1118,Donnees_regimes!$A$3:$A$1118,C135,Donnees_regimes!$B$3:$B$1118,"&gt;="&amp;G135,Donnees_regimes!$B$3:$B$1118,"&lt;="&amp;N135)*L135/ROUNDUP(L135,0)</f>
        <v/>
      </c>
      <c r="U135" s="14">
        <f>SUMIFS(Donnees_regimes!$O$3:$O$1118,Donnees_regimes!$A$3:$A$1118,C135,Donnees_regimes!$B$3:$B$1118,"&gt;="&amp;G135,Donnees_regimes!$B$3:$B$1118,"&lt;="&amp;N135)*L135/ROUNDUP(L135,0)</f>
        <v/>
      </c>
      <c r="V135" s="14">
        <f>T135+U135</f>
        <v/>
      </c>
      <c r="W135" s="33">
        <f>V135/S135</f>
        <v/>
      </c>
      <c r="X135" s="14">
        <f>S135+U135</f>
        <v/>
      </c>
      <c r="Y135" s="17">
        <f>V135/P135</f>
        <v/>
      </c>
      <c r="Z135" s="14">
        <f>SUMIFS(Donnees_regimes!$Q$3:$Q$1118,Donnees_regimes!$A$3:$A$1118,C135,Donnees_regimes!$B$3:$B$1118,"&gt;="&amp;G135,Donnees_regimes!$B$3:$B$1118,"&lt;="&amp;N135)*L135/ROUNDUP(L135,0)</f>
        <v/>
      </c>
      <c r="AA135" s="77">
        <f>SUMIFS(Regles_regimes!$F$3:$F$2000,Regles_regimes!$A$3:$A$2000,C135,Regles_regimes!$B$3:$B$2000,D135,Regles_regimes!$C$3:$C$2000,MAX(1915,MIN(2025,E135)))</f>
        <v/>
      </c>
      <c r="AB135" s="77">
        <f>IF(AND(SUMIFS(Regles_regimes!$L$3:$L$2000,Regles_regimes!$A$3:$A$2000,C135,Regles_regimes!$B$3:$B$2000,D135,Regles_regimes!$C$3:$C$2000,MAX(1915,MIN(2025,E135)))=1,G135&lt;2009,C135&lt;&gt;"Privé"),MIN(20,L135*4/5),0)</f>
        <v/>
      </c>
      <c r="AC135" s="89">
        <f>SUMIFS(Donnees_regimes!$M$3:$M$1118,Donnees_regimes!$A$3:$A$1118,C135,Donnees_regimes!$B$3:$B$1118,M135)</f>
        <v/>
      </c>
      <c r="AD135" s="14">
        <f>SUMIFS(Donnees_annuelles!$Y$3:$Y$188,Donnees_annuelles!$A$3:$A$188,M135)*SUMIFS(Donnees_generations!$I$3:$I$113,Donnees_generations!$A$3:$A$113,MAX(1915,MIN(2025,E135)))/H135</f>
        <v/>
      </c>
      <c r="AE135" s="14">
        <f>IF(C135="Privé",SUMIFS(Donnees_annuelles!$Y$3:$Y$188,Donnees_annuelles!$A$3:$A$188,M135)*MIN(L135,SUMIFS(Donnees_generations!$I$3:$I$113,Donnees_generations!$A$3:$A$113,MAX(1915,MIN(2025,E135))))/L135,AD135*AC135*MIN(IF(AB135&gt;0,0.8/0.75,1),(L135*4+AB135)/AA135))</f>
        <v/>
      </c>
      <c r="AF135" s="14">
        <f>AE135/12</f>
        <v/>
      </c>
      <c r="AG135" s="77">
        <f>MIN(68,MAX(56,2*INT(K135/2)))</f>
        <v/>
      </c>
      <c r="AH135" s="75">
        <f>(CHOOSE((AG135-56)/2+1,SUMIFS(Donnees_generations!$U$3:$U$113,Donnees_generations!$A$3:$A$113,MAX(1915,MIN(2025,E135))),SUMIFS(Donnees_generations!$V$3:$V$113,Donnees_generations!$A$3:$A$113,MAX(1915,MIN(2025,E135))),SUMIFS(Donnees_generations!$W$3:$W$113,Donnees_generations!$A$3:$A$113,MAX(1915,MIN(2025,E135))),SUMIFS(Donnees_generations!$X$3:$X$113,Donnees_generations!$A$3:$A$113,MAX(1915,MIN(2025,E135))),SUMIFS(Donnees_generations!$Y$3:$Y$113,Donnees_generations!$A$3:$A$113,MAX(1915,MIN(2025,E135))),SUMIFS(Donnees_generations!$Z$3:$Z$113,Donnees_generations!$A$3:$A$113,MAX(1915,MIN(2025,E135))),SUMIFS(Donnees_generations!$AA$3:$AA$113,Donnees_generations!$A$3:$A$113,MAX(1915,MIN(2025,E135))),SUMIFS(Donnees_generations!$AB$3:$AB$113,Donnees_generations!$A$3:$A$113,MAX(1915,MIN(2025,E135))))+CHOOSE((AG135-56)/2+1,SUMIFS(Donnees_generations!$AC$3:$AC$113,Donnees_generations!$A$3:$A$113,MAX(1915,MIN(2025,E135))),SUMIFS(Donnees_generations!$AD$3:$AD$113,Donnees_generations!$A$3:$A$113,MAX(1915,MIN(2025,E135))),SUMIFS(Donnees_generations!$AE$3:$AE$113,Donnees_generations!$A$3:$A$113,MAX(1915,MIN(2025,E135))),SUMIFS(Donnees_generations!$AF$3:$AF$113,Donnees_generations!$A$3:$A$113,MAX(1915,MIN(2025,E135))),SUMIFS(Donnees_generations!$AG$3:$AG$113,Donnees_generations!$A$3:$A$113,MAX(1915,MIN(2025,E135))),SUMIFS(Donnees_generations!$AH$3:$AH$113,Donnees_generations!$A$3:$A$113,MAX(1915,MIN(2025,E135))),SUMIFS(Donnees_generations!$AI$3:$AI$113,Donnees_generations!$A$3:$A$113,MAX(1915,MIN(2025,E135))),SUMIFS(Donnees_generations!$AJ$3:$AJ$113,Donnees_generations!$A$3:$A$113,MAX(1915,MIN(2025,E135)))))/2</f>
        <v/>
      </c>
      <c r="AI135" s="75">
        <f>(CHOOSE(((AG135+2)-56)/2+1,SUMIFS(Donnees_generations!$U$3:$U$113,Donnees_generations!$A$3:$A$113,MAX(1915,MIN(2025,E135))),SUMIFS(Donnees_generations!$V$3:$V$113,Donnees_generations!$A$3:$A$113,MAX(1915,MIN(2025,E135))),SUMIFS(Donnees_generations!$W$3:$W$113,Donnees_generations!$A$3:$A$113,MAX(1915,MIN(2025,E135))),SUMIFS(Donnees_generations!$X$3:$X$113,Donnees_generations!$A$3:$A$113,MAX(1915,MIN(2025,E135))),SUMIFS(Donnees_generations!$Y$3:$Y$113,Donnees_generations!$A$3:$A$113,MAX(1915,MIN(2025,E135))),SUMIFS(Donnees_generations!$Z$3:$Z$113,Donnees_generations!$A$3:$A$113,MAX(1915,MIN(2025,E135))),SUMIFS(Donnees_generations!$AA$3:$AA$113,Donnees_generations!$A$3:$A$113,MAX(1915,MIN(2025,E135))),SUMIFS(Donnees_generations!$AB$3:$AB$113,Donnees_generations!$A$3:$A$113,MAX(1915,MIN(2025,E135))))+CHOOSE(((AG135+2)-56)/2+1,SUMIFS(Donnees_generations!$AC$3:$AC$113,Donnees_generations!$A$3:$A$113,MAX(1915,MIN(2025,E135))),SUMIFS(Donnees_generations!$AD$3:$AD$113,Donnees_generations!$A$3:$A$113,MAX(1915,MIN(2025,E135))),SUMIFS(Donnees_generations!$AE$3:$AE$113,Donnees_generations!$A$3:$A$113,MAX(1915,MIN(2025,E135))),SUMIFS(Donnees_generations!$AF$3:$AF$113,Donnees_generations!$A$3:$A$113,MAX(1915,MIN(2025,E135))),SUMIFS(Donnees_generations!$AG$3:$AG$113,Donnees_generations!$A$3:$A$113,MAX(1915,MIN(2025,E135))),SUMIFS(Donnees_generations!$AH$3:$AH$113,Donnees_generations!$A$3:$A$113,MAX(1915,MIN(2025,E135))),SUMIFS(Donnees_generations!$AI$3:$AI$113,Donnees_generations!$A$3:$A$113,MAX(1915,MIN(2025,E135))),SUMIFS(Donnees_generations!$AJ$3:$AJ$113,Donnees_generations!$A$3:$A$113,MAX(1915,MIN(2025,E135)))))/2</f>
        <v/>
      </c>
      <c r="AJ135" s="8">
        <f>MAX(0,AH135+(AI135-AH135)*(K135-AG135)/2)</f>
        <v/>
      </c>
      <c r="AK135" s="8">
        <f>K135+AJ135</f>
        <v/>
      </c>
      <c r="AL135" s="14">
        <f>AE135*AJ135</f>
        <v/>
      </c>
      <c r="AM135" s="17">
        <f>V135/AL135</f>
        <v/>
      </c>
      <c r="AN135" s="17">
        <f>Z135/AL135</f>
        <v/>
      </c>
      <c r="AO135" s="33">
        <f>IF(V135+Z135=0,0,Z135/(V135+Z135))</f>
        <v/>
      </c>
      <c r="AP135" s="14">
        <f>AL135/V135*100</f>
        <v/>
      </c>
      <c r="AQ135" s="8">
        <f>P135/AL135*1000</f>
        <v/>
      </c>
      <c r="AR135" s="77">
        <f>MAX(N135,M135-1)</f>
        <v/>
      </c>
      <c r="AS135" s="14">
        <f>SUMIFS(Donnees_regimes!$R$3:$R$1118,Donnees_regimes!$A$3:$A$1118,C135,Donnees_regimes!$B$3:$B$1118,"&gt;="&amp;G135,Donnees_regimes!$B$3:$B$1118,"&lt;="&amp;N135)*L135/ROUNDUP(L135,0)*SUMIFS(Donnees_annuelles!$AG$3:$AG$188,Donnees_annuelles!$A$3:$A$188,AR135)*SUMIFS(Donnees_annuelles!$AA$3:$AA$188,Donnees_annuelles!$A$3:$A$188,AR135)</f>
        <v/>
      </c>
      <c r="AT135" s="36">
        <f>AS135/V135</f>
        <v/>
      </c>
      <c r="AU135" s="14">
        <f>AL135</f>
        <v/>
      </c>
      <c r="AV135" s="39">
        <f>AS135-AL135</f>
        <v/>
      </c>
      <c r="AW135" s="9">
        <f>AS135/AL135-1</f>
        <v/>
      </c>
      <c r="AX135" s="14">
        <f>AS135/AJ135/12</f>
        <v/>
      </c>
      <c r="AY135" s="14">
        <f>AF135</f>
        <v/>
      </c>
      <c r="AZ135" s="39">
        <f>AX135-AF135</f>
        <v/>
      </c>
      <c r="BA135" s="14">
        <f>SUMIFS(Donnees_regimes!$S$3:$S$1118,Donnees_regimes!$A$3:$A$1118,C135,Donnees_regimes!$B$3:$B$1118,"&gt;="&amp;G135,Donnees_regimes!$B$3:$B$1118,"&lt;="&amp;N135)*L135/ROUNDUP(L135,0)*SUMIFS(Donnees_annuelles!$AH$3:$AH$188,Donnees_annuelles!$A$3:$A$188,AR135)*SUMIFS(Donnees_annuelles!$AA$3:$AA$188,Donnees_annuelles!$A$3:$A$188,AR135)</f>
        <v/>
      </c>
      <c r="BB135" s="39">
        <f>BA135-AL135</f>
        <v/>
      </c>
      <c r="BC135" s="7">
        <f>IF(M135+AJ135&gt;2026,IF(G135&gt;2026,"entièrement projeté","en partie projeté"),"observé")</f>
        <v/>
      </c>
    </row>
    <row r="136">
      <c r="A136" s="7" t="inlineStr">
        <is>
          <t>Baby-boomers</t>
        </is>
      </c>
      <c r="B136" s="84" t="inlineStr">
        <is>
          <t>Fonction publique d'État</t>
        </is>
      </c>
      <c r="C136" s="7">
        <f>IF(G136&gt;=SUMIFS(Regimes!$C$5:$C$10,Regimes!$A$5:$A$10,B136),"Privé",B136)</f>
        <v/>
      </c>
      <c r="D136" s="7">
        <f>INDEX(Regimes!$D$5:$D$10,MATCH(C136,Regimes!$A$5:$A$10,0))</f>
        <v/>
      </c>
      <c r="E136" s="88" t="n">
        <v>1963</v>
      </c>
      <c r="F136" s="8">
        <f>Donnees_generations!C51</f>
        <v/>
      </c>
      <c r="G136" s="77">
        <f>Donnees_generations!D51</f>
        <v/>
      </c>
      <c r="H136" s="8">
        <f>SUMIFS(Donnees_generations!$S$3:$S$113,Donnees_generations!$A$3:$A$113,MAX(1915,MIN(2025,E136)))</f>
        <v/>
      </c>
      <c r="I136" s="8">
        <f>SUMIFS(Donnees_generations!$T$3:$T$113,Donnees_generations!$A$3:$A$113,MAX(1915,MIN(2025,E136)))</f>
        <v/>
      </c>
      <c r="J136" s="8">
        <f>IF(G136&gt;=2000,MAX(I136,Parametres!$B$3),I136)</f>
        <v/>
      </c>
      <c r="K136" s="8">
        <f>IF(C136="Privé",J136,SUMIFS(Regles_regimes!$J$3:$J$2000,Regles_regimes!$A$3:$A$2000,C136,Regles_regimes!$B$3:$B$2000,D136,Regles_regimes!$C$3:$C$2000,MAX(1915,MIN(2025,E136))))</f>
        <v/>
      </c>
      <c r="L136" s="8">
        <f>IF(C136="Privé",H136,(K136-F136)*H136/(J136-F136))</f>
        <v/>
      </c>
      <c r="M136" s="77">
        <f>INT(E136+K136)</f>
        <v/>
      </c>
      <c r="N136" s="77">
        <f>G136+ROUNDUP(L136,0)-1</f>
        <v/>
      </c>
      <c r="O136" s="89">
        <f>SUMIFS(Regles_regimes!$K$3:$K$2000,Regles_regimes!$A$3:$A$2000,C136,Regles_regimes!$B$3:$B$2000,D136,Regles_regimes!$C$3:$C$2000,MAX(1915,MIN(2025,E136)))</f>
        <v/>
      </c>
      <c r="P136" s="13">
        <f>SUMIFS(Donnees_annuelles!$W$3:$W$188,Donnees_annuelles!$A$3:$A$188,"&gt;="&amp;G136,Donnees_annuelles!$A$3:$A$188,"&lt;="&amp;N136)*L136/ROUNDUP(L136,0)*O136</f>
        <v/>
      </c>
      <c r="Q136" s="13">
        <f>SUMIFS(Donnees_annuelles!$V$3:$V$188,Donnees_annuelles!$A$3:$A$188,"&gt;="&amp;G136,Donnees_annuelles!$A$3:$A$188,"&lt;="&amp;N136)*L136/ROUNDUP(L136,0)</f>
        <v/>
      </c>
      <c r="R136" s="13">
        <f>P136/L136</f>
        <v/>
      </c>
      <c r="S136" s="14">
        <f>SUMIFS(Donnees_annuelles!$D$3:$D$188,Donnees_annuelles!$A$3:$A$188,"&gt;="&amp;G136,Donnees_annuelles!$A$3:$A$188,"&lt;="&amp;N136)*L136/ROUNDUP(L136,0)</f>
        <v/>
      </c>
      <c r="T136" s="14">
        <f>SUMIFS(Donnees_regimes!$N$3:$N$1118,Donnees_regimes!$A$3:$A$1118,C136,Donnees_regimes!$B$3:$B$1118,"&gt;="&amp;G136,Donnees_regimes!$B$3:$B$1118,"&lt;="&amp;N136)*L136/ROUNDUP(L136,0)</f>
        <v/>
      </c>
      <c r="U136" s="14">
        <f>SUMIFS(Donnees_regimes!$O$3:$O$1118,Donnees_regimes!$A$3:$A$1118,C136,Donnees_regimes!$B$3:$B$1118,"&gt;="&amp;G136,Donnees_regimes!$B$3:$B$1118,"&lt;="&amp;N136)*L136/ROUNDUP(L136,0)</f>
        <v/>
      </c>
      <c r="V136" s="14">
        <f>T136+U136</f>
        <v/>
      </c>
      <c r="W136" s="33">
        <f>V136/S136</f>
        <v/>
      </c>
      <c r="X136" s="14">
        <f>S136+U136</f>
        <v/>
      </c>
      <c r="Y136" s="17">
        <f>V136/P136</f>
        <v/>
      </c>
      <c r="Z136" s="14">
        <f>SUMIFS(Donnees_regimes!$Q$3:$Q$1118,Donnees_regimes!$A$3:$A$1118,C136,Donnees_regimes!$B$3:$B$1118,"&gt;="&amp;G136,Donnees_regimes!$B$3:$B$1118,"&lt;="&amp;N136)*L136/ROUNDUP(L136,0)</f>
        <v/>
      </c>
      <c r="AA136" s="77">
        <f>SUMIFS(Regles_regimes!$F$3:$F$2000,Regles_regimes!$A$3:$A$2000,C136,Regles_regimes!$B$3:$B$2000,D136,Regles_regimes!$C$3:$C$2000,MAX(1915,MIN(2025,E136)))</f>
        <v/>
      </c>
      <c r="AB136" s="77">
        <f>IF(AND(SUMIFS(Regles_regimes!$L$3:$L$2000,Regles_regimes!$A$3:$A$2000,C136,Regles_regimes!$B$3:$B$2000,D136,Regles_regimes!$C$3:$C$2000,MAX(1915,MIN(2025,E136)))=1,G136&lt;2009,C136&lt;&gt;"Privé"),MIN(20,L136*4/5),0)</f>
        <v/>
      </c>
      <c r="AC136" s="89">
        <f>SUMIFS(Donnees_regimes!$M$3:$M$1118,Donnees_regimes!$A$3:$A$1118,C136,Donnees_regimes!$B$3:$B$1118,M136)</f>
        <v/>
      </c>
      <c r="AD136" s="14">
        <f>SUMIFS(Donnees_annuelles!$Y$3:$Y$188,Donnees_annuelles!$A$3:$A$188,M136)*SUMIFS(Donnees_generations!$I$3:$I$113,Donnees_generations!$A$3:$A$113,MAX(1915,MIN(2025,E136)))/H136</f>
        <v/>
      </c>
      <c r="AE136" s="14">
        <f>IF(C136="Privé",SUMIFS(Donnees_annuelles!$Y$3:$Y$188,Donnees_annuelles!$A$3:$A$188,M136)*MIN(L136,SUMIFS(Donnees_generations!$I$3:$I$113,Donnees_generations!$A$3:$A$113,MAX(1915,MIN(2025,E136))))/L136,AD136*AC136*MIN(IF(AB136&gt;0,0.8/0.75,1),(L136*4+AB136)/AA136))</f>
        <v/>
      </c>
      <c r="AF136" s="14">
        <f>AE136/12</f>
        <v/>
      </c>
      <c r="AG136" s="77">
        <f>MIN(68,MAX(56,2*INT(K136/2)))</f>
        <v/>
      </c>
      <c r="AH136" s="75">
        <f>(CHOOSE((AG136-56)/2+1,SUMIFS(Donnees_generations!$U$3:$U$113,Donnees_generations!$A$3:$A$113,MAX(1915,MIN(2025,E136))),SUMIFS(Donnees_generations!$V$3:$V$113,Donnees_generations!$A$3:$A$113,MAX(1915,MIN(2025,E136))),SUMIFS(Donnees_generations!$W$3:$W$113,Donnees_generations!$A$3:$A$113,MAX(1915,MIN(2025,E136))),SUMIFS(Donnees_generations!$X$3:$X$113,Donnees_generations!$A$3:$A$113,MAX(1915,MIN(2025,E136))),SUMIFS(Donnees_generations!$Y$3:$Y$113,Donnees_generations!$A$3:$A$113,MAX(1915,MIN(2025,E136))),SUMIFS(Donnees_generations!$Z$3:$Z$113,Donnees_generations!$A$3:$A$113,MAX(1915,MIN(2025,E136))),SUMIFS(Donnees_generations!$AA$3:$AA$113,Donnees_generations!$A$3:$A$113,MAX(1915,MIN(2025,E136))),SUMIFS(Donnees_generations!$AB$3:$AB$113,Donnees_generations!$A$3:$A$113,MAX(1915,MIN(2025,E136))))+CHOOSE((AG136-56)/2+1,SUMIFS(Donnees_generations!$AC$3:$AC$113,Donnees_generations!$A$3:$A$113,MAX(1915,MIN(2025,E136))),SUMIFS(Donnees_generations!$AD$3:$AD$113,Donnees_generations!$A$3:$A$113,MAX(1915,MIN(2025,E136))),SUMIFS(Donnees_generations!$AE$3:$AE$113,Donnees_generations!$A$3:$A$113,MAX(1915,MIN(2025,E136))),SUMIFS(Donnees_generations!$AF$3:$AF$113,Donnees_generations!$A$3:$A$113,MAX(1915,MIN(2025,E136))),SUMIFS(Donnees_generations!$AG$3:$AG$113,Donnees_generations!$A$3:$A$113,MAX(1915,MIN(2025,E136))),SUMIFS(Donnees_generations!$AH$3:$AH$113,Donnees_generations!$A$3:$A$113,MAX(1915,MIN(2025,E136))),SUMIFS(Donnees_generations!$AI$3:$AI$113,Donnees_generations!$A$3:$A$113,MAX(1915,MIN(2025,E136))),SUMIFS(Donnees_generations!$AJ$3:$AJ$113,Donnees_generations!$A$3:$A$113,MAX(1915,MIN(2025,E136)))))/2</f>
        <v/>
      </c>
      <c r="AI136" s="75">
        <f>(CHOOSE(((AG136+2)-56)/2+1,SUMIFS(Donnees_generations!$U$3:$U$113,Donnees_generations!$A$3:$A$113,MAX(1915,MIN(2025,E136))),SUMIFS(Donnees_generations!$V$3:$V$113,Donnees_generations!$A$3:$A$113,MAX(1915,MIN(2025,E136))),SUMIFS(Donnees_generations!$W$3:$W$113,Donnees_generations!$A$3:$A$113,MAX(1915,MIN(2025,E136))),SUMIFS(Donnees_generations!$X$3:$X$113,Donnees_generations!$A$3:$A$113,MAX(1915,MIN(2025,E136))),SUMIFS(Donnees_generations!$Y$3:$Y$113,Donnees_generations!$A$3:$A$113,MAX(1915,MIN(2025,E136))),SUMIFS(Donnees_generations!$Z$3:$Z$113,Donnees_generations!$A$3:$A$113,MAX(1915,MIN(2025,E136))),SUMIFS(Donnees_generations!$AA$3:$AA$113,Donnees_generations!$A$3:$A$113,MAX(1915,MIN(2025,E136))),SUMIFS(Donnees_generations!$AB$3:$AB$113,Donnees_generations!$A$3:$A$113,MAX(1915,MIN(2025,E136))))+CHOOSE(((AG136+2)-56)/2+1,SUMIFS(Donnees_generations!$AC$3:$AC$113,Donnees_generations!$A$3:$A$113,MAX(1915,MIN(2025,E136))),SUMIFS(Donnees_generations!$AD$3:$AD$113,Donnees_generations!$A$3:$A$113,MAX(1915,MIN(2025,E136))),SUMIFS(Donnees_generations!$AE$3:$AE$113,Donnees_generations!$A$3:$A$113,MAX(1915,MIN(2025,E136))),SUMIFS(Donnees_generations!$AF$3:$AF$113,Donnees_generations!$A$3:$A$113,MAX(1915,MIN(2025,E136))),SUMIFS(Donnees_generations!$AG$3:$AG$113,Donnees_generations!$A$3:$A$113,MAX(1915,MIN(2025,E136))),SUMIFS(Donnees_generations!$AH$3:$AH$113,Donnees_generations!$A$3:$A$113,MAX(1915,MIN(2025,E136))),SUMIFS(Donnees_generations!$AI$3:$AI$113,Donnees_generations!$A$3:$A$113,MAX(1915,MIN(2025,E136))),SUMIFS(Donnees_generations!$AJ$3:$AJ$113,Donnees_generations!$A$3:$A$113,MAX(1915,MIN(2025,E136)))))/2</f>
        <v/>
      </c>
      <c r="AJ136" s="8">
        <f>MAX(0,AH136+(AI136-AH136)*(K136-AG136)/2)</f>
        <v/>
      </c>
      <c r="AK136" s="8">
        <f>K136+AJ136</f>
        <v/>
      </c>
      <c r="AL136" s="14">
        <f>AE136*AJ136</f>
        <v/>
      </c>
      <c r="AM136" s="17">
        <f>V136/AL136</f>
        <v/>
      </c>
      <c r="AN136" s="17">
        <f>Z136/AL136</f>
        <v/>
      </c>
      <c r="AO136" s="33">
        <f>IF(V136+Z136=0,0,Z136/(V136+Z136))</f>
        <v/>
      </c>
      <c r="AP136" s="14">
        <f>AL136/V136*100</f>
        <v/>
      </c>
      <c r="AQ136" s="8">
        <f>P136/AL136*1000</f>
        <v/>
      </c>
      <c r="AR136" s="77">
        <f>MAX(N136,M136-1)</f>
        <v/>
      </c>
      <c r="AS136" s="14">
        <f>SUMIFS(Donnees_regimes!$R$3:$R$1118,Donnees_regimes!$A$3:$A$1118,C136,Donnees_regimes!$B$3:$B$1118,"&gt;="&amp;G136,Donnees_regimes!$B$3:$B$1118,"&lt;="&amp;N136)*L136/ROUNDUP(L136,0)*SUMIFS(Donnees_annuelles!$AG$3:$AG$188,Donnees_annuelles!$A$3:$A$188,AR136)*SUMIFS(Donnees_annuelles!$AA$3:$AA$188,Donnees_annuelles!$A$3:$A$188,AR136)</f>
        <v/>
      </c>
      <c r="AT136" s="36">
        <f>AS136/V136</f>
        <v/>
      </c>
      <c r="AU136" s="14">
        <f>AL136</f>
        <v/>
      </c>
      <c r="AV136" s="39">
        <f>AS136-AL136</f>
        <v/>
      </c>
      <c r="AW136" s="9">
        <f>AS136/AL136-1</f>
        <v/>
      </c>
      <c r="AX136" s="14">
        <f>AS136/AJ136/12</f>
        <v/>
      </c>
      <c r="AY136" s="14">
        <f>AF136</f>
        <v/>
      </c>
      <c r="AZ136" s="39">
        <f>AX136-AF136</f>
        <v/>
      </c>
      <c r="BA136" s="14">
        <f>SUMIFS(Donnees_regimes!$S$3:$S$1118,Donnees_regimes!$A$3:$A$1118,C136,Donnees_regimes!$B$3:$B$1118,"&gt;="&amp;G136,Donnees_regimes!$B$3:$B$1118,"&lt;="&amp;N136)*L136/ROUNDUP(L136,0)*SUMIFS(Donnees_annuelles!$AH$3:$AH$188,Donnees_annuelles!$A$3:$A$188,AR136)*SUMIFS(Donnees_annuelles!$AA$3:$AA$188,Donnees_annuelles!$A$3:$A$188,AR136)</f>
        <v/>
      </c>
      <c r="BB136" s="39">
        <f>BA136-AL136</f>
        <v/>
      </c>
      <c r="BC136" s="7">
        <f>IF(M136+AJ136&gt;2026,IF(G136&gt;2026,"entièrement projeté","en partie projeté"),"observé")</f>
        <v/>
      </c>
    </row>
    <row r="137">
      <c r="A137" s="7" t="inlineStr">
        <is>
          <t>Baby-boomers</t>
        </is>
      </c>
      <c r="B137" s="84" t="inlineStr">
        <is>
          <t>Fonction publique d'État</t>
        </is>
      </c>
      <c r="C137" s="7">
        <f>IF(G137&gt;=SUMIFS(Regimes!$C$5:$C$10,Regimes!$A$5:$A$10,B137),"Privé",B137)</f>
        <v/>
      </c>
      <c r="D137" s="7">
        <f>INDEX(Regimes!$D$5:$D$10,MATCH(C137,Regimes!$A$5:$A$10,0))</f>
        <v/>
      </c>
      <c r="E137" s="88" t="n">
        <v>1964</v>
      </c>
      <c r="F137" s="8">
        <f>Donnees_generations!C52</f>
        <v/>
      </c>
      <c r="G137" s="77">
        <f>Donnees_generations!D52</f>
        <v/>
      </c>
      <c r="H137" s="8">
        <f>SUMIFS(Donnees_generations!$S$3:$S$113,Donnees_generations!$A$3:$A$113,MAX(1915,MIN(2025,E137)))</f>
        <v/>
      </c>
      <c r="I137" s="8">
        <f>SUMIFS(Donnees_generations!$T$3:$T$113,Donnees_generations!$A$3:$A$113,MAX(1915,MIN(2025,E137)))</f>
        <v/>
      </c>
      <c r="J137" s="8">
        <f>IF(G137&gt;=2000,MAX(I137,Parametres!$B$3),I137)</f>
        <v/>
      </c>
      <c r="K137" s="8">
        <f>IF(C137="Privé",J137,SUMIFS(Regles_regimes!$J$3:$J$2000,Regles_regimes!$A$3:$A$2000,C137,Regles_regimes!$B$3:$B$2000,D137,Regles_regimes!$C$3:$C$2000,MAX(1915,MIN(2025,E137))))</f>
        <v/>
      </c>
      <c r="L137" s="8">
        <f>IF(C137="Privé",H137,(K137-F137)*H137/(J137-F137))</f>
        <v/>
      </c>
      <c r="M137" s="77">
        <f>INT(E137+K137)</f>
        <v/>
      </c>
      <c r="N137" s="77">
        <f>G137+ROUNDUP(L137,0)-1</f>
        <v/>
      </c>
      <c r="O137" s="89">
        <f>SUMIFS(Regles_regimes!$K$3:$K$2000,Regles_regimes!$A$3:$A$2000,C137,Regles_regimes!$B$3:$B$2000,D137,Regles_regimes!$C$3:$C$2000,MAX(1915,MIN(2025,E137)))</f>
        <v/>
      </c>
      <c r="P137" s="13">
        <f>SUMIFS(Donnees_annuelles!$W$3:$W$188,Donnees_annuelles!$A$3:$A$188,"&gt;="&amp;G137,Donnees_annuelles!$A$3:$A$188,"&lt;="&amp;N137)*L137/ROUNDUP(L137,0)*O137</f>
        <v/>
      </c>
      <c r="Q137" s="13">
        <f>SUMIFS(Donnees_annuelles!$V$3:$V$188,Donnees_annuelles!$A$3:$A$188,"&gt;="&amp;G137,Donnees_annuelles!$A$3:$A$188,"&lt;="&amp;N137)*L137/ROUNDUP(L137,0)</f>
        <v/>
      </c>
      <c r="R137" s="13">
        <f>P137/L137</f>
        <v/>
      </c>
      <c r="S137" s="14">
        <f>SUMIFS(Donnees_annuelles!$D$3:$D$188,Donnees_annuelles!$A$3:$A$188,"&gt;="&amp;G137,Donnees_annuelles!$A$3:$A$188,"&lt;="&amp;N137)*L137/ROUNDUP(L137,0)</f>
        <v/>
      </c>
      <c r="T137" s="14">
        <f>SUMIFS(Donnees_regimes!$N$3:$N$1118,Donnees_regimes!$A$3:$A$1118,C137,Donnees_regimes!$B$3:$B$1118,"&gt;="&amp;G137,Donnees_regimes!$B$3:$B$1118,"&lt;="&amp;N137)*L137/ROUNDUP(L137,0)</f>
        <v/>
      </c>
      <c r="U137" s="14">
        <f>SUMIFS(Donnees_regimes!$O$3:$O$1118,Donnees_regimes!$A$3:$A$1118,C137,Donnees_regimes!$B$3:$B$1118,"&gt;="&amp;G137,Donnees_regimes!$B$3:$B$1118,"&lt;="&amp;N137)*L137/ROUNDUP(L137,0)</f>
        <v/>
      </c>
      <c r="V137" s="14">
        <f>T137+U137</f>
        <v/>
      </c>
      <c r="W137" s="33">
        <f>V137/S137</f>
        <v/>
      </c>
      <c r="X137" s="14">
        <f>S137+U137</f>
        <v/>
      </c>
      <c r="Y137" s="17">
        <f>V137/P137</f>
        <v/>
      </c>
      <c r="Z137" s="14">
        <f>SUMIFS(Donnees_regimes!$Q$3:$Q$1118,Donnees_regimes!$A$3:$A$1118,C137,Donnees_regimes!$B$3:$B$1118,"&gt;="&amp;G137,Donnees_regimes!$B$3:$B$1118,"&lt;="&amp;N137)*L137/ROUNDUP(L137,0)</f>
        <v/>
      </c>
      <c r="AA137" s="77">
        <f>SUMIFS(Regles_regimes!$F$3:$F$2000,Regles_regimes!$A$3:$A$2000,C137,Regles_regimes!$B$3:$B$2000,D137,Regles_regimes!$C$3:$C$2000,MAX(1915,MIN(2025,E137)))</f>
        <v/>
      </c>
      <c r="AB137" s="77">
        <f>IF(AND(SUMIFS(Regles_regimes!$L$3:$L$2000,Regles_regimes!$A$3:$A$2000,C137,Regles_regimes!$B$3:$B$2000,D137,Regles_regimes!$C$3:$C$2000,MAX(1915,MIN(2025,E137)))=1,G137&lt;2009,C137&lt;&gt;"Privé"),MIN(20,L137*4/5),0)</f>
        <v/>
      </c>
      <c r="AC137" s="89">
        <f>SUMIFS(Donnees_regimes!$M$3:$M$1118,Donnees_regimes!$A$3:$A$1118,C137,Donnees_regimes!$B$3:$B$1118,M137)</f>
        <v/>
      </c>
      <c r="AD137" s="14">
        <f>SUMIFS(Donnees_annuelles!$Y$3:$Y$188,Donnees_annuelles!$A$3:$A$188,M137)*SUMIFS(Donnees_generations!$I$3:$I$113,Donnees_generations!$A$3:$A$113,MAX(1915,MIN(2025,E137)))/H137</f>
        <v/>
      </c>
      <c r="AE137" s="14">
        <f>IF(C137="Privé",SUMIFS(Donnees_annuelles!$Y$3:$Y$188,Donnees_annuelles!$A$3:$A$188,M137)*MIN(L137,SUMIFS(Donnees_generations!$I$3:$I$113,Donnees_generations!$A$3:$A$113,MAX(1915,MIN(2025,E137))))/L137,AD137*AC137*MIN(IF(AB137&gt;0,0.8/0.75,1),(L137*4+AB137)/AA137))</f>
        <v/>
      </c>
      <c r="AF137" s="14">
        <f>AE137/12</f>
        <v/>
      </c>
      <c r="AG137" s="77">
        <f>MIN(68,MAX(56,2*INT(K137/2)))</f>
        <v/>
      </c>
      <c r="AH137" s="75">
        <f>(CHOOSE((AG137-56)/2+1,SUMIFS(Donnees_generations!$U$3:$U$113,Donnees_generations!$A$3:$A$113,MAX(1915,MIN(2025,E137))),SUMIFS(Donnees_generations!$V$3:$V$113,Donnees_generations!$A$3:$A$113,MAX(1915,MIN(2025,E137))),SUMIFS(Donnees_generations!$W$3:$W$113,Donnees_generations!$A$3:$A$113,MAX(1915,MIN(2025,E137))),SUMIFS(Donnees_generations!$X$3:$X$113,Donnees_generations!$A$3:$A$113,MAX(1915,MIN(2025,E137))),SUMIFS(Donnees_generations!$Y$3:$Y$113,Donnees_generations!$A$3:$A$113,MAX(1915,MIN(2025,E137))),SUMIFS(Donnees_generations!$Z$3:$Z$113,Donnees_generations!$A$3:$A$113,MAX(1915,MIN(2025,E137))),SUMIFS(Donnees_generations!$AA$3:$AA$113,Donnees_generations!$A$3:$A$113,MAX(1915,MIN(2025,E137))),SUMIFS(Donnees_generations!$AB$3:$AB$113,Donnees_generations!$A$3:$A$113,MAX(1915,MIN(2025,E137))))+CHOOSE((AG137-56)/2+1,SUMIFS(Donnees_generations!$AC$3:$AC$113,Donnees_generations!$A$3:$A$113,MAX(1915,MIN(2025,E137))),SUMIFS(Donnees_generations!$AD$3:$AD$113,Donnees_generations!$A$3:$A$113,MAX(1915,MIN(2025,E137))),SUMIFS(Donnees_generations!$AE$3:$AE$113,Donnees_generations!$A$3:$A$113,MAX(1915,MIN(2025,E137))),SUMIFS(Donnees_generations!$AF$3:$AF$113,Donnees_generations!$A$3:$A$113,MAX(1915,MIN(2025,E137))),SUMIFS(Donnees_generations!$AG$3:$AG$113,Donnees_generations!$A$3:$A$113,MAX(1915,MIN(2025,E137))),SUMIFS(Donnees_generations!$AH$3:$AH$113,Donnees_generations!$A$3:$A$113,MAX(1915,MIN(2025,E137))),SUMIFS(Donnees_generations!$AI$3:$AI$113,Donnees_generations!$A$3:$A$113,MAX(1915,MIN(2025,E137))),SUMIFS(Donnees_generations!$AJ$3:$AJ$113,Donnees_generations!$A$3:$A$113,MAX(1915,MIN(2025,E137)))))/2</f>
        <v/>
      </c>
      <c r="AI137" s="75">
        <f>(CHOOSE(((AG137+2)-56)/2+1,SUMIFS(Donnees_generations!$U$3:$U$113,Donnees_generations!$A$3:$A$113,MAX(1915,MIN(2025,E137))),SUMIFS(Donnees_generations!$V$3:$V$113,Donnees_generations!$A$3:$A$113,MAX(1915,MIN(2025,E137))),SUMIFS(Donnees_generations!$W$3:$W$113,Donnees_generations!$A$3:$A$113,MAX(1915,MIN(2025,E137))),SUMIFS(Donnees_generations!$X$3:$X$113,Donnees_generations!$A$3:$A$113,MAX(1915,MIN(2025,E137))),SUMIFS(Donnees_generations!$Y$3:$Y$113,Donnees_generations!$A$3:$A$113,MAX(1915,MIN(2025,E137))),SUMIFS(Donnees_generations!$Z$3:$Z$113,Donnees_generations!$A$3:$A$113,MAX(1915,MIN(2025,E137))),SUMIFS(Donnees_generations!$AA$3:$AA$113,Donnees_generations!$A$3:$A$113,MAX(1915,MIN(2025,E137))),SUMIFS(Donnees_generations!$AB$3:$AB$113,Donnees_generations!$A$3:$A$113,MAX(1915,MIN(2025,E137))))+CHOOSE(((AG137+2)-56)/2+1,SUMIFS(Donnees_generations!$AC$3:$AC$113,Donnees_generations!$A$3:$A$113,MAX(1915,MIN(2025,E137))),SUMIFS(Donnees_generations!$AD$3:$AD$113,Donnees_generations!$A$3:$A$113,MAX(1915,MIN(2025,E137))),SUMIFS(Donnees_generations!$AE$3:$AE$113,Donnees_generations!$A$3:$A$113,MAX(1915,MIN(2025,E137))),SUMIFS(Donnees_generations!$AF$3:$AF$113,Donnees_generations!$A$3:$A$113,MAX(1915,MIN(2025,E137))),SUMIFS(Donnees_generations!$AG$3:$AG$113,Donnees_generations!$A$3:$A$113,MAX(1915,MIN(2025,E137))),SUMIFS(Donnees_generations!$AH$3:$AH$113,Donnees_generations!$A$3:$A$113,MAX(1915,MIN(2025,E137))),SUMIFS(Donnees_generations!$AI$3:$AI$113,Donnees_generations!$A$3:$A$113,MAX(1915,MIN(2025,E137))),SUMIFS(Donnees_generations!$AJ$3:$AJ$113,Donnees_generations!$A$3:$A$113,MAX(1915,MIN(2025,E137)))))/2</f>
        <v/>
      </c>
      <c r="AJ137" s="8">
        <f>MAX(0,AH137+(AI137-AH137)*(K137-AG137)/2)</f>
        <v/>
      </c>
      <c r="AK137" s="8">
        <f>K137+AJ137</f>
        <v/>
      </c>
      <c r="AL137" s="14">
        <f>AE137*AJ137</f>
        <v/>
      </c>
      <c r="AM137" s="17">
        <f>V137/AL137</f>
        <v/>
      </c>
      <c r="AN137" s="17">
        <f>Z137/AL137</f>
        <v/>
      </c>
      <c r="AO137" s="33">
        <f>IF(V137+Z137=0,0,Z137/(V137+Z137))</f>
        <v/>
      </c>
      <c r="AP137" s="14">
        <f>AL137/V137*100</f>
        <v/>
      </c>
      <c r="AQ137" s="8">
        <f>P137/AL137*1000</f>
        <v/>
      </c>
      <c r="AR137" s="77">
        <f>MAX(N137,M137-1)</f>
        <v/>
      </c>
      <c r="AS137" s="14">
        <f>SUMIFS(Donnees_regimes!$R$3:$R$1118,Donnees_regimes!$A$3:$A$1118,C137,Donnees_regimes!$B$3:$B$1118,"&gt;="&amp;G137,Donnees_regimes!$B$3:$B$1118,"&lt;="&amp;N137)*L137/ROUNDUP(L137,0)*SUMIFS(Donnees_annuelles!$AG$3:$AG$188,Donnees_annuelles!$A$3:$A$188,AR137)*SUMIFS(Donnees_annuelles!$AA$3:$AA$188,Donnees_annuelles!$A$3:$A$188,AR137)</f>
        <v/>
      </c>
      <c r="AT137" s="36">
        <f>AS137/V137</f>
        <v/>
      </c>
      <c r="AU137" s="14">
        <f>AL137</f>
        <v/>
      </c>
      <c r="AV137" s="39">
        <f>AS137-AL137</f>
        <v/>
      </c>
      <c r="AW137" s="9">
        <f>AS137/AL137-1</f>
        <v/>
      </c>
      <c r="AX137" s="14">
        <f>AS137/AJ137/12</f>
        <v/>
      </c>
      <c r="AY137" s="14">
        <f>AF137</f>
        <v/>
      </c>
      <c r="AZ137" s="39">
        <f>AX137-AF137</f>
        <v/>
      </c>
      <c r="BA137" s="14">
        <f>SUMIFS(Donnees_regimes!$S$3:$S$1118,Donnees_regimes!$A$3:$A$1118,C137,Donnees_regimes!$B$3:$B$1118,"&gt;="&amp;G137,Donnees_regimes!$B$3:$B$1118,"&lt;="&amp;N137)*L137/ROUNDUP(L137,0)*SUMIFS(Donnees_annuelles!$AH$3:$AH$188,Donnees_annuelles!$A$3:$A$188,AR137)*SUMIFS(Donnees_annuelles!$AA$3:$AA$188,Donnees_annuelles!$A$3:$A$188,AR137)</f>
        <v/>
      </c>
      <c r="BB137" s="39">
        <f>BA137-AL137</f>
        <v/>
      </c>
      <c r="BC137" s="7">
        <f>IF(M137+AJ137&gt;2026,IF(G137&gt;2026,"entièrement projeté","en partie projeté"),"observé")</f>
        <v/>
      </c>
    </row>
    <row r="138">
      <c r="A138" s="7" t="inlineStr">
        <is>
          <t>Génération X</t>
        </is>
      </c>
      <c r="B138" s="84" t="inlineStr">
        <is>
          <t>Fonction publique d'État</t>
        </is>
      </c>
      <c r="C138" s="7">
        <f>IF(G138&gt;=SUMIFS(Regimes!$C$5:$C$10,Regimes!$A$5:$A$10,B138),"Privé",B138)</f>
        <v/>
      </c>
      <c r="D138" s="7">
        <f>INDEX(Regimes!$D$5:$D$10,MATCH(C138,Regimes!$A$5:$A$10,0))</f>
        <v/>
      </c>
      <c r="E138" s="88" t="n">
        <v>1965</v>
      </c>
      <c r="F138" s="8">
        <f>Donnees_generations!C53</f>
        <v/>
      </c>
      <c r="G138" s="77">
        <f>Donnees_generations!D53</f>
        <v/>
      </c>
      <c r="H138" s="8">
        <f>SUMIFS(Donnees_generations!$S$3:$S$113,Donnees_generations!$A$3:$A$113,MAX(1915,MIN(2025,E138)))</f>
        <v/>
      </c>
      <c r="I138" s="8">
        <f>SUMIFS(Donnees_generations!$T$3:$T$113,Donnees_generations!$A$3:$A$113,MAX(1915,MIN(2025,E138)))</f>
        <v/>
      </c>
      <c r="J138" s="8">
        <f>IF(G138&gt;=2000,MAX(I138,Parametres!$B$3),I138)</f>
        <v/>
      </c>
      <c r="K138" s="8">
        <f>IF(C138="Privé",J138,SUMIFS(Regles_regimes!$J$3:$J$2000,Regles_regimes!$A$3:$A$2000,C138,Regles_regimes!$B$3:$B$2000,D138,Regles_regimes!$C$3:$C$2000,MAX(1915,MIN(2025,E138))))</f>
        <v/>
      </c>
      <c r="L138" s="8">
        <f>IF(C138="Privé",H138,(K138-F138)*H138/(J138-F138))</f>
        <v/>
      </c>
      <c r="M138" s="77">
        <f>INT(E138+K138)</f>
        <v/>
      </c>
      <c r="N138" s="77">
        <f>G138+ROUNDUP(L138,0)-1</f>
        <v/>
      </c>
      <c r="O138" s="89">
        <f>SUMIFS(Regles_regimes!$K$3:$K$2000,Regles_regimes!$A$3:$A$2000,C138,Regles_regimes!$B$3:$B$2000,D138,Regles_regimes!$C$3:$C$2000,MAX(1915,MIN(2025,E138)))</f>
        <v/>
      </c>
      <c r="P138" s="13">
        <f>SUMIFS(Donnees_annuelles!$W$3:$W$188,Donnees_annuelles!$A$3:$A$188,"&gt;="&amp;G138,Donnees_annuelles!$A$3:$A$188,"&lt;="&amp;N138)*L138/ROUNDUP(L138,0)*O138</f>
        <v/>
      </c>
      <c r="Q138" s="13">
        <f>SUMIFS(Donnees_annuelles!$V$3:$V$188,Donnees_annuelles!$A$3:$A$188,"&gt;="&amp;G138,Donnees_annuelles!$A$3:$A$188,"&lt;="&amp;N138)*L138/ROUNDUP(L138,0)</f>
        <v/>
      </c>
      <c r="R138" s="13">
        <f>P138/L138</f>
        <v/>
      </c>
      <c r="S138" s="14">
        <f>SUMIFS(Donnees_annuelles!$D$3:$D$188,Donnees_annuelles!$A$3:$A$188,"&gt;="&amp;G138,Donnees_annuelles!$A$3:$A$188,"&lt;="&amp;N138)*L138/ROUNDUP(L138,0)</f>
        <v/>
      </c>
      <c r="T138" s="14">
        <f>SUMIFS(Donnees_regimes!$N$3:$N$1118,Donnees_regimes!$A$3:$A$1118,C138,Donnees_regimes!$B$3:$B$1118,"&gt;="&amp;G138,Donnees_regimes!$B$3:$B$1118,"&lt;="&amp;N138)*L138/ROUNDUP(L138,0)</f>
        <v/>
      </c>
      <c r="U138" s="14">
        <f>SUMIFS(Donnees_regimes!$O$3:$O$1118,Donnees_regimes!$A$3:$A$1118,C138,Donnees_regimes!$B$3:$B$1118,"&gt;="&amp;G138,Donnees_regimes!$B$3:$B$1118,"&lt;="&amp;N138)*L138/ROUNDUP(L138,0)</f>
        <v/>
      </c>
      <c r="V138" s="14">
        <f>T138+U138</f>
        <v/>
      </c>
      <c r="W138" s="33">
        <f>V138/S138</f>
        <v/>
      </c>
      <c r="X138" s="14">
        <f>S138+U138</f>
        <v/>
      </c>
      <c r="Y138" s="17">
        <f>V138/P138</f>
        <v/>
      </c>
      <c r="Z138" s="14">
        <f>SUMIFS(Donnees_regimes!$Q$3:$Q$1118,Donnees_regimes!$A$3:$A$1118,C138,Donnees_regimes!$B$3:$B$1118,"&gt;="&amp;G138,Donnees_regimes!$B$3:$B$1118,"&lt;="&amp;N138)*L138/ROUNDUP(L138,0)</f>
        <v/>
      </c>
      <c r="AA138" s="77">
        <f>SUMIFS(Regles_regimes!$F$3:$F$2000,Regles_regimes!$A$3:$A$2000,C138,Regles_regimes!$B$3:$B$2000,D138,Regles_regimes!$C$3:$C$2000,MAX(1915,MIN(2025,E138)))</f>
        <v/>
      </c>
      <c r="AB138" s="77">
        <f>IF(AND(SUMIFS(Regles_regimes!$L$3:$L$2000,Regles_regimes!$A$3:$A$2000,C138,Regles_regimes!$B$3:$B$2000,D138,Regles_regimes!$C$3:$C$2000,MAX(1915,MIN(2025,E138)))=1,G138&lt;2009,C138&lt;&gt;"Privé"),MIN(20,L138*4/5),0)</f>
        <v/>
      </c>
      <c r="AC138" s="89">
        <f>SUMIFS(Donnees_regimes!$M$3:$M$1118,Donnees_regimes!$A$3:$A$1118,C138,Donnees_regimes!$B$3:$B$1118,M138)</f>
        <v/>
      </c>
      <c r="AD138" s="14">
        <f>SUMIFS(Donnees_annuelles!$Y$3:$Y$188,Donnees_annuelles!$A$3:$A$188,M138)*SUMIFS(Donnees_generations!$I$3:$I$113,Donnees_generations!$A$3:$A$113,MAX(1915,MIN(2025,E138)))/H138</f>
        <v/>
      </c>
      <c r="AE138" s="14">
        <f>IF(C138="Privé",SUMIFS(Donnees_annuelles!$Y$3:$Y$188,Donnees_annuelles!$A$3:$A$188,M138)*MIN(L138,SUMIFS(Donnees_generations!$I$3:$I$113,Donnees_generations!$A$3:$A$113,MAX(1915,MIN(2025,E138))))/L138,AD138*AC138*MIN(IF(AB138&gt;0,0.8/0.75,1),(L138*4+AB138)/AA138))</f>
        <v/>
      </c>
      <c r="AF138" s="14">
        <f>AE138/12</f>
        <v/>
      </c>
      <c r="AG138" s="77">
        <f>MIN(68,MAX(56,2*INT(K138/2)))</f>
        <v/>
      </c>
      <c r="AH138" s="75">
        <f>(CHOOSE((AG138-56)/2+1,SUMIFS(Donnees_generations!$U$3:$U$113,Donnees_generations!$A$3:$A$113,MAX(1915,MIN(2025,E138))),SUMIFS(Donnees_generations!$V$3:$V$113,Donnees_generations!$A$3:$A$113,MAX(1915,MIN(2025,E138))),SUMIFS(Donnees_generations!$W$3:$W$113,Donnees_generations!$A$3:$A$113,MAX(1915,MIN(2025,E138))),SUMIFS(Donnees_generations!$X$3:$X$113,Donnees_generations!$A$3:$A$113,MAX(1915,MIN(2025,E138))),SUMIFS(Donnees_generations!$Y$3:$Y$113,Donnees_generations!$A$3:$A$113,MAX(1915,MIN(2025,E138))),SUMIFS(Donnees_generations!$Z$3:$Z$113,Donnees_generations!$A$3:$A$113,MAX(1915,MIN(2025,E138))),SUMIFS(Donnees_generations!$AA$3:$AA$113,Donnees_generations!$A$3:$A$113,MAX(1915,MIN(2025,E138))),SUMIFS(Donnees_generations!$AB$3:$AB$113,Donnees_generations!$A$3:$A$113,MAX(1915,MIN(2025,E138))))+CHOOSE((AG138-56)/2+1,SUMIFS(Donnees_generations!$AC$3:$AC$113,Donnees_generations!$A$3:$A$113,MAX(1915,MIN(2025,E138))),SUMIFS(Donnees_generations!$AD$3:$AD$113,Donnees_generations!$A$3:$A$113,MAX(1915,MIN(2025,E138))),SUMIFS(Donnees_generations!$AE$3:$AE$113,Donnees_generations!$A$3:$A$113,MAX(1915,MIN(2025,E138))),SUMIFS(Donnees_generations!$AF$3:$AF$113,Donnees_generations!$A$3:$A$113,MAX(1915,MIN(2025,E138))),SUMIFS(Donnees_generations!$AG$3:$AG$113,Donnees_generations!$A$3:$A$113,MAX(1915,MIN(2025,E138))),SUMIFS(Donnees_generations!$AH$3:$AH$113,Donnees_generations!$A$3:$A$113,MAX(1915,MIN(2025,E138))),SUMIFS(Donnees_generations!$AI$3:$AI$113,Donnees_generations!$A$3:$A$113,MAX(1915,MIN(2025,E138))),SUMIFS(Donnees_generations!$AJ$3:$AJ$113,Donnees_generations!$A$3:$A$113,MAX(1915,MIN(2025,E138)))))/2</f>
        <v/>
      </c>
      <c r="AI138" s="75">
        <f>(CHOOSE(((AG138+2)-56)/2+1,SUMIFS(Donnees_generations!$U$3:$U$113,Donnees_generations!$A$3:$A$113,MAX(1915,MIN(2025,E138))),SUMIFS(Donnees_generations!$V$3:$V$113,Donnees_generations!$A$3:$A$113,MAX(1915,MIN(2025,E138))),SUMIFS(Donnees_generations!$W$3:$W$113,Donnees_generations!$A$3:$A$113,MAX(1915,MIN(2025,E138))),SUMIFS(Donnees_generations!$X$3:$X$113,Donnees_generations!$A$3:$A$113,MAX(1915,MIN(2025,E138))),SUMIFS(Donnees_generations!$Y$3:$Y$113,Donnees_generations!$A$3:$A$113,MAX(1915,MIN(2025,E138))),SUMIFS(Donnees_generations!$Z$3:$Z$113,Donnees_generations!$A$3:$A$113,MAX(1915,MIN(2025,E138))),SUMIFS(Donnees_generations!$AA$3:$AA$113,Donnees_generations!$A$3:$A$113,MAX(1915,MIN(2025,E138))),SUMIFS(Donnees_generations!$AB$3:$AB$113,Donnees_generations!$A$3:$A$113,MAX(1915,MIN(2025,E138))))+CHOOSE(((AG138+2)-56)/2+1,SUMIFS(Donnees_generations!$AC$3:$AC$113,Donnees_generations!$A$3:$A$113,MAX(1915,MIN(2025,E138))),SUMIFS(Donnees_generations!$AD$3:$AD$113,Donnees_generations!$A$3:$A$113,MAX(1915,MIN(2025,E138))),SUMIFS(Donnees_generations!$AE$3:$AE$113,Donnees_generations!$A$3:$A$113,MAX(1915,MIN(2025,E138))),SUMIFS(Donnees_generations!$AF$3:$AF$113,Donnees_generations!$A$3:$A$113,MAX(1915,MIN(2025,E138))),SUMIFS(Donnees_generations!$AG$3:$AG$113,Donnees_generations!$A$3:$A$113,MAX(1915,MIN(2025,E138))),SUMIFS(Donnees_generations!$AH$3:$AH$113,Donnees_generations!$A$3:$A$113,MAX(1915,MIN(2025,E138))),SUMIFS(Donnees_generations!$AI$3:$AI$113,Donnees_generations!$A$3:$A$113,MAX(1915,MIN(2025,E138))),SUMIFS(Donnees_generations!$AJ$3:$AJ$113,Donnees_generations!$A$3:$A$113,MAX(1915,MIN(2025,E138)))))/2</f>
        <v/>
      </c>
      <c r="AJ138" s="8">
        <f>MAX(0,AH138+(AI138-AH138)*(K138-AG138)/2)</f>
        <v/>
      </c>
      <c r="AK138" s="8">
        <f>K138+AJ138</f>
        <v/>
      </c>
      <c r="AL138" s="14">
        <f>AE138*AJ138</f>
        <v/>
      </c>
      <c r="AM138" s="17">
        <f>V138/AL138</f>
        <v/>
      </c>
      <c r="AN138" s="17">
        <f>Z138/AL138</f>
        <v/>
      </c>
      <c r="AO138" s="33">
        <f>IF(V138+Z138=0,0,Z138/(V138+Z138))</f>
        <v/>
      </c>
      <c r="AP138" s="14">
        <f>AL138/V138*100</f>
        <v/>
      </c>
      <c r="AQ138" s="8">
        <f>P138/AL138*1000</f>
        <v/>
      </c>
      <c r="AR138" s="77">
        <f>MAX(N138,M138-1)</f>
        <v/>
      </c>
      <c r="AS138" s="14">
        <f>SUMIFS(Donnees_regimes!$R$3:$R$1118,Donnees_regimes!$A$3:$A$1118,C138,Donnees_regimes!$B$3:$B$1118,"&gt;="&amp;G138,Donnees_regimes!$B$3:$B$1118,"&lt;="&amp;N138)*L138/ROUNDUP(L138,0)*SUMIFS(Donnees_annuelles!$AG$3:$AG$188,Donnees_annuelles!$A$3:$A$188,AR138)*SUMIFS(Donnees_annuelles!$AA$3:$AA$188,Donnees_annuelles!$A$3:$A$188,AR138)</f>
        <v/>
      </c>
      <c r="AT138" s="36">
        <f>AS138/V138</f>
        <v/>
      </c>
      <c r="AU138" s="14">
        <f>AL138</f>
        <v/>
      </c>
      <c r="AV138" s="39">
        <f>AS138-AL138</f>
        <v/>
      </c>
      <c r="AW138" s="9">
        <f>AS138/AL138-1</f>
        <v/>
      </c>
      <c r="AX138" s="14">
        <f>AS138/AJ138/12</f>
        <v/>
      </c>
      <c r="AY138" s="14">
        <f>AF138</f>
        <v/>
      </c>
      <c r="AZ138" s="39">
        <f>AX138-AF138</f>
        <v/>
      </c>
      <c r="BA138" s="14">
        <f>SUMIFS(Donnees_regimes!$S$3:$S$1118,Donnees_regimes!$A$3:$A$1118,C138,Donnees_regimes!$B$3:$B$1118,"&gt;="&amp;G138,Donnees_regimes!$B$3:$B$1118,"&lt;="&amp;N138)*L138/ROUNDUP(L138,0)*SUMIFS(Donnees_annuelles!$AH$3:$AH$188,Donnees_annuelles!$A$3:$A$188,AR138)*SUMIFS(Donnees_annuelles!$AA$3:$AA$188,Donnees_annuelles!$A$3:$A$188,AR138)</f>
        <v/>
      </c>
      <c r="BB138" s="39">
        <f>BA138-AL138</f>
        <v/>
      </c>
      <c r="BC138" s="7">
        <f>IF(M138+AJ138&gt;2026,IF(G138&gt;2026,"entièrement projeté","en partie projeté"),"observé")</f>
        <v/>
      </c>
    </row>
    <row r="139">
      <c r="A139" s="7" t="inlineStr">
        <is>
          <t>Génération X</t>
        </is>
      </c>
      <c r="B139" s="84" t="inlineStr">
        <is>
          <t>Fonction publique d'État</t>
        </is>
      </c>
      <c r="C139" s="7">
        <f>IF(G139&gt;=SUMIFS(Regimes!$C$5:$C$10,Regimes!$A$5:$A$10,B139),"Privé",B139)</f>
        <v/>
      </c>
      <c r="D139" s="7">
        <f>INDEX(Regimes!$D$5:$D$10,MATCH(C139,Regimes!$A$5:$A$10,0))</f>
        <v/>
      </c>
      <c r="E139" s="88" t="n">
        <v>1966</v>
      </c>
      <c r="F139" s="8">
        <f>Donnees_generations!C54</f>
        <v/>
      </c>
      <c r="G139" s="77">
        <f>Donnees_generations!D54</f>
        <v/>
      </c>
      <c r="H139" s="8">
        <f>SUMIFS(Donnees_generations!$S$3:$S$113,Donnees_generations!$A$3:$A$113,MAX(1915,MIN(2025,E139)))</f>
        <v/>
      </c>
      <c r="I139" s="8">
        <f>SUMIFS(Donnees_generations!$T$3:$T$113,Donnees_generations!$A$3:$A$113,MAX(1915,MIN(2025,E139)))</f>
        <v/>
      </c>
      <c r="J139" s="8">
        <f>IF(G139&gt;=2000,MAX(I139,Parametres!$B$3),I139)</f>
        <v/>
      </c>
      <c r="K139" s="8">
        <f>IF(C139="Privé",J139,SUMIFS(Regles_regimes!$J$3:$J$2000,Regles_regimes!$A$3:$A$2000,C139,Regles_regimes!$B$3:$B$2000,D139,Regles_regimes!$C$3:$C$2000,MAX(1915,MIN(2025,E139))))</f>
        <v/>
      </c>
      <c r="L139" s="8">
        <f>IF(C139="Privé",H139,(K139-F139)*H139/(J139-F139))</f>
        <v/>
      </c>
      <c r="M139" s="77">
        <f>INT(E139+K139)</f>
        <v/>
      </c>
      <c r="N139" s="77">
        <f>G139+ROUNDUP(L139,0)-1</f>
        <v/>
      </c>
      <c r="O139" s="89">
        <f>SUMIFS(Regles_regimes!$K$3:$K$2000,Regles_regimes!$A$3:$A$2000,C139,Regles_regimes!$B$3:$B$2000,D139,Regles_regimes!$C$3:$C$2000,MAX(1915,MIN(2025,E139)))</f>
        <v/>
      </c>
      <c r="P139" s="13">
        <f>SUMIFS(Donnees_annuelles!$W$3:$W$188,Donnees_annuelles!$A$3:$A$188,"&gt;="&amp;G139,Donnees_annuelles!$A$3:$A$188,"&lt;="&amp;N139)*L139/ROUNDUP(L139,0)*O139</f>
        <v/>
      </c>
      <c r="Q139" s="13">
        <f>SUMIFS(Donnees_annuelles!$V$3:$V$188,Donnees_annuelles!$A$3:$A$188,"&gt;="&amp;G139,Donnees_annuelles!$A$3:$A$188,"&lt;="&amp;N139)*L139/ROUNDUP(L139,0)</f>
        <v/>
      </c>
      <c r="R139" s="13">
        <f>P139/L139</f>
        <v/>
      </c>
      <c r="S139" s="14">
        <f>SUMIFS(Donnees_annuelles!$D$3:$D$188,Donnees_annuelles!$A$3:$A$188,"&gt;="&amp;G139,Donnees_annuelles!$A$3:$A$188,"&lt;="&amp;N139)*L139/ROUNDUP(L139,0)</f>
        <v/>
      </c>
      <c r="T139" s="14">
        <f>SUMIFS(Donnees_regimes!$N$3:$N$1118,Donnees_regimes!$A$3:$A$1118,C139,Donnees_regimes!$B$3:$B$1118,"&gt;="&amp;G139,Donnees_regimes!$B$3:$B$1118,"&lt;="&amp;N139)*L139/ROUNDUP(L139,0)</f>
        <v/>
      </c>
      <c r="U139" s="14">
        <f>SUMIFS(Donnees_regimes!$O$3:$O$1118,Donnees_regimes!$A$3:$A$1118,C139,Donnees_regimes!$B$3:$B$1118,"&gt;="&amp;G139,Donnees_regimes!$B$3:$B$1118,"&lt;="&amp;N139)*L139/ROUNDUP(L139,0)</f>
        <v/>
      </c>
      <c r="V139" s="14">
        <f>T139+U139</f>
        <v/>
      </c>
      <c r="W139" s="33">
        <f>V139/S139</f>
        <v/>
      </c>
      <c r="X139" s="14">
        <f>S139+U139</f>
        <v/>
      </c>
      <c r="Y139" s="17">
        <f>V139/P139</f>
        <v/>
      </c>
      <c r="Z139" s="14">
        <f>SUMIFS(Donnees_regimes!$Q$3:$Q$1118,Donnees_regimes!$A$3:$A$1118,C139,Donnees_regimes!$B$3:$B$1118,"&gt;="&amp;G139,Donnees_regimes!$B$3:$B$1118,"&lt;="&amp;N139)*L139/ROUNDUP(L139,0)</f>
        <v/>
      </c>
      <c r="AA139" s="77">
        <f>SUMIFS(Regles_regimes!$F$3:$F$2000,Regles_regimes!$A$3:$A$2000,C139,Regles_regimes!$B$3:$B$2000,D139,Regles_regimes!$C$3:$C$2000,MAX(1915,MIN(2025,E139)))</f>
        <v/>
      </c>
      <c r="AB139" s="77">
        <f>IF(AND(SUMIFS(Regles_regimes!$L$3:$L$2000,Regles_regimes!$A$3:$A$2000,C139,Regles_regimes!$B$3:$B$2000,D139,Regles_regimes!$C$3:$C$2000,MAX(1915,MIN(2025,E139)))=1,G139&lt;2009,C139&lt;&gt;"Privé"),MIN(20,L139*4/5),0)</f>
        <v/>
      </c>
      <c r="AC139" s="89">
        <f>SUMIFS(Donnees_regimes!$M$3:$M$1118,Donnees_regimes!$A$3:$A$1118,C139,Donnees_regimes!$B$3:$B$1118,M139)</f>
        <v/>
      </c>
      <c r="AD139" s="14">
        <f>SUMIFS(Donnees_annuelles!$Y$3:$Y$188,Donnees_annuelles!$A$3:$A$188,M139)*SUMIFS(Donnees_generations!$I$3:$I$113,Donnees_generations!$A$3:$A$113,MAX(1915,MIN(2025,E139)))/H139</f>
        <v/>
      </c>
      <c r="AE139" s="14">
        <f>IF(C139="Privé",SUMIFS(Donnees_annuelles!$Y$3:$Y$188,Donnees_annuelles!$A$3:$A$188,M139)*MIN(L139,SUMIFS(Donnees_generations!$I$3:$I$113,Donnees_generations!$A$3:$A$113,MAX(1915,MIN(2025,E139))))/L139,AD139*AC139*MIN(IF(AB139&gt;0,0.8/0.75,1),(L139*4+AB139)/AA139))</f>
        <v/>
      </c>
      <c r="AF139" s="14">
        <f>AE139/12</f>
        <v/>
      </c>
      <c r="AG139" s="77">
        <f>MIN(68,MAX(56,2*INT(K139/2)))</f>
        <v/>
      </c>
      <c r="AH139" s="75">
        <f>(CHOOSE((AG139-56)/2+1,SUMIFS(Donnees_generations!$U$3:$U$113,Donnees_generations!$A$3:$A$113,MAX(1915,MIN(2025,E139))),SUMIFS(Donnees_generations!$V$3:$V$113,Donnees_generations!$A$3:$A$113,MAX(1915,MIN(2025,E139))),SUMIFS(Donnees_generations!$W$3:$W$113,Donnees_generations!$A$3:$A$113,MAX(1915,MIN(2025,E139))),SUMIFS(Donnees_generations!$X$3:$X$113,Donnees_generations!$A$3:$A$113,MAX(1915,MIN(2025,E139))),SUMIFS(Donnees_generations!$Y$3:$Y$113,Donnees_generations!$A$3:$A$113,MAX(1915,MIN(2025,E139))),SUMIFS(Donnees_generations!$Z$3:$Z$113,Donnees_generations!$A$3:$A$113,MAX(1915,MIN(2025,E139))),SUMIFS(Donnees_generations!$AA$3:$AA$113,Donnees_generations!$A$3:$A$113,MAX(1915,MIN(2025,E139))),SUMIFS(Donnees_generations!$AB$3:$AB$113,Donnees_generations!$A$3:$A$113,MAX(1915,MIN(2025,E139))))+CHOOSE((AG139-56)/2+1,SUMIFS(Donnees_generations!$AC$3:$AC$113,Donnees_generations!$A$3:$A$113,MAX(1915,MIN(2025,E139))),SUMIFS(Donnees_generations!$AD$3:$AD$113,Donnees_generations!$A$3:$A$113,MAX(1915,MIN(2025,E139))),SUMIFS(Donnees_generations!$AE$3:$AE$113,Donnees_generations!$A$3:$A$113,MAX(1915,MIN(2025,E139))),SUMIFS(Donnees_generations!$AF$3:$AF$113,Donnees_generations!$A$3:$A$113,MAX(1915,MIN(2025,E139))),SUMIFS(Donnees_generations!$AG$3:$AG$113,Donnees_generations!$A$3:$A$113,MAX(1915,MIN(2025,E139))),SUMIFS(Donnees_generations!$AH$3:$AH$113,Donnees_generations!$A$3:$A$113,MAX(1915,MIN(2025,E139))),SUMIFS(Donnees_generations!$AI$3:$AI$113,Donnees_generations!$A$3:$A$113,MAX(1915,MIN(2025,E139))),SUMIFS(Donnees_generations!$AJ$3:$AJ$113,Donnees_generations!$A$3:$A$113,MAX(1915,MIN(2025,E139)))))/2</f>
        <v/>
      </c>
      <c r="AI139" s="75">
        <f>(CHOOSE(((AG139+2)-56)/2+1,SUMIFS(Donnees_generations!$U$3:$U$113,Donnees_generations!$A$3:$A$113,MAX(1915,MIN(2025,E139))),SUMIFS(Donnees_generations!$V$3:$V$113,Donnees_generations!$A$3:$A$113,MAX(1915,MIN(2025,E139))),SUMIFS(Donnees_generations!$W$3:$W$113,Donnees_generations!$A$3:$A$113,MAX(1915,MIN(2025,E139))),SUMIFS(Donnees_generations!$X$3:$X$113,Donnees_generations!$A$3:$A$113,MAX(1915,MIN(2025,E139))),SUMIFS(Donnees_generations!$Y$3:$Y$113,Donnees_generations!$A$3:$A$113,MAX(1915,MIN(2025,E139))),SUMIFS(Donnees_generations!$Z$3:$Z$113,Donnees_generations!$A$3:$A$113,MAX(1915,MIN(2025,E139))),SUMIFS(Donnees_generations!$AA$3:$AA$113,Donnees_generations!$A$3:$A$113,MAX(1915,MIN(2025,E139))),SUMIFS(Donnees_generations!$AB$3:$AB$113,Donnees_generations!$A$3:$A$113,MAX(1915,MIN(2025,E139))))+CHOOSE(((AG139+2)-56)/2+1,SUMIFS(Donnees_generations!$AC$3:$AC$113,Donnees_generations!$A$3:$A$113,MAX(1915,MIN(2025,E139))),SUMIFS(Donnees_generations!$AD$3:$AD$113,Donnees_generations!$A$3:$A$113,MAX(1915,MIN(2025,E139))),SUMIFS(Donnees_generations!$AE$3:$AE$113,Donnees_generations!$A$3:$A$113,MAX(1915,MIN(2025,E139))),SUMIFS(Donnees_generations!$AF$3:$AF$113,Donnees_generations!$A$3:$A$113,MAX(1915,MIN(2025,E139))),SUMIFS(Donnees_generations!$AG$3:$AG$113,Donnees_generations!$A$3:$A$113,MAX(1915,MIN(2025,E139))),SUMIFS(Donnees_generations!$AH$3:$AH$113,Donnees_generations!$A$3:$A$113,MAX(1915,MIN(2025,E139))),SUMIFS(Donnees_generations!$AI$3:$AI$113,Donnees_generations!$A$3:$A$113,MAX(1915,MIN(2025,E139))),SUMIFS(Donnees_generations!$AJ$3:$AJ$113,Donnees_generations!$A$3:$A$113,MAX(1915,MIN(2025,E139)))))/2</f>
        <v/>
      </c>
      <c r="AJ139" s="8">
        <f>MAX(0,AH139+(AI139-AH139)*(K139-AG139)/2)</f>
        <v/>
      </c>
      <c r="AK139" s="8">
        <f>K139+AJ139</f>
        <v/>
      </c>
      <c r="AL139" s="14">
        <f>AE139*AJ139</f>
        <v/>
      </c>
      <c r="AM139" s="17">
        <f>V139/AL139</f>
        <v/>
      </c>
      <c r="AN139" s="17">
        <f>Z139/AL139</f>
        <v/>
      </c>
      <c r="AO139" s="33">
        <f>IF(V139+Z139=0,0,Z139/(V139+Z139))</f>
        <v/>
      </c>
      <c r="AP139" s="14">
        <f>AL139/V139*100</f>
        <v/>
      </c>
      <c r="AQ139" s="8">
        <f>P139/AL139*1000</f>
        <v/>
      </c>
      <c r="AR139" s="77">
        <f>MAX(N139,M139-1)</f>
        <v/>
      </c>
      <c r="AS139" s="14">
        <f>SUMIFS(Donnees_regimes!$R$3:$R$1118,Donnees_regimes!$A$3:$A$1118,C139,Donnees_regimes!$B$3:$B$1118,"&gt;="&amp;G139,Donnees_regimes!$B$3:$B$1118,"&lt;="&amp;N139)*L139/ROUNDUP(L139,0)*SUMIFS(Donnees_annuelles!$AG$3:$AG$188,Donnees_annuelles!$A$3:$A$188,AR139)*SUMIFS(Donnees_annuelles!$AA$3:$AA$188,Donnees_annuelles!$A$3:$A$188,AR139)</f>
        <v/>
      </c>
      <c r="AT139" s="36">
        <f>AS139/V139</f>
        <v/>
      </c>
      <c r="AU139" s="14">
        <f>AL139</f>
        <v/>
      </c>
      <c r="AV139" s="39">
        <f>AS139-AL139</f>
        <v/>
      </c>
      <c r="AW139" s="9">
        <f>AS139/AL139-1</f>
        <v/>
      </c>
      <c r="AX139" s="14">
        <f>AS139/AJ139/12</f>
        <v/>
      </c>
      <c r="AY139" s="14">
        <f>AF139</f>
        <v/>
      </c>
      <c r="AZ139" s="39">
        <f>AX139-AF139</f>
        <v/>
      </c>
      <c r="BA139" s="14">
        <f>SUMIFS(Donnees_regimes!$S$3:$S$1118,Donnees_regimes!$A$3:$A$1118,C139,Donnees_regimes!$B$3:$B$1118,"&gt;="&amp;G139,Donnees_regimes!$B$3:$B$1118,"&lt;="&amp;N139)*L139/ROUNDUP(L139,0)*SUMIFS(Donnees_annuelles!$AH$3:$AH$188,Donnees_annuelles!$A$3:$A$188,AR139)*SUMIFS(Donnees_annuelles!$AA$3:$AA$188,Donnees_annuelles!$A$3:$A$188,AR139)</f>
        <v/>
      </c>
      <c r="BB139" s="39">
        <f>BA139-AL139</f>
        <v/>
      </c>
      <c r="BC139" s="7">
        <f>IF(M139+AJ139&gt;2026,IF(G139&gt;2026,"entièrement projeté","en partie projeté"),"observé")</f>
        <v/>
      </c>
    </row>
    <row r="140">
      <c r="A140" s="7" t="inlineStr">
        <is>
          <t>Génération X</t>
        </is>
      </c>
      <c r="B140" s="84" t="inlineStr">
        <is>
          <t>Fonction publique d'État</t>
        </is>
      </c>
      <c r="C140" s="7">
        <f>IF(G140&gt;=SUMIFS(Regimes!$C$5:$C$10,Regimes!$A$5:$A$10,B140),"Privé",B140)</f>
        <v/>
      </c>
      <c r="D140" s="7">
        <f>INDEX(Regimes!$D$5:$D$10,MATCH(C140,Regimes!$A$5:$A$10,0))</f>
        <v/>
      </c>
      <c r="E140" s="88" t="n">
        <v>1967</v>
      </c>
      <c r="F140" s="8">
        <f>Donnees_generations!C55</f>
        <v/>
      </c>
      <c r="G140" s="77">
        <f>Donnees_generations!D55</f>
        <v/>
      </c>
      <c r="H140" s="8">
        <f>SUMIFS(Donnees_generations!$S$3:$S$113,Donnees_generations!$A$3:$A$113,MAX(1915,MIN(2025,E140)))</f>
        <v/>
      </c>
      <c r="I140" s="8">
        <f>SUMIFS(Donnees_generations!$T$3:$T$113,Donnees_generations!$A$3:$A$113,MAX(1915,MIN(2025,E140)))</f>
        <v/>
      </c>
      <c r="J140" s="8">
        <f>IF(G140&gt;=2000,MAX(I140,Parametres!$B$3),I140)</f>
        <v/>
      </c>
      <c r="K140" s="8">
        <f>IF(C140="Privé",J140,SUMIFS(Regles_regimes!$J$3:$J$2000,Regles_regimes!$A$3:$A$2000,C140,Regles_regimes!$B$3:$B$2000,D140,Regles_regimes!$C$3:$C$2000,MAX(1915,MIN(2025,E140))))</f>
        <v/>
      </c>
      <c r="L140" s="8">
        <f>IF(C140="Privé",H140,(K140-F140)*H140/(J140-F140))</f>
        <v/>
      </c>
      <c r="M140" s="77">
        <f>INT(E140+K140)</f>
        <v/>
      </c>
      <c r="N140" s="77">
        <f>G140+ROUNDUP(L140,0)-1</f>
        <v/>
      </c>
      <c r="O140" s="89">
        <f>SUMIFS(Regles_regimes!$K$3:$K$2000,Regles_regimes!$A$3:$A$2000,C140,Regles_regimes!$B$3:$B$2000,D140,Regles_regimes!$C$3:$C$2000,MAX(1915,MIN(2025,E140)))</f>
        <v/>
      </c>
      <c r="P140" s="13">
        <f>SUMIFS(Donnees_annuelles!$W$3:$W$188,Donnees_annuelles!$A$3:$A$188,"&gt;="&amp;G140,Donnees_annuelles!$A$3:$A$188,"&lt;="&amp;N140)*L140/ROUNDUP(L140,0)*O140</f>
        <v/>
      </c>
      <c r="Q140" s="13">
        <f>SUMIFS(Donnees_annuelles!$V$3:$V$188,Donnees_annuelles!$A$3:$A$188,"&gt;="&amp;G140,Donnees_annuelles!$A$3:$A$188,"&lt;="&amp;N140)*L140/ROUNDUP(L140,0)</f>
        <v/>
      </c>
      <c r="R140" s="13">
        <f>P140/L140</f>
        <v/>
      </c>
      <c r="S140" s="14">
        <f>SUMIFS(Donnees_annuelles!$D$3:$D$188,Donnees_annuelles!$A$3:$A$188,"&gt;="&amp;G140,Donnees_annuelles!$A$3:$A$188,"&lt;="&amp;N140)*L140/ROUNDUP(L140,0)</f>
        <v/>
      </c>
      <c r="T140" s="14">
        <f>SUMIFS(Donnees_regimes!$N$3:$N$1118,Donnees_regimes!$A$3:$A$1118,C140,Donnees_regimes!$B$3:$B$1118,"&gt;="&amp;G140,Donnees_regimes!$B$3:$B$1118,"&lt;="&amp;N140)*L140/ROUNDUP(L140,0)</f>
        <v/>
      </c>
      <c r="U140" s="14">
        <f>SUMIFS(Donnees_regimes!$O$3:$O$1118,Donnees_regimes!$A$3:$A$1118,C140,Donnees_regimes!$B$3:$B$1118,"&gt;="&amp;G140,Donnees_regimes!$B$3:$B$1118,"&lt;="&amp;N140)*L140/ROUNDUP(L140,0)</f>
        <v/>
      </c>
      <c r="V140" s="14">
        <f>T140+U140</f>
        <v/>
      </c>
      <c r="W140" s="33">
        <f>V140/S140</f>
        <v/>
      </c>
      <c r="X140" s="14">
        <f>S140+U140</f>
        <v/>
      </c>
      <c r="Y140" s="17">
        <f>V140/P140</f>
        <v/>
      </c>
      <c r="Z140" s="14">
        <f>SUMIFS(Donnees_regimes!$Q$3:$Q$1118,Donnees_regimes!$A$3:$A$1118,C140,Donnees_regimes!$B$3:$B$1118,"&gt;="&amp;G140,Donnees_regimes!$B$3:$B$1118,"&lt;="&amp;N140)*L140/ROUNDUP(L140,0)</f>
        <v/>
      </c>
      <c r="AA140" s="77">
        <f>SUMIFS(Regles_regimes!$F$3:$F$2000,Regles_regimes!$A$3:$A$2000,C140,Regles_regimes!$B$3:$B$2000,D140,Regles_regimes!$C$3:$C$2000,MAX(1915,MIN(2025,E140)))</f>
        <v/>
      </c>
      <c r="AB140" s="77">
        <f>IF(AND(SUMIFS(Regles_regimes!$L$3:$L$2000,Regles_regimes!$A$3:$A$2000,C140,Regles_regimes!$B$3:$B$2000,D140,Regles_regimes!$C$3:$C$2000,MAX(1915,MIN(2025,E140)))=1,G140&lt;2009,C140&lt;&gt;"Privé"),MIN(20,L140*4/5),0)</f>
        <v/>
      </c>
      <c r="AC140" s="89">
        <f>SUMIFS(Donnees_regimes!$M$3:$M$1118,Donnees_regimes!$A$3:$A$1118,C140,Donnees_regimes!$B$3:$B$1118,M140)</f>
        <v/>
      </c>
      <c r="AD140" s="14">
        <f>SUMIFS(Donnees_annuelles!$Y$3:$Y$188,Donnees_annuelles!$A$3:$A$188,M140)*SUMIFS(Donnees_generations!$I$3:$I$113,Donnees_generations!$A$3:$A$113,MAX(1915,MIN(2025,E140)))/H140</f>
        <v/>
      </c>
      <c r="AE140" s="14">
        <f>IF(C140="Privé",SUMIFS(Donnees_annuelles!$Y$3:$Y$188,Donnees_annuelles!$A$3:$A$188,M140)*MIN(L140,SUMIFS(Donnees_generations!$I$3:$I$113,Donnees_generations!$A$3:$A$113,MAX(1915,MIN(2025,E140))))/L140,AD140*AC140*MIN(IF(AB140&gt;0,0.8/0.75,1),(L140*4+AB140)/AA140))</f>
        <v/>
      </c>
      <c r="AF140" s="14">
        <f>AE140/12</f>
        <v/>
      </c>
      <c r="AG140" s="77">
        <f>MIN(68,MAX(56,2*INT(K140/2)))</f>
        <v/>
      </c>
      <c r="AH140" s="75">
        <f>(CHOOSE((AG140-56)/2+1,SUMIFS(Donnees_generations!$U$3:$U$113,Donnees_generations!$A$3:$A$113,MAX(1915,MIN(2025,E140))),SUMIFS(Donnees_generations!$V$3:$V$113,Donnees_generations!$A$3:$A$113,MAX(1915,MIN(2025,E140))),SUMIFS(Donnees_generations!$W$3:$W$113,Donnees_generations!$A$3:$A$113,MAX(1915,MIN(2025,E140))),SUMIFS(Donnees_generations!$X$3:$X$113,Donnees_generations!$A$3:$A$113,MAX(1915,MIN(2025,E140))),SUMIFS(Donnees_generations!$Y$3:$Y$113,Donnees_generations!$A$3:$A$113,MAX(1915,MIN(2025,E140))),SUMIFS(Donnees_generations!$Z$3:$Z$113,Donnees_generations!$A$3:$A$113,MAX(1915,MIN(2025,E140))),SUMIFS(Donnees_generations!$AA$3:$AA$113,Donnees_generations!$A$3:$A$113,MAX(1915,MIN(2025,E140))),SUMIFS(Donnees_generations!$AB$3:$AB$113,Donnees_generations!$A$3:$A$113,MAX(1915,MIN(2025,E140))))+CHOOSE((AG140-56)/2+1,SUMIFS(Donnees_generations!$AC$3:$AC$113,Donnees_generations!$A$3:$A$113,MAX(1915,MIN(2025,E140))),SUMIFS(Donnees_generations!$AD$3:$AD$113,Donnees_generations!$A$3:$A$113,MAX(1915,MIN(2025,E140))),SUMIFS(Donnees_generations!$AE$3:$AE$113,Donnees_generations!$A$3:$A$113,MAX(1915,MIN(2025,E140))),SUMIFS(Donnees_generations!$AF$3:$AF$113,Donnees_generations!$A$3:$A$113,MAX(1915,MIN(2025,E140))),SUMIFS(Donnees_generations!$AG$3:$AG$113,Donnees_generations!$A$3:$A$113,MAX(1915,MIN(2025,E140))),SUMIFS(Donnees_generations!$AH$3:$AH$113,Donnees_generations!$A$3:$A$113,MAX(1915,MIN(2025,E140))),SUMIFS(Donnees_generations!$AI$3:$AI$113,Donnees_generations!$A$3:$A$113,MAX(1915,MIN(2025,E140))),SUMIFS(Donnees_generations!$AJ$3:$AJ$113,Donnees_generations!$A$3:$A$113,MAX(1915,MIN(2025,E140)))))/2</f>
        <v/>
      </c>
      <c r="AI140" s="75">
        <f>(CHOOSE(((AG140+2)-56)/2+1,SUMIFS(Donnees_generations!$U$3:$U$113,Donnees_generations!$A$3:$A$113,MAX(1915,MIN(2025,E140))),SUMIFS(Donnees_generations!$V$3:$V$113,Donnees_generations!$A$3:$A$113,MAX(1915,MIN(2025,E140))),SUMIFS(Donnees_generations!$W$3:$W$113,Donnees_generations!$A$3:$A$113,MAX(1915,MIN(2025,E140))),SUMIFS(Donnees_generations!$X$3:$X$113,Donnees_generations!$A$3:$A$113,MAX(1915,MIN(2025,E140))),SUMIFS(Donnees_generations!$Y$3:$Y$113,Donnees_generations!$A$3:$A$113,MAX(1915,MIN(2025,E140))),SUMIFS(Donnees_generations!$Z$3:$Z$113,Donnees_generations!$A$3:$A$113,MAX(1915,MIN(2025,E140))),SUMIFS(Donnees_generations!$AA$3:$AA$113,Donnees_generations!$A$3:$A$113,MAX(1915,MIN(2025,E140))),SUMIFS(Donnees_generations!$AB$3:$AB$113,Donnees_generations!$A$3:$A$113,MAX(1915,MIN(2025,E140))))+CHOOSE(((AG140+2)-56)/2+1,SUMIFS(Donnees_generations!$AC$3:$AC$113,Donnees_generations!$A$3:$A$113,MAX(1915,MIN(2025,E140))),SUMIFS(Donnees_generations!$AD$3:$AD$113,Donnees_generations!$A$3:$A$113,MAX(1915,MIN(2025,E140))),SUMIFS(Donnees_generations!$AE$3:$AE$113,Donnees_generations!$A$3:$A$113,MAX(1915,MIN(2025,E140))),SUMIFS(Donnees_generations!$AF$3:$AF$113,Donnees_generations!$A$3:$A$113,MAX(1915,MIN(2025,E140))),SUMIFS(Donnees_generations!$AG$3:$AG$113,Donnees_generations!$A$3:$A$113,MAX(1915,MIN(2025,E140))),SUMIFS(Donnees_generations!$AH$3:$AH$113,Donnees_generations!$A$3:$A$113,MAX(1915,MIN(2025,E140))),SUMIFS(Donnees_generations!$AI$3:$AI$113,Donnees_generations!$A$3:$A$113,MAX(1915,MIN(2025,E140))),SUMIFS(Donnees_generations!$AJ$3:$AJ$113,Donnees_generations!$A$3:$A$113,MAX(1915,MIN(2025,E140)))))/2</f>
        <v/>
      </c>
      <c r="AJ140" s="8">
        <f>MAX(0,AH140+(AI140-AH140)*(K140-AG140)/2)</f>
        <v/>
      </c>
      <c r="AK140" s="8">
        <f>K140+AJ140</f>
        <v/>
      </c>
      <c r="AL140" s="14">
        <f>AE140*AJ140</f>
        <v/>
      </c>
      <c r="AM140" s="17">
        <f>V140/AL140</f>
        <v/>
      </c>
      <c r="AN140" s="17">
        <f>Z140/AL140</f>
        <v/>
      </c>
      <c r="AO140" s="33">
        <f>IF(V140+Z140=0,0,Z140/(V140+Z140))</f>
        <v/>
      </c>
      <c r="AP140" s="14">
        <f>AL140/V140*100</f>
        <v/>
      </c>
      <c r="AQ140" s="8">
        <f>P140/AL140*1000</f>
        <v/>
      </c>
      <c r="AR140" s="77">
        <f>MAX(N140,M140-1)</f>
        <v/>
      </c>
      <c r="AS140" s="14">
        <f>SUMIFS(Donnees_regimes!$R$3:$R$1118,Donnees_regimes!$A$3:$A$1118,C140,Donnees_regimes!$B$3:$B$1118,"&gt;="&amp;G140,Donnees_regimes!$B$3:$B$1118,"&lt;="&amp;N140)*L140/ROUNDUP(L140,0)*SUMIFS(Donnees_annuelles!$AG$3:$AG$188,Donnees_annuelles!$A$3:$A$188,AR140)*SUMIFS(Donnees_annuelles!$AA$3:$AA$188,Donnees_annuelles!$A$3:$A$188,AR140)</f>
        <v/>
      </c>
      <c r="AT140" s="36">
        <f>AS140/V140</f>
        <v/>
      </c>
      <c r="AU140" s="14">
        <f>AL140</f>
        <v/>
      </c>
      <c r="AV140" s="39">
        <f>AS140-AL140</f>
        <v/>
      </c>
      <c r="AW140" s="9">
        <f>AS140/AL140-1</f>
        <v/>
      </c>
      <c r="AX140" s="14">
        <f>AS140/AJ140/12</f>
        <v/>
      </c>
      <c r="AY140" s="14">
        <f>AF140</f>
        <v/>
      </c>
      <c r="AZ140" s="39">
        <f>AX140-AF140</f>
        <v/>
      </c>
      <c r="BA140" s="14">
        <f>SUMIFS(Donnees_regimes!$S$3:$S$1118,Donnees_regimes!$A$3:$A$1118,C140,Donnees_regimes!$B$3:$B$1118,"&gt;="&amp;G140,Donnees_regimes!$B$3:$B$1118,"&lt;="&amp;N140)*L140/ROUNDUP(L140,0)*SUMIFS(Donnees_annuelles!$AH$3:$AH$188,Donnees_annuelles!$A$3:$A$188,AR140)*SUMIFS(Donnees_annuelles!$AA$3:$AA$188,Donnees_annuelles!$A$3:$A$188,AR140)</f>
        <v/>
      </c>
      <c r="BB140" s="39">
        <f>BA140-AL140</f>
        <v/>
      </c>
      <c r="BC140" s="7">
        <f>IF(M140+AJ140&gt;2026,IF(G140&gt;2026,"entièrement projeté","en partie projeté"),"observé")</f>
        <v/>
      </c>
    </row>
    <row r="141">
      <c r="A141" s="7" t="inlineStr">
        <is>
          <t>Génération X</t>
        </is>
      </c>
      <c r="B141" s="84" t="inlineStr">
        <is>
          <t>Fonction publique d'État</t>
        </is>
      </c>
      <c r="C141" s="7">
        <f>IF(G141&gt;=SUMIFS(Regimes!$C$5:$C$10,Regimes!$A$5:$A$10,B141),"Privé",B141)</f>
        <v/>
      </c>
      <c r="D141" s="7">
        <f>INDEX(Regimes!$D$5:$D$10,MATCH(C141,Regimes!$A$5:$A$10,0))</f>
        <v/>
      </c>
      <c r="E141" s="88" t="n">
        <v>1968</v>
      </c>
      <c r="F141" s="8">
        <f>Donnees_generations!C56</f>
        <v/>
      </c>
      <c r="G141" s="77">
        <f>Donnees_generations!D56</f>
        <v/>
      </c>
      <c r="H141" s="8">
        <f>SUMIFS(Donnees_generations!$S$3:$S$113,Donnees_generations!$A$3:$A$113,MAX(1915,MIN(2025,E141)))</f>
        <v/>
      </c>
      <c r="I141" s="8">
        <f>SUMIFS(Donnees_generations!$T$3:$T$113,Donnees_generations!$A$3:$A$113,MAX(1915,MIN(2025,E141)))</f>
        <v/>
      </c>
      <c r="J141" s="8">
        <f>IF(G141&gt;=2000,MAX(I141,Parametres!$B$3),I141)</f>
        <v/>
      </c>
      <c r="K141" s="8">
        <f>IF(C141="Privé",J141,SUMIFS(Regles_regimes!$J$3:$J$2000,Regles_regimes!$A$3:$A$2000,C141,Regles_regimes!$B$3:$B$2000,D141,Regles_regimes!$C$3:$C$2000,MAX(1915,MIN(2025,E141))))</f>
        <v/>
      </c>
      <c r="L141" s="8">
        <f>IF(C141="Privé",H141,(K141-F141)*H141/(J141-F141))</f>
        <v/>
      </c>
      <c r="M141" s="77">
        <f>INT(E141+K141)</f>
        <v/>
      </c>
      <c r="N141" s="77">
        <f>G141+ROUNDUP(L141,0)-1</f>
        <v/>
      </c>
      <c r="O141" s="89">
        <f>SUMIFS(Regles_regimes!$K$3:$K$2000,Regles_regimes!$A$3:$A$2000,C141,Regles_regimes!$B$3:$B$2000,D141,Regles_regimes!$C$3:$C$2000,MAX(1915,MIN(2025,E141)))</f>
        <v/>
      </c>
      <c r="P141" s="13">
        <f>SUMIFS(Donnees_annuelles!$W$3:$W$188,Donnees_annuelles!$A$3:$A$188,"&gt;="&amp;G141,Donnees_annuelles!$A$3:$A$188,"&lt;="&amp;N141)*L141/ROUNDUP(L141,0)*O141</f>
        <v/>
      </c>
      <c r="Q141" s="13">
        <f>SUMIFS(Donnees_annuelles!$V$3:$V$188,Donnees_annuelles!$A$3:$A$188,"&gt;="&amp;G141,Donnees_annuelles!$A$3:$A$188,"&lt;="&amp;N141)*L141/ROUNDUP(L141,0)</f>
        <v/>
      </c>
      <c r="R141" s="13">
        <f>P141/L141</f>
        <v/>
      </c>
      <c r="S141" s="14">
        <f>SUMIFS(Donnees_annuelles!$D$3:$D$188,Donnees_annuelles!$A$3:$A$188,"&gt;="&amp;G141,Donnees_annuelles!$A$3:$A$188,"&lt;="&amp;N141)*L141/ROUNDUP(L141,0)</f>
        <v/>
      </c>
      <c r="T141" s="14">
        <f>SUMIFS(Donnees_regimes!$N$3:$N$1118,Donnees_regimes!$A$3:$A$1118,C141,Donnees_regimes!$B$3:$B$1118,"&gt;="&amp;G141,Donnees_regimes!$B$3:$B$1118,"&lt;="&amp;N141)*L141/ROUNDUP(L141,0)</f>
        <v/>
      </c>
      <c r="U141" s="14">
        <f>SUMIFS(Donnees_regimes!$O$3:$O$1118,Donnees_regimes!$A$3:$A$1118,C141,Donnees_regimes!$B$3:$B$1118,"&gt;="&amp;G141,Donnees_regimes!$B$3:$B$1118,"&lt;="&amp;N141)*L141/ROUNDUP(L141,0)</f>
        <v/>
      </c>
      <c r="V141" s="14">
        <f>T141+U141</f>
        <v/>
      </c>
      <c r="W141" s="33">
        <f>V141/S141</f>
        <v/>
      </c>
      <c r="X141" s="14">
        <f>S141+U141</f>
        <v/>
      </c>
      <c r="Y141" s="17">
        <f>V141/P141</f>
        <v/>
      </c>
      <c r="Z141" s="14">
        <f>SUMIFS(Donnees_regimes!$Q$3:$Q$1118,Donnees_regimes!$A$3:$A$1118,C141,Donnees_regimes!$B$3:$B$1118,"&gt;="&amp;G141,Donnees_regimes!$B$3:$B$1118,"&lt;="&amp;N141)*L141/ROUNDUP(L141,0)</f>
        <v/>
      </c>
      <c r="AA141" s="77">
        <f>SUMIFS(Regles_regimes!$F$3:$F$2000,Regles_regimes!$A$3:$A$2000,C141,Regles_regimes!$B$3:$B$2000,D141,Regles_regimes!$C$3:$C$2000,MAX(1915,MIN(2025,E141)))</f>
        <v/>
      </c>
      <c r="AB141" s="77">
        <f>IF(AND(SUMIFS(Regles_regimes!$L$3:$L$2000,Regles_regimes!$A$3:$A$2000,C141,Regles_regimes!$B$3:$B$2000,D141,Regles_regimes!$C$3:$C$2000,MAX(1915,MIN(2025,E141)))=1,G141&lt;2009,C141&lt;&gt;"Privé"),MIN(20,L141*4/5),0)</f>
        <v/>
      </c>
      <c r="AC141" s="89">
        <f>SUMIFS(Donnees_regimes!$M$3:$M$1118,Donnees_regimes!$A$3:$A$1118,C141,Donnees_regimes!$B$3:$B$1118,M141)</f>
        <v/>
      </c>
      <c r="AD141" s="14">
        <f>SUMIFS(Donnees_annuelles!$Y$3:$Y$188,Donnees_annuelles!$A$3:$A$188,M141)*SUMIFS(Donnees_generations!$I$3:$I$113,Donnees_generations!$A$3:$A$113,MAX(1915,MIN(2025,E141)))/H141</f>
        <v/>
      </c>
      <c r="AE141" s="14">
        <f>IF(C141="Privé",SUMIFS(Donnees_annuelles!$Y$3:$Y$188,Donnees_annuelles!$A$3:$A$188,M141)*MIN(L141,SUMIFS(Donnees_generations!$I$3:$I$113,Donnees_generations!$A$3:$A$113,MAX(1915,MIN(2025,E141))))/L141,AD141*AC141*MIN(IF(AB141&gt;0,0.8/0.75,1),(L141*4+AB141)/AA141))</f>
        <v/>
      </c>
      <c r="AF141" s="14">
        <f>AE141/12</f>
        <v/>
      </c>
      <c r="AG141" s="77">
        <f>MIN(68,MAX(56,2*INT(K141/2)))</f>
        <v/>
      </c>
      <c r="AH141" s="75">
        <f>(CHOOSE((AG141-56)/2+1,SUMIFS(Donnees_generations!$U$3:$U$113,Donnees_generations!$A$3:$A$113,MAX(1915,MIN(2025,E141))),SUMIFS(Donnees_generations!$V$3:$V$113,Donnees_generations!$A$3:$A$113,MAX(1915,MIN(2025,E141))),SUMIFS(Donnees_generations!$W$3:$W$113,Donnees_generations!$A$3:$A$113,MAX(1915,MIN(2025,E141))),SUMIFS(Donnees_generations!$X$3:$X$113,Donnees_generations!$A$3:$A$113,MAX(1915,MIN(2025,E141))),SUMIFS(Donnees_generations!$Y$3:$Y$113,Donnees_generations!$A$3:$A$113,MAX(1915,MIN(2025,E141))),SUMIFS(Donnees_generations!$Z$3:$Z$113,Donnees_generations!$A$3:$A$113,MAX(1915,MIN(2025,E141))),SUMIFS(Donnees_generations!$AA$3:$AA$113,Donnees_generations!$A$3:$A$113,MAX(1915,MIN(2025,E141))),SUMIFS(Donnees_generations!$AB$3:$AB$113,Donnees_generations!$A$3:$A$113,MAX(1915,MIN(2025,E141))))+CHOOSE((AG141-56)/2+1,SUMIFS(Donnees_generations!$AC$3:$AC$113,Donnees_generations!$A$3:$A$113,MAX(1915,MIN(2025,E141))),SUMIFS(Donnees_generations!$AD$3:$AD$113,Donnees_generations!$A$3:$A$113,MAX(1915,MIN(2025,E141))),SUMIFS(Donnees_generations!$AE$3:$AE$113,Donnees_generations!$A$3:$A$113,MAX(1915,MIN(2025,E141))),SUMIFS(Donnees_generations!$AF$3:$AF$113,Donnees_generations!$A$3:$A$113,MAX(1915,MIN(2025,E141))),SUMIFS(Donnees_generations!$AG$3:$AG$113,Donnees_generations!$A$3:$A$113,MAX(1915,MIN(2025,E141))),SUMIFS(Donnees_generations!$AH$3:$AH$113,Donnees_generations!$A$3:$A$113,MAX(1915,MIN(2025,E141))),SUMIFS(Donnees_generations!$AI$3:$AI$113,Donnees_generations!$A$3:$A$113,MAX(1915,MIN(2025,E141))),SUMIFS(Donnees_generations!$AJ$3:$AJ$113,Donnees_generations!$A$3:$A$113,MAX(1915,MIN(2025,E141)))))/2</f>
        <v/>
      </c>
      <c r="AI141" s="75">
        <f>(CHOOSE(((AG141+2)-56)/2+1,SUMIFS(Donnees_generations!$U$3:$U$113,Donnees_generations!$A$3:$A$113,MAX(1915,MIN(2025,E141))),SUMIFS(Donnees_generations!$V$3:$V$113,Donnees_generations!$A$3:$A$113,MAX(1915,MIN(2025,E141))),SUMIFS(Donnees_generations!$W$3:$W$113,Donnees_generations!$A$3:$A$113,MAX(1915,MIN(2025,E141))),SUMIFS(Donnees_generations!$X$3:$X$113,Donnees_generations!$A$3:$A$113,MAX(1915,MIN(2025,E141))),SUMIFS(Donnees_generations!$Y$3:$Y$113,Donnees_generations!$A$3:$A$113,MAX(1915,MIN(2025,E141))),SUMIFS(Donnees_generations!$Z$3:$Z$113,Donnees_generations!$A$3:$A$113,MAX(1915,MIN(2025,E141))),SUMIFS(Donnees_generations!$AA$3:$AA$113,Donnees_generations!$A$3:$A$113,MAX(1915,MIN(2025,E141))),SUMIFS(Donnees_generations!$AB$3:$AB$113,Donnees_generations!$A$3:$A$113,MAX(1915,MIN(2025,E141))))+CHOOSE(((AG141+2)-56)/2+1,SUMIFS(Donnees_generations!$AC$3:$AC$113,Donnees_generations!$A$3:$A$113,MAX(1915,MIN(2025,E141))),SUMIFS(Donnees_generations!$AD$3:$AD$113,Donnees_generations!$A$3:$A$113,MAX(1915,MIN(2025,E141))),SUMIFS(Donnees_generations!$AE$3:$AE$113,Donnees_generations!$A$3:$A$113,MAX(1915,MIN(2025,E141))),SUMIFS(Donnees_generations!$AF$3:$AF$113,Donnees_generations!$A$3:$A$113,MAX(1915,MIN(2025,E141))),SUMIFS(Donnees_generations!$AG$3:$AG$113,Donnees_generations!$A$3:$A$113,MAX(1915,MIN(2025,E141))),SUMIFS(Donnees_generations!$AH$3:$AH$113,Donnees_generations!$A$3:$A$113,MAX(1915,MIN(2025,E141))),SUMIFS(Donnees_generations!$AI$3:$AI$113,Donnees_generations!$A$3:$A$113,MAX(1915,MIN(2025,E141))),SUMIFS(Donnees_generations!$AJ$3:$AJ$113,Donnees_generations!$A$3:$A$113,MAX(1915,MIN(2025,E141)))))/2</f>
        <v/>
      </c>
      <c r="AJ141" s="8">
        <f>MAX(0,AH141+(AI141-AH141)*(K141-AG141)/2)</f>
        <v/>
      </c>
      <c r="AK141" s="8">
        <f>K141+AJ141</f>
        <v/>
      </c>
      <c r="AL141" s="14">
        <f>AE141*AJ141</f>
        <v/>
      </c>
      <c r="AM141" s="17">
        <f>V141/AL141</f>
        <v/>
      </c>
      <c r="AN141" s="17">
        <f>Z141/AL141</f>
        <v/>
      </c>
      <c r="AO141" s="33">
        <f>IF(V141+Z141=0,0,Z141/(V141+Z141))</f>
        <v/>
      </c>
      <c r="AP141" s="14">
        <f>AL141/V141*100</f>
        <v/>
      </c>
      <c r="AQ141" s="8">
        <f>P141/AL141*1000</f>
        <v/>
      </c>
      <c r="AR141" s="77">
        <f>MAX(N141,M141-1)</f>
        <v/>
      </c>
      <c r="AS141" s="14">
        <f>SUMIFS(Donnees_regimes!$R$3:$R$1118,Donnees_regimes!$A$3:$A$1118,C141,Donnees_regimes!$B$3:$B$1118,"&gt;="&amp;G141,Donnees_regimes!$B$3:$B$1118,"&lt;="&amp;N141)*L141/ROUNDUP(L141,0)*SUMIFS(Donnees_annuelles!$AG$3:$AG$188,Donnees_annuelles!$A$3:$A$188,AR141)*SUMIFS(Donnees_annuelles!$AA$3:$AA$188,Donnees_annuelles!$A$3:$A$188,AR141)</f>
        <v/>
      </c>
      <c r="AT141" s="36">
        <f>AS141/V141</f>
        <v/>
      </c>
      <c r="AU141" s="14">
        <f>AL141</f>
        <v/>
      </c>
      <c r="AV141" s="39">
        <f>AS141-AL141</f>
        <v/>
      </c>
      <c r="AW141" s="9">
        <f>AS141/AL141-1</f>
        <v/>
      </c>
      <c r="AX141" s="14">
        <f>AS141/AJ141/12</f>
        <v/>
      </c>
      <c r="AY141" s="14">
        <f>AF141</f>
        <v/>
      </c>
      <c r="AZ141" s="39">
        <f>AX141-AF141</f>
        <v/>
      </c>
      <c r="BA141" s="14">
        <f>SUMIFS(Donnees_regimes!$S$3:$S$1118,Donnees_regimes!$A$3:$A$1118,C141,Donnees_regimes!$B$3:$B$1118,"&gt;="&amp;G141,Donnees_regimes!$B$3:$B$1118,"&lt;="&amp;N141)*L141/ROUNDUP(L141,0)*SUMIFS(Donnees_annuelles!$AH$3:$AH$188,Donnees_annuelles!$A$3:$A$188,AR141)*SUMIFS(Donnees_annuelles!$AA$3:$AA$188,Donnees_annuelles!$A$3:$A$188,AR141)</f>
        <v/>
      </c>
      <c r="BB141" s="39">
        <f>BA141-AL141</f>
        <v/>
      </c>
      <c r="BC141" s="7">
        <f>IF(M141+AJ141&gt;2026,IF(G141&gt;2026,"entièrement projeté","en partie projeté"),"observé")</f>
        <v/>
      </c>
    </row>
    <row r="142">
      <c r="A142" s="7" t="inlineStr">
        <is>
          <t>Génération X</t>
        </is>
      </c>
      <c r="B142" s="84" t="inlineStr">
        <is>
          <t>Fonction publique d'État</t>
        </is>
      </c>
      <c r="C142" s="7">
        <f>IF(G142&gt;=SUMIFS(Regimes!$C$5:$C$10,Regimes!$A$5:$A$10,B142),"Privé",B142)</f>
        <v/>
      </c>
      <c r="D142" s="7">
        <f>INDEX(Regimes!$D$5:$D$10,MATCH(C142,Regimes!$A$5:$A$10,0))</f>
        <v/>
      </c>
      <c r="E142" s="88" t="n">
        <v>1969</v>
      </c>
      <c r="F142" s="8">
        <f>Donnees_generations!C57</f>
        <v/>
      </c>
      <c r="G142" s="77">
        <f>Donnees_generations!D57</f>
        <v/>
      </c>
      <c r="H142" s="8">
        <f>SUMIFS(Donnees_generations!$S$3:$S$113,Donnees_generations!$A$3:$A$113,MAX(1915,MIN(2025,E142)))</f>
        <v/>
      </c>
      <c r="I142" s="8">
        <f>SUMIFS(Donnees_generations!$T$3:$T$113,Donnees_generations!$A$3:$A$113,MAX(1915,MIN(2025,E142)))</f>
        <v/>
      </c>
      <c r="J142" s="8">
        <f>IF(G142&gt;=2000,MAX(I142,Parametres!$B$3),I142)</f>
        <v/>
      </c>
      <c r="K142" s="8">
        <f>IF(C142="Privé",J142,SUMIFS(Regles_regimes!$J$3:$J$2000,Regles_regimes!$A$3:$A$2000,C142,Regles_regimes!$B$3:$B$2000,D142,Regles_regimes!$C$3:$C$2000,MAX(1915,MIN(2025,E142))))</f>
        <v/>
      </c>
      <c r="L142" s="8">
        <f>IF(C142="Privé",H142,(K142-F142)*H142/(J142-F142))</f>
        <v/>
      </c>
      <c r="M142" s="77">
        <f>INT(E142+K142)</f>
        <v/>
      </c>
      <c r="N142" s="77">
        <f>G142+ROUNDUP(L142,0)-1</f>
        <v/>
      </c>
      <c r="O142" s="89">
        <f>SUMIFS(Regles_regimes!$K$3:$K$2000,Regles_regimes!$A$3:$A$2000,C142,Regles_regimes!$B$3:$B$2000,D142,Regles_regimes!$C$3:$C$2000,MAX(1915,MIN(2025,E142)))</f>
        <v/>
      </c>
      <c r="P142" s="13">
        <f>SUMIFS(Donnees_annuelles!$W$3:$W$188,Donnees_annuelles!$A$3:$A$188,"&gt;="&amp;G142,Donnees_annuelles!$A$3:$A$188,"&lt;="&amp;N142)*L142/ROUNDUP(L142,0)*O142</f>
        <v/>
      </c>
      <c r="Q142" s="13">
        <f>SUMIFS(Donnees_annuelles!$V$3:$V$188,Donnees_annuelles!$A$3:$A$188,"&gt;="&amp;G142,Donnees_annuelles!$A$3:$A$188,"&lt;="&amp;N142)*L142/ROUNDUP(L142,0)</f>
        <v/>
      </c>
      <c r="R142" s="13">
        <f>P142/L142</f>
        <v/>
      </c>
      <c r="S142" s="14">
        <f>SUMIFS(Donnees_annuelles!$D$3:$D$188,Donnees_annuelles!$A$3:$A$188,"&gt;="&amp;G142,Donnees_annuelles!$A$3:$A$188,"&lt;="&amp;N142)*L142/ROUNDUP(L142,0)</f>
        <v/>
      </c>
      <c r="T142" s="14">
        <f>SUMIFS(Donnees_regimes!$N$3:$N$1118,Donnees_regimes!$A$3:$A$1118,C142,Donnees_regimes!$B$3:$B$1118,"&gt;="&amp;G142,Donnees_regimes!$B$3:$B$1118,"&lt;="&amp;N142)*L142/ROUNDUP(L142,0)</f>
        <v/>
      </c>
      <c r="U142" s="14">
        <f>SUMIFS(Donnees_regimes!$O$3:$O$1118,Donnees_regimes!$A$3:$A$1118,C142,Donnees_regimes!$B$3:$B$1118,"&gt;="&amp;G142,Donnees_regimes!$B$3:$B$1118,"&lt;="&amp;N142)*L142/ROUNDUP(L142,0)</f>
        <v/>
      </c>
      <c r="V142" s="14">
        <f>T142+U142</f>
        <v/>
      </c>
      <c r="W142" s="33">
        <f>V142/S142</f>
        <v/>
      </c>
      <c r="X142" s="14">
        <f>S142+U142</f>
        <v/>
      </c>
      <c r="Y142" s="17">
        <f>V142/P142</f>
        <v/>
      </c>
      <c r="Z142" s="14">
        <f>SUMIFS(Donnees_regimes!$Q$3:$Q$1118,Donnees_regimes!$A$3:$A$1118,C142,Donnees_regimes!$B$3:$B$1118,"&gt;="&amp;G142,Donnees_regimes!$B$3:$B$1118,"&lt;="&amp;N142)*L142/ROUNDUP(L142,0)</f>
        <v/>
      </c>
      <c r="AA142" s="77">
        <f>SUMIFS(Regles_regimes!$F$3:$F$2000,Regles_regimes!$A$3:$A$2000,C142,Regles_regimes!$B$3:$B$2000,D142,Regles_regimes!$C$3:$C$2000,MAX(1915,MIN(2025,E142)))</f>
        <v/>
      </c>
      <c r="AB142" s="77">
        <f>IF(AND(SUMIFS(Regles_regimes!$L$3:$L$2000,Regles_regimes!$A$3:$A$2000,C142,Regles_regimes!$B$3:$B$2000,D142,Regles_regimes!$C$3:$C$2000,MAX(1915,MIN(2025,E142)))=1,G142&lt;2009,C142&lt;&gt;"Privé"),MIN(20,L142*4/5),0)</f>
        <v/>
      </c>
      <c r="AC142" s="89">
        <f>SUMIFS(Donnees_regimes!$M$3:$M$1118,Donnees_regimes!$A$3:$A$1118,C142,Donnees_regimes!$B$3:$B$1118,M142)</f>
        <v/>
      </c>
      <c r="AD142" s="14">
        <f>SUMIFS(Donnees_annuelles!$Y$3:$Y$188,Donnees_annuelles!$A$3:$A$188,M142)*SUMIFS(Donnees_generations!$I$3:$I$113,Donnees_generations!$A$3:$A$113,MAX(1915,MIN(2025,E142)))/H142</f>
        <v/>
      </c>
      <c r="AE142" s="14">
        <f>IF(C142="Privé",SUMIFS(Donnees_annuelles!$Y$3:$Y$188,Donnees_annuelles!$A$3:$A$188,M142)*MIN(L142,SUMIFS(Donnees_generations!$I$3:$I$113,Donnees_generations!$A$3:$A$113,MAX(1915,MIN(2025,E142))))/L142,AD142*AC142*MIN(IF(AB142&gt;0,0.8/0.75,1),(L142*4+AB142)/AA142))</f>
        <v/>
      </c>
      <c r="AF142" s="14">
        <f>AE142/12</f>
        <v/>
      </c>
      <c r="AG142" s="77">
        <f>MIN(68,MAX(56,2*INT(K142/2)))</f>
        <v/>
      </c>
      <c r="AH142" s="75">
        <f>(CHOOSE((AG142-56)/2+1,SUMIFS(Donnees_generations!$U$3:$U$113,Donnees_generations!$A$3:$A$113,MAX(1915,MIN(2025,E142))),SUMIFS(Donnees_generations!$V$3:$V$113,Donnees_generations!$A$3:$A$113,MAX(1915,MIN(2025,E142))),SUMIFS(Donnees_generations!$W$3:$W$113,Donnees_generations!$A$3:$A$113,MAX(1915,MIN(2025,E142))),SUMIFS(Donnees_generations!$X$3:$X$113,Donnees_generations!$A$3:$A$113,MAX(1915,MIN(2025,E142))),SUMIFS(Donnees_generations!$Y$3:$Y$113,Donnees_generations!$A$3:$A$113,MAX(1915,MIN(2025,E142))),SUMIFS(Donnees_generations!$Z$3:$Z$113,Donnees_generations!$A$3:$A$113,MAX(1915,MIN(2025,E142))),SUMIFS(Donnees_generations!$AA$3:$AA$113,Donnees_generations!$A$3:$A$113,MAX(1915,MIN(2025,E142))),SUMIFS(Donnees_generations!$AB$3:$AB$113,Donnees_generations!$A$3:$A$113,MAX(1915,MIN(2025,E142))))+CHOOSE((AG142-56)/2+1,SUMIFS(Donnees_generations!$AC$3:$AC$113,Donnees_generations!$A$3:$A$113,MAX(1915,MIN(2025,E142))),SUMIFS(Donnees_generations!$AD$3:$AD$113,Donnees_generations!$A$3:$A$113,MAX(1915,MIN(2025,E142))),SUMIFS(Donnees_generations!$AE$3:$AE$113,Donnees_generations!$A$3:$A$113,MAX(1915,MIN(2025,E142))),SUMIFS(Donnees_generations!$AF$3:$AF$113,Donnees_generations!$A$3:$A$113,MAX(1915,MIN(2025,E142))),SUMIFS(Donnees_generations!$AG$3:$AG$113,Donnees_generations!$A$3:$A$113,MAX(1915,MIN(2025,E142))),SUMIFS(Donnees_generations!$AH$3:$AH$113,Donnees_generations!$A$3:$A$113,MAX(1915,MIN(2025,E142))),SUMIFS(Donnees_generations!$AI$3:$AI$113,Donnees_generations!$A$3:$A$113,MAX(1915,MIN(2025,E142))),SUMIFS(Donnees_generations!$AJ$3:$AJ$113,Donnees_generations!$A$3:$A$113,MAX(1915,MIN(2025,E142)))))/2</f>
        <v/>
      </c>
      <c r="AI142" s="75">
        <f>(CHOOSE(((AG142+2)-56)/2+1,SUMIFS(Donnees_generations!$U$3:$U$113,Donnees_generations!$A$3:$A$113,MAX(1915,MIN(2025,E142))),SUMIFS(Donnees_generations!$V$3:$V$113,Donnees_generations!$A$3:$A$113,MAX(1915,MIN(2025,E142))),SUMIFS(Donnees_generations!$W$3:$W$113,Donnees_generations!$A$3:$A$113,MAX(1915,MIN(2025,E142))),SUMIFS(Donnees_generations!$X$3:$X$113,Donnees_generations!$A$3:$A$113,MAX(1915,MIN(2025,E142))),SUMIFS(Donnees_generations!$Y$3:$Y$113,Donnees_generations!$A$3:$A$113,MAX(1915,MIN(2025,E142))),SUMIFS(Donnees_generations!$Z$3:$Z$113,Donnees_generations!$A$3:$A$113,MAX(1915,MIN(2025,E142))),SUMIFS(Donnees_generations!$AA$3:$AA$113,Donnees_generations!$A$3:$A$113,MAX(1915,MIN(2025,E142))),SUMIFS(Donnees_generations!$AB$3:$AB$113,Donnees_generations!$A$3:$A$113,MAX(1915,MIN(2025,E142))))+CHOOSE(((AG142+2)-56)/2+1,SUMIFS(Donnees_generations!$AC$3:$AC$113,Donnees_generations!$A$3:$A$113,MAX(1915,MIN(2025,E142))),SUMIFS(Donnees_generations!$AD$3:$AD$113,Donnees_generations!$A$3:$A$113,MAX(1915,MIN(2025,E142))),SUMIFS(Donnees_generations!$AE$3:$AE$113,Donnees_generations!$A$3:$A$113,MAX(1915,MIN(2025,E142))),SUMIFS(Donnees_generations!$AF$3:$AF$113,Donnees_generations!$A$3:$A$113,MAX(1915,MIN(2025,E142))),SUMIFS(Donnees_generations!$AG$3:$AG$113,Donnees_generations!$A$3:$A$113,MAX(1915,MIN(2025,E142))),SUMIFS(Donnees_generations!$AH$3:$AH$113,Donnees_generations!$A$3:$A$113,MAX(1915,MIN(2025,E142))),SUMIFS(Donnees_generations!$AI$3:$AI$113,Donnees_generations!$A$3:$A$113,MAX(1915,MIN(2025,E142))),SUMIFS(Donnees_generations!$AJ$3:$AJ$113,Donnees_generations!$A$3:$A$113,MAX(1915,MIN(2025,E142)))))/2</f>
        <v/>
      </c>
      <c r="AJ142" s="8">
        <f>MAX(0,AH142+(AI142-AH142)*(K142-AG142)/2)</f>
        <v/>
      </c>
      <c r="AK142" s="8">
        <f>K142+AJ142</f>
        <v/>
      </c>
      <c r="AL142" s="14">
        <f>AE142*AJ142</f>
        <v/>
      </c>
      <c r="AM142" s="17">
        <f>V142/AL142</f>
        <v/>
      </c>
      <c r="AN142" s="17">
        <f>Z142/AL142</f>
        <v/>
      </c>
      <c r="AO142" s="33">
        <f>IF(V142+Z142=0,0,Z142/(V142+Z142))</f>
        <v/>
      </c>
      <c r="AP142" s="14">
        <f>AL142/V142*100</f>
        <v/>
      </c>
      <c r="AQ142" s="8">
        <f>P142/AL142*1000</f>
        <v/>
      </c>
      <c r="AR142" s="77">
        <f>MAX(N142,M142-1)</f>
        <v/>
      </c>
      <c r="AS142" s="14">
        <f>SUMIFS(Donnees_regimes!$R$3:$R$1118,Donnees_regimes!$A$3:$A$1118,C142,Donnees_regimes!$B$3:$B$1118,"&gt;="&amp;G142,Donnees_regimes!$B$3:$B$1118,"&lt;="&amp;N142)*L142/ROUNDUP(L142,0)*SUMIFS(Donnees_annuelles!$AG$3:$AG$188,Donnees_annuelles!$A$3:$A$188,AR142)*SUMIFS(Donnees_annuelles!$AA$3:$AA$188,Donnees_annuelles!$A$3:$A$188,AR142)</f>
        <v/>
      </c>
      <c r="AT142" s="36">
        <f>AS142/V142</f>
        <v/>
      </c>
      <c r="AU142" s="14">
        <f>AL142</f>
        <v/>
      </c>
      <c r="AV142" s="39">
        <f>AS142-AL142</f>
        <v/>
      </c>
      <c r="AW142" s="9">
        <f>AS142/AL142-1</f>
        <v/>
      </c>
      <c r="AX142" s="14">
        <f>AS142/AJ142/12</f>
        <v/>
      </c>
      <c r="AY142" s="14">
        <f>AF142</f>
        <v/>
      </c>
      <c r="AZ142" s="39">
        <f>AX142-AF142</f>
        <v/>
      </c>
      <c r="BA142" s="14">
        <f>SUMIFS(Donnees_regimes!$S$3:$S$1118,Donnees_regimes!$A$3:$A$1118,C142,Donnees_regimes!$B$3:$B$1118,"&gt;="&amp;G142,Donnees_regimes!$B$3:$B$1118,"&lt;="&amp;N142)*L142/ROUNDUP(L142,0)*SUMIFS(Donnees_annuelles!$AH$3:$AH$188,Donnees_annuelles!$A$3:$A$188,AR142)*SUMIFS(Donnees_annuelles!$AA$3:$AA$188,Donnees_annuelles!$A$3:$A$188,AR142)</f>
        <v/>
      </c>
      <c r="BB142" s="39">
        <f>BA142-AL142</f>
        <v/>
      </c>
      <c r="BC142" s="7">
        <f>IF(M142+AJ142&gt;2026,IF(G142&gt;2026,"entièrement projeté","en partie projeté"),"observé")</f>
        <v/>
      </c>
    </row>
    <row r="143">
      <c r="A143" s="7" t="inlineStr">
        <is>
          <t>Génération X</t>
        </is>
      </c>
      <c r="B143" s="84" t="inlineStr">
        <is>
          <t>Fonction publique d'État</t>
        </is>
      </c>
      <c r="C143" s="7">
        <f>IF(G143&gt;=SUMIFS(Regimes!$C$5:$C$10,Regimes!$A$5:$A$10,B143),"Privé",B143)</f>
        <v/>
      </c>
      <c r="D143" s="7">
        <f>INDEX(Regimes!$D$5:$D$10,MATCH(C143,Regimes!$A$5:$A$10,0))</f>
        <v/>
      </c>
      <c r="E143" s="88" t="n">
        <v>1970</v>
      </c>
      <c r="F143" s="8">
        <f>Donnees_generations!C58</f>
        <v/>
      </c>
      <c r="G143" s="77">
        <f>Donnees_generations!D58</f>
        <v/>
      </c>
      <c r="H143" s="8">
        <f>SUMIFS(Donnees_generations!$S$3:$S$113,Donnees_generations!$A$3:$A$113,MAX(1915,MIN(2025,E143)))</f>
        <v/>
      </c>
      <c r="I143" s="8">
        <f>SUMIFS(Donnees_generations!$T$3:$T$113,Donnees_generations!$A$3:$A$113,MAX(1915,MIN(2025,E143)))</f>
        <v/>
      </c>
      <c r="J143" s="8">
        <f>IF(G143&gt;=2000,MAX(I143,Parametres!$B$3),I143)</f>
        <v/>
      </c>
      <c r="K143" s="8">
        <f>IF(C143="Privé",J143,SUMIFS(Regles_regimes!$J$3:$J$2000,Regles_regimes!$A$3:$A$2000,C143,Regles_regimes!$B$3:$B$2000,D143,Regles_regimes!$C$3:$C$2000,MAX(1915,MIN(2025,E143))))</f>
        <v/>
      </c>
      <c r="L143" s="8">
        <f>IF(C143="Privé",H143,(K143-F143)*H143/(J143-F143))</f>
        <v/>
      </c>
      <c r="M143" s="77">
        <f>INT(E143+K143)</f>
        <v/>
      </c>
      <c r="N143" s="77">
        <f>G143+ROUNDUP(L143,0)-1</f>
        <v/>
      </c>
      <c r="O143" s="89">
        <f>SUMIFS(Regles_regimes!$K$3:$K$2000,Regles_regimes!$A$3:$A$2000,C143,Regles_regimes!$B$3:$B$2000,D143,Regles_regimes!$C$3:$C$2000,MAX(1915,MIN(2025,E143)))</f>
        <v/>
      </c>
      <c r="P143" s="13">
        <f>SUMIFS(Donnees_annuelles!$W$3:$W$188,Donnees_annuelles!$A$3:$A$188,"&gt;="&amp;G143,Donnees_annuelles!$A$3:$A$188,"&lt;="&amp;N143)*L143/ROUNDUP(L143,0)*O143</f>
        <v/>
      </c>
      <c r="Q143" s="13">
        <f>SUMIFS(Donnees_annuelles!$V$3:$V$188,Donnees_annuelles!$A$3:$A$188,"&gt;="&amp;G143,Donnees_annuelles!$A$3:$A$188,"&lt;="&amp;N143)*L143/ROUNDUP(L143,0)</f>
        <v/>
      </c>
      <c r="R143" s="13">
        <f>P143/L143</f>
        <v/>
      </c>
      <c r="S143" s="14">
        <f>SUMIFS(Donnees_annuelles!$D$3:$D$188,Donnees_annuelles!$A$3:$A$188,"&gt;="&amp;G143,Donnees_annuelles!$A$3:$A$188,"&lt;="&amp;N143)*L143/ROUNDUP(L143,0)</f>
        <v/>
      </c>
      <c r="T143" s="14">
        <f>SUMIFS(Donnees_regimes!$N$3:$N$1118,Donnees_regimes!$A$3:$A$1118,C143,Donnees_regimes!$B$3:$B$1118,"&gt;="&amp;G143,Donnees_regimes!$B$3:$B$1118,"&lt;="&amp;N143)*L143/ROUNDUP(L143,0)</f>
        <v/>
      </c>
      <c r="U143" s="14">
        <f>SUMIFS(Donnees_regimes!$O$3:$O$1118,Donnees_regimes!$A$3:$A$1118,C143,Donnees_regimes!$B$3:$B$1118,"&gt;="&amp;G143,Donnees_regimes!$B$3:$B$1118,"&lt;="&amp;N143)*L143/ROUNDUP(L143,0)</f>
        <v/>
      </c>
      <c r="V143" s="14">
        <f>T143+U143</f>
        <v/>
      </c>
      <c r="W143" s="33">
        <f>V143/S143</f>
        <v/>
      </c>
      <c r="X143" s="14">
        <f>S143+U143</f>
        <v/>
      </c>
      <c r="Y143" s="17">
        <f>V143/P143</f>
        <v/>
      </c>
      <c r="Z143" s="14">
        <f>SUMIFS(Donnees_regimes!$Q$3:$Q$1118,Donnees_regimes!$A$3:$A$1118,C143,Donnees_regimes!$B$3:$B$1118,"&gt;="&amp;G143,Donnees_regimes!$B$3:$B$1118,"&lt;="&amp;N143)*L143/ROUNDUP(L143,0)</f>
        <v/>
      </c>
      <c r="AA143" s="77">
        <f>SUMIFS(Regles_regimes!$F$3:$F$2000,Regles_regimes!$A$3:$A$2000,C143,Regles_regimes!$B$3:$B$2000,D143,Regles_regimes!$C$3:$C$2000,MAX(1915,MIN(2025,E143)))</f>
        <v/>
      </c>
      <c r="AB143" s="77">
        <f>IF(AND(SUMIFS(Regles_regimes!$L$3:$L$2000,Regles_regimes!$A$3:$A$2000,C143,Regles_regimes!$B$3:$B$2000,D143,Regles_regimes!$C$3:$C$2000,MAX(1915,MIN(2025,E143)))=1,G143&lt;2009,C143&lt;&gt;"Privé"),MIN(20,L143*4/5),0)</f>
        <v/>
      </c>
      <c r="AC143" s="89">
        <f>SUMIFS(Donnees_regimes!$M$3:$M$1118,Donnees_regimes!$A$3:$A$1118,C143,Donnees_regimes!$B$3:$B$1118,M143)</f>
        <v/>
      </c>
      <c r="AD143" s="14">
        <f>SUMIFS(Donnees_annuelles!$Y$3:$Y$188,Donnees_annuelles!$A$3:$A$188,M143)*SUMIFS(Donnees_generations!$I$3:$I$113,Donnees_generations!$A$3:$A$113,MAX(1915,MIN(2025,E143)))/H143</f>
        <v/>
      </c>
      <c r="AE143" s="14">
        <f>IF(C143="Privé",SUMIFS(Donnees_annuelles!$Y$3:$Y$188,Donnees_annuelles!$A$3:$A$188,M143)*MIN(L143,SUMIFS(Donnees_generations!$I$3:$I$113,Donnees_generations!$A$3:$A$113,MAX(1915,MIN(2025,E143))))/L143,AD143*AC143*MIN(IF(AB143&gt;0,0.8/0.75,1),(L143*4+AB143)/AA143))</f>
        <v/>
      </c>
      <c r="AF143" s="14">
        <f>AE143/12</f>
        <v/>
      </c>
      <c r="AG143" s="77">
        <f>MIN(68,MAX(56,2*INT(K143/2)))</f>
        <v/>
      </c>
      <c r="AH143" s="75">
        <f>(CHOOSE((AG143-56)/2+1,SUMIFS(Donnees_generations!$U$3:$U$113,Donnees_generations!$A$3:$A$113,MAX(1915,MIN(2025,E143))),SUMIFS(Donnees_generations!$V$3:$V$113,Donnees_generations!$A$3:$A$113,MAX(1915,MIN(2025,E143))),SUMIFS(Donnees_generations!$W$3:$W$113,Donnees_generations!$A$3:$A$113,MAX(1915,MIN(2025,E143))),SUMIFS(Donnees_generations!$X$3:$X$113,Donnees_generations!$A$3:$A$113,MAX(1915,MIN(2025,E143))),SUMIFS(Donnees_generations!$Y$3:$Y$113,Donnees_generations!$A$3:$A$113,MAX(1915,MIN(2025,E143))),SUMIFS(Donnees_generations!$Z$3:$Z$113,Donnees_generations!$A$3:$A$113,MAX(1915,MIN(2025,E143))),SUMIFS(Donnees_generations!$AA$3:$AA$113,Donnees_generations!$A$3:$A$113,MAX(1915,MIN(2025,E143))),SUMIFS(Donnees_generations!$AB$3:$AB$113,Donnees_generations!$A$3:$A$113,MAX(1915,MIN(2025,E143))))+CHOOSE((AG143-56)/2+1,SUMIFS(Donnees_generations!$AC$3:$AC$113,Donnees_generations!$A$3:$A$113,MAX(1915,MIN(2025,E143))),SUMIFS(Donnees_generations!$AD$3:$AD$113,Donnees_generations!$A$3:$A$113,MAX(1915,MIN(2025,E143))),SUMIFS(Donnees_generations!$AE$3:$AE$113,Donnees_generations!$A$3:$A$113,MAX(1915,MIN(2025,E143))),SUMIFS(Donnees_generations!$AF$3:$AF$113,Donnees_generations!$A$3:$A$113,MAX(1915,MIN(2025,E143))),SUMIFS(Donnees_generations!$AG$3:$AG$113,Donnees_generations!$A$3:$A$113,MAX(1915,MIN(2025,E143))),SUMIFS(Donnees_generations!$AH$3:$AH$113,Donnees_generations!$A$3:$A$113,MAX(1915,MIN(2025,E143))),SUMIFS(Donnees_generations!$AI$3:$AI$113,Donnees_generations!$A$3:$A$113,MAX(1915,MIN(2025,E143))),SUMIFS(Donnees_generations!$AJ$3:$AJ$113,Donnees_generations!$A$3:$A$113,MAX(1915,MIN(2025,E143)))))/2</f>
        <v/>
      </c>
      <c r="AI143" s="75">
        <f>(CHOOSE(((AG143+2)-56)/2+1,SUMIFS(Donnees_generations!$U$3:$U$113,Donnees_generations!$A$3:$A$113,MAX(1915,MIN(2025,E143))),SUMIFS(Donnees_generations!$V$3:$V$113,Donnees_generations!$A$3:$A$113,MAX(1915,MIN(2025,E143))),SUMIFS(Donnees_generations!$W$3:$W$113,Donnees_generations!$A$3:$A$113,MAX(1915,MIN(2025,E143))),SUMIFS(Donnees_generations!$X$3:$X$113,Donnees_generations!$A$3:$A$113,MAX(1915,MIN(2025,E143))),SUMIFS(Donnees_generations!$Y$3:$Y$113,Donnees_generations!$A$3:$A$113,MAX(1915,MIN(2025,E143))),SUMIFS(Donnees_generations!$Z$3:$Z$113,Donnees_generations!$A$3:$A$113,MAX(1915,MIN(2025,E143))),SUMIFS(Donnees_generations!$AA$3:$AA$113,Donnees_generations!$A$3:$A$113,MAX(1915,MIN(2025,E143))),SUMIFS(Donnees_generations!$AB$3:$AB$113,Donnees_generations!$A$3:$A$113,MAX(1915,MIN(2025,E143))))+CHOOSE(((AG143+2)-56)/2+1,SUMIFS(Donnees_generations!$AC$3:$AC$113,Donnees_generations!$A$3:$A$113,MAX(1915,MIN(2025,E143))),SUMIFS(Donnees_generations!$AD$3:$AD$113,Donnees_generations!$A$3:$A$113,MAX(1915,MIN(2025,E143))),SUMIFS(Donnees_generations!$AE$3:$AE$113,Donnees_generations!$A$3:$A$113,MAX(1915,MIN(2025,E143))),SUMIFS(Donnees_generations!$AF$3:$AF$113,Donnees_generations!$A$3:$A$113,MAX(1915,MIN(2025,E143))),SUMIFS(Donnees_generations!$AG$3:$AG$113,Donnees_generations!$A$3:$A$113,MAX(1915,MIN(2025,E143))),SUMIFS(Donnees_generations!$AH$3:$AH$113,Donnees_generations!$A$3:$A$113,MAX(1915,MIN(2025,E143))),SUMIFS(Donnees_generations!$AI$3:$AI$113,Donnees_generations!$A$3:$A$113,MAX(1915,MIN(2025,E143))),SUMIFS(Donnees_generations!$AJ$3:$AJ$113,Donnees_generations!$A$3:$A$113,MAX(1915,MIN(2025,E143)))))/2</f>
        <v/>
      </c>
      <c r="AJ143" s="8">
        <f>MAX(0,AH143+(AI143-AH143)*(K143-AG143)/2)</f>
        <v/>
      </c>
      <c r="AK143" s="8">
        <f>K143+AJ143</f>
        <v/>
      </c>
      <c r="AL143" s="14">
        <f>AE143*AJ143</f>
        <v/>
      </c>
      <c r="AM143" s="17">
        <f>V143/AL143</f>
        <v/>
      </c>
      <c r="AN143" s="17">
        <f>Z143/AL143</f>
        <v/>
      </c>
      <c r="AO143" s="33">
        <f>IF(V143+Z143=0,0,Z143/(V143+Z143))</f>
        <v/>
      </c>
      <c r="AP143" s="14">
        <f>AL143/V143*100</f>
        <v/>
      </c>
      <c r="AQ143" s="8">
        <f>P143/AL143*1000</f>
        <v/>
      </c>
      <c r="AR143" s="77">
        <f>MAX(N143,M143-1)</f>
        <v/>
      </c>
      <c r="AS143" s="14">
        <f>SUMIFS(Donnees_regimes!$R$3:$R$1118,Donnees_regimes!$A$3:$A$1118,C143,Donnees_regimes!$B$3:$B$1118,"&gt;="&amp;G143,Donnees_regimes!$B$3:$B$1118,"&lt;="&amp;N143)*L143/ROUNDUP(L143,0)*SUMIFS(Donnees_annuelles!$AG$3:$AG$188,Donnees_annuelles!$A$3:$A$188,AR143)*SUMIFS(Donnees_annuelles!$AA$3:$AA$188,Donnees_annuelles!$A$3:$A$188,AR143)</f>
        <v/>
      </c>
      <c r="AT143" s="36">
        <f>AS143/V143</f>
        <v/>
      </c>
      <c r="AU143" s="14">
        <f>AL143</f>
        <v/>
      </c>
      <c r="AV143" s="39">
        <f>AS143-AL143</f>
        <v/>
      </c>
      <c r="AW143" s="9">
        <f>AS143/AL143-1</f>
        <v/>
      </c>
      <c r="AX143" s="14">
        <f>AS143/AJ143/12</f>
        <v/>
      </c>
      <c r="AY143" s="14">
        <f>AF143</f>
        <v/>
      </c>
      <c r="AZ143" s="39">
        <f>AX143-AF143</f>
        <v/>
      </c>
      <c r="BA143" s="14">
        <f>SUMIFS(Donnees_regimes!$S$3:$S$1118,Donnees_regimes!$A$3:$A$1118,C143,Donnees_regimes!$B$3:$B$1118,"&gt;="&amp;G143,Donnees_regimes!$B$3:$B$1118,"&lt;="&amp;N143)*L143/ROUNDUP(L143,0)*SUMIFS(Donnees_annuelles!$AH$3:$AH$188,Donnees_annuelles!$A$3:$A$188,AR143)*SUMIFS(Donnees_annuelles!$AA$3:$AA$188,Donnees_annuelles!$A$3:$A$188,AR143)</f>
        <v/>
      </c>
      <c r="BB143" s="39">
        <f>BA143-AL143</f>
        <v/>
      </c>
      <c r="BC143" s="7">
        <f>IF(M143+AJ143&gt;2026,IF(G143&gt;2026,"entièrement projeté","en partie projeté"),"observé")</f>
        <v/>
      </c>
    </row>
    <row r="144">
      <c r="A144" s="7" t="inlineStr">
        <is>
          <t>Génération X</t>
        </is>
      </c>
      <c r="B144" s="84" t="inlineStr">
        <is>
          <t>Fonction publique d'État</t>
        </is>
      </c>
      <c r="C144" s="7">
        <f>IF(G144&gt;=SUMIFS(Regimes!$C$5:$C$10,Regimes!$A$5:$A$10,B144),"Privé",B144)</f>
        <v/>
      </c>
      <c r="D144" s="7">
        <f>INDEX(Regimes!$D$5:$D$10,MATCH(C144,Regimes!$A$5:$A$10,0))</f>
        <v/>
      </c>
      <c r="E144" s="88" t="n">
        <v>1971</v>
      </c>
      <c r="F144" s="8">
        <f>Donnees_generations!C59</f>
        <v/>
      </c>
      <c r="G144" s="77">
        <f>Donnees_generations!D59</f>
        <v/>
      </c>
      <c r="H144" s="8">
        <f>SUMIFS(Donnees_generations!$S$3:$S$113,Donnees_generations!$A$3:$A$113,MAX(1915,MIN(2025,E144)))</f>
        <v/>
      </c>
      <c r="I144" s="8">
        <f>SUMIFS(Donnees_generations!$T$3:$T$113,Donnees_generations!$A$3:$A$113,MAX(1915,MIN(2025,E144)))</f>
        <v/>
      </c>
      <c r="J144" s="8">
        <f>IF(G144&gt;=2000,MAX(I144,Parametres!$B$3),I144)</f>
        <v/>
      </c>
      <c r="K144" s="8">
        <f>IF(C144="Privé",J144,SUMIFS(Regles_regimes!$J$3:$J$2000,Regles_regimes!$A$3:$A$2000,C144,Regles_regimes!$B$3:$B$2000,D144,Regles_regimes!$C$3:$C$2000,MAX(1915,MIN(2025,E144))))</f>
        <v/>
      </c>
      <c r="L144" s="8">
        <f>IF(C144="Privé",H144,(K144-F144)*H144/(J144-F144))</f>
        <v/>
      </c>
      <c r="M144" s="77">
        <f>INT(E144+K144)</f>
        <v/>
      </c>
      <c r="N144" s="77">
        <f>G144+ROUNDUP(L144,0)-1</f>
        <v/>
      </c>
      <c r="O144" s="89">
        <f>SUMIFS(Regles_regimes!$K$3:$K$2000,Regles_regimes!$A$3:$A$2000,C144,Regles_regimes!$B$3:$B$2000,D144,Regles_regimes!$C$3:$C$2000,MAX(1915,MIN(2025,E144)))</f>
        <v/>
      </c>
      <c r="P144" s="13">
        <f>SUMIFS(Donnees_annuelles!$W$3:$W$188,Donnees_annuelles!$A$3:$A$188,"&gt;="&amp;G144,Donnees_annuelles!$A$3:$A$188,"&lt;="&amp;N144)*L144/ROUNDUP(L144,0)*O144</f>
        <v/>
      </c>
      <c r="Q144" s="13">
        <f>SUMIFS(Donnees_annuelles!$V$3:$V$188,Donnees_annuelles!$A$3:$A$188,"&gt;="&amp;G144,Donnees_annuelles!$A$3:$A$188,"&lt;="&amp;N144)*L144/ROUNDUP(L144,0)</f>
        <v/>
      </c>
      <c r="R144" s="13">
        <f>P144/L144</f>
        <v/>
      </c>
      <c r="S144" s="14">
        <f>SUMIFS(Donnees_annuelles!$D$3:$D$188,Donnees_annuelles!$A$3:$A$188,"&gt;="&amp;G144,Donnees_annuelles!$A$3:$A$188,"&lt;="&amp;N144)*L144/ROUNDUP(L144,0)</f>
        <v/>
      </c>
      <c r="T144" s="14">
        <f>SUMIFS(Donnees_regimes!$N$3:$N$1118,Donnees_regimes!$A$3:$A$1118,C144,Donnees_regimes!$B$3:$B$1118,"&gt;="&amp;G144,Donnees_regimes!$B$3:$B$1118,"&lt;="&amp;N144)*L144/ROUNDUP(L144,0)</f>
        <v/>
      </c>
      <c r="U144" s="14">
        <f>SUMIFS(Donnees_regimes!$O$3:$O$1118,Donnees_regimes!$A$3:$A$1118,C144,Donnees_regimes!$B$3:$B$1118,"&gt;="&amp;G144,Donnees_regimes!$B$3:$B$1118,"&lt;="&amp;N144)*L144/ROUNDUP(L144,0)</f>
        <v/>
      </c>
      <c r="V144" s="14">
        <f>T144+U144</f>
        <v/>
      </c>
      <c r="W144" s="33">
        <f>V144/S144</f>
        <v/>
      </c>
      <c r="X144" s="14">
        <f>S144+U144</f>
        <v/>
      </c>
      <c r="Y144" s="17">
        <f>V144/P144</f>
        <v/>
      </c>
      <c r="Z144" s="14">
        <f>SUMIFS(Donnees_regimes!$Q$3:$Q$1118,Donnees_regimes!$A$3:$A$1118,C144,Donnees_regimes!$B$3:$B$1118,"&gt;="&amp;G144,Donnees_regimes!$B$3:$B$1118,"&lt;="&amp;N144)*L144/ROUNDUP(L144,0)</f>
        <v/>
      </c>
      <c r="AA144" s="77">
        <f>SUMIFS(Regles_regimes!$F$3:$F$2000,Regles_regimes!$A$3:$A$2000,C144,Regles_regimes!$B$3:$B$2000,D144,Regles_regimes!$C$3:$C$2000,MAX(1915,MIN(2025,E144)))</f>
        <v/>
      </c>
      <c r="AB144" s="77">
        <f>IF(AND(SUMIFS(Regles_regimes!$L$3:$L$2000,Regles_regimes!$A$3:$A$2000,C144,Regles_regimes!$B$3:$B$2000,D144,Regles_regimes!$C$3:$C$2000,MAX(1915,MIN(2025,E144)))=1,G144&lt;2009,C144&lt;&gt;"Privé"),MIN(20,L144*4/5),0)</f>
        <v/>
      </c>
      <c r="AC144" s="89">
        <f>SUMIFS(Donnees_regimes!$M$3:$M$1118,Donnees_regimes!$A$3:$A$1118,C144,Donnees_regimes!$B$3:$B$1118,M144)</f>
        <v/>
      </c>
      <c r="AD144" s="14">
        <f>SUMIFS(Donnees_annuelles!$Y$3:$Y$188,Donnees_annuelles!$A$3:$A$188,M144)*SUMIFS(Donnees_generations!$I$3:$I$113,Donnees_generations!$A$3:$A$113,MAX(1915,MIN(2025,E144)))/H144</f>
        <v/>
      </c>
      <c r="AE144" s="14">
        <f>IF(C144="Privé",SUMIFS(Donnees_annuelles!$Y$3:$Y$188,Donnees_annuelles!$A$3:$A$188,M144)*MIN(L144,SUMIFS(Donnees_generations!$I$3:$I$113,Donnees_generations!$A$3:$A$113,MAX(1915,MIN(2025,E144))))/L144,AD144*AC144*MIN(IF(AB144&gt;0,0.8/0.75,1),(L144*4+AB144)/AA144))</f>
        <v/>
      </c>
      <c r="AF144" s="14">
        <f>AE144/12</f>
        <v/>
      </c>
      <c r="AG144" s="77">
        <f>MIN(68,MAX(56,2*INT(K144/2)))</f>
        <v/>
      </c>
      <c r="AH144" s="75">
        <f>(CHOOSE((AG144-56)/2+1,SUMIFS(Donnees_generations!$U$3:$U$113,Donnees_generations!$A$3:$A$113,MAX(1915,MIN(2025,E144))),SUMIFS(Donnees_generations!$V$3:$V$113,Donnees_generations!$A$3:$A$113,MAX(1915,MIN(2025,E144))),SUMIFS(Donnees_generations!$W$3:$W$113,Donnees_generations!$A$3:$A$113,MAX(1915,MIN(2025,E144))),SUMIFS(Donnees_generations!$X$3:$X$113,Donnees_generations!$A$3:$A$113,MAX(1915,MIN(2025,E144))),SUMIFS(Donnees_generations!$Y$3:$Y$113,Donnees_generations!$A$3:$A$113,MAX(1915,MIN(2025,E144))),SUMIFS(Donnees_generations!$Z$3:$Z$113,Donnees_generations!$A$3:$A$113,MAX(1915,MIN(2025,E144))),SUMIFS(Donnees_generations!$AA$3:$AA$113,Donnees_generations!$A$3:$A$113,MAX(1915,MIN(2025,E144))),SUMIFS(Donnees_generations!$AB$3:$AB$113,Donnees_generations!$A$3:$A$113,MAX(1915,MIN(2025,E144))))+CHOOSE((AG144-56)/2+1,SUMIFS(Donnees_generations!$AC$3:$AC$113,Donnees_generations!$A$3:$A$113,MAX(1915,MIN(2025,E144))),SUMIFS(Donnees_generations!$AD$3:$AD$113,Donnees_generations!$A$3:$A$113,MAX(1915,MIN(2025,E144))),SUMIFS(Donnees_generations!$AE$3:$AE$113,Donnees_generations!$A$3:$A$113,MAX(1915,MIN(2025,E144))),SUMIFS(Donnees_generations!$AF$3:$AF$113,Donnees_generations!$A$3:$A$113,MAX(1915,MIN(2025,E144))),SUMIFS(Donnees_generations!$AG$3:$AG$113,Donnees_generations!$A$3:$A$113,MAX(1915,MIN(2025,E144))),SUMIFS(Donnees_generations!$AH$3:$AH$113,Donnees_generations!$A$3:$A$113,MAX(1915,MIN(2025,E144))),SUMIFS(Donnees_generations!$AI$3:$AI$113,Donnees_generations!$A$3:$A$113,MAX(1915,MIN(2025,E144))),SUMIFS(Donnees_generations!$AJ$3:$AJ$113,Donnees_generations!$A$3:$A$113,MAX(1915,MIN(2025,E144)))))/2</f>
        <v/>
      </c>
      <c r="AI144" s="75">
        <f>(CHOOSE(((AG144+2)-56)/2+1,SUMIFS(Donnees_generations!$U$3:$U$113,Donnees_generations!$A$3:$A$113,MAX(1915,MIN(2025,E144))),SUMIFS(Donnees_generations!$V$3:$V$113,Donnees_generations!$A$3:$A$113,MAX(1915,MIN(2025,E144))),SUMIFS(Donnees_generations!$W$3:$W$113,Donnees_generations!$A$3:$A$113,MAX(1915,MIN(2025,E144))),SUMIFS(Donnees_generations!$X$3:$X$113,Donnees_generations!$A$3:$A$113,MAX(1915,MIN(2025,E144))),SUMIFS(Donnees_generations!$Y$3:$Y$113,Donnees_generations!$A$3:$A$113,MAX(1915,MIN(2025,E144))),SUMIFS(Donnees_generations!$Z$3:$Z$113,Donnees_generations!$A$3:$A$113,MAX(1915,MIN(2025,E144))),SUMIFS(Donnees_generations!$AA$3:$AA$113,Donnees_generations!$A$3:$A$113,MAX(1915,MIN(2025,E144))),SUMIFS(Donnees_generations!$AB$3:$AB$113,Donnees_generations!$A$3:$A$113,MAX(1915,MIN(2025,E144))))+CHOOSE(((AG144+2)-56)/2+1,SUMIFS(Donnees_generations!$AC$3:$AC$113,Donnees_generations!$A$3:$A$113,MAX(1915,MIN(2025,E144))),SUMIFS(Donnees_generations!$AD$3:$AD$113,Donnees_generations!$A$3:$A$113,MAX(1915,MIN(2025,E144))),SUMIFS(Donnees_generations!$AE$3:$AE$113,Donnees_generations!$A$3:$A$113,MAX(1915,MIN(2025,E144))),SUMIFS(Donnees_generations!$AF$3:$AF$113,Donnees_generations!$A$3:$A$113,MAX(1915,MIN(2025,E144))),SUMIFS(Donnees_generations!$AG$3:$AG$113,Donnees_generations!$A$3:$A$113,MAX(1915,MIN(2025,E144))),SUMIFS(Donnees_generations!$AH$3:$AH$113,Donnees_generations!$A$3:$A$113,MAX(1915,MIN(2025,E144))),SUMIFS(Donnees_generations!$AI$3:$AI$113,Donnees_generations!$A$3:$A$113,MAX(1915,MIN(2025,E144))),SUMIFS(Donnees_generations!$AJ$3:$AJ$113,Donnees_generations!$A$3:$A$113,MAX(1915,MIN(2025,E144)))))/2</f>
        <v/>
      </c>
      <c r="AJ144" s="8">
        <f>MAX(0,AH144+(AI144-AH144)*(K144-AG144)/2)</f>
        <v/>
      </c>
      <c r="AK144" s="8">
        <f>K144+AJ144</f>
        <v/>
      </c>
      <c r="AL144" s="14">
        <f>AE144*AJ144</f>
        <v/>
      </c>
      <c r="AM144" s="17">
        <f>V144/AL144</f>
        <v/>
      </c>
      <c r="AN144" s="17">
        <f>Z144/AL144</f>
        <v/>
      </c>
      <c r="AO144" s="33">
        <f>IF(V144+Z144=0,0,Z144/(V144+Z144))</f>
        <v/>
      </c>
      <c r="AP144" s="14">
        <f>AL144/V144*100</f>
        <v/>
      </c>
      <c r="AQ144" s="8">
        <f>P144/AL144*1000</f>
        <v/>
      </c>
      <c r="AR144" s="77">
        <f>MAX(N144,M144-1)</f>
        <v/>
      </c>
      <c r="AS144" s="14">
        <f>SUMIFS(Donnees_regimes!$R$3:$R$1118,Donnees_regimes!$A$3:$A$1118,C144,Donnees_regimes!$B$3:$B$1118,"&gt;="&amp;G144,Donnees_regimes!$B$3:$B$1118,"&lt;="&amp;N144)*L144/ROUNDUP(L144,0)*SUMIFS(Donnees_annuelles!$AG$3:$AG$188,Donnees_annuelles!$A$3:$A$188,AR144)*SUMIFS(Donnees_annuelles!$AA$3:$AA$188,Donnees_annuelles!$A$3:$A$188,AR144)</f>
        <v/>
      </c>
      <c r="AT144" s="36">
        <f>AS144/V144</f>
        <v/>
      </c>
      <c r="AU144" s="14">
        <f>AL144</f>
        <v/>
      </c>
      <c r="AV144" s="39">
        <f>AS144-AL144</f>
        <v/>
      </c>
      <c r="AW144" s="9">
        <f>AS144/AL144-1</f>
        <v/>
      </c>
      <c r="AX144" s="14">
        <f>AS144/AJ144/12</f>
        <v/>
      </c>
      <c r="AY144" s="14">
        <f>AF144</f>
        <v/>
      </c>
      <c r="AZ144" s="39">
        <f>AX144-AF144</f>
        <v/>
      </c>
      <c r="BA144" s="14">
        <f>SUMIFS(Donnees_regimes!$S$3:$S$1118,Donnees_regimes!$A$3:$A$1118,C144,Donnees_regimes!$B$3:$B$1118,"&gt;="&amp;G144,Donnees_regimes!$B$3:$B$1118,"&lt;="&amp;N144)*L144/ROUNDUP(L144,0)*SUMIFS(Donnees_annuelles!$AH$3:$AH$188,Donnees_annuelles!$A$3:$A$188,AR144)*SUMIFS(Donnees_annuelles!$AA$3:$AA$188,Donnees_annuelles!$A$3:$A$188,AR144)</f>
        <v/>
      </c>
      <c r="BB144" s="39">
        <f>BA144-AL144</f>
        <v/>
      </c>
      <c r="BC144" s="7">
        <f>IF(M144+AJ144&gt;2026,IF(G144&gt;2026,"entièrement projeté","en partie projeté"),"observé")</f>
        <v/>
      </c>
    </row>
    <row r="145">
      <c r="A145" s="7" t="inlineStr">
        <is>
          <t>Génération X</t>
        </is>
      </c>
      <c r="B145" s="84" t="inlineStr">
        <is>
          <t>Fonction publique d'État</t>
        </is>
      </c>
      <c r="C145" s="7">
        <f>IF(G145&gt;=SUMIFS(Regimes!$C$5:$C$10,Regimes!$A$5:$A$10,B145),"Privé",B145)</f>
        <v/>
      </c>
      <c r="D145" s="7">
        <f>INDEX(Regimes!$D$5:$D$10,MATCH(C145,Regimes!$A$5:$A$10,0))</f>
        <v/>
      </c>
      <c r="E145" s="88" t="n">
        <v>1972</v>
      </c>
      <c r="F145" s="8">
        <f>Donnees_generations!C60</f>
        <v/>
      </c>
      <c r="G145" s="77">
        <f>Donnees_generations!D60</f>
        <v/>
      </c>
      <c r="H145" s="8">
        <f>SUMIFS(Donnees_generations!$S$3:$S$113,Donnees_generations!$A$3:$A$113,MAX(1915,MIN(2025,E145)))</f>
        <v/>
      </c>
      <c r="I145" s="8">
        <f>SUMIFS(Donnees_generations!$T$3:$T$113,Donnees_generations!$A$3:$A$113,MAX(1915,MIN(2025,E145)))</f>
        <v/>
      </c>
      <c r="J145" s="8">
        <f>IF(G145&gt;=2000,MAX(I145,Parametres!$B$3),I145)</f>
        <v/>
      </c>
      <c r="K145" s="8">
        <f>IF(C145="Privé",J145,SUMIFS(Regles_regimes!$J$3:$J$2000,Regles_regimes!$A$3:$A$2000,C145,Regles_regimes!$B$3:$B$2000,D145,Regles_regimes!$C$3:$C$2000,MAX(1915,MIN(2025,E145))))</f>
        <v/>
      </c>
      <c r="L145" s="8">
        <f>IF(C145="Privé",H145,(K145-F145)*H145/(J145-F145))</f>
        <v/>
      </c>
      <c r="M145" s="77">
        <f>INT(E145+K145)</f>
        <v/>
      </c>
      <c r="N145" s="77">
        <f>G145+ROUNDUP(L145,0)-1</f>
        <v/>
      </c>
      <c r="O145" s="89">
        <f>SUMIFS(Regles_regimes!$K$3:$K$2000,Regles_regimes!$A$3:$A$2000,C145,Regles_regimes!$B$3:$B$2000,D145,Regles_regimes!$C$3:$C$2000,MAX(1915,MIN(2025,E145)))</f>
        <v/>
      </c>
      <c r="P145" s="13">
        <f>SUMIFS(Donnees_annuelles!$W$3:$W$188,Donnees_annuelles!$A$3:$A$188,"&gt;="&amp;G145,Donnees_annuelles!$A$3:$A$188,"&lt;="&amp;N145)*L145/ROUNDUP(L145,0)*O145</f>
        <v/>
      </c>
      <c r="Q145" s="13">
        <f>SUMIFS(Donnees_annuelles!$V$3:$V$188,Donnees_annuelles!$A$3:$A$188,"&gt;="&amp;G145,Donnees_annuelles!$A$3:$A$188,"&lt;="&amp;N145)*L145/ROUNDUP(L145,0)</f>
        <v/>
      </c>
      <c r="R145" s="13">
        <f>P145/L145</f>
        <v/>
      </c>
      <c r="S145" s="14">
        <f>SUMIFS(Donnees_annuelles!$D$3:$D$188,Donnees_annuelles!$A$3:$A$188,"&gt;="&amp;G145,Donnees_annuelles!$A$3:$A$188,"&lt;="&amp;N145)*L145/ROUNDUP(L145,0)</f>
        <v/>
      </c>
      <c r="T145" s="14">
        <f>SUMIFS(Donnees_regimes!$N$3:$N$1118,Donnees_regimes!$A$3:$A$1118,C145,Donnees_regimes!$B$3:$B$1118,"&gt;="&amp;G145,Donnees_regimes!$B$3:$B$1118,"&lt;="&amp;N145)*L145/ROUNDUP(L145,0)</f>
        <v/>
      </c>
      <c r="U145" s="14">
        <f>SUMIFS(Donnees_regimes!$O$3:$O$1118,Donnees_regimes!$A$3:$A$1118,C145,Donnees_regimes!$B$3:$B$1118,"&gt;="&amp;G145,Donnees_regimes!$B$3:$B$1118,"&lt;="&amp;N145)*L145/ROUNDUP(L145,0)</f>
        <v/>
      </c>
      <c r="V145" s="14">
        <f>T145+U145</f>
        <v/>
      </c>
      <c r="W145" s="33">
        <f>V145/S145</f>
        <v/>
      </c>
      <c r="X145" s="14">
        <f>S145+U145</f>
        <v/>
      </c>
      <c r="Y145" s="17">
        <f>V145/P145</f>
        <v/>
      </c>
      <c r="Z145" s="14">
        <f>SUMIFS(Donnees_regimes!$Q$3:$Q$1118,Donnees_regimes!$A$3:$A$1118,C145,Donnees_regimes!$B$3:$B$1118,"&gt;="&amp;G145,Donnees_regimes!$B$3:$B$1118,"&lt;="&amp;N145)*L145/ROUNDUP(L145,0)</f>
        <v/>
      </c>
      <c r="AA145" s="77">
        <f>SUMIFS(Regles_regimes!$F$3:$F$2000,Regles_regimes!$A$3:$A$2000,C145,Regles_regimes!$B$3:$B$2000,D145,Regles_regimes!$C$3:$C$2000,MAX(1915,MIN(2025,E145)))</f>
        <v/>
      </c>
      <c r="AB145" s="77">
        <f>IF(AND(SUMIFS(Regles_regimes!$L$3:$L$2000,Regles_regimes!$A$3:$A$2000,C145,Regles_regimes!$B$3:$B$2000,D145,Regles_regimes!$C$3:$C$2000,MAX(1915,MIN(2025,E145)))=1,G145&lt;2009,C145&lt;&gt;"Privé"),MIN(20,L145*4/5),0)</f>
        <v/>
      </c>
      <c r="AC145" s="89">
        <f>SUMIFS(Donnees_regimes!$M$3:$M$1118,Donnees_regimes!$A$3:$A$1118,C145,Donnees_regimes!$B$3:$B$1118,M145)</f>
        <v/>
      </c>
      <c r="AD145" s="14">
        <f>SUMIFS(Donnees_annuelles!$Y$3:$Y$188,Donnees_annuelles!$A$3:$A$188,M145)*SUMIFS(Donnees_generations!$I$3:$I$113,Donnees_generations!$A$3:$A$113,MAX(1915,MIN(2025,E145)))/H145</f>
        <v/>
      </c>
      <c r="AE145" s="14">
        <f>IF(C145="Privé",SUMIFS(Donnees_annuelles!$Y$3:$Y$188,Donnees_annuelles!$A$3:$A$188,M145)*MIN(L145,SUMIFS(Donnees_generations!$I$3:$I$113,Donnees_generations!$A$3:$A$113,MAX(1915,MIN(2025,E145))))/L145,AD145*AC145*MIN(IF(AB145&gt;0,0.8/0.75,1),(L145*4+AB145)/AA145))</f>
        <v/>
      </c>
      <c r="AF145" s="14">
        <f>AE145/12</f>
        <v/>
      </c>
      <c r="AG145" s="77">
        <f>MIN(68,MAX(56,2*INT(K145/2)))</f>
        <v/>
      </c>
      <c r="AH145" s="75">
        <f>(CHOOSE((AG145-56)/2+1,SUMIFS(Donnees_generations!$U$3:$U$113,Donnees_generations!$A$3:$A$113,MAX(1915,MIN(2025,E145))),SUMIFS(Donnees_generations!$V$3:$V$113,Donnees_generations!$A$3:$A$113,MAX(1915,MIN(2025,E145))),SUMIFS(Donnees_generations!$W$3:$W$113,Donnees_generations!$A$3:$A$113,MAX(1915,MIN(2025,E145))),SUMIFS(Donnees_generations!$X$3:$X$113,Donnees_generations!$A$3:$A$113,MAX(1915,MIN(2025,E145))),SUMIFS(Donnees_generations!$Y$3:$Y$113,Donnees_generations!$A$3:$A$113,MAX(1915,MIN(2025,E145))),SUMIFS(Donnees_generations!$Z$3:$Z$113,Donnees_generations!$A$3:$A$113,MAX(1915,MIN(2025,E145))),SUMIFS(Donnees_generations!$AA$3:$AA$113,Donnees_generations!$A$3:$A$113,MAX(1915,MIN(2025,E145))),SUMIFS(Donnees_generations!$AB$3:$AB$113,Donnees_generations!$A$3:$A$113,MAX(1915,MIN(2025,E145))))+CHOOSE((AG145-56)/2+1,SUMIFS(Donnees_generations!$AC$3:$AC$113,Donnees_generations!$A$3:$A$113,MAX(1915,MIN(2025,E145))),SUMIFS(Donnees_generations!$AD$3:$AD$113,Donnees_generations!$A$3:$A$113,MAX(1915,MIN(2025,E145))),SUMIFS(Donnees_generations!$AE$3:$AE$113,Donnees_generations!$A$3:$A$113,MAX(1915,MIN(2025,E145))),SUMIFS(Donnees_generations!$AF$3:$AF$113,Donnees_generations!$A$3:$A$113,MAX(1915,MIN(2025,E145))),SUMIFS(Donnees_generations!$AG$3:$AG$113,Donnees_generations!$A$3:$A$113,MAX(1915,MIN(2025,E145))),SUMIFS(Donnees_generations!$AH$3:$AH$113,Donnees_generations!$A$3:$A$113,MAX(1915,MIN(2025,E145))),SUMIFS(Donnees_generations!$AI$3:$AI$113,Donnees_generations!$A$3:$A$113,MAX(1915,MIN(2025,E145))),SUMIFS(Donnees_generations!$AJ$3:$AJ$113,Donnees_generations!$A$3:$A$113,MAX(1915,MIN(2025,E145)))))/2</f>
        <v/>
      </c>
      <c r="AI145" s="75">
        <f>(CHOOSE(((AG145+2)-56)/2+1,SUMIFS(Donnees_generations!$U$3:$U$113,Donnees_generations!$A$3:$A$113,MAX(1915,MIN(2025,E145))),SUMIFS(Donnees_generations!$V$3:$V$113,Donnees_generations!$A$3:$A$113,MAX(1915,MIN(2025,E145))),SUMIFS(Donnees_generations!$W$3:$W$113,Donnees_generations!$A$3:$A$113,MAX(1915,MIN(2025,E145))),SUMIFS(Donnees_generations!$X$3:$X$113,Donnees_generations!$A$3:$A$113,MAX(1915,MIN(2025,E145))),SUMIFS(Donnees_generations!$Y$3:$Y$113,Donnees_generations!$A$3:$A$113,MAX(1915,MIN(2025,E145))),SUMIFS(Donnees_generations!$Z$3:$Z$113,Donnees_generations!$A$3:$A$113,MAX(1915,MIN(2025,E145))),SUMIFS(Donnees_generations!$AA$3:$AA$113,Donnees_generations!$A$3:$A$113,MAX(1915,MIN(2025,E145))),SUMIFS(Donnees_generations!$AB$3:$AB$113,Donnees_generations!$A$3:$A$113,MAX(1915,MIN(2025,E145))))+CHOOSE(((AG145+2)-56)/2+1,SUMIFS(Donnees_generations!$AC$3:$AC$113,Donnees_generations!$A$3:$A$113,MAX(1915,MIN(2025,E145))),SUMIFS(Donnees_generations!$AD$3:$AD$113,Donnees_generations!$A$3:$A$113,MAX(1915,MIN(2025,E145))),SUMIFS(Donnees_generations!$AE$3:$AE$113,Donnees_generations!$A$3:$A$113,MAX(1915,MIN(2025,E145))),SUMIFS(Donnees_generations!$AF$3:$AF$113,Donnees_generations!$A$3:$A$113,MAX(1915,MIN(2025,E145))),SUMIFS(Donnees_generations!$AG$3:$AG$113,Donnees_generations!$A$3:$A$113,MAX(1915,MIN(2025,E145))),SUMIFS(Donnees_generations!$AH$3:$AH$113,Donnees_generations!$A$3:$A$113,MAX(1915,MIN(2025,E145))),SUMIFS(Donnees_generations!$AI$3:$AI$113,Donnees_generations!$A$3:$A$113,MAX(1915,MIN(2025,E145))),SUMIFS(Donnees_generations!$AJ$3:$AJ$113,Donnees_generations!$A$3:$A$113,MAX(1915,MIN(2025,E145)))))/2</f>
        <v/>
      </c>
      <c r="AJ145" s="8">
        <f>MAX(0,AH145+(AI145-AH145)*(K145-AG145)/2)</f>
        <v/>
      </c>
      <c r="AK145" s="8">
        <f>K145+AJ145</f>
        <v/>
      </c>
      <c r="AL145" s="14">
        <f>AE145*AJ145</f>
        <v/>
      </c>
      <c r="AM145" s="17">
        <f>V145/AL145</f>
        <v/>
      </c>
      <c r="AN145" s="17">
        <f>Z145/AL145</f>
        <v/>
      </c>
      <c r="AO145" s="33">
        <f>IF(V145+Z145=0,0,Z145/(V145+Z145))</f>
        <v/>
      </c>
      <c r="AP145" s="14">
        <f>AL145/V145*100</f>
        <v/>
      </c>
      <c r="AQ145" s="8">
        <f>P145/AL145*1000</f>
        <v/>
      </c>
      <c r="AR145" s="77">
        <f>MAX(N145,M145-1)</f>
        <v/>
      </c>
      <c r="AS145" s="14">
        <f>SUMIFS(Donnees_regimes!$R$3:$R$1118,Donnees_regimes!$A$3:$A$1118,C145,Donnees_regimes!$B$3:$B$1118,"&gt;="&amp;G145,Donnees_regimes!$B$3:$B$1118,"&lt;="&amp;N145)*L145/ROUNDUP(L145,0)*SUMIFS(Donnees_annuelles!$AG$3:$AG$188,Donnees_annuelles!$A$3:$A$188,AR145)*SUMIFS(Donnees_annuelles!$AA$3:$AA$188,Donnees_annuelles!$A$3:$A$188,AR145)</f>
        <v/>
      </c>
      <c r="AT145" s="36">
        <f>AS145/V145</f>
        <v/>
      </c>
      <c r="AU145" s="14">
        <f>AL145</f>
        <v/>
      </c>
      <c r="AV145" s="39">
        <f>AS145-AL145</f>
        <v/>
      </c>
      <c r="AW145" s="9">
        <f>AS145/AL145-1</f>
        <v/>
      </c>
      <c r="AX145" s="14">
        <f>AS145/AJ145/12</f>
        <v/>
      </c>
      <c r="AY145" s="14">
        <f>AF145</f>
        <v/>
      </c>
      <c r="AZ145" s="39">
        <f>AX145-AF145</f>
        <v/>
      </c>
      <c r="BA145" s="14">
        <f>SUMIFS(Donnees_regimes!$S$3:$S$1118,Donnees_regimes!$A$3:$A$1118,C145,Donnees_regimes!$B$3:$B$1118,"&gt;="&amp;G145,Donnees_regimes!$B$3:$B$1118,"&lt;="&amp;N145)*L145/ROUNDUP(L145,0)*SUMIFS(Donnees_annuelles!$AH$3:$AH$188,Donnees_annuelles!$A$3:$A$188,AR145)*SUMIFS(Donnees_annuelles!$AA$3:$AA$188,Donnees_annuelles!$A$3:$A$188,AR145)</f>
        <v/>
      </c>
      <c r="BB145" s="39">
        <f>BA145-AL145</f>
        <v/>
      </c>
      <c r="BC145" s="7">
        <f>IF(M145+AJ145&gt;2026,IF(G145&gt;2026,"entièrement projeté","en partie projeté"),"observé")</f>
        <v/>
      </c>
    </row>
    <row r="146">
      <c r="A146" s="7" t="inlineStr">
        <is>
          <t>Génération X</t>
        </is>
      </c>
      <c r="B146" s="84" t="inlineStr">
        <is>
          <t>Fonction publique d'État</t>
        </is>
      </c>
      <c r="C146" s="7">
        <f>IF(G146&gt;=SUMIFS(Regimes!$C$5:$C$10,Regimes!$A$5:$A$10,B146),"Privé",B146)</f>
        <v/>
      </c>
      <c r="D146" s="7">
        <f>INDEX(Regimes!$D$5:$D$10,MATCH(C146,Regimes!$A$5:$A$10,0))</f>
        <v/>
      </c>
      <c r="E146" s="88" t="n">
        <v>1973</v>
      </c>
      <c r="F146" s="8">
        <f>Donnees_generations!C61</f>
        <v/>
      </c>
      <c r="G146" s="77">
        <f>Donnees_generations!D61</f>
        <v/>
      </c>
      <c r="H146" s="8">
        <f>SUMIFS(Donnees_generations!$S$3:$S$113,Donnees_generations!$A$3:$A$113,MAX(1915,MIN(2025,E146)))</f>
        <v/>
      </c>
      <c r="I146" s="8">
        <f>SUMIFS(Donnees_generations!$T$3:$T$113,Donnees_generations!$A$3:$A$113,MAX(1915,MIN(2025,E146)))</f>
        <v/>
      </c>
      <c r="J146" s="8">
        <f>IF(G146&gt;=2000,MAX(I146,Parametres!$B$3),I146)</f>
        <v/>
      </c>
      <c r="K146" s="8">
        <f>IF(C146="Privé",J146,SUMIFS(Regles_regimes!$J$3:$J$2000,Regles_regimes!$A$3:$A$2000,C146,Regles_regimes!$B$3:$B$2000,D146,Regles_regimes!$C$3:$C$2000,MAX(1915,MIN(2025,E146))))</f>
        <v/>
      </c>
      <c r="L146" s="8">
        <f>IF(C146="Privé",H146,(K146-F146)*H146/(J146-F146))</f>
        <v/>
      </c>
      <c r="M146" s="77">
        <f>INT(E146+K146)</f>
        <v/>
      </c>
      <c r="N146" s="77">
        <f>G146+ROUNDUP(L146,0)-1</f>
        <v/>
      </c>
      <c r="O146" s="89">
        <f>SUMIFS(Regles_regimes!$K$3:$K$2000,Regles_regimes!$A$3:$A$2000,C146,Regles_regimes!$B$3:$B$2000,D146,Regles_regimes!$C$3:$C$2000,MAX(1915,MIN(2025,E146)))</f>
        <v/>
      </c>
      <c r="P146" s="13">
        <f>SUMIFS(Donnees_annuelles!$W$3:$W$188,Donnees_annuelles!$A$3:$A$188,"&gt;="&amp;G146,Donnees_annuelles!$A$3:$A$188,"&lt;="&amp;N146)*L146/ROUNDUP(L146,0)*O146</f>
        <v/>
      </c>
      <c r="Q146" s="13">
        <f>SUMIFS(Donnees_annuelles!$V$3:$V$188,Donnees_annuelles!$A$3:$A$188,"&gt;="&amp;G146,Donnees_annuelles!$A$3:$A$188,"&lt;="&amp;N146)*L146/ROUNDUP(L146,0)</f>
        <v/>
      </c>
      <c r="R146" s="13">
        <f>P146/L146</f>
        <v/>
      </c>
      <c r="S146" s="14">
        <f>SUMIFS(Donnees_annuelles!$D$3:$D$188,Donnees_annuelles!$A$3:$A$188,"&gt;="&amp;G146,Donnees_annuelles!$A$3:$A$188,"&lt;="&amp;N146)*L146/ROUNDUP(L146,0)</f>
        <v/>
      </c>
      <c r="T146" s="14">
        <f>SUMIFS(Donnees_regimes!$N$3:$N$1118,Donnees_regimes!$A$3:$A$1118,C146,Donnees_regimes!$B$3:$B$1118,"&gt;="&amp;G146,Donnees_regimes!$B$3:$B$1118,"&lt;="&amp;N146)*L146/ROUNDUP(L146,0)</f>
        <v/>
      </c>
      <c r="U146" s="14">
        <f>SUMIFS(Donnees_regimes!$O$3:$O$1118,Donnees_regimes!$A$3:$A$1118,C146,Donnees_regimes!$B$3:$B$1118,"&gt;="&amp;G146,Donnees_regimes!$B$3:$B$1118,"&lt;="&amp;N146)*L146/ROUNDUP(L146,0)</f>
        <v/>
      </c>
      <c r="V146" s="14">
        <f>T146+U146</f>
        <v/>
      </c>
      <c r="W146" s="33">
        <f>V146/S146</f>
        <v/>
      </c>
      <c r="X146" s="14">
        <f>S146+U146</f>
        <v/>
      </c>
      <c r="Y146" s="17">
        <f>V146/P146</f>
        <v/>
      </c>
      <c r="Z146" s="14">
        <f>SUMIFS(Donnees_regimes!$Q$3:$Q$1118,Donnees_regimes!$A$3:$A$1118,C146,Donnees_regimes!$B$3:$B$1118,"&gt;="&amp;G146,Donnees_regimes!$B$3:$B$1118,"&lt;="&amp;N146)*L146/ROUNDUP(L146,0)</f>
        <v/>
      </c>
      <c r="AA146" s="77">
        <f>SUMIFS(Regles_regimes!$F$3:$F$2000,Regles_regimes!$A$3:$A$2000,C146,Regles_regimes!$B$3:$B$2000,D146,Regles_regimes!$C$3:$C$2000,MAX(1915,MIN(2025,E146)))</f>
        <v/>
      </c>
      <c r="AB146" s="77">
        <f>IF(AND(SUMIFS(Regles_regimes!$L$3:$L$2000,Regles_regimes!$A$3:$A$2000,C146,Regles_regimes!$B$3:$B$2000,D146,Regles_regimes!$C$3:$C$2000,MAX(1915,MIN(2025,E146)))=1,G146&lt;2009,C146&lt;&gt;"Privé"),MIN(20,L146*4/5),0)</f>
        <v/>
      </c>
      <c r="AC146" s="89">
        <f>SUMIFS(Donnees_regimes!$M$3:$M$1118,Donnees_regimes!$A$3:$A$1118,C146,Donnees_regimes!$B$3:$B$1118,M146)</f>
        <v/>
      </c>
      <c r="AD146" s="14">
        <f>SUMIFS(Donnees_annuelles!$Y$3:$Y$188,Donnees_annuelles!$A$3:$A$188,M146)*SUMIFS(Donnees_generations!$I$3:$I$113,Donnees_generations!$A$3:$A$113,MAX(1915,MIN(2025,E146)))/H146</f>
        <v/>
      </c>
      <c r="AE146" s="14">
        <f>IF(C146="Privé",SUMIFS(Donnees_annuelles!$Y$3:$Y$188,Donnees_annuelles!$A$3:$A$188,M146)*MIN(L146,SUMIFS(Donnees_generations!$I$3:$I$113,Donnees_generations!$A$3:$A$113,MAX(1915,MIN(2025,E146))))/L146,AD146*AC146*MIN(IF(AB146&gt;0,0.8/0.75,1),(L146*4+AB146)/AA146))</f>
        <v/>
      </c>
      <c r="AF146" s="14">
        <f>AE146/12</f>
        <v/>
      </c>
      <c r="AG146" s="77">
        <f>MIN(68,MAX(56,2*INT(K146/2)))</f>
        <v/>
      </c>
      <c r="AH146" s="75">
        <f>(CHOOSE((AG146-56)/2+1,SUMIFS(Donnees_generations!$U$3:$U$113,Donnees_generations!$A$3:$A$113,MAX(1915,MIN(2025,E146))),SUMIFS(Donnees_generations!$V$3:$V$113,Donnees_generations!$A$3:$A$113,MAX(1915,MIN(2025,E146))),SUMIFS(Donnees_generations!$W$3:$W$113,Donnees_generations!$A$3:$A$113,MAX(1915,MIN(2025,E146))),SUMIFS(Donnees_generations!$X$3:$X$113,Donnees_generations!$A$3:$A$113,MAX(1915,MIN(2025,E146))),SUMIFS(Donnees_generations!$Y$3:$Y$113,Donnees_generations!$A$3:$A$113,MAX(1915,MIN(2025,E146))),SUMIFS(Donnees_generations!$Z$3:$Z$113,Donnees_generations!$A$3:$A$113,MAX(1915,MIN(2025,E146))),SUMIFS(Donnees_generations!$AA$3:$AA$113,Donnees_generations!$A$3:$A$113,MAX(1915,MIN(2025,E146))),SUMIFS(Donnees_generations!$AB$3:$AB$113,Donnees_generations!$A$3:$A$113,MAX(1915,MIN(2025,E146))))+CHOOSE((AG146-56)/2+1,SUMIFS(Donnees_generations!$AC$3:$AC$113,Donnees_generations!$A$3:$A$113,MAX(1915,MIN(2025,E146))),SUMIFS(Donnees_generations!$AD$3:$AD$113,Donnees_generations!$A$3:$A$113,MAX(1915,MIN(2025,E146))),SUMIFS(Donnees_generations!$AE$3:$AE$113,Donnees_generations!$A$3:$A$113,MAX(1915,MIN(2025,E146))),SUMIFS(Donnees_generations!$AF$3:$AF$113,Donnees_generations!$A$3:$A$113,MAX(1915,MIN(2025,E146))),SUMIFS(Donnees_generations!$AG$3:$AG$113,Donnees_generations!$A$3:$A$113,MAX(1915,MIN(2025,E146))),SUMIFS(Donnees_generations!$AH$3:$AH$113,Donnees_generations!$A$3:$A$113,MAX(1915,MIN(2025,E146))),SUMIFS(Donnees_generations!$AI$3:$AI$113,Donnees_generations!$A$3:$A$113,MAX(1915,MIN(2025,E146))),SUMIFS(Donnees_generations!$AJ$3:$AJ$113,Donnees_generations!$A$3:$A$113,MAX(1915,MIN(2025,E146)))))/2</f>
        <v/>
      </c>
      <c r="AI146" s="75">
        <f>(CHOOSE(((AG146+2)-56)/2+1,SUMIFS(Donnees_generations!$U$3:$U$113,Donnees_generations!$A$3:$A$113,MAX(1915,MIN(2025,E146))),SUMIFS(Donnees_generations!$V$3:$V$113,Donnees_generations!$A$3:$A$113,MAX(1915,MIN(2025,E146))),SUMIFS(Donnees_generations!$W$3:$W$113,Donnees_generations!$A$3:$A$113,MAX(1915,MIN(2025,E146))),SUMIFS(Donnees_generations!$X$3:$X$113,Donnees_generations!$A$3:$A$113,MAX(1915,MIN(2025,E146))),SUMIFS(Donnees_generations!$Y$3:$Y$113,Donnees_generations!$A$3:$A$113,MAX(1915,MIN(2025,E146))),SUMIFS(Donnees_generations!$Z$3:$Z$113,Donnees_generations!$A$3:$A$113,MAX(1915,MIN(2025,E146))),SUMIFS(Donnees_generations!$AA$3:$AA$113,Donnees_generations!$A$3:$A$113,MAX(1915,MIN(2025,E146))),SUMIFS(Donnees_generations!$AB$3:$AB$113,Donnees_generations!$A$3:$A$113,MAX(1915,MIN(2025,E146))))+CHOOSE(((AG146+2)-56)/2+1,SUMIFS(Donnees_generations!$AC$3:$AC$113,Donnees_generations!$A$3:$A$113,MAX(1915,MIN(2025,E146))),SUMIFS(Donnees_generations!$AD$3:$AD$113,Donnees_generations!$A$3:$A$113,MAX(1915,MIN(2025,E146))),SUMIFS(Donnees_generations!$AE$3:$AE$113,Donnees_generations!$A$3:$A$113,MAX(1915,MIN(2025,E146))),SUMIFS(Donnees_generations!$AF$3:$AF$113,Donnees_generations!$A$3:$A$113,MAX(1915,MIN(2025,E146))),SUMIFS(Donnees_generations!$AG$3:$AG$113,Donnees_generations!$A$3:$A$113,MAX(1915,MIN(2025,E146))),SUMIFS(Donnees_generations!$AH$3:$AH$113,Donnees_generations!$A$3:$A$113,MAX(1915,MIN(2025,E146))),SUMIFS(Donnees_generations!$AI$3:$AI$113,Donnees_generations!$A$3:$A$113,MAX(1915,MIN(2025,E146))),SUMIFS(Donnees_generations!$AJ$3:$AJ$113,Donnees_generations!$A$3:$A$113,MAX(1915,MIN(2025,E146)))))/2</f>
        <v/>
      </c>
      <c r="AJ146" s="8">
        <f>MAX(0,AH146+(AI146-AH146)*(K146-AG146)/2)</f>
        <v/>
      </c>
      <c r="AK146" s="8">
        <f>K146+AJ146</f>
        <v/>
      </c>
      <c r="AL146" s="14">
        <f>AE146*AJ146</f>
        <v/>
      </c>
      <c r="AM146" s="17">
        <f>V146/AL146</f>
        <v/>
      </c>
      <c r="AN146" s="17">
        <f>Z146/AL146</f>
        <v/>
      </c>
      <c r="AO146" s="33">
        <f>IF(V146+Z146=0,0,Z146/(V146+Z146))</f>
        <v/>
      </c>
      <c r="AP146" s="14">
        <f>AL146/V146*100</f>
        <v/>
      </c>
      <c r="AQ146" s="8">
        <f>P146/AL146*1000</f>
        <v/>
      </c>
      <c r="AR146" s="77">
        <f>MAX(N146,M146-1)</f>
        <v/>
      </c>
      <c r="AS146" s="14">
        <f>SUMIFS(Donnees_regimes!$R$3:$R$1118,Donnees_regimes!$A$3:$A$1118,C146,Donnees_regimes!$B$3:$B$1118,"&gt;="&amp;G146,Donnees_regimes!$B$3:$B$1118,"&lt;="&amp;N146)*L146/ROUNDUP(L146,0)*SUMIFS(Donnees_annuelles!$AG$3:$AG$188,Donnees_annuelles!$A$3:$A$188,AR146)*SUMIFS(Donnees_annuelles!$AA$3:$AA$188,Donnees_annuelles!$A$3:$A$188,AR146)</f>
        <v/>
      </c>
      <c r="AT146" s="36">
        <f>AS146/V146</f>
        <v/>
      </c>
      <c r="AU146" s="14">
        <f>AL146</f>
        <v/>
      </c>
      <c r="AV146" s="39">
        <f>AS146-AL146</f>
        <v/>
      </c>
      <c r="AW146" s="9">
        <f>AS146/AL146-1</f>
        <v/>
      </c>
      <c r="AX146" s="14">
        <f>AS146/AJ146/12</f>
        <v/>
      </c>
      <c r="AY146" s="14">
        <f>AF146</f>
        <v/>
      </c>
      <c r="AZ146" s="39">
        <f>AX146-AF146</f>
        <v/>
      </c>
      <c r="BA146" s="14">
        <f>SUMIFS(Donnees_regimes!$S$3:$S$1118,Donnees_regimes!$A$3:$A$1118,C146,Donnees_regimes!$B$3:$B$1118,"&gt;="&amp;G146,Donnees_regimes!$B$3:$B$1118,"&lt;="&amp;N146)*L146/ROUNDUP(L146,0)*SUMIFS(Donnees_annuelles!$AH$3:$AH$188,Donnees_annuelles!$A$3:$A$188,AR146)*SUMIFS(Donnees_annuelles!$AA$3:$AA$188,Donnees_annuelles!$A$3:$A$188,AR146)</f>
        <v/>
      </c>
      <c r="BB146" s="39">
        <f>BA146-AL146</f>
        <v/>
      </c>
      <c r="BC146" s="7">
        <f>IF(M146+AJ146&gt;2026,IF(G146&gt;2026,"entièrement projeté","en partie projeté"),"observé")</f>
        <v/>
      </c>
    </row>
    <row r="147">
      <c r="A147" s="7" t="inlineStr">
        <is>
          <t>Génération X</t>
        </is>
      </c>
      <c r="B147" s="84" t="inlineStr">
        <is>
          <t>Fonction publique d'État</t>
        </is>
      </c>
      <c r="C147" s="7">
        <f>IF(G147&gt;=SUMIFS(Regimes!$C$5:$C$10,Regimes!$A$5:$A$10,B147),"Privé",B147)</f>
        <v/>
      </c>
      <c r="D147" s="7">
        <f>INDEX(Regimes!$D$5:$D$10,MATCH(C147,Regimes!$A$5:$A$10,0))</f>
        <v/>
      </c>
      <c r="E147" s="88" t="n">
        <v>1974</v>
      </c>
      <c r="F147" s="8">
        <f>Donnees_generations!C62</f>
        <v/>
      </c>
      <c r="G147" s="77">
        <f>Donnees_generations!D62</f>
        <v/>
      </c>
      <c r="H147" s="8">
        <f>SUMIFS(Donnees_generations!$S$3:$S$113,Donnees_generations!$A$3:$A$113,MAX(1915,MIN(2025,E147)))</f>
        <v/>
      </c>
      <c r="I147" s="8">
        <f>SUMIFS(Donnees_generations!$T$3:$T$113,Donnees_generations!$A$3:$A$113,MAX(1915,MIN(2025,E147)))</f>
        <v/>
      </c>
      <c r="J147" s="8">
        <f>IF(G147&gt;=2000,MAX(I147,Parametres!$B$3),I147)</f>
        <v/>
      </c>
      <c r="K147" s="8">
        <f>IF(C147="Privé",J147,SUMIFS(Regles_regimes!$J$3:$J$2000,Regles_regimes!$A$3:$A$2000,C147,Regles_regimes!$B$3:$B$2000,D147,Regles_regimes!$C$3:$C$2000,MAX(1915,MIN(2025,E147))))</f>
        <v/>
      </c>
      <c r="L147" s="8">
        <f>IF(C147="Privé",H147,(K147-F147)*H147/(J147-F147))</f>
        <v/>
      </c>
      <c r="M147" s="77">
        <f>INT(E147+K147)</f>
        <v/>
      </c>
      <c r="N147" s="77">
        <f>G147+ROUNDUP(L147,0)-1</f>
        <v/>
      </c>
      <c r="O147" s="89">
        <f>SUMIFS(Regles_regimes!$K$3:$K$2000,Regles_regimes!$A$3:$A$2000,C147,Regles_regimes!$B$3:$B$2000,D147,Regles_regimes!$C$3:$C$2000,MAX(1915,MIN(2025,E147)))</f>
        <v/>
      </c>
      <c r="P147" s="13">
        <f>SUMIFS(Donnees_annuelles!$W$3:$W$188,Donnees_annuelles!$A$3:$A$188,"&gt;="&amp;G147,Donnees_annuelles!$A$3:$A$188,"&lt;="&amp;N147)*L147/ROUNDUP(L147,0)*O147</f>
        <v/>
      </c>
      <c r="Q147" s="13">
        <f>SUMIFS(Donnees_annuelles!$V$3:$V$188,Donnees_annuelles!$A$3:$A$188,"&gt;="&amp;G147,Donnees_annuelles!$A$3:$A$188,"&lt;="&amp;N147)*L147/ROUNDUP(L147,0)</f>
        <v/>
      </c>
      <c r="R147" s="13">
        <f>P147/L147</f>
        <v/>
      </c>
      <c r="S147" s="14">
        <f>SUMIFS(Donnees_annuelles!$D$3:$D$188,Donnees_annuelles!$A$3:$A$188,"&gt;="&amp;G147,Donnees_annuelles!$A$3:$A$188,"&lt;="&amp;N147)*L147/ROUNDUP(L147,0)</f>
        <v/>
      </c>
      <c r="T147" s="14">
        <f>SUMIFS(Donnees_regimes!$N$3:$N$1118,Donnees_regimes!$A$3:$A$1118,C147,Donnees_regimes!$B$3:$B$1118,"&gt;="&amp;G147,Donnees_regimes!$B$3:$B$1118,"&lt;="&amp;N147)*L147/ROUNDUP(L147,0)</f>
        <v/>
      </c>
      <c r="U147" s="14">
        <f>SUMIFS(Donnees_regimes!$O$3:$O$1118,Donnees_regimes!$A$3:$A$1118,C147,Donnees_regimes!$B$3:$B$1118,"&gt;="&amp;G147,Donnees_regimes!$B$3:$B$1118,"&lt;="&amp;N147)*L147/ROUNDUP(L147,0)</f>
        <v/>
      </c>
      <c r="V147" s="14">
        <f>T147+U147</f>
        <v/>
      </c>
      <c r="W147" s="33">
        <f>V147/S147</f>
        <v/>
      </c>
      <c r="X147" s="14">
        <f>S147+U147</f>
        <v/>
      </c>
      <c r="Y147" s="17">
        <f>V147/P147</f>
        <v/>
      </c>
      <c r="Z147" s="14">
        <f>SUMIFS(Donnees_regimes!$Q$3:$Q$1118,Donnees_regimes!$A$3:$A$1118,C147,Donnees_regimes!$B$3:$B$1118,"&gt;="&amp;G147,Donnees_regimes!$B$3:$B$1118,"&lt;="&amp;N147)*L147/ROUNDUP(L147,0)</f>
        <v/>
      </c>
      <c r="AA147" s="77">
        <f>SUMIFS(Regles_regimes!$F$3:$F$2000,Regles_regimes!$A$3:$A$2000,C147,Regles_regimes!$B$3:$B$2000,D147,Regles_regimes!$C$3:$C$2000,MAX(1915,MIN(2025,E147)))</f>
        <v/>
      </c>
      <c r="AB147" s="77">
        <f>IF(AND(SUMIFS(Regles_regimes!$L$3:$L$2000,Regles_regimes!$A$3:$A$2000,C147,Regles_regimes!$B$3:$B$2000,D147,Regles_regimes!$C$3:$C$2000,MAX(1915,MIN(2025,E147)))=1,G147&lt;2009,C147&lt;&gt;"Privé"),MIN(20,L147*4/5),0)</f>
        <v/>
      </c>
      <c r="AC147" s="89">
        <f>SUMIFS(Donnees_regimes!$M$3:$M$1118,Donnees_regimes!$A$3:$A$1118,C147,Donnees_regimes!$B$3:$B$1118,M147)</f>
        <v/>
      </c>
      <c r="AD147" s="14">
        <f>SUMIFS(Donnees_annuelles!$Y$3:$Y$188,Donnees_annuelles!$A$3:$A$188,M147)*SUMIFS(Donnees_generations!$I$3:$I$113,Donnees_generations!$A$3:$A$113,MAX(1915,MIN(2025,E147)))/H147</f>
        <v/>
      </c>
      <c r="AE147" s="14">
        <f>IF(C147="Privé",SUMIFS(Donnees_annuelles!$Y$3:$Y$188,Donnees_annuelles!$A$3:$A$188,M147)*MIN(L147,SUMIFS(Donnees_generations!$I$3:$I$113,Donnees_generations!$A$3:$A$113,MAX(1915,MIN(2025,E147))))/L147,AD147*AC147*MIN(IF(AB147&gt;0,0.8/0.75,1),(L147*4+AB147)/AA147))</f>
        <v/>
      </c>
      <c r="AF147" s="14">
        <f>AE147/12</f>
        <v/>
      </c>
      <c r="AG147" s="77">
        <f>MIN(68,MAX(56,2*INT(K147/2)))</f>
        <v/>
      </c>
      <c r="AH147" s="75">
        <f>(CHOOSE((AG147-56)/2+1,SUMIFS(Donnees_generations!$U$3:$U$113,Donnees_generations!$A$3:$A$113,MAX(1915,MIN(2025,E147))),SUMIFS(Donnees_generations!$V$3:$V$113,Donnees_generations!$A$3:$A$113,MAX(1915,MIN(2025,E147))),SUMIFS(Donnees_generations!$W$3:$W$113,Donnees_generations!$A$3:$A$113,MAX(1915,MIN(2025,E147))),SUMIFS(Donnees_generations!$X$3:$X$113,Donnees_generations!$A$3:$A$113,MAX(1915,MIN(2025,E147))),SUMIFS(Donnees_generations!$Y$3:$Y$113,Donnees_generations!$A$3:$A$113,MAX(1915,MIN(2025,E147))),SUMIFS(Donnees_generations!$Z$3:$Z$113,Donnees_generations!$A$3:$A$113,MAX(1915,MIN(2025,E147))),SUMIFS(Donnees_generations!$AA$3:$AA$113,Donnees_generations!$A$3:$A$113,MAX(1915,MIN(2025,E147))),SUMIFS(Donnees_generations!$AB$3:$AB$113,Donnees_generations!$A$3:$A$113,MAX(1915,MIN(2025,E147))))+CHOOSE((AG147-56)/2+1,SUMIFS(Donnees_generations!$AC$3:$AC$113,Donnees_generations!$A$3:$A$113,MAX(1915,MIN(2025,E147))),SUMIFS(Donnees_generations!$AD$3:$AD$113,Donnees_generations!$A$3:$A$113,MAX(1915,MIN(2025,E147))),SUMIFS(Donnees_generations!$AE$3:$AE$113,Donnees_generations!$A$3:$A$113,MAX(1915,MIN(2025,E147))),SUMIFS(Donnees_generations!$AF$3:$AF$113,Donnees_generations!$A$3:$A$113,MAX(1915,MIN(2025,E147))),SUMIFS(Donnees_generations!$AG$3:$AG$113,Donnees_generations!$A$3:$A$113,MAX(1915,MIN(2025,E147))),SUMIFS(Donnees_generations!$AH$3:$AH$113,Donnees_generations!$A$3:$A$113,MAX(1915,MIN(2025,E147))),SUMIFS(Donnees_generations!$AI$3:$AI$113,Donnees_generations!$A$3:$A$113,MAX(1915,MIN(2025,E147))),SUMIFS(Donnees_generations!$AJ$3:$AJ$113,Donnees_generations!$A$3:$A$113,MAX(1915,MIN(2025,E147)))))/2</f>
        <v/>
      </c>
      <c r="AI147" s="75">
        <f>(CHOOSE(((AG147+2)-56)/2+1,SUMIFS(Donnees_generations!$U$3:$U$113,Donnees_generations!$A$3:$A$113,MAX(1915,MIN(2025,E147))),SUMIFS(Donnees_generations!$V$3:$V$113,Donnees_generations!$A$3:$A$113,MAX(1915,MIN(2025,E147))),SUMIFS(Donnees_generations!$W$3:$W$113,Donnees_generations!$A$3:$A$113,MAX(1915,MIN(2025,E147))),SUMIFS(Donnees_generations!$X$3:$X$113,Donnees_generations!$A$3:$A$113,MAX(1915,MIN(2025,E147))),SUMIFS(Donnees_generations!$Y$3:$Y$113,Donnees_generations!$A$3:$A$113,MAX(1915,MIN(2025,E147))),SUMIFS(Donnees_generations!$Z$3:$Z$113,Donnees_generations!$A$3:$A$113,MAX(1915,MIN(2025,E147))),SUMIFS(Donnees_generations!$AA$3:$AA$113,Donnees_generations!$A$3:$A$113,MAX(1915,MIN(2025,E147))),SUMIFS(Donnees_generations!$AB$3:$AB$113,Donnees_generations!$A$3:$A$113,MAX(1915,MIN(2025,E147))))+CHOOSE(((AG147+2)-56)/2+1,SUMIFS(Donnees_generations!$AC$3:$AC$113,Donnees_generations!$A$3:$A$113,MAX(1915,MIN(2025,E147))),SUMIFS(Donnees_generations!$AD$3:$AD$113,Donnees_generations!$A$3:$A$113,MAX(1915,MIN(2025,E147))),SUMIFS(Donnees_generations!$AE$3:$AE$113,Donnees_generations!$A$3:$A$113,MAX(1915,MIN(2025,E147))),SUMIFS(Donnees_generations!$AF$3:$AF$113,Donnees_generations!$A$3:$A$113,MAX(1915,MIN(2025,E147))),SUMIFS(Donnees_generations!$AG$3:$AG$113,Donnees_generations!$A$3:$A$113,MAX(1915,MIN(2025,E147))),SUMIFS(Donnees_generations!$AH$3:$AH$113,Donnees_generations!$A$3:$A$113,MAX(1915,MIN(2025,E147))),SUMIFS(Donnees_generations!$AI$3:$AI$113,Donnees_generations!$A$3:$A$113,MAX(1915,MIN(2025,E147))),SUMIFS(Donnees_generations!$AJ$3:$AJ$113,Donnees_generations!$A$3:$A$113,MAX(1915,MIN(2025,E147)))))/2</f>
        <v/>
      </c>
      <c r="AJ147" s="8">
        <f>MAX(0,AH147+(AI147-AH147)*(K147-AG147)/2)</f>
        <v/>
      </c>
      <c r="AK147" s="8">
        <f>K147+AJ147</f>
        <v/>
      </c>
      <c r="AL147" s="14">
        <f>AE147*AJ147</f>
        <v/>
      </c>
      <c r="AM147" s="17">
        <f>V147/AL147</f>
        <v/>
      </c>
      <c r="AN147" s="17">
        <f>Z147/AL147</f>
        <v/>
      </c>
      <c r="AO147" s="33">
        <f>IF(V147+Z147=0,0,Z147/(V147+Z147))</f>
        <v/>
      </c>
      <c r="AP147" s="14">
        <f>AL147/V147*100</f>
        <v/>
      </c>
      <c r="AQ147" s="8">
        <f>P147/AL147*1000</f>
        <v/>
      </c>
      <c r="AR147" s="77">
        <f>MAX(N147,M147-1)</f>
        <v/>
      </c>
      <c r="AS147" s="14">
        <f>SUMIFS(Donnees_regimes!$R$3:$R$1118,Donnees_regimes!$A$3:$A$1118,C147,Donnees_regimes!$B$3:$B$1118,"&gt;="&amp;G147,Donnees_regimes!$B$3:$B$1118,"&lt;="&amp;N147)*L147/ROUNDUP(L147,0)*SUMIFS(Donnees_annuelles!$AG$3:$AG$188,Donnees_annuelles!$A$3:$A$188,AR147)*SUMIFS(Donnees_annuelles!$AA$3:$AA$188,Donnees_annuelles!$A$3:$A$188,AR147)</f>
        <v/>
      </c>
      <c r="AT147" s="36">
        <f>AS147/V147</f>
        <v/>
      </c>
      <c r="AU147" s="14">
        <f>AL147</f>
        <v/>
      </c>
      <c r="AV147" s="39">
        <f>AS147-AL147</f>
        <v/>
      </c>
      <c r="AW147" s="9">
        <f>AS147/AL147-1</f>
        <v/>
      </c>
      <c r="AX147" s="14">
        <f>AS147/AJ147/12</f>
        <v/>
      </c>
      <c r="AY147" s="14">
        <f>AF147</f>
        <v/>
      </c>
      <c r="AZ147" s="39">
        <f>AX147-AF147</f>
        <v/>
      </c>
      <c r="BA147" s="14">
        <f>SUMIFS(Donnees_regimes!$S$3:$S$1118,Donnees_regimes!$A$3:$A$1118,C147,Donnees_regimes!$B$3:$B$1118,"&gt;="&amp;G147,Donnees_regimes!$B$3:$B$1118,"&lt;="&amp;N147)*L147/ROUNDUP(L147,0)*SUMIFS(Donnees_annuelles!$AH$3:$AH$188,Donnees_annuelles!$A$3:$A$188,AR147)*SUMIFS(Donnees_annuelles!$AA$3:$AA$188,Donnees_annuelles!$A$3:$A$188,AR147)</f>
        <v/>
      </c>
      <c r="BB147" s="39">
        <f>BA147-AL147</f>
        <v/>
      </c>
      <c r="BC147" s="7">
        <f>IF(M147+AJ147&gt;2026,IF(G147&gt;2026,"entièrement projeté","en partie projeté"),"observé")</f>
        <v/>
      </c>
    </row>
    <row r="148">
      <c r="A148" s="7" t="inlineStr">
        <is>
          <t>Génération X</t>
        </is>
      </c>
      <c r="B148" s="84" t="inlineStr">
        <is>
          <t>Fonction publique d'État</t>
        </is>
      </c>
      <c r="C148" s="7">
        <f>IF(G148&gt;=SUMIFS(Regimes!$C$5:$C$10,Regimes!$A$5:$A$10,B148),"Privé",B148)</f>
        <v/>
      </c>
      <c r="D148" s="7">
        <f>INDEX(Regimes!$D$5:$D$10,MATCH(C148,Regimes!$A$5:$A$10,0))</f>
        <v/>
      </c>
      <c r="E148" s="88" t="n">
        <v>1975</v>
      </c>
      <c r="F148" s="8">
        <f>Donnees_generations!C63</f>
        <v/>
      </c>
      <c r="G148" s="77">
        <f>Donnees_generations!D63</f>
        <v/>
      </c>
      <c r="H148" s="8">
        <f>SUMIFS(Donnees_generations!$S$3:$S$113,Donnees_generations!$A$3:$A$113,MAX(1915,MIN(2025,E148)))</f>
        <v/>
      </c>
      <c r="I148" s="8">
        <f>SUMIFS(Donnees_generations!$T$3:$T$113,Donnees_generations!$A$3:$A$113,MAX(1915,MIN(2025,E148)))</f>
        <v/>
      </c>
      <c r="J148" s="8">
        <f>IF(G148&gt;=2000,MAX(I148,Parametres!$B$3),I148)</f>
        <v/>
      </c>
      <c r="K148" s="8">
        <f>IF(C148="Privé",J148,SUMIFS(Regles_regimes!$J$3:$J$2000,Regles_regimes!$A$3:$A$2000,C148,Regles_regimes!$B$3:$B$2000,D148,Regles_regimes!$C$3:$C$2000,MAX(1915,MIN(2025,E148))))</f>
        <v/>
      </c>
      <c r="L148" s="8">
        <f>IF(C148="Privé",H148,(K148-F148)*H148/(J148-F148))</f>
        <v/>
      </c>
      <c r="M148" s="77">
        <f>INT(E148+K148)</f>
        <v/>
      </c>
      <c r="N148" s="77">
        <f>G148+ROUNDUP(L148,0)-1</f>
        <v/>
      </c>
      <c r="O148" s="89">
        <f>SUMIFS(Regles_regimes!$K$3:$K$2000,Regles_regimes!$A$3:$A$2000,C148,Regles_regimes!$B$3:$B$2000,D148,Regles_regimes!$C$3:$C$2000,MAX(1915,MIN(2025,E148)))</f>
        <v/>
      </c>
      <c r="P148" s="13">
        <f>SUMIFS(Donnees_annuelles!$W$3:$W$188,Donnees_annuelles!$A$3:$A$188,"&gt;="&amp;G148,Donnees_annuelles!$A$3:$A$188,"&lt;="&amp;N148)*L148/ROUNDUP(L148,0)*O148</f>
        <v/>
      </c>
      <c r="Q148" s="13">
        <f>SUMIFS(Donnees_annuelles!$V$3:$V$188,Donnees_annuelles!$A$3:$A$188,"&gt;="&amp;G148,Donnees_annuelles!$A$3:$A$188,"&lt;="&amp;N148)*L148/ROUNDUP(L148,0)</f>
        <v/>
      </c>
      <c r="R148" s="13">
        <f>P148/L148</f>
        <v/>
      </c>
      <c r="S148" s="14">
        <f>SUMIFS(Donnees_annuelles!$D$3:$D$188,Donnees_annuelles!$A$3:$A$188,"&gt;="&amp;G148,Donnees_annuelles!$A$3:$A$188,"&lt;="&amp;N148)*L148/ROUNDUP(L148,0)</f>
        <v/>
      </c>
      <c r="T148" s="14">
        <f>SUMIFS(Donnees_regimes!$N$3:$N$1118,Donnees_regimes!$A$3:$A$1118,C148,Donnees_regimes!$B$3:$B$1118,"&gt;="&amp;G148,Donnees_regimes!$B$3:$B$1118,"&lt;="&amp;N148)*L148/ROUNDUP(L148,0)</f>
        <v/>
      </c>
      <c r="U148" s="14">
        <f>SUMIFS(Donnees_regimes!$O$3:$O$1118,Donnees_regimes!$A$3:$A$1118,C148,Donnees_regimes!$B$3:$B$1118,"&gt;="&amp;G148,Donnees_regimes!$B$3:$B$1118,"&lt;="&amp;N148)*L148/ROUNDUP(L148,0)</f>
        <v/>
      </c>
      <c r="V148" s="14">
        <f>T148+U148</f>
        <v/>
      </c>
      <c r="W148" s="33">
        <f>V148/S148</f>
        <v/>
      </c>
      <c r="X148" s="14">
        <f>S148+U148</f>
        <v/>
      </c>
      <c r="Y148" s="17">
        <f>V148/P148</f>
        <v/>
      </c>
      <c r="Z148" s="14">
        <f>SUMIFS(Donnees_regimes!$Q$3:$Q$1118,Donnees_regimes!$A$3:$A$1118,C148,Donnees_regimes!$B$3:$B$1118,"&gt;="&amp;G148,Donnees_regimes!$B$3:$B$1118,"&lt;="&amp;N148)*L148/ROUNDUP(L148,0)</f>
        <v/>
      </c>
      <c r="AA148" s="77">
        <f>SUMIFS(Regles_regimes!$F$3:$F$2000,Regles_regimes!$A$3:$A$2000,C148,Regles_regimes!$B$3:$B$2000,D148,Regles_regimes!$C$3:$C$2000,MAX(1915,MIN(2025,E148)))</f>
        <v/>
      </c>
      <c r="AB148" s="77">
        <f>IF(AND(SUMIFS(Regles_regimes!$L$3:$L$2000,Regles_regimes!$A$3:$A$2000,C148,Regles_regimes!$B$3:$B$2000,D148,Regles_regimes!$C$3:$C$2000,MAX(1915,MIN(2025,E148)))=1,G148&lt;2009,C148&lt;&gt;"Privé"),MIN(20,L148*4/5),0)</f>
        <v/>
      </c>
      <c r="AC148" s="89">
        <f>SUMIFS(Donnees_regimes!$M$3:$M$1118,Donnees_regimes!$A$3:$A$1118,C148,Donnees_regimes!$B$3:$B$1118,M148)</f>
        <v/>
      </c>
      <c r="AD148" s="14">
        <f>SUMIFS(Donnees_annuelles!$Y$3:$Y$188,Donnees_annuelles!$A$3:$A$188,M148)*SUMIFS(Donnees_generations!$I$3:$I$113,Donnees_generations!$A$3:$A$113,MAX(1915,MIN(2025,E148)))/H148</f>
        <v/>
      </c>
      <c r="AE148" s="14">
        <f>IF(C148="Privé",SUMIFS(Donnees_annuelles!$Y$3:$Y$188,Donnees_annuelles!$A$3:$A$188,M148)*MIN(L148,SUMIFS(Donnees_generations!$I$3:$I$113,Donnees_generations!$A$3:$A$113,MAX(1915,MIN(2025,E148))))/L148,AD148*AC148*MIN(IF(AB148&gt;0,0.8/0.75,1),(L148*4+AB148)/AA148))</f>
        <v/>
      </c>
      <c r="AF148" s="14">
        <f>AE148/12</f>
        <v/>
      </c>
      <c r="AG148" s="77">
        <f>MIN(68,MAX(56,2*INT(K148/2)))</f>
        <v/>
      </c>
      <c r="AH148" s="75">
        <f>(CHOOSE((AG148-56)/2+1,SUMIFS(Donnees_generations!$U$3:$U$113,Donnees_generations!$A$3:$A$113,MAX(1915,MIN(2025,E148))),SUMIFS(Donnees_generations!$V$3:$V$113,Donnees_generations!$A$3:$A$113,MAX(1915,MIN(2025,E148))),SUMIFS(Donnees_generations!$W$3:$W$113,Donnees_generations!$A$3:$A$113,MAX(1915,MIN(2025,E148))),SUMIFS(Donnees_generations!$X$3:$X$113,Donnees_generations!$A$3:$A$113,MAX(1915,MIN(2025,E148))),SUMIFS(Donnees_generations!$Y$3:$Y$113,Donnees_generations!$A$3:$A$113,MAX(1915,MIN(2025,E148))),SUMIFS(Donnees_generations!$Z$3:$Z$113,Donnees_generations!$A$3:$A$113,MAX(1915,MIN(2025,E148))),SUMIFS(Donnees_generations!$AA$3:$AA$113,Donnees_generations!$A$3:$A$113,MAX(1915,MIN(2025,E148))),SUMIFS(Donnees_generations!$AB$3:$AB$113,Donnees_generations!$A$3:$A$113,MAX(1915,MIN(2025,E148))))+CHOOSE((AG148-56)/2+1,SUMIFS(Donnees_generations!$AC$3:$AC$113,Donnees_generations!$A$3:$A$113,MAX(1915,MIN(2025,E148))),SUMIFS(Donnees_generations!$AD$3:$AD$113,Donnees_generations!$A$3:$A$113,MAX(1915,MIN(2025,E148))),SUMIFS(Donnees_generations!$AE$3:$AE$113,Donnees_generations!$A$3:$A$113,MAX(1915,MIN(2025,E148))),SUMIFS(Donnees_generations!$AF$3:$AF$113,Donnees_generations!$A$3:$A$113,MAX(1915,MIN(2025,E148))),SUMIFS(Donnees_generations!$AG$3:$AG$113,Donnees_generations!$A$3:$A$113,MAX(1915,MIN(2025,E148))),SUMIFS(Donnees_generations!$AH$3:$AH$113,Donnees_generations!$A$3:$A$113,MAX(1915,MIN(2025,E148))),SUMIFS(Donnees_generations!$AI$3:$AI$113,Donnees_generations!$A$3:$A$113,MAX(1915,MIN(2025,E148))),SUMIFS(Donnees_generations!$AJ$3:$AJ$113,Donnees_generations!$A$3:$A$113,MAX(1915,MIN(2025,E148)))))/2</f>
        <v/>
      </c>
      <c r="AI148" s="75">
        <f>(CHOOSE(((AG148+2)-56)/2+1,SUMIFS(Donnees_generations!$U$3:$U$113,Donnees_generations!$A$3:$A$113,MAX(1915,MIN(2025,E148))),SUMIFS(Donnees_generations!$V$3:$V$113,Donnees_generations!$A$3:$A$113,MAX(1915,MIN(2025,E148))),SUMIFS(Donnees_generations!$W$3:$W$113,Donnees_generations!$A$3:$A$113,MAX(1915,MIN(2025,E148))),SUMIFS(Donnees_generations!$X$3:$X$113,Donnees_generations!$A$3:$A$113,MAX(1915,MIN(2025,E148))),SUMIFS(Donnees_generations!$Y$3:$Y$113,Donnees_generations!$A$3:$A$113,MAX(1915,MIN(2025,E148))),SUMIFS(Donnees_generations!$Z$3:$Z$113,Donnees_generations!$A$3:$A$113,MAX(1915,MIN(2025,E148))),SUMIFS(Donnees_generations!$AA$3:$AA$113,Donnees_generations!$A$3:$A$113,MAX(1915,MIN(2025,E148))),SUMIFS(Donnees_generations!$AB$3:$AB$113,Donnees_generations!$A$3:$A$113,MAX(1915,MIN(2025,E148))))+CHOOSE(((AG148+2)-56)/2+1,SUMIFS(Donnees_generations!$AC$3:$AC$113,Donnees_generations!$A$3:$A$113,MAX(1915,MIN(2025,E148))),SUMIFS(Donnees_generations!$AD$3:$AD$113,Donnees_generations!$A$3:$A$113,MAX(1915,MIN(2025,E148))),SUMIFS(Donnees_generations!$AE$3:$AE$113,Donnees_generations!$A$3:$A$113,MAX(1915,MIN(2025,E148))),SUMIFS(Donnees_generations!$AF$3:$AF$113,Donnees_generations!$A$3:$A$113,MAX(1915,MIN(2025,E148))),SUMIFS(Donnees_generations!$AG$3:$AG$113,Donnees_generations!$A$3:$A$113,MAX(1915,MIN(2025,E148))),SUMIFS(Donnees_generations!$AH$3:$AH$113,Donnees_generations!$A$3:$A$113,MAX(1915,MIN(2025,E148))),SUMIFS(Donnees_generations!$AI$3:$AI$113,Donnees_generations!$A$3:$A$113,MAX(1915,MIN(2025,E148))),SUMIFS(Donnees_generations!$AJ$3:$AJ$113,Donnees_generations!$A$3:$A$113,MAX(1915,MIN(2025,E148)))))/2</f>
        <v/>
      </c>
      <c r="AJ148" s="8">
        <f>MAX(0,AH148+(AI148-AH148)*(K148-AG148)/2)</f>
        <v/>
      </c>
      <c r="AK148" s="8">
        <f>K148+AJ148</f>
        <v/>
      </c>
      <c r="AL148" s="14">
        <f>AE148*AJ148</f>
        <v/>
      </c>
      <c r="AM148" s="17">
        <f>V148/AL148</f>
        <v/>
      </c>
      <c r="AN148" s="17">
        <f>Z148/AL148</f>
        <v/>
      </c>
      <c r="AO148" s="33">
        <f>IF(V148+Z148=0,0,Z148/(V148+Z148))</f>
        <v/>
      </c>
      <c r="AP148" s="14">
        <f>AL148/V148*100</f>
        <v/>
      </c>
      <c r="AQ148" s="8">
        <f>P148/AL148*1000</f>
        <v/>
      </c>
      <c r="AR148" s="77">
        <f>MAX(N148,M148-1)</f>
        <v/>
      </c>
      <c r="AS148" s="14">
        <f>SUMIFS(Donnees_regimes!$R$3:$R$1118,Donnees_regimes!$A$3:$A$1118,C148,Donnees_regimes!$B$3:$B$1118,"&gt;="&amp;G148,Donnees_regimes!$B$3:$B$1118,"&lt;="&amp;N148)*L148/ROUNDUP(L148,0)*SUMIFS(Donnees_annuelles!$AG$3:$AG$188,Donnees_annuelles!$A$3:$A$188,AR148)*SUMIFS(Donnees_annuelles!$AA$3:$AA$188,Donnees_annuelles!$A$3:$A$188,AR148)</f>
        <v/>
      </c>
      <c r="AT148" s="36">
        <f>AS148/V148</f>
        <v/>
      </c>
      <c r="AU148" s="14">
        <f>AL148</f>
        <v/>
      </c>
      <c r="AV148" s="39">
        <f>AS148-AL148</f>
        <v/>
      </c>
      <c r="AW148" s="9">
        <f>AS148/AL148-1</f>
        <v/>
      </c>
      <c r="AX148" s="14">
        <f>AS148/AJ148/12</f>
        <v/>
      </c>
      <c r="AY148" s="14">
        <f>AF148</f>
        <v/>
      </c>
      <c r="AZ148" s="39">
        <f>AX148-AF148</f>
        <v/>
      </c>
      <c r="BA148" s="14">
        <f>SUMIFS(Donnees_regimes!$S$3:$S$1118,Donnees_regimes!$A$3:$A$1118,C148,Donnees_regimes!$B$3:$B$1118,"&gt;="&amp;G148,Donnees_regimes!$B$3:$B$1118,"&lt;="&amp;N148)*L148/ROUNDUP(L148,0)*SUMIFS(Donnees_annuelles!$AH$3:$AH$188,Donnees_annuelles!$A$3:$A$188,AR148)*SUMIFS(Donnees_annuelles!$AA$3:$AA$188,Donnees_annuelles!$A$3:$A$188,AR148)</f>
        <v/>
      </c>
      <c r="BB148" s="39">
        <f>BA148-AL148</f>
        <v/>
      </c>
      <c r="BC148" s="7">
        <f>IF(M148+AJ148&gt;2026,IF(G148&gt;2026,"entièrement projeté","en partie projeté"),"observé")</f>
        <v/>
      </c>
    </row>
    <row r="149">
      <c r="A149" s="7" t="inlineStr">
        <is>
          <t>Génération X</t>
        </is>
      </c>
      <c r="B149" s="84" t="inlineStr">
        <is>
          <t>Fonction publique d'État</t>
        </is>
      </c>
      <c r="C149" s="7">
        <f>IF(G149&gt;=SUMIFS(Regimes!$C$5:$C$10,Regimes!$A$5:$A$10,B149),"Privé",B149)</f>
        <v/>
      </c>
      <c r="D149" s="7">
        <f>INDEX(Regimes!$D$5:$D$10,MATCH(C149,Regimes!$A$5:$A$10,0))</f>
        <v/>
      </c>
      <c r="E149" s="88" t="n">
        <v>1976</v>
      </c>
      <c r="F149" s="8">
        <f>Donnees_generations!C64</f>
        <v/>
      </c>
      <c r="G149" s="77">
        <f>Donnees_generations!D64</f>
        <v/>
      </c>
      <c r="H149" s="8">
        <f>SUMIFS(Donnees_generations!$S$3:$S$113,Donnees_generations!$A$3:$A$113,MAX(1915,MIN(2025,E149)))</f>
        <v/>
      </c>
      <c r="I149" s="8">
        <f>SUMIFS(Donnees_generations!$T$3:$T$113,Donnees_generations!$A$3:$A$113,MAX(1915,MIN(2025,E149)))</f>
        <v/>
      </c>
      <c r="J149" s="8">
        <f>IF(G149&gt;=2000,MAX(I149,Parametres!$B$3),I149)</f>
        <v/>
      </c>
      <c r="K149" s="8">
        <f>IF(C149="Privé",J149,SUMIFS(Regles_regimes!$J$3:$J$2000,Regles_regimes!$A$3:$A$2000,C149,Regles_regimes!$B$3:$B$2000,D149,Regles_regimes!$C$3:$C$2000,MAX(1915,MIN(2025,E149))))</f>
        <v/>
      </c>
      <c r="L149" s="8">
        <f>IF(C149="Privé",H149,(K149-F149)*H149/(J149-F149))</f>
        <v/>
      </c>
      <c r="M149" s="77">
        <f>INT(E149+K149)</f>
        <v/>
      </c>
      <c r="N149" s="77">
        <f>G149+ROUNDUP(L149,0)-1</f>
        <v/>
      </c>
      <c r="O149" s="89">
        <f>SUMIFS(Regles_regimes!$K$3:$K$2000,Regles_regimes!$A$3:$A$2000,C149,Regles_regimes!$B$3:$B$2000,D149,Regles_regimes!$C$3:$C$2000,MAX(1915,MIN(2025,E149)))</f>
        <v/>
      </c>
      <c r="P149" s="13">
        <f>SUMIFS(Donnees_annuelles!$W$3:$W$188,Donnees_annuelles!$A$3:$A$188,"&gt;="&amp;G149,Donnees_annuelles!$A$3:$A$188,"&lt;="&amp;N149)*L149/ROUNDUP(L149,0)*O149</f>
        <v/>
      </c>
      <c r="Q149" s="13">
        <f>SUMIFS(Donnees_annuelles!$V$3:$V$188,Donnees_annuelles!$A$3:$A$188,"&gt;="&amp;G149,Donnees_annuelles!$A$3:$A$188,"&lt;="&amp;N149)*L149/ROUNDUP(L149,0)</f>
        <v/>
      </c>
      <c r="R149" s="13">
        <f>P149/L149</f>
        <v/>
      </c>
      <c r="S149" s="14">
        <f>SUMIFS(Donnees_annuelles!$D$3:$D$188,Donnees_annuelles!$A$3:$A$188,"&gt;="&amp;G149,Donnees_annuelles!$A$3:$A$188,"&lt;="&amp;N149)*L149/ROUNDUP(L149,0)</f>
        <v/>
      </c>
      <c r="T149" s="14">
        <f>SUMIFS(Donnees_regimes!$N$3:$N$1118,Donnees_regimes!$A$3:$A$1118,C149,Donnees_regimes!$B$3:$B$1118,"&gt;="&amp;G149,Donnees_regimes!$B$3:$B$1118,"&lt;="&amp;N149)*L149/ROUNDUP(L149,0)</f>
        <v/>
      </c>
      <c r="U149" s="14">
        <f>SUMIFS(Donnees_regimes!$O$3:$O$1118,Donnees_regimes!$A$3:$A$1118,C149,Donnees_regimes!$B$3:$B$1118,"&gt;="&amp;G149,Donnees_regimes!$B$3:$B$1118,"&lt;="&amp;N149)*L149/ROUNDUP(L149,0)</f>
        <v/>
      </c>
      <c r="V149" s="14">
        <f>T149+U149</f>
        <v/>
      </c>
      <c r="W149" s="33">
        <f>V149/S149</f>
        <v/>
      </c>
      <c r="X149" s="14">
        <f>S149+U149</f>
        <v/>
      </c>
      <c r="Y149" s="17">
        <f>V149/P149</f>
        <v/>
      </c>
      <c r="Z149" s="14">
        <f>SUMIFS(Donnees_regimes!$Q$3:$Q$1118,Donnees_regimes!$A$3:$A$1118,C149,Donnees_regimes!$B$3:$B$1118,"&gt;="&amp;G149,Donnees_regimes!$B$3:$B$1118,"&lt;="&amp;N149)*L149/ROUNDUP(L149,0)</f>
        <v/>
      </c>
      <c r="AA149" s="77">
        <f>SUMIFS(Regles_regimes!$F$3:$F$2000,Regles_regimes!$A$3:$A$2000,C149,Regles_regimes!$B$3:$B$2000,D149,Regles_regimes!$C$3:$C$2000,MAX(1915,MIN(2025,E149)))</f>
        <v/>
      </c>
      <c r="AB149" s="77">
        <f>IF(AND(SUMIFS(Regles_regimes!$L$3:$L$2000,Regles_regimes!$A$3:$A$2000,C149,Regles_regimes!$B$3:$B$2000,D149,Regles_regimes!$C$3:$C$2000,MAX(1915,MIN(2025,E149)))=1,G149&lt;2009,C149&lt;&gt;"Privé"),MIN(20,L149*4/5),0)</f>
        <v/>
      </c>
      <c r="AC149" s="89">
        <f>SUMIFS(Donnees_regimes!$M$3:$M$1118,Donnees_regimes!$A$3:$A$1118,C149,Donnees_regimes!$B$3:$B$1118,M149)</f>
        <v/>
      </c>
      <c r="AD149" s="14">
        <f>SUMIFS(Donnees_annuelles!$Y$3:$Y$188,Donnees_annuelles!$A$3:$A$188,M149)*SUMIFS(Donnees_generations!$I$3:$I$113,Donnees_generations!$A$3:$A$113,MAX(1915,MIN(2025,E149)))/H149</f>
        <v/>
      </c>
      <c r="AE149" s="14">
        <f>IF(C149="Privé",SUMIFS(Donnees_annuelles!$Y$3:$Y$188,Donnees_annuelles!$A$3:$A$188,M149)*MIN(L149,SUMIFS(Donnees_generations!$I$3:$I$113,Donnees_generations!$A$3:$A$113,MAX(1915,MIN(2025,E149))))/L149,AD149*AC149*MIN(IF(AB149&gt;0,0.8/0.75,1),(L149*4+AB149)/AA149))</f>
        <v/>
      </c>
      <c r="AF149" s="14">
        <f>AE149/12</f>
        <v/>
      </c>
      <c r="AG149" s="77">
        <f>MIN(68,MAX(56,2*INT(K149/2)))</f>
        <v/>
      </c>
      <c r="AH149" s="75">
        <f>(CHOOSE((AG149-56)/2+1,SUMIFS(Donnees_generations!$U$3:$U$113,Donnees_generations!$A$3:$A$113,MAX(1915,MIN(2025,E149))),SUMIFS(Donnees_generations!$V$3:$V$113,Donnees_generations!$A$3:$A$113,MAX(1915,MIN(2025,E149))),SUMIFS(Donnees_generations!$W$3:$W$113,Donnees_generations!$A$3:$A$113,MAX(1915,MIN(2025,E149))),SUMIFS(Donnees_generations!$X$3:$X$113,Donnees_generations!$A$3:$A$113,MAX(1915,MIN(2025,E149))),SUMIFS(Donnees_generations!$Y$3:$Y$113,Donnees_generations!$A$3:$A$113,MAX(1915,MIN(2025,E149))),SUMIFS(Donnees_generations!$Z$3:$Z$113,Donnees_generations!$A$3:$A$113,MAX(1915,MIN(2025,E149))),SUMIFS(Donnees_generations!$AA$3:$AA$113,Donnees_generations!$A$3:$A$113,MAX(1915,MIN(2025,E149))),SUMIFS(Donnees_generations!$AB$3:$AB$113,Donnees_generations!$A$3:$A$113,MAX(1915,MIN(2025,E149))))+CHOOSE((AG149-56)/2+1,SUMIFS(Donnees_generations!$AC$3:$AC$113,Donnees_generations!$A$3:$A$113,MAX(1915,MIN(2025,E149))),SUMIFS(Donnees_generations!$AD$3:$AD$113,Donnees_generations!$A$3:$A$113,MAX(1915,MIN(2025,E149))),SUMIFS(Donnees_generations!$AE$3:$AE$113,Donnees_generations!$A$3:$A$113,MAX(1915,MIN(2025,E149))),SUMIFS(Donnees_generations!$AF$3:$AF$113,Donnees_generations!$A$3:$A$113,MAX(1915,MIN(2025,E149))),SUMIFS(Donnees_generations!$AG$3:$AG$113,Donnees_generations!$A$3:$A$113,MAX(1915,MIN(2025,E149))),SUMIFS(Donnees_generations!$AH$3:$AH$113,Donnees_generations!$A$3:$A$113,MAX(1915,MIN(2025,E149))),SUMIFS(Donnees_generations!$AI$3:$AI$113,Donnees_generations!$A$3:$A$113,MAX(1915,MIN(2025,E149))),SUMIFS(Donnees_generations!$AJ$3:$AJ$113,Donnees_generations!$A$3:$A$113,MAX(1915,MIN(2025,E149)))))/2</f>
        <v/>
      </c>
      <c r="AI149" s="75">
        <f>(CHOOSE(((AG149+2)-56)/2+1,SUMIFS(Donnees_generations!$U$3:$U$113,Donnees_generations!$A$3:$A$113,MAX(1915,MIN(2025,E149))),SUMIFS(Donnees_generations!$V$3:$V$113,Donnees_generations!$A$3:$A$113,MAX(1915,MIN(2025,E149))),SUMIFS(Donnees_generations!$W$3:$W$113,Donnees_generations!$A$3:$A$113,MAX(1915,MIN(2025,E149))),SUMIFS(Donnees_generations!$X$3:$X$113,Donnees_generations!$A$3:$A$113,MAX(1915,MIN(2025,E149))),SUMIFS(Donnees_generations!$Y$3:$Y$113,Donnees_generations!$A$3:$A$113,MAX(1915,MIN(2025,E149))),SUMIFS(Donnees_generations!$Z$3:$Z$113,Donnees_generations!$A$3:$A$113,MAX(1915,MIN(2025,E149))),SUMIFS(Donnees_generations!$AA$3:$AA$113,Donnees_generations!$A$3:$A$113,MAX(1915,MIN(2025,E149))),SUMIFS(Donnees_generations!$AB$3:$AB$113,Donnees_generations!$A$3:$A$113,MAX(1915,MIN(2025,E149))))+CHOOSE(((AG149+2)-56)/2+1,SUMIFS(Donnees_generations!$AC$3:$AC$113,Donnees_generations!$A$3:$A$113,MAX(1915,MIN(2025,E149))),SUMIFS(Donnees_generations!$AD$3:$AD$113,Donnees_generations!$A$3:$A$113,MAX(1915,MIN(2025,E149))),SUMIFS(Donnees_generations!$AE$3:$AE$113,Donnees_generations!$A$3:$A$113,MAX(1915,MIN(2025,E149))),SUMIFS(Donnees_generations!$AF$3:$AF$113,Donnees_generations!$A$3:$A$113,MAX(1915,MIN(2025,E149))),SUMIFS(Donnees_generations!$AG$3:$AG$113,Donnees_generations!$A$3:$A$113,MAX(1915,MIN(2025,E149))),SUMIFS(Donnees_generations!$AH$3:$AH$113,Donnees_generations!$A$3:$A$113,MAX(1915,MIN(2025,E149))),SUMIFS(Donnees_generations!$AI$3:$AI$113,Donnees_generations!$A$3:$A$113,MAX(1915,MIN(2025,E149))),SUMIFS(Donnees_generations!$AJ$3:$AJ$113,Donnees_generations!$A$3:$A$113,MAX(1915,MIN(2025,E149)))))/2</f>
        <v/>
      </c>
      <c r="AJ149" s="8">
        <f>MAX(0,AH149+(AI149-AH149)*(K149-AG149)/2)</f>
        <v/>
      </c>
      <c r="AK149" s="8">
        <f>K149+AJ149</f>
        <v/>
      </c>
      <c r="AL149" s="14">
        <f>AE149*AJ149</f>
        <v/>
      </c>
      <c r="AM149" s="17">
        <f>V149/AL149</f>
        <v/>
      </c>
      <c r="AN149" s="17">
        <f>Z149/AL149</f>
        <v/>
      </c>
      <c r="AO149" s="33">
        <f>IF(V149+Z149=0,0,Z149/(V149+Z149))</f>
        <v/>
      </c>
      <c r="AP149" s="14">
        <f>AL149/V149*100</f>
        <v/>
      </c>
      <c r="AQ149" s="8">
        <f>P149/AL149*1000</f>
        <v/>
      </c>
      <c r="AR149" s="77">
        <f>MAX(N149,M149-1)</f>
        <v/>
      </c>
      <c r="AS149" s="14">
        <f>SUMIFS(Donnees_regimes!$R$3:$R$1118,Donnees_regimes!$A$3:$A$1118,C149,Donnees_regimes!$B$3:$B$1118,"&gt;="&amp;G149,Donnees_regimes!$B$3:$B$1118,"&lt;="&amp;N149)*L149/ROUNDUP(L149,0)*SUMIFS(Donnees_annuelles!$AG$3:$AG$188,Donnees_annuelles!$A$3:$A$188,AR149)*SUMIFS(Donnees_annuelles!$AA$3:$AA$188,Donnees_annuelles!$A$3:$A$188,AR149)</f>
        <v/>
      </c>
      <c r="AT149" s="36">
        <f>AS149/V149</f>
        <v/>
      </c>
      <c r="AU149" s="14">
        <f>AL149</f>
        <v/>
      </c>
      <c r="AV149" s="39">
        <f>AS149-AL149</f>
        <v/>
      </c>
      <c r="AW149" s="9">
        <f>AS149/AL149-1</f>
        <v/>
      </c>
      <c r="AX149" s="14">
        <f>AS149/AJ149/12</f>
        <v/>
      </c>
      <c r="AY149" s="14">
        <f>AF149</f>
        <v/>
      </c>
      <c r="AZ149" s="39">
        <f>AX149-AF149</f>
        <v/>
      </c>
      <c r="BA149" s="14">
        <f>SUMIFS(Donnees_regimes!$S$3:$S$1118,Donnees_regimes!$A$3:$A$1118,C149,Donnees_regimes!$B$3:$B$1118,"&gt;="&amp;G149,Donnees_regimes!$B$3:$B$1118,"&lt;="&amp;N149)*L149/ROUNDUP(L149,0)*SUMIFS(Donnees_annuelles!$AH$3:$AH$188,Donnees_annuelles!$A$3:$A$188,AR149)*SUMIFS(Donnees_annuelles!$AA$3:$AA$188,Donnees_annuelles!$A$3:$A$188,AR149)</f>
        <v/>
      </c>
      <c r="BB149" s="39">
        <f>BA149-AL149</f>
        <v/>
      </c>
      <c r="BC149" s="7">
        <f>IF(M149+AJ149&gt;2026,IF(G149&gt;2026,"entièrement projeté","en partie projeté"),"observé")</f>
        <v/>
      </c>
    </row>
    <row r="150">
      <c r="A150" s="7" t="inlineStr">
        <is>
          <t>Génération X</t>
        </is>
      </c>
      <c r="B150" s="84" t="inlineStr">
        <is>
          <t>Fonction publique d'État</t>
        </is>
      </c>
      <c r="C150" s="7">
        <f>IF(G150&gt;=SUMIFS(Regimes!$C$5:$C$10,Regimes!$A$5:$A$10,B150),"Privé",B150)</f>
        <v/>
      </c>
      <c r="D150" s="7">
        <f>INDEX(Regimes!$D$5:$D$10,MATCH(C150,Regimes!$A$5:$A$10,0))</f>
        <v/>
      </c>
      <c r="E150" s="88" t="n">
        <v>1977</v>
      </c>
      <c r="F150" s="8">
        <f>Donnees_generations!C65</f>
        <v/>
      </c>
      <c r="G150" s="77">
        <f>Donnees_generations!D65</f>
        <v/>
      </c>
      <c r="H150" s="8">
        <f>SUMIFS(Donnees_generations!$S$3:$S$113,Donnees_generations!$A$3:$A$113,MAX(1915,MIN(2025,E150)))</f>
        <v/>
      </c>
      <c r="I150" s="8">
        <f>SUMIFS(Donnees_generations!$T$3:$T$113,Donnees_generations!$A$3:$A$113,MAX(1915,MIN(2025,E150)))</f>
        <v/>
      </c>
      <c r="J150" s="8">
        <f>IF(G150&gt;=2000,MAX(I150,Parametres!$B$3),I150)</f>
        <v/>
      </c>
      <c r="K150" s="8">
        <f>IF(C150="Privé",J150,SUMIFS(Regles_regimes!$J$3:$J$2000,Regles_regimes!$A$3:$A$2000,C150,Regles_regimes!$B$3:$B$2000,D150,Regles_regimes!$C$3:$C$2000,MAX(1915,MIN(2025,E150))))</f>
        <v/>
      </c>
      <c r="L150" s="8">
        <f>IF(C150="Privé",H150,(K150-F150)*H150/(J150-F150))</f>
        <v/>
      </c>
      <c r="M150" s="77">
        <f>INT(E150+K150)</f>
        <v/>
      </c>
      <c r="N150" s="77">
        <f>G150+ROUNDUP(L150,0)-1</f>
        <v/>
      </c>
      <c r="O150" s="89">
        <f>SUMIFS(Regles_regimes!$K$3:$K$2000,Regles_regimes!$A$3:$A$2000,C150,Regles_regimes!$B$3:$B$2000,D150,Regles_regimes!$C$3:$C$2000,MAX(1915,MIN(2025,E150)))</f>
        <v/>
      </c>
      <c r="P150" s="13">
        <f>SUMIFS(Donnees_annuelles!$W$3:$W$188,Donnees_annuelles!$A$3:$A$188,"&gt;="&amp;G150,Donnees_annuelles!$A$3:$A$188,"&lt;="&amp;N150)*L150/ROUNDUP(L150,0)*O150</f>
        <v/>
      </c>
      <c r="Q150" s="13">
        <f>SUMIFS(Donnees_annuelles!$V$3:$V$188,Donnees_annuelles!$A$3:$A$188,"&gt;="&amp;G150,Donnees_annuelles!$A$3:$A$188,"&lt;="&amp;N150)*L150/ROUNDUP(L150,0)</f>
        <v/>
      </c>
      <c r="R150" s="13">
        <f>P150/L150</f>
        <v/>
      </c>
      <c r="S150" s="14">
        <f>SUMIFS(Donnees_annuelles!$D$3:$D$188,Donnees_annuelles!$A$3:$A$188,"&gt;="&amp;G150,Donnees_annuelles!$A$3:$A$188,"&lt;="&amp;N150)*L150/ROUNDUP(L150,0)</f>
        <v/>
      </c>
      <c r="T150" s="14">
        <f>SUMIFS(Donnees_regimes!$N$3:$N$1118,Donnees_regimes!$A$3:$A$1118,C150,Donnees_regimes!$B$3:$B$1118,"&gt;="&amp;G150,Donnees_regimes!$B$3:$B$1118,"&lt;="&amp;N150)*L150/ROUNDUP(L150,0)</f>
        <v/>
      </c>
      <c r="U150" s="14">
        <f>SUMIFS(Donnees_regimes!$O$3:$O$1118,Donnees_regimes!$A$3:$A$1118,C150,Donnees_regimes!$B$3:$B$1118,"&gt;="&amp;G150,Donnees_regimes!$B$3:$B$1118,"&lt;="&amp;N150)*L150/ROUNDUP(L150,0)</f>
        <v/>
      </c>
      <c r="V150" s="14">
        <f>T150+U150</f>
        <v/>
      </c>
      <c r="W150" s="33">
        <f>V150/S150</f>
        <v/>
      </c>
      <c r="X150" s="14">
        <f>S150+U150</f>
        <v/>
      </c>
      <c r="Y150" s="17">
        <f>V150/P150</f>
        <v/>
      </c>
      <c r="Z150" s="14">
        <f>SUMIFS(Donnees_regimes!$Q$3:$Q$1118,Donnees_regimes!$A$3:$A$1118,C150,Donnees_regimes!$B$3:$B$1118,"&gt;="&amp;G150,Donnees_regimes!$B$3:$B$1118,"&lt;="&amp;N150)*L150/ROUNDUP(L150,0)</f>
        <v/>
      </c>
      <c r="AA150" s="77">
        <f>SUMIFS(Regles_regimes!$F$3:$F$2000,Regles_regimes!$A$3:$A$2000,C150,Regles_regimes!$B$3:$B$2000,D150,Regles_regimes!$C$3:$C$2000,MAX(1915,MIN(2025,E150)))</f>
        <v/>
      </c>
      <c r="AB150" s="77">
        <f>IF(AND(SUMIFS(Regles_regimes!$L$3:$L$2000,Regles_regimes!$A$3:$A$2000,C150,Regles_regimes!$B$3:$B$2000,D150,Regles_regimes!$C$3:$C$2000,MAX(1915,MIN(2025,E150)))=1,G150&lt;2009,C150&lt;&gt;"Privé"),MIN(20,L150*4/5),0)</f>
        <v/>
      </c>
      <c r="AC150" s="89">
        <f>SUMIFS(Donnees_regimes!$M$3:$M$1118,Donnees_regimes!$A$3:$A$1118,C150,Donnees_regimes!$B$3:$B$1118,M150)</f>
        <v/>
      </c>
      <c r="AD150" s="14">
        <f>SUMIFS(Donnees_annuelles!$Y$3:$Y$188,Donnees_annuelles!$A$3:$A$188,M150)*SUMIFS(Donnees_generations!$I$3:$I$113,Donnees_generations!$A$3:$A$113,MAX(1915,MIN(2025,E150)))/H150</f>
        <v/>
      </c>
      <c r="AE150" s="14">
        <f>IF(C150="Privé",SUMIFS(Donnees_annuelles!$Y$3:$Y$188,Donnees_annuelles!$A$3:$A$188,M150)*MIN(L150,SUMIFS(Donnees_generations!$I$3:$I$113,Donnees_generations!$A$3:$A$113,MAX(1915,MIN(2025,E150))))/L150,AD150*AC150*MIN(IF(AB150&gt;0,0.8/0.75,1),(L150*4+AB150)/AA150))</f>
        <v/>
      </c>
      <c r="AF150" s="14">
        <f>AE150/12</f>
        <v/>
      </c>
      <c r="AG150" s="77">
        <f>MIN(68,MAX(56,2*INT(K150/2)))</f>
        <v/>
      </c>
      <c r="AH150" s="75">
        <f>(CHOOSE((AG150-56)/2+1,SUMIFS(Donnees_generations!$U$3:$U$113,Donnees_generations!$A$3:$A$113,MAX(1915,MIN(2025,E150))),SUMIFS(Donnees_generations!$V$3:$V$113,Donnees_generations!$A$3:$A$113,MAX(1915,MIN(2025,E150))),SUMIFS(Donnees_generations!$W$3:$W$113,Donnees_generations!$A$3:$A$113,MAX(1915,MIN(2025,E150))),SUMIFS(Donnees_generations!$X$3:$X$113,Donnees_generations!$A$3:$A$113,MAX(1915,MIN(2025,E150))),SUMIFS(Donnees_generations!$Y$3:$Y$113,Donnees_generations!$A$3:$A$113,MAX(1915,MIN(2025,E150))),SUMIFS(Donnees_generations!$Z$3:$Z$113,Donnees_generations!$A$3:$A$113,MAX(1915,MIN(2025,E150))),SUMIFS(Donnees_generations!$AA$3:$AA$113,Donnees_generations!$A$3:$A$113,MAX(1915,MIN(2025,E150))),SUMIFS(Donnees_generations!$AB$3:$AB$113,Donnees_generations!$A$3:$A$113,MAX(1915,MIN(2025,E150))))+CHOOSE((AG150-56)/2+1,SUMIFS(Donnees_generations!$AC$3:$AC$113,Donnees_generations!$A$3:$A$113,MAX(1915,MIN(2025,E150))),SUMIFS(Donnees_generations!$AD$3:$AD$113,Donnees_generations!$A$3:$A$113,MAX(1915,MIN(2025,E150))),SUMIFS(Donnees_generations!$AE$3:$AE$113,Donnees_generations!$A$3:$A$113,MAX(1915,MIN(2025,E150))),SUMIFS(Donnees_generations!$AF$3:$AF$113,Donnees_generations!$A$3:$A$113,MAX(1915,MIN(2025,E150))),SUMIFS(Donnees_generations!$AG$3:$AG$113,Donnees_generations!$A$3:$A$113,MAX(1915,MIN(2025,E150))),SUMIFS(Donnees_generations!$AH$3:$AH$113,Donnees_generations!$A$3:$A$113,MAX(1915,MIN(2025,E150))),SUMIFS(Donnees_generations!$AI$3:$AI$113,Donnees_generations!$A$3:$A$113,MAX(1915,MIN(2025,E150))),SUMIFS(Donnees_generations!$AJ$3:$AJ$113,Donnees_generations!$A$3:$A$113,MAX(1915,MIN(2025,E150)))))/2</f>
        <v/>
      </c>
      <c r="AI150" s="75">
        <f>(CHOOSE(((AG150+2)-56)/2+1,SUMIFS(Donnees_generations!$U$3:$U$113,Donnees_generations!$A$3:$A$113,MAX(1915,MIN(2025,E150))),SUMIFS(Donnees_generations!$V$3:$V$113,Donnees_generations!$A$3:$A$113,MAX(1915,MIN(2025,E150))),SUMIFS(Donnees_generations!$W$3:$W$113,Donnees_generations!$A$3:$A$113,MAX(1915,MIN(2025,E150))),SUMIFS(Donnees_generations!$X$3:$X$113,Donnees_generations!$A$3:$A$113,MAX(1915,MIN(2025,E150))),SUMIFS(Donnees_generations!$Y$3:$Y$113,Donnees_generations!$A$3:$A$113,MAX(1915,MIN(2025,E150))),SUMIFS(Donnees_generations!$Z$3:$Z$113,Donnees_generations!$A$3:$A$113,MAX(1915,MIN(2025,E150))),SUMIFS(Donnees_generations!$AA$3:$AA$113,Donnees_generations!$A$3:$A$113,MAX(1915,MIN(2025,E150))),SUMIFS(Donnees_generations!$AB$3:$AB$113,Donnees_generations!$A$3:$A$113,MAX(1915,MIN(2025,E150))))+CHOOSE(((AG150+2)-56)/2+1,SUMIFS(Donnees_generations!$AC$3:$AC$113,Donnees_generations!$A$3:$A$113,MAX(1915,MIN(2025,E150))),SUMIFS(Donnees_generations!$AD$3:$AD$113,Donnees_generations!$A$3:$A$113,MAX(1915,MIN(2025,E150))),SUMIFS(Donnees_generations!$AE$3:$AE$113,Donnees_generations!$A$3:$A$113,MAX(1915,MIN(2025,E150))),SUMIFS(Donnees_generations!$AF$3:$AF$113,Donnees_generations!$A$3:$A$113,MAX(1915,MIN(2025,E150))),SUMIFS(Donnees_generations!$AG$3:$AG$113,Donnees_generations!$A$3:$A$113,MAX(1915,MIN(2025,E150))),SUMIFS(Donnees_generations!$AH$3:$AH$113,Donnees_generations!$A$3:$A$113,MAX(1915,MIN(2025,E150))),SUMIFS(Donnees_generations!$AI$3:$AI$113,Donnees_generations!$A$3:$A$113,MAX(1915,MIN(2025,E150))),SUMIFS(Donnees_generations!$AJ$3:$AJ$113,Donnees_generations!$A$3:$A$113,MAX(1915,MIN(2025,E150)))))/2</f>
        <v/>
      </c>
      <c r="AJ150" s="8">
        <f>MAX(0,AH150+(AI150-AH150)*(K150-AG150)/2)</f>
        <v/>
      </c>
      <c r="AK150" s="8">
        <f>K150+AJ150</f>
        <v/>
      </c>
      <c r="AL150" s="14">
        <f>AE150*AJ150</f>
        <v/>
      </c>
      <c r="AM150" s="17">
        <f>V150/AL150</f>
        <v/>
      </c>
      <c r="AN150" s="17">
        <f>Z150/AL150</f>
        <v/>
      </c>
      <c r="AO150" s="33">
        <f>IF(V150+Z150=0,0,Z150/(V150+Z150))</f>
        <v/>
      </c>
      <c r="AP150" s="14">
        <f>AL150/V150*100</f>
        <v/>
      </c>
      <c r="AQ150" s="8">
        <f>P150/AL150*1000</f>
        <v/>
      </c>
      <c r="AR150" s="77">
        <f>MAX(N150,M150-1)</f>
        <v/>
      </c>
      <c r="AS150" s="14">
        <f>SUMIFS(Donnees_regimes!$R$3:$R$1118,Donnees_regimes!$A$3:$A$1118,C150,Donnees_regimes!$B$3:$B$1118,"&gt;="&amp;G150,Donnees_regimes!$B$3:$B$1118,"&lt;="&amp;N150)*L150/ROUNDUP(L150,0)*SUMIFS(Donnees_annuelles!$AG$3:$AG$188,Donnees_annuelles!$A$3:$A$188,AR150)*SUMIFS(Donnees_annuelles!$AA$3:$AA$188,Donnees_annuelles!$A$3:$A$188,AR150)</f>
        <v/>
      </c>
      <c r="AT150" s="36">
        <f>AS150/V150</f>
        <v/>
      </c>
      <c r="AU150" s="14">
        <f>AL150</f>
        <v/>
      </c>
      <c r="AV150" s="39">
        <f>AS150-AL150</f>
        <v/>
      </c>
      <c r="AW150" s="9">
        <f>AS150/AL150-1</f>
        <v/>
      </c>
      <c r="AX150" s="14">
        <f>AS150/AJ150/12</f>
        <v/>
      </c>
      <c r="AY150" s="14">
        <f>AF150</f>
        <v/>
      </c>
      <c r="AZ150" s="39">
        <f>AX150-AF150</f>
        <v/>
      </c>
      <c r="BA150" s="14">
        <f>SUMIFS(Donnees_regimes!$S$3:$S$1118,Donnees_regimes!$A$3:$A$1118,C150,Donnees_regimes!$B$3:$B$1118,"&gt;="&amp;G150,Donnees_regimes!$B$3:$B$1118,"&lt;="&amp;N150)*L150/ROUNDUP(L150,0)*SUMIFS(Donnees_annuelles!$AH$3:$AH$188,Donnees_annuelles!$A$3:$A$188,AR150)*SUMIFS(Donnees_annuelles!$AA$3:$AA$188,Donnees_annuelles!$A$3:$A$188,AR150)</f>
        <v/>
      </c>
      <c r="BB150" s="39">
        <f>BA150-AL150</f>
        <v/>
      </c>
      <c r="BC150" s="7">
        <f>IF(M150+AJ150&gt;2026,IF(G150&gt;2026,"entièrement projeté","en partie projeté"),"observé")</f>
        <v/>
      </c>
    </row>
    <row r="151">
      <c r="A151" s="7" t="inlineStr">
        <is>
          <t>Génération X</t>
        </is>
      </c>
      <c r="B151" s="84" t="inlineStr">
        <is>
          <t>Fonction publique d'État</t>
        </is>
      </c>
      <c r="C151" s="7">
        <f>IF(G151&gt;=SUMIFS(Regimes!$C$5:$C$10,Regimes!$A$5:$A$10,B151),"Privé",B151)</f>
        <v/>
      </c>
      <c r="D151" s="7">
        <f>INDEX(Regimes!$D$5:$D$10,MATCH(C151,Regimes!$A$5:$A$10,0))</f>
        <v/>
      </c>
      <c r="E151" s="88" t="n">
        <v>1978</v>
      </c>
      <c r="F151" s="8">
        <f>Donnees_generations!C66</f>
        <v/>
      </c>
      <c r="G151" s="77">
        <f>Donnees_generations!D66</f>
        <v/>
      </c>
      <c r="H151" s="8">
        <f>SUMIFS(Donnees_generations!$S$3:$S$113,Donnees_generations!$A$3:$A$113,MAX(1915,MIN(2025,E151)))</f>
        <v/>
      </c>
      <c r="I151" s="8">
        <f>SUMIFS(Donnees_generations!$T$3:$T$113,Donnees_generations!$A$3:$A$113,MAX(1915,MIN(2025,E151)))</f>
        <v/>
      </c>
      <c r="J151" s="8">
        <f>IF(G151&gt;=2000,MAX(I151,Parametres!$B$3),I151)</f>
        <v/>
      </c>
      <c r="K151" s="8">
        <f>IF(C151="Privé",J151,SUMIFS(Regles_regimes!$J$3:$J$2000,Regles_regimes!$A$3:$A$2000,C151,Regles_regimes!$B$3:$B$2000,D151,Regles_regimes!$C$3:$C$2000,MAX(1915,MIN(2025,E151))))</f>
        <v/>
      </c>
      <c r="L151" s="8">
        <f>IF(C151="Privé",H151,(K151-F151)*H151/(J151-F151))</f>
        <v/>
      </c>
      <c r="M151" s="77">
        <f>INT(E151+K151)</f>
        <v/>
      </c>
      <c r="N151" s="77">
        <f>G151+ROUNDUP(L151,0)-1</f>
        <v/>
      </c>
      <c r="O151" s="89">
        <f>SUMIFS(Regles_regimes!$K$3:$K$2000,Regles_regimes!$A$3:$A$2000,C151,Regles_regimes!$B$3:$B$2000,D151,Regles_regimes!$C$3:$C$2000,MAX(1915,MIN(2025,E151)))</f>
        <v/>
      </c>
      <c r="P151" s="13">
        <f>SUMIFS(Donnees_annuelles!$W$3:$W$188,Donnees_annuelles!$A$3:$A$188,"&gt;="&amp;G151,Donnees_annuelles!$A$3:$A$188,"&lt;="&amp;N151)*L151/ROUNDUP(L151,0)*O151</f>
        <v/>
      </c>
      <c r="Q151" s="13">
        <f>SUMIFS(Donnees_annuelles!$V$3:$V$188,Donnees_annuelles!$A$3:$A$188,"&gt;="&amp;G151,Donnees_annuelles!$A$3:$A$188,"&lt;="&amp;N151)*L151/ROUNDUP(L151,0)</f>
        <v/>
      </c>
      <c r="R151" s="13">
        <f>P151/L151</f>
        <v/>
      </c>
      <c r="S151" s="14">
        <f>SUMIFS(Donnees_annuelles!$D$3:$D$188,Donnees_annuelles!$A$3:$A$188,"&gt;="&amp;G151,Donnees_annuelles!$A$3:$A$188,"&lt;="&amp;N151)*L151/ROUNDUP(L151,0)</f>
        <v/>
      </c>
      <c r="T151" s="14">
        <f>SUMIFS(Donnees_regimes!$N$3:$N$1118,Donnees_regimes!$A$3:$A$1118,C151,Donnees_regimes!$B$3:$B$1118,"&gt;="&amp;G151,Donnees_regimes!$B$3:$B$1118,"&lt;="&amp;N151)*L151/ROUNDUP(L151,0)</f>
        <v/>
      </c>
      <c r="U151" s="14">
        <f>SUMIFS(Donnees_regimes!$O$3:$O$1118,Donnees_regimes!$A$3:$A$1118,C151,Donnees_regimes!$B$3:$B$1118,"&gt;="&amp;G151,Donnees_regimes!$B$3:$B$1118,"&lt;="&amp;N151)*L151/ROUNDUP(L151,0)</f>
        <v/>
      </c>
      <c r="V151" s="14">
        <f>T151+U151</f>
        <v/>
      </c>
      <c r="W151" s="33">
        <f>V151/S151</f>
        <v/>
      </c>
      <c r="X151" s="14">
        <f>S151+U151</f>
        <v/>
      </c>
      <c r="Y151" s="17">
        <f>V151/P151</f>
        <v/>
      </c>
      <c r="Z151" s="14">
        <f>SUMIFS(Donnees_regimes!$Q$3:$Q$1118,Donnees_regimes!$A$3:$A$1118,C151,Donnees_regimes!$B$3:$B$1118,"&gt;="&amp;G151,Donnees_regimes!$B$3:$B$1118,"&lt;="&amp;N151)*L151/ROUNDUP(L151,0)</f>
        <v/>
      </c>
      <c r="AA151" s="77">
        <f>SUMIFS(Regles_regimes!$F$3:$F$2000,Regles_regimes!$A$3:$A$2000,C151,Regles_regimes!$B$3:$B$2000,D151,Regles_regimes!$C$3:$C$2000,MAX(1915,MIN(2025,E151)))</f>
        <v/>
      </c>
      <c r="AB151" s="77">
        <f>IF(AND(SUMIFS(Regles_regimes!$L$3:$L$2000,Regles_regimes!$A$3:$A$2000,C151,Regles_regimes!$B$3:$B$2000,D151,Regles_regimes!$C$3:$C$2000,MAX(1915,MIN(2025,E151)))=1,G151&lt;2009,C151&lt;&gt;"Privé"),MIN(20,L151*4/5),0)</f>
        <v/>
      </c>
      <c r="AC151" s="89">
        <f>SUMIFS(Donnees_regimes!$M$3:$M$1118,Donnees_regimes!$A$3:$A$1118,C151,Donnees_regimes!$B$3:$B$1118,M151)</f>
        <v/>
      </c>
      <c r="AD151" s="14">
        <f>SUMIFS(Donnees_annuelles!$Y$3:$Y$188,Donnees_annuelles!$A$3:$A$188,M151)*SUMIFS(Donnees_generations!$I$3:$I$113,Donnees_generations!$A$3:$A$113,MAX(1915,MIN(2025,E151)))/H151</f>
        <v/>
      </c>
      <c r="AE151" s="14">
        <f>IF(C151="Privé",SUMIFS(Donnees_annuelles!$Y$3:$Y$188,Donnees_annuelles!$A$3:$A$188,M151)*MIN(L151,SUMIFS(Donnees_generations!$I$3:$I$113,Donnees_generations!$A$3:$A$113,MAX(1915,MIN(2025,E151))))/L151,AD151*AC151*MIN(IF(AB151&gt;0,0.8/0.75,1),(L151*4+AB151)/AA151))</f>
        <v/>
      </c>
      <c r="AF151" s="14">
        <f>AE151/12</f>
        <v/>
      </c>
      <c r="AG151" s="77">
        <f>MIN(68,MAX(56,2*INT(K151/2)))</f>
        <v/>
      </c>
      <c r="AH151" s="75">
        <f>(CHOOSE((AG151-56)/2+1,SUMIFS(Donnees_generations!$U$3:$U$113,Donnees_generations!$A$3:$A$113,MAX(1915,MIN(2025,E151))),SUMIFS(Donnees_generations!$V$3:$V$113,Donnees_generations!$A$3:$A$113,MAX(1915,MIN(2025,E151))),SUMIFS(Donnees_generations!$W$3:$W$113,Donnees_generations!$A$3:$A$113,MAX(1915,MIN(2025,E151))),SUMIFS(Donnees_generations!$X$3:$X$113,Donnees_generations!$A$3:$A$113,MAX(1915,MIN(2025,E151))),SUMIFS(Donnees_generations!$Y$3:$Y$113,Donnees_generations!$A$3:$A$113,MAX(1915,MIN(2025,E151))),SUMIFS(Donnees_generations!$Z$3:$Z$113,Donnees_generations!$A$3:$A$113,MAX(1915,MIN(2025,E151))),SUMIFS(Donnees_generations!$AA$3:$AA$113,Donnees_generations!$A$3:$A$113,MAX(1915,MIN(2025,E151))),SUMIFS(Donnees_generations!$AB$3:$AB$113,Donnees_generations!$A$3:$A$113,MAX(1915,MIN(2025,E151))))+CHOOSE((AG151-56)/2+1,SUMIFS(Donnees_generations!$AC$3:$AC$113,Donnees_generations!$A$3:$A$113,MAX(1915,MIN(2025,E151))),SUMIFS(Donnees_generations!$AD$3:$AD$113,Donnees_generations!$A$3:$A$113,MAX(1915,MIN(2025,E151))),SUMIFS(Donnees_generations!$AE$3:$AE$113,Donnees_generations!$A$3:$A$113,MAX(1915,MIN(2025,E151))),SUMIFS(Donnees_generations!$AF$3:$AF$113,Donnees_generations!$A$3:$A$113,MAX(1915,MIN(2025,E151))),SUMIFS(Donnees_generations!$AG$3:$AG$113,Donnees_generations!$A$3:$A$113,MAX(1915,MIN(2025,E151))),SUMIFS(Donnees_generations!$AH$3:$AH$113,Donnees_generations!$A$3:$A$113,MAX(1915,MIN(2025,E151))),SUMIFS(Donnees_generations!$AI$3:$AI$113,Donnees_generations!$A$3:$A$113,MAX(1915,MIN(2025,E151))),SUMIFS(Donnees_generations!$AJ$3:$AJ$113,Donnees_generations!$A$3:$A$113,MAX(1915,MIN(2025,E151)))))/2</f>
        <v/>
      </c>
      <c r="AI151" s="75">
        <f>(CHOOSE(((AG151+2)-56)/2+1,SUMIFS(Donnees_generations!$U$3:$U$113,Donnees_generations!$A$3:$A$113,MAX(1915,MIN(2025,E151))),SUMIFS(Donnees_generations!$V$3:$V$113,Donnees_generations!$A$3:$A$113,MAX(1915,MIN(2025,E151))),SUMIFS(Donnees_generations!$W$3:$W$113,Donnees_generations!$A$3:$A$113,MAX(1915,MIN(2025,E151))),SUMIFS(Donnees_generations!$X$3:$X$113,Donnees_generations!$A$3:$A$113,MAX(1915,MIN(2025,E151))),SUMIFS(Donnees_generations!$Y$3:$Y$113,Donnees_generations!$A$3:$A$113,MAX(1915,MIN(2025,E151))),SUMIFS(Donnees_generations!$Z$3:$Z$113,Donnees_generations!$A$3:$A$113,MAX(1915,MIN(2025,E151))),SUMIFS(Donnees_generations!$AA$3:$AA$113,Donnees_generations!$A$3:$A$113,MAX(1915,MIN(2025,E151))),SUMIFS(Donnees_generations!$AB$3:$AB$113,Donnees_generations!$A$3:$A$113,MAX(1915,MIN(2025,E151))))+CHOOSE(((AG151+2)-56)/2+1,SUMIFS(Donnees_generations!$AC$3:$AC$113,Donnees_generations!$A$3:$A$113,MAX(1915,MIN(2025,E151))),SUMIFS(Donnees_generations!$AD$3:$AD$113,Donnees_generations!$A$3:$A$113,MAX(1915,MIN(2025,E151))),SUMIFS(Donnees_generations!$AE$3:$AE$113,Donnees_generations!$A$3:$A$113,MAX(1915,MIN(2025,E151))),SUMIFS(Donnees_generations!$AF$3:$AF$113,Donnees_generations!$A$3:$A$113,MAX(1915,MIN(2025,E151))),SUMIFS(Donnees_generations!$AG$3:$AG$113,Donnees_generations!$A$3:$A$113,MAX(1915,MIN(2025,E151))),SUMIFS(Donnees_generations!$AH$3:$AH$113,Donnees_generations!$A$3:$A$113,MAX(1915,MIN(2025,E151))),SUMIFS(Donnees_generations!$AI$3:$AI$113,Donnees_generations!$A$3:$A$113,MAX(1915,MIN(2025,E151))),SUMIFS(Donnees_generations!$AJ$3:$AJ$113,Donnees_generations!$A$3:$A$113,MAX(1915,MIN(2025,E151)))))/2</f>
        <v/>
      </c>
      <c r="AJ151" s="8">
        <f>MAX(0,AH151+(AI151-AH151)*(K151-AG151)/2)</f>
        <v/>
      </c>
      <c r="AK151" s="8">
        <f>K151+AJ151</f>
        <v/>
      </c>
      <c r="AL151" s="14">
        <f>AE151*AJ151</f>
        <v/>
      </c>
      <c r="AM151" s="17">
        <f>V151/AL151</f>
        <v/>
      </c>
      <c r="AN151" s="17">
        <f>Z151/AL151</f>
        <v/>
      </c>
      <c r="AO151" s="33">
        <f>IF(V151+Z151=0,0,Z151/(V151+Z151))</f>
        <v/>
      </c>
      <c r="AP151" s="14">
        <f>AL151/V151*100</f>
        <v/>
      </c>
      <c r="AQ151" s="8">
        <f>P151/AL151*1000</f>
        <v/>
      </c>
      <c r="AR151" s="77">
        <f>MAX(N151,M151-1)</f>
        <v/>
      </c>
      <c r="AS151" s="14">
        <f>SUMIFS(Donnees_regimes!$R$3:$R$1118,Donnees_regimes!$A$3:$A$1118,C151,Donnees_regimes!$B$3:$B$1118,"&gt;="&amp;G151,Donnees_regimes!$B$3:$B$1118,"&lt;="&amp;N151)*L151/ROUNDUP(L151,0)*SUMIFS(Donnees_annuelles!$AG$3:$AG$188,Donnees_annuelles!$A$3:$A$188,AR151)*SUMIFS(Donnees_annuelles!$AA$3:$AA$188,Donnees_annuelles!$A$3:$A$188,AR151)</f>
        <v/>
      </c>
      <c r="AT151" s="36">
        <f>AS151/V151</f>
        <v/>
      </c>
      <c r="AU151" s="14">
        <f>AL151</f>
        <v/>
      </c>
      <c r="AV151" s="39">
        <f>AS151-AL151</f>
        <v/>
      </c>
      <c r="AW151" s="9">
        <f>AS151/AL151-1</f>
        <v/>
      </c>
      <c r="AX151" s="14">
        <f>AS151/AJ151/12</f>
        <v/>
      </c>
      <c r="AY151" s="14">
        <f>AF151</f>
        <v/>
      </c>
      <c r="AZ151" s="39">
        <f>AX151-AF151</f>
        <v/>
      </c>
      <c r="BA151" s="14">
        <f>SUMIFS(Donnees_regimes!$S$3:$S$1118,Donnees_regimes!$A$3:$A$1118,C151,Donnees_regimes!$B$3:$B$1118,"&gt;="&amp;G151,Donnees_regimes!$B$3:$B$1118,"&lt;="&amp;N151)*L151/ROUNDUP(L151,0)*SUMIFS(Donnees_annuelles!$AH$3:$AH$188,Donnees_annuelles!$A$3:$A$188,AR151)*SUMIFS(Donnees_annuelles!$AA$3:$AA$188,Donnees_annuelles!$A$3:$A$188,AR151)</f>
        <v/>
      </c>
      <c r="BB151" s="39">
        <f>BA151-AL151</f>
        <v/>
      </c>
      <c r="BC151" s="7">
        <f>IF(M151+AJ151&gt;2026,IF(G151&gt;2026,"entièrement projeté","en partie projeté"),"observé")</f>
        <v/>
      </c>
    </row>
    <row r="152">
      <c r="A152" s="7" t="inlineStr">
        <is>
          <t>Génération X</t>
        </is>
      </c>
      <c r="B152" s="84" t="inlineStr">
        <is>
          <t>Fonction publique d'État</t>
        </is>
      </c>
      <c r="C152" s="7">
        <f>IF(G152&gt;=SUMIFS(Regimes!$C$5:$C$10,Regimes!$A$5:$A$10,B152),"Privé",B152)</f>
        <v/>
      </c>
      <c r="D152" s="7">
        <f>INDEX(Regimes!$D$5:$D$10,MATCH(C152,Regimes!$A$5:$A$10,0))</f>
        <v/>
      </c>
      <c r="E152" s="88" t="n">
        <v>1979</v>
      </c>
      <c r="F152" s="8">
        <f>Donnees_generations!C67</f>
        <v/>
      </c>
      <c r="G152" s="77">
        <f>Donnees_generations!D67</f>
        <v/>
      </c>
      <c r="H152" s="8">
        <f>SUMIFS(Donnees_generations!$S$3:$S$113,Donnees_generations!$A$3:$A$113,MAX(1915,MIN(2025,E152)))</f>
        <v/>
      </c>
      <c r="I152" s="8">
        <f>SUMIFS(Donnees_generations!$T$3:$T$113,Donnees_generations!$A$3:$A$113,MAX(1915,MIN(2025,E152)))</f>
        <v/>
      </c>
      <c r="J152" s="8">
        <f>IF(G152&gt;=2000,MAX(I152,Parametres!$B$3),I152)</f>
        <v/>
      </c>
      <c r="K152" s="8">
        <f>IF(C152="Privé",J152,SUMIFS(Regles_regimes!$J$3:$J$2000,Regles_regimes!$A$3:$A$2000,C152,Regles_regimes!$B$3:$B$2000,D152,Regles_regimes!$C$3:$C$2000,MAX(1915,MIN(2025,E152))))</f>
        <v/>
      </c>
      <c r="L152" s="8">
        <f>IF(C152="Privé",H152,(K152-F152)*H152/(J152-F152))</f>
        <v/>
      </c>
      <c r="M152" s="77">
        <f>INT(E152+K152)</f>
        <v/>
      </c>
      <c r="N152" s="77">
        <f>G152+ROUNDUP(L152,0)-1</f>
        <v/>
      </c>
      <c r="O152" s="89">
        <f>SUMIFS(Regles_regimes!$K$3:$K$2000,Regles_regimes!$A$3:$A$2000,C152,Regles_regimes!$B$3:$B$2000,D152,Regles_regimes!$C$3:$C$2000,MAX(1915,MIN(2025,E152)))</f>
        <v/>
      </c>
      <c r="P152" s="13">
        <f>SUMIFS(Donnees_annuelles!$W$3:$W$188,Donnees_annuelles!$A$3:$A$188,"&gt;="&amp;G152,Donnees_annuelles!$A$3:$A$188,"&lt;="&amp;N152)*L152/ROUNDUP(L152,0)*O152</f>
        <v/>
      </c>
      <c r="Q152" s="13">
        <f>SUMIFS(Donnees_annuelles!$V$3:$V$188,Donnees_annuelles!$A$3:$A$188,"&gt;="&amp;G152,Donnees_annuelles!$A$3:$A$188,"&lt;="&amp;N152)*L152/ROUNDUP(L152,0)</f>
        <v/>
      </c>
      <c r="R152" s="13">
        <f>P152/L152</f>
        <v/>
      </c>
      <c r="S152" s="14">
        <f>SUMIFS(Donnees_annuelles!$D$3:$D$188,Donnees_annuelles!$A$3:$A$188,"&gt;="&amp;G152,Donnees_annuelles!$A$3:$A$188,"&lt;="&amp;N152)*L152/ROUNDUP(L152,0)</f>
        <v/>
      </c>
      <c r="T152" s="14">
        <f>SUMIFS(Donnees_regimes!$N$3:$N$1118,Donnees_regimes!$A$3:$A$1118,C152,Donnees_regimes!$B$3:$B$1118,"&gt;="&amp;G152,Donnees_regimes!$B$3:$B$1118,"&lt;="&amp;N152)*L152/ROUNDUP(L152,0)</f>
        <v/>
      </c>
      <c r="U152" s="14">
        <f>SUMIFS(Donnees_regimes!$O$3:$O$1118,Donnees_regimes!$A$3:$A$1118,C152,Donnees_regimes!$B$3:$B$1118,"&gt;="&amp;G152,Donnees_regimes!$B$3:$B$1118,"&lt;="&amp;N152)*L152/ROUNDUP(L152,0)</f>
        <v/>
      </c>
      <c r="V152" s="14">
        <f>T152+U152</f>
        <v/>
      </c>
      <c r="W152" s="33">
        <f>V152/S152</f>
        <v/>
      </c>
      <c r="X152" s="14">
        <f>S152+U152</f>
        <v/>
      </c>
      <c r="Y152" s="17">
        <f>V152/P152</f>
        <v/>
      </c>
      <c r="Z152" s="14">
        <f>SUMIFS(Donnees_regimes!$Q$3:$Q$1118,Donnees_regimes!$A$3:$A$1118,C152,Donnees_regimes!$B$3:$B$1118,"&gt;="&amp;G152,Donnees_regimes!$B$3:$B$1118,"&lt;="&amp;N152)*L152/ROUNDUP(L152,0)</f>
        <v/>
      </c>
      <c r="AA152" s="77">
        <f>SUMIFS(Regles_regimes!$F$3:$F$2000,Regles_regimes!$A$3:$A$2000,C152,Regles_regimes!$B$3:$B$2000,D152,Regles_regimes!$C$3:$C$2000,MAX(1915,MIN(2025,E152)))</f>
        <v/>
      </c>
      <c r="AB152" s="77">
        <f>IF(AND(SUMIFS(Regles_regimes!$L$3:$L$2000,Regles_regimes!$A$3:$A$2000,C152,Regles_regimes!$B$3:$B$2000,D152,Regles_regimes!$C$3:$C$2000,MAX(1915,MIN(2025,E152)))=1,G152&lt;2009,C152&lt;&gt;"Privé"),MIN(20,L152*4/5),0)</f>
        <v/>
      </c>
      <c r="AC152" s="89">
        <f>SUMIFS(Donnees_regimes!$M$3:$M$1118,Donnees_regimes!$A$3:$A$1118,C152,Donnees_regimes!$B$3:$B$1118,M152)</f>
        <v/>
      </c>
      <c r="AD152" s="14">
        <f>SUMIFS(Donnees_annuelles!$Y$3:$Y$188,Donnees_annuelles!$A$3:$A$188,M152)*SUMIFS(Donnees_generations!$I$3:$I$113,Donnees_generations!$A$3:$A$113,MAX(1915,MIN(2025,E152)))/H152</f>
        <v/>
      </c>
      <c r="AE152" s="14">
        <f>IF(C152="Privé",SUMIFS(Donnees_annuelles!$Y$3:$Y$188,Donnees_annuelles!$A$3:$A$188,M152)*MIN(L152,SUMIFS(Donnees_generations!$I$3:$I$113,Donnees_generations!$A$3:$A$113,MAX(1915,MIN(2025,E152))))/L152,AD152*AC152*MIN(IF(AB152&gt;0,0.8/0.75,1),(L152*4+AB152)/AA152))</f>
        <v/>
      </c>
      <c r="AF152" s="14">
        <f>AE152/12</f>
        <v/>
      </c>
      <c r="AG152" s="77">
        <f>MIN(68,MAX(56,2*INT(K152/2)))</f>
        <v/>
      </c>
      <c r="AH152" s="75">
        <f>(CHOOSE((AG152-56)/2+1,SUMIFS(Donnees_generations!$U$3:$U$113,Donnees_generations!$A$3:$A$113,MAX(1915,MIN(2025,E152))),SUMIFS(Donnees_generations!$V$3:$V$113,Donnees_generations!$A$3:$A$113,MAX(1915,MIN(2025,E152))),SUMIFS(Donnees_generations!$W$3:$W$113,Donnees_generations!$A$3:$A$113,MAX(1915,MIN(2025,E152))),SUMIFS(Donnees_generations!$X$3:$X$113,Donnees_generations!$A$3:$A$113,MAX(1915,MIN(2025,E152))),SUMIFS(Donnees_generations!$Y$3:$Y$113,Donnees_generations!$A$3:$A$113,MAX(1915,MIN(2025,E152))),SUMIFS(Donnees_generations!$Z$3:$Z$113,Donnees_generations!$A$3:$A$113,MAX(1915,MIN(2025,E152))),SUMIFS(Donnees_generations!$AA$3:$AA$113,Donnees_generations!$A$3:$A$113,MAX(1915,MIN(2025,E152))),SUMIFS(Donnees_generations!$AB$3:$AB$113,Donnees_generations!$A$3:$A$113,MAX(1915,MIN(2025,E152))))+CHOOSE((AG152-56)/2+1,SUMIFS(Donnees_generations!$AC$3:$AC$113,Donnees_generations!$A$3:$A$113,MAX(1915,MIN(2025,E152))),SUMIFS(Donnees_generations!$AD$3:$AD$113,Donnees_generations!$A$3:$A$113,MAX(1915,MIN(2025,E152))),SUMIFS(Donnees_generations!$AE$3:$AE$113,Donnees_generations!$A$3:$A$113,MAX(1915,MIN(2025,E152))),SUMIFS(Donnees_generations!$AF$3:$AF$113,Donnees_generations!$A$3:$A$113,MAX(1915,MIN(2025,E152))),SUMIFS(Donnees_generations!$AG$3:$AG$113,Donnees_generations!$A$3:$A$113,MAX(1915,MIN(2025,E152))),SUMIFS(Donnees_generations!$AH$3:$AH$113,Donnees_generations!$A$3:$A$113,MAX(1915,MIN(2025,E152))),SUMIFS(Donnees_generations!$AI$3:$AI$113,Donnees_generations!$A$3:$A$113,MAX(1915,MIN(2025,E152))),SUMIFS(Donnees_generations!$AJ$3:$AJ$113,Donnees_generations!$A$3:$A$113,MAX(1915,MIN(2025,E152)))))/2</f>
        <v/>
      </c>
      <c r="AI152" s="75">
        <f>(CHOOSE(((AG152+2)-56)/2+1,SUMIFS(Donnees_generations!$U$3:$U$113,Donnees_generations!$A$3:$A$113,MAX(1915,MIN(2025,E152))),SUMIFS(Donnees_generations!$V$3:$V$113,Donnees_generations!$A$3:$A$113,MAX(1915,MIN(2025,E152))),SUMIFS(Donnees_generations!$W$3:$W$113,Donnees_generations!$A$3:$A$113,MAX(1915,MIN(2025,E152))),SUMIFS(Donnees_generations!$X$3:$X$113,Donnees_generations!$A$3:$A$113,MAX(1915,MIN(2025,E152))),SUMIFS(Donnees_generations!$Y$3:$Y$113,Donnees_generations!$A$3:$A$113,MAX(1915,MIN(2025,E152))),SUMIFS(Donnees_generations!$Z$3:$Z$113,Donnees_generations!$A$3:$A$113,MAX(1915,MIN(2025,E152))),SUMIFS(Donnees_generations!$AA$3:$AA$113,Donnees_generations!$A$3:$A$113,MAX(1915,MIN(2025,E152))),SUMIFS(Donnees_generations!$AB$3:$AB$113,Donnees_generations!$A$3:$A$113,MAX(1915,MIN(2025,E152))))+CHOOSE(((AG152+2)-56)/2+1,SUMIFS(Donnees_generations!$AC$3:$AC$113,Donnees_generations!$A$3:$A$113,MAX(1915,MIN(2025,E152))),SUMIFS(Donnees_generations!$AD$3:$AD$113,Donnees_generations!$A$3:$A$113,MAX(1915,MIN(2025,E152))),SUMIFS(Donnees_generations!$AE$3:$AE$113,Donnees_generations!$A$3:$A$113,MAX(1915,MIN(2025,E152))),SUMIFS(Donnees_generations!$AF$3:$AF$113,Donnees_generations!$A$3:$A$113,MAX(1915,MIN(2025,E152))),SUMIFS(Donnees_generations!$AG$3:$AG$113,Donnees_generations!$A$3:$A$113,MAX(1915,MIN(2025,E152))),SUMIFS(Donnees_generations!$AH$3:$AH$113,Donnees_generations!$A$3:$A$113,MAX(1915,MIN(2025,E152))),SUMIFS(Donnees_generations!$AI$3:$AI$113,Donnees_generations!$A$3:$A$113,MAX(1915,MIN(2025,E152))),SUMIFS(Donnees_generations!$AJ$3:$AJ$113,Donnees_generations!$A$3:$A$113,MAX(1915,MIN(2025,E152)))))/2</f>
        <v/>
      </c>
      <c r="AJ152" s="8">
        <f>MAX(0,AH152+(AI152-AH152)*(K152-AG152)/2)</f>
        <v/>
      </c>
      <c r="AK152" s="8">
        <f>K152+AJ152</f>
        <v/>
      </c>
      <c r="AL152" s="14">
        <f>AE152*AJ152</f>
        <v/>
      </c>
      <c r="AM152" s="17">
        <f>V152/AL152</f>
        <v/>
      </c>
      <c r="AN152" s="17">
        <f>Z152/AL152</f>
        <v/>
      </c>
      <c r="AO152" s="33">
        <f>IF(V152+Z152=0,0,Z152/(V152+Z152))</f>
        <v/>
      </c>
      <c r="AP152" s="14">
        <f>AL152/V152*100</f>
        <v/>
      </c>
      <c r="AQ152" s="8">
        <f>P152/AL152*1000</f>
        <v/>
      </c>
      <c r="AR152" s="77">
        <f>MAX(N152,M152-1)</f>
        <v/>
      </c>
      <c r="AS152" s="14">
        <f>SUMIFS(Donnees_regimes!$R$3:$R$1118,Donnees_regimes!$A$3:$A$1118,C152,Donnees_regimes!$B$3:$B$1118,"&gt;="&amp;G152,Donnees_regimes!$B$3:$B$1118,"&lt;="&amp;N152)*L152/ROUNDUP(L152,0)*SUMIFS(Donnees_annuelles!$AG$3:$AG$188,Donnees_annuelles!$A$3:$A$188,AR152)*SUMIFS(Donnees_annuelles!$AA$3:$AA$188,Donnees_annuelles!$A$3:$A$188,AR152)</f>
        <v/>
      </c>
      <c r="AT152" s="36">
        <f>AS152/V152</f>
        <v/>
      </c>
      <c r="AU152" s="14">
        <f>AL152</f>
        <v/>
      </c>
      <c r="AV152" s="39">
        <f>AS152-AL152</f>
        <v/>
      </c>
      <c r="AW152" s="9">
        <f>AS152/AL152-1</f>
        <v/>
      </c>
      <c r="AX152" s="14">
        <f>AS152/AJ152/12</f>
        <v/>
      </c>
      <c r="AY152" s="14">
        <f>AF152</f>
        <v/>
      </c>
      <c r="AZ152" s="39">
        <f>AX152-AF152</f>
        <v/>
      </c>
      <c r="BA152" s="14">
        <f>SUMIFS(Donnees_regimes!$S$3:$S$1118,Donnees_regimes!$A$3:$A$1118,C152,Donnees_regimes!$B$3:$B$1118,"&gt;="&amp;G152,Donnees_regimes!$B$3:$B$1118,"&lt;="&amp;N152)*L152/ROUNDUP(L152,0)*SUMIFS(Donnees_annuelles!$AH$3:$AH$188,Donnees_annuelles!$A$3:$A$188,AR152)*SUMIFS(Donnees_annuelles!$AA$3:$AA$188,Donnees_annuelles!$A$3:$A$188,AR152)</f>
        <v/>
      </c>
      <c r="BB152" s="39">
        <f>BA152-AL152</f>
        <v/>
      </c>
      <c r="BC152" s="7">
        <f>IF(M152+AJ152&gt;2026,IF(G152&gt;2026,"entièrement projeté","en partie projeté"),"observé")</f>
        <v/>
      </c>
    </row>
    <row r="153">
      <c r="A153" s="7" t="inlineStr">
        <is>
          <t>Génération X</t>
        </is>
      </c>
      <c r="B153" s="84" t="inlineStr">
        <is>
          <t>Fonction publique d'État</t>
        </is>
      </c>
      <c r="C153" s="7">
        <f>IF(G153&gt;=SUMIFS(Regimes!$C$5:$C$10,Regimes!$A$5:$A$10,B153),"Privé",B153)</f>
        <v/>
      </c>
      <c r="D153" s="7">
        <f>INDEX(Regimes!$D$5:$D$10,MATCH(C153,Regimes!$A$5:$A$10,0))</f>
        <v/>
      </c>
      <c r="E153" s="88" t="n">
        <v>1980</v>
      </c>
      <c r="F153" s="8">
        <f>Donnees_generations!C68</f>
        <v/>
      </c>
      <c r="G153" s="77">
        <f>Donnees_generations!D68</f>
        <v/>
      </c>
      <c r="H153" s="8">
        <f>SUMIFS(Donnees_generations!$S$3:$S$113,Donnees_generations!$A$3:$A$113,MAX(1915,MIN(2025,E153)))</f>
        <v/>
      </c>
      <c r="I153" s="8">
        <f>SUMIFS(Donnees_generations!$T$3:$T$113,Donnees_generations!$A$3:$A$113,MAX(1915,MIN(2025,E153)))</f>
        <v/>
      </c>
      <c r="J153" s="8">
        <f>IF(G153&gt;=2000,MAX(I153,Parametres!$B$3),I153)</f>
        <v/>
      </c>
      <c r="K153" s="8">
        <f>IF(C153="Privé",J153,SUMIFS(Regles_regimes!$J$3:$J$2000,Regles_regimes!$A$3:$A$2000,C153,Regles_regimes!$B$3:$B$2000,D153,Regles_regimes!$C$3:$C$2000,MAX(1915,MIN(2025,E153))))</f>
        <v/>
      </c>
      <c r="L153" s="8">
        <f>IF(C153="Privé",H153,(K153-F153)*H153/(J153-F153))</f>
        <v/>
      </c>
      <c r="M153" s="77">
        <f>INT(E153+K153)</f>
        <v/>
      </c>
      <c r="N153" s="77">
        <f>G153+ROUNDUP(L153,0)-1</f>
        <v/>
      </c>
      <c r="O153" s="89">
        <f>SUMIFS(Regles_regimes!$K$3:$K$2000,Regles_regimes!$A$3:$A$2000,C153,Regles_regimes!$B$3:$B$2000,D153,Regles_regimes!$C$3:$C$2000,MAX(1915,MIN(2025,E153)))</f>
        <v/>
      </c>
      <c r="P153" s="13">
        <f>SUMIFS(Donnees_annuelles!$W$3:$W$188,Donnees_annuelles!$A$3:$A$188,"&gt;="&amp;G153,Donnees_annuelles!$A$3:$A$188,"&lt;="&amp;N153)*L153/ROUNDUP(L153,0)*O153</f>
        <v/>
      </c>
      <c r="Q153" s="13">
        <f>SUMIFS(Donnees_annuelles!$V$3:$V$188,Donnees_annuelles!$A$3:$A$188,"&gt;="&amp;G153,Donnees_annuelles!$A$3:$A$188,"&lt;="&amp;N153)*L153/ROUNDUP(L153,0)</f>
        <v/>
      </c>
      <c r="R153" s="13">
        <f>P153/L153</f>
        <v/>
      </c>
      <c r="S153" s="14">
        <f>SUMIFS(Donnees_annuelles!$D$3:$D$188,Donnees_annuelles!$A$3:$A$188,"&gt;="&amp;G153,Donnees_annuelles!$A$3:$A$188,"&lt;="&amp;N153)*L153/ROUNDUP(L153,0)</f>
        <v/>
      </c>
      <c r="T153" s="14">
        <f>SUMIFS(Donnees_regimes!$N$3:$N$1118,Donnees_regimes!$A$3:$A$1118,C153,Donnees_regimes!$B$3:$B$1118,"&gt;="&amp;G153,Donnees_regimes!$B$3:$B$1118,"&lt;="&amp;N153)*L153/ROUNDUP(L153,0)</f>
        <v/>
      </c>
      <c r="U153" s="14">
        <f>SUMIFS(Donnees_regimes!$O$3:$O$1118,Donnees_regimes!$A$3:$A$1118,C153,Donnees_regimes!$B$3:$B$1118,"&gt;="&amp;G153,Donnees_regimes!$B$3:$B$1118,"&lt;="&amp;N153)*L153/ROUNDUP(L153,0)</f>
        <v/>
      </c>
      <c r="V153" s="14">
        <f>T153+U153</f>
        <v/>
      </c>
      <c r="W153" s="33">
        <f>V153/S153</f>
        <v/>
      </c>
      <c r="X153" s="14">
        <f>S153+U153</f>
        <v/>
      </c>
      <c r="Y153" s="17">
        <f>V153/P153</f>
        <v/>
      </c>
      <c r="Z153" s="14">
        <f>SUMIFS(Donnees_regimes!$Q$3:$Q$1118,Donnees_regimes!$A$3:$A$1118,C153,Donnees_regimes!$B$3:$B$1118,"&gt;="&amp;G153,Donnees_regimes!$B$3:$B$1118,"&lt;="&amp;N153)*L153/ROUNDUP(L153,0)</f>
        <v/>
      </c>
      <c r="AA153" s="77">
        <f>SUMIFS(Regles_regimes!$F$3:$F$2000,Regles_regimes!$A$3:$A$2000,C153,Regles_regimes!$B$3:$B$2000,D153,Regles_regimes!$C$3:$C$2000,MAX(1915,MIN(2025,E153)))</f>
        <v/>
      </c>
      <c r="AB153" s="77">
        <f>IF(AND(SUMIFS(Regles_regimes!$L$3:$L$2000,Regles_regimes!$A$3:$A$2000,C153,Regles_regimes!$B$3:$B$2000,D153,Regles_regimes!$C$3:$C$2000,MAX(1915,MIN(2025,E153)))=1,G153&lt;2009,C153&lt;&gt;"Privé"),MIN(20,L153*4/5),0)</f>
        <v/>
      </c>
      <c r="AC153" s="89">
        <f>SUMIFS(Donnees_regimes!$M$3:$M$1118,Donnees_regimes!$A$3:$A$1118,C153,Donnees_regimes!$B$3:$B$1118,M153)</f>
        <v/>
      </c>
      <c r="AD153" s="14">
        <f>SUMIFS(Donnees_annuelles!$Y$3:$Y$188,Donnees_annuelles!$A$3:$A$188,M153)*SUMIFS(Donnees_generations!$I$3:$I$113,Donnees_generations!$A$3:$A$113,MAX(1915,MIN(2025,E153)))/H153</f>
        <v/>
      </c>
      <c r="AE153" s="14">
        <f>IF(C153="Privé",SUMIFS(Donnees_annuelles!$Y$3:$Y$188,Donnees_annuelles!$A$3:$A$188,M153)*MIN(L153,SUMIFS(Donnees_generations!$I$3:$I$113,Donnees_generations!$A$3:$A$113,MAX(1915,MIN(2025,E153))))/L153,AD153*AC153*MIN(IF(AB153&gt;0,0.8/0.75,1),(L153*4+AB153)/AA153))</f>
        <v/>
      </c>
      <c r="AF153" s="14">
        <f>AE153/12</f>
        <v/>
      </c>
      <c r="AG153" s="77">
        <f>MIN(68,MAX(56,2*INT(K153/2)))</f>
        <v/>
      </c>
      <c r="AH153" s="75">
        <f>(CHOOSE((AG153-56)/2+1,SUMIFS(Donnees_generations!$U$3:$U$113,Donnees_generations!$A$3:$A$113,MAX(1915,MIN(2025,E153))),SUMIFS(Donnees_generations!$V$3:$V$113,Donnees_generations!$A$3:$A$113,MAX(1915,MIN(2025,E153))),SUMIFS(Donnees_generations!$W$3:$W$113,Donnees_generations!$A$3:$A$113,MAX(1915,MIN(2025,E153))),SUMIFS(Donnees_generations!$X$3:$X$113,Donnees_generations!$A$3:$A$113,MAX(1915,MIN(2025,E153))),SUMIFS(Donnees_generations!$Y$3:$Y$113,Donnees_generations!$A$3:$A$113,MAX(1915,MIN(2025,E153))),SUMIFS(Donnees_generations!$Z$3:$Z$113,Donnees_generations!$A$3:$A$113,MAX(1915,MIN(2025,E153))),SUMIFS(Donnees_generations!$AA$3:$AA$113,Donnees_generations!$A$3:$A$113,MAX(1915,MIN(2025,E153))),SUMIFS(Donnees_generations!$AB$3:$AB$113,Donnees_generations!$A$3:$A$113,MAX(1915,MIN(2025,E153))))+CHOOSE((AG153-56)/2+1,SUMIFS(Donnees_generations!$AC$3:$AC$113,Donnees_generations!$A$3:$A$113,MAX(1915,MIN(2025,E153))),SUMIFS(Donnees_generations!$AD$3:$AD$113,Donnees_generations!$A$3:$A$113,MAX(1915,MIN(2025,E153))),SUMIFS(Donnees_generations!$AE$3:$AE$113,Donnees_generations!$A$3:$A$113,MAX(1915,MIN(2025,E153))),SUMIFS(Donnees_generations!$AF$3:$AF$113,Donnees_generations!$A$3:$A$113,MAX(1915,MIN(2025,E153))),SUMIFS(Donnees_generations!$AG$3:$AG$113,Donnees_generations!$A$3:$A$113,MAX(1915,MIN(2025,E153))),SUMIFS(Donnees_generations!$AH$3:$AH$113,Donnees_generations!$A$3:$A$113,MAX(1915,MIN(2025,E153))),SUMIFS(Donnees_generations!$AI$3:$AI$113,Donnees_generations!$A$3:$A$113,MAX(1915,MIN(2025,E153))),SUMIFS(Donnees_generations!$AJ$3:$AJ$113,Donnees_generations!$A$3:$A$113,MAX(1915,MIN(2025,E153)))))/2</f>
        <v/>
      </c>
      <c r="AI153" s="75">
        <f>(CHOOSE(((AG153+2)-56)/2+1,SUMIFS(Donnees_generations!$U$3:$U$113,Donnees_generations!$A$3:$A$113,MAX(1915,MIN(2025,E153))),SUMIFS(Donnees_generations!$V$3:$V$113,Donnees_generations!$A$3:$A$113,MAX(1915,MIN(2025,E153))),SUMIFS(Donnees_generations!$W$3:$W$113,Donnees_generations!$A$3:$A$113,MAX(1915,MIN(2025,E153))),SUMIFS(Donnees_generations!$X$3:$X$113,Donnees_generations!$A$3:$A$113,MAX(1915,MIN(2025,E153))),SUMIFS(Donnees_generations!$Y$3:$Y$113,Donnees_generations!$A$3:$A$113,MAX(1915,MIN(2025,E153))),SUMIFS(Donnees_generations!$Z$3:$Z$113,Donnees_generations!$A$3:$A$113,MAX(1915,MIN(2025,E153))),SUMIFS(Donnees_generations!$AA$3:$AA$113,Donnees_generations!$A$3:$A$113,MAX(1915,MIN(2025,E153))),SUMIFS(Donnees_generations!$AB$3:$AB$113,Donnees_generations!$A$3:$A$113,MAX(1915,MIN(2025,E153))))+CHOOSE(((AG153+2)-56)/2+1,SUMIFS(Donnees_generations!$AC$3:$AC$113,Donnees_generations!$A$3:$A$113,MAX(1915,MIN(2025,E153))),SUMIFS(Donnees_generations!$AD$3:$AD$113,Donnees_generations!$A$3:$A$113,MAX(1915,MIN(2025,E153))),SUMIFS(Donnees_generations!$AE$3:$AE$113,Donnees_generations!$A$3:$A$113,MAX(1915,MIN(2025,E153))),SUMIFS(Donnees_generations!$AF$3:$AF$113,Donnees_generations!$A$3:$A$113,MAX(1915,MIN(2025,E153))),SUMIFS(Donnees_generations!$AG$3:$AG$113,Donnees_generations!$A$3:$A$113,MAX(1915,MIN(2025,E153))),SUMIFS(Donnees_generations!$AH$3:$AH$113,Donnees_generations!$A$3:$A$113,MAX(1915,MIN(2025,E153))),SUMIFS(Donnees_generations!$AI$3:$AI$113,Donnees_generations!$A$3:$A$113,MAX(1915,MIN(2025,E153))),SUMIFS(Donnees_generations!$AJ$3:$AJ$113,Donnees_generations!$A$3:$A$113,MAX(1915,MIN(2025,E153)))))/2</f>
        <v/>
      </c>
      <c r="AJ153" s="8">
        <f>MAX(0,AH153+(AI153-AH153)*(K153-AG153)/2)</f>
        <v/>
      </c>
      <c r="AK153" s="8">
        <f>K153+AJ153</f>
        <v/>
      </c>
      <c r="AL153" s="14">
        <f>AE153*AJ153</f>
        <v/>
      </c>
      <c r="AM153" s="17">
        <f>V153/AL153</f>
        <v/>
      </c>
      <c r="AN153" s="17">
        <f>Z153/AL153</f>
        <v/>
      </c>
      <c r="AO153" s="33">
        <f>IF(V153+Z153=0,0,Z153/(V153+Z153))</f>
        <v/>
      </c>
      <c r="AP153" s="14">
        <f>AL153/V153*100</f>
        <v/>
      </c>
      <c r="AQ153" s="8">
        <f>P153/AL153*1000</f>
        <v/>
      </c>
      <c r="AR153" s="77">
        <f>MAX(N153,M153-1)</f>
        <v/>
      </c>
      <c r="AS153" s="14">
        <f>SUMIFS(Donnees_regimes!$R$3:$R$1118,Donnees_regimes!$A$3:$A$1118,C153,Donnees_regimes!$B$3:$B$1118,"&gt;="&amp;G153,Donnees_regimes!$B$3:$B$1118,"&lt;="&amp;N153)*L153/ROUNDUP(L153,0)*SUMIFS(Donnees_annuelles!$AG$3:$AG$188,Donnees_annuelles!$A$3:$A$188,AR153)*SUMIFS(Donnees_annuelles!$AA$3:$AA$188,Donnees_annuelles!$A$3:$A$188,AR153)</f>
        <v/>
      </c>
      <c r="AT153" s="36">
        <f>AS153/V153</f>
        <v/>
      </c>
      <c r="AU153" s="14">
        <f>AL153</f>
        <v/>
      </c>
      <c r="AV153" s="39">
        <f>AS153-AL153</f>
        <v/>
      </c>
      <c r="AW153" s="9">
        <f>AS153/AL153-1</f>
        <v/>
      </c>
      <c r="AX153" s="14">
        <f>AS153/AJ153/12</f>
        <v/>
      </c>
      <c r="AY153" s="14">
        <f>AF153</f>
        <v/>
      </c>
      <c r="AZ153" s="39">
        <f>AX153-AF153</f>
        <v/>
      </c>
      <c r="BA153" s="14">
        <f>SUMIFS(Donnees_regimes!$S$3:$S$1118,Donnees_regimes!$A$3:$A$1118,C153,Donnees_regimes!$B$3:$B$1118,"&gt;="&amp;G153,Donnees_regimes!$B$3:$B$1118,"&lt;="&amp;N153)*L153/ROUNDUP(L153,0)*SUMIFS(Donnees_annuelles!$AH$3:$AH$188,Donnees_annuelles!$A$3:$A$188,AR153)*SUMIFS(Donnees_annuelles!$AA$3:$AA$188,Donnees_annuelles!$A$3:$A$188,AR153)</f>
        <v/>
      </c>
      <c r="BB153" s="39">
        <f>BA153-AL153</f>
        <v/>
      </c>
      <c r="BC153" s="7">
        <f>IF(M153+AJ153&gt;2026,IF(G153&gt;2026,"entièrement projeté","en partie projeté"),"observé")</f>
        <v/>
      </c>
    </row>
    <row r="154">
      <c r="A154" s="7" t="inlineStr">
        <is>
          <t>Génération Y</t>
        </is>
      </c>
      <c r="B154" s="84" t="inlineStr">
        <is>
          <t>Fonction publique d'État</t>
        </is>
      </c>
      <c r="C154" s="7">
        <f>IF(G154&gt;=SUMIFS(Regimes!$C$5:$C$10,Regimes!$A$5:$A$10,B154),"Privé",B154)</f>
        <v/>
      </c>
      <c r="D154" s="7">
        <f>INDEX(Regimes!$D$5:$D$10,MATCH(C154,Regimes!$A$5:$A$10,0))</f>
        <v/>
      </c>
      <c r="E154" s="88" t="n">
        <v>1981</v>
      </c>
      <c r="F154" s="8">
        <f>Donnees_generations!C69</f>
        <v/>
      </c>
      <c r="G154" s="77">
        <f>Donnees_generations!D69</f>
        <v/>
      </c>
      <c r="H154" s="8">
        <f>SUMIFS(Donnees_generations!$S$3:$S$113,Donnees_generations!$A$3:$A$113,MAX(1915,MIN(2025,E154)))</f>
        <v/>
      </c>
      <c r="I154" s="8">
        <f>SUMIFS(Donnees_generations!$T$3:$T$113,Donnees_generations!$A$3:$A$113,MAX(1915,MIN(2025,E154)))</f>
        <v/>
      </c>
      <c r="J154" s="8">
        <f>IF(G154&gt;=2000,MAX(I154,Parametres!$B$3),I154)</f>
        <v/>
      </c>
      <c r="K154" s="8">
        <f>IF(C154="Privé",J154,SUMIFS(Regles_regimes!$J$3:$J$2000,Regles_regimes!$A$3:$A$2000,C154,Regles_regimes!$B$3:$B$2000,D154,Regles_regimes!$C$3:$C$2000,MAX(1915,MIN(2025,E154))))</f>
        <v/>
      </c>
      <c r="L154" s="8">
        <f>IF(C154="Privé",H154,(K154-F154)*H154/(J154-F154))</f>
        <v/>
      </c>
      <c r="M154" s="77">
        <f>INT(E154+K154)</f>
        <v/>
      </c>
      <c r="N154" s="77">
        <f>G154+ROUNDUP(L154,0)-1</f>
        <v/>
      </c>
      <c r="O154" s="89">
        <f>SUMIFS(Regles_regimes!$K$3:$K$2000,Regles_regimes!$A$3:$A$2000,C154,Regles_regimes!$B$3:$B$2000,D154,Regles_regimes!$C$3:$C$2000,MAX(1915,MIN(2025,E154)))</f>
        <v/>
      </c>
      <c r="P154" s="13">
        <f>SUMIFS(Donnees_annuelles!$W$3:$W$188,Donnees_annuelles!$A$3:$A$188,"&gt;="&amp;G154,Donnees_annuelles!$A$3:$A$188,"&lt;="&amp;N154)*L154/ROUNDUP(L154,0)*O154</f>
        <v/>
      </c>
      <c r="Q154" s="13">
        <f>SUMIFS(Donnees_annuelles!$V$3:$V$188,Donnees_annuelles!$A$3:$A$188,"&gt;="&amp;G154,Donnees_annuelles!$A$3:$A$188,"&lt;="&amp;N154)*L154/ROUNDUP(L154,0)</f>
        <v/>
      </c>
      <c r="R154" s="13">
        <f>P154/L154</f>
        <v/>
      </c>
      <c r="S154" s="14">
        <f>SUMIFS(Donnees_annuelles!$D$3:$D$188,Donnees_annuelles!$A$3:$A$188,"&gt;="&amp;G154,Donnees_annuelles!$A$3:$A$188,"&lt;="&amp;N154)*L154/ROUNDUP(L154,0)</f>
        <v/>
      </c>
      <c r="T154" s="14">
        <f>SUMIFS(Donnees_regimes!$N$3:$N$1118,Donnees_regimes!$A$3:$A$1118,C154,Donnees_regimes!$B$3:$B$1118,"&gt;="&amp;G154,Donnees_regimes!$B$3:$B$1118,"&lt;="&amp;N154)*L154/ROUNDUP(L154,0)</f>
        <v/>
      </c>
      <c r="U154" s="14">
        <f>SUMIFS(Donnees_regimes!$O$3:$O$1118,Donnees_regimes!$A$3:$A$1118,C154,Donnees_regimes!$B$3:$B$1118,"&gt;="&amp;G154,Donnees_regimes!$B$3:$B$1118,"&lt;="&amp;N154)*L154/ROUNDUP(L154,0)</f>
        <v/>
      </c>
      <c r="V154" s="14">
        <f>T154+U154</f>
        <v/>
      </c>
      <c r="W154" s="33">
        <f>V154/S154</f>
        <v/>
      </c>
      <c r="X154" s="14">
        <f>S154+U154</f>
        <v/>
      </c>
      <c r="Y154" s="17">
        <f>V154/P154</f>
        <v/>
      </c>
      <c r="Z154" s="14">
        <f>SUMIFS(Donnees_regimes!$Q$3:$Q$1118,Donnees_regimes!$A$3:$A$1118,C154,Donnees_regimes!$B$3:$B$1118,"&gt;="&amp;G154,Donnees_regimes!$B$3:$B$1118,"&lt;="&amp;N154)*L154/ROUNDUP(L154,0)</f>
        <v/>
      </c>
      <c r="AA154" s="77">
        <f>SUMIFS(Regles_regimes!$F$3:$F$2000,Regles_regimes!$A$3:$A$2000,C154,Regles_regimes!$B$3:$B$2000,D154,Regles_regimes!$C$3:$C$2000,MAX(1915,MIN(2025,E154)))</f>
        <v/>
      </c>
      <c r="AB154" s="77">
        <f>IF(AND(SUMIFS(Regles_regimes!$L$3:$L$2000,Regles_regimes!$A$3:$A$2000,C154,Regles_regimes!$B$3:$B$2000,D154,Regles_regimes!$C$3:$C$2000,MAX(1915,MIN(2025,E154)))=1,G154&lt;2009,C154&lt;&gt;"Privé"),MIN(20,L154*4/5),0)</f>
        <v/>
      </c>
      <c r="AC154" s="89">
        <f>SUMIFS(Donnees_regimes!$M$3:$M$1118,Donnees_regimes!$A$3:$A$1118,C154,Donnees_regimes!$B$3:$B$1118,M154)</f>
        <v/>
      </c>
      <c r="AD154" s="14">
        <f>SUMIFS(Donnees_annuelles!$Y$3:$Y$188,Donnees_annuelles!$A$3:$A$188,M154)*SUMIFS(Donnees_generations!$I$3:$I$113,Donnees_generations!$A$3:$A$113,MAX(1915,MIN(2025,E154)))/H154</f>
        <v/>
      </c>
      <c r="AE154" s="14">
        <f>IF(C154="Privé",SUMIFS(Donnees_annuelles!$Y$3:$Y$188,Donnees_annuelles!$A$3:$A$188,M154)*MIN(L154,SUMIFS(Donnees_generations!$I$3:$I$113,Donnees_generations!$A$3:$A$113,MAX(1915,MIN(2025,E154))))/L154,AD154*AC154*MIN(IF(AB154&gt;0,0.8/0.75,1),(L154*4+AB154)/AA154))</f>
        <v/>
      </c>
      <c r="AF154" s="14">
        <f>AE154/12</f>
        <v/>
      </c>
      <c r="AG154" s="77">
        <f>MIN(68,MAX(56,2*INT(K154/2)))</f>
        <v/>
      </c>
      <c r="AH154" s="75">
        <f>(CHOOSE((AG154-56)/2+1,SUMIFS(Donnees_generations!$U$3:$U$113,Donnees_generations!$A$3:$A$113,MAX(1915,MIN(2025,E154))),SUMIFS(Donnees_generations!$V$3:$V$113,Donnees_generations!$A$3:$A$113,MAX(1915,MIN(2025,E154))),SUMIFS(Donnees_generations!$W$3:$W$113,Donnees_generations!$A$3:$A$113,MAX(1915,MIN(2025,E154))),SUMIFS(Donnees_generations!$X$3:$X$113,Donnees_generations!$A$3:$A$113,MAX(1915,MIN(2025,E154))),SUMIFS(Donnees_generations!$Y$3:$Y$113,Donnees_generations!$A$3:$A$113,MAX(1915,MIN(2025,E154))),SUMIFS(Donnees_generations!$Z$3:$Z$113,Donnees_generations!$A$3:$A$113,MAX(1915,MIN(2025,E154))),SUMIFS(Donnees_generations!$AA$3:$AA$113,Donnees_generations!$A$3:$A$113,MAX(1915,MIN(2025,E154))),SUMIFS(Donnees_generations!$AB$3:$AB$113,Donnees_generations!$A$3:$A$113,MAX(1915,MIN(2025,E154))))+CHOOSE((AG154-56)/2+1,SUMIFS(Donnees_generations!$AC$3:$AC$113,Donnees_generations!$A$3:$A$113,MAX(1915,MIN(2025,E154))),SUMIFS(Donnees_generations!$AD$3:$AD$113,Donnees_generations!$A$3:$A$113,MAX(1915,MIN(2025,E154))),SUMIFS(Donnees_generations!$AE$3:$AE$113,Donnees_generations!$A$3:$A$113,MAX(1915,MIN(2025,E154))),SUMIFS(Donnees_generations!$AF$3:$AF$113,Donnees_generations!$A$3:$A$113,MAX(1915,MIN(2025,E154))),SUMIFS(Donnees_generations!$AG$3:$AG$113,Donnees_generations!$A$3:$A$113,MAX(1915,MIN(2025,E154))),SUMIFS(Donnees_generations!$AH$3:$AH$113,Donnees_generations!$A$3:$A$113,MAX(1915,MIN(2025,E154))),SUMIFS(Donnees_generations!$AI$3:$AI$113,Donnees_generations!$A$3:$A$113,MAX(1915,MIN(2025,E154))),SUMIFS(Donnees_generations!$AJ$3:$AJ$113,Donnees_generations!$A$3:$A$113,MAX(1915,MIN(2025,E154)))))/2</f>
        <v/>
      </c>
      <c r="AI154" s="75">
        <f>(CHOOSE(((AG154+2)-56)/2+1,SUMIFS(Donnees_generations!$U$3:$U$113,Donnees_generations!$A$3:$A$113,MAX(1915,MIN(2025,E154))),SUMIFS(Donnees_generations!$V$3:$V$113,Donnees_generations!$A$3:$A$113,MAX(1915,MIN(2025,E154))),SUMIFS(Donnees_generations!$W$3:$W$113,Donnees_generations!$A$3:$A$113,MAX(1915,MIN(2025,E154))),SUMIFS(Donnees_generations!$X$3:$X$113,Donnees_generations!$A$3:$A$113,MAX(1915,MIN(2025,E154))),SUMIFS(Donnees_generations!$Y$3:$Y$113,Donnees_generations!$A$3:$A$113,MAX(1915,MIN(2025,E154))),SUMIFS(Donnees_generations!$Z$3:$Z$113,Donnees_generations!$A$3:$A$113,MAX(1915,MIN(2025,E154))),SUMIFS(Donnees_generations!$AA$3:$AA$113,Donnees_generations!$A$3:$A$113,MAX(1915,MIN(2025,E154))),SUMIFS(Donnees_generations!$AB$3:$AB$113,Donnees_generations!$A$3:$A$113,MAX(1915,MIN(2025,E154))))+CHOOSE(((AG154+2)-56)/2+1,SUMIFS(Donnees_generations!$AC$3:$AC$113,Donnees_generations!$A$3:$A$113,MAX(1915,MIN(2025,E154))),SUMIFS(Donnees_generations!$AD$3:$AD$113,Donnees_generations!$A$3:$A$113,MAX(1915,MIN(2025,E154))),SUMIFS(Donnees_generations!$AE$3:$AE$113,Donnees_generations!$A$3:$A$113,MAX(1915,MIN(2025,E154))),SUMIFS(Donnees_generations!$AF$3:$AF$113,Donnees_generations!$A$3:$A$113,MAX(1915,MIN(2025,E154))),SUMIFS(Donnees_generations!$AG$3:$AG$113,Donnees_generations!$A$3:$A$113,MAX(1915,MIN(2025,E154))),SUMIFS(Donnees_generations!$AH$3:$AH$113,Donnees_generations!$A$3:$A$113,MAX(1915,MIN(2025,E154))),SUMIFS(Donnees_generations!$AI$3:$AI$113,Donnees_generations!$A$3:$A$113,MAX(1915,MIN(2025,E154))),SUMIFS(Donnees_generations!$AJ$3:$AJ$113,Donnees_generations!$A$3:$A$113,MAX(1915,MIN(2025,E154)))))/2</f>
        <v/>
      </c>
      <c r="AJ154" s="8">
        <f>MAX(0,AH154+(AI154-AH154)*(K154-AG154)/2)</f>
        <v/>
      </c>
      <c r="AK154" s="8">
        <f>K154+AJ154</f>
        <v/>
      </c>
      <c r="AL154" s="14">
        <f>AE154*AJ154</f>
        <v/>
      </c>
      <c r="AM154" s="17">
        <f>V154/AL154</f>
        <v/>
      </c>
      <c r="AN154" s="17">
        <f>Z154/AL154</f>
        <v/>
      </c>
      <c r="AO154" s="33">
        <f>IF(V154+Z154=0,0,Z154/(V154+Z154))</f>
        <v/>
      </c>
      <c r="AP154" s="14">
        <f>AL154/V154*100</f>
        <v/>
      </c>
      <c r="AQ154" s="8">
        <f>P154/AL154*1000</f>
        <v/>
      </c>
      <c r="AR154" s="77">
        <f>MAX(N154,M154-1)</f>
        <v/>
      </c>
      <c r="AS154" s="14">
        <f>SUMIFS(Donnees_regimes!$R$3:$R$1118,Donnees_regimes!$A$3:$A$1118,C154,Donnees_regimes!$B$3:$B$1118,"&gt;="&amp;G154,Donnees_regimes!$B$3:$B$1118,"&lt;="&amp;N154)*L154/ROUNDUP(L154,0)*SUMIFS(Donnees_annuelles!$AG$3:$AG$188,Donnees_annuelles!$A$3:$A$188,AR154)*SUMIFS(Donnees_annuelles!$AA$3:$AA$188,Donnees_annuelles!$A$3:$A$188,AR154)</f>
        <v/>
      </c>
      <c r="AT154" s="36">
        <f>AS154/V154</f>
        <v/>
      </c>
      <c r="AU154" s="14">
        <f>AL154</f>
        <v/>
      </c>
      <c r="AV154" s="39">
        <f>AS154-AL154</f>
        <v/>
      </c>
      <c r="AW154" s="9">
        <f>AS154/AL154-1</f>
        <v/>
      </c>
      <c r="AX154" s="14">
        <f>AS154/AJ154/12</f>
        <v/>
      </c>
      <c r="AY154" s="14">
        <f>AF154</f>
        <v/>
      </c>
      <c r="AZ154" s="39">
        <f>AX154-AF154</f>
        <v/>
      </c>
      <c r="BA154" s="14">
        <f>SUMIFS(Donnees_regimes!$S$3:$S$1118,Donnees_regimes!$A$3:$A$1118,C154,Donnees_regimes!$B$3:$B$1118,"&gt;="&amp;G154,Donnees_regimes!$B$3:$B$1118,"&lt;="&amp;N154)*L154/ROUNDUP(L154,0)*SUMIFS(Donnees_annuelles!$AH$3:$AH$188,Donnees_annuelles!$A$3:$A$188,AR154)*SUMIFS(Donnees_annuelles!$AA$3:$AA$188,Donnees_annuelles!$A$3:$A$188,AR154)</f>
        <v/>
      </c>
      <c r="BB154" s="39">
        <f>BA154-AL154</f>
        <v/>
      </c>
      <c r="BC154" s="7">
        <f>IF(M154+AJ154&gt;2026,IF(G154&gt;2026,"entièrement projeté","en partie projeté"),"observé")</f>
        <v/>
      </c>
    </row>
    <row r="155">
      <c r="A155" s="7" t="inlineStr">
        <is>
          <t>Génération Y</t>
        </is>
      </c>
      <c r="B155" s="84" t="inlineStr">
        <is>
          <t>Fonction publique d'État</t>
        </is>
      </c>
      <c r="C155" s="7">
        <f>IF(G155&gt;=SUMIFS(Regimes!$C$5:$C$10,Regimes!$A$5:$A$10,B155),"Privé",B155)</f>
        <v/>
      </c>
      <c r="D155" s="7">
        <f>INDEX(Regimes!$D$5:$D$10,MATCH(C155,Regimes!$A$5:$A$10,0))</f>
        <v/>
      </c>
      <c r="E155" s="88" t="n">
        <v>1982</v>
      </c>
      <c r="F155" s="8">
        <f>Donnees_generations!C70</f>
        <v/>
      </c>
      <c r="G155" s="77">
        <f>Donnees_generations!D70</f>
        <v/>
      </c>
      <c r="H155" s="8">
        <f>SUMIFS(Donnees_generations!$S$3:$S$113,Donnees_generations!$A$3:$A$113,MAX(1915,MIN(2025,E155)))</f>
        <v/>
      </c>
      <c r="I155" s="8">
        <f>SUMIFS(Donnees_generations!$T$3:$T$113,Donnees_generations!$A$3:$A$113,MAX(1915,MIN(2025,E155)))</f>
        <v/>
      </c>
      <c r="J155" s="8">
        <f>IF(G155&gt;=2000,MAX(I155,Parametres!$B$3),I155)</f>
        <v/>
      </c>
      <c r="K155" s="8">
        <f>IF(C155="Privé",J155,SUMIFS(Regles_regimes!$J$3:$J$2000,Regles_regimes!$A$3:$A$2000,C155,Regles_regimes!$B$3:$B$2000,D155,Regles_regimes!$C$3:$C$2000,MAX(1915,MIN(2025,E155))))</f>
        <v/>
      </c>
      <c r="L155" s="8">
        <f>IF(C155="Privé",H155,(K155-F155)*H155/(J155-F155))</f>
        <v/>
      </c>
      <c r="M155" s="77">
        <f>INT(E155+K155)</f>
        <v/>
      </c>
      <c r="N155" s="77">
        <f>G155+ROUNDUP(L155,0)-1</f>
        <v/>
      </c>
      <c r="O155" s="89">
        <f>SUMIFS(Regles_regimes!$K$3:$K$2000,Regles_regimes!$A$3:$A$2000,C155,Regles_regimes!$B$3:$B$2000,D155,Regles_regimes!$C$3:$C$2000,MAX(1915,MIN(2025,E155)))</f>
        <v/>
      </c>
      <c r="P155" s="13">
        <f>SUMIFS(Donnees_annuelles!$W$3:$W$188,Donnees_annuelles!$A$3:$A$188,"&gt;="&amp;G155,Donnees_annuelles!$A$3:$A$188,"&lt;="&amp;N155)*L155/ROUNDUP(L155,0)*O155</f>
        <v/>
      </c>
      <c r="Q155" s="13">
        <f>SUMIFS(Donnees_annuelles!$V$3:$V$188,Donnees_annuelles!$A$3:$A$188,"&gt;="&amp;G155,Donnees_annuelles!$A$3:$A$188,"&lt;="&amp;N155)*L155/ROUNDUP(L155,0)</f>
        <v/>
      </c>
      <c r="R155" s="13">
        <f>P155/L155</f>
        <v/>
      </c>
      <c r="S155" s="14">
        <f>SUMIFS(Donnees_annuelles!$D$3:$D$188,Donnees_annuelles!$A$3:$A$188,"&gt;="&amp;G155,Donnees_annuelles!$A$3:$A$188,"&lt;="&amp;N155)*L155/ROUNDUP(L155,0)</f>
        <v/>
      </c>
      <c r="T155" s="14">
        <f>SUMIFS(Donnees_regimes!$N$3:$N$1118,Donnees_regimes!$A$3:$A$1118,C155,Donnees_regimes!$B$3:$B$1118,"&gt;="&amp;G155,Donnees_regimes!$B$3:$B$1118,"&lt;="&amp;N155)*L155/ROUNDUP(L155,0)</f>
        <v/>
      </c>
      <c r="U155" s="14">
        <f>SUMIFS(Donnees_regimes!$O$3:$O$1118,Donnees_regimes!$A$3:$A$1118,C155,Donnees_regimes!$B$3:$B$1118,"&gt;="&amp;G155,Donnees_regimes!$B$3:$B$1118,"&lt;="&amp;N155)*L155/ROUNDUP(L155,0)</f>
        <v/>
      </c>
      <c r="V155" s="14">
        <f>T155+U155</f>
        <v/>
      </c>
      <c r="W155" s="33">
        <f>V155/S155</f>
        <v/>
      </c>
      <c r="X155" s="14">
        <f>S155+U155</f>
        <v/>
      </c>
      <c r="Y155" s="17">
        <f>V155/P155</f>
        <v/>
      </c>
      <c r="Z155" s="14">
        <f>SUMIFS(Donnees_regimes!$Q$3:$Q$1118,Donnees_regimes!$A$3:$A$1118,C155,Donnees_regimes!$B$3:$B$1118,"&gt;="&amp;G155,Donnees_regimes!$B$3:$B$1118,"&lt;="&amp;N155)*L155/ROUNDUP(L155,0)</f>
        <v/>
      </c>
      <c r="AA155" s="77">
        <f>SUMIFS(Regles_regimes!$F$3:$F$2000,Regles_regimes!$A$3:$A$2000,C155,Regles_regimes!$B$3:$B$2000,D155,Regles_regimes!$C$3:$C$2000,MAX(1915,MIN(2025,E155)))</f>
        <v/>
      </c>
      <c r="AB155" s="77">
        <f>IF(AND(SUMIFS(Regles_regimes!$L$3:$L$2000,Regles_regimes!$A$3:$A$2000,C155,Regles_regimes!$B$3:$B$2000,D155,Regles_regimes!$C$3:$C$2000,MAX(1915,MIN(2025,E155)))=1,G155&lt;2009,C155&lt;&gt;"Privé"),MIN(20,L155*4/5),0)</f>
        <v/>
      </c>
      <c r="AC155" s="89">
        <f>SUMIFS(Donnees_regimes!$M$3:$M$1118,Donnees_regimes!$A$3:$A$1118,C155,Donnees_regimes!$B$3:$B$1118,M155)</f>
        <v/>
      </c>
      <c r="AD155" s="14">
        <f>SUMIFS(Donnees_annuelles!$Y$3:$Y$188,Donnees_annuelles!$A$3:$A$188,M155)*SUMIFS(Donnees_generations!$I$3:$I$113,Donnees_generations!$A$3:$A$113,MAX(1915,MIN(2025,E155)))/H155</f>
        <v/>
      </c>
      <c r="AE155" s="14">
        <f>IF(C155="Privé",SUMIFS(Donnees_annuelles!$Y$3:$Y$188,Donnees_annuelles!$A$3:$A$188,M155)*MIN(L155,SUMIFS(Donnees_generations!$I$3:$I$113,Donnees_generations!$A$3:$A$113,MAX(1915,MIN(2025,E155))))/L155,AD155*AC155*MIN(IF(AB155&gt;0,0.8/0.75,1),(L155*4+AB155)/AA155))</f>
        <v/>
      </c>
      <c r="AF155" s="14">
        <f>AE155/12</f>
        <v/>
      </c>
      <c r="AG155" s="77">
        <f>MIN(68,MAX(56,2*INT(K155/2)))</f>
        <v/>
      </c>
      <c r="AH155" s="75">
        <f>(CHOOSE((AG155-56)/2+1,SUMIFS(Donnees_generations!$U$3:$U$113,Donnees_generations!$A$3:$A$113,MAX(1915,MIN(2025,E155))),SUMIFS(Donnees_generations!$V$3:$V$113,Donnees_generations!$A$3:$A$113,MAX(1915,MIN(2025,E155))),SUMIFS(Donnees_generations!$W$3:$W$113,Donnees_generations!$A$3:$A$113,MAX(1915,MIN(2025,E155))),SUMIFS(Donnees_generations!$X$3:$X$113,Donnees_generations!$A$3:$A$113,MAX(1915,MIN(2025,E155))),SUMIFS(Donnees_generations!$Y$3:$Y$113,Donnees_generations!$A$3:$A$113,MAX(1915,MIN(2025,E155))),SUMIFS(Donnees_generations!$Z$3:$Z$113,Donnees_generations!$A$3:$A$113,MAX(1915,MIN(2025,E155))),SUMIFS(Donnees_generations!$AA$3:$AA$113,Donnees_generations!$A$3:$A$113,MAX(1915,MIN(2025,E155))),SUMIFS(Donnees_generations!$AB$3:$AB$113,Donnees_generations!$A$3:$A$113,MAX(1915,MIN(2025,E155))))+CHOOSE((AG155-56)/2+1,SUMIFS(Donnees_generations!$AC$3:$AC$113,Donnees_generations!$A$3:$A$113,MAX(1915,MIN(2025,E155))),SUMIFS(Donnees_generations!$AD$3:$AD$113,Donnees_generations!$A$3:$A$113,MAX(1915,MIN(2025,E155))),SUMIFS(Donnees_generations!$AE$3:$AE$113,Donnees_generations!$A$3:$A$113,MAX(1915,MIN(2025,E155))),SUMIFS(Donnees_generations!$AF$3:$AF$113,Donnees_generations!$A$3:$A$113,MAX(1915,MIN(2025,E155))),SUMIFS(Donnees_generations!$AG$3:$AG$113,Donnees_generations!$A$3:$A$113,MAX(1915,MIN(2025,E155))),SUMIFS(Donnees_generations!$AH$3:$AH$113,Donnees_generations!$A$3:$A$113,MAX(1915,MIN(2025,E155))),SUMIFS(Donnees_generations!$AI$3:$AI$113,Donnees_generations!$A$3:$A$113,MAX(1915,MIN(2025,E155))),SUMIFS(Donnees_generations!$AJ$3:$AJ$113,Donnees_generations!$A$3:$A$113,MAX(1915,MIN(2025,E155)))))/2</f>
        <v/>
      </c>
      <c r="AI155" s="75">
        <f>(CHOOSE(((AG155+2)-56)/2+1,SUMIFS(Donnees_generations!$U$3:$U$113,Donnees_generations!$A$3:$A$113,MAX(1915,MIN(2025,E155))),SUMIFS(Donnees_generations!$V$3:$V$113,Donnees_generations!$A$3:$A$113,MAX(1915,MIN(2025,E155))),SUMIFS(Donnees_generations!$W$3:$W$113,Donnees_generations!$A$3:$A$113,MAX(1915,MIN(2025,E155))),SUMIFS(Donnees_generations!$X$3:$X$113,Donnees_generations!$A$3:$A$113,MAX(1915,MIN(2025,E155))),SUMIFS(Donnees_generations!$Y$3:$Y$113,Donnees_generations!$A$3:$A$113,MAX(1915,MIN(2025,E155))),SUMIFS(Donnees_generations!$Z$3:$Z$113,Donnees_generations!$A$3:$A$113,MAX(1915,MIN(2025,E155))),SUMIFS(Donnees_generations!$AA$3:$AA$113,Donnees_generations!$A$3:$A$113,MAX(1915,MIN(2025,E155))),SUMIFS(Donnees_generations!$AB$3:$AB$113,Donnees_generations!$A$3:$A$113,MAX(1915,MIN(2025,E155))))+CHOOSE(((AG155+2)-56)/2+1,SUMIFS(Donnees_generations!$AC$3:$AC$113,Donnees_generations!$A$3:$A$113,MAX(1915,MIN(2025,E155))),SUMIFS(Donnees_generations!$AD$3:$AD$113,Donnees_generations!$A$3:$A$113,MAX(1915,MIN(2025,E155))),SUMIFS(Donnees_generations!$AE$3:$AE$113,Donnees_generations!$A$3:$A$113,MAX(1915,MIN(2025,E155))),SUMIFS(Donnees_generations!$AF$3:$AF$113,Donnees_generations!$A$3:$A$113,MAX(1915,MIN(2025,E155))),SUMIFS(Donnees_generations!$AG$3:$AG$113,Donnees_generations!$A$3:$A$113,MAX(1915,MIN(2025,E155))),SUMIFS(Donnees_generations!$AH$3:$AH$113,Donnees_generations!$A$3:$A$113,MAX(1915,MIN(2025,E155))),SUMIFS(Donnees_generations!$AI$3:$AI$113,Donnees_generations!$A$3:$A$113,MAX(1915,MIN(2025,E155))),SUMIFS(Donnees_generations!$AJ$3:$AJ$113,Donnees_generations!$A$3:$A$113,MAX(1915,MIN(2025,E155)))))/2</f>
        <v/>
      </c>
      <c r="AJ155" s="8">
        <f>MAX(0,AH155+(AI155-AH155)*(K155-AG155)/2)</f>
        <v/>
      </c>
      <c r="AK155" s="8">
        <f>K155+AJ155</f>
        <v/>
      </c>
      <c r="AL155" s="14">
        <f>AE155*AJ155</f>
        <v/>
      </c>
      <c r="AM155" s="17">
        <f>V155/AL155</f>
        <v/>
      </c>
      <c r="AN155" s="17">
        <f>Z155/AL155</f>
        <v/>
      </c>
      <c r="AO155" s="33">
        <f>IF(V155+Z155=0,0,Z155/(V155+Z155))</f>
        <v/>
      </c>
      <c r="AP155" s="14">
        <f>AL155/V155*100</f>
        <v/>
      </c>
      <c r="AQ155" s="8">
        <f>P155/AL155*1000</f>
        <v/>
      </c>
      <c r="AR155" s="77">
        <f>MAX(N155,M155-1)</f>
        <v/>
      </c>
      <c r="AS155" s="14">
        <f>SUMIFS(Donnees_regimes!$R$3:$R$1118,Donnees_regimes!$A$3:$A$1118,C155,Donnees_regimes!$B$3:$B$1118,"&gt;="&amp;G155,Donnees_regimes!$B$3:$B$1118,"&lt;="&amp;N155)*L155/ROUNDUP(L155,0)*SUMIFS(Donnees_annuelles!$AG$3:$AG$188,Donnees_annuelles!$A$3:$A$188,AR155)*SUMIFS(Donnees_annuelles!$AA$3:$AA$188,Donnees_annuelles!$A$3:$A$188,AR155)</f>
        <v/>
      </c>
      <c r="AT155" s="36">
        <f>AS155/V155</f>
        <v/>
      </c>
      <c r="AU155" s="14">
        <f>AL155</f>
        <v/>
      </c>
      <c r="AV155" s="39">
        <f>AS155-AL155</f>
        <v/>
      </c>
      <c r="AW155" s="9">
        <f>AS155/AL155-1</f>
        <v/>
      </c>
      <c r="AX155" s="14">
        <f>AS155/AJ155/12</f>
        <v/>
      </c>
      <c r="AY155" s="14">
        <f>AF155</f>
        <v/>
      </c>
      <c r="AZ155" s="39">
        <f>AX155-AF155</f>
        <v/>
      </c>
      <c r="BA155" s="14">
        <f>SUMIFS(Donnees_regimes!$S$3:$S$1118,Donnees_regimes!$A$3:$A$1118,C155,Donnees_regimes!$B$3:$B$1118,"&gt;="&amp;G155,Donnees_regimes!$B$3:$B$1118,"&lt;="&amp;N155)*L155/ROUNDUP(L155,0)*SUMIFS(Donnees_annuelles!$AH$3:$AH$188,Donnees_annuelles!$A$3:$A$188,AR155)*SUMIFS(Donnees_annuelles!$AA$3:$AA$188,Donnees_annuelles!$A$3:$A$188,AR155)</f>
        <v/>
      </c>
      <c r="BB155" s="39">
        <f>BA155-AL155</f>
        <v/>
      </c>
      <c r="BC155" s="7">
        <f>IF(M155+AJ155&gt;2026,IF(G155&gt;2026,"entièrement projeté","en partie projeté"),"observé")</f>
        <v/>
      </c>
    </row>
    <row r="156">
      <c r="A156" s="7" t="inlineStr">
        <is>
          <t>Génération Y</t>
        </is>
      </c>
      <c r="B156" s="84" t="inlineStr">
        <is>
          <t>Fonction publique d'État</t>
        </is>
      </c>
      <c r="C156" s="7">
        <f>IF(G156&gt;=SUMIFS(Regimes!$C$5:$C$10,Regimes!$A$5:$A$10,B156),"Privé",B156)</f>
        <v/>
      </c>
      <c r="D156" s="7">
        <f>INDEX(Regimes!$D$5:$D$10,MATCH(C156,Regimes!$A$5:$A$10,0))</f>
        <v/>
      </c>
      <c r="E156" s="88" t="n">
        <v>1983</v>
      </c>
      <c r="F156" s="8">
        <f>Donnees_generations!C71</f>
        <v/>
      </c>
      <c r="G156" s="77">
        <f>Donnees_generations!D71</f>
        <v/>
      </c>
      <c r="H156" s="8">
        <f>SUMIFS(Donnees_generations!$S$3:$S$113,Donnees_generations!$A$3:$A$113,MAX(1915,MIN(2025,E156)))</f>
        <v/>
      </c>
      <c r="I156" s="8">
        <f>SUMIFS(Donnees_generations!$T$3:$T$113,Donnees_generations!$A$3:$A$113,MAX(1915,MIN(2025,E156)))</f>
        <v/>
      </c>
      <c r="J156" s="8">
        <f>IF(G156&gt;=2000,MAX(I156,Parametres!$B$3),I156)</f>
        <v/>
      </c>
      <c r="K156" s="8">
        <f>IF(C156="Privé",J156,SUMIFS(Regles_regimes!$J$3:$J$2000,Regles_regimes!$A$3:$A$2000,C156,Regles_regimes!$B$3:$B$2000,D156,Regles_regimes!$C$3:$C$2000,MAX(1915,MIN(2025,E156))))</f>
        <v/>
      </c>
      <c r="L156" s="8">
        <f>IF(C156="Privé",H156,(K156-F156)*H156/(J156-F156))</f>
        <v/>
      </c>
      <c r="M156" s="77">
        <f>INT(E156+K156)</f>
        <v/>
      </c>
      <c r="N156" s="77">
        <f>G156+ROUNDUP(L156,0)-1</f>
        <v/>
      </c>
      <c r="O156" s="89">
        <f>SUMIFS(Regles_regimes!$K$3:$K$2000,Regles_regimes!$A$3:$A$2000,C156,Regles_regimes!$B$3:$B$2000,D156,Regles_regimes!$C$3:$C$2000,MAX(1915,MIN(2025,E156)))</f>
        <v/>
      </c>
      <c r="P156" s="13">
        <f>SUMIFS(Donnees_annuelles!$W$3:$W$188,Donnees_annuelles!$A$3:$A$188,"&gt;="&amp;G156,Donnees_annuelles!$A$3:$A$188,"&lt;="&amp;N156)*L156/ROUNDUP(L156,0)*O156</f>
        <v/>
      </c>
      <c r="Q156" s="13">
        <f>SUMIFS(Donnees_annuelles!$V$3:$V$188,Donnees_annuelles!$A$3:$A$188,"&gt;="&amp;G156,Donnees_annuelles!$A$3:$A$188,"&lt;="&amp;N156)*L156/ROUNDUP(L156,0)</f>
        <v/>
      </c>
      <c r="R156" s="13">
        <f>P156/L156</f>
        <v/>
      </c>
      <c r="S156" s="14">
        <f>SUMIFS(Donnees_annuelles!$D$3:$D$188,Donnees_annuelles!$A$3:$A$188,"&gt;="&amp;G156,Donnees_annuelles!$A$3:$A$188,"&lt;="&amp;N156)*L156/ROUNDUP(L156,0)</f>
        <v/>
      </c>
      <c r="T156" s="14">
        <f>SUMIFS(Donnees_regimes!$N$3:$N$1118,Donnees_regimes!$A$3:$A$1118,C156,Donnees_regimes!$B$3:$B$1118,"&gt;="&amp;G156,Donnees_regimes!$B$3:$B$1118,"&lt;="&amp;N156)*L156/ROUNDUP(L156,0)</f>
        <v/>
      </c>
      <c r="U156" s="14">
        <f>SUMIFS(Donnees_regimes!$O$3:$O$1118,Donnees_regimes!$A$3:$A$1118,C156,Donnees_regimes!$B$3:$B$1118,"&gt;="&amp;G156,Donnees_regimes!$B$3:$B$1118,"&lt;="&amp;N156)*L156/ROUNDUP(L156,0)</f>
        <v/>
      </c>
      <c r="V156" s="14">
        <f>T156+U156</f>
        <v/>
      </c>
      <c r="W156" s="33">
        <f>V156/S156</f>
        <v/>
      </c>
      <c r="X156" s="14">
        <f>S156+U156</f>
        <v/>
      </c>
      <c r="Y156" s="17">
        <f>V156/P156</f>
        <v/>
      </c>
      <c r="Z156" s="14">
        <f>SUMIFS(Donnees_regimes!$Q$3:$Q$1118,Donnees_regimes!$A$3:$A$1118,C156,Donnees_regimes!$B$3:$B$1118,"&gt;="&amp;G156,Donnees_regimes!$B$3:$B$1118,"&lt;="&amp;N156)*L156/ROUNDUP(L156,0)</f>
        <v/>
      </c>
      <c r="AA156" s="77">
        <f>SUMIFS(Regles_regimes!$F$3:$F$2000,Regles_regimes!$A$3:$A$2000,C156,Regles_regimes!$B$3:$B$2000,D156,Regles_regimes!$C$3:$C$2000,MAX(1915,MIN(2025,E156)))</f>
        <v/>
      </c>
      <c r="AB156" s="77">
        <f>IF(AND(SUMIFS(Regles_regimes!$L$3:$L$2000,Regles_regimes!$A$3:$A$2000,C156,Regles_regimes!$B$3:$B$2000,D156,Regles_regimes!$C$3:$C$2000,MAX(1915,MIN(2025,E156)))=1,G156&lt;2009,C156&lt;&gt;"Privé"),MIN(20,L156*4/5),0)</f>
        <v/>
      </c>
      <c r="AC156" s="89">
        <f>SUMIFS(Donnees_regimes!$M$3:$M$1118,Donnees_regimes!$A$3:$A$1118,C156,Donnees_regimes!$B$3:$B$1118,M156)</f>
        <v/>
      </c>
      <c r="AD156" s="14">
        <f>SUMIFS(Donnees_annuelles!$Y$3:$Y$188,Donnees_annuelles!$A$3:$A$188,M156)*SUMIFS(Donnees_generations!$I$3:$I$113,Donnees_generations!$A$3:$A$113,MAX(1915,MIN(2025,E156)))/H156</f>
        <v/>
      </c>
      <c r="AE156" s="14">
        <f>IF(C156="Privé",SUMIFS(Donnees_annuelles!$Y$3:$Y$188,Donnees_annuelles!$A$3:$A$188,M156)*MIN(L156,SUMIFS(Donnees_generations!$I$3:$I$113,Donnees_generations!$A$3:$A$113,MAX(1915,MIN(2025,E156))))/L156,AD156*AC156*MIN(IF(AB156&gt;0,0.8/0.75,1),(L156*4+AB156)/AA156))</f>
        <v/>
      </c>
      <c r="AF156" s="14">
        <f>AE156/12</f>
        <v/>
      </c>
      <c r="AG156" s="77">
        <f>MIN(68,MAX(56,2*INT(K156/2)))</f>
        <v/>
      </c>
      <c r="AH156" s="75">
        <f>(CHOOSE((AG156-56)/2+1,SUMIFS(Donnees_generations!$U$3:$U$113,Donnees_generations!$A$3:$A$113,MAX(1915,MIN(2025,E156))),SUMIFS(Donnees_generations!$V$3:$V$113,Donnees_generations!$A$3:$A$113,MAX(1915,MIN(2025,E156))),SUMIFS(Donnees_generations!$W$3:$W$113,Donnees_generations!$A$3:$A$113,MAX(1915,MIN(2025,E156))),SUMIFS(Donnees_generations!$X$3:$X$113,Donnees_generations!$A$3:$A$113,MAX(1915,MIN(2025,E156))),SUMIFS(Donnees_generations!$Y$3:$Y$113,Donnees_generations!$A$3:$A$113,MAX(1915,MIN(2025,E156))),SUMIFS(Donnees_generations!$Z$3:$Z$113,Donnees_generations!$A$3:$A$113,MAX(1915,MIN(2025,E156))),SUMIFS(Donnees_generations!$AA$3:$AA$113,Donnees_generations!$A$3:$A$113,MAX(1915,MIN(2025,E156))),SUMIFS(Donnees_generations!$AB$3:$AB$113,Donnees_generations!$A$3:$A$113,MAX(1915,MIN(2025,E156))))+CHOOSE((AG156-56)/2+1,SUMIFS(Donnees_generations!$AC$3:$AC$113,Donnees_generations!$A$3:$A$113,MAX(1915,MIN(2025,E156))),SUMIFS(Donnees_generations!$AD$3:$AD$113,Donnees_generations!$A$3:$A$113,MAX(1915,MIN(2025,E156))),SUMIFS(Donnees_generations!$AE$3:$AE$113,Donnees_generations!$A$3:$A$113,MAX(1915,MIN(2025,E156))),SUMIFS(Donnees_generations!$AF$3:$AF$113,Donnees_generations!$A$3:$A$113,MAX(1915,MIN(2025,E156))),SUMIFS(Donnees_generations!$AG$3:$AG$113,Donnees_generations!$A$3:$A$113,MAX(1915,MIN(2025,E156))),SUMIFS(Donnees_generations!$AH$3:$AH$113,Donnees_generations!$A$3:$A$113,MAX(1915,MIN(2025,E156))),SUMIFS(Donnees_generations!$AI$3:$AI$113,Donnees_generations!$A$3:$A$113,MAX(1915,MIN(2025,E156))),SUMIFS(Donnees_generations!$AJ$3:$AJ$113,Donnees_generations!$A$3:$A$113,MAX(1915,MIN(2025,E156)))))/2</f>
        <v/>
      </c>
      <c r="AI156" s="75">
        <f>(CHOOSE(((AG156+2)-56)/2+1,SUMIFS(Donnees_generations!$U$3:$U$113,Donnees_generations!$A$3:$A$113,MAX(1915,MIN(2025,E156))),SUMIFS(Donnees_generations!$V$3:$V$113,Donnees_generations!$A$3:$A$113,MAX(1915,MIN(2025,E156))),SUMIFS(Donnees_generations!$W$3:$W$113,Donnees_generations!$A$3:$A$113,MAX(1915,MIN(2025,E156))),SUMIFS(Donnees_generations!$X$3:$X$113,Donnees_generations!$A$3:$A$113,MAX(1915,MIN(2025,E156))),SUMIFS(Donnees_generations!$Y$3:$Y$113,Donnees_generations!$A$3:$A$113,MAX(1915,MIN(2025,E156))),SUMIFS(Donnees_generations!$Z$3:$Z$113,Donnees_generations!$A$3:$A$113,MAX(1915,MIN(2025,E156))),SUMIFS(Donnees_generations!$AA$3:$AA$113,Donnees_generations!$A$3:$A$113,MAX(1915,MIN(2025,E156))),SUMIFS(Donnees_generations!$AB$3:$AB$113,Donnees_generations!$A$3:$A$113,MAX(1915,MIN(2025,E156))))+CHOOSE(((AG156+2)-56)/2+1,SUMIFS(Donnees_generations!$AC$3:$AC$113,Donnees_generations!$A$3:$A$113,MAX(1915,MIN(2025,E156))),SUMIFS(Donnees_generations!$AD$3:$AD$113,Donnees_generations!$A$3:$A$113,MAX(1915,MIN(2025,E156))),SUMIFS(Donnees_generations!$AE$3:$AE$113,Donnees_generations!$A$3:$A$113,MAX(1915,MIN(2025,E156))),SUMIFS(Donnees_generations!$AF$3:$AF$113,Donnees_generations!$A$3:$A$113,MAX(1915,MIN(2025,E156))),SUMIFS(Donnees_generations!$AG$3:$AG$113,Donnees_generations!$A$3:$A$113,MAX(1915,MIN(2025,E156))),SUMIFS(Donnees_generations!$AH$3:$AH$113,Donnees_generations!$A$3:$A$113,MAX(1915,MIN(2025,E156))),SUMIFS(Donnees_generations!$AI$3:$AI$113,Donnees_generations!$A$3:$A$113,MAX(1915,MIN(2025,E156))),SUMIFS(Donnees_generations!$AJ$3:$AJ$113,Donnees_generations!$A$3:$A$113,MAX(1915,MIN(2025,E156)))))/2</f>
        <v/>
      </c>
      <c r="AJ156" s="8">
        <f>MAX(0,AH156+(AI156-AH156)*(K156-AG156)/2)</f>
        <v/>
      </c>
      <c r="AK156" s="8">
        <f>K156+AJ156</f>
        <v/>
      </c>
      <c r="AL156" s="14">
        <f>AE156*AJ156</f>
        <v/>
      </c>
      <c r="AM156" s="17">
        <f>V156/AL156</f>
        <v/>
      </c>
      <c r="AN156" s="17">
        <f>Z156/AL156</f>
        <v/>
      </c>
      <c r="AO156" s="33">
        <f>IF(V156+Z156=0,0,Z156/(V156+Z156))</f>
        <v/>
      </c>
      <c r="AP156" s="14">
        <f>AL156/V156*100</f>
        <v/>
      </c>
      <c r="AQ156" s="8">
        <f>P156/AL156*1000</f>
        <v/>
      </c>
      <c r="AR156" s="77">
        <f>MAX(N156,M156-1)</f>
        <v/>
      </c>
      <c r="AS156" s="14">
        <f>SUMIFS(Donnees_regimes!$R$3:$R$1118,Donnees_regimes!$A$3:$A$1118,C156,Donnees_regimes!$B$3:$B$1118,"&gt;="&amp;G156,Donnees_regimes!$B$3:$B$1118,"&lt;="&amp;N156)*L156/ROUNDUP(L156,0)*SUMIFS(Donnees_annuelles!$AG$3:$AG$188,Donnees_annuelles!$A$3:$A$188,AR156)*SUMIFS(Donnees_annuelles!$AA$3:$AA$188,Donnees_annuelles!$A$3:$A$188,AR156)</f>
        <v/>
      </c>
      <c r="AT156" s="36">
        <f>AS156/V156</f>
        <v/>
      </c>
      <c r="AU156" s="14">
        <f>AL156</f>
        <v/>
      </c>
      <c r="AV156" s="39">
        <f>AS156-AL156</f>
        <v/>
      </c>
      <c r="AW156" s="9">
        <f>AS156/AL156-1</f>
        <v/>
      </c>
      <c r="AX156" s="14">
        <f>AS156/AJ156/12</f>
        <v/>
      </c>
      <c r="AY156" s="14">
        <f>AF156</f>
        <v/>
      </c>
      <c r="AZ156" s="39">
        <f>AX156-AF156</f>
        <v/>
      </c>
      <c r="BA156" s="14">
        <f>SUMIFS(Donnees_regimes!$S$3:$S$1118,Donnees_regimes!$A$3:$A$1118,C156,Donnees_regimes!$B$3:$B$1118,"&gt;="&amp;G156,Donnees_regimes!$B$3:$B$1118,"&lt;="&amp;N156)*L156/ROUNDUP(L156,0)*SUMIFS(Donnees_annuelles!$AH$3:$AH$188,Donnees_annuelles!$A$3:$A$188,AR156)*SUMIFS(Donnees_annuelles!$AA$3:$AA$188,Donnees_annuelles!$A$3:$A$188,AR156)</f>
        <v/>
      </c>
      <c r="BB156" s="39">
        <f>BA156-AL156</f>
        <v/>
      </c>
      <c r="BC156" s="7">
        <f>IF(M156+AJ156&gt;2026,IF(G156&gt;2026,"entièrement projeté","en partie projeté"),"observé")</f>
        <v/>
      </c>
    </row>
    <row r="157">
      <c r="A157" s="7" t="inlineStr">
        <is>
          <t>Génération Y</t>
        </is>
      </c>
      <c r="B157" s="84" t="inlineStr">
        <is>
          <t>Fonction publique d'État</t>
        </is>
      </c>
      <c r="C157" s="7">
        <f>IF(G157&gt;=SUMIFS(Regimes!$C$5:$C$10,Regimes!$A$5:$A$10,B157),"Privé",B157)</f>
        <v/>
      </c>
      <c r="D157" s="7">
        <f>INDEX(Regimes!$D$5:$D$10,MATCH(C157,Regimes!$A$5:$A$10,0))</f>
        <v/>
      </c>
      <c r="E157" s="88" t="n">
        <v>1984</v>
      </c>
      <c r="F157" s="8">
        <f>Donnees_generations!C72</f>
        <v/>
      </c>
      <c r="G157" s="77">
        <f>Donnees_generations!D72</f>
        <v/>
      </c>
      <c r="H157" s="8">
        <f>SUMIFS(Donnees_generations!$S$3:$S$113,Donnees_generations!$A$3:$A$113,MAX(1915,MIN(2025,E157)))</f>
        <v/>
      </c>
      <c r="I157" s="8">
        <f>SUMIFS(Donnees_generations!$T$3:$T$113,Donnees_generations!$A$3:$A$113,MAX(1915,MIN(2025,E157)))</f>
        <v/>
      </c>
      <c r="J157" s="8">
        <f>IF(G157&gt;=2000,MAX(I157,Parametres!$B$3),I157)</f>
        <v/>
      </c>
      <c r="K157" s="8">
        <f>IF(C157="Privé",J157,SUMIFS(Regles_regimes!$J$3:$J$2000,Regles_regimes!$A$3:$A$2000,C157,Regles_regimes!$B$3:$B$2000,D157,Regles_regimes!$C$3:$C$2000,MAX(1915,MIN(2025,E157))))</f>
        <v/>
      </c>
      <c r="L157" s="8">
        <f>IF(C157="Privé",H157,(K157-F157)*H157/(J157-F157))</f>
        <v/>
      </c>
      <c r="M157" s="77">
        <f>INT(E157+K157)</f>
        <v/>
      </c>
      <c r="N157" s="77">
        <f>G157+ROUNDUP(L157,0)-1</f>
        <v/>
      </c>
      <c r="O157" s="89">
        <f>SUMIFS(Regles_regimes!$K$3:$K$2000,Regles_regimes!$A$3:$A$2000,C157,Regles_regimes!$B$3:$B$2000,D157,Regles_regimes!$C$3:$C$2000,MAX(1915,MIN(2025,E157)))</f>
        <v/>
      </c>
      <c r="P157" s="13">
        <f>SUMIFS(Donnees_annuelles!$W$3:$W$188,Donnees_annuelles!$A$3:$A$188,"&gt;="&amp;G157,Donnees_annuelles!$A$3:$A$188,"&lt;="&amp;N157)*L157/ROUNDUP(L157,0)*O157</f>
        <v/>
      </c>
      <c r="Q157" s="13">
        <f>SUMIFS(Donnees_annuelles!$V$3:$V$188,Donnees_annuelles!$A$3:$A$188,"&gt;="&amp;G157,Donnees_annuelles!$A$3:$A$188,"&lt;="&amp;N157)*L157/ROUNDUP(L157,0)</f>
        <v/>
      </c>
      <c r="R157" s="13">
        <f>P157/L157</f>
        <v/>
      </c>
      <c r="S157" s="14">
        <f>SUMIFS(Donnees_annuelles!$D$3:$D$188,Donnees_annuelles!$A$3:$A$188,"&gt;="&amp;G157,Donnees_annuelles!$A$3:$A$188,"&lt;="&amp;N157)*L157/ROUNDUP(L157,0)</f>
        <v/>
      </c>
      <c r="T157" s="14">
        <f>SUMIFS(Donnees_regimes!$N$3:$N$1118,Donnees_regimes!$A$3:$A$1118,C157,Donnees_regimes!$B$3:$B$1118,"&gt;="&amp;G157,Donnees_regimes!$B$3:$B$1118,"&lt;="&amp;N157)*L157/ROUNDUP(L157,0)</f>
        <v/>
      </c>
      <c r="U157" s="14">
        <f>SUMIFS(Donnees_regimes!$O$3:$O$1118,Donnees_regimes!$A$3:$A$1118,C157,Donnees_regimes!$B$3:$B$1118,"&gt;="&amp;G157,Donnees_regimes!$B$3:$B$1118,"&lt;="&amp;N157)*L157/ROUNDUP(L157,0)</f>
        <v/>
      </c>
      <c r="V157" s="14">
        <f>T157+U157</f>
        <v/>
      </c>
      <c r="W157" s="33">
        <f>V157/S157</f>
        <v/>
      </c>
      <c r="X157" s="14">
        <f>S157+U157</f>
        <v/>
      </c>
      <c r="Y157" s="17">
        <f>V157/P157</f>
        <v/>
      </c>
      <c r="Z157" s="14">
        <f>SUMIFS(Donnees_regimes!$Q$3:$Q$1118,Donnees_regimes!$A$3:$A$1118,C157,Donnees_regimes!$B$3:$B$1118,"&gt;="&amp;G157,Donnees_regimes!$B$3:$B$1118,"&lt;="&amp;N157)*L157/ROUNDUP(L157,0)</f>
        <v/>
      </c>
      <c r="AA157" s="77">
        <f>SUMIFS(Regles_regimes!$F$3:$F$2000,Regles_regimes!$A$3:$A$2000,C157,Regles_regimes!$B$3:$B$2000,D157,Regles_regimes!$C$3:$C$2000,MAX(1915,MIN(2025,E157)))</f>
        <v/>
      </c>
      <c r="AB157" s="77">
        <f>IF(AND(SUMIFS(Regles_regimes!$L$3:$L$2000,Regles_regimes!$A$3:$A$2000,C157,Regles_regimes!$B$3:$B$2000,D157,Regles_regimes!$C$3:$C$2000,MAX(1915,MIN(2025,E157)))=1,G157&lt;2009,C157&lt;&gt;"Privé"),MIN(20,L157*4/5),0)</f>
        <v/>
      </c>
      <c r="AC157" s="89">
        <f>SUMIFS(Donnees_regimes!$M$3:$M$1118,Donnees_regimes!$A$3:$A$1118,C157,Donnees_regimes!$B$3:$B$1118,M157)</f>
        <v/>
      </c>
      <c r="AD157" s="14">
        <f>SUMIFS(Donnees_annuelles!$Y$3:$Y$188,Donnees_annuelles!$A$3:$A$188,M157)*SUMIFS(Donnees_generations!$I$3:$I$113,Donnees_generations!$A$3:$A$113,MAX(1915,MIN(2025,E157)))/H157</f>
        <v/>
      </c>
      <c r="AE157" s="14">
        <f>IF(C157="Privé",SUMIFS(Donnees_annuelles!$Y$3:$Y$188,Donnees_annuelles!$A$3:$A$188,M157)*MIN(L157,SUMIFS(Donnees_generations!$I$3:$I$113,Donnees_generations!$A$3:$A$113,MAX(1915,MIN(2025,E157))))/L157,AD157*AC157*MIN(IF(AB157&gt;0,0.8/0.75,1),(L157*4+AB157)/AA157))</f>
        <v/>
      </c>
      <c r="AF157" s="14">
        <f>AE157/12</f>
        <v/>
      </c>
      <c r="AG157" s="77">
        <f>MIN(68,MAX(56,2*INT(K157/2)))</f>
        <v/>
      </c>
      <c r="AH157" s="75">
        <f>(CHOOSE((AG157-56)/2+1,SUMIFS(Donnees_generations!$U$3:$U$113,Donnees_generations!$A$3:$A$113,MAX(1915,MIN(2025,E157))),SUMIFS(Donnees_generations!$V$3:$V$113,Donnees_generations!$A$3:$A$113,MAX(1915,MIN(2025,E157))),SUMIFS(Donnees_generations!$W$3:$W$113,Donnees_generations!$A$3:$A$113,MAX(1915,MIN(2025,E157))),SUMIFS(Donnees_generations!$X$3:$X$113,Donnees_generations!$A$3:$A$113,MAX(1915,MIN(2025,E157))),SUMIFS(Donnees_generations!$Y$3:$Y$113,Donnees_generations!$A$3:$A$113,MAX(1915,MIN(2025,E157))),SUMIFS(Donnees_generations!$Z$3:$Z$113,Donnees_generations!$A$3:$A$113,MAX(1915,MIN(2025,E157))),SUMIFS(Donnees_generations!$AA$3:$AA$113,Donnees_generations!$A$3:$A$113,MAX(1915,MIN(2025,E157))),SUMIFS(Donnees_generations!$AB$3:$AB$113,Donnees_generations!$A$3:$A$113,MAX(1915,MIN(2025,E157))))+CHOOSE((AG157-56)/2+1,SUMIFS(Donnees_generations!$AC$3:$AC$113,Donnees_generations!$A$3:$A$113,MAX(1915,MIN(2025,E157))),SUMIFS(Donnees_generations!$AD$3:$AD$113,Donnees_generations!$A$3:$A$113,MAX(1915,MIN(2025,E157))),SUMIFS(Donnees_generations!$AE$3:$AE$113,Donnees_generations!$A$3:$A$113,MAX(1915,MIN(2025,E157))),SUMIFS(Donnees_generations!$AF$3:$AF$113,Donnees_generations!$A$3:$A$113,MAX(1915,MIN(2025,E157))),SUMIFS(Donnees_generations!$AG$3:$AG$113,Donnees_generations!$A$3:$A$113,MAX(1915,MIN(2025,E157))),SUMIFS(Donnees_generations!$AH$3:$AH$113,Donnees_generations!$A$3:$A$113,MAX(1915,MIN(2025,E157))),SUMIFS(Donnees_generations!$AI$3:$AI$113,Donnees_generations!$A$3:$A$113,MAX(1915,MIN(2025,E157))),SUMIFS(Donnees_generations!$AJ$3:$AJ$113,Donnees_generations!$A$3:$A$113,MAX(1915,MIN(2025,E157)))))/2</f>
        <v/>
      </c>
      <c r="AI157" s="75">
        <f>(CHOOSE(((AG157+2)-56)/2+1,SUMIFS(Donnees_generations!$U$3:$U$113,Donnees_generations!$A$3:$A$113,MAX(1915,MIN(2025,E157))),SUMIFS(Donnees_generations!$V$3:$V$113,Donnees_generations!$A$3:$A$113,MAX(1915,MIN(2025,E157))),SUMIFS(Donnees_generations!$W$3:$W$113,Donnees_generations!$A$3:$A$113,MAX(1915,MIN(2025,E157))),SUMIFS(Donnees_generations!$X$3:$X$113,Donnees_generations!$A$3:$A$113,MAX(1915,MIN(2025,E157))),SUMIFS(Donnees_generations!$Y$3:$Y$113,Donnees_generations!$A$3:$A$113,MAX(1915,MIN(2025,E157))),SUMIFS(Donnees_generations!$Z$3:$Z$113,Donnees_generations!$A$3:$A$113,MAX(1915,MIN(2025,E157))),SUMIFS(Donnees_generations!$AA$3:$AA$113,Donnees_generations!$A$3:$A$113,MAX(1915,MIN(2025,E157))),SUMIFS(Donnees_generations!$AB$3:$AB$113,Donnees_generations!$A$3:$A$113,MAX(1915,MIN(2025,E157))))+CHOOSE(((AG157+2)-56)/2+1,SUMIFS(Donnees_generations!$AC$3:$AC$113,Donnees_generations!$A$3:$A$113,MAX(1915,MIN(2025,E157))),SUMIFS(Donnees_generations!$AD$3:$AD$113,Donnees_generations!$A$3:$A$113,MAX(1915,MIN(2025,E157))),SUMIFS(Donnees_generations!$AE$3:$AE$113,Donnees_generations!$A$3:$A$113,MAX(1915,MIN(2025,E157))),SUMIFS(Donnees_generations!$AF$3:$AF$113,Donnees_generations!$A$3:$A$113,MAX(1915,MIN(2025,E157))),SUMIFS(Donnees_generations!$AG$3:$AG$113,Donnees_generations!$A$3:$A$113,MAX(1915,MIN(2025,E157))),SUMIFS(Donnees_generations!$AH$3:$AH$113,Donnees_generations!$A$3:$A$113,MAX(1915,MIN(2025,E157))),SUMIFS(Donnees_generations!$AI$3:$AI$113,Donnees_generations!$A$3:$A$113,MAX(1915,MIN(2025,E157))),SUMIFS(Donnees_generations!$AJ$3:$AJ$113,Donnees_generations!$A$3:$A$113,MAX(1915,MIN(2025,E157)))))/2</f>
        <v/>
      </c>
      <c r="AJ157" s="8">
        <f>MAX(0,AH157+(AI157-AH157)*(K157-AG157)/2)</f>
        <v/>
      </c>
      <c r="AK157" s="8">
        <f>K157+AJ157</f>
        <v/>
      </c>
      <c r="AL157" s="14">
        <f>AE157*AJ157</f>
        <v/>
      </c>
      <c r="AM157" s="17">
        <f>V157/AL157</f>
        <v/>
      </c>
      <c r="AN157" s="17">
        <f>Z157/AL157</f>
        <v/>
      </c>
      <c r="AO157" s="33">
        <f>IF(V157+Z157=0,0,Z157/(V157+Z157))</f>
        <v/>
      </c>
      <c r="AP157" s="14">
        <f>AL157/V157*100</f>
        <v/>
      </c>
      <c r="AQ157" s="8">
        <f>P157/AL157*1000</f>
        <v/>
      </c>
      <c r="AR157" s="77">
        <f>MAX(N157,M157-1)</f>
        <v/>
      </c>
      <c r="AS157" s="14">
        <f>SUMIFS(Donnees_regimes!$R$3:$R$1118,Donnees_regimes!$A$3:$A$1118,C157,Donnees_regimes!$B$3:$B$1118,"&gt;="&amp;G157,Donnees_regimes!$B$3:$B$1118,"&lt;="&amp;N157)*L157/ROUNDUP(L157,0)*SUMIFS(Donnees_annuelles!$AG$3:$AG$188,Donnees_annuelles!$A$3:$A$188,AR157)*SUMIFS(Donnees_annuelles!$AA$3:$AA$188,Donnees_annuelles!$A$3:$A$188,AR157)</f>
        <v/>
      </c>
      <c r="AT157" s="36">
        <f>AS157/V157</f>
        <v/>
      </c>
      <c r="AU157" s="14">
        <f>AL157</f>
        <v/>
      </c>
      <c r="AV157" s="39">
        <f>AS157-AL157</f>
        <v/>
      </c>
      <c r="AW157" s="9">
        <f>AS157/AL157-1</f>
        <v/>
      </c>
      <c r="AX157" s="14">
        <f>AS157/AJ157/12</f>
        <v/>
      </c>
      <c r="AY157" s="14">
        <f>AF157</f>
        <v/>
      </c>
      <c r="AZ157" s="39">
        <f>AX157-AF157</f>
        <v/>
      </c>
      <c r="BA157" s="14">
        <f>SUMIFS(Donnees_regimes!$S$3:$S$1118,Donnees_regimes!$A$3:$A$1118,C157,Donnees_regimes!$B$3:$B$1118,"&gt;="&amp;G157,Donnees_regimes!$B$3:$B$1118,"&lt;="&amp;N157)*L157/ROUNDUP(L157,0)*SUMIFS(Donnees_annuelles!$AH$3:$AH$188,Donnees_annuelles!$A$3:$A$188,AR157)*SUMIFS(Donnees_annuelles!$AA$3:$AA$188,Donnees_annuelles!$A$3:$A$188,AR157)</f>
        <v/>
      </c>
      <c r="BB157" s="39">
        <f>BA157-AL157</f>
        <v/>
      </c>
      <c r="BC157" s="7">
        <f>IF(M157+AJ157&gt;2026,IF(G157&gt;2026,"entièrement projeté","en partie projeté"),"observé")</f>
        <v/>
      </c>
    </row>
    <row r="158">
      <c r="A158" s="7" t="inlineStr">
        <is>
          <t>Génération Y</t>
        </is>
      </c>
      <c r="B158" s="84" t="inlineStr">
        <is>
          <t>Fonction publique d'État</t>
        </is>
      </c>
      <c r="C158" s="7">
        <f>IF(G158&gt;=SUMIFS(Regimes!$C$5:$C$10,Regimes!$A$5:$A$10,B158),"Privé",B158)</f>
        <v/>
      </c>
      <c r="D158" s="7">
        <f>INDEX(Regimes!$D$5:$D$10,MATCH(C158,Regimes!$A$5:$A$10,0))</f>
        <v/>
      </c>
      <c r="E158" s="88" t="n">
        <v>1985</v>
      </c>
      <c r="F158" s="8">
        <f>Donnees_generations!C73</f>
        <v/>
      </c>
      <c r="G158" s="77">
        <f>Donnees_generations!D73</f>
        <v/>
      </c>
      <c r="H158" s="8">
        <f>SUMIFS(Donnees_generations!$S$3:$S$113,Donnees_generations!$A$3:$A$113,MAX(1915,MIN(2025,E158)))</f>
        <v/>
      </c>
      <c r="I158" s="8">
        <f>SUMIFS(Donnees_generations!$T$3:$T$113,Donnees_generations!$A$3:$A$113,MAX(1915,MIN(2025,E158)))</f>
        <v/>
      </c>
      <c r="J158" s="8">
        <f>IF(G158&gt;=2000,MAX(I158,Parametres!$B$3),I158)</f>
        <v/>
      </c>
      <c r="K158" s="8">
        <f>IF(C158="Privé",J158,SUMIFS(Regles_regimes!$J$3:$J$2000,Regles_regimes!$A$3:$A$2000,C158,Regles_regimes!$B$3:$B$2000,D158,Regles_regimes!$C$3:$C$2000,MAX(1915,MIN(2025,E158))))</f>
        <v/>
      </c>
      <c r="L158" s="8">
        <f>IF(C158="Privé",H158,(K158-F158)*H158/(J158-F158))</f>
        <v/>
      </c>
      <c r="M158" s="77">
        <f>INT(E158+K158)</f>
        <v/>
      </c>
      <c r="N158" s="77">
        <f>G158+ROUNDUP(L158,0)-1</f>
        <v/>
      </c>
      <c r="O158" s="89">
        <f>SUMIFS(Regles_regimes!$K$3:$K$2000,Regles_regimes!$A$3:$A$2000,C158,Regles_regimes!$B$3:$B$2000,D158,Regles_regimes!$C$3:$C$2000,MAX(1915,MIN(2025,E158)))</f>
        <v/>
      </c>
      <c r="P158" s="13">
        <f>SUMIFS(Donnees_annuelles!$W$3:$W$188,Donnees_annuelles!$A$3:$A$188,"&gt;="&amp;G158,Donnees_annuelles!$A$3:$A$188,"&lt;="&amp;N158)*L158/ROUNDUP(L158,0)*O158</f>
        <v/>
      </c>
      <c r="Q158" s="13">
        <f>SUMIFS(Donnees_annuelles!$V$3:$V$188,Donnees_annuelles!$A$3:$A$188,"&gt;="&amp;G158,Donnees_annuelles!$A$3:$A$188,"&lt;="&amp;N158)*L158/ROUNDUP(L158,0)</f>
        <v/>
      </c>
      <c r="R158" s="13">
        <f>P158/L158</f>
        <v/>
      </c>
      <c r="S158" s="14">
        <f>SUMIFS(Donnees_annuelles!$D$3:$D$188,Donnees_annuelles!$A$3:$A$188,"&gt;="&amp;G158,Donnees_annuelles!$A$3:$A$188,"&lt;="&amp;N158)*L158/ROUNDUP(L158,0)</f>
        <v/>
      </c>
      <c r="T158" s="14">
        <f>SUMIFS(Donnees_regimes!$N$3:$N$1118,Donnees_regimes!$A$3:$A$1118,C158,Donnees_regimes!$B$3:$B$1118,"&gt;="&amp;G158,Donnees_regimes!$B$3:$B$1118,"&lt;="&amp;N158)*L158/ROUNDUP(L158,0)</f>
        <v/>
      </c>
      <c r="U158" s="14">
        <f>SUMIFS(Donnees_regimes!$O$3:$O$1118,Donnees_regimes!$A$3:$A$1118,C158,Donnees_regimes!$B$3:$B$1118,"&gt;="&amp;G158,Donnees_regimes!$B$3:$B$1118,"&lt;="&amp;N158)*L158/ROUNDUP(L158,0)</f>
        <v/>
      </c>
      <c r="V158" s="14">
        <f>T158+U158</f>
        <v/>
      </c>
      <c r="W158" s="33">
        <f>V158/S158</f>
        <v/>
      </c>
      <c r="X158" s="14">
        <f>S158+U158</f>
        <v/>
      </c>
      <c r="Y158" s="17">
        <f>V158/P158</f>
        <v/>
      </c>
      <c r="Z158" s="14">
        <f>SUMIFS(Donnees_regimes!$Q$3:$Q$1118,Donnees_regimes!$A$3:$A$1118,C158,Donnees_regimes!$B$3:$B$1118,"&gt;="&amp;G158,Donnees_regimes!$B$3:$B$1118,"&lt;="&amp;N158)*L158/ROUNDUP(L158,0)</f>
        <v/>
      </c>
      <c r="AA158" s="77">
        <f>SUMIFS(Regles_regimes!$F$3:$F$2000,Regles_regimes!$A$3:$A$2000,C158,Regles_regimes!$B$3:$B$2000,D158,Regles_regimes!$C$3:$C$2000,MAX(1915,MIN(2025,E158)))</f>
        <v/>
      </c>
      <c r="AB158" s="77">
        <f>IF(AND(SUMIFS(Regles_regimes!$L$3:$L$2000,Regles_regimes!$A$3:$A$2000,C158,Regles_regimes!$B$3:$B$2000,D158,Regles_regimes!$C$3:$C$2000,MAX(1915,MIN(2025,E158)))=1,G158&lt;2009,C158&lt;&gt;"Privé"),MIN(20,L158*4/5),0)</f>
        <v/>
      </c>
      <c r="AC158" s="89">
        <f>SUMIFS(Donnees_regimes!$M$3:$M$1118,Donnees_regimes!$A$3:$A$1118,C158,Donnees_regimes!$B$3:$B$1118,M158)</f>
        <v/>
      </c>
      <c r="AD158" s="14">
        <f>SUMIFS(Donnees_annuelles!$Y$3:$Y$188,Donnees_annuelles!$A$3:$A$188,M158)*SUMIFS(Donnees_generations!$I$3:$I$113,Donnees_generations!$A$3:$A$113,MAX(1915,MIN(2025,E158)))/H158</f>
        <v/>
      </c>
      <c r="AE158" s="14">
        <f>IF(C158="Privé",SUMIFS(Donnees_annuelles!$Y$3:$Y$188,Donnees_annuelles!$A$3:$A$188,M158)*MIN(L158,SUMIFS(Donnees_generations!$I$3:$I$113,Donnees_generations!$A$3:$A$113,MAX(1915,MIN(2025,E158))))/L158,AD158*AC158*MIN(IF(AB158&gt;0,0.8/0.75,1),(L158*4+AB158)/AA158))</f>
        <v/>
      </c>
      <c r="AF158" s="14">
        <f>AE158/12</f>
        <v/>
      </c>
      <c r="AG158" s="77">
        <f>MIN(68,MAX(56,2*INT(K158/2)))</f>
        <v/>
      </c>
      <c r="AH158" s="75">
        <f>(CHOOSE((AG158-56)/2+1,SUMIFS(Donnees_generations!$U$3:$U$113,Donnees_generations!$A$3:$A$113,MAX(1915,MIN(2025,E158))),SUMIFS(Donnees_generations!$V$3:$V$113,Donnees_generations!$A$3:$A$113,MAX(1915,MIN(2025,E158))),SUMIFS(Donnees_generations!$W$3:$W$113,Donnees_generations!$A$3:$A$113,MAX(1915,MIN(2025,E158))),SUMIFS(Donnees_generations!$X$3:$X$113,Donnees_generations!$A$3:$A$113,MAX(1915,MIN(2025,E158))),SUMIFS(Donnees_generations!$Y$3:$Y$113,Donnees_generations!$A$3:$A$113,MAX(1915,MIN(2025,E158))),SUMIFS(Donnees_generations!$Z$3:$Z$113,Donnees_generations!$A$3:$A$113,MAX(1915,MIN(2025,E158))),SUMIFS(Donnees_generations!$AA$3:$AA$113,Donnees_generations!$A$3:$A$113,MAX(1915,MIN(2025,E158))),SUMIFS(Donnees_generations!$AB$3:$AB$113,Donnees_generations!$A$3:$A$113,MAX(1915,MIN(2025,E158))))+CHOOSE((AG158-56)/2+1,SUMIFS(Donnees_generations!$AC$3:$AC$113,Donnees_generations!$A$3:$A$113,MAX(1915,MIN(2025,E158))),SUMIFS(Donnees_generations!$AD$3:$AD$113,Donnees_generations!$A$3:$A$113,MAX(1915,MIN(2025,E158))),SUMIFS(Donnees_generations!$AE$3:$AE$113,Donnees_generations!$A$3:$A$113,MAX(1915,MIN(2025,E158))),SUMIFS(Donnees_generations!$AF$3:$AF$113,Donnees_generations!$A$3:$A$113,MAX(1915,MIN(2025,E158))),SUMIFS(Donnees_generations!$AG$3:$AG$113,Donnees_generations!$A$3:$A$113,MAX(1915,MIN(2025,E158))),SUMIFS(Donnees_generations!$AH$3:$AH$113,Donnees_generations!$A$3:$A$113,MAX(1915,MIN(2025,E158))),SUMIFS(Donnees_generations!$AI$3:$AI$113,Donnees_generations!$A$3:$A$113,MAX(1915,MIN(2025,E158))),SUMIFS(Donnees_generations!$AJ$3:$AJ$113,Donnees_generations!$A$3:$A$113,MAX(1915,MIN(2025,E158)))))/2</f>
        <v/>
      </c>
      <c r="AI158" s="75">
        <f>(CHOOSE(((AG158+2)-56)/2+1,SUMIFS(Donnees_generations!$U$3:$U$113,Donnees_generations!$A$3:$A$113,MAX(1915,MIN(2025,E158))),SUMIFS(Donnees_generations!$V$3:$V$113,Donnees_generations!$A$3:$A$113,MAX(1915,MIN(2025,E158))),SUMIFS(Donnees_generations!$W$3:$W$113,Donnees_generations!$A$3:$A$113,MAX(1915,MIN(2025,E158))),SUMIFS(Donnees_generations!$X$3:$X$113,Donnees_generations!$A$3:$A$113,MAX(1915,MIN(2025,E158))),SUMIFS(Donnees_generations!$Y$3:$Y$113,Donnees_generations!$A$3:$A$113,MAX(1915,MIN(2025,E158))),SUMIFS(Donnees_generations!$Z$3:$Z$113,Donnees_generations!$A$3:$A$113,MAX(1915,MIN(2025,E158))),SUMIFS(Donnees_generations!$AA$3:$AA$113,Donnees_generations!$A$3:$A$113,MAX(1915,MIN(2025,E158))),SUMIFS(Donnees_generations!$AB$3:$AB$113,Donnees_generations!$A$3:$A$113,MAX(1915,MIN(2025,E158))))+CHOOSE(((AG158+2)-56)/2+1,SUMIFS(Donnees_generations!$AC$3:$AC$113,Donnees_generations!$A$3:$A$113,MAX(1915,MIN(2025,E158))),SUMIFS(Donnees_generations!$AD$3:$AD$113,Donnees_generations!$A$3:$A$113,MAX(1915,MIN(2025,E158))),SUMIFS(Donnees_generations!$AE$3:$AE$113,Donnees_generations!$A$3:$A$113,MAX(1915,MIN(2025,E158))),SUMIFS(Donnees_generations!$AF$3:$AF$113,Donnees_generations!$A$3:$A$113,MAX(1915,MIN(2025,E158))),SUMIFS(Donnees_generations!$AG$3:$AG$113,Donnees_generations!$A$3:$A$113,MAX(1915,MIN(2025,E158))),SUMIFS(Donnees_generations!$AH$3:$AH$113,Donnees_generations!$A$3:$A$113,MAX(1915,MIN(2025,E158))),SUMIFS(Donnees_generations!$AI$3:$AI$113,Donnees_generations!$A$3:$A$113,MAX(1915,MIN(2025,E158))),SUMIFS(Donnees_generations!$AJ$3:$AJ$113,Donnees_generations!$A$3:$A$113,MAX(1915,MIN(2025,E158)))))/2</f>
        <v/>
      </c>
      <c r="AJ158" s="8">
        <f>MAX(0,AH158+(AI158-AH158)*(K158-AG158)/2)</f>
        <v/>
      </c>
      <c r="AK158" s="8">
        <f>K158+AJ158</f>
        <v/>
      </c>
      <c r="AL158" s="14">
        <f>AE158*AJ158</f>
        <v/>
      </c>
      <c r="AM158" s="17">
        <f>V158/AL158</f>
        <v/>
      </c>
      <c r="AN158" s="17">
        <f>Z158/AL158</f>
        <v/>
      </c>
      <c r="AO158" s="33">
        <f>IF(V158+Z158=0,0,Z158/(V158+Z158))</f>
        <v/>
      </c>
      <c r="AP158" s="14">
        <f>AL158/V158*100</f>
        <v/>
      </c>
      <c r="AQ158" s="8">
        <f>P158/AL158*1000</f>
        <v/>
      </c>
      <c r="AR158" s="77">
        <f>MAX(N158,M158-1)</f>
        <v/>
      </c>
      <c r="AS158" s="14">
        <f>SUMIFS(Donnees_regimes!$R$3:$R$1118,Donnees_regimes!$A$3:$A$1118,C158,Donnees_regimes!$B$3:$B$1118,"&gt;="&amp;G158,Donnees_regimes!$B$3:$B$1118,"&lt;="&amp;N158)*L158/ROUNDUP(L158,0)*SUMIFS(Donnees_annuelles!$AG$3:$AG$188,Donnees_annuelles!$A$3:$A$188,AR158)*SUMIFS(Donnees_annuelles!$AA$3:$AA$188,Donnees_annuelles!$A$3:$A$188,AR158)</f>
        <v/>
      </c>
      <c r="AT158" s="36">
        <f>AS158/V158</f>
        <v/>
      </c>
      <c r="AU158" s="14">
        <f>AL158</f>
        <v/>
      </c>
      <c r="AV158" s="39">
        <f>AS158-AL158</f>
        <v/>
      </c>
      <c r="AW158" s="9">
        <f>AS158/AL158-1</f>
        <v/>
      </c>
      <c r="AX158" s="14">
        <f>AS158/AJ158/12</f>
        <v/>
      </c>
      <c r="AY158" s="14">
        <f>AF158</f>
        <v/>
      </c>
      <c r="AZ158" s="39">
        <f>AX158-AF158</f>
        <v/>
      </c>
      <c r="BA158" s="14">
        <f>SUMIFS(Donnees_regimes!$S$3:$S$1118,Donnees_regimes!$A$3:$A$1118,C158,Donnees_regimes!$B$3:$B$1118,"&gt;="&amp;G158,Donnees_regimes!$B$3:$B$1118,"&lt;="&amp;N158)*L158/ROUNDUP(L158,0)*SUMIFS(Donnees_annuelles!$AH$3:$AH$188,Donnees_annuelles!$A$3:$A$188,AR158)*SUMIFS(Donnees_annuelles!$AA$3:$AA$188,Donnees_annuelles!$A$3:$A$188,AR158)</f>
        <v/>
      </c>
      <c r="BB158" s="39">
        <f>BA158-AL158</f>
        <v/>
      </c>
      <c r="BC158" s="7">
        <f>IF(M158+AJ158&gt;2026,IF(G158&gt;2026,"entièrement projeté","en partie projeté"),"observé")</f>
        <v/>
      </c>
    </row>
    <row r="159">
      <c r="A159" s="7" t="inlineStr">
        <is>
          <t>Génération Y</t>
        </is>
      </c>
      <c r="B159" s="84" t="inlineStr">
        <is>
          <t>Fonction publique d'État</t>
        </is>
      </c>
      <c r="C159" s="7">
        <f>IF(G159&gt;=SUMIFS(Regimes!$C$5:$C$10,Regimes!$A$5:$A$10,B159),"Privé",B159)</f>
        <v/>
      </c>
      <c r="D159" s="7">
        <f>INDEX(Regimes!$D$5:$D$10,MATCH(C159,Regimes!$A$5:$A$10,0))</f>
        <v/>
      </c>
      <c r="E159" s="88" t="n">
        <v>1986</v>
      </c>
      <c r="F159" s="8">
        <f>Donnees_generations!C74</f>
        <v/>
      </c>
      <c r="G159" s="77">
        <f>Donnees_generations!D74</f>
        <v/>
      </c>
      <c r="H159" s="8">
        <f>SUMIFS(Donnees_generations!$S$3:$S$113,Donnees_generations!$A$3:$A$113,MAX(1915,MIN(2025,E159)))</f>
        <v/>
      </c>
      <c r="I159" s="8">
        <f>SUMIFS(Donnees_generations!$T$3:$T$113,Donnees_generations!$A$3:$A$113,MAX(1915,MIN(2025,E159)))</f>
        <v/>
      </c>
      <c r="J159" s="8">
        <f>IF(G159&gt;=2000,MAX(I159,Parametres!$B$3),I159)</f>
        <v/>
      </c>
      <c r="K159" s="8">
        <f>IF(C159="Privé",J159,SUMIFS(Regles_regimes!$J$3:$J$2000,Regles_regimes!$A$3:$A$2000,C159,Regles_regimes!$B$3:$B$2000,D159,Regles_regimes!$C$3:$C$2000,MAX(1915,MIN(2025,E159))))</f>
        <v/>
      </c>
      <c r="L159" s="8">
        <f>IF(C159="Privé",H159,(K159-F159)*H159/(J159-F159))</f>
        <v/>
      </c>
      <c r="M159" s="77">
        <f>INT(E159+K159)</f>
        <v/>
      </c>
      <c r="N159" s="77">
        <f>G159+ROUNDUP(L159,0)-1</f>
        <v/>
      </c>
      <c r="O159" s="89">
        <f>SUMIFS(Regles_regimes!$K$3:$K$2000,Regles_regimes!$A$3:$A$2000,C159,Regles_regimes!$B$3:$B$2000,D159,Regles_regimes!$C$3:$C$2000,MAX(1915,MIN(2025,E159)))</f>
        <v/>
      </c>
      <c r="P159" s="13">
        <f>SUMIFS(Donnees_annuelles!$W$3:$W$188,Donnees_annuelles!$A$3:$A$188,"&gt;="&amp;G159,Donnees_annuelles!$A$3:$A$188,"&lt;="&amp;N159)*L159/ROUNDUP(L159,0)*O159</f>
        <v/>
      </c>
      <c r="Q159" s="13">
        <f>SUMIFS(Donnees_annuelles!$V$3:$V$188,Donnees_annuelles!$A$3:$A$188,"&gt;="&amp;G159,Donnees_annuelles!$A$3:$A$188,"&lt;="&amp;N159)*L159/ROUNDUP(L159,0)</f>
        <v/>
      </c>
      <c r="R159" s="13">
        <f>P159/L159</f>
        <v/>
      </c>
      <c r="S159" s="14">
        <f>SUMIFS(Donnees_annuelles!$D$3:$D$188,Donnees_annuelles!$A$3:$A$188,"&gt;="&amp;G159,Donnees_annuelles!$A$3:$A$188,"&lt;="&amp;N159)*L159/ROUNDUP(L159,0)</f>
        <v/>
      </c>
      <c r="T159" s="14">
        <f>SUMIFS(Donnees_regimes!$N$3:$N$1118,Donnees_regimes!$A$3:$A$1118,C159,Donnees_regimes!$B$3:$B$1118,"&gt;="&amp;G159,Donnees_regimes!$B$3:$B$1118,"&lt;="&amp;N159)*L159/ROUNDUP(L159,0)</f>
        <v/>
      </c>
      <c r="U159" s="14">
        <f>SUMIFS(Donnees_regimes!$O$3:$O$1118,Donnees_regimes!$A$3:$A$1118,C159,Donnees_regimes!$B$3:$B$1118,"&gt;="&amp;G159,Donnees_regimes!$B$3:$B$1118,"&lt;="&amp;N159)*L159/ROUNDUP(L159,0)</f>
        <v/>
      </c>
      <c r="V159" s="14">
        <f>T159+U159</f>
        <v/>
      </c>
      <c r="W159" s="33">
        <f>V159/S159</f>
        <v/>
      </c>
      <c r="X159" s="14">
        <f>S159+U159</f>
        <v/>
      </c>
      <c r="Y159" s="17">
        <f>V159/P159</f>
        <v/>
      </c>
      <c r="Z159" s="14">
        <f>SUMIFS(Donnees_regimes!$Q$3:$Q$1118,Donnees_regimes!$A$3:$A$1118,C159,Donnees_regimes!$B$3:$B$1118,"&gt;="&amp;G159,Donnees_regimes!$B$3:$B$1118,"&lt;="&amp;N159)*L159/ROUNDUP(L159,0)</f>
        <v/>
      </c>
      <c r="AA159" s="77">
        <f>SUMIFS(Regles_regimes!$F$3:$F$2000,Regles_regimes!$A$3:$A$2000,C159,Regles_regimes!$B$3:$B$2000,D159,Regles_regimes!$C$3:$C$2000,MAX(1915,MIN(2025,E159)))</f>
        <v/>
      </c>
      <c r="AB159" s="77">
        <f>IF(AND(SUMIFS(Regles_regimes!$L$3:$L$2000,Regles_regimes!$A$3:$A$2000,C159,Regles_regimes!$B$3:$B$2000,D159,Regles_regimes!$C$3:$C$2000,MAX(1915,MIN(2025,E159)))=1,G159&lt;2009,C159&lt;&gt;"Privé"),MIN(20,L159*4/5),0)</f>
        <v/>
      </c>
      <c r="AC159" s="89">
        <f>SUMIFS(Donnees_regimes!$M$3:$M$1118,Donnees_regimes!$A$3:$A$1118,C159,Donnees_regimes!$B$3:$B$1118,M159)</f>
        <v/>
      </c>
      <c r="AD159" s="14">
        <f>SUMIFS(Donnees_annuelles!$Y$3:$Y$188,Donnees_annuelles!$A$3:$A$188,M159)*SUMIFS(Donnees_generations!$I$3:$I$113,Donnees_generations!$A$3:$A$113,MAX(1915,MIN(2025,E159)))/H159</f>
        <v/>
      </c>
      <c r="AE159" s="14">
        <f>IF(C159="Privé",SUMIFS(Donnees_annuelles!$Y$3:$Y$188,Donnees_annuelles!$A$3:$A$188,M159)*MIN(L159,SUMIFS(Donnees_generations!$I$3:$I$113,Donnees_generations!$A$3:$A$113,MAX(1915,MIN(2025,E159))))/L159,AD159*AC159*MIN(IF(AB159&gt;0,0.8/0.75,1),(L159*4+AB159)/AA159))</f>
        <v/>
      </c>
      <c r="AF159" s="14">
        <f>AE159/12</f>
        <v/>
      </c>
      <c r="AG159" s="77">
        <f>MIN(68,MAX(56,2*INT(K159/2)))</f>
        <v/>
      </c>
      <c r="AH159" s="75">
        <f>(CHOOSE((AG159-56)/2+1,SUMIFS(Donnees_generations!$U$3:$U$113,Donnees_generations!$A$3:$A$113,MAX(1915,MIN(2025,E159))),SUMIFS(Donnees_generations!$V$3:$V$113,Donnees_generations!$A$3:$A$113,MAX(1915,MIN(2025,E159))),SUMIFS(Donnees_generations!$W$3:$W$113,Donnees_generations!$A$3:$A$113,MAX(1915,MIN(2025,E159))),SUMIFS(Donnees_generations!$X$3:$X$113,Donnees_generations!$A$3:$A$113,MAX(1915,MIN(2025,E159))),SUMIFS(Donnees_generations!$Y$3:$Y$113,Donnees_generations!$A$3:$A$113,MAX(1915,MIN(2025,E159))),SUMIFS(Donnees_generations!$Z$3:$Z$113,Donnees_generations!$A$3:$A$113,MAX(1915,MIN(2025,E159))),SUMIFS(Donnees_generations!$AA$3:$AA$113,Donnees_generations!$A$3:$A$113,MAX(1915,MIN(2025,E159))),SUMIFS(Donnees_generations!$AB$3:$AB$113,Donnees_generations!$A$3:$A$113,MAX(1915,MIN(2025,E159))))+CHOOSE((AG159-56)/2+1,SUMIFS(Donnees_generations!$AC$3:$AC$113,Donnees_generations!$A$3:$A$113,MAX(1915,MIN(2025,E159))),SUMIFS(Donnees_generations!$AD$3:$AD$113,Donnees_generations!$A$3:$A$113,MAX(1915,MIN(2025,E159))),SUMIFS(Donnees_generations!$AE$3:$AE$113,Donnees_generations!$A$3:$A$113,MAX(1915,MIN(2025,E159))),SUMIFS(Donnees_generations!$AF$3:$AF$113,Donnees_generations!$A$3:$A$113,MAX(1915,MIN(2025,E159))),SUMIFS(Donnees_generations!$AG$3:$AG$113,Donnees_generations!$A$3:$A$113,MAX(1915,MIN(2025,E159))),SUMIFS(Donnees_generations!$AH$3:$AH$113,Donnees_generations!$A$3:$A$113,MAX(1915,MIN(2025,E159))),SUMIFS(Donnees_generations!$AI$3:$AI$113,Donnees_generations!$A$3:$A$113,MAX(1915,MIN(2025,E159))),SUMIFS(Donnees_generations!$AJ$3:$AJ$113,Donnees_generations!$A$3:$A$113,MAX(1915,MIN(2025,E159)))))/2</f>
        <v/>
      </c>
      <c r="AI159" s="75">
        <f>(CHOOSE(((AG159+2)-56)/2+1,SUMIFS(Donnees_generations!$U$3:$U$113,Donnees_generations!$A$3:$A$113,MAX(1915,MIN(2025,E159))),SUMIFS(Donnees_generations!$V$3:$V$113,Donnees_generations!$A$3:$A$113,MAX(1915,MIN(2025,E159))),SUMIFS(Donnees_generations!$W$3:$W$113,Donnees_generations!$A$3:$A$113,MAX(1915,MIN(2025,E159))),SUMIFS(Donnees_generations!$X$3:$X$113,Donnees_generations!$A$3:$A$113,MAX(1915,MIN(2025,E159))),SUMIFS(Donnees_generations!$Y$3:$Y$113,Donnees_generations!$A$3:$A$113,MAX(1915,MIN(2025,E159))),SUMIFS(Donnees_generations!$Z$3:$Z$113,Donnees_generations!$A$3:$A$113,MAX(1915,MIN(2025,E159))),SUMIFS(Donnees_generations!$AA$3:$AA$113,Donnees_generations!$A$3:$A$113,MAX(1915,MIN(2025,E159))),SUMIFS(Donnees_generations!$AB$3:$AB$113,Donnees_generations!$A$3:$A$113,MAX(1915,MIN(2025,E159))))+CHOOSE(((AG159+2)-56)/2+1,SUMIFS(Donnees_generations!$AC$3:$AC$113,Donnees_generations!$A$3:$A$113,MAX(1915,MIN(2025,E159))),SUMIFS(Donnees_generations!$AD$3:$AD$113,Donnees_generations!$A$3:$A$113,MAX(1915,MIN(2025,E159))),SUMIFS(Donnees_generations!$AE$3:$AE$113,Donnees_generations!$A$3:$A$113,MAX(1915,MIN(2025,E159))),SUMIFS(Donnees_generations!$AF$3:$AF$113,Donnees_generations!$A$3:$A$113,MAX(1915,MIN(2025,E159))),SUMIFS(Donnees_generations!$AG$3:$AG$113,Donnees_generations!$A$3:$A$113,MAX(1915,MIN(2025,E159))),SUMIFS(Donnees_generations!$AH$3:$AH$113,Donnees_generations!$A$3:$A$113,MAX(1915,MIN(2025,E159))),SUMIFS(Donnees_generations!$AI$3:$AI$113,Donnees_generations!$A$3:$A$113,MAX(1915,MIN(2025,E159))),SUMIFS(Donnees_generations!$AJ$3:$AJ$113,Donnees_generations!$A$3:$A$113,MAX(1915,MIN(2025,E159)))))/2</f>
        <v/>
      </c>
      <c r="AJ159" s="8">
        <f>MAX(0,AH159+(AI159-AH159)*(K159-AG159)/2)</f>
        <v/>
      </c>
      <c r="AK159" s="8">
        <f>K159+AJ159</f>
        <v/>
      </c>
      <c r="AL159" s="14">
        <f>AE159*AJ159</f>
        <v/>
      </c>
      <c r="AM159" s="17">
        <f>V159/AL159</f>
        <v/>
      </c>
      <c r="AN159" s="17">
        <f>Z159/AL159</f>
        <v/>
      </c>
      <c r="AO159" s="33">
        <f>IF(V159+Z159=0,0,Z159/(V159+Z159))</f>
        <v/>
      </c>
      <c r="AP159" s="14">
        <f>AL159/V159*100</f>
        <v/>
      </c>
      <c r="AQ159" s="8">
        <f>P159/AL159*1000</f>
        <v/>
      </c>
      <c r="AR159" s="77">
        <f>MAX(N159,M159-1)</f>
        <v/>
      </c>
      <c r="AS159" s="14">
        <f>SUMIFS(Donnees_regimes!$R$3:$R$1118,Donnees_regimes!$A$3:$A$1118,C159,Donnees_regimes!$B$3:$B$1118,"&gt;="&amp;G159,Donnees_regimes!$B$3:$B$1118,"&lt;="&amp;N159)*L159/ROUNDUP(L159,0)*SUMIFS(Donnees_annuelles!$AG$3:$AG$188,Donnees_annuelles!$A$3:$A$188,AR159)*SUMIFS(Donnees_annuelles!$AA$3:$AA$188,Donnees_annuelles!$A$3:$A$188,AR159)</f>
        <v/>
      </c>
      <c r="AT159" s="36">
        <f>AS159/V159</f>
        <v/>
      </c>
      <c r="AU159" s="14">
        <f>AL159</f>
        <v/>
      </c>
      <c r="AV159" s="39">
        <f>AS159-AL159</f>
        <v/>
      </c>
      <c r="AW159" s="9">
        <f>AS159/AL159-1</f>
        <v/>
      </c>
      <c r="AX159" s="14">
        <f>AS159/AJ159/12</f>
        <v/>
      </c>
      <c r="AY159" s="14">
        <f>AF159</f>
        <v/>
      </c>
      <c r="AZ159" s="39">
        <f>AX159-AF159</f>
        <v/>
      </c>
      <c r="BA159" s="14">
        <f>SUMIFS(Donnees_regimes!$S$3:$S$1118,Donnees_regimes!$A$3:$A$1118,C159,Donnees_regimes!$B$3:$B$1118,"&gt;="&amp;G159,Donnees_regimes!$B$3:$B$1118,"&lt;="&amp;N159)*L159/ROUNDUP(L159,0)*SUMIFS(Donnees_annuelles!$AH$3:$AH$188,Donnees_annuelles!$A$3:$A$188,AR159)*SUMIFS(Donnees_annuelles!$AA$3:$AA$188,Donnees_annuelles!$A$3:$A$188,AR159)</f>
        <v/>
      </c>
      <c r="BB159" s="39">
        <f>BA159-AL159</f>
        <v/>
      </c>
      <c r="BC159" s="7">
        <f>IF(M159+AJ159&gt;2026,IF(G159&gt;2026,"entièrement projeté","en partie projeté"),"observé")</f>
        <v/>
      </c>
    </row>
    <row r="160">
      <c r="A160" s="7" t="inlineStr">
        <is>
          <t>Génération Y</t>
        </is>
      </c>
      <c r="B160" s="84" t="inlineStr">
        <is>
          <t>Fonction publique d'État</t>
        </is>
      </c>
      <c r="C160" s="7">
        <f>IF(G160&gt;=SUMIFS(Regimes!$C$5:$C$10,Regimes!$A$5:$A$10,B160),"Privé",B160)</f>
        <v/>
      </c>
      <c r="D160" s="7">
        <f>INDEX(Regimes!$D$5:$D$10,MATCH(C160,Regimes!$A$5:$A$10,0))</f>
        <v/>
      </c>
      <c r="E160" s="88" t="n">
        <v>1987</v>
      </c>
      <c r="F160" s="8">
        <f>Donnees_generations!C75</f>
        <v/>
      </c>
      <c r="G160" s="77">
        <f>Donnees_generations!D75</f>
        <v/>
      </c>
      <c r="H160" s="8">
        <f>SUMIFS(Donnees_generations!$S$3:$S$113,Donnees_generations!$A$3:$A$113,MAX(1915,MIN(2025,E160)))</f>
        <v/>
      </c>
      <c r="I160" s="8">
        <f>SUMIFS(Donnees_generations!$T$3:$T$113,Donnees_generations!$A$3:$A$113,MAX(1915,MIN(2025,E160)))</f>
        <v/>
      </c>
      <c r="J160" s="8">
        <f>IF(G160&gt;=2000,MAX(I160,Parametres!$B$3),I160)</f>
        <v/>
      </c>
      <c r="K160" s="8">
        <f>IF(C160="Privé",J160,SUMIFS(Regles_regimes!$J$3:$J$2000,Regles_regimes!$A$3:$A$2000,C160,Regles_regimes!$B$3:$B$2000,D160,Regles_regimes!$C$3:$C$2000,MAX(1915,MIN(2025,E160))))</f>
        <v/>
      </c>
      <c r="L160" s="8">
        <f>IF(C160="Privé",H160,(K160-F160)*H160/(J160-F160))</f>
        <v/>
      </c>
      <c r="M160" s="77">
        <f>INT(E160+K160)</f>
        <v/>
      </c>
      <c r="N160" s="77">
        <f>G160+ROUNDUP(L160,0)-1</f>
        <v/>
      </c>
      <c r="O160" s="89">
        <f>SUMIFS(Regles_regimes!$K$3:$K$2000,Regles_regimes!$A$3:$A$2000,C160,Regles_regimes!$B$3:$B$2000,D160,Regles_regimes!$C$3:$C$2000,MAX(1915,MIN(2025,E160)))</f>
        <v/>
      </c>
      <c r="P160" s="13">
        <f>SUMIFS(Donnees_annuelles!$W$3:$W$188,Donnees_annuelles!$A$3:$A$188,"&gt;="&amp;G160,Donnees_annuelles!$A$3:$A$188,"&lt;="&amp;N160)*L160/ROUNDUP(L160,0)*O160</f>
        <v/>
      </c>
      <c r="Q160" s="13">
        <f>SUMIFS(Donnees_annuelles!$V$3:$V$188,Donnees_annuelles!$A$3:$A$188,"&gt;="&amp;G160,Donnees_annuelles!$A$3:$A$188,"&lt;="&amp;N160)*L160/ROUNDUP(L160,0)</f>
        <v/>
      </c>
      <c r="R160" s="13">
        <f>P160/L160</f>
        <v/>
      </c>
      <c r="S160" s="14">
        <f>SUMIFS(Donnees_annuelles!$D$3:$D$188,Donnees_annuelles!$A$3:$A$188,"&gt;="&amp;G160,Donnees_annuelles!$A$3:$A$188,"&lt;="&amp;N160)*L160/ROUNDUP(L160,0)</f>
        <v/>
      </c>
      <c r="T160" s="14">
        <f>SUMIFS(Donnees_regimes!$N$3:$N$1118,Donnees_regimes!$A$3:$A$1118,C160,Donnees_regimes!$B$3:$B$1118,"&gt;="&amp;G160,Donnees_regimes!$B$3:$B$1118,"&lt;="&amp;N160)*L160/ROUNDUP(L160,0)</f>
        <v/>
      </c>
      <c r="U160" s="14">
        <f>SUMIFS(Donnees_regimes!$O$3:$O$1118,Donnees_regimes!$A$3:$A$1118,C160,Donnees_regimes!$B$3:$B$1118,"&gt;="&amp;G160,Donnees_regimes!$B$3:$B$1118,"&lt;="&amp;N160)*L160/ROUNDUP(L160,0)</f>
        <v/>
      </c>
      <c r="V160" s="14">
        <f>T160+U160</f>
        <v/>
      </c>
      <c r="W160" s="33">
        <f>V160/S160</f>
        <v/>
      </c>
      <c r="X160" s="14">
        <f>S160+U160</f>
        <v/>
      </c>
      <c r="Y160" s="17">
        <f>V160/P160</f>
        <v/>
      </c>
      <c r="Z160" s="14">
        <f>SUMIFS(Donnees_regimes!$Q$3:$Q$1118,Donnees_regimes!$A$3:$A$1118,C160,Donnees_regimes!$B$3:$B$1118,"&gt;="&amp;G160,Donnees_regimes!$B$3:$B$1118,"&lt;="&amp;N160)*L160/ROUNDUP(L160,0)</f>
        <v/>
      </c>
      <c r="AA160" s="77">
        <f>SUMIFS(Regles_regimes!$F$3:$F$2000,Regles_regimes!$A$3:$A$2000,C160,Regles_regimes!$B$3:$B$2000,D160,Regles_regimes!$C$3:$C$2000,MAX(1915,MIN(2025,E160)))</f>
        <v/>
      </c>
      <c r="AB160" s="77">
        <f>IF(AND(SUMIFS(Regles_regimes!$L$3:$L$2000,Regles_regimes!$A$3:$A$2000,C160,Regles_regimes!$B$3:$B$2000,D160,Regles_regimes!$C$3:$C$2000,MAX(1915,MIN(2025,E160)))=1,G160&lt;2009,C160&lt;&gt;"Privé"),MIN(20,L160*4/5),0)</f>
        <v/>
      </c>
      <c r="AC160" s="89">
        <f>SUMIFS(Donnees_regimes!$M$3:$M$1118,Donnees_regimes!$A$3:$A$1118,C160,Donnees_regimes!$B$3:$B$1118,M160)</f>
        <v/>
      </c>
      <c r="AD160" s="14">
        <f>SUMIFS(Donnees_annuelles!$Y$3:$Y$188,Donnees_annuelles!$A$3:$A$188,M160)*SUMIFS(Donnees_generations!$I$3:$I$113,Donnees_generations!$A$3:$A$113,MAX(1915,MIN(2025,E160)))/H160</f>
        <v/>
      </c>
      <c r="AE160" s="14">
        <f>IF(C160="Privé",SUMIFS(Donnees_annuelles!$Y$3:$Y$188,Donnees_annuelles!$A$3:$A$188,M160)*MIN(L160,SUMIFS(Donnees_generations!$I$3:$I$113,Donnees_generations!$A$3:$A$113,MAX(1915,MIN(2025,E160))))/L160,AD160*AC160*MIN(IF(AB160&gt;0,0.8/0.75,1),(L160*4+AB160)/AA160))</f>
        <v/>
      </c>
      <c r="AF160" s="14">
        <f>AE160/12</f>
        <v/>
      </c>
      <c r="AG160" s="77">
        <f>MIN(68,MAX(56,2*INT(K160/2)))</f>
        <v/>
      </c>
      <c r="AH160" s="75">
        <f>(CHOOSE((AG160-56)/2+1,SUMIFS(Donnees_generations!$U$3:$U$113,Donnees_generations!$A$3:$A$113,MAX(1915,MIN(2025,E160))),SUMIFS(Donnees_generations!$V$3:$V$113,Donnees_generations!$A$3:$A$113,MAX(1915,MIN(2025,E160))),SUMIFS(Donnees_generations!$W$3:$W$113,Donnees_generations!$A$3:$A$113,MAX(1915,MIN(2025,E160))),SUMIFS(Donnees_generations!$X$3:$X$113,Donnees_generations!$A$3:$A$113,MAX(1915,MIN(2025,E160))),SUMIFS(Donnees_generations!$Y$3:$Y$113,Donnees_generations!$A$3:$A$113,MAX(1915,MIN(2025,E160))),SUMIFS(Donnees_generations!$Z$3:$Z$113,Donnees_generations!$A$3:$A$113,MAX(1915,MIN(2025,E160))),SUMIFS(Donnees_generations!$AA$3:$AA$113,Donnees_generations!$A$3:$A$113,MAX(1915,MIN(2025,E160))),SUMIFS(Donnees_generations!$AB$3:$AB$113,Donnees_generations!$A$3:$A$113,MAX(1915,MIN(2025,E160))))+CHOOSE((AG160-56)/2+1,SUMIFS(Donnees_generations!$AC$3:$AC$113,Donnees_generations!$A$3:$A$113,MAX(1915,MIN(2025,E160))),SUMIFS(Donnees_generations!$AD$3:$AD$113,Donnees_generations!$A$3:$A$113,MAX(1915,MIN(2025,E160))),SUMIFS(Donnees_generations!$AE$3:$AE$113,Donnees_generations!$A$3:$A$113,MAX(1915,MIN(2025,E160))),SUMIFS(Donnees_generations!$AF$3:$AF$113,Donnees_generations!$A$3:$A$113,MAX(1915,MIN(2025,E160))),SUMIFS(Donnees_generations!$AG$3:$AG$113,Donnees_generations!$A$3:$A$113,MAX(1915,MIN(2025,E160))),SUMIFS(Donnees_generations!$AH$3:$AH$113,Donnees_generations!$A$3:$A$113,MAX(1915,MIN(2025,E160))),SUMIFS(Donnees_generations!$AI$3:$AI$113,Donnees_generations!$A$3:$A$113,MAX(1915,MIN(2025,E160))),SUMIFS(Donnees_generations!$AJ$3:$AJ$113,Donnees_generations!$A$3:$A$113,MAX(1915,MIN(2025,E160)))))/2</f>
        <v/>
      </c>
      <c r="AI160" s="75">
        <f>(CHOOSE(((AG160+2)-56)/2+1,SUMIFS(Donnees_generations!$U$3:$U$113,Donnees_generations!$A$3:$A$113,MAX(1915,MIN(2025,E160))),SUMIFS(Donnees_generations!$V$3:$V$113,Donnees_generations!$A$3:$A$113,MAX(1915,MIN(2025,E160))),SUMIFS(Donnees_generations!$W$3:$W$113,Donnees_generations!$A$3:$A$113,MAX(1915,MIN(2025,E160))),SUMIFS(Donnees_generations!$X$3:$X$113,Donnees_generations!$A$3:$A$113,MAX(1915,MIN(2025,E160))),SUMIFS(Donnees_generations!$Y$3:$Y$113,Donnees_generations!$A$3:$A$113,MAX(1915,MIN(2025,E160))),SUMIFS(Donnees_generations!$Z$3:$Z$113,Donnees_generations!$A$3:$A$113,MAX(1915,MIN(2025,E160))),SUMIFS(Donnees_generations!$AA$3:$AA$113,Donnees_generations!$A$3:$A$113,MAX(1915,MIN(2025,E160))),SUMIFS(Donnees_generations!$AB$3:$AB$113,Donnees_generations!$A$3:$A$113,MAX(1915,MIN(2025,E160))))+CHOOSE(((AG160+2)-56)/2+1,SUMIFS(Donnees_generations!$AC$3:$AC$113,Donnees_generations!$A$3:$A$113,MAX(1915,MIN(2025,E160))),SUMIFS(Donnees_generations!$AD$3:$AD$113,Donnees_generations!$A$3:$A$113,MAX(1915,MIN(2025,E160))),SUMIFS(Donnees_generations!$AE$3:$AE$113,Donnees_generations!$A$3:$A$113,MAX(1915,MIN(2025,E160))),SUMIFS(Donnees_generations!$AF$3:$AF$113,Donnees_generations!$A$3:$A$113,MAX(1915,MIN(2025,E160))),SUMIFS(Donnees_generations!$AG$3:$AG$113,Donnees_generations!$A$3:$A$113,MAX(1915,MIN(2025,E160))),SUMIFS(Donnees_generations!$AH$3:$AH$113,Donnees_generations!$A$3:$A$113,MAX(1915,MIN(2025,E160))),SUMIFS(Donnees_generations!$AI$3:$AI$113,Donnees_generations!$A$3:$A$113,MAX(1915,MIN(2025,E160))),SUMIFS(Donnees_generations!$AJ$3:$AJ$113,Donnees_generations!$A$3:$A$113,MAX(1915,MIN(2025,E160)))))/2</f>
        <v/>
      </c>
      <c r="AJ160" s="8">
        <f>MAX(0,AH160+(AI160-AH160)*(K160-AG160)/2)</f>
        <v/>
      </c>
      <c r="AK160" s="8">
        <f>K160+AJ160</f>
        <v/>
      </c>
      <c r="AL160" s="14">
        <f>AE160*AJ160</f>
        <v/>
      </c>
      <c r="AM160" s="17">
        <f>V160/AL160</f>
        <v/>
      </c>
      <c r="AN160" s="17">
        <f>Z160/AL160</f>
        <v/>
      </c>
      <c r="AO160" s="33">
        <f>IF(V160+Z160=0,0,Z160/(V160+Z160))</f>
        <v/>
      </c>
      <c r="AP160" s="14">
        <f>AL160/V160*100</f>
        <v/>
      </c>
      <c r="AQ160" s="8">
        <f>P160/AL160*1000</f>
        <v/>
      </c>
      <c r="AR160" s="77">
        <f>MAX(N160,M160-1)</f>
        <v/>
      </c>
      <c r="AS160" s="14">
        <f>SUMIFS(Donnees_regimes!$R$3:$R$1118,Donnees_regimes!$A$3:$A$1118,C160,Donnees_regimes!$B$3:$B$1118,"&gt;="&amp;G160,Donnees_regimes!$B$3:$B$1118,"&lt;="&amp;N160)*L160/ROUNDUP(L160,0)*SUMIFS(Donnees_annuelles!$AG$3:$AG$188,Donnees_annuelles!$A$3:$A$188,AR160)*SUMIFS(Donnees_annuelles!$AA$3:$AA$188,Donnees_annuelles!$A$3:$A$188,AR160)</f>
        <v/>
      </c>
      <c r="AT160" s="36">
        <f>AS160/V160</f>
        <v/>
      </c>
      <c r="AU160" s="14">
        <f>AL160</f>
        <v/>
      </c>
      <c r="AV160" s="39">
        <f>AS160-AL160</f>
        <v/>
      </c>
      <c r="AW160" s="9">
        <f>AS160/AL160-1</f>
        <v/>
      </c>
      <c r="AX160" s="14">
        <f>AS160/AJ160/12</f>
        <v/>
      </c>
      <c r="AY160" s="14">
        <f>AF160</f>
        <v/>
      </c>
      <c r="AZ160" s="39">
        <f>AX160-AF160</f>
        <v/>
      </c>
      <c r="BA160" s="14">
        <f>SUMIFS(Donnees_regimes!$S$3:$S$1118,Donnees_regimes!$A$3:$A$1118,C160,Donnees_regimes!$B$3:$B$1118,"&gt;="&amp;G160,Donnees_regimes!$B$3:$B$1118,"&lt;="&amp;N160)*L160/ROUNDUP(L160,0)*SUMIFS(Donnees_annuelles!$AH$3:$AH$188,Donnees_annuelles!$A$3:$A$188,AR160)*SUMIFS(Donnees_annuelles!$AA$3:$AA$188,Donnees_annuelles!$A$3:$A$188,AR160)</f>
        <v/>
      </c>
      <c r="BB160" s="39">
        <f>BA160-AL160</f>
        <v/>
      </c>
      <c r="BC160" s="7">
        <f>IF(M160+AJ160&gt;2026,IF(G160&gt;2026,"entièrement projeté","en partie projeté"),"observé")</f>
        <v/>
      </c>
    </row>
    <row r="161">
      <c r="A161" s="7" t="inlineStr">
        <is>
          <t>Génération Y</t>
        </is>
      </c>
      <c r="B161" s="84" t="inlineStr">
        <is>
          <t>Fonction publique d'État</t>
        </is>
      </c>
      <c r="C161" s="7">
        <f>IF(G161&gt;=SUMIFS(Regimes!$C$5:$C$10,Regimes!$A$5:$A$10,B161),"Privé",B161)</f>
        <v/>
      </c>
      <c r="D161" s="7">
        <f>INDEX(Regimes!$D$5:$D$10,MATCH(C161,Regimes!$A$5:$A$10,0))</f>
        <v/>
      </c>
      <c r="E161" s="88" t="n">
        <v>1988</v>
      </c>
      <c r="F161" s="8">
        <f>Donnees_generations!C76</f>
        <v/>
      </c>
      <c r="G161" s="77">
        <f>Donnees_generations!D76</f>
        <v/>
      </c>
      <c r="H161" s="8">
        <f>SUMIFS(Donnees_generations!$S$3:$S$113,Donnees_generations!$A$3:$A$113,MAX(1915,MIN(2025,E161)))</f>
        <v/>
      </c>
      <c r="I161" s="8">
        <f>SUMIFS(Donnees_generations!$T$3:$T$113,Donnees_generations!$A$3:$A$113,MAX(1915,MIN(2025,E161)))</f>
        <v/>
      </c>
      <c r="J161" s="8">
        <f>IF(G161&gt;=2000,MAX(I161,Parametres!$B$3),I161)</f>
        <v/>
      </c>
      <c r="K161" s="8">
        <f>IF(C161="Privé",J161,SUMIFS(Regles_regimes!$J$3:$J$2000,Regles_regimes!$A$3:$A$2000,C161,Regles_regimes!$B$3:$B$2000,D161,Regles_regimes!$C$3:$C$2000,MAX(1915,MIN(2025,E161))))</f>
        <v/>
      </c>
      <c r="L161" s="8">
        <f>IF(C161="Privé",H161,(K161-F161)*H161/(J161-F161))</f>
        <v/>
      </c>
      <c r="M161" s="77">
        <f>INT(E161+K161)</f>
        <v/>
      </c>
      <c r="N161" s="77">
        <f>G161+ROUNDUP(L161,0)-1</f>
        <v/>
      </c>
      <c r="O161" s="89">
        <f>SUMIFS(Regles_regimes!$K$3:$K$2000,Regles_regimes!$A$3:$A$2000,C161,Regles_regimes!$B$3:$B$2000,D161,Regles_regimes!$C$3:$C$2000,MAX(1915,MIN(2025,E161)))</f>
        <v/>
      </c>
      <c r="P161" s="13">
        <f>SUMIFS(Donnees_annuelles!$W$3:$W$188,Donnees_annuelles!$A$3:$A$188,"&gt;="&amp;G161,Donnees_annuelles!$A$3:$A$188,"&lt;="&amp;N161)*L161/ROUNDUP(L161,0)*O161</f>
        <v/>
      </c>
      <c r="Q161" s="13">
        <f>SUMIFS(Donnees_annuelles!$V$3:$V$188,Donnees_annuelles!$A$3:$A$188,"&gt;="&amp;G161,Donnees_annuelles!$A$3:$A$188,"&lt;="&amp;N161)*L161/ROUNDUP(L161,0)</f>
        <v/>
      </c>
      <c r="R161" s="13">
        <f>P161/L161</f>
        <v/>
      </c>
      <c r="S161" s="14">
        <f>SUMIFS(Donnees_annuelles!$D$3:$D$188,Donnees_annuelles!$A$3:$A$188,"&gt;="&amp;G161,Donnees_annuelles!$A$3:$A$188,"&lt;="&amp;N161)*L161/ROUNDUP(L161,0)</f>
        <v/>
      </c>
      <c r="T161" s="14">
        <f>SUMIFS(Donnees_regimes!$N$3:$N$1118,Donnees_regimes!$A$3:$A$1118,C161,Donnees_regimes!$B$3:$B$1118,"&gt;="&amp;G161,Donnees_regimes!$B$3:$B$1118,"&lt;="&amp;N161)*L161/ROUNDUP(L161,0)</f>
        <v/>
      </c>
      <c r="U161" s="14">
        <f>SUMIFS(Donnees_regimes!$O$3:$O$1118,Donnees_regimes!$A$3:$A$1118,C161,Donnees_regimes!$B$3:$B$1118,"&gt;="&amp;G161,Donnees_regimes!$B$3:$B$1118,"&lt;="&amp;N161)*L161/ROUNDUP(L161,0)</f>
        <v/>
      </c>
      <c r="V161" s="14">
        <f>T161+U161</f>
        <v/>
      </c>
      <c r="W161" s="33">
        <f>V161/S161</f>
        <v/>
      </c>
      <c r="X161" s="14">
        <f>S161+U161</f>
        <v/>
      </c>
      <c r="Y161" s="17">
        <f>V161/P161</f>
        <v/>
      </c>
      <c r="Z161" s="14">
        <f>SUMIFS(Donnees_regimes!$Q$3:$Q$1118,Donnees_regimes!$A$3:$A$1118,C161,Donnees_regimes!$B$3:$B$1118,"&gt;="&amp;G161,Donnees_regimes!$B$3:$B$1118,"&lt;="&amp;N161)*L161/ROUNDUP(L161,0)</f>
        <v/>
      </c>
      <c r="AA161" s="77">
        <f>SUMIFS(Regles_regimes!$F$3:$F$2000,Regles_regimes!$A$3:$A$2000,C161,Regles_regimes!$B$3:$B$2000,D161,Regles_regimes!$C$3:$C$2000,MAX(1915,MIN(2025,E161)))</f>
        <v/>
      </c>
      <c r="AB161" s="77">
        <f>IF(AND(SUMIFS(Regles_regimes!$L$3:$L$2000,Regles_regimes!$A$3:$A$2000,C161,Regles_regimes!$B$3:$B$2000,D161,Regles_regimes!$C$3:$C$2000,MAX(1915,MIN(2025,E161)))=1,G161&lt;2009,C161&lt;&gt;"Privé"),MIN(20,L161*4/5),0)</f>
        <v/>
      </c>
      <c r="AC161" s="89">
        <f>SUMIFS(Donnees_regimes!$M$3:$M$1118,Donnees_regimes!$A$3:$A$1118,C161,Donnees_regimes!$B$3:$B$1118,M161)</f>
        <v/>
      </c>
      <c r="AD161" s="14">
        <f>SUMIFS(Donnees_annuelles!$Y$3:$Y$188,Donnees_annuelles!$A$3:$A$188,M161)*SUMIFS(Donnees_generations!$I$3:$I$113,Donnees_generations!$A$3:$A$113,MAX(1915,MIN(2025,E161)))/H161</f>
        <v/>
      </c>
      <c r="AE161" s="14">
        <f>IF(C161="Privé",SUMIFS(Donnees_annuelles!$Y$3:$Y$188,Donnees_annuelles!$A$3:$A$188,M161)*MIN(L161,SUMIFS(Donnees_generations!$I$3:$I$113,Donnees_generations!$A$3:$A$113,MAX(1915,MIN(2025,E161))))/L161,AD161*AC161*MIN(IF(AB161&gt;0,0.8/0.75,1),(L161*4+AB161)/AA161))</f>
        <v/>
      </c>
      <c r="AF161" s="14">
        <f>AE161/12</f>
        <v/>
      </c>
      <c r="AG161" s="77">
        <f>MIN(68,MAX(56,2*INT(K161/2)))</f>
        <v/>
      </c>
      <c r="AH161" s="75">
        <f>(CHOOSE((AG161-56)/2+1,SUMIFS(Donnees_generations!$U$3:$U$113,Donnees_generations!$A$3:$A$113,MAX(1915,MIN(2025,E161))),SUMIFS(Donnees_generations!$V$3:$V$113,Donnees_generations!$A$3:$A$113,MAX(1915,MIN(2025,E161))),SUMIFS(Donnees_generations!$W$3:$W$113,Donnees_generations!$A$3:$A$113,MAX(1915,MIN(2025,E161))),SUMIFS(Donnees_generations!$X$3:$X$113,Donnees_generations!$A$3:$A$113,MAX(1915,MIN(2025,E161))),SUMIFS(Donnees_generations!$Y$3:$Y$113,Donnees_generations!$A$3:$A$113,MAX(1915,MIN(2025,E161))),SUMIFS(Donnees_generations!$Z$3:$Z$113,Donnees_generations!$A$3:$A$113,MAX(1915,MIN(2025,E161))),SUMIFS(Donnees_generations!$AA$3:$AA$113,Donnees_generations!$A$3:$A$113,MAX(1915,MIN(2025,E161))),SUMIFS(Donnees_generations!$AB$3:$AB$113,Donnees_generations!$A$3:$A$113,MAX(1915,MIN(2025,E161))))+CHOOSE((AG161-56)/2+1,SUMIFS(Donnees_generations!$AC$3:$AC$113,Donnees_generations!$A$3:$A$113,MAX(1915,MIN(2025,E161))),SUMIFS(Donnees_generations!$AD$3:$AD$113,Donnees_generations!$A$3:$A$113,MAX(1915,MIN(2025,E161))),SUMIFS(Donnees_generations!$AE$3:$AE$113,Donnees_generations!$A$3:$A$113,MAX(1915,MIN(2025,E161))),SUMIFS(Donnees_generations!$AF$3:$AF$113,Donnees_generations!$A$3:$A$113,MAX(1915,MIN(2025,E161))),SUMIFS(Donnees_generations!$AG$3:$AG$113,Donnees_generations!$A$3:$A$113,MAX(1915,MIN(2025,E161))),SUMIFS(Donnees_generations!$AH$3:$AH$113,Donnees_generations!$A$3:$A$113,MAX(1915,MIN(2025,E161))),SUMIFS(Donnees_generations!$AI$3:$AI$113,Donnees_generations!$A$3:$A$113,MAX(1915,MIN(2025,E161))),SUMIFS(Donnees_generations!$AJ$3:$AJ$113,Donnees_generations!$A$3:$A$113,MAX(1915,MIN(2025,E161)))))/2</f>
        <v/>
      </c>
      <c r="AI161" s="75">
        <f>(CHOOSE(((AG161+2)-56)/2+1,SUMIFS(Donnees_generations!$U$3:$U$113,Donnees_generations!$A$3:$A$113,MAX(1915,MIN(2025,E161))),SUMIFS(Donnees_generations!$V$3:$V$113,Donnees_generations!$A$3:$A$113,MAX(1915,MIN(2025,E161))),SUMIFS(Donnees_generations!$W$3:$W$113,Donnees_generations!$A$3:$A$113,MAX(1915,MIN(2025,E161))),SUMIFS(Donnees_generations!$X$3:$X$113,Donnees_generations!$A$3:$A$113,MAX(1915,MIN(2025,E161))),SUMIFS(Donnees_generations!$Y$3:$Y$113,Donnees_generations!$A$3:$A$113,MAX(1915,MIN(2025,E161))),SUMIFS(Donnees_generations!$Z$3:$Z$113,Donnees_generations!$A$3:$A$113,MAX(1915,MIN(2025,E161))),SUMIFS(Donnees_generations!$AA$3:$AA$113,Donnees_generations!$A$3:$A$113,MAX(1915,MIN(2025,E161))),SUMIFS(Donnees_generations!$AB$3:$AB$113,Donnees_generations!$A$3:$A$113,MAX(1915,MIN(2025,E161))))+CHOOSE(((AG161+2)-56)/2+1,SUMIFS(Donnees_generations!$AC$3:$AC$113,Donnees_generations!$A$3:$A$113,MAX(1915,MIN(2025,E161))),SUMIFS(Donnees_generations!$AD$3:$AD$113,Donnees_generations!$A$3:$A$113,MAX(1915,MIN(2025,E161))),SUMIFS(Donnees_generations!$AE$3:$AE$113,Donnees_generations!$A$3:$A$113,MAX(1915,MIN(2025,E161))),SUMIFS(Donnees_generations!$AF$3:$AF$113,Donnees_generations!$A$3:$A$113,MAX(1915,MIN(2025,E161))),SUMIFS(Donnees_generations!$AG$3:$AG$113,Donnees_generations!$A$3:$A$113,MAX(1915,MIN(2025,E161))),SUMIFS(Donnees_generations!$AH$3:$AH$113,Donnees_generations!$A$3:$A$113,MAX(1915,MIN(2025,E161))),SUMIFS(Donnees_generations!$AI$3:$AI$113,Donnees_generations!$A$3:$A$113,MAX(1915,MIN(2025,E161))),SUMIFS(Donnees_generations!$AJ$3:$AJ$113,Donnees_generations!$A$3:$A$113,MAX(1915,MIN(2025,E161)))))/2</f>
        <v/>
      </c>
      <c r="AJ161" s="8">
        <f>MAX(0,AH161+(AI161-AH161)*(K161-AG161)/2)</f>
        <v/>
      </c>
      <c r="AK161" s="8">
        <f>K161+AJ161</f>
        <v/>
      </c>
      <c r="AL161" s="14">
        <f>AE161*AJ161</f>
        <v/>
      </c>
      <c r="AM161" s="17">
        <f>V161/AL161</f>
        <v/>
      </c>
      <c r="AN161" s="17">
        <f>Z161/AL161</f>
        <v/>
      </c>
      <c r="AO161" s="33">
        <f>IF(V161+Z161=0,0,Z161/(V161+Z161))</f>
        <v/>
      </c>
      <c r="AP161" s="14">
        <f>AL161/V161*100</f>
        <v/>
      </c>
      <c r="AQ161" s="8">
        <f>P161/AL161*1000</f>
        <v/>
      </c>
      <c r="AR161" s="77">
        <f>MAX(N161,M161-1)</f>
        <v/>
      </c>
      <c r="AS161" s="14">
        <f>SUMIFS(Donnees_regimes!$R$3:$R$1118,Donnees_regimes!$A$3:$A$1118,C161,Donnees_regimes!$B$3:$B$1118,"&gt;="&amp;G161,Donnees_regimes!$B$3:$B$1118,"&lt;="&amp;N161)*L161/ROUNDUP(L161,0)*SUMIFS(Donnees_annuelles!$AG$3:$AG$188,Donnees_annuelles!$A$3:$A$188,AR161)*SUMIFS(Donnees_annuelles!$AA$3:$AA$188,Donnees_annuelles!$A$3:$A$188,AR161)</f>
        <v/>
      </c>
      <c r="AT161" s="36">
        <f>AS161/V161</f>
        <v/>
      </c>
      <c r="AU161" s="14">
        <f>AL161</f>
        <v/>
      </c>
      <c r="AV161" s="39">
        <f>AS161-AL161</f>
        <v/>
      </c>
      <c r="AW161" s="9">
        <f>AS161/AL161-1</f>
        <v/>
      </c>
      <c r="AX161" s="14">
        <f>AS161/AJ161/12</f>
        <v/>
      </c>
      <c r="AY161" s="14">
        <f>AF161</f>
        <v/>
      </c>
      <c r="AZ161" s="39">
        <f>AX161-AF161</f>
        <v/>
      </c>
      <c r="BA161" s="14">
        <f>SUMIFS(Donnees_regimes!$S$3:$S$1118,Donnees_regimes!$A$3:$A$1118,C161,Donnees_regimes!$B$3:$B$1118,"&gt;="&amp;G161,Donnees_regimes!$B$3:$B$1118,"&lt;="&amp;N161)*L161/ROUNDUP(L161,0)*SUMIFS(Donnees_annuelles!$AH$3:$AH$188,Donnees_annuelles!$A$3:$A$188,AR161)*SUMIFS(Donnees_annuelles!$AA$3:$AA$188,Donnees_annuelles!$A$3:$A$188,AR161)</f>
        <v/>
      </c>
      <c r="BB161" s="39">
        <f>BA161-AL161</f>
        <v/>
      </c>
      <c r="BC161" s="7">
        <f>IF(M161+AJ161&gt;2026,IF(G161&gt;2026,"entièrement projeté","en partie projeté"),"observé")</f>
        <v/>
      </c>
    </row>
    <row r="162">
      <c r="A162" s="7" t="inlineStr">
        <is>
          <t>Génération Y</t>
        </is>
      </c>
      <c r="B162" s="84" t="inlineStr">
        <is>
          <t>Fonction publique d'État</t>
        </is>
      </c>
      <c r="C162" s="7">
        <f>IF(G162&gt;=SUMIFS(Regimes!$C$5:$C$10,Regimes!$A$5:$A$10,B162),"Privé",B162)</f>
        <v/>
      </c>
      <c r="D162" s="7">
        <f>INDEX(Regimes!$D$5:$D$10,MATCH(C162,Regimes!$A$5:$A$10,0))</f>
        <v/>
      </c>
      <c r="E162" s="88" t="n">
        <v>1989</v>
      </c>
      <c r="F162" s="8">
        <f>Donnees_generations!C77</f>
        <v/>
      </c>
      <c r="G162" s="77">
        <f>Donnees_generations!D77</f>
        <v/>
      </c>
      <c r="H162" s="8">
        <f>SUMIFS(Donnees_generations!$S$3:$S$113,Donnees_generations!$A$3:$A$113,MAX(1915,MIN(2025,E162)))</f>
        <v/>
      </c>
      <c r="I162" s="8">
        <f>SUMIFS(Donnees_generations!$T$3:$T$113,Donnees_generations!$A$3:$A$113,MAX(1915,MIN(2025,E162)))</f>
        <v/>
      </c>
      <c r="J162" s="8">
        <f>IF(G162&gt;=2000,MAX(I162,Parametres!$B$3),I162)</f>
        <v/>
      </c>
      <c r="K162" s="8">
        <f>IF(C162="Privé",J162,SUMIFS(Regles_regimes!$J$3:$J$2000,Regles_regimes!$A$3:$A$2000,C162,Regles_regimes!$B$3:$B$2000,D162,Regles_regimes!$C$3:$C$2000,MAX(1915,MIN(2025,E162))))</f>
        <v/>
      </c>
      <c r="L162" s="8">
        <f>IF(C162="Privé",H162,(K162-F162)*H162/(J162-F162))</f>
        <v/>
      </c>
      <c r="M162" s="77">
        <f>INT(E162+K162)</f>
        <v/>
      </c>
      <c r="N162" s="77">
        <f>G162+ROUNDUP(L162,0)-1</f>
        <v/>
      </c>
      <c r="O162" s="89">
        <f>SUMIFS(Regles_regimes!$K$3:$K$2000,Regles_regimes!$A$3:$A$2000,C162,Regles_regimes!$B$3:$B$2000,D162,Regles_regimes!$C$3:$C$2000,MAX(1915,MIN(2025,E162)))</f>
        <v/>
      </c>
      <c r="P162" s="13">
        <f>SUMIFS(Donnees_annuelles!$W$3:$W$188,Donnees_annuelles!$A$3:$A$188,"&gt;="&amp;G162,Donnees_annuelles!$A$3:$A$188,"&lt;="&amp;N162)*L162/ROUNDUP(L162,0)*O162</f>
        <v/>
      </c>
      <c r="Q162" s="13">
        <f>SUMIFS(Donnees_annuelles!$V$3:$V$188,Donnees_annuelles!$A$3:$A$188,"&gt;="&amp;G162,Donnees_annuelles!$A$3:$A$188,"&lt;="&amp;N162)*L162/ROUNDUP(L162,0)</f>
        <v/>
      </c>
      <c r="R162" s="13">
        <f>P162/L162</f>
        <v/>
      </c>
      <c r="S162" s="14">
        <f>SUMIFS(Donnees_annuelles!$D$3:$D$188,Donnees_annuelles!$A$3:$A$188,"&gt;="&amp;G162,Donnees_annuelles!$A$3:$A$188,"&lt;="&amp;N162)*L162/ROUNDUP(L162,0)</f>
        <v/>
      </c>
      <c r="T162" s="14">
        <f>SUMIFS(Donnees_regimes!$N$3:$N$1118,Donnees_regimes!$A$3:$A$1118,C162,Donnees_regimes!$B$3:$B$1118,"&gt;="&amp;G162,Donnees_regimes!$B$3:$B$1118,"&lt;="&amp;N162)*L162/ROUNDUP(L162,0)</f>
        <v/>
      </c>
      <c r="U162" s="14">
        <f>SUMIFS(Donnees_regimes!$O$3:$O$1118,Donnees_regimes!$A$3:$A$1118,C162,Donnees_regimes!$B$3:$B$1118,"&gt;="&amp;G162,Donnees_regimes!$B$3:$B$1118,"&lt;="&amp;N162)*L162/ROUNDUP(L162,0)</f>
        <v/>
      </c>
      <c r="V162" s="14">
        <f>T162+U162</f>
        <v/>
      </c>
      <c r="W162" s="33">
        <f>V162/S162</f>
        <v/>
      </c>
      <c r="X162" s="14">
        <f>S162+U162</f>
        <v/>
      </c>
      <c r="Y162" s="17">
        <f>V162/P162</f>
        <v/>
      </c>
      <c r="Z162" s="14">
        <f>SUMIFS(Donnees_regimes!$Q$3:$Q$1118,Donnees_regimes!$A$3:$A$1118,C162,Donnees_regimes!$B$3:$B$1118,"&gt;="&amp;G162,Donnees_regimes!$B$3:$B$1118,"&lt;="&amp;N162)*L162/ROUNDUP(L162,0)</f>
        <v/>
      </c>
      <c r="AA162" s="77">
        <f>SUMIFS(Regles_regimes!$F$3:$F$2000,Regles_regimes!$A$3:$A$2000,C162,Regles_regimes!$B$3:$B$2000,D162,Regles_regimes!$C$3:$C$2000,MAX(1915,MIN(2025,E162)))</f>
        <v/>
      </c>
      <c r="AB162" s="77">
        <f>IF(AND(SUMIFS(Regles_regimes!$L$3:$L$2000,Regles_regimes!$A$3:$A$2000,C162,Regles_regimes!$B$3:$B$2000,D162,Regles_regimes!$C$3:$C$2000,MAX(1915,MIN(2025,E162)))=1,G162&lt;2009,C162&lt;&gt;"Privé"),MIN(20,L162*4/5),0)</f>
        <v/>
      </c>
      <c r="AC162" s="89">
        <f>SUMIFS(Donnees_regimes!$M$3:$M$1118,Donnees_regimes!$A$3:$A$1118,C162,Donnees_regimes!$B$3:$B$1118,M162)</f>
        <v/>
      </c>
      <c r="AD162" s="14">
        <f>SUMIFS(Donnees_annuelles!$Y$3:$Y$188,Donnees_annuelles!$A$3:$A$188,M162)*SUMIFS(Donnees_generations!$I$3:$I$113,Donnees_generations!$A$3:$A$113,MAX(1915,MIN(2025,E162)))/H162</f>
        <v/>
      </c>
      <c r="AE162" s="14">
        <f>IF(C162="Privé",SUMIFS(Donnees_annuelles!$Y$3:$Y$188,Donnees_annuelles!$A$3:$A$188,M162)*MIN(L162,SUMIFS(Donnees_generations!$I$3:$I$113,Donnees_generations!$A$3:$A$113,MAX(1915,MIN(2025,E162))))/L162,AD162*AC162*MIN(IF(AB162&gt;0,0.8/0.75,1),(L162*4+AB162)/AA162))</f>
        <v/>
      </c>
      <c r="AF162" s="14">
        <f>AE162/12</f>
        <v/>
      </c>
      <c r="AG162" s="77">
        <f>MIN(68,MAX(56,2*INT(K162/2)))</f>
        <v/>
      </c>
      <c r="AH162" s="75">
        <f>(CHOOSE((AG162-56)/2+1,SUMIFS(Donnees_generations!$U$3:$U$113,Donnees_generations!$A$3:$A$113,MAX(1915,MIN(2025,E162))),SUMIFS(Donnees_generations!$V$3:$V$113,Donnees_generations!$A$3:$A$113,MAX(1915,MIN(2025,E162))),SUMIFS(Donnees_generations!$W$3:$W$113,Donnees_generations!$A$3:$A$113,MAX(1915,MIN(2025,E162))),SUMIFS(Donnees_generations!$X$3:$X$113,Donnees_generations!$A$3:$A$113,MAX(1915,MIN(2025,E162))),SUMIFS(Donnees_generations!$Y$3:$Y$113,Donnees_generations!$A$3:$A$113,MAX(1915,MIN(2025,E162))),SUMIFS(Donnees_generations!$Z$3:$Z$113,Donnees_generations!$A$3:$A$113,MAX(1915,MIN(2025,E162))),SUMIFS(Donnees_generations!$AA$3:$AA$113,Donnees_generations!$A$3:$A$113,MAX(1915,MIN(2025,E162))),SUMIFS(Donnees_generations!$AB$3:$AB$113,Donnees_generations!$A$3:$A$113,MAX(1915,MIN(2025,E162))))+CHOOSE((AG162-56)/2+1,SUMIFS(Donnees_generations!$AC$3:$AC$113,Donnees_generations!$A$3:$A$113,MAX(1915,MIN(2025,E162))),SUMIFS(Donnees_generations!$AD$3:$AD$113,Donnees_generations!$A$3:$A$113,MAX(1915,MIN(2025,E162))),SUMIFS(Donnees_generations!$AE$3:$AE$113,Donnees_generations!$A$3:$A$113,MAX(1915,MIN(2025,E162))),SUMIFS(Donnees_generations!$AF$3:$AF$113,Donnees_generations!$A$3:$A$113,MAX(1915,MIN(2025,E162))),SUMIFS(Donnees_generations!$AG$3:$AG$113,Donnees_generations!$A$3:$A$113,MAX(1915,MIN(2025,E162))),SUMIFS(Donnees_generations!$AH$3:$AH$113,Donnees_generations!$A$3:$A$113,MAX(1915,MIN(2025,E162))),SUMIFS(Donnees_generations!$AI$3:$AI$113,Donnees_generations!$A$3:$A$113,MAX(1915,MIN(2025,E162))),SUMIFS(Donnees_generations!$AJ$3:$AJ$113,Donnees_generations!$A$3:$A$113,MAX(1915,MIN(2025,E162)))))/2</f>
        <v/>
      </c>
      <c r="AI162" s="75">
        <f>(CHOOSE(((AG162+2)-56)/2+1,SUMIFS(Donnees_generations!$U$3:$U$113,Donnees_generations!$A$3:$A$113,MAX(1915,MIN(2025,E162))),SUMIFS(Donnees_generations!$V$3:$V$113,Donnees_generations!$A$3:$A$113,MAX(1915,MIN(2025,E162))),SUMIFS(Donnees_generations!$W$3:$W$113,Donnees_generations!$A$3:$A$113,MAX(1915,MIN(2025,E162))),SUMIFS(Donnees_generations!$X$3:$X$113,Donnees_generations!$A$3:$A$113,MAX(1915,MIN(2025,E162))),SUMIFS(Donnees_generations!$Y$3:$Y$113,Donnees_generations!$A$3:$A$113,MAX(1915,MIN(2025,E162))),SUMIFS(Donnees_generations!$Z$3:$Z$113,Donnees_generations!$A$3:$A$113,MAX(1915,MIN(2025,E162))),SUMIFS(Donnees_generations!$AA$3:$AA$113,Donnees_generations!$A$3:$A$113,MAX(1915,MIN(2025,E162))),SUMIFS(Donnees_generations!$AB$3:$AB$113,Donnees_generations!$A$3:$A$113,MAX(1915,MIN(2025,E162))))+CHOOSE(((AG162+2)-56)/2+1,SUMIFS(Donnees_generations!$AC$3:$AC$113,Donnees_generations!$A$3:$A$113,MAX(1915,MIN(2025,E162))),SUMIFS(Donnees_generations!$AD$3:$AD$113,Donnees_generations!$A$3:$A$113,MAX(1915,MIN(2025,E162))),SUMIFS(Donnees_generations!$AE$3:$AE$113,Donnees_generations!$A$3:$A$113,MAX(1915,MIN(2025,E162))),SUMIFS(Donnees_generations!$AF$3:$AF$113,Donnees_generations!$A$3:$A$113,MAX(1915,MIN(2025,E162))),SUMIFS(Donnees_generations!$AG$3:$AG$113,Donnees_generations!$A$3:$A$113,MAX(1915,MIN(2025,E162))),SUMIFS(Donnees_generations!$AH$3:$AH$113,Donnees_generations!$A$3:$A$113,MAX(1915,MIN(2025,E162))),SUMIFS(Donnees_generations!$AI$3:$AI$113,Donnees_generations!$A$3:$A$113,MAX(1915,MIN(2025,E162))),SUMIFS(Donnees_generations!$AJ$3:$AJ$113,Donnees_generations!$A$3:$A$113,MAX(1915,MIN(2025,E162)))))/2</f>
        <v/>
      </c>
      <c r="AJ162" s="8">
        <f>MAX(0,AH162+(AI162-AH162)*(K162-AG162)/2)</f>
        <v/>
      </c>
      <c r="AK162" s="8">
        <f>K162+AJ162</f>
        <v/>
      </c>
      <c r="AL162" s="14">
        <f>AE162*AJ162</f>
        <v/>
      </c>
      <c r="AM162" s="17">
        <f>V162/AL162</f>
        <v/>
      </c>
      <c r="AN162" s="17">
        <f>Z162/AL162</f>
        <v/>
      </c>
      <c r="AO162" s="33">
        <f>IF(V162+Z162=0,0,Z162/(V162+Z162))</f>
        <v/>
      </c>
      <c r="AP162" s="14">
        <f>AL162/V162*100</f>
        <v/>
      </c>
      <c r="AQ162" s="8">
        <f>P162/AL162*1000</f>
        <v/>
      </c>
      <c r="AR162" s="77">
        <f>MAX(N162,M162-1)</f>
        <v/>
      </c>
      <c r="AS162" s="14">
        <f>SUMIFS(Donnees_regimes!$R$3:$R$1118,Donnees_regimes!$A$3:$A$1118,C162,Donnees_regimes!$B$3:$B$1118,"&gt;="&amp;G162,Donnees_regimes!$B$3:$B$1118,"&lt;="&amp;N162)*L162/ROUNDUP(L162,0)*SUMIFS(Donnees_annuelles!$AG$3:$AG$188,Donnees_annuelles!$A$3:$A$188,AR162)*SUMIFS(Donnees_annuelles!$AA$3:$AA$188,Donnees_annuelles!$A$3:$A$188,AR162)</f>
        <v/>
      </c>
      <c r="AT162" s="36">
        <f>AS162/V162</f>
        <v/>
      </c>
      <c r="AU162" s="14">
        <f>AL162</f>
        <v/>
      </c>
      <c r="AV162" s="39">
        <f>AS162-AL162</f>
        <v/>
      </c>
      <c r="AW162" s="9">
        <f>AS162/AL162-1</f>
        <v/>
      </c>
      <c r="AX162" s="14">
        <f>AS162/AJ162/12</f>
        <v/>
      </c>
      <c r="AY162" s="14">
        <f>AF162</f>
        <v/>
      </c>
      <c r="AZ162" s="39">
        <f>AX162-AF162</f>
        <v/>
      </c>
      <c r="BA162" s="14">
        <f>SUMIFS(Donnees_regimes!$S$3:$S$1118,Donnees_regimes!$A$3:$A$1118,C162,Donnees_regimes!$B$3:$B$1118,"&gt;="&amp;G162,Donnees_regimes!$B$3:$B$1118,"&lt;="&amp;N162)*L162/ROUNDUP(L162,0)*SUMIFS(Donnees_annuelles!$AH$3:$AH$188,Donnees_annuelles!$A$3:$A$188,AR162)*SUMIFS(Donnees_annuelles!$AA$3:$AA$188,Donnees_annuelles!$A$3:$A$188,AR162)</f>
        <v/>
      </c>
      <c r="BB162" s="39">
        <f>BA162-AL162</f>
        <v/>
      </c>
      <c r="BC162" s="7">
        <f>IF(M162+AJ162&gt;2026,IF(G162&gt;2026,"entièrement projeté","en partie projeté"),"observé")</f>
        <v/>
      </c>
    </row>
    <row r="163">
      <c r="A163" s="7" t="inlineStr">
        <is>
          <t>Génération Y</t>
        </is>
      </c>
      <c r="B163" s="84" t="inlineStr">
        <is>
          <t>Fonction publique d'État</t>
        </is>
      </c>
      <c r="C163" s="7">
        <f>IF(G163&gt;=SUMIFS(Regimes!$C$5:$C$10,Regimes!$A$5:$A$10,B163),"Privé",B163)</f>
        <v/>
      </c>
      <c r="D163" s="7">
        <f>INDEX(Regimes!$D$5:$D$10,MATCH(C163,Regimes!$A$5:$A$10,0))</f>
        <v/>
      </c>
      <c r="E163" s="88" t="n">
        <v>1990</v>
      </c>
      <c r="F163" s="8">
        <f>Donnees_generations!C78</f>
        <v/>
      </c>
      <c r="G163" s="77">
        <f>Donnees_generations!D78</f>
        <v/>
      </c>
      <c r="H163" s="8">
        <f>SUMIFS(Donnees_generations!$S$3:$S$113,Donnees_generations!$A$3:$A$113,MAX(1915,MIN(2025,E163)))</f>
        <v/>
      </c>
      <c r="I163" s="8">
        <f>SUMIFS(Donnees_generations!$T$3:$T$113,Donnees_generations!$A$3:$A$113,MAX(1915,MIN(2025,E163)))</f>
        <v/>
      </c>
      <c r="J163" s="8">
        <f>IF(G163&gt;=2000,MAX(I163,Parametres!$B$3),I163)</f>
        <v/>
      </c>
      <c r="K163" s="8">
        <f>IF(C163="Privé",J163,SUMIFS(Regles_regimes!$J$3:$J$2000,Regles_regimes!$A$3:$A$2000,C163,Regles_regimes!$B$3:$B$2000,D163,Regles_regimes!$C$3:$C$2000,MAX(1915,MIN(2025,E163))))</f>
        <v/>
      </c>
      <c r="L163" s="8">
        <f>IF(C163="Privé",H163,(K163-F163)*H163/(J163-F163))</f>
        <v/>
      </c>
      <c r="M163" s="77">
        <f>INT(E163+K163)</f>
        <v/>
      </c>
      <c r="N163" s="77">
        <f>G163+ROUNDUP(L163,0)-1</f>
        <v/>
      </c>
      <c r="O163" s="89">
        <f>SUMIFS(Regles_regimes!$K$3:$K$2000,Regles_regimes!$A$3:$A$2000,C163,Regles_regimes!$B$3:$B$2000,D163,Regles_regimes!$C$3:$C$2000,MAX(1915,MIN(2025,E163)))</f>
        <v/>
      </c>
      <c r="P163" s="13">
        <f>SUMIFS(Donnees_annuelles!$W$3:$W$188,Donnees_annuelles!$A$3:$A$188,"&gt;="&amp;G163,Donnees_annuelles!$A$3:$A$188,"&lt;="&amp;N163)*L163/ROUNDUP(L163,0)*O163</f>
        <v/>
      </c>
      <c r="Q163" s="13">
        <f>SUMIFS(Donnees_annuelles!$V$3:$V$188,Donnees_annuelles!$A$3:$A$188,"&gt;="&amp;G163,Donnees_annuelles!$A$3:$A$188,"&lt;="&amp;N163)*L163/ROUNDUP(L163,0)</f>
        <v/>
      </c>
      <c r="R163" s="13">
        <f>P163/L163</f>
        <v/>
      </c>
      <c r="S163" s="14">
        <f>SUMIFS(Donnees_annuelles!$D$3:$D$188,Donnees_annuelles!$A$3:$A$188,"&gt;="&amp;G163,Donnees_annuelles!$A$3:$A$188,"&lt;="&amp;N163)*L163/ROUNDUP(L163,0)</f>
        <v/>
      </c>
      <c r="T163" s="14">
        <f>SUMIFS(Donnees_regimes!$N$3:$N$1118,Donnees_regimes!$A$3:$A$1118,C163,Donnees_regimes!$B$3:$B$1118,"&gt;="&amp;G163,Donnees_regimes!$B$3:$B$1118,"&lt;="&amp;N163)*L163/ROUNDUP(L163,0)</f>
        <v/>
      </c>
      <c r="U163" s="14">
        <f>SUMIFS(Donnees_regimes!$O$3:$O$1118,Donnees_regimes!$A$3:$A$1118,C163,Donnees_regimes!$B$3:$B$1118,"&gt;="&amp;G163,Donnees_regimes!$B$3:$B$1118,"&lt;="&amp;N163)*L163/ROUNDUP(L163,0)</f>
        <v/>
      </c>
      <c r="V163" s="14">
        <f>T163+U163</f>
        <v/>
      </c>
      <c r="W163" s="33">
        <f>V163/S163</f>
        <v/>
      </c>
      <c r="X163" s="14">
        <f>S163+U163</f>
        <v/>
      </c>
      <c r="Y163" s="17">
        <f>V163/P163</f>
        <v/>
      </c>
      <c r="Z163" s="14">
        <f>SUMIFS(Donnees_regimes!$Q$3:$Q$1118,Donnees_regimes!$A$3:$A$1118,C163,Donnees_regimes!$B$3:$B$1118,"&gt;="&amp;G163,Donnees_regimes!$B$3:$B$1118,"&lt;="&amp;N163)*L163/ROUNDUP(L163,0)</f>
        <v/>
      </c>
      <c r="AA163" s="77">
        <f>SUMIFS(Regles_regimes!$F$3:$F$2000,Regles_regimes!$A$3:$A$2000,C163,Regles_regimes!$B$3:$B$2000,D163,Regles_regimes!$C$3:$C$2000,MAX(1915,MIN(2025,E163)))</f>
        <v/>
      </c>
      <c r="AB163" s="77">
        <f>IF(AND(SUMIFS(Regles_regimes!$L$3:$L$2000,Regles_regimes!$A$3:$A$2000,C163,Regles_regimes!$B$3:$B$2000,D163,Regles_regimes!$C$3:$C$2000,MAX(1915,MIN(2025,E163)))=1,G163&lt;2009,C163&lt;&gt;"Privé"),MIN(20,L163*4/5),0)</f>
        <v/>
      </c>
      <c r="AC163" s="89">
        <f>SUMIFS(Donnees_regimes!$M$3:$M$1118,Donnees_regimes!$A$3:$A$1118,C163,Donnees_regimes!$B$3:$B$1118,M163)</f>
        <v/>
      </c>
      <c r="AD163" s="14">
        <f>SUMIFS(Donnees_annuelles!$Y$3:$Y$188,Donnees_annuelles!$A$3:$A$188,M163)*SUMIFS(Donnees_generations!$I$3:$I$113,Donnees_generations!$A$3:$A$113,MAX(1915,MIN(2025,E163)))/H163</f>
        <v/>
      </c>
      <c r="AE163" s="14">
        <f>IF(C163="Privé",SUMIFS(Donnees_annuelles!$Y$3:$Y$188,Donnees_annuelles!$A$3:$A$188,M163)*MIN(L163,SUMIFS(Donnees_generations!$I$3:$I$113,Donnees_generations!$A$3:$A$113,MAX(1915,MIN(2025,E163))))/L163,AD163*AC163*MIN(IF(AB163&gt;0,0.8/0.75,1),(L163*4+AB163)/AA163))</f>
        <v/>
      </c>
      <c r="AF163" s="14">
        <f>AE163/12</f>
        <v/>
      </c>
      <c r="AG163" s="77">
        <f>MIN(68,MAX(56,2*INT(K163/2)))</f>
        <v/>
      </c>
      <c r="AH163" s="75">
        <f>(CHOOSE((AG163-56)/2+1,SUMIFS(Donnees_generations!$U$3:$U$113,Donnees_generations!$A$3:$A$113,MAX(1915,MIN(2025,E163))),SUMIFS(Donnees_generations!$V$3:$V$113,Donnees_generations!$A$3:$A$113,MAX(1915,MIN(2025,E163))),SUMIFS(Donnees_generations!$W$3:$W$113,Donnees_generations!$A$3:$A$113,MAX(1915,MIN(2025,E163))),SUMIFS(Donnees_generations!$X$3:$X$113,Donnees_generations!$A$3:$A$113,MAX(1915,MIN(2025,E163))),SUMIFS(Donnees_generations!$Y$3:$Y$113,Donnees_generations!$A$3:$A$113,MAX(1915,MIN(2025,E163))),SUMIFS(Donnees_generations!$Z$3:$Z$113,Donnees_generations!$A$3:$A$113,MAX(1915,MIN(2025,E163))),SUMIFS(Donnees_generations!$AA$3:$AA$113,Donnees_generations!$A$3:$A$113,MAX(1915,MIN(2025,E163))),SUMIFS(Donnees_generations!$AB$3:$AB$113,Donnees_generations!$A$3:$A$113,MAX(1915,MIN(2025,E163))))+CHOOSE((AG163-56)/2+1,SUMIFS(Donnees_generations!$AC$3:$AC$113,Donnees_generations!$A$3:$A$113,MAX(1915,MIN(2025,E163))),SUMIFS(Donnees_generations!$AD$3:$AD$113,Donnees_generations!$A$3:$A$113,MAX(1915,MIN(2025,E163))),SUMIFS(Donnees_generations!$AE$3:$AE$113,Donnees_generations!$A$3:$A$113,MAX(1915,MIN(2025,E163))),SUMIFS(Donnees_generations!$AF$3:$AF$113,Donnees_generations!$A$3:$A$113,MAX(1915,MIN(2025,E163))),SUMIFS(Donnees_generations!$AG$3:$AG$113,Donnees_generations!$A$3:$A$113,MAX(1915,MIN(2025,E163))),SUMIFS(Donnees_generations!$AH$3:$AH$113,Donnees_generations!$A$3:$A$113,MAX(1915,MIN(2025,E163))),SUMIFS(Donnees_generations!$AI$3:$AI$113,Donnees_generations!$A$3:$A$113,MAX(1915,MIN(2025,E163))),SUMIFS(Donnees_generations!$AJ$3:$AJ$113,Donnees_generations!$A$3:$A$113,MAX(1915,MIN(2025,E163)))))/2</f>
        <v/>
      </c>
      <c r="AI163" s="75">
        <f>(CHOOSE(((AG163+2)-56)/2+1,SUMIFS(Donnees_generations!$U$3:$U$113,Donnees_generations!$A$3:$A$113,MAX(1915,MIN(2025,E163))),SUMIFS(Donnees_generations!$V$3:$V$113,Donnees_generations!$A$3:$A$113,MAX(1915,MIN(2025,E163))),SUMIFS(Donnees_generations!$W$3:$W$113,Donnees_generations!$A$3:$A$113,MAX(1915,MIN(2025,E163))),SUMIFS(Donnees_generations!$X$3:$X$113,Donnees_generations!$A$3:$A$113,MAX(1915,MIN(2025,E163))),SUMIFS(Donnees_generations!$Y$3:$Y$113,Donnees_generations!$A$3:$A$113,MAX(1915,MIN(2025,E163))),SUMIFS(Donnees_generations!$Z$3:$Z$113,Donnees_generations!$A$3:$A$113,MAX(1915,MIN(2025,E163))),SUMIFS(Donnees_generations!$AA$3:$AA$113,Donnees_generations!$A$3:$A$113,MAX(1915,MIN(2025,E163))),SUMIFS(Donnees_generations!$AB$3:$AB$113,Donnees_generations!$A$3:$A$113,MAX(1915,MIN(2025,E163))))+CHOOSE(((AG163+2)-56)/2+1,SUMIFS(Donnees_generations!$AC$3:$AC$113,Donnees_generations!$A$3:$A$113,MAX(1915,MIN(2025,E163))),SUMIFS(Donnees_generations!$AD$3:$AD$113,Donnees_generations!$A$3:$A$113,MAX(1915,MIN(2025,E163))),SUMIFS(Donnees_generations!$AE$3:$AE$113,Donnees_generations!$A$3:$A$113,MAX(1915,MIN(2025,E163))),SUMIFS(Donnees_generations!$AF$3:$AF$113,Donnees_generations!$A$3:$A$113,MAX(1915,MIN(2025,E163))),SUMIFS(Donnees_generations!$AG$3:$AG$113,Donnees_generations!$A$3:$A$113,MAX(1915,MIN(2025,E163))),SUMIFS(Donnees_generations!$AH$3:$AH$113,Donnees_generations!$A$3:$A$113,MAX(1915,MIN(2025,E163))),SUMIFS(Donnees_generations!$AI$3:$AI$113,Donnees_generations!$A$3:$A$113,MAX(1915,MIN(2025,E163))),SUMIFS(Donnees_generations!$AJ$3:$AJ$113,Donnees_generations!$A$3:$A$113,MAX(1915,MIN(2025,E163)))))/2</f>
        <v/>
      </c>
      <c r="AJ163" s="8">
        <f>MAX(0,AH163+(AI163-AH163)*(K163-AG163)/2)</f>
        <v/>
      </c>
      <c r="AK163" s="8">
        <f>K163+AJ163</f>
        <v/>
      </c>
      <c r="AL163" s="14">
        <f>AE163*AJ163</f>
        <v/>
      </c>
      <c r="AM163" s="17">
        <f>V163/AL163</f>
        <v/>
      </c>
      <c r="AN163" s="17">
        <f>Z163/AL163</f>
        <v/>
      </c>
      <c r="AO163" s="33">
        <f>IF(V163+Z163=0,0,Z163/(V163+Z163))</f>
        <v/>
      </c>
      <c r="AP163" s="14">
        <f>AL163/V163*100</f>
        <v/>
      </c>
      <c r="AQ163" s="8">
        <f>P163/AL163*1000</f>
        <v/>
      </c>
      <c r="AR163" s="77">
        <f>MAX(N163,M163-1)</f>
        <v/>
      </c>
      <c r="AS163" s="14">
        <f>SUMIFS(Donnees_regimes!$R$3:$R$1118,Donnees_regimes!$A$3:$A$1118,C163,Donnees_regimes!$B$3:$B$1118,"&gt;="&amp;G163,Donnees_regimes!$B$3:$B$1118,"&lt;="&amp;N163)*L163/ROUNDUP(L163,0)*SUMIFS(Donnees_annuelles!$AG$3:$AG$188,Donnees_annuelles!$A$3:$A$188,AR163)*SUMIFS(Donnees_annuelles!$AA$3:$AA$188,Donnees_annuelles!$A$3:$A$188,AR163)</f>
        <v/>
      </c>
      <c r="AT163" s="36">
        <f>AS163/V163</f>
        <v/>
      </c>
      <c r="AU163" s="14">
        <f>AL163</f>
        <v/>
      </c>
      <c r="AV163" s="39">
        <f>AS163-AL163</f>
        <v/>
      </c>
      <c r="AW163" s="9">
        <f>AS163/AL163-1</f>
        <v/>
      </c>
      <c r="AX163" s="14">
        <f>AS163/AJ163/12</f>
        <v/>
      </c>
      <c r="AY163" s="14">
        <f>AF163</f>
        <v/>
      </c>
      <c r="AZ163" s="39">
        <f>AX163-AF163</f>
        <v/>
      </c>
      <c r="BA163" s="14">
        <f>SUMIFS(Donnees_regimes!$S$3:$S$1118,Donnees_regimes!$A$3:$A$1118,C163,Donnees_regimes!$B$3:$B$1118,"&gt;="&amp;G163,Donnees_regimes!$B$3:$B$1118,"&lt;="&amp;N163)*L163/ROUNDUP(L163,0)*SUMIFS(Donnees_annuelles!$AH$3:$AH$188,Donnees_annuelles!$A$3:$A$188,AR163)*SUMIFS(Donnees_annuelles!$AA$3:$AA$188,Donnees_annuelles!$A$3:$A$188,AR163)</f>
        <v/>
      </c>
      <c r="BB163" s="39">
        <f>BA163-AL163</f>
        <v/>
      </c>
      <c r="BC163" s="7">
        <f>IF(M163+AJ163&gt;2026,IF(G163&gt;2026,"entièrement projeté","en partie projeté"),"observé")</f>
        <v/>
      </c>
    </row>
    <row r="164">
      <c r="A164" s="7" t="inlineStr">
        <is>
          <t>Génération Y</t>
        </is>
      </c>
      <c r="B164" s="84" t="inlineStr">
        <is>
          <t>Fonction publique d'État</t>
        </is>
      </c>
      <c r="C164" s="7">
        <f>IF(G164&gt;=SUMIFS(Regimes!$C$5:$C$10,Regimes!$A$5:$A$10,B164),"Privé",B164)</f>
        <v/>
      </c>
      <c r="D164" s="7">
        <f>INDEX(Regimes!$D$5:$D$10,MATCH(C164,Regimes!$A$5:$A$10,0))</f>
        <v/>
      </c>
      <c r="E164" s="88" t="n">
        <v>1991</v>
      </c>
      <c r="F164" s="8">
        <f>Donnees_generations!C79</f>
        <v/>
      </c>
      <c r="G164" s="77">
        <f>Donnees_generations!D79</f>
        <v/>
      </c>
      <c r="H164" s="8">
        <f>SUMIFS(Donnees_generations!$S$3:$S$113,Donnees_generations!$A$3:$A$113,MAX(1915,MIN(2025,E164)))</f>
        <v/>
      </c>
      <c r="I164" s="8">
        <f>SUMIFS(Donnees_generations!$T$3:$T$113,Donnees_generations!$A$3:$A$113,MAX(1915,MIN(2025,E164)))</f>
        <v/>
      </c>
      <c r="J164" s="8">
        <f>IF(G164&gt;=2000,MAX(I164,Parametres!$B$3),I164)</f>
        <v/>
      </c>
      <c r="K164" s="8">
        <f>IF(C164="Privé",J164,SUMIFS(Regles_regimes!$J$3:$J$2000,Regles_regimes!$A$3:$A$2000,C164,Regles_regimes!$B$3:$B$2000,D164,Regles_regimes!$C$3:$C$2000,MAX(1915,MIN(2025,E164))))</f>
        <v/>
      </c>
      <c r="L164" s="8">
        <f>IF(C164="Privé",H164,(K164-F164)*H164/(J164-F164))</f>
        <v/>
      </c>
      <c r="M164" s="77">
        <f>INT(E164+K164)</f>
        <v/>
      </c>
      <c r="N164" s="77">
        <f>G164+ROUNDUP(L164,0)-1</f>
        <v/>
      </c>
      <c r="O164" s="89">
        <f>SUMIFS(Regles_regimes!$K$3:$K$2000,Regles_regimes!$A$3:$A$2000,C164,Regles_regimes!$B$3:$B$2000,D164,Regles_regimes!$C$3:$C$2000,MAX(1915,MIN(2025,E164)))</f>
        <v/>
      </c>
      <c r="P164" s="13">
        <f>SUMIFS(Donnees_annuelles!$W$3:$W$188,Donnees_annuelles!$A$3:$A$188,"&gt;="&amp;G164,Donnees_annuelles!$A$3:$A$188,"&lt;="&amp;N164)*L164/ROUNDUP(L164,0)*O164</f>
        <v/>
      </c>
      <c r="Q164" s="13">
        <f>SUMIFS(Donnees_annuelles!$V$3:$V$188,Donnees_annuelles!$A$3:$A$188,"&gt;="&amp;G164,Donnees_annuelles!$A$3:$A$188,"&lt;="&amp;N164)*L164/ROUNDUP(L164,0)</f>
        <v/>
      </c>
      <c r="R164" s="13">
        <f>P164/L164</f>
        <v/>
      </c>
      <c r="S164" s="14">
        <f>SUMIFS(Donnees_annuelles!$D$3:$D$188,Donnees_annuelles!$A$3:$A$188,"&gt;="&amp;G164,Donnees_annuelles!$A$3:$A$188,"&lt;="&amp;N164)*L164/ROUNDUP(L164,0)</f>
        <v/>
      </c>
      <c r="T164" s="14">
        <f>SUMIFS(Donnees_regimes!$N$3:$N$1118,Donnees_regimes!$A$3:$A$1118,C164,Donnees_regimes!$B$3:$B$1118,"&gt;="&amp;G164,Donnees_regimes!$B$3:$B$1118,"&lt;="&amp;N164)*L164/ROUNDUP(L164,0)</f>
        <v/>
      </c>
      <c r="U164" s="14">
        <f>SUMIFS(Donnees_regimes!$O$3:$O$1118,Donnees_regimes!$A$3:$A$1118,C164,Donnees_regimes!$B$3:$B$1118,"&gt;="&amp;G164,Donnees_regimes!$B$3:$B$1118,"&lt;="&amp;N164)*L164/ROUNDUP(L164,0)</f>
        <v/>
      </c>
      <c r="V164" s="14">
        <f>T164+U164</f>
        <v/>
      </c>
      <c r="W164" s="33">
        <f>V164/S164</f>
        <v/>
      </c>
      <c r="X164" s="14">
        <f>S164+U164</f>
        <v/>
      </c>
      <c r="Y164" s="17">
        <f>V164/P164</f>
        <v/>
      </c>
      <c r="Z164" s="14">
        <f>SUMIFS(Donnees_regimes!$Q$3:$Q$1118,Donnees_regimes!$A$3:$A$1118,C164,Donnees_regimes!$B$3:$B$1118,"&gt;="&amp;G164,Donnees_regimes!$B$3:$B$1118,"&lt;="&amp;N164)*L164/ROUNDUP(L164,0)</f>
        <v/>
      </c>
      <c r="AA164" s="77">
        <f>SUMIFS(Regles_regimes!$F$3:$F$2000,Regles_regimes!$A$3:$A$2000,C164,Regles_regimes!$B$3:$B$2000,D164,Regles_regimes!$C$3:$C$2000,MAX(1915,MIN(2025,E164)))</f>
        <v/>
      </c>
      <c r="AB164" s="77">
        <f>IF(AND(SUMIFS(Regles_regimes!$L$3:$L$2000,Regles_regimes!$A$3:$A$2000,C164,Regles_regimes!$B$3:$B$2000,D164,Regles_regimes!$C$3:$C$2000,MAX(1915,MIN(2025,E164)))=1,G164&lt;2009,C164&lt;&gt;"Privé"),MIN(20,L164*4/5),0)</f>
        <v/>
      </c>
      <c r="AC164" s="89">
        <f>SUMIFS(Donnees_regimes!$M$3:$M$1118,Donnees_regimes!$A$3:$A$1118,C164,Donnees_regimes!$B$3:$B$1118,M164)</f>
        <v/>
      </c>
      <c r="AD164" s="14">
        <f>SUMIFS(Donnees_annuelles!$Y$3:$Y$188,Donnees_annuelles!$A$3:$A$188,M164)*SUMIFS(Donnees_generations!$I$3:$I$113,Donnees_generations!$A$3:$A$113,MAX(1915,MIN(2025,E164)))/H164</f>
        <v/>
      </c>
      <c r="AE164" s="14">
        <f>IF(C164="Privé",SUMIFS(Donnees_annuelles!$Y$3:$Y$188,Donnees_annuelles!$A$3:$A$188,M164)*MIN(L164,SUMIFS(Donnees_generations!$I$3:$I$113,Donnees_generations!$A$3:$A$113,MAX(1915,MIN(2025,E164))))/L164,AD164*AC164*MIN(IF(AB164&gt;0,0.8/0.75,1),(L164*4+AB164)/AA164))</f>
        <v/>
      </c>
      <c r="AF164" s="14">
        <f>AE164/12</f>
        <v/>
      </c>
      <c r="AG164" s="77">
        <f>MIN(68,MAX(56,2*INT(K164/2)))</f>
        <v/>
      </c>
      <c r="AH164" s="75">
        <f>(CHOOSE((AG164-56)/2+1,SUMIFS(Donnees_generations!$U$3:$U$113,Donnees_generations!$A$3:$A$113,MAX(1915,MIN(2025,E164))),SUMIFS(Donnees_generations!$V$3:$V$113,Donnees_generations!$A$3:$A$113,MAX(1915,MIN(2025,E164))),SUMIFS(Donnees_generations!$W$3:$W$113,Donnees_generations!$A$3:$A$113,MAX(1915,MIN(2025,E164))),SUMIFS(Donnees_generations!$X$3:$X$113,Donnees_generations!$A$3:$A$113,MAX(1915,MIN(2025,E164))),SUMIFS(Donnees_generations!$Y$3:$Y$113,Donnees_generations!$A$3:$A$113,MAX(1915,MIN(2025,E164))),SUMIFS(Donnees_generations!$Z$3:$Z$113,Donnees_generations!$A$3:$A$113,MAX(1915,MIN(2025,E164))),SUMIFS(Donnees_generations!$AA$3:$AA$113,Donnees_generations!$A$3:$A$113,MAX(1915,MIN(2025,E164))),SUMIFS(Donnees_generations!$AB$3:$AB$113,Donnees_generations!$A$3:$A$113,MAX(1915,MIN(2025,E164))))+CHOOSE((AG164-56)/2+1,SUMIFS(Donnees_generations!$AC$3:$AC$113,Donnees_generations!$A$3:$A$113,MAX(1915,MIN(2025,E164))),SUMIFS(Donnees_generations!$AD$3:$AD$113,Donnees_generations!$A$3:$A$113,MAX(1915,MIN(2025,E164))),SUMIFS(Donnees_generations!$AE$3:$AE$113,Donnees_generations!$A$3:$A$113,MAX(1915,MIN(2025,E164))),SUMIFS(Donnees_generations!$AF$3:$AF$113,Donnees_generations!$A$3:$A$113,MAX(1915,MIN(2025,E164))),SUMIFS(Donnees_generations!$AG$3:$AG$113,Donnees_generations!$A$3:$A$113,MAX(1915,MIN(2025,E164))),SUMIFS(Donnees_generations!$AH$3:$AH$113,Donnees_generations!$A$3:$A$113,MAX(1915,MIN(2025,E164))),SUMIFS(Donnees_generations!$AI$3:$AI$113,Donnees_generations!$A$3:$A$113,MAX(1915,MIN(2025,E164))),SUMIFS(Donnees_generations!$AJ$3:$AJ$113,Donnees_generations!$A$3:$A$113,MAX(1915,MIN(2025,E164)))))/2</f>
        <v/>
      </c>
      <c r="AI164" s="75">
        <f>(CHOOSE(((AG164+2)-56)/2+1,SUMIFS(Donnees_generations!$U$3:$U$113,Donnees_generations!$A$3:$A$113,MAX(1915,MIN(2025,E164))),SUMIFS(Donnees_generations!$V$3:$V$113,Donnees_generations!$A$3:$A$113,MAX(1915,MIN(2025,E164))),SUMIFS(Donnees_generations!$W$3:$W$113,Donnees_generations!$A$3:$A$113,MAX(1915,MIN(2025,E164))),SUMIFS(Donnees_generations!$X$3:$X$113,Donnees_generations!$A$3:$A$113,MAX(1915,MIN(2025,E164))),SUMIFS(Donnees_generations!$Y$3:$Y$113,Donnees_generations!$A$3:$A$113,MAX(1915,MIN(2025,E164))),SUMIFS(Donnees_generations!$Z$3:$Z$113,Donnees_generations!$A$3:$A$113,MAX(1915,MIN(2025,E164))),SUMIFS(Donnees_generations!$AA$3:$AA$113,Donnees_generations!$A$3:$A$113,MAX(1915,MIN(2025,E164))),SUMIFS(Donnees_generations!$AB$3:$AB$113,Donnees_generations!$A$3:$A$113,MAX(1915,MIN(2025,E164))))+CHOOSE(((AG164+2)-56)/2+1,SUMIFS(Donnees_generations!$AC$3:$AC$113,Donnees_generations!$A$3:$A$113,MAX(1915,MIN(2025,E164))),SUMIFS(Donnees_generations!$AD$3:$AD$113,Donnees_generations!$A$3:$A$113,MAX(1915,MIN(2025,E164))),SUMIFS(Donnees_generations!$AE$3:$AE$113,Donnees_generations!$A$3:$A$113,MAX(1915,MIN(2025,E164))),SUMIFS(Donnees_generations!$AF$3:$AF$113,Donnees_generations!$A$3:$A$113,MAX(1915,MIN(2025,E164))),SUMIFS(Donnees_generations!$AG$3:$AG$113,Donnees_generations!$A$3:$A$113,MAX(1915,MIN(2025,E164))),SUMIFS(Donnees_generations!$AH$3:$AH$113,Donnees_generations!$A$3:$A$113,MAX(1915,MIN(2025,E164))),SUMIFS(Donnees_generations!$AI$3:$AI$113,Donnees_generations!$A$3:$A$113,MAX(1915,MIN(2025,E164))),SUMIFS(Donnees_generations!$AJ$3:$AJ$113,Donnees_generations!$A$3:$A$113,MAX(1915,MIN(2025,E164)))))/2</f>
        <v/>
      </c>
      <c r="AJ164" s="8">
        <f>MAX(0,AH164+(AI164-AH164)*(K164-AG164)/2)</f>
        <v/>
      </c>
      <c r="AK164" s="8">
        <f>K164+AJ164</f>
        <v/>
      </c>
      <c r="AL164" s="14">
        <f>AE164*AJ164</f>
        <v/>
      </c>
      <c r="AM164" s="17">
        <f>V164/AL164</f>
        <v/>
      </c>
      <c r="AN164" s="17">
        <f>Z164/AL164</f>
        <v/>
      </c>
      <c r="AO164" s="33">
        <f>IF(V164+Z164=0,0,Z164/(V164+Z164))</f>
        <v/>
      </c>
      <c r="AP164" s="14">
        <f>AL164/V164*100</f>
        <v/>
      </c>
      <c r="AQ164" s="8">
        <f>P164/AL164*1000</f>
        <v/>
      </c>
      <c r="AR164" s="77">
        <f>MAX(N164,M164-1)</f>
        <v/>
      </c>
      <c r="AS164" s="14">
        <f>SUMIFS(Donnees_regimes!$R$3:$R$1118,Donnees_regimes!$A$3:$A$1118,C164,Donnees_regimes!$B$3:$B$1118,"&gt;="&amp;G164,Donnees_regimes!$B$3:$B$1118,"&lt;="&amp;N164)*L164/ROUNDUP(L164,0)*SUMIFS(Donnees_annuelles!$AG$3:$AG$188,Donnees_annuelles!$A$3:$A$188,AR164)*SUMIFS(Donnees_annuelles!$AA$3:$AA$188,Donnees_annuelles!$A$3:$A$188,AR164)</f>
        <v/>
      </c>
      <c r="AT164" s="36">
        <f>AS164/V164</f>
        <v/>
      </c>
      <c r="AU164" s="14">
        <f>AL164</f>
        <v/>
      </c>
      <c r="AV164" s="39">
        <f>AS164-AL164</f>
        <v/>
      </c>
      <c r="AW164" s="9">
        <f>AS164/AL164-1</f>
        <v/>
      </c>
      <c r="AX164" s="14">
        <f>AS164/AJ164/12</f>
        <v/>
      </c>
      <c r="AY164" s="14">
        <f>AF164</f>
        <v/>
      </c>
      <c r="AZ164" s="39">
        <f>AX164-AF164</f>
        <v/>
      </c>
      <c r="BA164" s="14">
        <f>SUMIFS(Donnees_regimes!$S$3:$S$1118,Donnees_regimes!$A$3:$A$1118,C164,Donnees_regimes!$B$3:$B$1118,"&gt;="&amp;G164,Donnees_regimes!$B$3:$B$1118,"&lt;="&amp;N164)*L164/ROUNDUP(L164,0)*SUMIFS(Donnees_annuelles!$AH$3:$AH$188,Donnees_annuelles!$A$3:$A$188,AR164)*SUMIFS(Donnees_annuelles!$AA$3:$AA$188,Donnees_annuelles!$A$3:$A$188,AR164)</f>
        <v/>
      </c>
      <c r="BB164" s="39">
        <f>BA164-AL164</f>
        <v/>
      </c>
      <c r="BC164" s="7">
        <f>IF(M164+AJ164&gt;2026,IF(G164&gt;2026,"entièrement projeté","en partie projeté"),"observé")</f>
        <v/>
      </c>
    </row>
    <row r="165">
      <c r="A165" s="7" t="inlineStr">
        <is>
          <t>Génération Y</t>
        </is>
      </c>
      <c r="B165" s="84" t="inlineStr">
        <is>
          <t>Fonction publique d'État</t>
        </is>
      </c>
      <c r="C165" s="7">
        <f>IF(G165&gt;=SUMIFS(Regimes!$C$5:$C$10,Regimes!$A$5:$A$10,B165),"Privé",B165)</f>
        <v/>
      </c>
      <c r="D165" s="7">
        <f>INDEX(Regimes!$D$5:$D$10,MATCH(C165,Regimes!$A$5:$A$10,0))</f>
        <v/>
      </c>
      <c r="E165" s="88" t="n">
        <v>1992</v>
      </c>
      <c r="F165" s="8">
        <f>Donnees_generations!C80</f>
        <v/>
      </c>
      <c r="G165" s="77">
        <f>Donnees_generations!D80</f>
        <v/>
      </c>
      <c r="H165" s="8">
        <f>SUMIFS(Donnees_generations!$S$3:$S$113,Donnees_generations!$A$3:$A$113,MAX(1915,MIN(2025,E165)))</f>
        <v/>
      </c>
      <c r="I165" s="8">
        <f>SUMIFS(Donnees_generations!$T$3:$T$113,Donnees_generations!$A$3:$A$113,MAX(1915,MIN(2025,E165)))</f>
        <v/>
      </c>
      <c r="J165" s="8">
        <f>IF(G165&gt;=2000,MAX(I165,Parametres!$B$3),I165)</f>
        <v/>
      </c>
      <c r="K165" s="8">
        <f>IF(C165="Privé",J165,SUMIFS(Regles_regimes!$J$3:$J$2000,Regles_regimes!$A$3:$A$2000,C165,Regles_regimes!$B$3:$B$2000,D165,Regles_regimes!$C$3:$C$2000,MAX(1915,MIN(2025,E165))))</f>
        <v/>
      </c>
      <c r="L165" s="8">
        <f>IF(C165="Privé",H165,(K165-F165)*H165/(J165-F165))</f>
        <v/>
      </c>
      <c r="M165" s="77">
        <f>INT(E165+K165)</f>
        <v/>
      </c>
      <c r="N165" s="77">
        <f>G165+ROUNDUP(L165,0)-1</f>
        <v/>
      </c>
      <c r="O165" s="89">
        <f>SUMIFS(Regles_regimes!$K$3:$K$2000,Regles_regimes!$A$3:$A$2000,C165,Regles_regimes!$B$3:$B$2000,D165,Regles_regimes!$C$3:$C$2000,MAX(1915,MIN(2025,E165)))</f>
        <v/>
      </c>
      <c r="P165" s="13">
        <f>SUMIFS(Donnees_annuelles!$W$3:$W$188,Donnees_annuelles!$A$3:$A$188,"&gt;="&amp;G165,Donnees_annuelles!$A$3:$A$188,"&lt;="&amp;N165)*L165/ROUNDUP(L165,0)*O165</f>
        <v/>
      </c>
      <c r="Q165" s="13">
        <f>SUMIFS(Donnees_annuelles!$V$3:$V$188,Donnees_annuelles!$A$3:$A$188,"&gt;="&amp;G165,Donnees_annuelles!$A$3:$A$188,"&lt;="&amp;N165)*L165/ROUNDUP(L165,0)</f>
        <v/>
      </c>
      <c r="R165" s="13">
        <f>P165/L165</f>
        <v/>
      </c>
      <c r="S165" s="14">
        <f>SUMIFS(Donnees_annuelles!$D$3:$D$188,Donnees_annuelles!$A$3:$A$188,"&gt;="&amp;G165,Donnees_annuelles!$A$3:$A$188,"&lt;="&amp;N165)*L165/ROUNDUP(L165,0)</f>
        <v/>
      </c>
      <c r="T165" s="14">
        <f>SUMIFS(Donnees_regimes!$N$3:$N$1118,Donnees_regimes!$A$3:$A$1118,C165,Donnees_regimes!$B$3:$B$1118,"&gt;="&amp;G165,Donnees_regimes!$B$3:$B$1118,"&lt;="&amp;N165)*L165/ROUNDUP(L165,0)</f>
        <v/>
      </c>
      <c r="U165" s="14">
        <f>SUMIFS(Donnees_regimes!$O$3:$O$1118,Donnees_regimes!$A$3:$A$1118,C165,Donnees_regimes!$B$3:$B$1118,"&gt;="&amp;G165,Donnees_regimes!$B$3:$B$1118,"&lt;="&amp;N165)*L165/ROUNDUP(L165,0)</f>
        <v/>
      </c>
      <c r="V165" s="14">
        <f>T165+U165</f>
        <v/>
      </c>
      <c r="W165" s="33">
        <f>V165/S165</f>
        <v/>
      </c>
      <c r="X165" s="14">
        <f>S165+U165</f>
        <v/>
      </c>
      <c r="Y165" s="17">
        <f>V165/P165</f>
        <v/>
      </c>
      <c r="Z165" s="14">
        <f>SUMIFS(Donnees_regimes!$Q$3:$Q$1118,Donnees_regimes!$A$3:$A$1118,C165,Donnees_regimes!$B$3:$B$1118,"&gt;="&amp;G165,Donnees_regimes!$B$3:$B$1118,"&lt;="&amp;N165)*L165/ROUNDUP(L165,0)</f>
        <v/>
      </c>
      <c r="AA165" s="77">
        <f>SUMIFS(Regles_regimes!$F$3:$F$2000,Regles_regimes!$A$3:$A$2000,C165,Regles_regimes!$B$3:$B$2000,D165,Regles_regimes!$C$3:$C$2000,MAX(1915,MIN(2025,E165)))</f>
        <v/>
      </c>
      <c r="AB165" s="77">
        <f>IF(AND(SUMIFS(Regles_regimes!$L$3:$L$2000,Regles_regimes!$A$3:$A$2000,C165,Regles_regimes!$B$3:$B$2000,D165,Regles_regimes!$C$3:$C$2000,MAX(1915,MIN(2025,E165)))=1,G165&lt;2009,C165&lt;&gt;"Privé"),MIN(20,L165*4/5),0)</f>
        <v/>
      </c>
      <c r="AC165" s="89">
        <f>SUMIFS(Donnees_regimes!$M$3:$M$1118,Donnees_regimes!$A$3:$A$1118,C165,Donnees_regimes!$B$3:$B$1118,M165)</f>
        <v/>
      </c>
      <c r="AD165" s="14">
        <f>SUMIFS(Donnees_annuelles!$Y$3:$Y$188,Donnees_annuelles!$A$3:$A$188,M165)*SUMIFS(Donnees_generations!$I$3:$I$113,Donnees_generations!$A$3:$A$113,MAX(1915,MIN(2025,E165)))/H165</f>
        <v/>
      </c>
      <c r="AE165" s="14">
        <f>IF(C165="Privé",SUMIFS(Donnees_annuelles!$Y$3:$Y$188,Donnees_annuelles!$A$3:$A$188,M165)*MIN(L165,SUMIFS(Donnees_generations!$I$3:$I$113,Donnees_generations!$A$3:$A$113,MAX(1915,MIN(2025,E165))))/L165,AD165*AC165*MIN(IF(AB165&gt;0,0.8/0.75,1),(L165*4+AB165)/AA165))</f>
        <v/>
      </c>
      <c r="AF165" s="14">
        <f>AE165/12</f>
        <v/>
      </c>
      <c r="AG165" s="77">
        <f>MIN(68,MAX(56,2*INT(K165/2)))</f>
        <v/>
      </c>
      <c r="AH165" s="75">
        <f>(CHOOSE((AG165-56)/2+1,SUMIFS(Donnees_generations!$U$3:$U$113,Donnees_generations!$A$3:$A$113,MAX(1915,MIN(2025,E165))),SUMIFS(Donnees_generations!$V$3:$V$113,Donnees_generations!$A$3:$A$113,MAX(1915,MIN(2025,E165))),SUMIFS(Donnees_generations!$W$3:$W$113,Donnees_generations!$A$3:$A$113,MAX(1915,MIN(2025,E165))),SUMIFS(Donnees_generations!$X$3:$X$113,Donnees_generations!$A$3:$A$113,MAX(1915,MIN(2025,E165))),SUMIFS(Donnees_generations!$Y$3:$Y$113,Donnees_generations!$A$3:$A$113,MAX(1915,MIN(2025,E165))),SUMIFS(Donnees_generations!$Z$3:$Z$113,Donnees_generations!$A$3:$A$113,MAX(1915,MIN(2025,E165))),SUMIFS(Donnees_generations!$AA$3:$AA$113,Donnees_generations!$A$3:$A$113,MAX(1915,MIN(2025,E165))),SUMIFS(Donnees_generations!$AB$3:$AB$113,Donnees_generations!$A$3:$A$113,MAX(1915,MIN(2025,E165))))+CHOOSE((AG165-56)/2+1,SUMIFS(Donnees_generations!$AC$3:$AC$113,Donnees_generations!$A$3:$A$113,MAX(1915,MIN(2025,E165))),SUMIFS(Donnees_generations!$AD$3:$AD$113,Donnees_generations!$A$3:$A$113,MAX(1915,MIN(2025,E165))),SUMIFS(Donnees_generations!$AE$3:$AE$113,Donnees_generations!$A$3:$A$113,MAX(1915,MIN(2025,E165))),SUMIFS(Donnees_generations!$AF$3:$AF$113,Donnees_generations!$A$3:$A$113,MAX(1915,MIN(2025,E165))),SUMIFS(Donnees_generations!$AG$3:$AG$113,Donnees_generations!$A$3:$A$113,MAX(1915,MIN(2025,E165))),SUMIFS(Donnees_generations!$AH$3:$AH$113,Donnees_generations!$A$3:$A$113,MAX(1915,MIN(2025,E165))),SUMIFS(Donnees_generations!$AI$3:$AI$113,Donnees_generations!$A$3:$A$113,MAX(1915,MIN(2025,E165))),SUMIFS(Donnees_generations!$AJ$3:$AJ$113,Donnees_generations!$A$3:$A$113,MAX(1915,MIN(2025,E165)))))/2</f>
        <v/>
      </c>
      <c r="AI165" s="75">
        <f>(CHOOSE(((AG165+2)-56)/2+1,SUMIFS(Donnees_generations!$U$3:$U$113,Donnees_generations!$A$3:$A$113,MAX(1915,MIN(2025,E165))),SUMIFS(Donnees_generations!$V$3:$V$113,Donnees_generations!$A$3:$A$113,MAX(1915,MIN(2025,E165))),SUMIFS(Donnees_generations!$W$3:$W$113,Donnees_generations!$A$3:$A$113,MAX(1915,MIN(2025,E165))),SUMIFS(Donnees_generations!$X$3:$X$113,Donnees_generations!$A$3:$A$113,MAX(1915,MIN(2025,E165))),SUMIFS(Donnees_generations!$Y$3:$Y$113,Donnees_generations!$A$3:$A$113,MAX(1915,MIN(2025,E165))),SUMIFS(Donnees_generations!$Z$3:$Z$113,Donnees_generations!$A$3:$A$113,MAX(1915,MIN(2025,E165))),SUMIFS(Donnees_generations!$AA$3:$AA$113,Donnees_generations!$A$3:$A$113,MAX(1915,MIN(2025,E165))),SUMIFS(Donnees_generations!$AB$3:$AB$113,Donnees_generations!$A$3:$A$113,MAX(1915,MIN(2025,E165))))+CHOOSE(((AG165+2)-56)/2+1,SUMIFS(Donnees_generations!$AC$3:$AC$113,Donnees_generations!$A$3:$A$113,MAX(1915,MIN(2025,E165))),SUMIFS(Donnees_generations!$AD$3:$AD$113,Donnees_generations!$A$3:$A$113,MAX(1915,MIN(2025,E165))),SUMIFS(Donnees_generations!$AE$3:$AE$113,Donnees_generations!$A$3:$A$113,MAX(1915,MIN(2025,E165))),SUMIFS(Donnees_generations!$AF$3:$AF$113,Donnees_generations!$A$3:$A$113,MAX(1915,MIN(2025,E165))),SUMIFS(Donnees_generations!$AG$3:$AG$113,Donnees_generations!$A$3:$A$113,MAX(1915,MIN(2025,E165))),SUMIFS(Donnees_generations!$AH$3:$AH$113,Donnees_generations!$A$3:$A$113,MAX(1915,MIN(2025,E165))),SUMIFS(Donnees_generations!$AI$3:$AI$113,Donnees_generations!$A$3:$A$113,MAX(1915,MIN(2025,E165))),SUMIFS(Donnees_generations!$AJ$3:$AJ$113,Donnees_generations!$A$3:$A$113,MAX(1915,MIN(2025,E165)))))/2</f>
        <v/>
      </c>
      <c r="AJ165" s="8">
        <f>MAX(0,AH165+(AI165-AH165)*(K165-AG165)/2)</f>
        <v/>
      </c>
      <c r="AK165" s="8">
        <f>K165+AJ165</f>
        <v/>
      </c>
      <c r="AL165" s="14">
        <f>AE165*AJ165</f>
        <v/>
      </c>
      <c r="AM165" s="17">
        <f>V165/AL165</f>
        <v/>
      </c>
      <c r="AN165" s="17">
        <f>Z165/AL165</f>
        <v/>
      </c>
      <c r="AO165" s="33">
        <f>IF(V165+Z165=0,0,Z165/(V165+Z165))</f>
        <v/>
      </c>
      <c r="AP165" s="14">
        <f>AL165/V165*100</f>
        <v/>
      </c>
      <c r="AQ165" s="8">
        <f>P165/AL165*1000</f>
        <v/>
      </c>
      <c r="AR165" s="77">
        <f>MAX(N165,M165-1)</f>
        <v/>
      </c>
      <c r="AS165" s="14">
        <f>SUMIFS(Donnees_regimes!$R$3:$R$1118,Donnees_regimes!$A$3:$A$1118,C165,Donnees_regimes!$B$3:$B$1118,"&gt;="&amp;G165,Donnees_regimes!$B$3:$B$1118,"&lt;="&amp;N165)*L165/ROUNDUP(L165,0)*SUMIFS(Donnees_annuelles!$AG$3:$AG$188,Donnees_annuelles!$A$3:$A$188,AR165)*SUMIFS(Donnees_annuelles!$AA$3:$AA$188,Donnees_annuelles!$A$3:$A$188,AR165)</f>
        <v/>
      </c>
      <c r="AT165" s="36">
        <f>AS165/V165</f>
        <v/>
      </c>
      <c r="AU165" s="14">
        <f>AL165</f>
        <v/>
      </c>
      <c r="AV165" s="39">
        <f>AS165-AL165</f>
        <v/>
      </c>
      <c r="AW165" s="9">
        <f>AS165/AL165-1</f>
        <v/>
      </c>
      <c r="AX165" s="14">
        <f>AS165/AJ165/12</f>
        <v/>
      </c>
      <c r="AY165" s="14">
        <f>AF165</f>
        <v/>
      </c>
      <c r="AZ165" s="39">
        <f>AX165-AF165</f>
        <v/>
      </c>
      <c r="BA165" s="14">
        <f>SUMIFS(Donnees_regimes!$S$3:$S$1118,Donnees_regimes!$A$3:$A$1118,C165,Donnees_regimes!$B$3:$B$1118,"&gt;="&amp;G165,Donnees_regimes!$B$3:$B$1118,"&lt;="&amp;N165)*L165/ROUNDUP(L165,0)*SUMIFS(Donnees_annuelles!$AH$3:$AH$188,Donnees_annuelles!$A$3:$A$188,AR165)*SUMIFS(Donnees_annuelles!$AA$3:$AA$188,Donnees_annuelles!$A$3:$A$188,AR165)</f>
        <v/>
      </c>
      <c r="BB165" s="39">
        <f>BA165-AL165</f>
        <v/>
      </c>
      <c r="BC165" s="7">
        <f>IF(M165+AJ165&gt;2026,IF(G165&gt;2026,"entièrement projeté","en partie projeté"),"observé")</f>
        <v/>
      </c>
    </row>
    <row r="166">
      <c r="A166" s="7" t="inlineStr">
        <is>
          <t>Génération Y</t>
        </is>
      </c>
      <c r="B166" s="84" t="inlineStr">
        <is>
          <t>Fonction publique d'État</t>
        </is>
      </c>
      <c r="C166" s="7">
        <f>IF(G166&gt;=SUMIFS(Regimes!$C$5:$C$10,Regimes!$A$5:$A$10,B166),"Privé",B166)</f>
        <v/>
      </c>
      <c r="D166" s="7">
        <f>INDEX(Regimes!$D$5:$D$10,MATCH(C166,Regimes!$A$5:$A$10,0))</f>
        <v/>
      </c>
      <c r="E166" s="88" t="n">
        <v>1993</v>
      </c>
      <c r="F166" s="8">
        <f>Donnees_generations!C81</f>
        <v/>
      </c>
      <c r="G166" s="77">
        <f>Donnees_generations!D81</f>
        <v/>
      </c>
      <c r="H166" s="8">
        <f>SUMIFS(Donnees_generations!$S$3:$S$113,Donnees_generations!$A$3:$A$113,MAX(1915,MIN(2025,E166)))</f>
        <v/>
      </c>
      <c r="I166" s="8">
        <f>SUMIFS(Donnees_generations!$T$3:$T$113,Donnees_generations!$A$3:$A$113,MAX(1915,MIN(2025,E166)))</f>
        <v/>
      </c>
      <c r="J166" s="8">
        <f>IF(G166&gt;=2000,MAX(I166,Parametres!$B$3),I166)</f>
        <v/>
      </c>
      <c r="K166" s="8">
        <f>IF(C166="Privé",J166,SUMIFS(Regles_regimes!$J$3:$J$2000,Regles_regimes!$A$3:$A$2000,C166,Regles_regimes!$B$3:$B$2000,D166,Regles_regimes!$C$3:$C$2000,MAX(1915,MIN(2025,E166))))</f>
        <v/>
      </c>
      <c r="L166" s="8">
        <f>IF(C166="Privé",H166,(K166-F166)*H166/(J166-F166))</f>
        <v/>
      </c>
      <c r="M166" s="77">
        <f>INT(E166+K166)</f>
        <v/>
      </c>
      <c r="N166" s="77">
        <f>G166+ROUNDUP(L166,0)-1</f>
        <v/>
      </c>
      <c r="O166" s="89">
        <f>SUMIFS(Regles_regimes!$K$3:$K$2000,Regles_regimes!$A$3:$A$2000,C166,Regles_regimes!$B$3:$B$2000,D166,Regles_regimes!$C$3:$C$2000,MAX(1915,MIN(2025,E166)))</f>
        <v/>
      </c>
      <c r="P166" s="13">
        <f>SUMIFS(Donnees_annuelles!$W$3:$W$188,Donnees_annuelles!$A$3:$A$188,"&gt;="&amp;G166,Donnees_annuelles!$A$3:$A$188,"&lt;="&amp;N166)*L166/ROUNDUP(L166,0)*O166</f>
        <v/>
      </c>
      <c r="Q166" s="13">
        <f>SUMIFS(Donnees_annuelles!$V$3:$V$188,Donnees_annuelles!$A$3:$A$188,"&gt;="&amp;G166,Donnees_annuelles!$A$3:$A$188,"&lt;="&amp;N166)*L166/ROUNDUP(L166,0)</f>
        <v/>
      </c>
      <c r="R166" s="13">
        <f>P166/L166</f>
        <v/>
      </c>
      <c r="S166" s="14">
        <f>SUMIFS(Donnees_annuelles!$D$3:$D$188,Donnees_annuelles!$A$3:$A$188,"&gt;="&amp;G166,Donnees_annuelles!$A$3:$A$188,"&lt;="&amp;N166)*L166/ROUNDUP(L166,0)</f>
        <v/>
      </c>
      <c r="T166" s="14">
        <f>SUMIFS(Donnees_regimes!$N$3:$N$1118,Donnees_regimes!$A$3:$A$1118,C166,Donnees_regimes!$B$3:$B$1118,"&gt;="&amp;G166,Donnees_regimes!$B$3:$B$1118,"&lt;="&amp;N166)*L166/ROUNDUP(L166,0)</f>
        <v/>
      </c>
      <c r="U166" s="14">
        <f>SUMIFS(Donnees_regimes!$O$3:$O$1118,Donnees_regimes!$A$3:$A$1118,C166,Donnees_regimes!$B$3:$B$1118,"&gt;="&amp;G166,Donnees_regimes!$B$3:$B$1118,"&lt;="&amp;N166)*L166/ROUNDUP(L166,0)</f>
        <v/>
      </c>
      <c r="V166" s="14">
        <f>T166+U166</f>
        <v/>
      </c>
      <c r="W166" s="33">
        <f>V166/S166</f>
        <v/>
      </c>
      <c r="X166" s="14">
        <f>S166+U166</f>
        <v/>
      </c>
      <c r="Y166" s="17">
        <f>V166/P166</f>
        <v/>
      </c>
      <c r="Z166" s="14">
        <f>SUMIFS(Donnees_regimes!$Q$3:$Q$1118,Donnees_regimes!$A$3:$A$1118,C166,Donnees_regimes!$B$3:$B$1118,"&gt;="&amp;G166,Donnees_regimes!$B$3:$B$1118,"&lt;="&amp;N166)*L166/ROUNDUP(L166,0)</f>
        <v/>
      </c>
      <c r="AA166" s="77">
        <f>SUMIFS(Regles_regimes!$F$3:$F$2000,Regles_regimes!$A$3:$A$2000,C166,Regles_regimes!$B$3:$B$2000,D166,Regles_regimes!$C$3:$C$2000,MAX(1915,MIN(2025,E166)))</f>
        <v/>
      </c>
      <c r="AB166" s="77">
        <f>IF(AND(SUMIFS(Regles_regimes!$L$3:$L$2000,Regles_regimes!$A$3:$A$2000,C166,Regles_regimes!$B$3:$B$2000,D166,Regles_regimes!$C$3:$C$2000,MAX(1915,MIN(2025,E166)))=1,G166&lt;2009,C166&lt;&gt;"Privé"),MIN(20,L166*4/5),0)</f>
        <v/>
      </c>
      <c r="AC166" s="89">
        <f>SUMIFS(Donnees_regimes!$M$3:$M$1118,Donnees_regimes!$A$3:$A$1118,C166,Donnees_regimes!$B$3:$B$1118,M166)</f>
        <v/>
      </c>
      <c r="AD166" s="14">
        <f>SUMIFS(Donnees_annuelles!$Y$3:$Y$188,Donnees_annuelles!$A$3:$A$188,M166)*SUMIFS(Donnees_generations!$I$3:$I$113,Donnees_generations!$A$3:$A$113,MAX(1915,MIN(2025,E166)))/H166</f>
        <v/>
      </c>
      <c r="AE166" s="14">
        <f>IF(C166="Privé",SUMIFS(Donnees_annuelles!$Y$3:$Y$188,Donnees_annuelles!$A$3:$A$188,M166)*MIN(L166,SUMIFS(Donnees_generations!$I$3:$I$113,Donnees_generations!$A$3:$A$113,MAX(1915,MIN(2025,E166))))/L166,AD166*AC166*MIN(IF(AB166&gt;0,0.8/0.75,1),(L166*4+AB166)/AA166))</f>
        <v/>
      </c>
      <c r="AF166" s="14">
        <f>AE166/12</f>
        <v/>
      </c>
      <c r="AG166" s="77">
        <f>MIN(68,MAX(56,2*INT(K166/2)))</f>
        <v/>
      </c>
      <c r="AH166" s="75">
        <f>(CHOOSE((AG166-56)/2+1,SUMIFS(Donnees_generations!$U$3:$U$113,Donnees_generations!$A$3:$A$113,MAX(1915,MIN(2025,E166))),SUMIFS(Donnees_generations!$V$3:$V$113,Donnees_generations!$A$3:$A$113,MAX(1915,MIN(2025,E166))),SUMIFS(Donnees_generations!$W$3:$W$113,Donnees_generations!$A$3:$A$113,MAX(1915,MIN(2025,E166))),SUMIFS(Donnees_generations!$X$3:$X$113,Donnees_generations!$A$3:$A$113,MAX(1915,MIN(2025,E166))),SUMIFS(Donnees_generations!$Y$3:$Y$113,Donnees_generations!$A$3:$A$113,MAX(1915,MIN(2025,E166))),SUMIFS(Donnees_generations!$Z$3:$Z$113,Donnees_generations!$A$3:$A$113,MAX(1915,MIN(2025,E166))),SUMIFS(Donnees_generations!$AA$3:$AA$113,Donnees_generations!$A$3:$A$113,MAX(1915,MIN(2025,E166))),SUMIFS(Donnees_generations!$AB$3:$AB$113,Donnees_generations!$A$3:$A$113,MAX(1915,MIN(2025,E166))))+CHOOSE((AG166-56)/2+1,SUMIFS(Donnees_generations!$AC$3:$AC$113,Donnees_generations!$A$3:$A$113,MAX(1915,MIN(2025,E166))),SUMIFS(Donnees_generations!$AD$3:$AD$113,Donnees_generations!$A$3:$A$113,MAX(1915,MIN(2025,E166))),SUMIFS(Donnees_generations!$AE$3:$AE$113,Donnees_generations!$A$3:$A$113,MAX(1915,MIN(2025,E166))),SUMIFS(Donnees_generations!$AF$3:$AF$113,Donnees_generations!$A$3:$A$113,MAX(1915,MIN(2025,E166))),SUMIFS(Donnees_generations!$AG$3:$AG$113,Donnees_generations!$A$3:$A$113,MAX(1915,MIN(2025,E166))),SUMIFS(Donnees_generations!$AH$3:$AH$113,Donnees_generations!$A$3:$A$113,MAX(1915,MIN(2025,E166))),SUMIFS(Donnees_generations!$AI$3:$AI$113,Donnees_generations!$A$3:$A$113,MAX(1915,MIN(2025,E166))),SUMIFS(Donnees_generations!$AJ$3:$AJ$113,Donnees_generations!$A$3:$A$113,MAX(1915,MIN(2025,E166)))))/2</f>
        <v/>
      </c>
      <c r="AI166" s="75">
        <f>(CHOOSE(((AG166+2)-56)/2+1,SUMIFS(Donnees_generations!$U$3:$U$113,Donnees_generations!$A$3:$A$113,MAX(1915,MIN(2025,E166))),SUMIFS(Donnees_generations!$V$3:$V$113,Donnees_generations!$A$3:$A$113,MAX(1915,MIN(2025,E166))),SUMIFS(Donnees_generations!$W$3:$W$113,Donnees_generations!$A$3:$A$113,MAX(1915,MIN(2025,E166))),SUMIFS(Donnees_generations!$X$3:$X$113,Donnees_generations!$A$3:$A$113,MAX(1915,MIN(2025,E166))),SUMIFS(Donnees_generations!$Y$3:$Y$113,Donnees_generations!$A$3:$A$113,MAX(1915,MIN(2025,E166))),SUMIFS(Donnees_generations!$Z$3:$Z$113,Donnees_generations!$A$3:$A$113,MAX(1915,MIN(2025,E166))),SUMIFS(Donnees_generations!$AA$3:$AA$113,Donnees_generations!$A$3:$A$113,MAX(1915,MIN(2025,E166))),SUMIFS(Donnees_generations!$AB$3:$AB$113,Donnees_generations!$A$3:$A$113,MAX(1915,MIN(2025,E166))))+CHOOSE(((AG166+2)-56)/2+1,SUMIFS(Donnees_generations!$AC$3:$AC$113,Donnees_generations!$A$3:$A$113,MAX(1915,MIN(2025,E166))),SUMIFS(Donnees_generations!$AD$3:$AD$113,Donnees_generations!$A$3:$A$113,MAX(1915,MIN(2025,E166))),SUMIFS(Donnees_generations!$AE$3:$AE$113,Donnees_generations!$A$3:$A$113,MAX(1915,MIN(2025,E166))),SUMIFS(Donnees_generations!$AF$3:$AF$113,Donnees_generations!$A$3:$A$113,MAX(1915,MIN(2025,E166))),SUMIFS(Donnees_generations!$AG$3:$AG$113,Donnees_generations!$A$3:$A$113,MAX(1915,MIN(2025,E166))),SUMIFS(Donnees_generations!$AH$3:$AH$113,Donnees_generations!$A$3:$A$113,MAX(1915,MIN(2025,E166))),SUMIFS(Donnees_generations!$AI$3:$AI$113,Donnees_generations!$A$3:$A$113,MAX(1915,MIN(2025,E166))),SUMIFS(Donnees_generations!$AJ$3:$AJ$113,Donnees_generations!$A$3:$A$113,MAX(1915,MIN(2025,E166)))))/2</f>
        <v/>
      </c>
      <c r="AJ166" s="8">
        <f>MAX(0,AH166+(AI166-AH166)*(K166-AG166)/2)</f>
        <v/>
      </c>
      <c r="AK166" s="8">
        <f>K166+AJ166</f>
        <v/>
      </c>
      <c r="AL166" s="14">
        <f>AE166*AJ166</f>
        <v/>
      </c>
      <c r="AM166" s="17">
        <f>V166/AL166</f>
        <v/>
      </c>
      <c r="AN166" s="17">
        <f>Z166/AL166</f>
        <v/>
      </c>
      <c r="AO166" s="33">
        <f>IF(V166+Z166=0,0,Z166/(V166+Z166))</f>
        <v/>
      </c>
      <c r="AP166" s="14">
        <f>AL166/V166*100</f>
        <v/>
      </c>
      <c r="AQ166" s="8">
        <f>P166/AL166*1000</f>
        <v/>
      </c>
      <c r="AR166" s="77">
        <f>MAX(N166,M166-1)</f>
        <v/>
      </c>
      <c r="AS166" s="14">
        <f>SUMIFS(Donnees_regimes!$R$3:$R$1118,Donnees_regimes!$A$3:$A$1118,C166,Donnees_regimes!$B$3:$B$1118,"&gt;="&amp;G166,Donnees_regimes!$B$3:$B$1118,"&lt;="&amp;N166)*L166/ROUNDUP(L166,0)*SUMIFS(Donnees_annuelles!$AG$3:$AG$188,Donnees_annuelles!$A$3:$A$188,AR166)*SUMIFS(Donnees_annuelles!$AA$3:$AA$188,Donnees_annuelles!$A$3:$A$188,AR166)</f>
        <v/>
      </c>
      <c r="AT166" s="36">
        <f>AS166/V166</f>
        <v/>
      </c>
      <c r="AU166" s="14">
        <f>AL166</f>
        <v/>
      </c>
      <c r="AV166" s="39">
        <f>AS166-AL166</f>
        <v/>
      </c>
      <c r="AW166" s="9">
        <f>AS166/AL166-1</f>
        <v/>
      </c>
      <c r="AX166" s="14">
        <f>AS166/AJ166/12</f>
        <v/>
      </c>
      <c r="AY166" s="14">
        <f>AF166</f>
        <v/>
      </c>
      <c r="AZ166" s="39">
        <f>AX166-AF166</f>
        <v/>
      </c>
      <c r="BA166" s="14">
        <f>SUMIFS(Donnees_regimes!$S$3:$S$1118,Donnees_regimes!$A$3:$A$1118,C166,Donnees_regimes!$B$3:$B$1118,"&gt;="&amp;G166,Donnees_regimes!$B$3:$B$1118,"&lt;="&amp;N166)*L166/ROUNDUP(L166,0)*SUMIFS(Donnees_annuelles!$AH$3:$AH$188,Donnees_annuelles!$A$3:$A$188,AR166)*SUMIFS(Donnees_annuelles!$AA$3:$AA$188,Donnees_annuelles!$A$3:$A$188,AR166)</f>
        <v/>
      </c>
      <c r="BB166" s="39">
        <f>BA166-AL166</f>
        <v/>
      </c>
      <c r="BC166" s="7">
        <f>IF(M166+AJ166&gt;2026,IF(G166&gt;2026,"entièrement projeté","en partie projeté"),"observé")</f>
        <v/>
      </c>
    </row>
    <row r="167">
      <c r="A167" s="7" t="inlineStr">
        <is>
          <t>Génération Y</t>
        </is>
      </c>
      <c r="B167" s="84" t="inlineStr">
        <is>
          <t>Fonction publique d'État</t>
        </is>
      </c>
      <c r="C167" s="7">
        <f>IF(G167&gt;=SUMIFS(Regimes!$C$5:$C$10,Regimes!$A$5:$A$10,B167),"Privé",B167)</f>
        <v/>
      </c>
      <c r="D167" s="7">
        <f>INDEX(Regimes!$D$5:$D$10,MATCH(C167,Regimes!$A$5:$A$10,0))</f>
        <v/>
      </c>
      <c r="E167" s="88" t="n">
        <v>1994</v>
      </c>
      <c r="F167" s="8">
        <f>Donnees_generations!C82</f>
        <v/>
      </c>
      <c r="G167" s="77">
        <f>Donnees_generations!D82</f>
        <v/>
      </c>
      <c r="H167" s="8">
        <f>SUMIFS(Donnees_generations!$S$3:$S$113,Donnees_generations!$A$3:$A$113,MAX(1915,MIN(2025,E167)))</f>
        <v/>
      </c>
      <c r="I167" s="8">
        <f>SUMIFS(Donnees_generations!$T$3:$T$113,Donnees_generations!$A$3:$A$113,MAX(1915,MIN(2025,E167)))</f>
        <v/>
      </c>
      <c r="J167" s="8">
        <f>IF(G167&gt;=2000,MAX(I167,Parametres!$B$3),I167)</f>
        <v/>
      </c>
      <c r="K167" s="8">
        <f>IF(C167="Privé",J167,SUMIFS(Regles_regimes!$J$3:$J$2000,Regles_regimes!$A$3:$A$2000,C167,Regles_regimes!$B$3:$B$2000,D167,Regles_regimes!$C$3:$C$2000,MAX(1915,MIN(2025,E167))))</f>
        <v/>
      </c>
      <c r="L167" s="8">
        <f>IF(C167="Privé",H167,(K167-F167)*H167/(J167-F167))</f>
        <v/>
      </c>
      <c r="M167" s="77">
        <f>INT(E167+K167)</f>
        <v/>
      </c>
      <c r="N167" s="77">
        <f>G167+ROUNDUP(L167,0)-1</f>
        <v/>
      </c>
      <c r="O167" s="89">
        <f>SUMIFS(Regles_regimes!$K$3:$K$2000,Regles_regimes!$A$3:$A$2000,C167,Regles_regimes!$B$3:$B$2000,D167,Regles_regimes!$C$3:$C$2000,MAX(1915,MIN(2025,E167)))</f>
        <v/>
      </c>
      <c r="P167" s="13">
        <f>SUMIFS(Donnees_annuelles!$W$3:$W$188,Donnees_annuelles!$A$3:$A$188,"&gt;="&amp;G167,Donnees_annuelles!$A$3:$A$188,"&lt;="&amp;N167)*L167/ROUNDUP(L167,0)*O167</f>
        <v/>
      </c>
      <c r="Q167" s="13">
        <f>SUMIFS(Donnees_annuelles!$V$3:$V$188,Donnees_annuelles!$A$3:$A$188,"&gt;="&amp;G167,Donnees_annuelles!$A$3:$A$188,"&lt;="&amp;N167)*L167/ROUNDUP(L167,0)</f>
        <v/>
      </c>
      <c r="R167" s="13">
        <f>P167/L167</f>
        <v/>
      </c>
      <c r="S167" s="14">
        <f>SUMIFS(Donnees_annuelles!$D$3:$D$188,Donnees_annuelles!$A$3:$A$188,"&gt;="&amp;G167,Donnees_annuelles!$A$3:$A$188,"&lt;="&amp;N167)*L167/ROUNDUP(L167,0)</f>
        <v/>
      </c>
      <c r="T167" s="14">
        <f>SUMIFS(Donnees_regimes!$N$3:$N$1118,Donnees_regimes!$A$3:$A$1118,C167,Donnees_regimes!$B$3:$B$1118,"&gt;="&amp;G167,Donnees_regimes!$B$3:$B$1118,"&lt;="&amp;N167)*L167/ROUNDUP(L167,0)</f>
        <v/>
      </c>
      <c r="U167" s="14">
        <f>SUMIFS(Donnees_regimes!$O$3:$O$1118,Donnees_regimes!$A$3:$A$1118,C167,Donnees_regimes!$B$3:$B$1118,"&gt;="&amp;G167,Donnees_regimes!$B$3:$B$1118,"&lt;="&amp;N167)*L167/ROUNDUP(L167,0)</f>
        <v/>
      </c>
      <c r="V167" s="14">
        <f>T167+U167</f>
        <v/>
      </c>
      <c r="W167" s="33">
        <f>V167/S167</f>
        <v/>
      </c>
      <c r="X167" s="14">
        <f>S167+U167</f>
        <v/>
      </c>
      <c r="Y167" s="17">
        <f>V167/P167</f>
        <v/>
      </c>
      <c r="Z167" s="14">
        <f>SUMIFS(Donnees_regimes!$Q$3:$Q$1118,Donnees_regimes!$A$3:$A$1118,C167,Donnees_regimes!$B$3:$B$1118,"&gt;="&amp;G167,Donnees_regimes!$B$3:$B$1118,"&lt;="&amp;N167)*L167/ROUNDUP(L167,0)</f>
        <v/>
      </c>
      <c r="AA167" s="77">
        <f>SUMIFS(Regles_regimes!$F$3:$F$2000,Regles_regimes!$A$3:$A$2000,C167,Regles_regimes!$B$3:$B$2000,D167,Regles_regimes!$C$3:$C$2000,MAX(1915,MIN(2025,E167)))</f>
        <v/>
      </c>
      <c r="AB167" s="77">
        <f>IF(AND(SUMIFS(Regles_regimes!$L$3:$L$2000,Regles_regimes!$A$3:$A$2000,C167,Regles_regimes!$B$3:$B$2000,D167,Regles_regimes!$C$3:$C$2000,MAX(1915,MIN(2025,E167)))=1,G167&lt;2009,C167&lt;&gt;"Privé"),MIN(20,L167*4/5),0)</f>
        <v/>
      </c>
      <c r="AC167" s="89">
        <f>SUMIFS(Donnees_regimes!$M$3:$M$1118,Donnees_regimes!$A$3:$A$1118,C167,Donnees_regimes!$B$3:$B$1118,M167)</f>
        <v/>
      </c>
      <c r="AD167" s="14">
        <f>SUMIFS(Donnees_annuelles!$Y$3:$Y$188,Donnees_annuelles!$A$3:$A$188,M167)*SUMIFS(Donnees_generations!$I$3:$I$113,Donnees_generations!$A$3:$A$113,MAX(1915,MIN(2025,E167)))/H167</f>
        <v/>
      </c>
      <c r="AE167" s="14">
        <f>IF(C167="Privé",SUMIFS(Donnees_annuelles!$Y$3:$Y$188,Donnees_annuelles!$A$3:$A$188,M167)*MIN(L167,SUMIFS(Donnees_generations!$I$3:$I$113,Donnees_generations!$A$3:$A$113,MAX(1915,MIN(2025,E167))))/L167,AD167*AC167*MIN(IF(AB167&gt;0,0.8/0.75,1),(L167*4+AB167)/AA167))</f>
        <v/>
      </c>
      <c r="AF167" s="14">
        <f>AE167/12</f>
        <v/>
      </c>
      <c r="AG167" s="77">
        <f>MIN(68,MAX(56,2*INT(K167/2)))</f>
        <v/>
      </c>
      <c r="AH167" s="75">
        <f>(CHOOSE((AG167-56)/2+1,SUMIFS(Donnees_generations!$U$3:$U$113,Donnees_generations!$A$3:$A$113,MAX(1915,MIN(2025,E167))),SUMIFS(Donnees_generations!$V$3:$V$113,Donnees_generations!$A$3:$A$113,MAX(1915,MIN(2025,E167))),SUMIFS(Donnees_generations!$W$3:$W$113,Donnees_generations!$A$3:$A$113,MAX(1915,MIN(2025,E167))),SUMIFS(Donnees_generations!$X$3:$X$113,Donnees_generations!$A$3:$A$113,MAX(1915,MIN(2025,E167))),SUMIFS(Donnees_generations!$Y$3:$Y$113,Donnees_generations!$A$3:$A$113,MAX(1915,MIN(2025,E167))),SUMIFS(Donnees_generations!$Z$3:$Z$113,Donnees_generations!$A$3:$A$113,MAX(1915,MIN(2025,E167))),SUMIFS(Donnees_generations!$AA$3:$AA$113,Donnees_generations!$A$3:$A$113,MAX(1915,MIN(2025,E167))),SUMIFS(Donnees_generations!$AB$3:$AB$113,Donnees_generations!$A$3:$A$113,MAX(1915,MIN(2025,E167))))+CHOOSE((AG167-56)/2+1,SUMIFS(Donnees_generations!$AC$3:$AC$113,Donnees_generations!$A$3:$A$113,MAX(1915,MIN(2025,E167))),SUMIFS(Donnees_generations!$AD$3:$AD$113,Donnees_generations!$A$3:$A$113,MAX(1915,MIN(2025,E167))),SUMIFS(Donnees_generations!$AE$3:$AE$113,Donnees_generations!$A$3:$A$113,MAX(1915,MIN(2025,E167))),SUMIFS(Donnees_generations!$AF$3:$AF$113,Donnees_generations!$A$3:$A$113,MAX(1915,MIN(2025,E167))),SUMIFS(Donnees_generations!$AG$3:$AG$113,Donnees_generations!$A$3:$A$113,MAX(1915,MIN(2025,E167))),SUMIFS(Donnees_generations!$AH$3:$AH$113,Donnees_generations!$A$3:$A$113,MAX(1915,MIN(2025,E167))),SUMIFS(Donnees_generations!$AI$3:$AI$113,Donnees_generations!$A$3:$A$113,MAX(1915,MIN(2025,E167))),SUMIFS(Donnees_generations!$AJ$3:$AJ$113,Donnees_generations!$A$3:$A$113,MAX(1915,MIN(2025,E167)))))/2</f>
        <v/>
      </c>
      <c r="AI167" s="75">
        <f>(CHOOSE(((AG167+2)-56)/2+1,SUMIFS(Donnees_generations!$U$3:$U$113,Donnees_generations!$A$3:$A$113,MAX(1915,MIN(2025,E167))),SUMIFS(Donnees_generations!$V$3:$V$113,Donnees_generations!$A$3:$A$113,MAX(1915,MIN(2025,E167))),SUMIFS(Donnees_generations!$W$3:$W$113,Donnees_generations!$A$3:$A$113,MAX(1915,MIN(2025,E167))),SUMIFS(Donnees_generations!$X$3:$X$113,Donnees_generations!$A$3:$A$113,MAX(1915,MIN(2025,E167))),SUMIFS(Donnees_generations!$Y$3:$Y$113,Donnees_generations!$A$3:$A$113,MAX(1915,MIN(2025,E167))),SUMIFS(Donnees_generations!$Z$3:$Z$113,Donnees_generations!$A$3:$A$113,MAX(1915,MIN(2025,E167))),SUMIFS(Donnees_generations!$AA$3:$AA$113,Donnees_generations!$A$3:$A$113,MAX(1915,MIN(2025,E167))),SUMIFS(Donnees_generations!$AB$3:$AB$113,Donnees_generations!$A$3:$A$113,MAX(1915,MIN(2025,E167))))+CHOOSE(((AG167+2)-56)/2+1,SUMIFS(Donnees_generations!$AC$3:$AC$113,Donnees_generations!$A$3:$A$113,MAX(1915,MIN(2025,E167))),SUMIFS(Donnees_generations!$AD$3:$AD$113,Donnees_generations!$A$3:$A$113,MAX(1915,MIN(2025,E167))),SUMIFS(Donnees_generations!$AE$3:$AE$113,Donnees_generations!$A$3:$A$113,MAX(1915,MIN(2025,E167))),SUMIFS(Donnees_generations!$AF$3:$AF$113,Donnees_generations!$A$3:$A$113,MAX(1915,MIN(2025,E167))),SUMIFS(Donnees_generations!$AG$3:$AG$113,Donnees_generations!$A$3:$A$113,MAX(1915,MIN(2025,E167))),SUMIFS(Donnees_generations!$AH$3:$AH$113,Donnees_generations!$A$3:$A$113,MAX(1915,MIN(2025,E167))),SUMIFS(Donnees_generations!$AI$3:$AI$113,Donnees_generations!$A$3:$A$113,MAX(1915,MIN(2025,E167))),SUMIFS(Donnees_generations!$AJ$3:$AJ$113,Donnees_generations!$A$3:$A$113,MAX(1915,MIN(2025,E167)))))/2</f>
        <v/>
      </c>
      <c r="AJ167" s="8">
        <f>MAX(0,AH167+(AI167-AH167)*(K167-AG167)/2)</f>
        <v/>
      </c>
      <c r="AK167" s="8">
        <f>K167+AJ167</f>
        <v/>
      </c>
      <c r="AL167" s="14">
        <f>AE167*AJ167</f>
        <v/>
      </c>
      <c r="AM167" s="17">
        <f>V167/AL167</f>
        <v/>
      </c>
      <c r="AN167" s="17">
        <f>Z167/AL167</f>
        <v/>
      </c>
      <c r="AO167" s="33">
        <f>IF(V167+Z167=0,0,Z167/(V167+Z167))</f>
        <v/>
      </c>
      <c r="AP167" s="14">
        <f>AL167/V167*100</f>
        <v/>
      </c>
      <c r="AQ167" s="8">
        <f>P167/AL167*1000</f>
        <v/>
      </c>
      <c r="AR167" s="77">
        <f>MAX(N167,M167-1)</f>
        <v/>
      </c>
      <c r="AS167" s="14">
        <f>SUMIFS(Donnees_regimes!$R$3:$R$1118,Donnees_regimes!$A$3:$A$1118,C167,Donnees_regimes!$B$3:$B$1118,"&gt;="&amp;G167,Donnees_regimes!$B$3:$B$1118,"&lt;="&amp;N167)*L167/ROUNDUP(L167,0)*SUMIFS(Donnees_annuelles!$AG$3:$AG$188,Donnees_annuelles!$A$3:$A$188,AR167)*SUMIFS(Donnees_annuelles!$AA$3:$AA$188,Donnees_annuelles!$A$3:$A$188,AR167)</f>
        <v/>
      </c>
      <c r="AT167" s="36">
        <f>AS167/V167</f>
        <v/>
      </c>
      <c r="AU167" s="14">
        <f>AL167</f>
        <v/>
      </c>
      <c r="AV167" s="39">
        <f>AS167-AL167</f>
        <v/>
      </c>
      <c r="AW167" s="9">
        <f>AS167/AL167-1</f>
        <v/>
      </c>
      <c r="AX167" s="14">
        <f>AS167/AJ167/12</f>
        <v/>
      </c>
      <c r="AY167" s="14">
        <f>AF167</f>
        <v/>
      </c>
      <c r="AZ167" s="39">
        <f>AX167-AF167</f>
        <v/>
      </c>
      <c r="BA167" s="14">
        <f>SUMIFS(Donnees_regimes!$S$3:$S$1118,Donnees_regimes!$A$3:$A$1118,C167,Donnees_regimes!$B$3:$B$1118,"&gt;="&amp;G167,Donnees_regimes!$B$3:$B$1118,"&lt;="&amp;N167)*L167/ROUNDUP(L167,0)*SUMIFS(Donnees_annuelles!$AH$3:$AH$188,Donnees_annuelles!$A$3:$A$188,AR167)*SUMIFS(Donnees_annuelles!$AA$3:$AA$188,Donnees_annuelles!$A$3:$A$188,AR167)</f>
        <v/>
      </c>
      <c r="BB167" s="39">
        <f>BA167-AL167</f>
        <v/>
      </c>
      <c r="BC167" s="7">
        <f>IF(M167+AJ167&gt;2026,IF(G167&gt;2026,"entièrement projeté","en partie projeté"),"observé")</f>
        <v/>
      </c>
    </row>
    <row r="168">
      <c r="A168" s="7" t="inlineStr">
        <is>
          <t>Génération Y</t>
        </is>
      </c>
      <c r="B168" s="84" t="inlineStr">
        <is>
          <t>Fonction publique d'État</t>
        </is>
      </c>
      <c r="C168" s="7">
        <f>IF(G168&gt;=SUMIFS(Regimes!$C$5:$C$10,Regimes!$A$5:$A$10,B168),"Privé",B168)</f>
        <v/>
      </c>
      <c r="D168" s="7">
        <f>INDEX(Regimes!$D$5:$D$10,MATCH(C168,Regimes!$A$5:$A$10,0))</f>
        <v/>
      </c>
      <c r="E168" s="88" t="n">
        <v>1995</v>
      </c>
      <c r="F168" s="8">
        <f>Donnees_generations!C83</f>
        <v/>
      </c>
      <c r="G168" s="77">
        <f>Donnees_generations!D83</f>
        <v/>
      </c>
      <c r="H168" s="8">
        <f>SUMIFS(Donnees_generations!$S$3:$S$113,Donnees_generations!$A$3:$A$113,MAX(1915,MIN(2025,E168)))</f>
        <v/>
      </c>
      <c r="I168" s="8">
        <f>SUMIFS(Donnees_generations!$T$3:$T$113,Donnees_generations!$A$3:$A$113,MAX(1915,MIN(2025,E168)))</f>
        <v/>
      </c>
      <c r="J168" s="8">
        <f>IF(G168&gt;=2000,MAX(I168,Parametres!$B$3),I168)</f>
        <v/>
      </c>
      <c r="K168" s="8">
        <f>IF(C168="Privé",J168,SUMIFS(Regles_regimes!$J$3:$J$2000,Regles_regimes!$A$3:$A$2000,C168,Regles_regimes!$B$3:$B$2000,D168,Regles_regimes!$C$3:$C$2000,MAX(1915,MIN(2025,E168))))</f>
        <v/>
      </c>
      <c r="L168" s="8">
        <f>IF(C168="Privé",H168,(K168-F168)*H168/(J168-F168))</f>
        <v/>
      </c>
      <c r="M168" s="77">
        <f>INT(E168+K168)</f>
        <v/>
      </c>
      <c r="N168" s="77">
        <f>G168+ROUNDUP(L168,0)-1</f>
        <v/>
      </c>
      <c r="O168" s="89">
        <f>SUMIFS(Regles_regimes!$K$3:$K$2000,Regles_regimes!$A$3:$A$2000,C168,Regles_regimes!$B$3:$B$2000,D168,Regles_regimes!$C$3:$C$2000,MAX(1915,MIN(2025,E168)))</f>
        <v/>
      </c>
      <c r="P168" s="13">
        <f>SUMIFS(Donnees_annuelles!$W$3:$W$188,Donnees_annuelles!$A$3:$A$188,"&gt;="&amp;G168,Donnees_annuelles!$A$3:$A$188,"&lt;="&amp;N168)*L168/ROUNDUP(L168,0)*O168</f>
        <v/>
      </c>
      <c r="Q168" s="13">
        <f>SUMIFS(Donnees_annuelles!$V$3:$V$188,Donnees_annuelles!$A$3:$A$188,"&gt;="&amp;G168,Donnees_annuelles!$A$3:$A$188,"&lt;="&amp;N168)*L168/ROUNDUP(L168,0)</f>
        <v/>
      </c>
      <c r="R168" s="13">
        <f>P168/L168</f>
        <v/>
      </c>
      <c r="S168" s="14">
        <f>SUMIFS(Donnees_annuelles!$D$3:$D$188,Donnees_annuelles!$A$3:$A$188,"&gt;="&amp;G168,Donnees_annuelles!$A$3:$A$188,"&lt;="&amp;N168)*L168/ROUNDUP(L168,0)</f>
        <v/>
      </c>
      <c r="T168" s="14">
        <f>SUMIFS(Donnees_regimes!$N$3:$N$1118,Donnees_regimes!$A$3:$A$1118,C168,Donnees_regimes!$B$3:$B$1118,"&gt;="&amp;G168,Donnees_regimes!$B$3:$B$1118,"&lt;="&amp;N168)*L168/ROUNDUP(L168,0)</f>
        <v/>
      </c>
      <c r="U168" s="14">
        <f>SUMIFS(Donnees_regimes!$O$3:$O$1118,Donnees_regimes!$A$3:$A$1118,C168,Donnees_regimes!$B$3:$B$1118,"&gt;="&amp;G168,Donnees_regimes!$B$3:$B$1118,"&lt;="&amp;N168)*L168/ROUNDUP(L168,0)</f>
        <v/>
      </c>
      <c r="V168" s="14">
        <f>T168+U168</f>
        <v/>
      </c>
      <c r="W168" s="33">
        <f>V168/S168</f>
        <v/>
      </c>
      <c r="X168" s="14">
        <f>S168+U168</f>
        <v/>
      </c>
      <c r="Y168" s="17">
        <f>V168/P168</f>
        <v/>
      </c>
      <c r="Z168" s="14">
        <f>SUMIFS(Donnees_regimes!$Q$3:$Q$1118,Donnees_regimes!$A$3:$A$1118,C168,Donnees_regimes!$B$3:$B$1118,"&gt;="&amp;G168,Donnees_regimes!$B$3:$B$1118,"&lt;="&amp;N168)*L168/ROUNDUP(L168,0)</f>
        <v/>
      </c>
      <c r="AA168" s="77">
        <f>SUMIFS(Regles_regimes!$F$3:$F$2000,Regles_regimes!$A$3:$A$2000,C168,Regles_regimes!$B$3:$B$2000,D168,Regles_regimes!$C$3:$C$2000,MAX(1915,MIN(2025,E168)))</f>
        <v/>
      </c>
      <c r="AB168" s="77">
        <f>IF(AND(SUMIFS(Regles_regimes!$L$3:$L$2000,Regles_regimes!$A$3:$A$2000,C168,Regles_regimes!$B$3:$B$2000,D168,Regles_regimes!$C$3:$C$2000,MAX(1915,MIN(2025,E168)))=1,G168&lt;2009,C168&lt;&gt;"Privé"),MIN(20,L168*4/5),0)</f>
        <v/>
      </c>
      <c r="AC168" s="89">
        <f>SUMIFS(Donnees_regimes!$M$3:$M$1118,Donnees_regimes!$A$3:$A$1118,C168,Donnees_regimes!$B$3:$B$1118,M168)</f>
        <v/>
      </c>
      <c r="AD168" s="14">
        <f>SUMIFS(Donnees_annuelles!$Y$3:$Y$188,Donnees_annuelles!$A$3:$A$188,M168)*SUMIFS(Donnees_generations!$I$3:$I$113,Donnees_generations!$A$3:$A$113,MAX(1915,MIN(2025,E168)))/H168</f>
        <v/>
      </c>
      <c r="AE168" s="14">
        <f>IF(C168="Privé",SUMIFS(Donnees_annuelles!$Y$3:$Y$188,Donnees_annuelles!$A$3:$A$188,M168)*MIN(L168,SUMIFS(Donnees_generations!$I$3:$I$113,Donnees_generations!$A$3:$A$113,MAX(1915,MIN(2025,E168))))/L168,AD168*AC168*MIN(IF(AB168&gt;0,0.8/0.75,1),(L168*4+AB168)/AA168))</f>
        <v/>
      </c>
      <c r="AF168" s="14">
        <f>AE168/12</f>
        <v/>
      </c>
      <c r="AG168" s="77">
        <f>MIN(68,MAX(56,2*INT(K168/2)))</f>
        <v/>
      </c>
      <c r="AH168" s="75">
        <f>(CHOOSE((AG168-56)/2+1,SUMIFS(Donnees_generations!$U$3:$U$113,Donnees_generations!$A$3:$A$113,MAX(1915,MIN(2025,E168))),SUMIFS(Donnees_generations!$V$3:$V$113,Donnees_generations!$A$3:$A$113,MAX(1915,MIN(2025,E168))),SUMIFS(Donnees_generations!$W$3:$W$113,Donnees_generations!$A$3:$A$113,MAX(1915,MIN(2025,E168))),SUMIFS(Donnees_generations!$X$3:$X$113,Donnees_generations!$A$3:$A$113,MAX(1915,MIN(2025,E168))),SUMIFS(Donnees_generations!$Y$3:$Y$113,Donnees_generations!$A$3:$A$113,MAX(1915,MIN(2025,E168))),SUMIFS(Donnees_generations!$Z$3:$Z$113,Donnees_generations!$A$3:$A$113,MAX(1915,MIN(2025,E168))),SUMIFS(Donnees_generations!$AA$3:$AA$113,Donnees_generations!$A$3:$A$113,MAX(1915,MIN(2025,E168))),SUMIFS(Donnees_generations!$AB$3:$AB$113,Donnees_generations!$A$3:$A$113,MAX(1915,MIN(2025,E168))))+CHOOSE((AG168-56)/2+1,SUMIFS(Donnees_generations!$AC$3:$AC$113,Donnees_generations!$A$3:$A$113,MAX(1915,MIN(2025,E168))),SUMIFS(Donnees_generations!$AD$3:$AD$113,Donnees_generations!$A$3:$A$113,MAX(1915,MIN(2025,E168))),SUMIFS(Donnees_generations!$AE$3:$AE$113,Donnees_generations!$A$3:$A$113,MAX(1915,MIN(2025,E168))),SUMIFS(Donnees_generations!$AF$3:$AF$113,Donnees_generations!$A$3:$A$113,MAX(1915,MIN(2025,E168))),SUMIFS(Donnees_generations!$AG$3:$AG$113,Donnees_generations!$A$3:$A$113,MAX(1915,MIN(2025,E168))),SUMIFS(Donnees_generations!$AH$3:$AH$113,Donnees_generations!$A$3:$A$113,MAX(1915,MIN(2025,E168))),SUMIFS(Donnees_generations!$AI$3:$AI$113,Donnees_generations!$A$3:$A$113,MAX(1915,MIN(2025,E168))),SUMIFS(Donnees_generations!$AJ$3:$AJ$113,Donnees_generations!$A$3:$A$113,MAX(1915,MIN(2025,E168)))))/2</f>
        <v/>
      </c>
      <c r="AI168" s="75">
        <f>(CHOOSE(((AG168+2)-56)/2+1,SUMIFS(Donnees_generations!$U$3:$U$113,Donnees_generations!$A$3:$A$113,MAX(1915,MIN(2025,E168))),SUMIFS(Donnees_generations!$V$3:$V$113,Donnees_generations!$A$3:$A$113,MAX(1915,MIN(2025,E168))),SUMIFS(Donnees_generations!$W$3:$W$113,Donnees_generations!$A$3:$A$113,MAX(1915,MIN(2025,E168))),SUMIFS(Donnees_generations!$X$3:$X$113,Donnees_generations!$A$3:$A$113,MAX(1915,MIN(2025,E168))),SUMIFS(Donnees_generations!$Y$3:$Y$113,Donnees_generations!$A$3:$A$113,MAX(1915,MIN(2025,E168))),SUMIFS(Donnees_generations!$Z$3:$Z$113,Donnees_generations!$A$3:$A$113,MAX(1915,MIN(2025,E168))),SUMIFS(Donnees_generations!$AA$3:$AA$113,Donnees_generations!$A$3:$A$113,MAX(1915,MIN(2025,E168))),SUMIFS(Donnees_generations!$AB$3:$AB$113,Donnees_generations!$A$3:$A$113,MAX(1915,MIN(2025,E168))))+CHOOSE(((AG168+2)-56)/2+1,SUMIFS(Donnees_generations!$AC$3:$AC$113,Donnees_generations!$A$3:$A$113,MAX(1915,MIN(2025,E168))),SUMIFS(Donnees_generations!$AD$3:$AD$113,Donnees_generations!$A$3:$A$113,MAX(1915,MIN(2025,E168))),SUMIFS(Donnees_generations!$AE$3:$AE$113,Donnees_generations!$A$3:$A$113,MAX(1915,MIN(2025,E168))),SUMIFS(Donnees_generations!$AF$3:$AF$113,Donnees_generations!$A$3:$A$113,MAX(1915,MIN(2025,E168))),SUMIFS(Donnees_generations!$AG$3:$AG$113,Donnees_generations!$A$3:$A$113,MAX(1915,MIN(2025,E168))),SUMIFS(Donnees_generations!$AH$3:$AH$113,Donnees_generations!$A$3:$A$113,MAX(1915,MIN(2025,E168))),SUMIFS(Donnees_generations!$AI$3:$AI$113,Donnees_generations!$A$3:$A$113,MAX(1915,MIN(2025,E168))),SUMIFS(Donnees_generations!$AJ$3:$AJ$113,Donnees_generations!$A$3:$A$113,MAX(1915,MIN(2025,E168)))))/2</f>
        <v/>
      </c>
      <c r="AJ168" s="8">
        <f>MAX(0,AH168+(AI168-AH168)*(K168-AG168)/2)</f>
        <v/>
      </c>
      <c r="AK168" s="8">
        <f>K168+AJ168</f>
        <v/>
      </c>
      <c r="AL168" s="14">
        <f>AE168*AJ168</f>
        <v/>
      </c>
      <c r="AM168" s="17">
        <f>V168/AL168</f>
        <v/>
      </c>
      <c r="AN168" s="17">
        <f>Z168/AL168</f>
        <v/>
      </c>
      <c r="AO168" s="33">
        <f>IF(V168+Z168=0,0,Z168/(V168+Z168))</f>
        <v/>
      </c>
      <c r="AP168" s="14">
        <f>AL168/V168*100</f>
        <v/>
      </c>
      <c r="AQ168" s="8">
        <f>P168/AL168*1000</f>
        <v/>
      </c>
      <c r="AR168" s="77">
        <f>MAX(N168,M168-1)</f>
        <v/>
      </c>
      <c r="AS168" s="14">
        <f>SUMIFS(Donnees_regimes!$R$3:$R$1118,Donnees_regimes!$A$3:$A$1118,C168,Donnees_regimes!$B$3:$B$1118,"&gt;="&amp;G168,Donnees_regimes!$B$3:$B$1118,"&lt;="&amp;N168)*L168/ROUNDUP(L168,0)*SUMIFS(Donnees_annuelles!$AG$3:$AG$188,Donnees_annuelles!$A$3:$A$188,AR168)*SUMIFS(Donnees_annuelles!$AA$3:$AA$188,Donnees_annuelles!$A$3:$A$188,AR168)</f>
        <v/>
      </c>
      <c r="AT168" s="36">
        <f>AS168/V168</f>
        <v/>
      </c>
      <c r="AU168" s="14">
        <f>AL168</f>
        <v/>
      </c>
      <c r="AV168" s="39">
        <f>AS168-AL168</f>
        <v/>
      </c>
      <c r="AW168" s="9">
        <f>AS168/AL168-1</f>
        <v/>
      </c>
      <c r="AX168" s="14">
        <f>AS168/AJ168/12</f>
        <v/>
      </c>
      <c r="AY168" s="14">
        <f>AF168</f>
        <v/>
      </c>
      <c r="AZ168" s="39">
        <f>AX168-AF168</f>
        <v/>
      </c>
      <c r="BA168" s="14">
        <f>SUMIFS(Donnees_regimes!$S$3:$S$1118,Donnees_regimes!$A$3:$A$1118,C168,Donnees_regimes!$B$3:$B$1118,"&gt;="&amp;G168,Donnees_regimes!$B$3:$B$1118,"&lt;="&amp;N168)*L168/ROUNDUP(L168,0)*SUMIFS(Donnees_annuelles!$AH$3:$AH$188,Donnees_annuelles!$A$3:$A$188,AR168)*SUMIFS(Donnees_annuelles!$AA$3:$AA$188,Donnees_annuelles!$A$3:$A$188,AR168)</f>
        <v/>
      </c>
      <c r="BB168" s="39">
        <f>BA168-AL168</f>
        <v/>
      </c>
      <c r="BC168" s="7">
        <f>IF(M168+AJ168&gt;2026,IF(G168&gt;2026,"entièrement projeté","en partie projeté"),"observé")</f>
        <v/>
      </c>
    </row>
    <row r="169">
      <c r="A169" s="7" t="inlineStr">
        <is>
          <t>Génération Y</t>
        </is>
      </c>
      <c r="B169" s="84" t="inlineStr">
        <is>
          <t>Fonction publique d'État</t>
        </is>
      </c>
      <c r="C169" s="7">
        <f>IF(G169&gt;=SUMIFS(Regimes!$C$5:$C$10,Regimes!$A$5:$A$10,B169),"Privé",B169)</f>
        <v/>
      </c>
      <c r="D169" s="7">
        <f>INDEX(Regimes!$D$5:$D$10,MATCH(C169,Regimes!$A$5:$A$10,0))</f>
        <v/>
      </c>
      <c r="E169" s="88" t="n">
        <v>1996</v>
      </c>
      <c r="F169" s="8">
        <f>Donnees_generations!C84</f>
        <v/>
      </c>
      <c r="G169" s="77">
        <f>Donnees_generations!D84</f>
        <v/>
      </c>
      <c r="H169" s="8">
        <f>SUMIFS(Donnees_generations!$S$3:$S$113,Donnees_generations!$A$3:$A$113,MAX(1915,MIN(2025,E169)))</f>
        <v/>
      </c>
      <c r="I169" s="8">
        <f>SUMIFS(Donnees_generations!$T$3:$T$113,Donnees_generations!$A$3:$A$113,MAX(1915,MIN(2025,E169)))</f>
        <v/>
      </c>
      <c r="J169" s="8">
        <f>IF(G169&gt;=2000,MAX(I169,Parametres!$B$3),I169)</f>
        <v/>
      </c>
      <c r="K169" s="8">
        <f>IF(C169="Privé",J169,SUMIFS(Regles_regimes!$J$3:$J$2000,Regles_regimes!$A$3:$A$2000,C169,Regles_regimes!$B$3:$B$2000,D169,Regles_regimes!$C$3:$C$2000,MAX(1915,MIN(2025,E169))))</f>
        <v/>
      </c>
      <c r="L169" s="8">
        <f>IF(C169="Privé",H169,(K169-F169)*H169/(J169-F169))</f>
        <v/>
      </c>
      <c r="M169" s="77">
        <f>INT(E169+K169)</f>
        <v/>
      </c>
      <c r="N169" s="77">
        <f>G169+ROUNDUP(L169,0)-1</f>
        <v/>
      </c>
      <c r="O169" s="89">
        <f>SUMIFS(Regles_regimes!$K$3:$K$2000,Regles_regimes!$A$3:$A$2000,C169,Regles_regimes!$B$3:$B$2000,D169,Regles_regimes!$C$3:$C$2000,MAX(1915,MIN(2025,E169)))</f>
        <v/>
      </c>
      <c r="P169" s="13">
        <f>SUMIFS(Donnees_annuelles!$W$3:$W$188,Donnees_annuelles!$A$3:$A$188,"&gt;="&amp;G169,Donnees_annuelles!$A$3:$A$188,"&lt;="&amp;N169)*L169/ROUNDUP(L169,0)*O169</f>
        <v/>
      </c>
      <c r="Q169" s="13">
        <f>SUMIFS(Donnees_annuelles!$V$3:$V$188,Donnees_annuelles!$A$3:$A$188,"&gt;="&amp;G169,Donnees_annuelles!$A$3:$A$188,"&lt;="&amp;N169)*L169/ROUNDUP(L169,0)</f>
        <v/>
      </c>
      <c r="R169" s="13">
        <f>P169/L169</f>
        <v/>
      </c>
      <c r="S169" s="14">
        <f>SUMIFS(Donnees_annuelles!$D$3:$D$188,Donnees_annuelles!$A$3:$A$188,"&gt;="&amp;G169,Donnees_annuelles!$A$3:$A$188,"&lt;="&amp;N169)*L169/ROUNDUP(L169,0)</f>
        <v/>
      </c>
      <c r="T169" s="14">
        <f>SUMIFS(Donnees_regimes!$N$3:$N$1118,Donnees_regimes!$A$3:$A$1118,C169,Donnees_regimes!$B$3:$B$1118,"&gt;="&amp;G169,Donnees_regimes!$B$3:$B$1118,"&lt;="&amp;N169)*L169/ROUNDUP(L169,0)</f>
        <v/>
      </c>
      <c r="U169" s="14">
        <f>SUMIFS(Donnees_regimes!$O$3:$O$1118,Donnees_regimes!$A$3:$A$1118,C169,Donnees_regimes!$B$3:$B$1118,"&gt;="&amp;G169,Donnees_regimes!$B$3:$B$1118,"&lt;="&amp;N169)*L169/ROUNDUP(L169,0)</f>
        <v/>
      </c>
      <c r="V169" s="14">
        <f>T169+U169</f>
        <v/>
      </c>
      <c r="W169" s="33">
        <f>V169/S169</f>
        <v/>
      </c>
      <c r="X169" s="14">
        <f>S169+U169</f>
        <v/>
      </c>
      <c r="Y169" s="17">
        <f>V169/P169</f>
        <v/>
      </c>
      <c r="Z169" s="14">
        <f>SUMIFS(Donnees_regimes!$Q$3:$Q$1118,Donnees_regimes!$A$3:$A$1118,C169,Donnees_regimes!$B$3:$B$1118,"&gt;="&amp;G169,Donnees_regimes!$B$3:$B$1118,"&lt;="&amp;N169)*L169/ROUNDUP(L169,0)</f>
        <v/>
      </c>
      <c r="AA169" s="77">
        <f>SUMIFS(Regles_regimes!$F$3:$F$2000,Regles_regimes!$A$3:$A$2000,C169,Regles_regimes!$B$3:$B$2000,D169,Regles_regimes!$C$3:$C$2000,MAX(1915,MIN(2025,E169)))</f>
        <v/>
      </c>
      <c r="AB169" s="77">
        <f>IF(AND(SUMIFS(Regles_regimes!$L$3:$L$2000,Regles_regimes!$A$3:$A$2000,C169,Regles_regimes!$B$3:$B$2000,D169,Regles_regimes!$C$3:$C$2000,MAX(1915,MIN(2025,E169)))=1,G169&lt;2009,C169&lt;&gt;"Privé"),MIN(20,L169*4/5),0)</f>
        <v/>
      </c>
      <c r="AC169" s="89">
        <f>SUMIFS(Donnees_regimes!$M$3:$M$1118,Donnees_regimes!$A$3:$A$1118,C169,Donnees_regimes!$B$3:$B$1118,M169)</f>
        <v/>
      </c>
      <c r="AD169" s="14">
        <f>SUMIFS(Donnees_annuelles!$Y$3:$Y$188,Donnees_annuelles!$A$3:$A$188,M169)*SUMIFS(Donnees_generations!$I$3:$I$113,Donnees_generations!$A$3:$A$113,MAX(1915,MIN(2025,E169)))/H169</f>
        <v/>
      </c>
      <c r="AE169" s="14">
        <f>IF(C169="Privé",SUMIFS(Donnees_annuelles!$Y$3:$Y$188,Donnees_annuelles!$A$3:$A$188,M169)*MIN(L169,SUMIFS(Donnees_generations!$I$3:$I$113,Donnees_generations!$A$3:$A$113,MAX(1915,MIN(2025,E169))))/L169,AD169*AC169*MIN(IF(AB169&gt;0,0.8/0.75,1),(L169*4+AB169)/AA169))</f>
        <v/>
      </c>
      <c r="AF169" s="14">
        <f>AE169/12</f>
        <v/>
      </c>
      <c r="AG169" s="77">
        <f>MIN(68,MAX(56,2*INT(K169/2)))</f>
        <v/>
      </c>
      <c r="AH169" s="75">
        <f>(CHOOSE((AG169-56)/2+1,SUMIFS(Donnees_generations!$U$3:$U$113,Donnees_generations!$A$3:$A$113,MAX(1915,MIN(2025,E169))),SUMIFS(Donnees_generations!$V$3:$V$113,Donnees_generations!$A$3:$A$113,MAX(1915,MIN(2025,E169))),SUMIFS(Donnees_generations!$W$3:$W$113,Donnees_generations!$A$3:$A$113,MAX(1915,MIN(2025,E169))),SUMIFS(Donnees_generations!$X$3:$X$113,Donnees_generations!$A$3:$A$113,MAX(1915,MIN(2025,E169))),SUMIFS(Donnees_generations!$Y$3:$Y$113,Donnees_generations!$A$3:$A$113,MAX(1915,MIN(2025,E169))),SUMIFS(Donnees_generations!$Z$3:$Z$113,Donnees_generations!$A$3:$A$113,MAX(1915,MIN(2025,E169))),SUMIFS(Donnees_generations!$AA$3:$AA$113,Donnees_generations!$A$3:$A$113,MAX(1915,MIN(2025,E169))),SUMIFS(Donnees_generations!$AB$3:$AB$113,Donnees_generations!$A$3:$A$113,MAX(1915,MIN(2025,E169))))+CHOOSE((AG169-56)/2+1,SUMIFS(Donnees_generations!$AC$3:$AC$113,Donnees_generations!$A$3:$A$113,MAX(1915,MIN(2025,E169))),SUMIFS(Donnees_generations!$AD$3:$AD$113,Donnees_generations!$A$3:$A$113,MAX(1915,MIN(2025,E169))),SUMIFS(Donnees_generations!$AE$3:$AE$113,Donnees_generations!$A$3:$A$113,MAX(1915,MIN(2025,E169))),SUMIFS(Donnees_generations!$AF$3:$AF$113,Donnees_generations!$A$3:$A$113,MAX(1915,MIN(2025,E169))),SUMIFS(Donnees_generations!$AG$3:$AG$113,Donnees_generations!$A$3:$A$113,MAX(1915,MIN(2025,E169))),SUMIFS(Donnees_generations!$AH$3:$AH$113,Donnees_generations!$A$3:$A$113,MAX(1915,MIN(2025,E169))),SUMIFS(Donnees_generations!$AI$3:$AI$113,Donnees_generations!$A$3:$A$113,MAX(1915,MIN(2025,E169))),SUMIFS(Donnees_generations!$AJ$3:$AJ$113,Donnees_generations!$A$3:$A$113,MAX(1915,MIN(2025,E169)))))/2</f>
        <v/>
      </c>
      <c r="AI169" s="75">
        <f>(CHOOSE(((AG169+2)-56)/2+1,SUMIFS(Donnees_generations!$U$3:$U$113,Donnees_generations!$A$3:$A$113,MAX(1915,MIN(2025,E169))),SUMIFS(Donnees_generations!$V$3:$V$113,Donnees_generations!$A$3:$A$113,MAX(1915,MIN(2025,E169))),SUMIFS(Donnees_generations!$W$3:$W$113,Donnees_generations!$A$3:$A$113,MAX(1915,MIN(2025,E169))),SUMIFS(Donnees_generations!$X$3:$X$113,Donnees_generations!$A$3:$A$113,MAX(1915,MIN(2025,E169))),SUMIFS(Donnees_generations!$Y$3:$Y$113,Donnees_generations!$A$3:$A$113,MAX(1915,MIN(2025,E169))),SUMIFS(Donnees_generations!$Z$3:$Z$113,Donnees_generations!$A$3:$A$113,MAX(1915,MIN(2025,E169))),SUMIFS(Donnees_generations!$AA$3:$AA$113,Donnees_generations!$A$3:$A$113,MAX(1915,MIN(2025,E169))),SUMIFS(Donnees_generations!$AB$3:$AB$113,Donnees_generations!$A$3:$A$113,MAX(1915,MIN(2025,E169))))+CHOOSE(((AG169+2)-56)/2+1,SUMIFS(Donnees_generations!$AC$3:$AC$113,Donnees_generations!$A$3:$A$113,MAX(1915,MIN(2025,E169))),SUMIFS(Donnees_generations!$AD$3:$AD$113,Donnees_generations!$A$3:$A$113,MAX(1915,MIN(2025,E169))),SUMIFS(Donnees_generations!$AE$3:$AE$113,Donnees_generations!$A$3:$A$113,MAX(1915,MIN(2025,E169))),SUMIFS(Donnees_generations!$AF$3:$AF$113,Donnees_generations!$A$3:$A$113,MAX(1915,MIN(2025,E169))),SUMIFS(Donnees_generations!$AG$3:$AG$113,Donnees_generations!$A$3:$A$113,MAX(1915,MIN(2025,E169))),SUMIFS(Donnees_generations!$AH$3:$AH$113,Donnees_generations!$A$3:$A$113,MAX(1915,MIN(2025,E169))),SUMIFS(Donnees_generations!$AI$3:$AI$113,Donnees_generations!$A$3:$A$113,MAX(1915,MIN(2025,E169))),SUMIFS(Donnees_generations!$AJ$3:$AJ$113,Donnees_generations!$A$3:$A$113,MAX(1915,MIN(2025,E169)))))/2</f>
        <v/>
      </c>
      <c r="AJ169" s="8">
        <f>MAX(0,AH169+(AI169-AH169)*(K169-AG169)/2)</f>
        <v/>
      </c>
      <c r="AK169" s="8">
        <f>K169+AJ169</f>
        <v/>
      </c>
      <c r="AL169" s="14">
        <f>AE169*AJ169</f>
        <v/>
      </c>
      <c r="AM169" s="17">
        <f>V169/AL169</f>
        <v/>
      </c>
      <c r="AN169" s="17">
        <f>Z169/AL169</f>
        <v/>
      </c>
      <c r="AO169" s="33">
        <f>IF(V169+Z169=0,0,Z169/(V169+Z169))</f>
        <v/>
      </c>
      <c r="AP169" s="14">
        <f>AL169/V169*100</f>
        <v/>
      </c>
      <c r="AQ169" s="8">
        <f>P169/AL169*1000</f>
        <v/>
      </c>
      <c r="AR169" s="77">
        <f>MAX(N169,M169-1)</f>
        <v/>
      </c>
      <c r="AS169" s="14">
        <f>SUMIFS(Donnees_regimes!$R$3:$R$1118,Donnees_regimes!$A$3:$A$1118,C169,Donnees_regimes!$B$3:$B$1118,"&gt;="&amp;G169,Donnees_regimes!$B$3:$B$1118,"&lt;="&amp;N169)*L169/ROUNDUP(L169,0)*SUMIFS(Donnees_annuelles!$AG$3:$AG$188,Donnees_annuelles!$A$3:$A$188,AR169)*SUMIFS(Donnees_annuelles!$AA$3:$AA$188,Donnees_annuelles!$A$3:$A$188,AR169)</f>
        <v/>
      </c>
      <c r="AT169" s="36">
        <f>AS169/V169</f>
        <v/>
      </c>
      <c r="AU169" s="14">
        <f>AL169</f>
        <v/>
      </c>
      <c r="AV169" s="39">
        <f>AS169-AL169</f>
        <v/>
      </c>
      <c r="AW169" s="9">
        <f>AS169/AL169-1</f>
        <v/>
      </c>
      <c r="AX169" s="14">
        <f>AS169/AJ169/12</f>
        <v/>
      </c>
      <c r="AY169" s="14">
        <f>AF169</f>
        <v/>
      </c>
      <c r="AZ169" s="39">
        <f>AX169-AF169</f>
        <v/>
      </c>
      <c r="BA169" s="14">
        <f>SUMIFS(Donnees_regimes!$S$3:$S$1118,Donnees_regimes!$A$3:$A$1118,C169,Donnees_regimes!$B$3:$B$1118,"&gt;="&amp;G169,Donnees_regimes!$B$3:$B$1118,"&lt;="&amp;N169)*L169/ROUNDUP(L169,0)*SUMIFS(Donnees_annuelles!$AH$3:$AH$188,Donnees_annuelles!$A$3:$A$188,AR169)*SUMIFS(Donnees_annuelles!$AA$3:$AA$188,Donnees_annuelles!$A$3:$A$188,AR169)</f>
        <v/>
      </c>
      <c r="BB169" s="39">
        <f>BA169-AL169</f>
        <v/>
      </c>
      <c r="BC169" s="7">
        <f>IF(M169+AJ169&gt;2026,IF(G169&gt;2026,"entièrement projeté","en partie projeté"),"observé")</f>
        <v/>
      </c>
    </row>
    <row r="170">
      <c r="A170" s="7" t="inlineStr">
        <is>
          <t>Génération Z</t>
        </is>
      </c>
      <c r="B170" s="84" t="inlineStr">
        <is>
          <t>Fonction publique d'État</t>
        </is>
      </c>
      <c r="C170" s="7">
        <f>IF(G170&gt;=SUMIFS(Regimes!$C$5:$C$10,Regimes!$A$5:$A$10,B170),"Privé",B170)</f>
        <v/>
      </c>
      <c r="D170" s="7">
        <f>INDEX(Regimes!$D$5:$D$10,MATCH(C170,Regimes!$A$5:$A$10,0))</f>
        <v/>
      </c>
      <c r="E170" s="88" t="n">
        <v>1997</v>
      </c>
      <c r="F170" s="8">
        <f>Donnees_generations!C85</f>
        <v/>
      </c>
      <c r="G170" s="77">
        <f>Donnees_generations!D85</f>
        <v/>
      </c>
      <c r="H170" s="8">
        <f>SUMIFS(Donnees_generations!$S$3:$S$113,Donnees_generations!$A$3:$A$113,MAX(1915,MIN(2025,E170)))</f>
        <v/>
      </c>
      <c r="I170" s="8">
        <f>SUMIFS(Donnees_generations!$T$3:$T$113,Donnees_generations!$A$3:$A$113,MAX(1915,MIN(2025,E170)))</f>
        <v/>
      </c>
      <c r="J170" s="8">
        <f>IF(G170&gt;=2000,MAX(I170,Parametres!$B$3),I170)</f>
        <v/>
      </c>
      <c r="K170" s="8">
        <f>IF(C170="Privé",J170,SUMIFS(Regles_regimes!$J$3:$J$2000,Regles_regimes!$A$3:$A$2000,C170,Regles_regimes!$B$3:$B$2000,D170,Regles_regimes!$C$3:$C$2000,MAX(1915,MIN(2025,E170))))</f>
        <v/>
      </c>
      <c r="L170" s="8">
        <f>IF(C170="Privé",H170,(K170-F170)*H170/(J170-F170))</f>
        <v/>
      </c>
      <c r="M170" s="77">
        <f>INT(E170+K170)</f>
        <v/>
      </c>
      <c r="N170" s="77">
        <f>G170+ROUNDUP(L170,0)-1</f>
        <v/>
      </c>
      <c r="O170" s="89">
        <f>SUMIFS(Regles_regimes!$K$3:$K$2000,Regles_regimes!$A$3:$A$2000,C170,Regles_regimes!$B$3:$B$2000,D170,Regles_regimes!$C$3:$C$2000,MAX(1915,MIN(2025,E170)))</f>
        <v/>
      </c>
      <c r="P170" s="13">
        <f>SUMIFS(Donnees_annuelles!$W$3:$W$188,Donnees_annuelles!$A$3:$A$188,"&gt;="&amp;G170,Donnees_annuelles!$A$3:$A$188,"&lt;="&amp;N170)*L170/ROUNDUP(L170,0)*O170</f>
        <v/>
      </c>
      <c r="Q170" s="13">
        <f>SUMIFS(Donnees_annuelles!$V$3:$V$188,Donnees_annuelles!$A$3:$A$188,"&gt;="&amp;G170,Donnees_annuelles!$A$3:$A$188,"&lt;="&amp;N170)*L170/ROUNDUP(L170,0)</f>
        <v/>
      </c>
      <c r="R170" s="13">
        <f>P170/L170</f>
        <v/>
      </c>
      <c r="S170" s="14">
        <f>SUMIFS(Donnees_annuelles!$D$3:$D$188,Donnees_annuelles!$A$3:$A$188,"&gt;="&amp;G170,Donnees_annuelles!$A$3:$A$188,"&lt;="&amp;N170)*L170/ROUNDUP(L170,0)</f>
        <v/>
      </c>
      <c r="T170" s="14">
        <f>SUMIFS(Donnees_regimes!$N$3:$N$1118,Donnees_regimes!$A$3:$A$1118,C170,Donnees_regimes!$B$3:$B$1118,"&gt;="&amp;G170,Donnees_regimes!$B$3:$B$1118,"&lt;="&amp;N170)*L170/ROUNDUP(L170,0)</f>
        <v/>
      </c>
      <c r="U170" s="14">
        <f>SUMIFS(Donnees_regimes!$O$3:$O$1118,Donnees_regimes!$A$3:$A$1118,C170,Donnees_regimes!$B$3:$B$1118,"&gt;="&amp;G170,Donnees_regimes!$B$3:$B$1118,"&lt;="&amp;N170)*L170/ROUNDUP(L170,0)</f>
        <v/>
      </c>
      <c r="V170" s="14">
        <f>T170+U170</f>
        <v/>
      </c>
      <c r="W170" s="33">
        <f>V170/S170</f>
        <v/>
      </c>
      <c r="X170" s="14">
        <f>S170+U170</f>
        <v/>
      </c>
      <c r="Y170" s="17">
        <f>V170/P170</f>
        <v/>
      </c>
      <c r="Z170" s="14">
        <f>SUMIFS(Donnees_regimes!$Q$3:$Q$1118,Donnees_regimes!$A$3:$A$1118,C170,Donnees_regimes!$B$3:$B$1118,"&gt;="&amp;G170,Donnees_regimes!$B$3:$B$1118,"&lt;="&amp;N170)*L170/ROUNDUP(L170,0)</f>
        <v/>
      </c>
      <c r="AA170" s="77">
        <f>SUMIFS(Regles_regimes!$F$3:$F$2000,Regles_regimes!$A$3:$A$2000,C170,Regles_regimes!$B$3:$B$2000,D170,Regles_regimes!$C$3:$C$2000,MAX(1915,MIN(2025,E170)))</f>
        <v/>
      </c>
      <c r="AB170" s="77">
        <f>IF(AND(SUMIFS(Regles_regimes!$L$3:$L$2000,Regles_regimes!$A$3:$A$2000,C170,Regles_regimes!$B$3:$B$2000,D170,Regles_regimes!$C$3:$C$2000,MAX(1915,MIN(2025,E170)))=1,G170&lt;2009,C170&lt;&gt;"Privé"),MIN(20,L170*4/5),0)</f>
        <v/>
      </c>
      <c r="AC170" s="89">
        <f>SUMIFS(Donnees_regimes!$M$3:$M$1118,Donnees_regimes!$A$3:$A$1118,C170,Donnees_regimes!$B$3:$B$1118,M170)</f>
        <v/>
      </c>
      <c r="AD170" s="14">
        <f>SUMIFS(Donnees_annuelles!$Y$3:$Y$188,Donnees_annuelles!$A$3:$A$188,M170)*SUMIFS(Donnees_generations!$I$3:$I$113,Donnees_generations!$A$3:$A$113,MAX(1915,MIN(2025,E170)))/H170</f>
        <v/>
      </c>
      <c r="AE170" s="14">
        <f>IF(C170="Privé",SUMIFS(Donnees_annuelles!$Y$3:$Y$188,Donnees_annuelles!$A$3:$A$188,M170)*MIN(L170,SUMIFS(Donnees_generations!$I$3:$I$113,Donnees_generations!$A$3:$A$113,MAX(1915,MIN(2025,E170))))/L170,AD170*AC170*MIN(IF(AB170&gt;0,0.8/0.75,1),(L170*4+AB170)/AA170))</f>
        <v/>
      </c>
      <c r="AF170" s="14">
        <f>AE170/12</f>
        <v/>
      </c>
      <c r="AG170" s="77">
        <f>MIN(68,MAX(56,2*INT(K170/2)))</f>
        <v/>
      </c>
      <c r="AH170" s="75">
        <f>(CHOOSE((AG170-56)/2+1,SUMIFS(Donnees_generations!$U$3:$U$113,Donnees_generations!$A$3:$A$113,MAX(1915,MIN(2025,E170))),SUMIFS(Donnees_generations!$V$3:$V$113,Donnees_generations!$A$3:$A$113,MAX(1915,MIN(2025,E170))),SUMIFS(Donnees_generations!$W$3:$W$113,Donnees_generations!$A$3:$A$113,MAX(1915,MIN(2025,E170))),SUMIFS(Donnees_generations!$X$3:$X$113,Donnees_generations!$A$3:$A$113,MAX(1915,MIN(2025,E170))),SUMIFS(Donnees_generations!$Y$3:$Y$113,Donnees_generations!$A$3:$A$113,MAX(1915,MIN(2025,E170))),SUMIFS(Donnees_generations!$Z$3:$Z$113,Donnees_generations!$A$3:$A$113,MAX(1915,MIN(2025,E170))),SUMIFS(Donnees_generations!$AA$3:$AA$113,Donnees_generations!$A$3:$A$113,MAX(1915,MIN(2025,E170))),SUMIFS(Donnees_generations!$AB$3:$AB$113,Donnees_generations!$A$3:$A$113,MAX(1915,MIN(2025,E170))))+CHOOSE((AG170-56)/2+1,SUMIFS(Donnees_generations!$AC$3:$AC$113,Donnees_generations!$A$3:$A$113,MAX(1915,MIN(2025,E170))),SUMIFS(Donnees_generations!$AD$3:$AD$113,Donnees_generations!$A$3:$A$113,MAX(1915,MIN(2025,E170))),SUMIFS(Donnees_generations!$AE$3:$AE$113,Donnees_generations!$A$3:$A$113,MAX(1915,MIN(2025,E170))),SUMIFS(Donnees_generations!$AF$3:$AF$113,Donnees_generations!$A$3:$A$113,MAX(1915,MIN(2025,E170))),SUMIFS(Donnees_generations!$AG$3:$AG$113,Donnees_generations!$A$3:$A$113,MAX(1915,MIN(2025,E170))),SUMIFS(Donnees_generations!$AH$3:$AH$113,Donnees_generations!$A$3:$A$113,MAX(1915,MIN(2025,E170))),SUMIFS(Donnees_generations!$AI$3:$AI$113,Donnees_generations!$A$3:$A$113,MAX(1915,MIN(2025,E170))),SUMIFS(Donnees_generations!$AJ$3:$AJ$113,Donnees_generations!$A$3:$A$113,MAX(1915,MIN(2025,E170)))))/2</f>
        <v/>
      </c>
      <c r="AI170" s="75">
        <f>(CHOOSE(((AG170+2)-56)/2+1,SUMIFS(Donnees_generations!$U$3:$U$113,Donnees_generations!$A$3:$A$113,MAX(1915,MIN(2025,E170))),SUMIFS(Donnees_generations!$V$3:$V$113,Donnees_generations!$A$3:$A$113,MAX(1915,MIN(2025,E170))),SUMIFS(Donnees_generations!$W$3:$W$113,Donnees_generations!$A$3:$A$113,MAX(1915,MIN(2025,E170))),SUMIFS(Donnees_generations!$X$3:$X$113,Donnees_generations!$A$3:$A$113,MAX(1915,MIN(2025,E170))),SUMIFS(Donnees_generations!$Y$3:$Y$113,Donnees_generations!$A$3:$A$113,MAX(1915,MIN(2025,E170))),SUMIFS(Donnees_generations!$Z$3:$Z$113,Donnees_generations!$A$3:$A$113,MAX(1915,MIN(2025,E170))),SUMIFS(Donnees_generations!$AA$3:$AA$113,Donnees_generations!$A$3:$A$113,MAX(1915,MIN(2025,E170))),SUMIFS(Donnees_generations!$AB$3:$AB$113,Donnees_generations!$A$3:$A$113,MAX(1915,MIN(2025,E170))))+CHOOSE(((AG170+2)-56)/2+1,SUMIFS(Donnees_generations!$AC$3:$AC$113,Donnees_generations!$A$3:$A$113,MAX(1915,MIN(2025,E170))),SUMIFS(Donnees_generations!$AD$3:$AD$113,Donnees_generations!$A$3:$A$113,MAX(1915,MIN(2025,E170))),SUMIFS(Donnees_generations!$AE$3:$AE$113,Donnees_generations!$A$3:$A$113,MAX(1915,MIN(2025,E170))),SUMIFS(Donnees_generations!$AF$3:$AF$113,Donnees_generations!$A$3:$A$113,MAX(1915,MIN(2025,E170))),SUMIFS(Donnees_generations!$AG$3:$AG$113,Donnees_generations!$A$3:$A$113,MAX(1915,MIN(2025,E170))),SUMIFS(Donnees_generations!$AH$3:$AH$113,Donnees_generations!$A$3:$A$113,MAX(1915,MIN(2025,E170))),SUMIFS(Donnees_generations!$AI$3:$AI$113,Donnees_generations!$A$3:$A$113,MAX(1915,MIN(2025,E170))),SUMIFS(Donnees_generations!$AJ$3:$AJ$113,Donnees_generations!$A$3:$A$113,MAX(1915,MIN(2025,E170)))))/2</f>
        <v/>
      </c>
      <c r="AJ170" s="8">
        <f>MAX(0,AH170+(AI170-AH170)*(K170-AG170)/2)</f>
        <v/>
      </c>
      <c r="AK170" s="8">
        <f>K170+AJ170</f>
        <v/>
      </c>
      <c r="AL170" s="14">
        <f>AE170*AJ170</f>
        <v/>
      </c>
      <c r="AM170" s="17">
        <f>V170/AL170</f>
        <v/>
      </c>
      <c r="AN170" s="17">
        <f>Z170/AL170</f>
        <v/>
      </c>
      <c r="AO170" s="33">
        <f>IF(V170+Z170=0,0,Z170/(V170+Z170))</f>
        <v/>
      </c>
      <c r="AP170" s="14">
        <f>AL170/V170*100</f>
        <v/>
      </c>
      <c r="AQ170" s="8">
        <f>P170/AL170*1000</f>
        <v/>
      </c>
      <c r="AR170" s="77">
        <f>MAX(N170,M170-1)</f>
        <v/>
      </c>
      <c r="AS170" s="14">
        <f>SUMIFS(Donnees_regimes!$R$3:$R$1118,Donnees_regimes!$A$3:$A$1118,C170,Donnees_regimes!$B$3:$B$1118,"&gt;="&amp;G170,Donnees_regimes!$B$3:$B$1118,"&lt;="&amp;N170)*L170/ROUNDUP(L170,0)*SUMIFS(Donnees_annuelles!$AG$3:$AG$188,Donnees_annuelles!$A$3:$A$188,AR170)*SUMIFS(Donnees_annuelles!$AA$3:$AA$188,Donnees_annuelles!$A$3:$A$188,AR170)</f>
        <v/>
      </c>
      <c r="AT170" s="36">
        <f>AS170/V170</f>
        <v/>
      </c>
      <c r="AU170" s="14">
        <f>AL170</f>
        <v/>
      </c>
      <c r="AV170" s="39">
        <f>AS170-AL170</f>
        <v/>
      </c>
      <c r="AW170" s="9">
        <f>AS170/AL170-1</f>
        <v/>
      </c>
      <c r="AX170" s="14">
        <f>AS170/AJ170/12</f>
        <v/>
      </c>
      <c r="AY170" s="14">
        <f>AF170</f>
        <v/>
      </c>
      <c r="AZ170" s="39">
        <f>AX170-AF170</f>
        <v/>
      </c>
      <c r="BA170" s="14">
        <f>SUMIFS(Donnees_regimes!$S$3:$S$1118,Donnees_regimes!$A$3:$A$1118,C170,Donnees_regimes!$B$3:$B$1118,"&gt;="&amp;G170,Donnees_regimes!$B$3:$B$1118,"&lt;="&amp;N170)*L170/ROUNDUP(L170,0)*SUMIFS(Donnees_annuelles!$AH$3:$AH$188,Donnees_annuelles!$A$3:$A$188,AR170)*SUMIFS(Donnees_annuelles!$AA$3:$AA$188,Donnees_annuelles!$A$3:$A$188,AR170)</f>
        <v/>
      </c>
      <c r="BB170" s="39">
        <f>BA170-AL170</f>
        <v/>
      </c>
      <c r="BC170" s="7">
        <f>IF(M170+AJ170&gt;2026,IF(G170&gt;2026,"entièrement projeté","en partie projeté"),"observé")</f>
        <v/>
      </c>
    </row>
    <row r="171">
      <c r="A171" s="7" t="inlineStr">
        <is>
          <t>Génération Z</t>
        </is>
      </c>
      <c r="B171" s="84" t="inlineStr">
        <is>
          <t>Fonction publique d'État</t>
        </is>
      </c>
      <c r="C171" s="7">
        <f>IF(G171&gt;=SUMIFS(Regimes!$C$5:$C$10,Regimes!$A$5:$A$10,B171),"Privé",B171)</f>
        <v/>
      </c>
      <c r="D171" s="7">
        <f>INDEX(Regimes!$D$5:$D$10,MATCH(C171,Regimes!$A$5:$A$10,0))</f>
        <v/>
      </c>
      <c r="E171" s="88" t="n">
        <v>1998</v>
      </c>
      <c r="F171" s="8">
        <f>Donnees_generations!C86</f>
        <v/>
      </c>
      <c r="G171" s="77">
        <f>Donnees_generations!D86</f>
        <v/>
      </c>
      <c r="H171" s="8">
        <f>SUMIFS(Donnees_generations!$S$3:$S$113,Donnees_generations!$A$3:$A$113,MAX(1915,MIN(2025,E171)))</f>
        <v/>
      </c>
      <c r="I171" s="8">
        <f>SUMIFS(Donnees_generations!$T$3:$T$113,Donnees_generations!$A$3:$A$113,MAX(1915,MIN(2025,E171)))</f>
        <v/>
      </c>
      <c r="J171" s="8">
        <f>IF(G171&gt;=2000,MAX(I171,Parametres!$B$3),I171)</f>
        <v/>
      </c>
      <c r="K171" s="8">
        <f>IF(C171="Privé",J171,SUMIFS(Regles_regimes!$J$3:$J$2000,Regles_regimes!$A$3:$A$2000,C171,Regles_regimes!$B$3:$B$2000,D171,Regles_regimes!$C$3:$C$2000,MAX(1915,MIN(2025,E171))))</f>
        <v/>
      </c>
      <c r="L171" s="8">
        <f>IF(C171="Privé",H171,(K171-F171)*H171/(J171-F171))</f>
        <v/>
      </c>
      <c r="M171" s="77">
        <f>INT(E171+K171)</f>
        <v/>
      </c>
      <c r="N171" s="77">
        <f>G171+ROUNDUP(L171,0)-1</f>
        <v/>
      </c>
      <c r="O171" s="89">
        <f>SUMIFS(Regles_regimes!$K$3:$K$2000,Regles_regimes!$A$3:$A$2000,C171,Regles_regimes!$B$3:$B$2000,D171,Regles_regimes!$C$3:$C$2000,MAX(1915,MIN(2025,E171)))</f>
        <v/>
      </c>
      <c r="P171" s="13">
        <f>SUMIFS(Donnees_annuelles!$W$3:$W$188,Donnees_annuelles!$A$3:$A$188,"&gt;="&amp;G171,Donnees_annuelles!$A$3:$A$188,"&lt;="&amp;N171)*L171/ROUNDUP(L171,0)*O171</f>
        <v/>
      </c>
      <c r="Q171" s="13">
        <f>SUMIFS(Donnees_annuelles!$V$3:$V$188,Donnees_annuelles!$A$3:$A$188,"&gt;="&amp;G171,Donnees_annuelles!$A$3:$A$188,"&lt;="&amp;N171)*L171/ROUNDUP(L171,0)</f>
        <v/>
      </c>
      <c r="R171" s="13">
        <f>P171/L171</f>
        <v/>
      </c>
      <c r="S171" s="14">
        <f>SUMIFS(Donnees_annuelles!$D$3:$D$188,Donnees_annuelles!$A$3:$A$188,"&gt;="&amp;G171,Donnees_annuelles!$A$3:$A$188,"&lt;="&amp;N171)*L171/ROUNDUP(L171,0)</f>
        <v/>
      </c>
      <c r="T171" s="14">
        <f>SUMIFS(Donnees_regimes!$N$3:$N$1118,Donnees_regimes!$A$3:$A$1118,C171,Donnees_regimes!$B$3:$B$1118,"&gt;="&amp;G171,Donnees_regimes!$B$3:$B$1118,"&lt;="&amp;N171)*L171/ROUNDUP(L171,0)</f>
        <v/>
      </c>
      <c r="U171" s="14">
        <f>SUMIFS(Donnees_regimes!$O$3:$O$1118,Donnees_regimes!$A$3:$A$1118,C171,Donnees_regimes!$B$3:$B$1118,"&gt;="&amp;G171,Donnees_regimes!$B$3:$B$1118,"&lt;="&amp;N171)*L171/ROUNDUP(L171,0)</f>
        <v/>
      </c>
      <c r="V171" s="14">
        <f>T171+U171</f>
        <v/>
      </c>
      <c r="W171" s="33">
        <f>V171/S171</f>
        <v/>
      </c>
      <c r="X171" s="14">
        <f>S171+U171</f>
        <v/>
      </c>
      <c r="Y171" s="17">
        <f>V171/P171</f>
        <v/>
      </c>
      <c r="Z171" s="14">
        <f>SUMIFS(Donnees_regimes!$Q$3:$Q$1118,Donnees_regimes!$A$3:$A$1118,C171,Donnees_regimes!$B$3:$B$1118,"&gt;="&amp;G171,Donnees_regimes!$B$3:$B$1118,"&lt;="&amp;N171)*L171/ROUNDUP(L171,0)</f>
        <v/>
      </c>
      <c r="AA171" s="77">
        <f>SUMIFS(Regles_regimes!$F$3:$F$2000,Regles_regimes!$A$3:$A$2000,C171,Regles_regimes!$B$3:$B$2000,D171,Regles_regimes!$C$3:$C$2000,MAX(1915,MIN(2025,E171)))</f>
        <v/>
      </c>
      <c r="AB171" s="77">
        <f>IF(AND(SUMIFS(Regles_regimes!$L$3:$L$2000,Regles_regimes!$A$3:$A$2000,C171,Regles_regimes!$B$3:$B$2000,D171,Regles_regimes!$C$3:$C$2000,MAX(1915,MIN(2025,E171)))=1,G171&lt;2009,C171&lt;&gt;"Privé"),MIN(20,L171*4/5),0)</f>
        <v/>
      </c>
      <c r="AC171" s="89">
        <f>SUMIFS(Donnees_regimes!$M$3:$M$1118,Donnees_regimes!$A$3:$A$1118,C171,Donnees_regimes!$B$3:$B$1118,M171)</f>
        <v/>
      </c>
      <c r="AD171" s="14">
        <f>SUMIFS(Donnees_annuelles!$Y$3:$Y$188,Donnees_annuelles!$A$3:$A$188,M171)*SUMIFS(Donnees_generations!$I$3:$I$113,Donnees_generations!$A$3:$A$113,MAX(1915,MIN(2025,E171)))/H171</f>
        <v/>
      </c>
      <c r="AE171" s="14">
        <f>IF(C171="Privé",SUMIFS(Donnees_annuelles!$Y$3:$Y$188,Donnees_annuelles!$A$3:$A$188,M171)*MIN(L171,SUMIFS(Donnees_generations!$I$3:$I$113,Donnees_generations!$A$3:$A$113,MAX(1915,MIN(2025,E171))))/L171,AD171*AC171*MIN(IF(AB171&gt;0,0.8/0.75,1),(L171*4+AB171)/AA171))</f>
        <v/>
      </c>
      <c r="AF171" s="14">
        <f>AE171/12</f>
        <v/>
      </c>
      <c r="AG171" s="77">
        <f>MIN(68,MAX(56,2*INT(K171/2)))</f>
        <v/>
      </c>
      <c r="AH171" s="75">
        <f>(CHOOSE((AG171-56)/2+1,SUMIFS(Donnees_generations!$U$3:$U$113,Donnees_generations!$A$3:$A$113,MAX(1915,MIN(2025,E171))),SUMIFS(Donnees_generations!$V$3:$V$113,Donnees_generations!$A$3:$A$113,MAX(1915,MIN(2025,E171))),SUMIFS(Donnees_generations!$W$3:$W$113,Donnees_generations!$A$3:$A$113,MAX(1915,MIN(2025,E171))),SUMIFS(Donnees_generations!$X$3:$X$113,Donnees_generations!$A$3:$A$113,MAX(1915,MIN(2025,E171))),SUMIFS(Donnees_generations!$Y$3:$Y$113,Donnees_generations!$A$3:$A$113,MAX(1915,MIN(2025,E171))),SUMIFS(Donnees_generations!$Z$3:$Z$113,Donnees_generations!$A$3:$A$113,MAX(1915,MIN(2025,E171))),SUMIFS(Donnees_generations!$AA$3:$AA$113,Donnees_generations!$A$3:$A$113,MAX(1915,MIN(2025,E171))),SUMIFS(Donnees_generations!$AB$3:$AB$113,Donnees_generations!$A$3:$A$113,MAX(1915,MIN(2025,E171))))+CHOOSE((AG171-56)/2+1,SUMIFS(Donnees_generations!$AC$3:$AC$113,Donnees_generations!$A$3:$A$113,MAX(1915,MIN(2025,E171))),SUMIFS(Donnees_generations!$AD$3:$AD$113,Donnees_generations!$A$3:$A$113,MAX(1915,MIN(2025,E171))),SUMIFS(Donnees_generations!$AE$3:$AE$113,Donnees_generations!$A$3:$A$113,MAX(1915,MIN(2025,E171))),SUMIFS(Donnees_generations!$AF$3:$AF$113,Donnees_generations!$A$3:$A$113,MAX(1915,MIN(2025,E171))),SUMIFS(Donnees_generations!$AG$3:$AG$113,Donnees_generations!$A$3:$A$113,MAX(1915,MIN(2025,E171))),SUMIFS(Donnees_generations!$AH$3:$AH$113,Donnees_generations!$A$3:$A$113,MAX(1915,MIN(2025,E171))),SUMIFS(Donnees_generations!$AI$3:$AI$113,Donnees_generations!$A$3:$A$113,MAX(1915,MIN(2025,E171))),SUMIFS(Donnees_generations!$AJ$3:$AJ$113,Donnees_generations!$A$3:$A$113,MAX(1915,MIN(2025,E171)))))/2</f>
        <v/>
      </c>
      <c r="AI171" s="75">
        <f>(CHOOSE(((AG171+2)-56)/2+1,SUMIFS(Donnees_generations!$U$3:$U$113,Donnees_generations!$A$3:$A$113,MAX(1915,MIN(2025,E171))),SUMIFS(Donnees_generations!$V$3:$V$113,Donnees_generations!$A$3:$A$113,MAX(1915,MIN(2025,E171))),SUMIFS(Donnees_generations!$W$3:$W$113,Donnees_generations!$A$3:$A$113,MAX(1915,MIN(2025,E171))),SUMIFS(Donnees_generations!$X$3:$X$113,Donnees_generations!$A$3:$A$113,MAX(1915,MIN(2025,E171))),SUMIFS(Donnees_generations!$Y$3:$Y$113,Donnees_generations!$A$3:$A$113,MAX(1915,MIN(2025,E171))),SUMIFS(Donnees_generations!$Z$3:$Z$113,Donnees_generations!$A$3:$A$113,MAX(1915,MIN(2025,E171))),SUMIFS(Donnees_generations!$AA$3:$AA$113,Donnees_generations!$A$3:$A$113,MAX(1915,MIN(2025,E171))),SUMIFS(Donnees_generations!$AB$3:$AB$113,Donnees_generations!$A$3:$A$113,MAX(1915,MIN(2025,E171))))+CHOOSE(((AG171+2)-56)/2+1,SUMIFS(Donnees_generations!$AC$3:$AC$113,Donnees_generations!$A$3:$A$113,MAX(1915,MIN(2025,E171))),SUMIFS(Donnees_generations!$AD$3:$AD$113,Donnees_generations!$A$3:$A$113,MAX(1915,MIN(2025,E171))),SUMIFS(Donnees_generations!$AE$3:$AE$113,Donnees_generations!$A$3:$A$113,MAX(1915,MIN(2025,E171))),SUMIFS(Donnees_generations!$AF$3:$AF$113,Donnees_generations!$A$3:$A$113,MAX(1915,MIN(2025,E171))),SUMIFS(Donnees_generations!$AG$3:$AG$113,Donnees_generations!$A$3:$A$113,MAX(1915,MIN(2025,E171))),SUMIFS(Donnees_generations!$AH$3:$AH$113,Donnees_generations!$A$3:$A$113,MAX(1915,MIN(2025,E171))),SUMIFS(Donnees_generations!$AI$3:$AI$113,Donnees_generations!$A$3:$A$113,MAX(1915,MIN(2025,E171))),SUMIFS(Donnees_generations!$AJ$3:$AJ$113,Donnees_generations!$A$3:$A$113,MAX(1915,MIN(2025,E171)))))/2</f>
        <v/>
      </c>
      <c r="AJ171" s="8">
        <f>MAX(0,AH171+(AI171-AH171)*(K171-AG171)/2)</f>
        <v/>
      </c>
      <c r="AK171" s="8">
        <f>K171+AJ171</f>
        <v/>
      </c>
      <c r="AL171" s="14">
        <f>AE171*AJ171</f>
        <v/>
      </c>
      <c r="AM171" s="17">
        <f>V171/AL171</f>
        <v/>
      </c>
      <c r="AN171" s="17">
        <f>Z171/AL171</f>
        <v/>
      </c>
      <c r="AO171" s="33">
        <f>IF(V171+Z171=0,0,Z171/(V171+Z171))</f>
        <v/>
      </c>
      <c r="AP171" s="14">
        <f>AL171/V171*100</f>
        <v/>
      </c>
      <c r="AQ171" s="8">
        <f>P171/AL171*1000</f>
        <v/>
      </c>
      <c r="AR171" s="77">
        <f>MAX(N171,M171-1)</f>
        <v/>
      </c>
      <c r="AS171" s="14">
        <f>SUMIFS(Donnees_regimes!$R$3:$R$1118,Donnees_regimes!$A$3:$A$1118,C171,Donnees_regimes!$B$3:$B$1118,"&gt;="&amp;G171,Donnees_regimes!$B$3:$B$1118,"&lt;="&amp;N171)*L171/ROUNDUP(L171,0)*SUMIFS(Donnees_annuelles!$AG$3:$AG$188,Donnees_annuelles!$A$3:$A$188,AR171)*SUMIFS(Donnees_annuelles!$AA$3:$AA$188,Donnees_annuelles!$A$3:$A$188,AR171)</f>
        <v/>
      </c>
      <c r="AT171" s="36">
        <f>AS171/V171</f>
        <v/>
      </c>
      <c r="AU171" s="14">
        <f>AL171</f>
        <v/>
      </c>
      <c r="AV171" s="39">
        <f>AS171-AL171</f>
        <v/>
      </c>
      <c r="AW171" s="9">
        <f>AS171/AL171-1</f>
        <v/>
      </c>
      <c r="AX171" s="14">
        <f>AS171/AJ171/12</f>
        <v/>
      </c>
      <c r="AY171" s="14">
        <f>AF171</f>
        <v/>
      </c>
      <c r="AZ171" s="39">
        <f>AX171-AF171</f>
        <v/>
      </c>
      <c r="BA171" s="14">
        <f>SUMIFS(Donnees_regimes!$S$3:$S$1118,Donnees_regimes!$A$3:$A$1118,C171,Donnees_regimes!$B$3:$B$1118,"&gt;="&amp;G171,Donnees_regimes!$B$3:$B$1118,"&lt;="&amp;N171)*L171/ROUNDUP(L171,0)*SUMIFS(Donnees_annuelles!$AH$3:$AH$188,Donnees_annuelles!$A$3:$A$188,AR171)*SUMIFS(Donnees_annuelles!$AA$3:$AA$188,Donnees_annuelles!$A$3:$A$188,AR171)</f>
        <v/>
      </c>
      <c r="BB171" s="39">
        <f>BA171-AL171</f>
        <v/>
      </c>
      <c r="BC171" s="7">
        <f>IF(M171+AJ171&gt;2026,IF(G171&gt;2026,"entièrement projeté","en partie projeté"),"observé")</f>
        <v/>
      </c>
    </row>
    <row r="172">
      <c r="A172" s="7" t="inlineStr">
        <is>
          <t>Génération Z</t>
        </is>
      </c>
      <c r="B172" s="84" t="inlineStr">
        <is>
          <t>Fonction publique d'État</t>
        </is>
      </c>
      <c r="C172" s="7">
        <f>IF(G172&gt;=SUMIFS(Regimes!$C$5:$C$10,Regimes!$A$5:$A$10,B172),"Privé",B172)</f>
        <v/>
      </c>
      <c r="D172" s="7">
        <f>INDEX(Regimes!$D$5:$D$10,MATCH(C172,Regimes!$A$5:$A$10,0))</f>
        <v/>
      </c>
      <c r="E172" s="88" t="n">
        <v>1999</v>
      </c>
      <c r="F172" s="8">
        <f>Donnees_generations!C87</f>
        <v/>
      </c>
      <c r="G172" s="77">
        <f>Donnees_generations!D87</f>
        <v/>
      </c>
      <c r="H172" s="8">
        <f>SUMIFS(Donnees_generations!$S$3:$S$113,Donnees_generations!$A$3:$A$113,MAX(1915,MIN(2025,E172)))</f>
        <v/>
      </c>
      <c r="I172" s="8">
        <f>SUMIFS(Donnees_generations!$T$3:$T$113,Donnees_generations!$A$3:$A$113,MAX(1915,MIN(2025,E172)))</f>
        <v/>
      </c>
      <c r="J172" s="8">
        <f>IF(G172&gt;=2000,MAX(I172,Parametres!$B$3),I172)</f>
        <v/>
      </c>
      <c r="K172" s="8">
        <f>IF(C172="Privé",J172,SUMIFS(Regles_regimes!$J$3:$J$2000,Regles_regimes!$A$3:$A$2000,C172,Regles_regimes!$B$3:$B$2000,D172,Regles_regimes!$C$3:$C$2000,MAX(1915,MIN(2025,E172))))</f>
        <v/>
      </c>
      <c r="L172" s="8">
        <f>IF(C172="Privé",H172,(K172-F172)*H172/(J172-F172))</f>
        <v/>
      </c>
      <c r="M172" s="77">
        <f>INT(E172+K172)</f>
        <v/>
      </c>
      <c r="N172" s="77">
        <f>G172+ROUNDUP(L172,0)-1</f>
        <v/>
      </c>
      <c r="O172" s="89">
        <f>SUMIFS(Regles_regimes!$K$3:$K$2000,Regles_regimes!$A$3:$A$2000,C172,Regles_regimes!$B$3:$B$2000,D172,Regles_regimes!$C$3:$C$2000,MAX(1915,MIN(2025,E172)))</f>
        <v/>
      </c>
      <c r="P172" s="13">
        <f>SUMIFS(Donnees_annuelles!$W$3:$W$188,Donnees_annuelles!$A$3:$A$188,"&gt;="&amp;G172,Donnees_annuelles!$A$3:$A$188,"&lt;="&amp;N172)*L172/ROUNDUP(L172,0)*O172</f>
        <v/>
      </c>
      <c r="Q172" s="13">
        <f>SUMIFS(Donnees_annuelles!$V$3:$V$188,Donnees_annuelles!$A$3:$A$188,"&gt;="&amp;G172,Donnees_annuelles!$A$3:$A$188,"&lt;="&amp;N172)*L172/ROUNDUP(L172,0)</f>
        <v/>
      </c>
      <c r="R172" s="13">
        <f>P172/L172</f>
        <v/>
      </c>
      <c r="S172" s="14">
        <f>SUMIFS(Donnees_annuelles!$D$3:$D$188,Donnees_annuelles!$A$3:$A$188,"&gt;="&amp;G172,Donnees_annuelles!$A$3:$A$188,"&lt;="&amp;N172)*L172/ROUNDUP(L172,0)</f>
        <v/>
      </c>
      <c r="T172" s="14">
        <f>SUMIFS(Donnees_regimes!$N$3:$N$1118,Donnees_regimes!$A$3:$A$1118,C172,Donnees_regimes!$B$3:$B$1118,"&gt;="&amp;G172,Donnees_regimes!$B$3:$B$1118,"&lt;="&amp;N172)*L172/ROUNDUP(L172,0)</f>
        <v/>
      </c>
      <c r="U172" s="14">
        <f>SUMIFS(Donnees_regimes!$O$3:$O$1118,Donnees_regimes!$A$3:$A$1118,C172,Donnees_regimes!$B$3:$B$1118,"&gt;="&amp;G172,Donnees_regimes!$B$3:$B$1118,"&lt;="&amp;N172)*L172/ROUNDUP(L172,0)</f>
        <v/>
      </c>
      <c r="V172" s="14">
        <f>T172+U172</f>
        <v/>
      </c>
      <c r="W172" s="33">
        <f>V172/S172</f>
        <v/>
      </c>
      <c r="X172" s="14">
        <f>S172+U172</f>
        <v/>
      </c>
      <c r="Y172" s="17">
        <f>V172/P172</f>
        <v/>
      </c>
      <c r="Z172" s="14">
        <f>SUMIFS(Donnees_regimes!$Q$3:$Q$1118,Donnees_regimes!$A$3:$A$1118,C172,Donnees_regimes!$B$3:$B$1118,"&gt;="&amp;G172,Donnees_regimes!$B$3:$B$1118,"&lt;="&amp;N172)*L172/ROUNDUP(L172,0)</f>
        <v/>
      </c>
      <c r="AA172" s="77">
        <f>SUMIFS(Regles_regimes!$F$3:$F$2000,Regles_regimes!$A$3:$A$2000,C172,Regles_regimes!$B$3:$B$2000,D172,Regles_regimes!$C$3:$C$2000,MAX(1915,MIN(2025,E172)))</f>
        <v/>
      </c>
      <c r="AB172" s="77">
        <f>IF(AND(SUMIFS(Regles_regimes!$L$3:$L$2000,Regles_regimes!$A$3:$A$2000,C172,Regles_regimes!$B$3:$B$2000,D172,Regles_regimes!$C$3:$C$2000,MAX(1915,MIN(2025,E172)))=1,G172&lt;2009,C172&lt;&gt;"Privé"),MIN(20,L172*4/5),0)</f>
        <v/>
      </c>
      <c r="AC172" s="89">
        <f>SUMIFS(Donnees_regimes!$M$3:$M$1118,Donnees_regimes!$A$3:$A$1118,C172,Donnees_regimes!$B$3:$B$1118,M172)</f>
        <v/>
      </c>
      <c r="AD172" s="14">
        <f>SUMIFS(Donnees_annuelles!$Y$3:$Y$188,Donnees_annuelles!$A$3:$A$188,M172)*SUMIFS(Donnees_generations!$I$3:$I$113,Donnees_generations!$A$3:$A$113,MAX(1915,MIN(2025,E172)))/H172</f>
        <v/>
      </c>
      <c r="AE172" s="14">
        <f>IF(C172="Privé",SUMIFS(Donnees_annuelles!$Y$3:$Y$188,Donnees_annuelles!$A$3:$A$188,M172)*MIN(L172,SUMIFS(Donnees_generations!$I$3:$I$113,Donnees_generations!$A$3:$A$113,MAX(1915,MIN(2025,E172))))/L172,AD172*AC172*MIN(IF(AB172&gt;0,0.8/0.75,1),(L172*4+AB172)/AA172))</f>
        <v/>
      </c>
      <c r="AF172" s="14">
        <f>AE172/12</f>
        <v/>
      </c>
      <c r="AG172" s="77">
        <f>MIN(68,MAX(56,2*INT(K172/2)))</f>
        <v/>
      </c>
      <c r="AH172" s="75">
        <f>(CHOOSE((AG172-56)/2+1,SUMIFS(Donnees_generations!$U$3:$U$113,Donnees_generations!$A$3:$A$113,MAX(1915,MIN(2025,E172))),SUMIFS(Donnees_generations!$V$3:$V$113,Donnees_generations!$A$3:$A$113,MAX(1915,MIN(2025,E172))),SUMIFS(Donnees_generations!$W$3:$W$113,Donnees_generations!$A$3:$A$113,MAX(1915,MIN(2025,E172))),SUMIFS(Donnees_generations!$X$3:$X$113,Donnees_generations!$A$3:$A$113,MAX(1915,MIN(2025,E172))),SUMIFS(Donnees_generations!$Y$3:$Y$113,Donnees_generations!$A$3:$A$113,MAX(1915,MIN(2025,E172))),SUMIFS(Donnees_generations!$Z$3:$Z$113,Donnees_generations!$A$3:$A$113,MAX(1915,MIN(2025,E172))),SUMIFS(Donnees_generations!$AA$3:$AA$113,Donnees_generations!$A$3:$A$113,MAX(1915,MIN(2025,E172))),SUMIFS(Donnees_generations!$AB$3:$AB$113,Donnees_generations!$A$3:$A$113,MAX(1915,MIN(2025,E172))))+CHOOSE((AG172-56)/2+1,SUMIFS(Donnees_generations!$AC$3:$AC$113,Donnees_generations!$A$3:$A$113,MAX(1915,MIN(2025,E172))),SUMIFS(Donnees_generations!$AD$3:$AD$113,Donnees_generations!$A$3:$A$113,MAX(1915,MIN(2025,E172))),SUMIFS(Donnees_generations!$AE$3:$AE$113,Donnees_generations!$A$3:$A$113,MAX(1915,MIN(2025,E172))),SUMIFS(Donnees_generations!$AF$3:$AF$113,Donnees_generations!$A$3:$A$113,MAX(1915,MIN(2025,E172))),SUMIFS(Donnees_generations!$AG$3:$AG$113,Donnees_generations!$A$3:$A$113,MAX(1915,MIN(2025,E172))),SUMIFS(Donnees_generations!$AH$3:$AH$113,Donnees_generations!$A$3:$A$113,MAX(1915,MIN(2025,E172))),SUMIFS(Donnees_generations!$AI$3:$AI$113,Donnees_generations!$A$3:$A$113,MAX(1915,MIN(2025,E172))),SUMIFS(Donnees_generations!$AJ$3:$AJ$113,Donnees_generations!$A$3:$A$113,MAX(1915,MIN(2025,E172)))))/2</f>
        <v/>
      </c>
      <c r="AI172" s="75">
        <f>(CHOOSE(((AG172+2)-56)/2+1,SUMIFS(Donnees_generations!$U$3:$U$113,Donnees_generations!$A$3:$A$113,MAX(1915,MIN(2025,E172))),SUMIFS(Donnees_generations!$V$3:$V$113,Donnees_generations!$A$3:$A$113,MAX(1915,MIN(2025,E172))),SUMIFS(Donnees_generations!$W$3:$W$113,Donnees_generations!$A$3:$A$113,MAX(1915,MIN(2025,E172))),SUMIFS(Donnees_generations!$X$3:$X$113,Donnees_generations!$A$3:$A$113,MAX(1915,MIN(2025,E172))),SUMIFS(Donnees_generations!$Y$3:$Y$113,Donnees_generations!$A$3:$A$113,MAX(1915,MIN(2025,E172))),SUMIFS(Donnees_generations!$Z$3:$Z$113,Donnees_generations!$A$3:$A$113,MAX(1915,MIN(2025,E172))),SUMIFS(Donnees_generations!$AA$3:$AA$113,Donnees_generations!$A$3:$A$113,MAX(1915,MIN(2025,E172))),SUMIFS(Donnees_generations!$AB$3:$AB$113,Donnees_generations!$A$3:$A$113,MAX(1915,MIN(2025,E172))))+CHOOSE(((AG172+2)-56)/2+1,SUMIFS(Donnees_generations!$AC$3:$AC$113,Donnees_generations!$A$3:$A$113,MAX(1915,MIN(2025,E172))),SUMIFS(Donnees_generations!$AD$3:$AD$113,Donnees_generations!$A$3:$A$113,MAX(1915,MIN(2025,E172))),SUMIFS(Donnees_generations!$AE$3:$AE$113,Donnees_generations!$A$3:$A$113,MAX(1915,MIN(2025,E172))),SUMIFS(Donnees_generations!$AF$3:$AF$113,Donnees_generations!$A$3:$A$113,MAX(1915,MIN(2025,E172))),SUMIFS(Donnees_generations!$AG$3:$AG$113,Donnees_generations!$A$3:$A$113,MAX(1915,MIN(2025,E172))),SUMIFS(Donnees_generations!$AH$3:$AH$113,Donnees_generations!$A$3:$A$113,MAX(1915,MIN(2025,E172))),SUMIFS(Donnees_generations!$AI$3:$AI$113,Donnees_generations!$A$3:$A$113,MAX(1915,MIN(2025,E172))),SUMIFS(Donnees_generations!$AJ$3:$AJ$113,Donnees_generations!$A$3:$A$113,MAX(1915,MIN(2025,E172)))))/2</f>
        <v/>
      </c>
      <c r="AJ172" s="8">
        <f>MAX(0,AH172+(AI172-AH172)*(K172-AG172)/2)</f>
        <v/>
      </c>
      <c r="AK172" s="8">
        <f>K172+AJ172</f>
        <v/>
      </c>
      <c r="AL172" s="14">
        <f>AE172*AJ172</f>
        <v/>
      </c>
      <c r="AM172" s="17">
        <f>V172/AL172</f>
        <v/>
      </c>
      <c r="AN172" s="17">
        <f>Z172/AL172</f>
        <v/>
      </c>
      <c r="AO172" s="33">
        <f>IF(V172+Z172=0,0,Z172/(V172+Z172))</f>
        <v/>
      </c>
      <c r="AP172" s="14">
        <f>AL172/V172*100</f>
        <v/>
      </c>
      <c r="AQ172" s="8">
        <f>P172/AL172*1000</f>
        <v/>
      </c>
      <c r="AR172" s="77">
        <f>MAX(N172,M172-1)</f>
        <v/>
      </c>
      <c r="AS172" s="14">
        <f>SUMIFS(Donnees_regimes!$R$3:$R$1118,Donnees_regimes!$A$3:$A$1118,C172,Donnees_regimes!$B$3:$B$1118,"&gt;="&amp;G172,Donnees_regimes!$B$3:$B$1118,"&lt;="&amp;N172)*L172/ROUNDUP(L172,0)*SUMIFS(Donnees_annuelles!$AG$3:$AG$188,Donnees_annuelles!$A$3:$A$188,AR172)*SUMIFS(Donnees_annuelles!$AA$3:$AA$188,Donnees_annuelles!$A$3:$A$188,AR172)</f>
        <v/>
      </c>
      <c r="AT172" s="36">
        <f>AS172/V172</f>
        <v/>
      </c>
      <c r="AU172" s="14">
        <f>AL172</f>
        <v/>
      </c>
      <c r="AV172" s="39">
        <f>AS172-AL172</f>
        <v/>
      </c>
      <c r="AW172" s="9">
        <f>AS172/AL172-1</f>
        <v/>
      </c>
      <c r="AX172" s="14">
        <f>AS172/AJ172/12</f>
        <v/>
      </c>
      <c r="AY172" s="14">
        <f>AF172</f>
        <v/>
      </c>
      <c r="AZ172" s="39">
        <f>AX172-AF172</f>
        <v/>
      </c>
      <c r="BA172" s="14">
        <f>SUMIFS(Donnees_regimes!$S$3:$S$1118,Donnees_regimes!$A$3:$A$1118,C172,Donnees_regimes!$B$3:$B$1118,"&gt;="&amp;G172,Donnees_regimes!$B$3:$B$1118,"&lt;="&amp;N172)*L172/ROUNDUP(L172,0)*SUMIFS(Donnees_annuelles!$AH$3:$AH$188,Donnees_annuelles!$A$3:$A$188,AR172)*SUMIFS(Donnees_annuelles!$AA$3:$AA$188,Donnees_annuelles!$A$3:$A$188,AR172)</f>
        <v/>
      </c>
      <c r="BB172" s="39">
        <f>BA172-AL172</f>
        <v/>
      </c>
      <c r="BC172" s="7">
        <f>IF(M172+AJ172&gt;2026,IF(G172&gt;2026,"entièrement projeté","en partie projeté"),"observé")</f>
        <v/>
      </c>
    </row>
    <row r="173">
      <c r="A173" s="7" t="inlineStr">
        <is>
          <t>Génération Z</t>
        </is>
      </c>
      <c r="B173" s="84" t="inlineStr">
        <is>
          <t>Fonction publique d'État</t>
        </is>
      </c>
      <c r="C173" s="7">
        <f>IF(G173&gt;=SUMIFS(Regimes!$C$5:$C$10,Regimes!$A$5:$A$10,B173),"Privé",B173)</f>
        <v/>
      </c>
      <c r="D173" s="7">
        <f>INDEX(Regimes!$D$5:$D$10,MATCH(C173,Regimes!$A$5:$A$10,0))</f>
        <v/>
      </c>
      <c r="E173" s="88" t="n">
        <v>2000</v>
      </c>
      <c r="F173" s="8">
        <f>Donnees_generations!C88</f>
        <v/>
      </c>
      <c r="G173" s="77">
        <f>Donnees_generations!D88</f>
        <v/>
      </c>
      <c r="H173" s="8">
        <f>SUMIFS(Donnees_generations!$S$3:$S$113,Donnees_generations!$A$3:$A$113,MAX(1915,MIN(2025,E173)))</f>
        <v/>
      </c>
      <c r="I173" s="8">
        <f>SUMIFS(Donnees_generations!$T$3:$T$113,Donnees_generations!$A$3:$A$113,MAX(1915,MIN(2025,E173)))</f>
        <v/>
      </c>
      <c r="J173" s="8">
        <f>IF(G173&gt;=2000,MAX(I173,Parametres!$B$3),I173)</f>
        <v/>
      </c>
      <c r="K173" s="8">
        <f>IF(C173="Privé",J173,SUMIFS(Regles_regimes!$J$3:$J$2000,Regles_regimes!$A$3:$A$2000,C173,Regles_regimes!$B$3:$B$2000,D173,Regles_regimes!$C$3:$C$2000,MAX(1915,MIN(2025,E173))))</f>
        <v/>
      </c>
      <c r="L173" s="8">
        <f>IF(C173="Privé",H173,(K173-F173)*H173/(J173-F173))</f>
        <v/>
      </c>
      <c r="M173" s="77">
        <f>INT(E173+K173)</f>
        <v/>
      </c>
      <c r="N173" s="77">
        <f>G173+ROUNDUP(L173,0)-1</f>
        <v/>
      </c>
      <c r="O173" s="89">
        <f>SUMIFS(Regles_regimes!$K$3:$K$2000,Regles_regimes!$A$3:$A$2000,C173,Regles_regimes!$B$3:$B$2000,D173,Regles_regimes!$C$3:$C$2000,MAX(1915,MIN(2025,E173)))</f>
        <v/>
      </c>
      <c r="P173" s="13">
        <f>SUMIFS(Donnees_annuelles!$W$3:$W$188,Donnees_annuelles!$A$3:$A$188,"&gt;="&amp;G173,Donnees_annuelles!$A$3:$A$188,"&lt;="&amp;N173)*L173/ROUNDUP(L173,0)*O173</f>
        <v/>
      </c>
      <c r="Q173" s="13">
        <f>SUMIFS(Donnees_annuelles!$V$3:$V$188,Donnees_annuelles!$A$3:$A$188,"&gt;="&amp;G173,Donnees_annuelles!$A$3:$A$188,"&lt;="&amp;N173)*L173/ROUNDUP(L173,0)</f>
        <v/>
      </c>
      <c r="R173" s="13">
        <f>P173/L173</f>
        <v/>
      </c>
      <c r="S173" s="14">
        <f>SUMIFS(Donnees_annuelles!$D$3:$D$188,Donnees_annuelles!$A$3:$A$188,"&gt;="&amp;G173,Donnees_annuelles!$A$3:$A$188,"&lt;="&amp;N173)*L173/ROUNDUP(L173,0)</f>
        <v/>
      </c>
      <c r="T173" s="14">
        <f>SUMIFS(Donnees_regimes!$N$3:$N$1118,Donnees_regimes!$A$3:$A$1118,C173,Donnees_regimes!$B$3:$B$1118,"&gt;="&amp;G173,Donnees_regimes!$B$3:$B$1118,"&lt;="&amp;N173)*L173/ROUNDUP(L173,0)</f>
        <v/>
      </c>
      <c r="U173" s="14">
        <f>SUMIFS(Donnees_regimes!$O$3:$O$1118,Donnees_regimes!$A$3:$A$1118,C173,Donnees_regimes!$B$3:$B$1118,"&gt;="&amp;G173,Donnees_regimes!$B$3:$B$1118,"&lt;="&amp;N173)*L173/ROUNDUP(L173,0)</f>
        <v/>
      </c>
      <c r="V173" s="14">
        <f>T173+U173</f>
        <v/>
      </c>
      <c r="W173" s="33">
        <f>V173/S173</f>
        <v/>
      </c>
      <c r="X173" s="14">
        <f>S173+U173</f>
        <v/>
      </c>
      <c r="Y173" s="17">
        <f>V173/P173</f>
        <v/>
      </c>
      <c r="Z173" s="14">
        <f>SUMIFS(Donnees_regimes!$Q$3:$Q$1118,Donnees_regimes!$A$3:$A$1118,C173,Donnees_regimes!$B$3:$B$1118,"&gt;="&amp;G173,Donnees_regimes!$B$3:$B$1118,"&lt;="&amp;N173)*L173/ROUNDUP(L173,0)</f>
        <v/>
      </c>
      <c r="AA173" s="77">
        <f>SUMIFS(Regles_regimes!$F$3:$F$2000,Regles_regimes!$A$3:$A$2000,C173,Regles_regimes!$B$3:$B$2000,D173,Regles_regimes!$C$3:$C$2000,MAX(1915,MIN(2025,E173)))</f>
        <v/>
      </c>
      <c r="AB173" s="77">
        <f>IF(AND(SUMIFS(Regles_regimes!$L$3:$L$2000,Regles_regimes!$A$3:$A$2000,C173,Regles_regimes!$B$3:$B$2000,D173,Regles_regimes!$C$3:$C$2000,MAX(1915,MIN(2025,E173)))=1,G173&lt;2009,C173&lt;&gt;"Privé"),MIN(20,L173*4/5),0)</f>
        <v/>
      </c>
      <c r="AC173" s="89">
        <f>SUMIFS(Donnees_regimes!$M$3:$M$1118,Donnees_regimes!$A$3:$A$1118,C173,Donnees_regimes!$B$3:$B$1118,M173)</f>
        <v/>
      </c>
      <c r="AD173" s="14">
        <f>SUMIFS(Donnees_annuelles!$Y$3:$Y$188,Donnees_annuelles!$A$3:$A$188,M173)*SUMIFS(Donnees_generations!$I$3:$I$113,Donnees_generations!$A$3:$A$113,MAX(1915,MIN(2025,E173)))/H173</f>
        <v/>
      </c>
      <c r="AE173" s="14">
        <f>IF(C173="Privé",SUMIFS(Donnees_annuelles!$Y$3:$Y$188,Donnees_annuelles!$A$3:$A$188,M173)*MIN(L173,SUMIFS(Donnees_generations!$I$3:$I$113,Donnees_generations!$A$3:$A$113,MAX(1915,MIN(2025,E173))))/L173,AD173*AC173*MIN(IF(AB173&gt;0,0.8/0.75,1),(L173*4+AB173)/AA173))</f>
        <v/>
      </c>
      <c r="AF173" s="14">
        <f>AE173/12</f>
        <v/>
      </c>
      <c r="AG173" s="77">
        <f>MIN(68,MAX(56,2*INT(K173/2)))</f>
        <v/>
      </c>
      <c r="AH173" s="75">
        <f>(CHOOSE((AG173-56)/2+1,SUMIFS(Donnees_generations!$U$3:$U$113,Donnees_generations!$A$3:$A$113,MAX(1915,MIN(2025,E173))),SUMIFS(Donnees_generations!$V$3:$V$113,Donnees_generations!$A$3:$A$113,MAX(1915,MIN(2025,E173))),SUMIFS(Donnees_generations!$W$3:$W$113,Donnees_generations!$A$3:$A$113,MAX(1915,MIN(2025,E173))),SUMIFS(Donnees_generations!$X$3:$X$113,Donnees_generations!$A$3:$A$113,MAX(1915,MIN(2025,E173))),SUMIFS(Donnees_generations!$Y$3:$Y$113,Donnees_generations!$A$3:$A$113,MAX(1915,MIN(2025,E173))),SUMIFS(Donnees_generations!$Z$3:$Z$113,Donnees_generations!$A$3:$A$113,MAX(1915,MIN(2025,E173))),SUMIFS(Donnees_generations!$AA$3:$AA$113,Donnees_generations!$A$3:$A$113,MAX(1915,MIN(2025,E173))),SUMIFS(Donnees_generations!$AB$3:$AB$113,Donnees_generations!$A$3:$A$113,MAX(1915,MIN(2025,E173))))+CHOOSE((AG173-56)/2+1,SUMIFS(Donnees_generations!$AC$3:$AC$113,Donnees_generations!$A$3:$A$113,MAX(1915,MIN(2025,E173))),SUMIFS(Donnees_generations!$AD$3:$AD$113,Donnees_generations!$A$3:$A$113,MAX(1915,MIN(2025,E173))),SUMIFS(Donnees_generations!$AE$3:$AE$113,Donnees_generations!$A$3:$A$113,MAX(1915,MIN(2025,E173))),SUMIFS(Donnees_generations!$AF$3:$AF$113,Donnees_generations!$A$3:$A$113,MAX(1915,MIN(2025,E173))),SUMIFS(Donnees_generations!$AG$3:$AG$113,Donnees_generations!$A$3:$A$113,MAX(1915,MIN(2025,E173))),SUMIFS(Donnees_generations!$AH$3:$AH$113,Donnees_generations!$A$3:$A$113,MAX(1915,MIN(2025,E173))),SUMIFS(Donnees_generations!$AI$3:$AI$113,Donnees_generations!$A$3:$A$113,MAX(1915,MIN(2025,E173))),SUMIFS(Donnees_generations!$AJ$3:$AJ$113,Donnees_generations!$A$3:$A$113,MAX(1915,MIN(2025,E173)))))/2</f>
        <v/>
      </c>
      <c r="AI173" s="75">
        <f>(CHOOSE(((AG173+2)-56)/2+1,SUMIFS(Donnees_generations!$U$3:$U$113,Donnees_generations!$A$3:$A$113,MAX(1915,MIN(2025,E173))),SUMIFS(Donnees_generations!$V$3:$V$113,Donnees_generations!$A$3:$A$113,MAX(1915,MIN(2025,E173))),SUMIFS(Donnees_generations!$W$3:$W$113,Donnees_generations!$A$3:$A$113,MAX(1915,MIN(2025,E173))),SUMIFS(Donnees_generations!$X$3:$X$113,Donnees_generations!$A$3:$A$113,MAX(1915,MIN(2025,E173))),SUMIFS(Donnees_generations!$Y$3:$Y$113,Donnees_generations!$A$3:$A$113,MAX(1915,MIN(2025,E173))),SUMIFS(Donnees_generations!$Z$3:$Z$113,Donnees_generations!$A$3:$A$113,MAX(1915,MIN(2025,E173))),SUMIFS(Donnees_generations!$AA$3:$AA$113,Donnees_generations!$A$3:$A$113,MAX(1915,MIN(2025,E173))),SUMIFS(Donnees_generations!$AB$3:$AB$113,Donnees_generations!$A$3:$A$113,MAX(1915,MIN(2025,E173))))+CHOOSE(((AG173+2)-56)/2+1,SUMIFS(Donnees_generations!$AC$3:$AC$113,Donnees_generations!$A$3:$A$113,MAX(1915,MIN(2025,E173))),SUMIFS(Donnees_generations!$AD$3:$AD$113,Donnees_generations!$A$3:$A$113,MAX(1915,MIN(2025,E173))),SUMIFS(Donnees_generations!$AE$3:$AE$113,Donnees_generations!$A$3:$A$113,MAX(1915,MIN(2025,E173))),SUMIFS(Donnees_generations!$AF$3:$AF$113,Donnees_generations!$A$3:$A$113,MAX(1915,MIN(2025,E173))),SUMIFS(Donnees_generations!$AG$3:$AG$113,Donnees_generations!$A$3:$A$113,MAX(1915,MIN(2025,E173))),SUMIFS(Donnees_generations!$AH$3:$AH$113,Donnees_generations!$A$3:$A$113,MAX(1915,MIN(2025,E173))),SUMIFS(Donnees_generations!$AI$3:$AI$113,Donnees_generations!$A$3:$A$113,MAX(1915,MIN(2025,E173))),SUMIFS(Donnees_generations!$AJ$3:$AJ$113,Donnees_generations!$A$3:$A$113,MAX(1915,MIN(2025,E173)))))/2</f>
        <v/>
      </c>
      <c r="AJ173" s="8">
        <f>MAX(0,AH173+(AI173-AH173)*(K173-AG173)/2)</f>
        <v/>
      </c>
      <c r="AK173" s="8">
        <f>K173+AJ173</f>
        <v/>
      </c>
      <c r="AL173" s="14">
        <f>AE173*AJ173</f>
        <v/>
      </c>
      <c r="AM173" s="17">
        <f>V173/AL173</f>
        <v/>
      </c>
      <c r="AN173" s="17">
        <f>Z173/AL173</f>
        <v/>
      </c>
      <c r="AO173" s="33">
        <f>IF(V173+Z173=0,0,Z173/(V173+Z173))</f>
        <v/>
      </c>
      <c r="AP173" s="14">
        <f>AL173/V173*100</f>
        <v/>
      </c>
      <c r="AQ173" s="8">
        <f>P173/AL173*1000</f>
        <v/>
      </c>
      <c r="AR173" s="77">
        <f>MAX(N173,M173-1)</f>
        <v/>
      </c>
      <c r="AS173" s="14">
        <f>SUMIFS(Donnees_regimes!$R$3:$R$1118,Donnees_regimes!$A$3:$A$1118,C173,Donnees_regimes!$B$3:$B$1118,"&gt;="&amp;G173,Donnees_regimes!$B$3:$B$1118,"&lt;="&amp;N173)*L173/ROUNDUP(L173,0)*SUMIFS(Donnees_annuelles!$AG$3:$AG$188,Donnees_annuelles!$A$3:$A$188,AR173)*SUMIFS(Donnees_annuelles!$AA$3:$AA$188,Donnees_annuelles!$A$3:$A$188,AR173)</f>
        <v/>
      </c>
      <c r="AT173" s="36">
        <f>AS173/V173</f>
        <v/>
      </c>
      <c r="AU173" s="14">
        <f>AL173</f>
        <v/>
      </c>
      <c r="AV173" s="39">
        <f>AS173-AL173</f>
        <v/>
      </c>
      <c r="AW173" s="9">
        <f>AS173/AL173-1</f>
        <v/>
      </c>
      <c r="AX173" s="14">
        <f>AS173/AJ173/12</f>
        <v/>
      </c>
      <c r="AY173" s="14">
        <f>AF173</f>
        <v/>
      </c>
      <c r="AZ173" s="39">
        <f>AX173-AF173</f>
        <v/>
      </c>
      <c r="BA173" s="14">
        <f>SUMIFS(Donnees_regimes!$S$3:$S$1118,Donnees_regimes!$A$3:$A$1118,C173,Donnees_regimes!$B$3:$B$1118,"&gt;="&amp;G173,Donnees_regimes!$B$3:$B$1118,"&lt;="&amp;N173)*L173/ROUNDUP(L173,0)*SUMIFS(Donnees_annuelles!$AH$3:$AH$188,Donnees_annuelles!$A$3:$A$188,AR173)*SUMIFS(Donnees_annuelles!$AA$3:$AA$188,Donnees_annuelles!$A$3:$A$188,AR173)</f>
        <v/>
      </c>
      <c r="BB173" s="39">
        <f>BA173-AL173</f>
        <v/>
      </c>
      <c r="BC173" s="7">
        <f>IF(M173+AJ173&gt;2026,IF(G173&gt;2026,"entièrement projeté","en partie projeté"),"observé")</f>
        <v/>
      </c>
    </row>
    <row r="174">
      <c r="A174" s="7" t="inlineStr">
        <is>
          <t>Génération Z</t>
        </is>
      </c>
      <c r="B174" s="84" t="inlineStr">
        <is>
          <t>Fonction publique d'État</t>
        </is>
      </c>
      <c r="C174" s="7">
        <f>IF(G174&gt;=SUMIFS(Regimes!$C$5:$C$10,Regimes!$A$5:$A$10,B174),"Privé",B174)</f>
        <v/>
      </c>
      <c r="D174" s="7">
        <f>INDEX(Regimes!$D$5:$D$10,MATCH(C174,Regimes!$A$5:$A$10,0))</f>
        <v/>
      </c>
      <c r="E174" s="88" t="n">
        <v>2001</v>
      </c>
      <c r="F174" s="8">
        <f>Donnees_generations!C89</f>
        <v/>
      </c>
      <c r="G174" s="77">
        <f>Donnees_generations!D89</f>
        <v/>
      </c>
      <c r="H174" s="8">
        <f>SUMIFS(Donnees_generations!$S$3:$S$113,Donnees_generations!$A$3:$A$113,MAX(1915,MIN(2025,E174)))</f>
        <v/>
      </c>
      <c r="I174" s="8">
        <f>SUMIFS(Donnees_generations!$T$3:$T$113,Donnees_generations!$A$3:$A$113,MAX(1915,MIN(2025,E174)))</f>
        <v/>
      </c>
      <c r="J174" s="8">
        <f>IF(G174&gt;=2000,MAX(I174,Parametres!$B$3),I174)</f>
        <v/>
      </c>
      <c r="K174" s="8">
        <f>IF(C174="Privé",J174,SUMIFS(Regles_regimes!$J$3:$J$2000,Regles_regimes!$A$3:$A$2000,C174,Regles_regimes!$B$3:$B$2000,D174,Regles_regimes!$C$3:$C$2000,MAX(1915,MIN(2025,E174))))</f>
        <v/>
      </c>
      <c r="L174" s="8">
        <f>IF(C174="Privé",H174,(K174-F174)*H174/(J174-F174))</f>
        <v/>
      </c>
      <c r="M174" s="77">
        <f>INT(E174+K174)</f>
        <v/>
      </c>
      <c r="N174" s="77">
        <f>G174+ROUNDUP(L174,0)-1</f>
        <v/>
      </c>
      <c r="O174" s="89">
        <f>SUMIFS(Regles_regimes!$K$3:$K$2000,Regles_regimes!$A$3:$A$2000,C174,Regles_regimes!$B$3:$B$2000,D174,Regles_regimes!$C$3:$C$2000,MAX(1915,MIN(2025,E174)))</f>
        <v/>
      </c>
      <c r="P174" s="13">
        <f>SUMIFS(Donnees_annuelles!$W$3:$W$188,Donnees_annuelles!$A$3:$A$188,"&gt;="&amp;G174,Donnees_annuelles!$A$3:$A$188,"&lt;="&amp;N174)*L174/ROUNDUP(L174,0)*O174</f>
        <v/>
      </c>
      <c r="Q174" s="13">
        <f>SUMIFS(Donnees_annuelles!$V$3:$V$188,Donnees_annuelles!$A$3:$A$188,"&gt;="&amp;G174,Donnees_annuelles!$A$3:$A$188,"&lt;="&amp;N174)*L174/ROUNDUP(L174,0)</f>
        <v/>
      </c>
      <c r="R174" s="13">
        <f>P174/L174</f>
        <v/>
      </c>
      <c r="S174" s="14">
        <f>SUMIFS(Donnees_annuelles!$D$3:$D$188,Donnees_annuelles!$A$3:$A$188,"&gt;="&amp;G174,Donnees_annuelles!$A$3:$A$188,"&lt;="&amp;N174)*L174/ROUNDUP(L174,0)</f>
        <v/>
      </c>
      <c r="T174" s="14">
        <f>SUMIFS(Donnees_regimes!$N$3:$N$1118,Donnees_regimes!$A$3:$A$1118,C174,Donnees_regimes!$B$3:$B$1118,"&gt;="&amp;G174,Donnees_regimes!$B$3:$B$1118,"&lt;="&amp;N174)*L174/ROUNDUP(L174,0)</f>
        <v/>
      </c>
      <c r="U174" s="14">
        <f>SUMIFS(Donnees_regimes!$O$3:$O$1118,Donnees_regimes!$A$3:$A$1118,C174,Donnees_regimes!$B$3:$B$1118,"&gt;="&amp;G174,Donnees_regimes!$B$3:$B$1118,"&lt;="&amp;N174)*L174/ROUNDUP(L174,0)</f>
        <v/>
      </c>
      <c r="V174" s="14">
        <f>T174+U174</f>
        <v/>
      </c>
      <c r="W174" s="33">
        <f>V174/S174</f>
        <v/>
      </c>
      <c r="X174" s="14">
        <f>S174+U174</f>
        <v/>
      </c>
      <c r="Y174" s="17">
        <f>V174/P174</f>
        <v/>
      </c>
      <c r="Z174" s="14">
        <f>SUMIFS(Donnees_regimes!$Q$3:$Q$1118,Donnees_regimes!$A$3:$A$1118,C174,Donnees_regimes!$B$3:$B$1118,"&gt;="&amp;G174,Donnees_regimes!$B$3:$B$1118,"&lt;="&amp;N174)*L174/ROUNDUP(L174,0)</f>
        <v/>
      </c>
      <c r="AA174" s="77">
        <f>SUMIFS(Regles_regimes!$F$3:$F$2000,Regles_regimes!$A$3:$A$2000,C174,Regles_regimes!$B$3:$B$2000,D174,Regles_regimes!$C$3:$C$2000,MAX(1915,MIN(2025,E174)))</f>
        <v/>
      </c>
      <c r="AB174" s="77">
        <f>IF(AND(SUMIFS(Regles_regimes!$L$3:$L$2000,Regles_regimes!$A$3:$A$2000,C174,Regles_regimes!$B$3:$B$2000,D174,Regles_regimes!$C$3:$C$2000,MAX(1915,MIN(2025,E174)))=1,G174&lt;2009,C174&lt;&gt;"Privé"),MIN(20,L174*4/5),0)</f>
        <v/>
      </c>
      <c r="AC174" s="89">
        <f>SUMIFS(Donnees_regimes!$M$3:$M$1118,Donnees_regimes!$A$3:$A$1118,C174,Donnees_regimes!$B$3:$B$1118,M174)</f>
        <v/>
      </c>
      <c r="AD174" s="14">
        <f>SUMIFS(Donnees_annuelles!$Y$3:$Y$188,Donnees_annuelles!$A$3:$A$188,M174)*SUMIFS(Donnees_generations!$I$3:$I$113,Donnees_generations!$A$3:$A$113,MAX(1915,MIN(2025,E174)))/H174</f>
        <v/>
      </c>
      <c r="AE174" s="14">
        <f>IF(C174="Privé",SUMIFS(Donnees_annuelles!$Y$3:$Y$188,Donnees_annuelles!$A$3:$A$188,M174)*MIN(L174,SUMIFS(Donnees_generations!$I$3:$I$113,Donnees_generations!$A$3:$A$113,MAX(1915,MIN(2025,E174))))/L174,AD174*AC174*MIN(IF(AB174&gt;0,0.8/0.75,1),(L174*4+AB174)/AA174))</f>
        <v/>
      </c>
      <c r="AF174" s="14">
        <f>AE174/12</f>
        <v/>
      </c>
      <c r="AG174" s="77">
        <f>MIN(68,MAX(56,2*INT(K174/2)))</f>
        <v/>
      </c>
      <c r="AH174" s="75">
        <f>(CHOOSE((AG174-56)/2+1,SUMIFS(Donnees_generations!$U$3:$U$113,Donnees_generations!$A$3:$A$113,MAX(1915,MIN(2025,E174))),SUMIFS(Donnees_generations!$V$3:$V$113,Donnees_generations!$A$3:$A$113,MAX(1915,MIN(2025,E174))),SUMIFS(Donnees_generations!$W$3:$W$113,Donnees_generations!$A$3:$A$113,MAX(1915,MIN(2025,E174))),SUMIFS(Donnees_generations!$X$3:$X$113,Donnees_generations!$A$3:$A$113,MAX(1915,MIN(2025,E174))),SUMIFS(Donnees_generations!$Y$3:$Y$113,Donnees_generations!$A$3:$A$113,MAX(1915,MIN(2025,E174))),SUMIFS(Donnees_generations!$Z$3:$Z$113,Donnees_generations!$A$3:$A$113,MAX(1915,MIN(2025,E174))),SUMIFS(Donnees_generations!$AA$3:$AA$113,Donnees_generations!$A$3:$A$113,MAX(1915,MIN(2025,E174))),SUMIFS(Donnees_generations!$AB$3:$AB$113,Donnees_generations!$A$3:$A$113,MAX(1915,MIN(2025,E174))))+CHOOSE((AG174-56)/2+1,SUMIFS(Donnees_generations!$AC$3:$AC$113,Donnees_generations!$A$3:$A$113,MAX(1915,MIN(2025,E174))),SUMIFS(Donnees_generations!$AD$3:$AD$113,Donnees_generations!$A$3:$A$113,MAX(1915,MIN(2025,E174))),SUMIFS(Donnees_generations!$AE$3:$AE$113,Donnees_generations!$A$3:$A$113,MAX(1915,MIN(2025,E174))),SUMIFS(Donnees_generations!$AF$3:$AF$113,Donnees_generations!$A$3:$A$113,MAX(1915,MIN(2025,E174))),SUMIFS(Donnees_generations!$AG$3:$AG$113,Donnees_generations!$A$3:$A$113,MAX(1915,MIN(2025,E174))),SUMIFS(Donnees_generations!$AH$3:$AH$113,Donnees_generations!$A$3:$A$113,MAX(1915,MIN(2025,E174))),SUMIFS(Donnees_generations!$AI$3:$AI$113,Donnees_generations!$A$3:$A$113,MAX(1915,MIN(2025,E174))),SUMIFS(Donnees_generations!$AJ$3:$AJ$113,Donnees_generations!$A$3:$A$113,MAX(1915,MIN(2025,E174)))))/2</f>
        <v/>
      </c>
      <c r="AI174" s="75">
        <f>(CHOOSE(((AG174+2)-56)/2+1,SUMIFS(Donnees_generations!$U$3:$U$113,Donnees_generations!$A$3:$A$113,MAX(1915,MIN(2025,E174))),SUMIFS(Donnees_generations!$V$3:$V$113,Donnees_generations!$A$3:$A$113,MAX(1915,MIN(2025,E174))),SUMIFS(Donnees_generations!$W$3:$W$113,Donnees_generations!$A$3:$A$113,MAX(1915,MIN(2025,E174))),SUMIFS(Donnees_generations!$X$3:$X$113,Donnees_generations!$A$3:$A$113,MAX(1915,MIN(2025,E174))),SUMIFS(Donnees_generations!$Y$3:$Y$113,Donnees_generations!$A$3:$A$113,MAX(1915,MIN(2025,E174))),SUMIFS(Donnees_generations!$Z$3:$Z$113,Donnees_generations!$A$3:$A$113,MAX(1915,MIN(2025,E174))),SUMIFS(Donnees_generations!$AA$3:$AA$113,Donnees_generations!$A$3:$A$113,MAX(1915,MIN(2025,E174))),SUMIFS(Donnees_generations!$AB$3:$AB$113,Donnees_generations!$A$3:$A$113,MAX(1915,MIN(2025,E174))))+CHOOSE(((AG174+2)-56)/2+1,SUMIFS(Donnees_generations!$AC$3:$AC$113,Donnees_generations!$A$3:$A$113,MAX(1915,MIN(2025,E174))),SUMIFS(Donnees_generations!$AD$3:$AD$113,Donnees_generations!$A$3:$A$113,MAX(1915,MIN(2025,E174))),SUMIFS(Donnees_generations!$AE$3:$AE$113,Donnees_generations!$A$3:$A$113,MAX(1915,MIN(2025,E174))),SUMIFS(Donnees_generations!$AF$3:$AF$113,Donnees_generations!$A$3:$A$113,MAX(1915,MIN(2025,E174))),SUMIFS(Donnees_generations!$AG$3:$AG$113,Donnees_generations!$A$3:$A$113,MAX(1915,MIN(2025,E174))),SUMIFS(Donnees_generations!$AH$3:$AH$113,Donnees_generations!$A$3:$A$113,MAX(1915,MIN(2025,E174))),SUMIFS(Donnees_generations!$AI$3:$AI$113,Donnees_generations!$A$3:$A$113,MAX(1915,MIN(2025,E174))),SUMIFS(Donnees_generations!$AJ$3:$AJ$113,Donnees_generations!$A$3:$A$113,MAX(1915,MIN(2025,E174)))))/2</f>
        <v/>
      </c>
      <c r="AJ174" s="8">
        <f>MAX(0,AH174+(AI174-AH174)*(K174-AG174)/2)</f>
        <v/>
      </c>
      <c r="AK174" s="8">
        <f>K174+AJ174</f>
        <v/>
      </c>
      <c r="AL174" s="14">
        <f>AE174*AJ174</f>
        <v/>
      </c>
      <c r="AM174" s="17">
        <f>V174/AL174</f>
        <v/>
      </c>
      <c r="AN174" s="17">
        <f>Z174/AL174</f>
        <v/>
      </c>
      <c r="AO174" s="33">
        <f>IF(V174+Z174=0,0,Z174/(V174+Z174))</f>
        <v/>
      </c>
      <c r="AP174" s="14">
        <f>AL174/V174*100</f>
        <v/>
      </c>
      <c r="AQ174" s="8">
        <f>P174/AL174*1000</f>
        <v/>
      </c>
      <c r="AR174" s="77">
        <f>MAX(N174,M174-1)</f>
        <v/>
      </c>
      <c r="AS174" s="14">
        <f>SUMIFS(Donnees_regimes!$R$3:$R$1118,Donnees_regimes!$A$3:$A$1118,C174,Donnees_regimes!$B$3:$B$1118,"&gt;="&amp;G174,Donnees_regimes!$B$3:$B$1118,"&lt;="&amp;N174)*L174/ROUNDUP(L174,0)*SUMIFS(Donnees_annuelles!$AG$3:$AG$188,Donnees_annuelles!$A$3:$A$188,AR174)*SUMIFS(Donnees_annuelles!$AA$3:$AA$188,Donnees_annuelles!$A$3:$A$188,AR174)</f>
        <v/>
      </c>
      <c r="AT174" s="36">
        <f>AS174/V174</f>
        <v/>
      </c>
      <c r="AU174" s="14">
        <f>AL174</f>
        <v/>
      </c>
      <c r="AV174" s="39">
        <f>AS174-AL174</f>
        <v/>
      </c>
      <c r="AW174" s="9">
        <f>AS174/AL174-1</f>
        <v/>
      </c>
      <c r="AX174" s="14">
        <f>AS174/AJ174/12</f>
        <v/>
      </c>
      <c r="AY174" s="14">
        <f>AF174</f>
        <v/>
      </c>
      <c r="AZ174" s="39">
        <f>AX174-AF174</f>
        <v/>
      </c>
      <c r="BA174" s="14">
        <f>SUMIFS(Donnees_regimes!$S$3:$S$1118,Donnees_regimes!$A$3:$A$1118,C174,Donnees_regimes!$B$3:$B$1118,"&gt;="&amp;G174,Donnees_regimes!$B$3:$B$1118,"&lt;="&amp;N174)*L174/ROUNDUP(L174,0)*SUMIFS(Donnees_annuelles!$AH$3:$AH$188,Donnees_annuelles!$A$3:$A$188,AR174)*SUMIFS(Donnees_annuelles!$AA$3:$AA$188,Donnees_annuelles!$A$3:$A$188,AR174)</f>
        <v/>
      </c>
      <c r="BB174" s="39">
        <f>BA174-AL174</f>
        <v/>
      </c>
      <c r="BC174" s="7">
        <f>IF(M174+AJ174&gt;2026,IF(G174&gt;2026,"entièrement projeté","en partie projeté"),"observé")</f>
        <v/>
      </c>
    </row>
    <row r="175">
      <c r="A175" s="7" t="inlineStr">
        <is>
          <t>Génération Z</t>
        </is>
      </c>
      <c r="B175" s="84" t="inlineStr">
        <is>
          <t>Fonction publique d'État</t>
        </is>
      </c>
      <c r="C175" s="7">
        <f>IF(G175&gt;=SUMIFS(Regimes!$C$5:$C$10,Regimes!$A$5:$A$10,B175),"Privé",B175)</f>
        <v/>
      </c>
      <c r="D175" s="7">
        <f>INDEX(Regimes!$D$5:$D$10,MATCH(C175,Regimes!$A$5:$A$10,0))</f>
        <v/>
      </c>
      <c r="E175" s="88" t="n">
        <v>2002</v>
      </c>
      <c r="F175" s="8">
        <f>Donnees_generations!C90</f>
        <v/>
      </c>
      <c r="G175" s="77">
        <f>Donnees_generations!D90</f>
        <v/>
      </c>
      <c r="H175" s="8">
        <f>SUMIFS(Donnees_generations!$S$3:$S$113,Donnees_generations!$A$3:$A$113,MAX(1915,MIN(2025,E175)))</f>
        <v/>
      </c>
      <c r="I175" s="8">
        <f>SUMIFS(Donnees_generations!$T$3:$T$113,Donnees_generations!$A$3:$A$113,MAX(1915,MIN(2025,E175)))</f>
        <v/>
      </c>
      <c r="J175" s="8">
        <f>IF(G175&gt;=2000,MAX(I175,Parametres!$B$3),I175)</f>
        <v/>
      </c>
      <c r="K175" s="8">
        <f>IF(C175="Privé",J175,SUMIFS(Regles_regimes!$J$3:$J$2000,Regles_regimes!$A$3:$A$2000,C175,Regles_regimes!$B$3:$B$2000,D175,Regles_regimes!$C$3:$C$2000,MAX(1915,MIN(2025,E175))))</f>
        <v/>
      </c>
      <c r="L175" s="8">
        <f>IF(C175="Privé",H175,(K175-F175)*H175/(J175-F175))</f>
        <v/>
      </c>
      <c r="M175" s="77">
        <f>INT(E175+K175)</f>
        <v/>
      </c>
      <c r="N175" s="77">
        <f>G175+ROUNDUP(L175,0)-1</f>
        <v/>
      </c>
      <c r="O175" s="89">
        <f>SUMIFS(Regles_regimes!$K$3:$K$2000,Regles_regimes!$A$3:$A$2000,C175,Regles_regimes!$B$3:$B$2000,D175,Regles_regimes!$C$3:$C$2000,MAX(1915,MIN(2025,E175)))</f>
        <v/>
      </c>
      <c r="P175" s="13">
        <f>SUMIFS(Donnees_annuelles!$W$3:$W$188,Donnees_annuelles!$A$3:$A$188,"&gt;="&amp;G175,Donnees_annuelles!$A$3:$A$188,"&lt;="&amp;N175)*L175/ROUNDUP(L175,0)*O175</f>
        <v/>
      </c>
      <c r="Q175" s="13">
        <f>SUMIFS(Donnees_annuelles!$V$3:$V$188,Donnees_annuelles!$A$3:$A$188,"&gt;="&amp;G175,Donnees_annuelles!$A$3:$A$188,"&lt;="&amp;N175)*L175/ROUNDUP(L175,0)</f>
        <v/>
      </c>
      <c r="R175" s="13">
        <f>P175/L175</f>
        <v/>
      </c>
      <c r="S175" s="14">
        <f>SUMIFS(Donnees_annuelles!$D$3:$D$188,Donnees_annuelles!$A$3:$A$188,"&gt;="&amp;G175,Donnees_annuelles!$A$3:$A$188,"&lt;="&amp;N175)*L175/ROUNDUP(L175,0)</f>
        <v/>
      </c>
      <c r="T175" s="14">
        <f>SUMIFS(Donnees_regimes!$N$3:$N$1118,Donnees_regimes!$A$3:$A$1118,C175,Donnees_regimes!$B$3:$B$1118,"&gt;="&amp;G175,Donnees_regimes!$B$3:$B$1118,"&lt;="&amp;N175)*L175/ROUNDUP(L175,0)</f>
        <v/>
      </c>
      <c r="U175" s="14">
        <f>SUMIFS(Donnees_regimes!$O$3:$O$1118,Donnees_regimes!$A$3:$A$1118,C175,Donnees_regimes!$B$3:$B$1118,"&gt;="&amp;G175,Donnees_regimes!$B$3:$B$1118,"&lt;="&amp;N175)*L175/ROUNDUP(L175,0)</f>
        <v/>
      </c>
      <c r="V175" s="14">
        <f>T175+U175</f>
        <v/>
      </c>
      <c r="W175" s="33">
        <f>V175/S175</f>
        <v/>
      </c>
      <c r="X175" s="14">
        <f>S175+U175</f>
        <v/>
      </c>
      <c r="Y175" s="17">
        <f>V175/P175</f>
        <v/>
      </c>
      <c r="Z175" s="14">
        <f>SUMIFS(Donnees_regimes!$Q$3:$Q$1118,Donnees_regimes!$A$3:$A$1118,C175,Donnees_regimes!$B$3:$B$1118,"&gt;="&amp;G175,Donnees_regimes!$B$3:$B$1118,"&lt;="&amp;N175)*L175/ROUNDUP(L175,0)</f>
        <v/>
      </c>
      <c r="AA175" s="77">
        <f>SUMIFS(Regles_regimes!$F$3:$F$2000,Regles_regimes!$A$3:$A$2000,C175,Regles_regimes!$B$3:$B$2000,D175,Regles_regimes!$C$3:$C$2000,MAX(1915,MIN(2025,E175)))</f>
        <v/>
      </c>
      <c r="AB175" s="77">
        <f>IF(AND(SUMIFS(Regles_regimes!$L$3:$L$2000,Regles_regimes!$A$3:$A$2000,C175,Regles_regimes!$B$3:$B$2000,D175,Regles_regimes!$C$3:$C$2000,MAX(1915,MIN(2025,E175)))=1,G175&lt;2009,C175&lt;&gt;"Privé"),MIN(20,L175*4/5),0)</f>
        <v/>
      </c>
      <c r="AC175" s="89">
        <f>SUMIFS(Donnees_regimes!$M$3:$M$1118,Donnees_regimes!$A$3:$A$1118,C175,Donnees_regimes!$B$3:$B$1118,M175)</f>
        <v/>
      </c>
      <c r="AD175" s="14">
        <f>SUMIFS(Donnees_annuelles!$Y$3:$Y$188,Donnees_annuelles!$A$3:$A$188,M175)*SUMIFS(Donnees_generations!$I$3:$I$113,Donnees_generations!$A$3:$A$113,MAX(1915,MIN(2025,E175)))/H175</f>
        <v/>
      </c>
      <c r="AE175" s="14">
        <f>IF(C175="Privé",SUMIFS(Donnees_annuelles!$Y$3:$Y$188,Donnees_annuelles!$A$3:$A$188,M175)*MIN(L175,SUMIFS(Donnees_generations!$I$3:$I$113,Donnees_generations!$A$3:$A$113,MAX(1915,MIN(2025,E175))))/L175,AD175*AC175*MIN(IF(AB175&gt;0,0.8/0.75,1),(L175*4+AB175)/AA175))</f>
        <v/>
      </c>
      <c r="AF175" s="14">
        <f>AE175/12</f>
        <v/>
      </c>
      <c r="AG175" s="77">
        <f>MIN(68,MAX(56,2*INT(K175/2)))</f>
        <v/>
      </c>
      <c r="AH175" s="75">
        <f>(CHOOSE((AG175-56)/2+1,SUMIFS(Donnees_generations!$U$3:$U$113,Donnees_generations!$A$3:$A$113,MAX(1915,MIN(2025,E175))),SUMIFS(Donnees_generations!$V$3:$V$113,Donnees_generations!$A$3:$A$113,MAX(1915,MIN(2025,E175))),SUMIFS(Donnees_generations!$W$3:$W$113,Donnees_generations!$A$3:$A$113,MAX(1915,MIN(2025,E175))),SUMIFS(Donnees_generations!$X$3:$X$113,Donnees_generations!$A$3:$A$113,MAX(1915,MIN(2025,E175))),SUMIFS(Donnees_generations!$Y$3:$Y$113,Donnees_generations!$A$3:$A$113,MAX(1915,MIN(2025,E175))),SUMIFS(Donnees_generations!$Z$3:$Z$113,Donnees_generations!$A$3:$A$113,MAX(1915,MIN(2025,E175))),SUMIFS(Donnees_generations!$AA$3:$AA$113,Donnees_generations!$A$3:$A$113,MAX(1915,MIN(2025,E175))),SUMIFS(Donnees_generations!$AB$3:$AB$113,Donnees_generations!$A$3:$A$113,MAX(1915,MIN(2025,E175))))+CHOOSE((AG175-56)/2+1,SUMIFS(Donnees_generations!$AC$3:$AC$113,Donnees_generations!$A$3:$A$113,MAX(1915,MIN(2025,E175))),SUMIFS(Donnees_generations!$AD$3:$AD$113,Donnees_generations!$A$3:$A$113,MAX(1915,MIN(2025,E175))),SUMIFS(Donnees_generations!$AE$3:$AE$113,Donnees_generations!$A$3:$A$113,MAX(1915,MIN(2025,E175))),SUMIFS(Donnees_generations!$AF$3:$AF$113,Donnees_generations!$A$3:$A$113,MAX(1915,MIN(2025,E175))),SUMIFS(Donnees_generations!$AG$3:$AG$113,Donnees_generations!$A$3:$A$113,MAX(1915,MIN(2025,E175))),SUMIFS(Donnees_generations!$AH$3:$AH$113,Donnees_generations!$A$3:$A$113,MAX(1915,MIN(2025,E175))),SUMIFS(Donnees_generations!$AI$3:$AI$113,Donnees_generations!$A$3:$A$113,MAX(1915,MIN(2025,E175))),SUMIFS(Donnees_generations!$AJ$3:$AJ$113,Donnees_generations!$A$3:$A$113,MAX(1915,MIN(2025,E175)))))/2</f>
        <v/>
      </c>
      <c r="AI175" s="75">
        <f>(CHOOSE(((AG175+2)-56)/2+1,SUMIFS(Donnees_generations!$U$3:$U$113,Donnees_generations!$A$3:$A$113,MAX(1915,MIN(2025,E175))),SUMIFS(Donnees_generations!$V$3:$V$113,Donnees_generations!$A$3:$A$113,MAX(1915,MIN(2025,E175))),SUMIFS(Donnees_generations!$W$3:$W$113,Donnees_generations!$A$3:$A$113,MAX(1915,MIN(2025,E175))),SUMIFS(Donnees_generations!$X$3:$X$113,Donnees_generations!$A$3:$A$113,MAX(1915,MIN(2025,E175))),SUMIFS(Donnees_generations!$Y$3:$Y$113,Donnees_generations!$A$3:$A$113,MAX(1915,MIN(2025,E175))),SUMIFS(Donnees_generations!$Z$3:$Z$113,Donnees_generations!$A$3:$A$113,MAX(1915,MIN(2025,E175))),SUMIFS(Donnees_generations!$AA$3:$AA$113,Donnees_generations!$A$3:$A$113,MAX(1915,MIN(2025,E175))),SUMIFS(Donnees_generations!$AB$3:$AB$113,Donnees_generations!$A$3:$A$113,MAX(1915,MIN(2025,E175))))+CHOOSE(((AG175+2)-56)/2+1,SUMIFS(Donnees_generations!$AC$3:$AC$113,Donnees_generations!$A$3:$A$113,MAX(1915,MIN(2025,E175))),SUMIFS(Donnees_generations!$AD$3:$AD$113,Donnees_generations!$A$3:$A$113,MAX(1915,MIN(2025,E175))),SUMIFS(Donnees_generations!$AE$3:$AE$113,Donnees_generations!$A$3:$A$113,MAX(1915,MIN(2025,E175))),SUMIFS(Donnees_generations!$AF$3:$AF$113,Donnees_generations!$A$3:$A$113,MAX(1915,MIN(2025,E175))),SUMIFS(Donnees_generations!$AG$3:$AG$113,Donnees_generations!$A$3:$A$113,MAX(1915,MIN(2025,E175))),SUMIFS(Donnees_generations!$AH$3:$AH$113,Donnees_generations!$A$3:$A$113,MAX(1915,MIN(2025,E175))),SUMIFS(Donnees_generations!$AI$3:$AI$113,Donnees_generations!$A$3:$A$113,MAX(1915,MIN(2025,E175))),SUMIFS(Donnees_generations!$AJ$3:$AJ$113,Donnees_generations!$A$3:$A$113,MAX(1915,MIN(2025,E175)))))/2</f>
        <v/>
      </c>
      <c r="AJ175" s="8">
        <f>MAX(0,AH175+(AI175-AH175)*(K175-AG175)/2)</f>
        <v/>
      </c>
      <c r="AK175" s="8">
        <f>K175+AJ175</f>
        <v/>
      </c>
      <c r="AL175" s="14">
        <f>AE175*AJ175</f>
        <v/>
      </c>
      <c r="AM175" s="17">
        <f>V175/AL175</f>
        <v/>
      </c>
      <c r="AN175" s="17">
        <f>Z175/AL175</f>
        <v/>
      </c>
      <c r="AO175" s="33">
        <f>IF(V175+Z175=0,0,Z175/(V175+Z175))</f>
        <v/>
      </c>
      <c r="AP175" s="14">
        <f>AL175/V175*100</f>
        <v/>
      </c>
      <c r="AQ175" s="8">
        <f>P175/AL175*1000</f>
        <v/>
      </c>
      <c r="AR175" s="77">
        <f>MAX(N175,M175-1)</f>
        <v/>
      </c>
      <c r="AS175" s="14">
        <f>SUMIFS(Donnees_regimes!$R$3:$R$1118,Donnees_regimes!$A$3:$A$1118,C175,Donnees_regimes!$B$3:$B$1118,"&gt;="&amp;G175,Donnees_regimes!$B$3:$B$1118,"&lt;="&amp;N175)*L175/ROUNDUP(L175,0)*SUMIFS(Donnees_annuelles!$AG$3:$AG$188,Donnees_annuelles!$A$3:$A$188,AR175)*SUMIFS(Donnees_annuelles!$AA$3:$AA$188,Donnees_annuelles!$A$3:$A$188,AR175)</f>
        <v/>
      </c>
      <c r="AT175" s="36">
        <f>AS175/V175</f>
        <v/>
      </c>
      <c r="AU175" s="14">
        <f>AL175</f>
        <v/>
      </c>
      <c r="AV175" s="39">
        <f>AS175-AL175</f>
        <v/>
      </c>
      <c r="AW175" s="9">
        <f>AS175/AL175-1</f>
        <v/>
      </c>
      <c r="AX175" s="14">
        <f>AS175/AJ175/12</f>
        <v/>
      </c>
      <c r="AY175" s="14">
        <f>AF175</f>
        <v/>
      </c>
      <c r="AZ175" s="39">
        <f>AX175-AF175</f>
        <v/>
      </c>
      <c r="BA175" s="14">
        <f>SUMIFS(Donnees_regimes!$S$3:$S$1118,Donnees_regimes!$A$3:$A$1118,C175,Donnees_regimes!$B$3:$B$1118,"&gt;="&amp;G175,Donnees_regimes!$B$3:$B$1118,"&lt;="&amp;N175)*L175/ROUNDUP(L175,0)*SUMIFS(Donnees_annuelles!$AH$3:$AH$188,Donnees_annuelles!$A$3:$A$188,AR175)*SUMIFS(Donnees_annuelles!$AA$3:$AA$188,Donnees_annuelles!$A$3:$A$188,AR175)</f>
        <v/>
      </c>
      <c r="BB175" s="39">
        <f>BA175-AL175</f>
        <v/>
      </c>
      <c r="BC175" s="7">
        <f>IF(M175+AJ175&gt;2026,IF(G175&gt;2026,"entièrement projeté","en partie projeté"),"observé")</f>
        <v/>
      </c>
    </row>
    <row r="176">
      <c r="A176" s="7" t="inlineStr">
        <is>
          <t>Génération Z</t>
        </is>
      </c>
      <c r="B176" s="84" t="inlineStr">
        <is>
          <t>Fonction publique d'État</t>
        </is>
      </c>
      <c r="C176" s="7">
        <f>IF(G176&gt;=SUMIFS(Regimes!$C$5:$C$10,Regimes!$A$5:$A$10,B176),"Privé",B176)</f>
        <v/>
      </c>
      <c r="D176" s="7">
        <f>INDEX(Regimes!$D$5:$D$10,MATCH(C176,Regimes!$A$5:$A$10,0))</f>
        <v/>
      </c>
      <c r="E176" s="88" t="n">
        <v>2003</v>
      </c>
      <c r="F176" s="8">
        <f>Donnees_generations!C91</f>
        <v/>
      </c>
      <c r="G176" s="77">
        <f>Donnees_generations!D91</f>
        <v/>
      </c>
      <c r="H176" s="8">
        <f>SUMIFS(Donnees_generations!$S$3:$S$113,Donnees_generations!$A$3:$A$113,MAX(1915,MIN(2025,E176)))</f>
        <v/>
      </c>
      <c r="I176" s="8">
        <f>SUMIFS(Donnees_generations!$T$3:$T$113,Donnees_generations!$A$3:$A$113,MAX(1915,MIN(2025,E176)))</f>
        <v/>
      </c>
      <c r="J176" s="8">
        <f>IF(G176&gt;=2000,MAX(I176,Parametres!$B$3),I176)</f>
        <v/>
      </c>
      <c r="K176" s="8">
        <f>IF(C176="Privé",J176,SUMIFS(Regles_regimes!$J$3:$J$2000,Regles_regimes!$A$3:$A$2000,C176,Regles_regimes!$B$3:$B$2000,D176,Regles_regimes!$C$3:$C$2000,MAX(1915,MIN(2025,E176))))</f>
        <v/>
      </c>
      <c r="L176" s="8">
        <f>IF(C176="Privé",H176,(K176-F176)*H176/(J176-F176))</f>
        <v/>
      </c>
      <c r="M176" s="77">
        <f>INT(E176+K176)</f>
        <v/>
      </c>
      <c r="N176" s="77">
        <f>G176+ROUNDUP(L176,0)-1</f>
        <v/>
      </c>
      <c r="O176" s="89">
        <f>SUMIFS(Regles_regimes!$K$3:$K$2000,Regles_regimes!$A$3:$A$2000,C176,Regles_regimes!$B$3:$B$2000,D176,Regles_regimes!$C$3:$C$2000,MAX(1915,MIN(2025,E176)))</f>
        <v/>
      </c>
      <c r="P176" s="13">
        <f>SUMIFS(Donnees_annuelles!$W$3:$W$188,Donnees_annuelles!$A$3:$A$188,"&gt;="&amp;G176,Donnees_annuelles!$A$3:$A$188,"&lt;="&amp;N176)*L176/ROUNDUP(L176,0)*O176</f>
        <v/>
      </c>
      <c r="Q176" s="13">
        <f>SUMIFS(Donnees_annuelles!$V$3:$V$188,Donnees_annuelles!$A$3:$A$188,"&gt;="&amp;G176,Donnees_annuelles!$A$3:$A$188,"&lt;="&amp;N176)*L176/ROUNDUP(L176,0)</f>
        <v/>
      </c>
      <c r="R176" s="13">
        <f>P176/L176</f>
        <v/>
      </c>
      <c r="S176" s="14">
        <f>SUMIFS(Donnees_annuelles!$D$3:$D$188,Donnees_annuelles!$A$3:$A$188,"&gt;="&amp;G176,Donnees_annuelles!$A$3:$A$188,"&lt;="&amp;N176)*L176/ROUNDUP(L176,0)</f>
        <v/>
      </c>
      <c r="T176" s="14">
        <f>SUMIFS(Donnees_regimes!$N$3:$N$1118,Donnees_regimes!$A$3:$A$1118,C176,Donnees_regimes!$B$3:$B$1118,"&gt;="&amp;G176,Donnees_regimes!$B$3:$B$1118,"&lt;="&amp;N176)*L176/ROUNDUP(L176,0)</f>
        <v/>
      </c>
      <c r="U176" s="14">
        <f>SUMIFS(Donnees_regimes!$O$3:$O$1118,Donnees_regimes!$A$3:$A$1118,C176,Donnees_regimes!$B$3:$B$1118,"&gt;="&amp;G176,Donnees_regimes!$B$3:$B$1118,"&lt;="&amp;N176)*L176/ROUNDUP(L176,0)</f>
        <v/>
      </c>
      <c r="V176" s="14">
        <f>T176+U176</f>
        <v/>
      </c>
      <c r="W176" s="33">
        <f>V176/S176</f>
        <v/>
      </c>
      <c r="X176" s="14">
        <f>S176+U176</f>
        <v/>
      </c>
      <c r="Y176" s="17">
        <f>V176/P176</f>
        <v/>
      </c>
      <c r="Z176" s="14">
        <f>SUMIFS(Donnees_regimes!$Q$3:$Q$1118,Donnees_regimes!$A$3:$A$1118,C176,Donnees_regimes!$B$3:$B$1118,"&gt;="&amp;G176,Donnees_regimes!$B$3:$B$1118,"&lt;="&amp;N176)*L176/ROUNDUP(L176,0)</f>
        <v/>
      </c>
      <c r="AA176" s="77">
        <f>SUMIFS(Regles_regimes!$F$3:$F$2000,Regles_regimes!$A$3:$A$2000,C176,Regles_regimes!$B$3:$B$2000,D176,Regles_regimes!$C$3:$C$2000,MAX(1915,MIN(2025,E176)))</f>
        <v/>
      </c>
      <c r="AB176" s="77">
        <f>IF(AND(SUMIFS(Regles_regimes!$L$3:$L$2000,Regles_regimes!$A$3:$A$2000,C176,Regles_regimes!$B$3:$B$2000,D176,Regles_regimes!$C$3:$C$2000,MAX(1915,MIN(2025,E176)))=1,G176&lt;2009,C176&lt;&gt;"Privé"),MIN(20,L176*4/5),0)</f>
        <v/>
      </c>
      <c r="AC176" s="89">
        <f>SUMIFS(Donnees_regimes!$M$3:$M$1118,Donnees_regimes!$A$3:$A$1118,C176,Donnees_regimes!$B$3:$B$1118,M176)</f>
        <v/>
      </c>
      <c r="AD176" s="14">
        <f>SUMIFS(Donnees_annuelles!$Y$3:$Y$188,Donnees_annuelles!$A$3:$A$188,M176)*SUMIFS(Donnees_generations!$I$3:$I$113,Donnees_generations!$A$3:$A$113,MAX(1915,MIN(2025,E176)))/H176</f>
        <v/>
      </c>
      <c r="AE176" s="14">
        <f>IF(C176="Privé",SUMIFS(Donnees_annuelles!$Y$3:$Y$188,Donnees_annuelles!$A$3:$A$188,M176)*MIN(L176,SUMIFS(Donnees_generations!$I$3:$I$113,Donnees_generations!$A$3:$A$113,MAX(1915,MIN(2025,E176))))/L176,AD176*AC176*MIN(IF(AB176&gt;0,0.8/0.75,1),(L176*4+AB176)/AA176))</f>
        <v/>
      </c>
      <c r="AF176" s="14">
        <f>AE176/12</f>
        <v/>
      </c>
      <c r="AG176" s="77">
        <f>MIN(68,MAX(56,2*INT(K176/2)))</f>
        <v/>
      </c>
      <c r="AH176" s="75">
        <f>(CHOOSE((AG176-56)/2+1,SUMIFS(Donnees_generations!$U$3:$U$113,Donnees_generations!$A$3:$A$113,MAX(1915,MIN(2025,E176))),SUMIFS(Donnees_generations!$V$3:$V$113,Donnees_generations!$A$3:$A$113,MAX(1915,MIN(2025,E176))),SUMIFS(Donnees_generations!$W$3:$W$113,Donnees_generations!$A$3:$A$113,MAX(1915,MIN(2025,E176))),SUMIFS(Donnees_generations!$X$3:$X$113,Donnees_generations!$A$3:$A$113,MAX(1915,MIN(2025,E176))),SUMIFS(Donnees_generations!$Y$3:$Y$113,Donnees_generations!$A$3:$A$113,MAX(1915,MIN(2025,E176))),SUMIFS(Donnees_generations!$Z$3:$Z$113,Donnees_generations!$A$3:$A$113,MAX(1915,MIN(2025,E176))),SUMIFS(Donnees_generations!$AA$3:$AA$113,Donnees_generations!$A$3:$A$113,MAX(1915,MIN(2025,E176))),SUMIFS(Donnees_generations!$AB$3:$AB$113,Donnees_generations!$A$3:$A$113,MAX(1915,MIN(2025,E176))))+CHOOSE((AG176-56)/2+1,SUMIFS(Donnees_generations!$AC$3:$AC$113,Donnees_generations!$A$3:$A$113,MAX(1915,MIN(2025,E176))),SUMIFS(Donnees_generations!$AD$3:$AD$113,Donnees_generations!$A$3:$A$113,MAX(1915,MIN(2025,E176))),SUMIFS(Donnees_generations!$AE$3:$AE$113,Donnees_generations!$A$3:$A$113,MAX(1915,MIN(2025,E176))),SUMIFS(Donnees_generations!$AF$3:$AF$113,Donnees_generations!$A$3:$A$113,MAX(1915,MIN(2025,E176))),SUMIFS(Donnees_generations!$AG$3:$AG$113,Donnees_generations!$A$3:$A$113,MAX(1915,MIN(2025,E176))),SUMIFS(Donnees_generations!$AH$3:$AH$113,Donnees_generations!$A$3:$A$113,MAX(1915,MIN(2025,E176))),SUMIFS(Donnees_generations!$AI$3:$AI$113,Donnees_generations!$A$3:$A$113,MAX(1915,MIN(2025,E176))),SUMIFS(Donnees_generations!$AJ$3:$AJ$113,Donnees_generations!$A$3:$A$113,MAX(1915,MIN(2025,E176)))))/2</f>
        <v/>
      </c>
      <c r="AI176" s="75">
        <f>(CHOOSE(((AG176+2)-56)/2+1,SUMIFS(Donnees_generations!$U$3:$U$113,Donnees_generations!$A$3:$A$113,MAX(1915,MIN(2025,E176))),SUMIFS(Donnees_generations!$V$3:$V$113,Donnees_generations!$A$3:$A$113,MAX(1915,MIN(2025,E176))),SUMIFS(Donnees_generations!$W$3:$W$113,Donnees_generations!$A$3:$A$113,MAX(1915,MIN(2025,E176))),SUMIFS(Donnees_generations!$X$3:$X$113,Donnees_generations!$A$3:$A$113,MAX(1915,MIN(2025,E176))),SUMIFS(Donnees_generations!$Y$3:$Y$113,Donnees_generations!$A$3:$A$113,MAX(1915,MIN(2025,E176))),SUMIFS(Donnees_generations!$Z$3:$Z$113,Donnees_generations!$A$3:$A$113,MAX(1915,MIN(2025,E176))),SUMIFS(Donnees_generations!$AA$3:$AA$113,Donnees_generations!$A$3:$A$113,MAX(1915,MIN(2025,E176))),SUMIFS(Donnees_generations!$AB$3:$AB$113,Donnees_generations!$A$3:$A$113,MAX(1915,MIN(2025,E176))))+CHOOSE(((AG176+2)-56)/2+1,SUMIFS(Donnees_generations!$AC$3:$AC$113,Donnees_generations!$A$3:$A$113,MAX(1915,MIN(2025,E176))),SUMIFS(Donnees_generations!$AD$3:$AD$113,Donnees_generations!$A$3:$A$113,MAX(1915,MIN(2025,E176))),SUMIFS(Donnees_generations!$AE$3:$AE$113,Donnees_generations!$A$3:$A$113,MAX(1915,MIN(2025,E176))),SUMIFS(Donnees_generations!$AF$3:$AF$113,Donnees_generations!$A$3:$A$113,MAX(1915,MIN(2025,E176))),SUMIFS(Donnees_generations!$AG$3:$AG$113,Donnees_generations!$A$3:$A$113,MAX(1915,MIN(2025,E176))),SUMIFS(Donnees_generations!$AH$3:$AH$113,Donnees_generations!$A$3:$A$113,MAX(1915,MIN(2025,E176))),SUMIFS(Donnees_generations!$AI$3:$AI$113,Donnees_generations!$A$3:$A$113,MAX(1915,MIN(2025,E176))),SUMIFS(Donnees_generations!$AJ$3:$AJ$113,Donnees_generations!$A$3:$A$113,MAX(1915,MIN(2025,E176)))))/2</f>
        <v/>
      </c>
      <c r="AJ176" s="8">
        <f>MAX(0,AH176+(AI176-AH176)*(K176-AG176)/2)</f>
        <v/>
      </c>
      <c r="AK176" s="8">
        <f>K176+AJ176</f>
        <v/>
      </c>
      <c r="AL176" s="14">
        <f>AE176*AJ176</f>
        <v/>
      </c>
      <c r="AM176" s="17">
        <f>V176/AL176</f>
        <v/>
      </c>
      <c r="AN176" s="17">
        <f>Z176/AL176</f>
        <v/>
      </c>
      <c r="AO176" s="33">
        <f>IF(V176+Z176=0,0,Z176/(V176+Z176))</f>
        <v/>
      </c>
      <c r="AP176" s="14">
        <f>AL176/V176*100</f>
        <v/>
      </c>
      <c r="AQ176" s="8">
        <f>P176/AL176*1000</f>
        <v/>
      </c>
      <c r="AR176" s="77">
        <f>MAX(N176,M176-1)</f>
        <v/>
      </c>
      <c r="AS176" s="14">
        <f>SUMIFS(Donnees_regimes!$R$3:$R$1118,Donnees_regimes!$A$3:$A$1118,C176,Donnees_regimes!$B$3:$B$1118,"&gt;="&amp;G176,Donnees_regimes!$B$3:$B$1118,"&lt;="&amp;N176)*L176/ROUNDUP(L176,0)*SUMIFS(Donnees_annuelles!$AG$3:$AG$188,Donnees_annuelles!$A$3:$A$188,AR176)*SUMIFS(Donnees_annuelles!$AA$3:$AA$188,Donnees_annuelles!$A$3:$A$188,AR176)</f>
        <v/>
      </c>
      <c r="AT176" s="36">
        <f>AS176/V176</f>
        <v/>
      </c>
      <c r="AU176" s="14">
        <f>AL176</f>
        <v/>
      </c>
      <c r="AV176" s="39">
        <f>AS176-AL176</f>
        <v/>
      </c>
      <c r="AW176" s="9">
        <f>AS176/AL176-1</f>
        <v/>
      </c>
      <c r="AX176" s="14">
        <f>AS176/AJ176/12</f>
        <v/>
      </c>
      <c r="AY176" s="14">
        <f>AF176</f>
        <v/>
      </c>
      <c r="AZ176" s="39">
        <f>AX176-AF176</f>
        <v/>
      </c>
      <c r="BA176" s="14">
        <f>SUMIFS(Donnees_regimes!$S$3:$S$1118,Donnees_regimes!$A$3:$A$1118,C176,Donnees_regimes!$B$3:$B$1118,"&gt;="&amp;G176,Donnees_regimes!$B$3:$B$1118,"&lt;="&amp;N176)*L176/ROUNDUP(L176,0)*SUMIFS(Donnees_annuelles!$AH$3:$AH$188,Donnees_annuelles!$A$3:$A$188,AR176)*SUMIFS(Donnees_annuelles!$AA$3:$AA$188,Donnees_annuelles!$A$3:$A$188,AR176)</f>
        <v/>
      </c>
      <c r="BB176" s="39">
        <f>BA176-AL176</f>
        <v/>
      </c>
      <c r="BC176" s="7">
        <f>IF(M176+AJ176&gt;2026,IF(G176&gt;2026,"entièrement projeté","en partie projeté"),"observé")</f>
        <v/>
      </c>
    </row>
    <row r="177">
      <c r="A177" s="7" t="inlineStr">
        <is>
          <t>Génération Z</t>
        </is>
      </c>
      <c r="B177" s="84" t="inlineStr">
        <is>
          <t>Fonction publique d'État</t>
        </is>
      </c>
      <c r="C177" s="7">
        <f>IF(G177&gt;=SUMIFS(Regimes!$C$5:$C$10,Regimes!$A$5:$A$10,B177),"Privé",B177)</f>
        <v/>
      </c>
      <c r="D177" s="7">
        <f>INDEX(Regimes!$D$5:$D$10,MATCH(C177,Regimes!$A$5:$A$10,0))</f>
        <v/>
      </c>
      <c r="E177" s="88" t="n">
        <v>2004</v>
      </c>
      <c r="F177" s="8">
        <f>Donnees_generations!C92</f>
        <v/>
      </c>
      <c r="G177" s="77">
        <f>Donnees_generations!D92</f>
        <v/>
      </c>
      <c r="H177" s="8">
        <f>SUMIFS(Donnees_generations!$S$3:$S$113,Donnees_generations!$A$3:$A$113,MAX(1915,MIN(2025,E177)))</f>
        <v/>
      </c>
      <c r="I177" s="8">
        <f>SUMIFS(Donnees_generations!$T$3:$T$113,Donnees_generations!$A$3:$A$113,MAX(1915,MIN(2025,E177)))</f>
        <v/>
      </c>
      <c r="J177" s="8">
        <f>IF(G177&gt;=2000,MAX(I177,Parametres!$B$3),I177)</f>
        <v/>
      </c>
      <c r="K177" s="8">
        <f>IF(C177="Privé",J177,SUMIFS(Regles_regimes!$J$3:$J$2000,Regles_regimes!$A$3:$A$2000,C177,Regles_regimes!$B$3:$B$2000,D177,Regles_regimes!$C$3:$C$2000,MAX(1915,MIN(2025,E177))))</f>
        <v/>
      </c>
      <c r="L177" s="8">
        <f>IF(C177="Privé",H177,(K177-F177)*H177/(J177-F177))</f>
        <v/>
      </c>
      <c r="M177" s="77">
        <f>INT(E177+K177)</f>
        <v/>
      </c>
      <c r="N177" s="77">
        <f>G177+ROUNDUP(L177,0)-1</f>
        <v/>
      </c>
      <c r="O177" s="89">
        <f>SUMIFS(Regles_regimes!$K$3:$K$2000,Regles_regimes!$A$3:$A$2000,C177,Regles_regimes!$B$3:$B$2000,D177,Regles_regimes!$C$3:$C$2000,MAX(1915,MIN(2025,E177)))</f>
        <v/>
      </c>
      <c r="P177" s="13">
        <f>SUMIFS(Donnees_annuelles!$W$3:$W$188,Donnees_annuelles!$A$3:$A$188,"&gt;="&amp;G177,Donnees_annuelles!$A$3:$A$188,"&lt;="&amp;N177)*L177/ROUNDUP(L177,0)*O177</f>
        <v/>
      </c>
      <c r="Q177" s="13">
        <f>SUMIFS(Donnees_annuelles!$V$3:$V$188,Donnees_annuelles!$A$3:$A$188,"&gt;="&amp;G177,Donnees_annuelles!$A$3:$A$188,"&lt;="&amp;N177)*L177/ROUNDUP(L177,0)</f>
        <v/>
      </c>
      <c r="R177" s="13">
        <f>P177/L177</f>
        <v/>
      </c>
      <c r="S177" s="14">
        <f>SUMIFS(Donnees_annuelles!$D$3:$D$188,Donnees_annuelles!$A$3:$A$188,"&gt;="&amp;G177,Donnees_annuelles!$A$3:$A$188,"&lt;="&amp;N177)*L177/ROUNDUP(L177,0)</f>
        <v/>
      </c>
      <c r="T177" s="14">
        <f>SUMIFS(Donnees_regimes!$N$3:$N$1118,Donnees_regimes!$A$3:$A$1118,C177,Donnees_regimes!$B$3:$B$1118,"&gt;="&amp;G177,Donnees_regimes!$B$3:$B$1118,"&lt;="&amp;N177)*L177/ROUNDUP(L177,0)</f>
        <v/>
      </c>
      <c r="U177" s="14">
        <f>SUMIFS(Donnees_regimes!$O$3:$O$1118,Donnees_regimes!$A$3:$A$1118,C177,Donnees_regimes!$B$3:$B$1118,"&gt;="&amp;G177,Donnees_regimes!$B$3:$B$1118,"&lt;="&amp;N177)*L177/ROUNDUP(L177,0)</f>
        <v/>
      </c>
      <c r="V177" s="14">
        <f>T177+U177</f>
        <v/>
      </c>
      <c r="W177" s="33">
        <f>V177/S177</f>
        <v/>
      </c>
      <c r="X177" s="14">
        <f>S177+U177</f>
        <v/>
      </c>
      <c r="Y177" s="17">
        <f>V177/P177</f>
        <v/>
      </c>
      <c r="Z177" s="14">
        <f>SUMIFS(Donnees_regimes!$Q$3:$Q$1118,Donnees_regimes!$A$3:$A$1118,C177,Donnees_regimes!$B$3:$B$1118,"&gt;="&amp;G177,Donnees_regimes!$B$3:$B$1118,"&lt;="&amp;N177)*L177/ROUNDUP(L177,0)</f>
        <v/>
      </c>
      <c r="AA177" s="77">
        <f>SUMIFS(Regles_regimes!$F$3:$F$2000,Regles_regimes!$A$3:$A$2000,C177,Regles_regimes!$B$3:$B$2000,D177,Regles_regimes!$C$3:$C$2000,MAX(1915,MIN(2025,E177)))</f>
        <v/>
      </c>
      <c r="AB177" s="77">
        <f>IF(AND(SUMIFS(Regles_regimes!$L$3:$L$2000,Regles_regimes!$A$3:$A$2000,C177,Regles_regimes!$B$3:$B$2000,D177,Regles_regimes!$C$3:$C$2000,MAX(1915,MIN(2025,E177)))=1,G177&lt;2009,C177&lt;&gt;"Privé"),MIN(20,L177*4/5),0)</f>
        <v/>
      </c>
      <c r="AC177" s="89">
        <f>SUMIFS(Donnees_regimes!$M$3:$M$1118,Donnees_regimes!$A$3:$A$1118,C177,Donnees_regimes!$B$3:$B$1118,M177)</f>
        <v/>
      </c>
      <c r="AD177" s="14">
        <f>SUMIFS(Donnees_annuelles!$Y$3:$Y$188,Donnees_annuelles!$A$3:$A$188,M177)*SUMIFS(Donnees_generations!$I$3:$I$113,Donnees_generations!$A$3:$A$113,MAX(1915,MIN(2025,E177)))/H177</f>
        <v/>
      </c>
      <c r="AE177" s="14">
        <f>IF(C177="Privé",SUMIFS(Donnees_annuelles!$Y$3:$Y$188,Donnees_annuelles!$A$3:$A$188,M177)*MIN(L177,SUMIFS(Donnees_generations!$I$3:$I$113,Donnees_generations!$A$3:$A$113,MAX(1915,MIN(2025,E177))))/L177,AD177*AC177*MIN(IF(AB177&gt;0,0.8/0.75,1),(L177*4+AB177)/AA177))</f>
        <v/>
      </c>
      <c r="AF177" s="14">
        <f>AE177/12</f>
        <v/>
      </c>
      <c r="AG177" s="77">
        <f>MIN(68,MAX(56,2*INT(K177/2)))</f>
        <v/>
      </c>
      <c r="AH177" s="75">
        <f>(CHOOSE((AG177-56)/2+1,SUMIFS(Donnees_generations!$U$3:$U$113,Donnees_generations!$A$3:$A$113,MAX(1915,MIN(2025,E177))),SUMIFS(Donnees_generations!$V$3:$V$113,Donnees_generations!$A$3:$A$113,MAX(1915,MIN(2025,E177))),SUMIFS(Donnees_generations!$W$3:$W$113,Donnees_generations!$A$3:$A$113,MAX(1915,MIN(2025,E177))),SUMIFS(Donnees_generations!$X$3:$X$113,Donnees_generations!$A$3:$A$113,MAX(1915,MIN(2025,E177))),SUMIFS(Donnees_generations!$Y$3:$Y$113,Donnees_generations!$A$3:$A$113,MAX(1915,MIN(2025,E177))),SUMIFS(Donnees_generations!$Z$3:$Z$113,Donnees_generations!$A$3:$A$113,MAX(1915,MIN(2025,E177))),SUMIFS(Donnees_generations!$AA$3:$AA$113,Donnees_generations!$A$3:$A$113,MAX(1915,MIN(2025,E177))),SUMIFS(Donnees_generations!$AB$3:$AB$113,Donnees_generations!$A$3:$A$113,MAX(1915,MIN(2025,E177))))+CHOOSE((AG177-56)/2+1,SUMIFS(Donnees_generations!$AC$3:$AC$113,Donnees_generations!$A$3:$A$113,MAX(1915,MIN(2025,E177))),SUMIFS(Donnees_generations!$AD$3:$AD$113,Donnees_generations!$A$3:$A$113,MAX(1915,MIN(2025,E177))),SUMIFS(Donnees_generations!$AE$3:$AE$113,Donnees_generations!$A$3:$A$113,MAX(1915,MIN(2025,E177))),SUMIFS(Donnees_generations!$AF$3:$AF$113,Donnees_generations!$A$3:$A$113,MAX(1915,MIN(2025,E177))),SUMIFS(Donnees_generations!$AG$3:$AG$113,Donnees_generations!$A$3:$A$113,MAX(1915,MIN(2025,E177))),SUMIFS(Donnees_generations!$AH$3:$AH$113,Donnees_generations!$A$3:$A$113,MAX(1915,MIN(2025,E177))),SUMIFS(Donnees_generations!$AI$3:$AI$113,Donnees_generations!$A$3:$A$113,MAX(1915,MIN(2025,E177))),SUMIFS(Donnees_generations!$AJ$3:$AJ$113,Donnees_generations!$A$3:$A$113,MAX(1915,MIN(2025,E177)))))/2</f>
        <v/>
      </c>
      <c r="AI177" s="75">
        <f>(CHOOSE(((AG177+2)-56)/2+1,SUMIFS(Donnees_generations!$U$3:$U$113,Donnees_generations!$A$3:$A$113,MAX(1915,MIN(2025,E177))),SUMIFS(Donnees_generations!$V$3:$V$113,Donnees_generations!$A$3:$A$113,MAX(1915,MIN(2025,E177))),SUMIFS(Donnees_generations!$W$3:$W$113,Donnees_generations!$A$3:$A$113,MAX(1915,MIN(2025,E177))),SUMIFS(Donnees_generations!$X$3:$X$113,Donnees_generations!$A$3:$A$113,MAX(1915,MIN(2025,E177))),SUMIFS(Donnees_generations!$Y$3:$Y$113,Donnees_generations!$A$3:$A$113,MAX(1915,MIN(2025,E177))),SUMIFS(Donnees_generations!$Z$3:$Z$113,Donnees_generations!$A$3:$A$113,MAX(1915,MIN(2025,E177))),SUMIFS(Donnees_generations!$AA$3:$AA$113,Donnees_generations!$A$3:$A$113,MAX(1915,MIN(2025,E177))),SUMIFS(Donnees_generations!$AB$3:$AB$113,Donnees_generations!$A$3:$A$113,MAX(1915,MIN(2025,E177))))+CHOOSE(((AG177+2)-56)/2+1,SUMIFS(Donnees_generations!$AC$3:$AC$113,Donnees_generations!$A$3:$A$113,MAX(1915,MIN(2025,E177))),SUMIFS(Donnees_generations!$AD$3:$AD$113,Donnees_generations!$A$3:$A$113,MAX(1915,MIN(2025,E177))),SUMIFS(Donnees_generations!$AE$3:$AE$113,Donnees_generations!$A$3:$A$113,MAX(1915,MIN(2025,E177))),SUMIFS(Donnees_generations!$AF$3:$AF$113,Donnees_generations!$A$3:$A$113,MAX(1915,MIN(2025,E177))),SUMIFS(Donnees_generations!$AG$3:$AG$113,Donnees_generations!$A$3:$A$113,MAX(1915,MIN(2025,E177))),SUMIFS(Donnees_generations!$AH$3:$AH$113,Donnees_generations!$A$3:$A$113,MAX(1915,MIN(2025,E177))),SUMIFS(Donnees_generations!$AI$3:$AI$113,Donnees_generations!$A$3:$A$113,MAX(1915,MIN(2025,E177))),SUMIFS(Donnees_generations!$AJ$3:$AJ$113,Donnees_generations!$A$3:$A$113,MAX(1915,MIN(2025,E177)))))/2</f>
        <v/>
      </c>
      <c r="AJ177" s="8">
        <f>MAX(0,AH177+(AI177-AH177)*(K177-AG177)/2)</f>
        <v/>
      </c>
      <c r="AK177" s="8">
        <f>K177+AJ177</f>
        <v/>
      </c>
      <c r="AL177" s="14">
        <f>AE177*AJ177</f>
        <v/>
      </c>
      <c r="AM177" s="17">
        <f>V177/AL177</f>
        <v/>
      </c>
      <c r="AN177" s="17">
        <f>Z177/AL177</f>
        <v/>
      </c>
      <c r="AO177" s="33">
        <f>IF(V177+Z177=0,0,Z177/(V177+Z177))</f>
        <v/>
      </c>
      <c r="AP177" s="14">
        <f>AL177/V177*100</f>
        <v/>
      </c>
      <c r="AQ177" s="8">
        <f>P177/AL177*1000</f>
        <v/>
      </c>
      <c r="AR177" s="77">
        <f>MAX(N177,M177-1)</f>
        <v/>
      </c>
      <c r="AS177" s="14">
        <f>SUMIFS(Donnees_regimes!$R$3:$R$1118,Donnees_regimes!$A$3:$A$1118,C177,Donnees_regimes!$B$3:$B$1118,"&gt;="&amp;G177,Donnees_regimes!$B$3:$B$1118,"&lt;="&amp;N177)*L177/ROUNDUP(L177,0)*SUMIFS(Donnees_annuelles!$AG$3:$AG$188,Donnees_annuelles!$A$3:$A$188,AR177)*SUMIFS(Donnees_annuelles!$AA$3:$AA$188,Donnees_annuelles!$A$3:$A$188,AR177)</f>
        <v/>
      </c>
      <c r="AT177" s="36">
        <f>AS177/V177</f>
        <v/>
      </c>
      <c r="AU177" s="14">
        <f>AL177</f>
        <v/>
      </c>
      <c r="AV177" s="39">
        <f>AS177-AL177</f>
        <v/>
      </c>
      <c r="AW177" s="9">
        <f>AS177/AL177-1</f>
        <v/>
      </c>
      <c r="AX177" s="14">
        <f>AS177/AJ177/12</f>
        <v/>
      </c>
      <c r="AY177" s="14">
        <f>AF177</f>
        <v/>
      </c>
      <c r="AZ177" s="39">
        <f>AX177-AF177</f>
        <v/>
      </c>
      <c r="BA177" s="14">
        <f>SUMIFS(Donnees_regimes!$S$3:$S$1118,Donnees_regimes!$A$3:$A$1118,C177,Donnees_regimes!$B$3:$B$1118,"&gt;="&amp;G177,Donnees_regimes!$B$3:$B$1118,"&lt;="&amp;N177)*L177/ROUNDUP(L177,0)*SUMIFS(Donnees_annuelles!$AH$3:$AH$188,Donnees_annuelles!$A$3:$A$188,AR177)*SUMIFS(Donnees_annuelles!$AA$3:$AA$188,Donnees_annuelles!$A$3:$A$188,AR177)</f>
        <v/>
      </c>
      <c r="BB177" s="39">
        <f>BA177-AL177</f>
        <v/>
      </c>
      <c r="BC177" s="7">
        <f>IF(M177+AJ177&gt;2026,IF(G177&gt;2026,"entièrement projeté","en partie projeté"),"observé")</f>
        <v/>
      </c>
    </row>
    <row r="178">
      <c r="A178" s="7" t="inlineStr">
        <is>
          <t>Génération Z</t>
        </is>
      </c>
      <c r="B178" s="84" t="inlineStr">
        <is>
          <t>Fonction publique d'État</t>
        </is>
      </c>
      <c r="C178" s="7">
        <f>IF(G178&gt;=SUMIFS(Regimes!$C$5:$C$10,Regimes!$A$5:$A$10,B178),"Privé",B178)</f>
        <v/>
      </c>
      <c r="D178" s="7">
        <f>INDEX(Regimes!$D$5:$D$10,MATCH(C178,Regimes!$A$5:$A$10,0))</f>
        <v/>
      </c>
      <c r="E178" s="88" t="n">
        <v>2005</v>
      </c>
      <c r="F178" s="8">
        <f>Donnees_generations!C93</f>
        <v/>
      </c>
      <c r="G178" s="77">
        <f>Donnees_generations!D93</f>
        <v/>
      </c>
      <c r="H178" s="8">
        <f>SUMIFS(Donnees_generations!$S$3:$S$113,Donnees_generations!$A$3:$A$113,MAX(1915,MIN(2025,E178)))</f>
        <v/>
      </c>
      <c r="I178" s="8">
        <f>SUMIFS(Donnees_generations!$T$3:$T$113,Donnees_generations!$A$3:$A$113,MAX(1915,MIN(2025,E178)))</f>
        <v/>
      </c>
      <c r="J178" s="8">
        <f>IF(G178&gt;=2000,MAX(I178,Parametres!$B$3),I178)</f>
        <v/>
      </c>
      <c r="K178" s="8">
        <f>IF(C178="Privé",J178,SUMIFS(Regles_regimes!$J$3:$J$2000,Regles_regimes!$A$3:$A$2000,C178,Regles_regimes!$B$3:$B$2000,D178,Regles_regimes!$C$3:$C$2000,MAX(1915,MIN(2025,E178))))</f>
        <v/>
      </c>
      <c r="L178" s="8">
        <f>IF(C178="Privé",H178,(K178-F178)*H178/(J178-F178))</f>
        <v/>
      </c>
      <c r="M178" s="77">
        <f>INT(E178+K178)</f>
        <v/>
      </c>
      <c r="N178" s="77">
        <f>G178+ROUNDUP(L178,0)-1</f>
        <v/>
      </c>
      <c r="O178" s="89">
        <f>SUMIFS(Regles_regimes!$K$3:$K$2000,Regles_regimes!$A$3:$A$2000,C178,Regles_regimes!$B$3:$B$2000,D178,Regles_regimes!$C$3:$C$2000,MAX(1915,MIN(2025,E178)))</f>
        <v/>
      </c>
      <c r="P178" s="13">
        <f>SUMIFS(Donnees_annuelles!$W$3:$W$188,Donnees_annuelles!$A$3:$A$188,"&gt;="&amp;G178,Donnees_annuelles!$A$3:$A$188,"&lt;="&amp;N178)*L178/ROUNDUP(L178,0)*O178</f>
        <v/>
      </c>
      <c r="Q178" s="13">
        <f>SUMIFS(Donnees_annuelles!$V$3:$V$188,Donnees_annuelles!$A$3:$A$188,"&gt;="&amp;G178,Donnees_annuelles!$A$3:$A$188,"&lt;="&amp;N178)*L178/ROUNDUP(L178,0)</f>
        <v/>
      </c>
      <c r="R178" s="13">
        <f>P178/L178</f>
        <v/>
      </c>
      <c r="S178" s="14">
        <f>SUMIFS(Donnees_annuelles!$D$3:$D$188,Donnees_annuelles!$A$3:$A$188,"&gt;="&amp;G178,Donnees_annuelles!$A$3:$A$188,"&lt;="&amp;N178)*L178/ROUNDUP(L178,0)</f>
        <v/>
      </c>
      <c r="T178" s="14">
        <f>SUMIFS(Donnees_regimes!$N$3:$N$1118,Donnees_regimes!$A$3:$A$1118,C178,Donnees_regimes!$B$3:$B$1118,"&gt;="&amp;G178,Donnees_regimes!$B$3:$B$1118,"&lt;="&amp;N178)*L178/ROUNDUP(L178,0)</f>
        <v/>
      </c>
      <c r="U178" s="14">
        <f>SUMIFS(Donnees_regimes!$O$3:$O$1118,Donnees_regimes!$A$3:$A$1118,C178,Donnees_regimes!$B$3:$B$1118,"&gt;="&amp;G178,Donnees_regimes!$B$3:$B$1118,"&lt;="&amp;N178)*L178/ROUNDUP(L178,0)</f>
        <v/>
      </c>
      <c r="V178" s="14">
        <f>T178+U178</f>
        <v/>
      </c>
      <c r="W178" s="33">
        <f>V178/S178</f>
        <v/>
      </c>
      <c r="X178" s="14">
        <f>S178+U178</f>
        <v/>
      </c>
      <c r="Y178" s="17">
        <f>V178/P178</f>
        <v/>
      </c>
      <c r="Z178" s="14">
        <f>SUMIFS(Donnees_regimes!$Q$3:$Q$1118,Donnees_regimes!$A$3:$A$1118,C178,Donnees_regimes!$B$3:$B$1118,"&gt;="&amp;G178,Donnees_regimes!$B$3:$B$1118,"&lt;="&amp;N178)*L178/ROUNDUP(L178,0)</f>
        <v/>
      </c>
      <c r="AA178" s="77">
        <f>SUMIFS(Regles_regimes!$F$3:$F$2000,Regles_regimes!$A$3:$A$2000,C178,Regles_regimes!$B$3:$B$2000,D178,Regles_regimes!$C$3:$C$2000,MAX(1915,MIN(2025,E178)))</f>
        <v/>
      </c>
      <c r="AB178" s="77">
        <f>IF(AND(SUMIFS(Regles_regimes!$L$3:$L$2000,Regles_regimes!$A$3:$A$2000,C178,Regles_regimes!$B$3:$B$2000,D178,Regles_regimes!$C$3:$C$2000,MAX(1915,MIN(2025,E178)))=1,G178&lt;2009,C178&lt;&gt;"Privé"),MIN(20,L178*4/5),0)</f>
        <v/>
      </c>
      <c r="AC178" s="89">
        <f>SUMIFS(Donnees_regimes!$M$3:$M$1118,Donnees_regimes!$A$3:$A$1118,C178,Donnees_regimes!$B$3:$B$1118,M178)</f>
        <v/>
      </c>
      <c r="AD178" s="14">
        <f>SUMIFS(Donnees_annuelles!$Y$3:$Y$188,Donnees_annuelles!$A$3:$A$188,M178)*SUMIFS(Donnees_generations!$I$3:$I$113,Donnees_generations!$A$3:$A$113,MAX(1915,MIN(2025,E178)))/H178</f>
        <v/>
      </c>
      <c r="AE178" s="14">
        <f>IF(C178="Privé",SUMIFS(Donnees_annuelles!$Y$3:$Y$188,Donnees_annuelles!$A$3:$A$188,M178)*MIN(L178,SUMIFS(Donnees_generations!$I$3:$I$113,Donnees_generations!$A$3:$A$113,MAX(1915,MIN(2025,E178))))/L178,AD178*AC178*MIN(IF(AB178&gt;0,0.8/0.75,1),(L178*4+AB178)/AA178))</f>
        <v/>
      </c>
      <c r="AF178" s="14">
        <f>AE178/12</f>
        <v/>
      </c>
      <c r="AG178" s="77">
        <f>MIN(68,MAX(56,2*INT(K178/2)))</f>
        <v/>
      </c>
      <c r="AH178" s="75">
        <f>(CHOOSE((AG178-56)/2+1,SUMIFS(Donnees_generations!$U$3:$U$113,Donnees_generations!$A$3:$A$113,MAX(1915,MIN(2025,E178))),SUMIFS(Donnees_generations!$V$3:$V$113,Donnees_generations!$A$3:$A$113,MAX(1915,MIN(2025,E178))),SUMIFS(Donnees_generations!$W$3:$W$113,Donnees_generations!$A$3:$A$113,MAX(1915,MIN(2025,E178))),SUMIFS(Donnees_generations!$X$3:$X$113,Donnees_generations!$A$3:$A$113,MAX(1915,MIN(2025,E178))),SUMIFS(Donnees_generations!$Y$3:$Y$113,Donnees_generations!$A$3:$A$113,MAX(1915,MIN(2025,E178))),SUMIFS(Donnees_generations!$Z$3:$Z$113,Donnees_generations!$A$3:$A$113,MAX(1915,MIN(2025,E178))),SUMIFS(Donnees_generations!$AA$3:$AA$113,Donnees_generations!$A$3:$A$113,MAX(1915,MIN(2025,E178))),SUMIFS(Donnees_generations!$AB$3:$AB$113,Donnees_generations!$A$3:$A$113,MAX(1915,MIN(2025,E178))))+CHOOSE((AG178-56)/2+1,SUMIFS(Donnees_generations!$AC$3:$AC$113,Donnees_generations!$A$3:$A$113,MAX(1915,MIN(2025,E178))),SUMIFS(Donnees_generations!$AD$3:$AD$113,Donnees_generations!$A$3:$A$113,MAX(1915,MIN(2025,E178))),SUMIFS(Donnees_generations!$AE$3:$AE$113,Donnees_generations!$A$3:$A$113,MAX(1915,MIN(2025,E178))),SUMIFS(Donnees_generations!$AF$3:$AF$113,Donnees_generations!$A$3:$A$113,MAX(1915,MIN(2025,E178))),SUMIFS(Donnees_generations!$AG$3:$AG$113,Donnees_generations!$A$3:$A$113,MAX(1915,MIN(2025,E178))),SUMIFS(Donnees_generations!$AH$3:$AH$113,Donnees_generations!$A$3:$A$113,MAX(1915,MIN(2025,E178))),SUMIFS(Donnees_generations!$AI$3:$AI$113,Donnees_generations!$A$3:$A$113,MAX(1915,MIN(2025,E178))),SUMIFS(Donnees_generations!$AJ$3:$AJ$113,Donnees_generations!$A$3:$A$113,MAX(1915,MIN(2025,E178)))))/2</f>
        <v/>
      </c>
      <c r="AI178" s="75">
        <f>(CHOOSE(((AG178+2)-56)/2+1,SUMIFS(Donnees_generations!$U$3:$U$113,Donnees_generations!$A$3:$A$113,MAX(1915,MIN(2025,E178))),SUMIFS(Donnees_generations!$V$3:$V$113,Donnees_generations!$A$3:$A$113,MAX(1915,MIN(2025,E178))),SUMIFS(Donnees_generations!$W$3:$W$113,Donnees_generations!$A$3:$A$113,MAX(1915,MIN(2025,E178))),SUMIFS(Donnees_generations!$X$3:$X$113,Donnees_generations!$A$3:$A$113,MAX(1915,MIN(2025,E178))),SUMIFS(Donnees_generations!$Y$3:$Y$113,Donnees_generations!$A$3:$A$113,MAX(1915,MIN(2025,E178))),SUMIFS(Donnees_generations!$Z$3:$Z$113,Donnees_generations!$A$3:$A$113,MAX(1915,MIN(2025,E178))),SUMIFS(Donnees_generations!$AA$3:$AA$113,Donnees_generations!$A$3:$A$113,MAX(1915,MIN(2025,E178))),SUMIFS(Donnees_generations!$AB$3:$AB$113,Donnees_generations!$A$3:$A$113,MAX(1915,MIN(2025,E178))))+CHOOSE(((AG178+2)-56)/2+1,SUMIFS(Donnees_generations!$AC$3:$AC$113,Donnees_generations!$A$3:$A$113,MAX(1915,MIN(2025,E178))),SUMIFS(Donnees_generations!$AD$3:$AD$113,Donnees_generations!$A$3:$A$113,MAX(1915,MIN(2025,E178))),SUMIFS(Donnees_generations!$AE$3:$AE$113,Donnees_generations!$A$3:$A$113,MAX(1915,MIN(2025,E178))),SUMIFS(Donnees_generations!$AF$3:$AF$113,Donnees_generations!$A$3:$A$113,MAX(1915,MIN(2025,E178))),SUMIFS(Donnees_generations!$AG$3:$AG$113,Donnees_generations!$A$3:$A$113,MAX(1915,MIN(2025,E178))),SUMIFS(Donnees_generations!$AH$3:$AH$113,Donnees_generations!$A$3:$A$113,MAX(1915,MIN(2025,E178))),SUMIFS(Donnees_generations!$AI$3:$AI$113,Donnees_generations!$A$3:$A$113,MAX(1915,MIN(2025,E178))),SUMIFS(Donnees_generations!$AJ$3:$AJ$113,Donnees_generations!$A$3:$A$113,MAX(1915,MIN(2025,E178)))))/2</f>
        <v/>
      </c>
      <c r="AJ178" s="8">
        <f>MAX(0,AH178+(AI178-AH178)*(K178-AG178)/2)</f>
        <v/>
      </c>
      <c r="AK178" s="8">
        <f>K178+AJ178</f>
        <v/>
      </c>
      <c r="AL178" s="14">
        <f>AE178*AJ178</f>
        <v/>
      </c>
      <c r="AM178" s="17">
        <f>V178/AL178</f>
        <v/>
      </c>
      <c r="AN178" s="17">
        <f>Z178/AL178</f>
        <v/>
      </c>
      <c r="AO178" s="33">
        <f>IF(V178+Z178=0,0,Z178/(V178+Z178))</f>
        <v/>
      </c>
      <c r="AP178" s="14">
        <f>AL178/V178*100</f>
        <v/>
      </c>
      <c r="AQ178" s="8">
        <f>P178/AL178*1000</f>
        <v/>
      </c>
      <c r="AR178" s="77">
        <f>MAX(N178,M178-1)</f>
        <v/>
      </c>
      <c r="AS178" s="14">
        <f>SUMIFS(Donnees_regimes!$R$3:$R$1118,Donnees_regimes!$A$3:$A$1118,C178,Donnees_regimes!$B$3:$B$1118,"&gt;="&amp;G178,Donnees_regimes!$B$3:$B$1118,"&lt;="&amp;N178)*L178/ROUNDUP(L178,0)*SUMIFS(Donnees_annuelles!$AG$3:$AG$188,Donnees_annuelles!$A$3:$A$188,AR178)*SUMIFS(Donnees_annuelles!$AA$3:$AA$188,Donnees_annuelles!$A$3:$A$188,AR178)</f>
        <v/>
      </c>
      <c r="AT178" s="36">
        <f>AS178/V178</f>
        <v/>
      </c>
      <c r="AU178" s="14">
        <f>AL178</f>
        <v/>
      </c>
      <c r="AV178" s="39">
        <f>AS178-AL178</f>
        <v/>
      </c>
      <c r="AW178" s="9">
        <f>AS178/AL178-1</f>
        <v/>
      </c>
      <c r="AX178" s="14">
        <f>AS178/AJ178/12</f>
        <v/>
      </c>
      <c r="AY178" s="14">
        <f>AF178</f>
        <v/>
      </c>
      <c r="AZ178" s="39">
        <f>AX178-AF178</f>
        <v/>
      </c>
      <c r="BA178" s="14">
        <f>SUMIFS(Donnees_regimes!$S$3:$S$1118,Donnees_regimes!$A$3:$A$1118,C178,Donnees_regimes!$B$3:$B$1118,"&gt;="&amp;G178,Donnees_regimes!$B$3:$B$1118,"&lt;="&amp;N178)*L178/ROUNDUP(L178,0)*SUMIFS(Donnees_annuelles!$AH$3:$AH$188,Donnees_annuelles!$A$3:$A$188,AR178)*SUMIFS(Donnees_annuelles!$AA$3:$AA$188,Donnees_annuelles!$A$3:$A$188,AR178)</f>
        <v/>
      </c>
      <c r="BB178" s="39">
        <f>BA178-AL178</f>
        <v/>
      </c>
      <c r="BC178" s="7">
        <f>IF(M178+AJ178&gt;2026,IF(G178&gt;2026,"entièrement projeté","en partie projeté"),"observé")</f>
        <v/>
      </c>
    </row>
    <row r="179">
      <c r="A179" s="7" t="inlineStr">
        <is>
          <t>Génération Z</t>
        </is>
      </c>
      <c r="B179" s="84" t="inlineStr">
        <is>
          <t>Fonction publique d'État</t>
        </is>
      </c>
      <c r="C179" s="7">
        <f>IF(G179&gt;=SUMIFS(Regimes!$C$5:$C$10,Regimes!$A$5:$A$10,B179),"Privé",B179)</f>
        <v/>
      </c>
      <c r="D179" s="7">
        <f>INDEX(Regimes!$D$5:$D$10,MATCH(C179,Regimes!$A$5:$A$10,0))</f>
        <v/>
      </c>
      <c r="E179" s="88" t="n">
        <v>2006</v>
      </c>
      <c r="F179" s="8">
        <f>Donnees_generations!C94</f>
        <v/>
      </c>
      <c r="G179" s="77">
        <f>Donnees_generations!D94</f>
        <v/>
      </c>
      <c r="H179" s="8">
        <f>SUMIFS(Donnees_generations!$S$3:$S$113,Donnees_generations!$A$3:$A$113,MAX(1915,MIN(2025,E179)))</f>
        <v/>
      </c>
      <c r="I179" s="8">
        <f>SUMIFS(Donnees_generations!$T$3:$T$113,Donnees_generations!$A$3:$A$113,MAX(1915,MIN(2025,E179)))</f>
        <v/>
      </c>
      <c r="J179" s="8">
        <f>IF(G179&gt;=2000,MAX(I179,Parametres!$B$3),I179)</f>
        <v/>
      </c>
      <c r="K179" s="8">
        <f>IF(C179="Privé",J179,SUMIFS(Regles_regimes!$J$3:$J$2000,Regles_regimes!$A$3:$A$2000,C179,Regles_regimes!$B$3:$B$2000,D179,Regles_regimes!$C$3:$C$2000,MAX(1915,MIN(2025,E179))))</f>
        <v/>
      </c>
      <c r="L179" s="8">
        <f>IF(C179="Privé",H179,(K179-F179)*H179/(J179-F179))</f>
        <v/>
      </c>
      <c r="M179" s="77">
        <f>INT(E179+K179)</f>
        <v/>
      </c>
      <c r="N179" s="77">
        <f>G179+ROUNDUP(L179,0)-1</f>
        <v/>
      </c>
      <c r="O179" s="89">
        <f>SUMIFS(Regles_regimes!$K$3:$K$2000,Regles_regimes!$A$3:$A$2000,C179,Regles_regimes!$B$3:$B$2000,D179,Regles_regimes!$C$3:$C$2000,MAX(1915,MIN(2025,E179)))</f>
        <v/>
      </c>
      <c r="P179" s="13">
        <f>SUMIFS(Donnees_annuelles!$W$3:$W$188,Donnees_annuelles!$A$3:$A$188,"&gt;="&amp;G179,Donnees_annuelles!$A$3:$A$188,"&lt;="&amp;N179)*L179/ROUNDUP(L179,0)*O179</f>
        <v/>
      </c>
      <c r="Q179" s="13">
        <f>SUMIFS(Donnees_annuelles!$V$3:$V$188,Donnees_annuelles!$A$3:$A$188,"&gt;="&amp;G179,Donnees_annuelles!$A$3:$A$188,"&lt;="&amp;N179)*L179/ROUNDUP(L179,0)</f>
        <v/>
      </c>
      <c r="R179" s="13">
        <f>P179/L179</f>
        <v/>
      </c>
      <c r="S179" s="14">
        <f>SUMIFS(Donnees_annuelles!$D$3:$D$188,Donnees_annuelles!$A$3:$A$188,"&gt;="&amp;G179,Donnees_annuelles!$A$3:$A$188,"&lt;="&amp;N179)*L179/ROUNDUP(L179,0)</f>
        <v/>
      </c>
      <c r="T179" s="14">
        <f>SUMIFS(Donnees_regimes!$N$3:$N$1118,Donnees_regimes!$A$3:$A$1118,C179,Donnees_regimes!$B$3:$B$1118,"&gt;="&amp;G179,Donnees_regimes!$B$3:$B$1118,"&lt;="&amp;N179)*L179/ROUNDUP(L179,0)</f>
        <v/>
      </c>
      <c r="U179" s="14">
        <f>SUMIFS(Donnees_regimes!$O$3:$O$1118,Donnees_regimes!$A$3:$A$1118,C179,Donnees_regimes!$B$3:$B$1118,"&gt;="&amp;G179,Donnees_regimes!$B$3:$B$1118,"&lt;="&amp;N179)*L179/ROUNDUP(L179,0)</f>
        <v/>
      </c>
      <c r="V179" s="14">
        <f>T179+U179</f>
        <v/>
      </c>
      <c r="W179" s="33">
        <f>V179/S179</f>
        <v/>
      </c>
      <c r="X179" s="14">
        <f>S179+U179</f>
        <v/>
      </c>
      <c r="Y179" s="17">
        <f>V179/P179</f>
        <v/>
      </c>
      <c r="Z179" s="14">
        <f>SUMIFS(Donnees_regimes!$Q$3:$Q$1118,Donnees_regimes!$A$3:$A$1118,C179,Donnees_regimes!$B$3:$B$1118,"&gt;="&amp;G179,Donnees_regimes!$B$3:$B$1118,"&lt;="&amp;N179)*L179/ROUNDUP(L179,0)</f>
        <v/>
      </c>
      <c r="AA179" s="77">
        <f>SUMIFS(Regles_regimes!$F$3:$F$2000,Regles_regimes!$A$3:$A$2000,C179,Regles_regimes!$B$3:$B$2000,D179,Regles_regimes!$C$3:$C$2000,MAX(1915,MIN(2025,E179)))</f>
        <v/>
      </c>
      <c r="AB179" s="77">
        <f>IF(AND(SUMIFS(Regles_regimes!$L$3:$L$2000,Regles_regimes!$A$3:$A$2000,C179,Regles_regimes!$B$3:$B$2000,D179,Regles_regimes!$C$3:$C$2000,MAX(1915,MIN(2025,E179)))=1,G179&lt;2009,C179&lt;&gt;"Privé"),MIN(20,L179*4/5),0)</f>
        <v/>
      </c>
      <c r="AC179" s="89">
        <f>SUMIFS(Donnees_regimes!$M$3:$M$1118,Donnees_regimes!$A$3:$A$1118,C179,Donnees_regimes!$B$3:$B$1118,M179)</f>
        <v/>
      </c>
      <c r="AD179" s="14">
        <f>SUMIFS(Donnees_annuelles!$Y$3:$Y$188,Donnees_annuelles!$A$3:$A$188,M179)*SUMIFS(Donnees_generations!$I$3:$I$113,Donnees_generations!$A$3:$A$113,MAX(1915,MIN(2025,E179)))/H179</f>
        <v/>
      </c>
      <c r="AE179" s="14">
        <f>IF(C179="Privé",SUMIFS(Donnees_annuelles!$Y$3:$Y$188,Donnees_annuelles!$A$3:$A$188,M179)*MIN(L179,SUMIFS(Donnees_generations!$I$3:$I$113,Donnees_generations!$A$3:$A$113,MAX(1915,MIN(2025,E179))))/L179,AD179*AC179*MIN(IF(AB179&gt;0,0.8/0.75,1),(L179*4+AB179)/AA179))</f>
        <v/>
      </c>
      <c r="AF179" s="14">
        <f>AE179/12</f>
        <v/>
      </c>
      <c r="AG179" s="77">
        <f>MIN(68,MAX(56,2*INT(K179/2)))</f>
        <v/>
      </c>
      <c r="AH179" s="75">
        <f>(CHOOSE((AG179-56)/2+1,SUMIFS(Donnees_generations!$U$3:$U$113,Donnees_generations!$A$3:$A$113,MAX(1915,MIN(2025,E179))),SUMIFS(Donnees_generations!$V$3:$V$113,Donnees_generations!$A$3:$A$113,MAX(1915,MIN(2025,E179))),SUMIFS(Donnees_generations!$W$3:$W$113,Donnees_generations!$A$3:$A$113,MAX(1915,MIN(2025,E179))),SUMIFS(Donnees_generations!$X$3:$X$113,Donnees_generations!$A$3:$A$113,MAX(1915,MIN(2025,E179))),SUMIFS(Donnees_generations!$Y$3:$Y$113,Donnees_generations!$A$3:$A$113,MAX(1915,MIN(2025,E179))),SUMIFS(Donnees_generations!$Z$3:$Z$113,Donnees_generations!$A$3:$A$113,MAX(1915,MIN(2025,E179))),SUMIFS(Donnees_generations!$AA$3:$AA$113,Donnees_generations!$A$3:$A$113,MAX(1915,MIN(2025,E179))),SUMIFS(Donnees_generations!$AB$3:$AB$113,Donnees_generations!$A$3:$A$113,MAX(1915,MIN(2025,E179))))+CHOOSE((AG179-56)/2+1,SUMIFS(Donnees_generations!$AC$3:$AC$113,Donnees_generations!$A$3:$A$113,MAX(1915,MIN(2025,E179))),SUMIFS(Donnees_generations!$AD$3:$AD$113,Donnees_generations!$A$3:$A$113,MAX(1915,MIN(2025,E179))),SUMIFS(Donnees_generations!$AE$3:$AE$113,Donnees_generations!$A$3:$A$113,MAX(1915,MIN(2025,E179))),SUMIFS(Donnees_generations!$AF$3:$AF$113,Donnees_generations!$A$3:$A$113,MAX(1915,MIN(2025,E179))),SUMIFS(Donnees_generations!$AG$3:$AG$113,Donnees_generations!$A$3:$A$113,MAX(1915,MIN(2025,E179))),SUMIFS(Donnees_generations!$AH$3:$AH$113,Donnees_generations!$A$3:$A$113,MAX(1915,MIN(2025,E179))),SUMIFS(Donnees_generations!$AI$3:$AI$113,Donnees_generations!$A$3:$A$113,MAX(1915,MIN(2025,E179))),SUMIFS(Donnees_generations!$AJ$3:$AJ$113,Donnees_generations!$A$3:$A$113,MAX(1915,MIN(2025,E179)))))/2</f>
        <v/>
      </c>
      <c r="AI179" s="75">
        <f>(CHOOSE(((AG179+2)-56)/2+1,SUMIFS(Donnees_generations!$U$3:$U$113,Donnees_generations!$A$3:$A$113,MAX(1915,MIN(2025,E179))),SUMIFS(Donnees_generations!$V$3:$V$113,Donnees_generations!$A$3:$A$113,MAX(1915,MIN(2025,E179))),SUMIFS(Donnees_generations!$W$3:$W$113,Donnees_generations!$A$3:$A$113,MAX(1915,MIN(2025,E179))),SUMIFS(Donnees_generations!$X$3:$X$113,Donnees_generations!$A$3:$A$113,MAX(1915,MIN(2025,E179))),SUMIFS(Donnees_generations!$Y$3:$Y$113,Donnees_generations!$A$3:$A$113,MAX(1915,MIN(2025,E179))),SUMIFS(Donnees_generations!$Z$3:$Z$113,Donnees_generations!$A$3:$A$113,MAX(1915,MIN(2025,E179))),SUMIFS(Donnees_generations!$AA$3:$AA$113,Donnees_generations!$A$3:$A$113,MAX(1915,MIN(2025,E179))),SUMIFS(Donnees_generations!$AB$3:$AB$113,Donnees_generations!$A$3:$A$113,MAX(1915,MIN(2025,E179))))+CHOOSE(((AG179+2)-56)/2+1,SUMIFS(Donnees_generations!$AC$3:$AC$113,Donnees_generations!$A$3:$A$113,MAX(1915,MIN(2025,E179))),SUMIFS(Donnees_generations!$AD$3:$AD$113,Donnees_generations!$A$3:$A$113,MAX(1915,MIN(2025,E179))),SUMIFS(Donnees_generations!$AE$3:$AE$113,Donnees_generations!$A$3:$A$113,MAX(1915,MIN(2025,E179))),SUMIFS(Donnees_generations!$AF$3:$AF$113,Donnees_generations!$A$3:$A$113,MAX(1915,MIN(2025,E179))),SUMIFS(Donnees_generations!$AG$3:$AG$113,Donnees_generations!$A$3:$A$113,MAX(1915,MIN(2025,E179))),SUMIFS(Donnees_generations!$AH$3:$AH$113,Donnees_generations!$A$3:$A$113,MAX(1915,MIN(2025,E179))),SUMIFS(Donnees_generations!$AI$3:$AI$113,Donnees_generations!$A$3:$A$113,MAX(1915,MIN(2025,E179))),SUMIFS(Donnees_generations!$AJ$3:$AJ$113,Donnees_generations!$A$3:$A$113,MAX(1915,MIN(2025,E179)))))/2</f>
        <v/>
      </c>
      <c r="AJ179" s="8">
        <f>MAX(0,AH179+(AI179-AH179)*(K179-AG179)/2)</f>
        <v/>
      </c>
      <c r="AK179" s="8">
        <f>K179+AJ179</f>
        <v/>
      </c>
      <c r="AL179" s="14">
        <f>AE179*AJ179</f>
        <v/>
      </c>
      <c r="AM179" s="17">
        <f>V179/AL179</f>
        <v/>
      </c>
      <c r="AN179" s="17">
        <f>Z179/AL179</f>
        <v/>
      </c>
      <c r="AO179" s="33">
        <f>IF(V179+Z179=0,0,Z179/(V179+Z179))</f>
        <v/>
      </c>
      <c r="AP179" s="14">
        <f>AL179/V179*100</f>
        <v/>
      </c>
      <c r="AQ179" s="8">
        <f>P179/AL179*1000</f>
        <v/>
      </c>
      <c r="AR179" s="77">
        <f>MAX(N179,M179-1)</f>
        <v/>
      </c>
      <c r="AS179" s="14">
        <f>SUMIFS(Donnees_regimes!$R$3:$R$1118,Donnees_regimes!$A$3:$A$1118,C179,Donnees_regimes!$B$3:$B$1118,"&gt;="&amp;G179,Donnees_regimes!$B$3:$B$1118,"&lt;="&amp;N179)*L179/ROUNDUP(L179,0)*SUMIFS(Donnees_annuelles!$AG$3:$AG$188,Donnees_annuelles!$A$3:$A$188,AR179)*SUMIFS(Donnees_annuelles!$AA$3:$AA$188,Donnees_annuelles!$A$3:$A$188,AR179)</f>
        <v/>
      </c>
      <c r="AT179" s="36">
        <f>AS179/V179</f>
        <v/>
      </c>
      <c r="AU179" s="14">
        <f>AL179</f>
        <v/>
      </c>
      <c r="AV179" s="39">
        <f>AS179-AL179</f>
        <v/>
      </c>
      <c r="AW179" s="9">
        <f>AS179/AL179-1</f>
        <v/>
      </c>
      <c r="AX179" s="14">
        <f>AS179/AJ179/12</f>
        <v/>
      </c>
      <c r="AY179" s="14">
        <f>AF179</f>
        <v/>
      </c>
      <c r="AZ179" s="39">
        <f>AX179-AF179</f>
        <v/>
      </c>
      <c r="BA179" s="14">
        <f>SUMIFS(Donnees_regimes!$S$3:$S$1118,Donnees_regimes!$A$3:$A$1118,C179,Donnees_regimes!$B$3:$B$1118,"&gt;="&amp;G179,Donnees_regimes!$B$3:$B$1118,"&lt;="&amp;N179)*L179/ROUNDUP(L179,0)*SUMIFS(Donnees_annuelles!$AH$3:$AH$188,Donnees_annuelles!$A$3:$A$188,AR179)*SUMIFS(Donnees_annuelles!$AA$3:$AA$188,Donnees_annuelles!$A$3:$A$188,AR179)</f>
        <v/>
      </c>
      <c r="BB179" s="39">
        <f>BA179-AL179</f>
        <v/>
      </c>
      <c r="BC179" s="7">
        <f>IF(M179+AJ179&gt;2026,IF(G179&gt;2026,"entièrement projeté","en partie projeté"),"observé")</f>
        <v/>
      </c>
    </row>
    <row r="180">
      <c r="A180" s="7" t="inlineStr">
        <is>
          <t>Génération Z</t>
        </is>
      </c>
      <c r="B180" s="84" t="inlineStr">
        <is>
          <t>Fonction publique d'État</t>
        </is>
      </c>
      <c r="C180" s="7">
        <f>IF(G180&gt;=SUMIFS(Regimes!$C$5:$C$10,Regimes!$A$5:$A$10,B180),"Privé",B180)</f>
        <v/>
      </c>
      <c r="D180" s="7">
        <f>INDEX(Regimes!$D$5:$D$10,MATCH(C180,Regimes!$A$5:$A$10,0))</f>
        <v/>
      </c>
      <c r="E180" s="88" t="n">
        <v>2007</v>
      </c>
      <c r="F180" s="8">
        <f>Donnees_generations!C95</f>
        <v/>
      </c>
      <c r="G180" s="77">
        <f>Donnees_generations!D95</f>
        <v/>
      </c>
      <c r="H180" s="8">
        <f>SUMIFS(Donnees_generations!$S$3:$S$113,Donnees_generations!$A$3:$A$113,MAX(1915,MIN(2025,E180)))</f>
        <v/>
      </c>
      <c r="I180" s="8">
        <f>SUMIFS(Donnees_generations!$T$3:$T$113,Donnees_generations!$A$3:$A$113,MAX(1915,MIN(2025,E180)))</f>
        <v/>
      </c>
      <c r="J180" s="8">
        <f>IF(G180&gt;=2000,MAX(I180,Parametres!$B$3),I180)</f>
        <v/>
      </c>
      <c r="K180" s="8">
        <f>IF(C180="Privé",J180,SUMIFS(Regles_regimes!$J$3:$J$2000,Regles_regimes!$A$3:$A$2000,C180,Regles_regimes!$B$3:$B$2000,D180,Regles_regimes!$C$3:$C$2000,MAX(1915,MIN(2025,E180))))</f>
        <v/>
      </c>
      <c r="L180" s="8">
        <f>IF(C180="Privé",H180,(K180-F180)*H180/(J180-F180))</f>
        <v/>
      </c>
      <c r="M180" s="77">
        <f>INT(E180+K180)</f>
        <v/>
      </c>
      <c r="N180" s="77">
        <f>G180+ROUNDUP(L180,0)-1</f>
        <v/>
      </c>
      <c r="O180" s="89">
        <f>SUMIFS(Regles_regimes!$K$3:$K$2000,Regles_regimes!$A$3:$A$2000,C180,Regles_regimes!$B$3:$B$2000,D180,Regles_regimes!$C$3:$C$2000,MAX(1915,MIN(2025,E180)))</f>
        <v/>
      </c>
      <c r="P180" s="13">
        <f>SUMIFS(Donnees_annuelles!$W$3:$W$188,Donnees_annuelles!$A$3:$A$188,"&gt;="&amp;G180,Donnees_annuelles!$A$3:$A$188,"&lt;="&amp;N180)*L180/ROUNDUP(L180,0)*O180</f>
        <v/>
      </c>
      <c r="Q180" s="13">
        <f>SUMIFS(Donnees_annuelles!$V$3:$V$188,Donnees_annuelles!$A$3:$A$188,"&gt;="&amp;G180,Donnees_annuelles!$A$3:$A$188,"&lt;="&amp;N180)*L180/ROUNDUP(L180,0)</f>
        <v/>
      </c>
      <c r="R180" s="13">
        <f>P180/L180</f>
        <v/>
      </c>
      <c r="S180" s="14">
        <f>SUMIFS(Donnees_annuelles!$D$3:$D$188,Donnees_annuelles!$A$3:$A$188,"&gt;="&amp;G180,Donnees_annuelles!$A$3:$A$188,"&lt;="&amp;N180)*L180/ROUNDUP(L180,0)</f>
        <v/>
      </c>
      <c r="T180" s="14">
        <f>SUMIFS(Donnees_regimes!$N$3:$N$1118,Donnees_regimes!$A$3:$A$1118,C180,Donnees_regimes!$B$3:$B$1118,"&gt;="&amp;G180,Donnees_regimes!$B$3:$B$1118,"&lt;="&amp;N180)*L180/ROUNDUP(L180,0)</f>
        <v/>
      </c>
      <c r="U180" s="14">
        <f>SUMIFS(Donnees_regimes!$O$3:$O$1118,Donnees_regimes!$A$3:$A$1118,C180,Donnees_regimes!$B$3:$B$1118,"&gt;="&amp;G180,Donnees_regimes!$B$3:$B$1118,"&lt;="&amp;N180)*L180/ROUNDUP(L180,0)</f>
        <v/>
      </c>
      <c r="V180" s="14">
        <f>T180+U180</f>
        <v/>
      </c>
      <c r="W180" s="33">
        <f>V180/S180</f>
        <v/>
      </c>
      <c r="X180" s="14">
        <f>S180+U180</f>
        <v/>
      </c>
      <c r="Y180" s="17">
        <f>V180/P180</f>
        <v/>
      </c>
      <c r="Z180" s="14">
        <f>SUMIFS(Donnees_regimes!$Q$3:$Q$1118,Donnees_regimes!$A$3:$A$1118,C180,Donnees_regimes!$B$3:$B$1118,"&gt;="&amp;G180,Donnees_regimes!$B$3:$B$1118,"&lt;="&amp;N180)*L180/ROUNDUP(L180,0)</f>
        <v/>
      </c>
      <c r="AA180" s="77">
        <f>SUMIFS(Regles_regimes!$F$3:$F$2000,Regles_regimes!$A$3:$A$2000,C180,Regles_regimes!$B$3:$B$2000,D180,Regles_regimes!$C$3:$C$2000,MAX(1915,MIN(2025,E180)))</f>
        <v/>
      </c>
      <c r="AB180" s="77">
        <f>IF(AND(SUMIFS(Regles_regimes!$L$3:$L$2000,Regles_regimes!$A$3:$A$2000,C180,Regles_regimes!$B$3:$B$2000,D180,Regles_regimes!$C$3:$C$2000,MAX(1915,MIN(2025,E180)))=1,G180&lt;2009,C180&lt;&gt;"Privé"),MIN(20,L180*4/5),0)</f>
        <v/>
      </c>
      <c r="AC180" s="89">
        <f>SUMIFS(Donnees_regimes!$M$3:$M$1118,Donnees_regimes!$A$3:$A$1118,C180,Donnees_regimes!$B$3:$B$1118,M180)</f>
        <v/>
      </c>
      <c r="AD180" s="14">
        <f>SUMIFS(Donnees_annuelles!$Y$3:$Y$188,Donnees_annuelles!$A$3:$A$188,M180)*SUMIFS(Donnees_generations!$I$3:$I$113,Donnees_generations!$A$3:$A$113,MAX(1915,MIN(2025,E180)))/H180</f>
        <v/>
      </c>
      <c r="AE180" s="14">
        <f>IF(C180="Privé",SUMIFS(Donnees_annuelles!$Y$3:$Y$188,Donnees_annuelles!$A$3:$A$188,M180)*MIN(L180,SUMIFS(Donnees_generations!$I$3:$I$113,Donnees_generations!$A$3:$A$113,MAX(1915,MIN(2025,E180))))/L180,AD180*AC180*MIN(IF(AB180&gt;0,0.8/0.75,1),(L180*4+AB180)/AA180))</f>
        <v/>
      </c>
      <c r="AF180" s="14">
        <f>AE180/12</f>
        <v/>
      </c>
      <c r="AG180" s="77">
        <f>MIN(68,MAX(56,2*INT(K180/2)))</f>
        <v/>
      </c>
      <c r="AH180" s="75">
        <f>(CHOOSE((AG180-56)/2+1,SUMIFS(Donnees_generations!$U$3:$U$113,Donnees_generations!$A$3:$A$113,MAX(1915,MIN(2025,E180))),SUMIFS(Donnees_generations!$V$3:$V$113,Donnees_generations!$A$3:$A$113,MAX(1915,MIN(2025,E180))),SUMIFS(Donnees_generations!$W$3:$W$113,Donnees_generations!$A$3:$A$113,MAX(1915,MIN(2025,E180))),SUMIFS(Donnees_generations!$X$3:$X$113,Donnees_generations!$A$3:$A$113,MAX(1915,MIN(2025,E180))),SUMIFS(Donnees_generations!$Y$3:$Y$113,Donnees_generations!$A$3:$A$113,MAX(1915,MIN(2025,E180))),SUMIFS(Donnees_generations!$Z$3:$Z$113,Donnees_generations!$A$3:$A$113,MAX(1915,MIN(2025,E180))),SUMIFS(Donnees_generations!$AA$3:$AA$113,Donnees_generations!$A$3:$A$113,MAX(1915,MIN(2025,E180))),SUMIFS(Donnees_generations!$AB$3:$AB$113,Donnees_generations!$A$3:$A$113,MAX(1915,MIN(2025,E180))))+CHOOSE((AG180-56)/2+1,SUMIFS(Donnees_generations!$AC$3:$AC$113,Donnees_generations!$A$3:$A$113,MAX(1915,MIN(2025,E180))),SUMIFS(Donnees_generations!$AD$3:$AD$113,Donnees_generations!$A$3:$A$113,MAX(1915,MIN(2025,E180))),SUMIFS(Donnees_generations!$AE$3:$AE$113,Donnees_generations!$A$3:$A$113,MAX(1915,MIN(2025,E180))),SUMIFS(Donnees_generations!$AF$3:$AF$113,Donnees_generations!$A$3:$A$113,MAX(1915,MIN(2025,E180))),SUMIFS(Donnees_generations!$AG$3:$AG$113,Donnees_generations!$A$3:$A$113,MAX(1915,MIN(2025,E180))),SUMIFS(Donnees_generations!$AH$3:$AH$113,Donnees_generations!$A$3:$A$113,MAX(1915,MIN(2025,E180))),SUMIFS(Donnees_generations!$AI$3:$AI$113,Donnees_generations!$A$3:$A$113,MAX(1915,MIN(2025,E180))),SUMIFS(Donnees_generations!$AJ$3:$AJ$113,Donnees_generations!$A$3:$A$113,MAX(1915,MIN(2025,E180)))))/2</f>
        <v/>
      </c>
      <c r="AI180" s="75">
        <f>(CHOOSE(((AG180+2)-56)/2+1,SUMIFS(Donnees_generations!$U$3:$U$113,Donnees_generations!$A$3:$A$113,MAX(1915,MIN(2025,E180))),SUMIFS(Donnees_generations!$V$3:$V$113,Donnees_generations!$A$3:$A$113,MAX(1915,MIN(2025,E180))),SUMIFS(Donnees_generations!$W$3:$W$113,Donnees_generations!$A$3:$A$113,MAX(1915,MIN(2025,E180))),SUMIFS(Donnees_generations!$X$3:$X$113,Donnees_generations!$A$3:$A$113,MAX(1915,MIN(2025,E180))),SUMIFS(Donnees_generations!$Y$3:$Y$113,Donnees_generations!$A$3:$A$113,MAX(1915,MIN(2025,E180))),SUMIFS(Donnees_generations!$Z$3:$Z$113,Donnees_generations!$A$3:$A$113,MAX(1915,MIN(2025,E180))),SUMIFS(Donnees_generations!$AA$3:$AA$113,Donnees_generations!$A$3:$A$113,MAX(1915,MIN(2025,E180))),SUMIFS(Donnees_generations!$AB$3:$AB$113,Donnees_generations!$A$3:$A$113,MAX(1915,MIN(2025,E180))))+CHOOSE(((AG180+2)-56)/2+1,SUMIFS(Donnees_generations!$AC$3:$AC$113,Donnees_generations!$A$3:$A$113,MAX(1915,MIN(2025,E180))),SUMIFS(Donnees_generations!$AD$3:$AD$113,Donnees_generations!$A$3:$A$113,MAX(1915,MIN(2025,E180))),SUMIFS(Donnees_generations!$AE$3:$AE$113,Donnees_generations!$A$3:$A$113,MAX(1915,MIN(2025,E180))),SUMIFS(Donnees_generations!$AF$3:$AF$113,Donnees_generations!$A$3:$A$113,MAX(1915,MIN(2025,E180))),SUMIFS(Donnees_generations!$AG$3:$AG$113,Donnees_generations!$A$3:$A$113,MAX(1915,MIN(2025,E180))),SUMIFS(Donnees_generations!$AH$3:$AH$113,Donnees_generations!$A$3:$A$113,MAX(1915,MIN(2025,E180))),SUMIFS(Donnees_generations!$AI$3:$AI$113,Donnees_generations!$A$3:$A$113,MAX(1915,MIN(2025,E180))),SUMIFS(Donnees_generations!$AJ$3:$AJ$113,Donnees_generations!$A$3:$A$113,MAX(1915,MIN(2025,E180)))))/2</f>
        <v/>
      </c>
      <c r="AJ180" s="8">
        <f>MAX(0,AH180+(AI180-AH180)*(K180-AG180)/2)</f>
        <v/>
      </c>
      <c r="AK180" s="8">
        <f>K180+AJ180</f>
        <v/>
      </c>
      <c r="AL180" s="14">
        <f>AE180*AJ180</f>
        <v/>
      </c>
      <c r="AM180" s="17">
        <f>V180/AL180</f>
        <v/>
      </c>
      <c r="AN180" s="17">
        <f>Z180/AL180</f>
        <v/>
      </c>
      <c r="AO180" s="33">
        <f>IF(V180+Z180=0,0,Z180/(V180+Z180))</f>
        <v/>
      </c>
      <c r="AP180" s="14">
        <f>AL180/V180*100</f>
        <v/>
      </c>
      <c r="AQ180" s="8">
        <f>P180/AL180*1000</f>
        <v/>
      </c>
      <c r="AR180" s="77">
        <f>MAX(N180,M180-1)</f>
        <v/>
      </c>
      <c r="AS180" s="14">
        <f>SUMIFS(Donnees_regimes!$R$3:$R$1118,Donnees_regimes!$A$3:$A$1118,C180,Donnees_regimes!$B$3:$B$1118,"&gt;="&amp;G180,Donnees_regimes!$B$3:$B$1118,"&lt;="&amp;N180)*L180/ROUNDUP(L180,0)*SUMIFS(Donnees_annuelles!$AG$3:$AG$188,Donnees_annuelles!$A$3:$A$188,AR180)*SUMIFS(Donnees_annuelles!$AA$3:$AA$188,Donnees_annuelles!$A$3:$A$188,AR180)</f>
        <v/>
      </c>
      <c r="AT180" s="36">
        <f>AS180/V180</f>
        <v/>
      </c>
      <c r="AU180" s="14">
        <f>AL180</f>
        <v/>
      </c>
      <c r="AV180" s="39">
        <f>AS180-AL180</f>
        <v/>
      </c>
      <c r="AW180" s="9">
        <f>AS180/AL180-1</f>
        <v/>
      </c>
      <c r="AX180" s="14">
        <f>AS180/AJ180/12</f>
        <v/>
      </c>
      <c r="AY180" s="14">
        <f>AF180</f>
        <v/>
      </c>
      <c r="AZ180" s="39">
        <f>AX180-AF180</f>
        <v/>
      </c>
      <c r="BA180" s="14">
        <f>SUMIFS(Donnees_regimes!$S$3:$S$1118,Donnees_regimes!$A$3:$A$1118,C180,Donnees_regimes!$B$3:$B$1118,"&gt;="&amp;G180,Donnees_regimes!$B$3:$B$1118,"&lt;="&amp;N180)*L180/ROUNDUP(L180,0)*SUMIFS(Donnees_annuelles!$AH$3:$AH$188,Donnees_annuelles!$A$3:$A$188,AR180)*SUMIFS(Donnees_annuelles!$AA$3:$AA$188,Donnees_annuelles!$A$3:$A$188,AR180)</f>
        <v/>
      </c>
      <c r="BB180" s="39">
        <f>BA180-AL180</f>
        <v/>
      </c>
      <c r="BC180" s="7">
        <f>IF(M180+AJ180&gt;2026,IF(G180&gt;2026,"entièrement projeté","en partie projeté"),"observé")</f>
        <v/>
      </c>
    </row>
    <row r="181">
      <c r="A181" s="7" t="inlineStr">
        <is>
          <t>Génération Z</t>
        </is>
      </c>
      <c r="B181" s="84" t="inlineStr">
        <is>
          <t>Fonction publique d'État</t>
        </is>
      </c>
      <c r="C181" s="7">
        <f>IF(G181&gt;=SUMIFS(Regimes!$C$5:$C$10,Regimes!$A$5:$A$10,B181),"Privé",B181)</f>
        <v/>
      </c>
      <c r="D181" s="7">
        <f>INDEX(Regimes!$D$5:$D$10,MATCH(C181,Regimes!$A$5:$A$10,0))</f>
        <v/>
      </c>
      <c r="E181" s="88" t="n">
        <v>2008</v>
      </c>
      <c r="F181" s="8">
        <f>Donnees_generations!C96</f>
        <v/>
      </c>
      <c r="G181" s="77">
        <f>Donnees_generations!D96</f>
        <v/>
      </c>
      <c r="H181" s="8">
        <f>SUMIFS(Donnees_generations!$S$3:$S$113,Donnees_generations!$A$3:$A$113,MAX(1915,MIN(2025,E181)))</f>
        <v/>
      </c>
      <c r="I181" s="8">
        <f>SUMIFS(Donnees_generations!$T$3:$T$113,Donnees_generations!$A$3:$A$113,MAX(1915,MIN(2025,E181)))</f>
        <v/>
      </c>
      <c r="J181" s="8">
        <f>IF(G181&gt;=2000,MAX(I181,Parametres!$B$3),I181)</f>
        <v/>
      </c>
      <c r="K181" s="8">
        <f>IF(C181="Privé",J181,SUMIFS(Regles_regimes!$J$3:$J$2000,Regles_regimes!$A$3:$A$2000,C181,Regles_regimes!$B$3:$B$2000,D181,Regles_regimes!$C$3:$C$2000,MAX(1915,MIN(2025,E181))))</f>
        <v/>
      </c>
      <c r="L181" s="8">
        <f>IF(C181="Privé",H181,(K181-F181)*H181/(J181-F181))</f>
        <v/>
      </c>
      <c r="M181" s="77">
        <f>INT(E181+K181)</f>
        <v/>
      </c>
      <c r="N181" s="77">
        <f>G181+ROUNDUP(L181,0)-1</f>
        <v/>
      </c>
      <c r="O181" s="89">
        <f>SUMIFS(Regles_regimes!$K$3:$K$2000,Regles_regimes!$A$3:$A$2000,C181,Regles_regimes!$B$3:$B$2000,D181,Regles_regimes!$C$3:$C$2000,MAX(1915,MIN(2025,E181)))</f>
        <v/>
      </c>
      <c r="P181" s="13">
        <f>SUMIFS(Donnees_annuelles!$W$3:$W$188,Donnees_annuelles!$A$3:$A$188,"&gt;="&amp;G181,Donnees_annuelles!$A$3:$A$188,"&lt;="&amp;N181)*L181/ROUNDUP(L181,0)*O181</f>
        <v/>
      </c>
      <c r="Q181" s="13">
        <f>SUMIFS(Donnees_annuelles!$V$3:$V$188,Donnees_annuelles!$A$3:$A$188,"&gt;="&amp;G181,Donnees_annuelles!$A$3:$A$188,"&lt;="&amp;N181)*L181/ROUNDUP(L181,0)</f>
        <v/>
      </c>
      <c r="R181" s="13">
        <f>P181/L181</f>
        <v/>
      </c>
      <c r="S181" s="14">
        <f>SUMIFS(Donnees_annuelles!$D$3:$D$188,Donnees_annuelles!$A$3:$A$188,"&gt;="&amp;G181,Donnees_annuelles!$A$3:$A$188,"&lt;="&amp;N181)*L181/ROUNDUP(L181,0)</f>
        <v/>
      </c>
      <c r="T181" s="14">
        <f>SUMIFS(Donnees_regimes!$N$3:$N$1118,Donnees_regimes!$A$3:$A$1118,C181,Donnees_regimes!$B$3:$B$1118,"&gt;="&amp;G181,Donnees_regimes!$B$3:$B$1118,"&lt;="&amp;N181)*L181/ROUNDUP(L181,0)</f>
        <v/>
      </c>
      <c r="U181" s="14">
        <f>SUMIFS(Donnees_regimes!$O$3:$O$1118,Donnees_regimes!$A$3:$A$1118,C181,Donnees_regimes!$B$3:$B$1118,"&gt;="&amp;G181,Donnees_regimes!$B$3:$B$1118,"&lt;="&amp;N181)*L181/ROUNDUP(L181,0)</f>
        <v/>
      </c>
      <c r="V181" s="14">
        <f>T181+U181</f>
        <v/>
      </c>
      <c r="W181" s="33">
        <f>V181/S181</f>
        <v/>
      </c>
      <c r="X181" s="14">
        <f>S181+U181</f>
        <v/>
      </c>
      <c r="Y181" s="17">
        <f>V181/P181</f>
        <v/>
      </c>
      <c r="Z181" s="14">
        <f>SUMIFS(Donnees_regimes!$Q$3:$Q$1118,Donnees_regimes!$A$3:$A$1118,C181,Donnees_regimes!$B$3:$B$1118,"&gt;="&amp;G181,Donnees_regimes!$B$3:$B$1118,"&lt;="&amp;N181)*L181/ROUNDUP(L181,0)</f>
        <v/>
      </c>
      <c r="AA181" s="77">
        <f>SUMIFS(Regles_regimes!$F$3:$F$2000,Regles_regimes!$A$3:$A$2000,C181,Regles_regimes!$B$3:$B$2000,D181,Regles_regimes!$C$3:$C$2000,MAX(1915,MIN(2025,E181)))</f>
        <v/>
      </c>
      <c r="AB181" s="77">
        <f>IF(AND(SUMIFS(Regles_regimes!$L$3:$L$2000,Regles_regimes!$A$3:$A$2000,C181,Regles_regimes!$B$3:$B$2000,D181,Regles_regimes!$C$3:$C$2000,MAX(1915,MIN(2025,E181)))=1,G181&lt;2009,C181&lt;&gt;"Privé"),MIN(20,L181*4/5),0)</f>
        <v/>
      </c>
      <c r="AC181" s="89">
        <f>SUMIFS(Donnees_regimes!$M$3:$M$1118,Donnees_regimes!$A$3:$A$1118,C181,Donnees_regimes!$B$3:$B$1118,M181)</f>
        <v/>
      </c>
      <c r="AD181" s="14">
        <f>SUMIFS(Donnees_annuelles!$Y$3:$Y$188,Donnees_annuelles!$A$3:$A$188,M181)*SUMIFS(Donnees_generations!$I$3:$I$113,Donnees_generations!$A$3:$A$113,MAX(1915,MIN(2025,E181)))/H181</f>
        <v/>
      </c>
      <c r="AE181" s="14">
        <f>IF(C181="Privé",SUMIFS(Donnees_annuelles!$Y$3:$Y$188,Donnees_annuelles!$A$3:$A$188,M181)*MIN(L181,SUMIFS(Donnees_generations!$I$3:$I$113,Donnees_generations!$A$3:$A$113,MAX(1915,MIN(2025,E181))))/L181,AD181*AC181*MIN(IF(AB181&gt;0,0.8/0.75,1),(L181*4+AB181)/AA181))</f>
        <v/>
      </c>
      <c r="AF181" s="14">
        <f>AE181/12</f>
        <v/>
      </c>
      <c r="AG181" s="77">
        <f>MIN(68,MAX(56,2*INT(K181/2)))</f>
        <v/>
      </c>
      <c r="AH181" s="75">
        <f>(CHOOSE((AG181-56)/2+1,SUMIFS(Donnees_generations!$U$3:$U$113,Donnees_generations!$A$3:$A$113,MAX(1915,MIN(2025,E181))),SUMIFS(Donnees_generations!$V$3:$V$113,Donnees_generations!$A$3:$A$113,MAX(1915,MIN(2025,E181))),SUMIFS(Donnees_generations!$W$3:$W$113,Donnees_generations!$A$3:$A$113,MAX(1915,MIN(2025,E181))),SUMIFS(Donnees_generations!$X$3:$X$113,Donnees_generations!$A$3:$A$113,MAX(1915,MIN(2025,E181))),SUMIFS(Donnees_generations!$Y$3:$Y$113,Donnees_generations!$A$3:$A$113,MAX(1915,MIN(2025,E181))),SUMIFS(Donnees_generations!$Z$3:$Z$113,Donnees_generations!$A$3:$A$113,MAX(1915,MIN(2025,E181))),SUMIFS(Donnees_generations!$AA$3:$AA$113,Donnees_generations!$A$3:$A$113,MAX(1915,MIN(2025,E181))),SUMIFS(Donnees_generations!$AB$3:$AB$113,Donnees_generations!$A$3:$A$113,MAX(1915,MIN(2025,E181))))+CHOOSE((AG181-56)/2+1,SUMIFS(Donnees_generations!$AC$3:$AC$113,Donnees_generations!$A$3:$A$113,MAX(1915,MIN(2025,E181))),SUMIFS(Donnees_generations!$AD$3:$AD$113,Donnees_generations!$A$3:$A$113,MAX(1915,MIN(2025,E181))),SUMIFS(Donnees_generations!$AE$3:$AE$113,Donnees_generations!$A$3:$A$113,MAX(1915,MIN(2025,E181))),SUMIFS(Donnees_generations!$AF$3:$AF$113,Donnees_generations!$A$3:$A$113,MAX(1915,MIN(2025,E181))),SUMIFS(Donnees_generations!$AG$3:$AG$113,Donnees_generations!$A$3:$A$113,MAX(1915,MIN(2025,E181))),SUMIFS(Donnees_generations!$AH$3:$AH$113,Donnees_generations!$A$3:$A$113,MAX(1915,MIN(2025,E181))),SUMIFS(Donnees_generations!$AI$3:$AI$113,Donnees_generations!$A$3:$A$113,MAX(1915,MIN(2025,E181))),SUMIFS(Donnees_generations!$AJ$3:$AJ$113,Donnees_generations!$A$3:$A$113,MAX(1915,MIN(2025,E181)))))/2</f>
        <v/>
      </c>
      <c r="AI181" s="75">
        <f>(CHOOSE(((AG181+2)-56)/2+1,SUMIFS(Donnees_generations!$U$3:$U$113,Donnees_generations!$A$3:$A$113,MAX(1915,MIN(2025,E181))),SUMIFS(Donnees_generations!$V$3:$V$113,Donnees_generations!$A$3:$A$113,MAX(1915,MIN(2025,E181))),SUMIFS(Donnees_generations!$W$3:$W$113,Donnees_generations!$A$3:$A$113,MAX(1915,MIN(2025,E181))),SUMIFS(Donnees_generations!$X$3:$X$113,Donnees_generations!$A$3:$A$113,MAX(1915,MIN(2025,E181))),SUMIFS(Donnees_generations!$Y$3:$Y$113,Donnees_generations!$A$3:$A$113,MAX(1915,MIN(2025,E181))),SUMIFS(Donnees_generations!$Z$3:$Z$113,Donnees_generations!$A$3:$A$113,MAX(1915,MIN(2025,E181))),SUMIFS(Donnees_generations!$AA$3:$AA$113,Donnees_generations!$A$3:$A$113,MAX(1915,MIN(2025,E181))),SUMIFS(Donnees_generations!$AB$3:$AB$113,Donnees_generations!$A$3:$A$113,MAX(1915,MIN(2025,E181))))+CHOOSE(((AG181+2)-56)/2+1,SUMIFS(Donnees_generations!$AC$3:$AC$113,Donnees_generations!$A$3:$A$113,MAX(1915,MIN(2025,E181))),SUMIFS(Donnees_generations!$AD$3:$AD$113,Donnees_generations!$A$3:$A$113,MAX(1915,MIN(2025,E181))),SUMIFS(Donnees_generations!$AE$3:$AE$113,Donnees_generations!$A$3:$A$113,MAX(1915,MIN(2025,E181))),SUMIFS(Donnees_generations!$AF$3:$AF$113,Donnees_generations!$A$3:$A$113,MAX(1915,MIN(2025,E181))),SUMIFS(Donnees_generations!$AG$3:$AG$113,Donnees_generations!$A$3:$A$113,MAX(1915,MIN(2025,E181))),SUMIFS(Donnees_generations!$AH$3:$AH$113,Donnees_generations!$A$3:$A$113,MAX(1915,MIN(2025,E181))),SUMIFS(Donnees_generations!$AI$3:$AI$113,Donnees_generations!$A$3:$A$113,MAX(1915,MIN(2025,E181))),SUMIFS(Donnees_generations!$AJ$3:$AJ$113,Donnees_generations!$A$3:$A$113,MAX(1915,MIN(2025,E181)))))/2</f>
        <v/>
      </c>
      <c r="AJ181" s="8">
        <f>MAX(0,AH181+(AI181-AH181)*(K181-AG181)/2)</f>
        <v/>
      </c>
      <c r="AK181" s="8">
        <f>K181+AJ181</f>
        <v/>
      </c>
      <c r="AL181" s="14">
        <f>AE181*AJ181</f>
        <v/>
      </c>
      <c r="AM181" s="17">
        <f>V181/AL181</f>
        <v/>
      </c>
      <c r="AN181" s="17">
        <f>Z181/AL181</f>
        <v/>
      </c>
      <c r="AO181" s="33">
        <f>IF(V181+Z181=0,0,Z181/(V181+Z181))</f>
        <v/>
      </c>
      <c r="AP181" s="14">
        <f>AL181/V181*100</f>
        <v/>
      </c>
      <c r="AQ181" s="8">
        <f>P181/AL181*1000</f>
        <v/>
      </c>
      <c r="AR181" s="77">
        <f>MAX(N181,M181-1)</f>
        <v/>
      </c>
      <c r="AS181" s="14">
        <f>SUMIFS(Donnees_regimes!$R$3:$R$1118,Donnees_regimes!$A$3:$A$1118,C181,Donnees_regimes!$B$3:$B$1118,"&gt;="&amp;G181,Donnees_regimes!$B$3:$B$1118,"&lt;="&amp;N181)*L181/ROUNDUP(L181,0)*SUMIFS(Donnees_annuelles!$AG$3:$AG$188,Donnees_annuelles!$A$3:$A$188,AR181)*SUMIFS(Donnees_annuelles!$AA$3:$AA$188,Donnees_annuelles!$A$3:$A$188,AR181)</f>
        <v/>
      </c>
      <c r="AT181" s="36">
        <f>AS181/V181</f>
        <v/>
      </c>
      <c r="AU181" s="14">
        <f>AL181</f>
        <v/>
      </c>
      <c r="AV181" s="39">
        <f>AS181-AL181</f>
        <v/>
      </c>
      <c r="AW181" s="9">
        <f>AS181/AL181-1</f>
        <v/>
      </c>
      <c r="AX181" s="14">
        <f>AS181/AJ181/12</f>
        <v/>
      </c>
      <c r="AY181" s="14">
        <f>AF181</f>
        <v/>
      </c>
      <c r="AZ181" s="39">
        <f>AX181-AF181</f>
        <v/>
      </c>
      <c r="BA181" s="14">
        <f>SUMIFS(Donnees_regimes!$S$3:$S$1118,Donnees_regimes!$A$3:$A$1118,C181,Donnees_regimes!$B$3:$B$1118,"&gt;="&amp;G181,Donnees_regimes!$B$3:$B$1118,"&lt;="&amp;N181)*L181/ROUNDUP(L181,0)*SUMIFS(Donnees_annuelles!$AH$3:$AH$188,Donnees_annuelles!$A$3:$A$188,AR181)*SUMIFS(Donnees_annuelles!$AA$3:$AA$188,Donnees_annuelles!$A$3:$A$188,AR181)</f>
        <v/>
      </c>
      <c r="BB181" s="39">
        <f>BA181-AL181</f>
        <v/>
      </c>
      <c r="BC181" s="7">
        <f>IF(M181+AJ181&gt;2026,IF(G181&gt;2026,"entièrement projeté","en partie projeté"),"observé")</f>
        <v/>
      </c>
    </row>
    <row r="182">
      <c r="A182" s="7" t="inlineStr">
        <is>
          <t>Génération Z</t>
        </is>
      </c>
      <c r="B182" s="84" t="inlineStr">
        <is>
          <t>Fonction publique d'État</t>
        </is>
      </c>
      <c r="C182" s="7">
        <f>IF(G182&gt;=SUMIFS(Regimes!$C$5:$C$10,Regimes!$A$5:$A$10,B182),"Privé",B182)</f>
        <v/>
      </c>
      <c r="D182" s="7">
        <f>INDEX(Regimes!$D$5:$D$10,MATCH(C182,Regimes!$A$5:$A$10,0))</f>
        <v/>
      </c>
      <c r="E182" s="88" t="n">
        <v>2009</v>
      </c>
      <c r="F182" s="8">
        <f>Donnees_generations!C97</f>
        <v/>
      </c>
      <c r="G182" s="77">
        <f>Donnees_generations!D97</f>
        <v/>
      </c>
      <c r="H182" s="8">
        <f>SUMIFS(Donnees_generations!$S$3:$S$113,Donnees_generations!$A$3:$A$113,MAX(1915,MIN(2025,E182)))</f>
        <v/>
      </c>
      <c r="I182" s="8">
        <f>SUMIFS(Donnees_generations!$T$3:$T$113,Donnees_generations!$A$3:$A$113,MAX(1915,MIN(2025,E182)))</f>
        <v/>
      </c>
      <c r="J182" s="8">
        <f>IF(G182&gt;=2000,MAX(I182,Parametres!$B$3),I182)</f>
        <v/>
      </c>
      <c r="K182" s="8">
        <f>IF(C182="Privé",J182,SUMIFS(Regles_regimes!$J$3:$J$2000,Regles_regimes!$A$3:$A$2000,C182,Regles_regimes!$B$3:$B$2000,D182,Regles_regimes!$C$3:$C$2000,MAX(1915,MIN(2025,E182))))</f>
        <v/>
      </c>
      <c r="L182" s="8">
        <f>IF(C182="Privé",H182,(K182-F182)*H182/(J182-F182))</f>
        <v/>
      </c>
      <c r="M182" s="77">
        <f>INT(E182+K182)</f>
        <v/>
      </c>
      <c r="N182" s="77">
        <f>G182+ROUNDUP(L182,0)-1</f>
        <v/>
      </c>
      <c r="O182" s="89">
        <f>SUMIFS(Regles_regimes!$K$3:$K$2000,Regles_regimes!$A$3:$A$2000,C182,Regles_regimes!$B$3:$B$2000,D182,Regles_regimes!$C$3:$C$2000,MAX(1915,MIN(2025,E182)))</f>
        <v/>
      </c>
      <c r="P182" s="13">
        <f>SUMIFS(Donnees_annuelles!$W$3:$W$188,Donnees_annuelles!$A$3:$A$188,"&gt;="&amp;G182,Donnees_annuelles!$A$3:$A$188,"&lt;="&amp;N182)*L182/ROUNDUP(L182,0)*O182</f>
        <v/>
      </c>
      <c r="Q182" s="13">
        <f>SUMIFS(Donnees_annuelles!$V$3:$V$188,Donnees_annuelles!$A$3:$A$188,"&gt;="&amp;G182,Donnees_annuelles!$A$3:$A$188,"&lt;="&amp;N182)*L182/ROUNDUP(L182,0)</f>
        <v/>
      </c>
      <c r="R182" s="13">
        <f>P182/L182</f>
        <v/>
      </c>
      <c r="S182" s="14">
        <f>SUMIFS(Donnees_annuelles!$D$3:$D$188,Donnees_annuelles!$A$3:$A$188,"&gt;="&amp;G182,Donnees_annuelles!$A$3:$A$188,"&lt;="&amp;N182)*L182/ROUNDUP(L182,0)</f>
        <v/>
      </c>
      <c r="T182" s="14">
        <f>SUMIFS(Donnees_regimes!$N$3:$N$1118,Donnees_regimes!$A$3:$A$1118,C182,Donnees_regimes!$B$3:$B$1118,"&gt;="&amp;G182,Donnees_regimes!$B$3:$B$1118,"&lt;="&amp;N182)*L182/ROUNDUP(L182,0)</f>
        <v/>
      </c>
      <c r="U182" s="14">
        <f>SUMIFS(Donnees_regimes!$O$3:$O$1118,Donnees_regimes!$A$3:$A$1118,C182,Donnees_regimes!$B$3:$B$1118,"&gt;="&amp;G182,Donnees_regimes!$B$3:$B$1118,"&lt;="&amp;N182)*L182/ROUNDUP(L182,0)</f>
        <v/>
      </c>
      <c r="V182" s="14">
        <f>T182+U182</f>
        <v/>
      </c>
      <c r="W182" s="33">
        <f>V182/S182</f>
        <v/>
      </c>
      <c r="X182" s="14">
        <f>S182+U182</f>
        <v/>
      </c>
      <c r="Y182" s="17">
        <f>V182/P182</f>
        <v/>
      </c>
      <c r="Z182" s="14">
        <f>SUMIFS(Donnees_regimes!$Q$3:$Q$1118,Donnees_regimes!$A$3:$A$1118,C182,Donnees_regimes!$B$3:$B$1118,"&gt;="&amp;G182,Donnees_regimes!$B$3:$B$1118,"&lt;="&amp;N182)*L182/ROUNDUP(L182,0)</f>
        <v/>
      </c>
      <c r="AA182" s="77">
        <f>SUMIFS(Regles_regimes!$F$3:$F$2000,Regles_regimes!$A$3:$A$2000,C182,Regles_regimes!$B$3:$B$2000,D182,Regles_regimes!$C$3:$C$2000,MAX(1915,MIN(2025,E182)))</f>
        <v/>
      </c>
      <c r="AB182" s="77">
        <f>IF(AND(SUMIFS(Regles_regimes!$L$3:$L$2000,Regles_regimes!$A$3:$A$2000,C182,Regles_regimes!$B$3:$B$2000,D182,Regles_regimes!$C$3:$C$2000,MAX(1915,MIN(2025,E182)))=1,G182&lt;2009,C182&lt;&gt;"Privé"),MIN(20,L182*4/5),0)</f>
        <v/>
      </c>
      <c r="AC182" s="89">
        <f>SUMIFS(Donnees_regimes!$M$3:$M$1118,Donnees_regimes!$A$3:$A$1118,C182,Donnees_regimes!$B$3:$B$1118,M182)</f>
        <v/>
      </c>
      <c r="AD182" s="14">
        <f>SUMIFS(Donnees_annuelles!$Y$3:$Y$188,Donnees_annuelles!$A$3:$A$188,M182)*SUMIFS(Donnees_generations!$I$3:$I$113,Donnees_generations!$A$3:$A$113,MAX(1915,MIN(2025,E182)))/H182</f>
        <v/>
      </c>
      <c r="AE182" s="14">
        <f>IF(C182="Privé",SUMIFS(Donnees_annuelles!$Y$3:$Y$188,Donnees_annuelles!$A$3:$A$188,M182)*MIN(L182,SUMIFS(Donnees_generations!$I$3:$I$113,Donnees_generations!$A$3:$A$113,MAX(1915,MIN(2025,E182))))/L182,AD182*AC182*MIN(IF(AB182&gt;0,0.8/0.75,1),(L182*4+AB182)/AA182))</f>
        <v/>
      </c>
      <c r="AF182" s="14">
        <f>AE182/12</f>
        <v/>
      </c>
      <c r="AG182" s="77">
        <f>MIN(68,MAX(56,2*INT(K182/2)))</f>
        <v/>
      </c>
      <c r="AH182" s="75">
        <f>(CHOOSE((AG182-56)/2+1,SUMIFS(Donnees_generations!$U$3:$U$113,Donnees_generations!$A$3:$A$113,MAX(1915,MIN(2025,E182))),SUMIFS(Donnees_generations!$V$3:$V$113,Donnees_generations!$A$3:$A$113,MAX(1915,MIN(2025,E182))),SUMIFS(Donnees_generations!$W$3:$W$113,Donnees_generations!$A$3:$A$113,MAX(1915,MIN(2025,E182))),SUMIFS(Donnees_generations!$X$3:$X$113,Donnees_generations!$A$3:$A$113,MAX(1915,MIN(2025,E182))),SUMIFS(Donnees_generations!$Y$3:$Y$113,Donnees_generations!$A$3:$A$113,MAX(1915,MIN(2025,E182))),SUMIFS(Donnees_generations!$Z$3:$Z$113,Donnees_generations!$A$3:$A$113,MAX(1915,MIN(2025,E182))),SUMIFS(Donnees_generations!$AA$3:$AA$113,Donnees_generations!$A$3:$A$113,MAX(1915,MIN(2025,E182))),SUMIFS(Donnees_generations!$AB$3:$AB$113,Donnees_generations!$A$3:$A$113,MAX(1915,MIN(2025,E182))))+CHOOSE((AG182-56)/2+1,SUMIFS(Donnees_generations!$AC$3:$AC$113,Donnees_generations!$A$3:$A$113,MAX(1915,MIN(2025,E182))),SUMIFS(Donnees_generations!$AD$3:$AD$113,Donnees_generations!$A$3:$A$113,MAX(1915,MIN(2025,E182))),SUMIFS(Donnees_generations!$AE$3:$AE$113,Donnees_generations!$A$3:$A$113,MAX(1915,MIN(2025,E182))),SUMIFS(Donnees_generations!$AF$3:$AF$113,Donnees_generations!$A$3:$A$113,MAX(1915,MIN(2025,E182))),SUMIFS(Donnees_generations!$AG$3:$AG$113,Donnees_generations!$A$3:$A$113,MAX(1915,MIN(2025,E182))),SUMIFS(Donnees_generations!$AH$3:$AH$113,Donnees_generations!$A$3:$A$113,MAX(1915,MIN(2025,E182))),SUMIFS(Donnees_generations!$AI$3:$AI$113,Donnees_generations!$A$3:$A$113,MAX(1915,MIN(2025,E182))),SUMIFS(Donnees_generations!$AJ$3:$AJ$113,Donnees_generations!$A$3:$A$113,MAX(1915,MIN(2025,E182)))))/2</f>
        <v/>
      </c>
      <c r="AI182" s="75">
        <f>(CHOOSE(((AG182+2)-56)/2+1,SUMIFS(Donnees_generations!$U$3:$U$113,Donnees_generations!$A$3:$A$113,MAX(1915,MIN(2025,E182))),SUMIFS(Donnees_generations!$V$3:$V$113,Donnees_generations!$A$3:$A$113,MAX(1915,MIN(2025,E182))),SUMIFS(Donnees_generations!$W$3:$W$113,Donnees_generations!$A$3:$A$113,MAX(1915,MIN(2025,E182))),SUMIFS(Donnees_generations!$X$3:$X$113,Donnees_generations!$A$3:$A$113,MAX(1915,MIN(2025,E182))),SUMIFS(Donnees_generations!$Y$3:$Y$113,Donnees_generations!$A$3:$A$113,MAX(1915,MIN(2025,E182))),SUMIFS(Donnees_generations!$Z$3:$Z$113,Donnees_generations!$A$3:$A$113,MAX(1915,MIN(2025,E182))),SUMIFS(Donnees_generations!$AA$3:$AA$113,Donnees_generations!$A$3:$A$113,MAX(1915,MIN(2025,E182))),SUMIFS(Donnees_generations!$AB$3:$AB$113,Donnees_generations!$A$3:$A$113,MAX(1915,MIN(2025,E182))))+CHOOSE(((AG182+2)-56)/2+1,SUMIFS(Donnees_generations!$AC$3:$AC$113,Donnees_generations!$A$3:$A$113,MAX(1915,MIN(2025,E182))),SUMIFS(Donnees_generations!$AD$3:$AD$113,Donnees_generations!$A$3:$A$113,MAX(1915,MIN(2025,E182))),SUMIFS(Donnees_generations!$AE$3:$AE$113,Donnees_generations!$A$3:$A$113,MAX(1915,MIN(2025,E182))),SUMIFS(Donnees_generations!$AF$3:$AF$113,Donnees_generations!$A$3:$A$113,MAX(1915,MIN(2025,E182))),SUMIFS(Donnees_generations!$AG$3:$AG$113,Donnees_generations!$A$3:$A$113,MAX(1915,MIN(2025,E182))),SUMIFS(Donnees_generations!$AH$3:$AH$113,Donnees_generations!$A$3:$A$113,MAX(1915,MIN(2025,E182))),SUMIFS(Donnees_generations!$AI$3:$AI$113,Donnees_generations!$A$3:$A$113,MAX(1915,MIN(2025,E182))),SUMIFS(Donnees_generations!$AJ$3:$AJ$113,Donnees_generations!$A$3:$A$113,MAX(1915,MIN(2025,E182)))))/2</f>
        <v/>
      </c>
      <c r="AJ182" s="8">
        <f>MAX(0,AH182+(AI182-AH182)*(K182-AG182)/2)</f>
        <v/>
      </c>
      <c r="AK182" s="8">
        <f>K182+AJ182</f>
        <v/>
      </c>
      <c r="AL182" s="14">
        <f>AE182*AJ182</f>
        <v/>
      </c>
      <c r="AM182" s="17">
        <f>V182/AL182</f>
        <v/>
      </c>
      <c r="AN182" s="17">
        <f>Z182/AL182</f>
        <v/>
      </c>
      <c r="AO182" s="33">
        <f>IF(V182+Z182=0,0,Z182/(V182+Z182))</f>
        <v/>
      </c>
      <c r="AP182" s="14">
        <f>AL182/V182*100</f>
        <v/>
      </c>
      <c r="AQ182" s="8">
        <f>P182/AL182*1000</f>
        <v/>
      </c>
      <c r="AR182" s="77">
        <f>MAX(N182,M182-1)</f>
        <v/>
      </c>
      <c r="AS182" s="14">
        <f>SUMIFS(Donnees_regimes!$R$3:$R$1118,Donnees_regimes!$A$3:$A$1118,C182,Donnees_regimes!$B$3:$B$1118,"&gt;="&amp;G182,Donnees_regimes!$B$3:$B$1118,"&lt;="&amp;N182)*L182/ROUNDUP(L182,0)*SUMIFS(Donnees_annuelles!$AG$3:$AG$188,Donnees_annuelles!$A$3:$A$188,AR182)*SUMIFS(Donnees_annuelles!$AA$3:$AA$188,Donnees_annuelles!$A$3:$A$188,AR182)</f>
        <v/>
      </c>
      <c r="AT182" s="36">
        <f>AS182/V182</f>
        <v/>
      </c>
      <c r="AU182" s="14">
        <f>AL182</f>
        <v/>
      </c>
      <c r="AV182" s="39">
        <f>AS182-AL182</f>
        <v/>
      </c>
      <c r="AW182" s="9">
        <f>AS182/AL182-1</f>
        <v/>
      </c>
      <c r="AX182" s="14">
        <f>AS182/AJ182/12</f>
        <v/>
      </c>
      <c r="AY182" s="14">
        <f>AF182</f>
        <v/>
      </c>
      <c r="AZ182" s="39">
        <f>AX182-AF182</f>
        <v/>
      </c>
      <c r="BA182" s="14">
        <f>SUMIFS(Donnees_regimes!$S$3:$S$1118,Donnees_regimes!$A$3:$A$1118,C182,Donnees_regimes!$B$3:$B$1118,"&gt;="&amp;G182,Donnees_regimes!$B$3:$B$1118,"&lt;="&amp;N182)*L182/ROUNDUP(L182,0)*SUMIFS(Donnees_annuelles!$AH$3:$AH$188,Donnees_annuelles!$A$3:$A$188,AR182)*SUMIFS(Donnees_annuelles!$AA$3:$AA$188,Donnees_annuelles!$A$3:$A$188,AR182)</f>
        <v/>
      </c>
      <c r="BB182" s="39">
        <f>BA182-AL182</f>
        <v/>
      </c>
      <c r="BC182" s="7">
        <f>IF(M182+AJ182&gt;2026,IF(G182&gt;2026,"entièrement projeté","en partie projeté"),"observé")</f>
        <v/>
      </c>
    </row>
    <row r="183">
      <c r="A183" s="7" t="inlineStr">
        <is>
          <t>Génération Z</t>
        </is>
      </c>
      <c r="B183" s="84" t="inlineStr">
        <is>
          <t>Fonction publique d'État</t>
        </is>
      </c>
      <c r="C183" s="7">
        <f>IF(G183&gt;=SUMIFS(Regimes!$C$5:$C$10,Regimes!$A$5:$A$10,B183),"Privé",B183)</f>
        <v/>
      </c>
      <c r="D183" s="7">
        <f>INDEX(Regimes!$D$5:$D$10,MATCH(C183,Regimes!$A$5:$A$10,0))</f>
        <v/>
      </c>
      <c r="E183" s="88" t="n">
        <v>2010</v>
      </c>
      <c r="F183" s="8">
        <f>Donnees_generations!C98</f>
        <v/>
      </c>
      <c r="G183" s="77">
        <f>Donnees_generations!D98</f>
        <v/>
      </c>
      <c r="H183" s="8">
        <f>SUMIFS(Donnees_generations!$S$3:$S$113,Donnees_generations!$A$3:$A$113,MAX(1915,MIN(2025,E183)))</f>
        <v/>
      </c>
      <c r="I183" s="8">
        <f>SUMIFS(Donnees_generations!$T$3:$T$113,Donnees_generations!$A$3:$A$113,MAX(1915,MIN(2025,E183)))</f>
        <v/>
      </c>
      <c r="J183" s="8">
        <f>IF(G183&gt;=2000,MAX(I183,Parametres!$B$3),I183)</f>
        <v/>
      </c>
      <c r="K183" s="8">
        <f>IF(C183="Privé",J183,SUMIFS(Regles_regimes!$J$3:$J$2000,Regles_regimes!$A$3:$A$2000,C183,Regles_regimes!$B$3:$B$2000,D183,Regles_regimes!$C$3:$C$2000,MAX(1915,MIN(2025,E183))))</f>
        <v/>
      </c>
      <c r="L183" s="8">
        <f>IF(C183="Privé",H183,(K183-F183)*H183/(J183-F183))</f>
        <v/>
      </c>
      <c r="M183" s="77">
        <f>INT(E183+K183)</f>
        <v/>
      </c>
      <c r="N183" s="77">
        <f>G183+ROUNDUP(L183,0)-1</f>
        <v/>
      </c>
      <c r="O183" s="89">
        <f>SUMIFS(Regles_regimes!$K$3:$K$2000,Regles_regimes!$A$3:$A$2000,C183,Regles_regimes!$B$3:$B$2000,D183,Regles_regimes!$C$3:$C$2000,MAX(1915,MIN(2025,E183)))</f>
        <v/>
      </c>
      <c r="P183" s="13">
        <f>SUMIFS(Donnees_annuelles!$W$3:$W$188,Donnees_annuelles!$A$3:$A$188,"&gt;="&amp;G183,Donnees_annuelles!$A$3:$A$188,"&lt;="&amp;N183)*L183/ROUNDUP(L183,0)*O183</f>
        <v/>
      </c>
      <c r="Q183" s="13">
        <f>SUMIFS(Donnees_annuelles!$V$3:$V$188,Donnees_annuelles!$A$3:$A$188,"&gt;="&amp;G183,Donnees_annuelles!$A$3:$A$188,"&lt;="&amp;N183)*L183/ROUNDUP(L183,0)</f>
        <v/>
      </c>
      <c r="R183" s="13">
        <f>P183/L183</f>
        <v/>
      </c>
      <c r="S183" s="14">
        <f>SUMIFS(Donnees_annuelles!$D$3:$D$188,Donnees_annuelles!$A$3:$A$188,"&gt;="&amp;G183,Donnees_annuelles!$A$3:$A$188,"&lt;="&amp;N183)*L183/ROUNDUP(L183,0)</f>
        <v/>
      </c>
      <c r="T183" s="14">
        <f>SUMIFS(Donnees_regimes!$N$3:$N$1118,Donnees_regimes!$A$3:$A$1118,C183,Donnees_regimes!$B$3:$B$1118,"&gt;="&amp;G183,Donnees_regimes!$B$3:$B$1118,"&lt;="&amp;N183)*L183/ROUNDUP(L183,0)</f>
        <v/>
      </c>
      <c r="U183" s="14">
        <f>SUMIFS(Donnees_regimes!$O$3:$O$1118,Donnees_regimes!$A$3:$A$1118,C183,Donnees_regimes!$B$3:$B$1118,"&gt;="&amp;G183,Donnees_regimes!$B$3:$B$1118,"&lt;="&amp;N183)*L183/ROUNDUP(L183,0)</f>
        <v/>
      </c>
      <c r="V183" s="14">
        <f>T183+U183</f>
        <v/>
      </c>
      <c r="W183" s="33">
        <f>V183/S183</f>
        <v/>
      </c>
      <c r="X183" s="14">
        <f>S183+U183</f>
        <v/>
      </c>
      <c r="Y183" s="17">
        <f>V183/P183</f>
        <v/>
      </c>
      <c r="Z183" s="14">
        <f>SUMIFS(Donnees_regimes!$Q$3:$Q$1118,Donnees_regimes!$A$3:$A$1118,C183,Donnees_regimes!$B$3:$B$1118,"&gt;="&amp;G183,Donnees_regimes!$B$3:$B$1118,"&lt;="&amp;N183)*L183/ROUNDUP(L183,0)</f>
        <v/>
      </c>
      <c r="AA183" s="77">
        <f>SUMIFS(Regles_regimes!$F$3:$F$2000,Regles_regimes!$A$3:$A$2000,C183,Regles_regimes!$B$3:$B$2000,D183,Regles_regimes!$C$3:$C$2000,MAX(1915,MIN(2025,E183)))</f>
        <v/>
      </c>
      <c r="AB183" s="77">
        <f>IF(AND(SUMIFS(Regles_regimes!$L$3:$L$2000,Regles_regimes!$A$3:$A$2000,C183,Regles_regimes!$B$3:$B$2000,D183,Regles_regimes!$C$3:$C$2000,MAX(1915,MIN(2025,E183)))=1,G183&lt;2009,C183&lt;&gt;"Privé"),MIN(20,L183*4/5),0)</f>
        <v/>
      </c>
      <c r="AC183" s="89">
        <f>SUMIFS(Donnees_regimes!$M$3:$M$1118,Donnees_regimes!$A$3:$A$1118,C183,Donnees_regimes!$B$3:$B$1118,M183)</f>
        <v/>
      </c>
      <c r="AD183" s="14">
        <f>SUMIFS(Donnees_annuelles!$Y$3:$Y$188,Donnees_annuelles!$A$3:$A$188,M183)*SUMIFS(Donnees_generations!$I$3:$I$113,Donnees_generations!$A$3:$A$113,MAX(1915,MIN(2025,E183)))/H183</f>
        <v/>
      </c>
      <c r="AE183" s="14">
        <f>IF(C183="Privé",SUMIFS(Donnees_annuelles!$Y$3:$Y$188,Donnees_annuelles!$A$3:$A$188,M183)*MIN(L183,SUMIFS(Donnees_generations!$I$3:$I$113,Donnees_generations!$A$3:$A$113,MAX(1915,MIN(2025,E183))))/L183,AD183*AC183*MIN(IF(AB183&gt;0,0.8/0.75,1),(L183*4+AB183)/AA183))</f>
        <v/>
      </c>
      <c r="AF183" s="14">
        <f>AE183/12</f>
        <v/>
      </c>
      <c r="AG183" s="77">
        <f>MIN(68,MAX(56,2*INT(K183/2)))</f>
        <v/>
      </c>
      <c r="AH183" s="75">
        <f>(CHOOSE((AG183-56)/2+1,SUMIFS(Donnees_generations!$U$3:$U$113,Donnees_generations!$A$3:$A$113,MAX(1915,MIN(2025,E183))),SUMIFS(Donnees_generations!$V$3:$V$113,Donnees_generations!$A$3:$A$113,MAX(1915,MIN(2025,E183))),SUMIFS(Donnees_generations!$W$3:$W$113,Donnees_generations!$A$3:$A$113,MAX(1915,MIN(2025,E183))),SUMIFS(Donnees_generations!$X$3:$X$113,Donnees_generations!$A$3:$A$113,MAX(1915,MIN(2025,E183))),SUMIFS(Donnees_generations!$Y$3:$Y$113,Donnees_generations!$A$3:$A$113,MAX(1915,MIN(2025,E183))),SUMIFS(Donnees_generations!$Z$3:$Z$113,Donnees_generations!$A$3:$A$113,MAX(1915,MIN(2025,E183))),SUMIFS(Donnees_generations!$AA$3:$AA$113,Donnees_generations!$A$3:$A$113,MAX(1915,MIN(2025,E183))),SUMIFS(Donnees_generations!$AB$3:$AB$113,Donnees_generations!$A$3:$A$113,MAX(1915,MIN(2025,E183))))+CHOOSE((AG183-56)/2+1,SUMIFS(Donnees_generations!$AC$3:$AC$113,Donnees_generations!$A$3:$A$113,MAX(1915,MIN(2025,E183))),SUMIFS(Donnees_generations!$AD$3:$AD$113,Donnees_generations!$A$3:$A$113,MAX(1915,MIN(2025,E183))),SUMIFS(Donnees_generations!$AE$3:$AE$113,Donnees_generations!$A$3:$A$113,MAX(1915,MIN(2025,E183))),SUMIFS(Donnees_generations!$AF$3:$AF$113,Donnees_generations!$A$3:$A$113,MAX(1915,MIN(2025,E183))),SUMIFS(Donnees_generations!$AG$3:$AG$113,Donnees_generations!$A$3:$A$113,MAX(1915,MIN(2025,E183))),SUMIFS(Donnees_generations!$AH$3:$AH$113,Donnees_generations!$A$3:$A$113,MAX(1915,MIN(2025,E183))),SUMIFS(Donnees_generations!$AI$3:$AI$113,Donnees_generations!$A$3:$A$113,MAX(1915,MIN(2025,E183))),SUMIFS(Donnees_generations!$AJ$3:$AJ$113,Donnees_generations!$A$3:$A$113,MAX(1915,MIN(2025,E183)))))/2</f>
        <v/>
      </c>
      <c r="AI183" s="75">
        <f>(CHOOSE(((AG183+2)-56)/2+1,SUMIFS(Donnees_generations!$U$3:$U$113,Donnees_generations!$A$3:$A$113,MAX(1915,MIN(2025,E183))),SUMIFS(Donnees_generations!$V$3:$V$113,Donnees_generations!$A$3:$A$113,MAX(1915,MIN(2025,E183))),SUMIFS(Donnees_generations!$W$3:$W$113,Donnees_generations!$A$3:$A$113,MAX(1915,MIN(2025,E183))),SUMIFS(Donnees_generations!$X$3:$X$113,Donnees_generations!$A$3:$A$113,MAX(1915,MIN(2025,E183))),SUMIFS(Donnees_generations!$Y$3:$Y$113,Donnees_generations!$A$3:$A$113,MAX(1915,MIN(2025,E183))),SUMIFS(Donnees_generations!$Z$3:$Z$113,Donnees_generations!$A$3:$A$113,MAX(1915,MIN(2025,E183))),SUMIFS(Donnees_generations!$AA$3:$AA$113,Donnees_generations!$A$3:$A$113,MAX(1915,MIN(2025,E183))),SUMIFS(Donnees_generations!$AB$3:$AB$113,Donnees_generations!$A$3:$A$113,MAX(1915,MIN(2025,E183))))+CHOOSE(((AG183+2)-56)/2+1,SUMIFS(Donnees_generations!$AC$3:$AC$113,Donnees_generations!$A$3:$A$113,MAX(1915,MIN(2025,E183))),SUMIFS(Donnees_generations!$AD$3:$AD$113,Donnees_generations!$A$3:$A$113,MAX(1915,MIN(2025,E183))),SUMIFS(Donnees_generations!$AE$3:$AE$113,Donnees_generations!$A$3:$A$113,MAX(1915,MIN(2025,E183))),SUMIFS(Donnees_generations!$AF$3:$AF$113,Donnees_generations!$A$3:$A$113,MAX(1915,MIN(2025,E183))),SUMIFS(Donnees_generations!$AG$3:$AG$113,Donnees_generations!$A$3:$A$113,MAX(1915,MIN(2025,E183))),SUMIFS(Donnees_generations!$AH$3:$AH$113,Donnees_generations!$A$3:$A$113,MAX(1915,MIN(2025,E183))),SUMIFS(Donnees_generations!$AI$3:$AI$113,Donnees_generations!$A$3:$A$113,MAX(1915,MIN(2025,E183))),SUMIFS(Donnees_generations!$AJ$3:$AJ$113,Donnees_generations!$A$3:$A$113,MAX(1915,MIN(2025,E183)))))/2</f>
        <v/>
      </c>
      <c r="AJ183" s="8">
        <f>MAX(0,AH183+(AI183-AH183)*(K183-AG183)/2)</f>
        <v/>
      </c>
      <c r="AK183" s="8">
        <f>K183+AJ183</f>
        <v/>
      </c>
      <c r="AL183" s="14">
        <f>AE183*AJ183</f>
        <v/>
      </c>
      <c r="AM183" s="17">
        <f>V183/AL183</f>
        <v/>
      </c>
      <c r="AN183" s="17">
        <f>Z183/AL183</f>
        <v/>
      </c>
      <c r="AO183" s="33">
        <f>IF(V183+Z183=0,0,Z183/(V183+Z183))</f>
        <v/>
      </c>
      <c r="AP183" s="14">
        <f>AL183/V183*100</f>
        <v/>
      </c>
      <c r="AQ183" s="8">
        <f>P183/AL183*1000</f>
        <v/>
      </c>
      <c r="AR183" s="77">
        <f>MAX(N183,M183-1)</f>
        <v/>
      </c>
      <c r="AS183" s="14">
        <f>SUMIFS(Donnees_regimes!$R$3:$R$1118,Donnees_regimes!$A$3:$A$1118,C183,Donnees_regimes!$B$3:$B$1118,"&gt;="&amp;G183,Donnees_regimes!$B$3:$B$1118,"&lt;="&amp;N183)*L183/ROUNDUP(L183,0)*SUMIFS(Donnees_annuelles!$AG$3:$AG$188,Donnees_annuelles!$A$3:$A$188,AR183)*SUMIFS(Donnees_annuelles!$AA$3:$AA$188,Donnees_annuelles!$A$3:$A$188,AR183)</f>
        <v/>
      </c>
      <c r="AT183" s="36">
        <f>AS183/V183</f>
        <v/>
      </c>
      <c r="AU183" s="14">
        <f>AL183</f>
        <v/>
      </c>
      <c r="AV183" s="39">
        <f>AS183-AL183</f>
        <v/>
      </c>
      <c r="AW183" s="9">
        <f>AS183/AL183-1</f>
        <v/>
      </c>
      <c r="AX183" s="14">
        <f>AS183/AJ183/12</f>
        <v/>
      </c>
      <c r="AY183" s="14">
        <f>AF183</f>
        <v/>
      </c>
      <c r="AZ183" s="39">
        <f>AX183-AF183</f>
        <v/>
      </c>
      <c r="BA183" s="14">
        <f>SUMIFS(Donnees_regimes!$S$3:$S$1118,Donnees_regimes!$A$3:$A$1118,C183,Donnees_regimes!$B$3:$B$1118,"&gt;="&amp;G183,Donnees_regimes!$B$3:$B$1118,"&lt;="&amp;N183)*L183/ROUNDUP(L183,0)*SUMIFS(Donnees_annuelles!$AH$3:$AH$188,Donnees_annuelles!$A$3:$A$188,AR183)*SUMIFS(Donnees_annuelles!$AA$3:$AA$188,Donnees_annuelles!$A$3:$A$188,AR183)</f>
        <v/>
      </c>
      <c r="BB183" s="39">
        <f>BA183-AL183</f>
        <v/>
      </c>
      <c r="BC183" s="7">
        <f>IF(M183+AJ183&gt;2026,IF(G183&gt;2026,"entièrement projeté","en partie projeté"),"observé")</f>
        <v/>
      </c>
    </row>
    <row r="184">
      <c r="A184" s="7" t="inlineStr">
        <is>
          <t>Génération Z</t>
        </is>
      </c>
      <c r="B184" s="84" t="inlineStr">
        <is>
          <t>Fonction publique d'État</t>
        </is>
      </c>
      <c r="C184" s="7">
        <f>IF(G184&gt;=SUMIFS(Regimes!$C$5:$C$10,Regimes!$A$5:$A$10,B184),"Privé",B184)</f>
        <v/>
      </c>
      <c r="D184" s="7">
        <f>INDEX(Regimes!$D$5:$D$10,MATCH(C184,Regimes!$A$5:$A$10,0))</f>
        <v/>
      </c>
      <c r="E184" s="88" t="n">
        <v>2011</v>
      </c>
      <c r="F184" s="8">
        <f>Donnees_generations!C99</f>
        <v/>
      </c>
      <c r="G184" s="77">
        <f>Donnees_generations!D99</f>
        <v/>
      </c>
      <c r="H184" s="8">
        <f>SUMIFS(Donnees_generations!$S$3:$S$113,Donnees_generations!$A$3:$A$113,MAX(1915,MIN(2025,E184)))</f>
        <v/>
      </c>
      <c r="I184" s="8">
        <f>SUMIFS(Donnees_generations!$T$3:$T$113,Donnees_generations!$A$3:$A$113,MAX(1915,MIN(2025,E184)))</f>
        <v/>
      </c>
      <c r="J184" s="8">
        <f>IF(G184&gt;=2000,MAX(I184,Parametres!$B$3),I184)</f>
        <v/>
      </c>
      <c r="K184" s="8">
        <f>IF(C184="Privé",J184,SUMIFS(Regles_regimes!$J$3:$J$2000,Regles_regimes!$A$3:$A$2000,C184,Regles_regimes!$B$3:$B$2000,D184,Regles_regimes!$C$3:$C$2000,MAX(1915,MIN(2025,E184))))</f>
        <v/>
      </c>
      <c r="L184" s="8">
        <f>IF(C184="Privé",H184,(K184-F184)*H184/(J184-F184))</f>
        <v/>
      </c>
      <c r="M184" s="77">
        <f>INT(E184+K184)</f>
        <v/>
      </c>
      <c r="N184" s="77">
        <f>G184+ROUNDUP(L184,0)-1</f>
        <v/>
      </c>
      <c r="O184" s="89">
        <f>SUMIFS(Regles_regimes!$K$3:$K$2000,Regles_regimes!$A$3:$A$2000,C184,Regles_regimes!$B$3:$B$2000,D184,Regles_regimes!$C$3:$C$2000,MAX(1915,MIN(2025,E184)))</f>
        <v/>
      </c>
      <c r="P184" s="13">
        <f>SUMIFS(Donnees_annuelles!$W$3:$W$188,Donnees_annuelles!$A$3:$A$188,"&gt;="&amp;G184,Donnees_annuelles!$A$3:$A$188,"&lt;="&amp;N184)*L184/ROUNDUP(L184,0)*O184</f>
        <v/>
      </c>
      <c r="Q184" s="13">
        <f>SUMIFS(Donnees_annuelles!$V$3:$V$188,Donnees_annuelles!$A$3:$A$188,"&gt;="&amp;G184,Donnees_annuelles!$A$3:$A$188,"&lt;="&amp;N184)*L184/ROUNDUP(L184,0)</f>
        <v/>
      </c>
      <c r="R184" s="13">
        <f>P184/L184</f>
        <v/>
      </c>
      <c r="S184" s="14">
        <f>SUMIFS(Donnees_annuelles!$D$3:$D$188,Donnees_annuelles!$A$3:$A$188,"&gt;="&amp;G184,Donnees_annuelles!$A$3:$A$188,"&lt;="&amp;N184)*L184/ROUNDUP(L184,0)</f>
        <v/>
      </c>
      <c r="T184" s="14">
        <f>SUMIFS(Donnees_regimes!$N$3:$N$1118,Donnees_regimes!$A$3:$A$1118,C184,Donnees_regimes!$B$3:$B$1118,"&gt;="&amp;G184,Donnees_regimes!$B$3:$B$1118,"&lt;="&amp;N184)*L184/ROUNDUP(L184,0)</f>
        <v/>
      </c>
      <c r="U184" s="14">
        <f>SUMIFS(Donnees_regimes!$O$3:$O$1118,Donnees_regimes!$A$3:$A$1118,C184,Donnees_regimes!$B$3:$B$1118,"&gt;="&amp;G184,Donnees_regimes!$B$3:$B$1118,"&lt;="&amp;N184)*L184/ROUNDUP(L184,0)</f>
        <v/>
      </c>
      <c r="V184" s="14">
        <f>T184+U184</f>
        <v/>
      </c>
      <c r="W184" s="33">
        <f>V184/S184</f>
        <v/>
      </c>
      <c r="X184" s="14">
        <f>S184+U184</f>
        <v/>
      </c>
      <c r="Y184" s="17">
        <f>V184/P184</f>
        <v/>
      </c>
      <c r="Z184" s="14">
        <f>SUMIFS(Donnees_regimes!$Q$3:$Q$1118,Donnees_regimes!$A$3:$A$1118,C184,Donnees_regimes!$B$3:$B$1118,"&gt;="&amp;G184,Donnees_regimes!$B$3:$B$1118,"&lt;="&amp;N184)*L184/ROUNDUP(L184,0)</f>
        <v/>
      </c>
      <c r="AA184" s="77">
        <f>SUMIFS(Regles_regimes!$F$3:$F$2000,Regles_regimes!$A$3:$A$2000,C184,Regles_regimes!$B$3:$B$2000,D184,Regles_regimes!$C$3:$C$2000,MAX(1915,MIN(2025,E184)))</f>
        <v/>
      </c>
      <c r="AB184" s="77">
        <f>IF(AND(SUMIFS(Regles_regimes!$L$3:$L$2000,Regles_regimes!$A$3:$A$2000,C184,Regles_regimes!$B$3:$B$2000,D184,Regles_regimes!$C$3:$C$2000,MAX(1915,MIN(2025,E184)))=1,G184&lt;2009,C184&lt;&gt;"Privé"),MIN(20,L184*4/5),0)</f>
        <v/>
      </c>
      <c r="AC184" s="89">
        <f>SUMIFS(Donnees_regimes!$M$3:$M$1118,Donnees_regimes!$A$3:$A$1118,C184,Donnees_regimes!$B$3:$B$1118,M184)</f>
        <v/>
      </c>
      <c r="AD184" s="14">
        <f>SUMIFS(Donnees_annuelles!$Y$3:$Y$188,Donnees_annuelles!$A$3:$A$188,M184)*SUMIFS(Donnees_generations!$I$3:$I$113,Donnees_generations!$A$3:$A$113,MAX(1915,MIN(2025,E184)))/H184</f>
        <v/>
      </c>
      <c r="AE184" s="14">
        <f>IF(C184="Privé",SUMIFS(Donnees_annuelles!$Y$3:$Y$188,Donnees_annuelles!$A$3:$A$188,M184)*MIN(L184,SUMIFS(Donnees_generations!$I$3:$I$113,Donnees_generations!$A$3:$A$113,MAX(1915,MIN(2025,E184))))/L184,AD184*AC184*MIN(IF(AB184&gt;0,0.8/0.75,1),(L184*4+AB184)/AA184))</f>
        <v/>
      </c>
      <c r="AF184" s="14">
        <f>AE184/12</f>
        <v/>
      </c>
      <c r="AG184" s="77">
        <f>MIN(68,MAX(56,2*INT(K184/2)))</f>
        <v/>
      </c>
      <c r="AH184" s="75">
        <f>(CHOOSE((AG184-56)/2+1,SUMIFS(Donnees_generations!$U$3:$U$113,Donnees_generations!$A$3:$A$113,MAX(1915,MIN(2025,E184))),SUMIFS(Donnees_generations!$V$3:$V$113,Donnees_generations!$A$3:$A$113,MAX(1915,MIN(2025,E184))),SUMIFS(Donnees_generations!$W$3:$W$113,Donnees_generations!$A$3:$A$113,MAX(1915,MIN(2025,E184))),SUMIFS(Donnees_generations!$X$3:$X$113,Donnees_generations!$A$3:$A$113,MAX(1915,MIN(2025,E184))),SUMIFS(Donnees_generations!$Y$3:$Y$113,Donnees_generations!$A$3:$A$113,MAX(1915,MIN(2025,E184))),SUMIFS(Donnees_generations!$Z$3:$Z$113,Donnees_generations!$A$3:$A$113,MAX(1915,MIN(2025,E184))),SUMIFS(Donnees_generations!$AA$3:$AA$113,Donnees_generations!$A$3:$A$113,MAX(1915,MIN(2025,E184))),SUMIFS(Donnees_generations!$AB$3:$AB$113,Donnees_generations!$A$3:$A$113,MAX(1915,MIN(2025,E184))))+CHOOSE((AG184-56)/2+1,SUMIFS(Donnees_generations!$AC$3:$AC$113,Donnees_generations!$A$3:$A$113,MAX(1915,MIN(2025,E184))),SUMIFS(Donnees_generations!$AD$3:$AD$113,Donnees_generations!$A$3:$A$113,MAX(1915,MIN(2025,E184))),SUMIFS(Donnees_generations!$AE$3:$AE$113,Donnees_generations!$A$3:$A$113,MAX(1915,MIN(2025,E184))),SUMIFS(Donnees_generations!$AF$3:$AF$113,Donnees_generations!$A$3:$A$113,MAX(1915,MIN(2025,E184))),SUMIFS(Donnees_generations!$AG$3:$AG$113,Donnees_generations!$A$3:$A$113,MAX(1915,MIN(2025,E184))),SUMIFS(Donnees_generations!$AH$3:$AH$113,Donnees_generations!$A$3:$A$113,MAX(1915,MIN(2025,E184))),SUMIFS(Donnees_generations!$AI$3:$AI$113,Donnees_generations!$A$3:$A$113,MAX(1915,MIN(2025,E184))),SUMIFS(Donnees_generations!$AJ$3:$AJ$113,Donnees_generations!$A$3:$A$113,MAX(1915,MIN(2025,E184)))))/2</f>
        <v/>
      </c>
      <c r="AI184" s="75">
        <f>(CHOOSE(((AG184+2)-56)/2+1,SUMIFS(Donnees_generations!$U$3:$U$113,Donnees_generations!$A$3:$A$113,MAX(1915,MIN(2025,E184))),SUMIFS(Donnees_generations!$V$3:$V$113,Donnees_generations!$A$3:$A$113,MAX(1915,MIN(2025,E184))),SUMIFS(Donnees_generations!$W$3:$W$113,Donnees_generations!$A$3:$A$113,MAX(1915,MIN(2025,E184))),SUMIFS(Donnees_generations!$X$3:$X$113,Donnees_generations!$A$3:$A$113,MAX(1915,MIN(2025,E184))),SUMIFS(Donnees_generations!$Y$3:$Y$113,Donnees_generations!$A$3:$A$113,MAX(1915,MIN(2025,E184))),SUMIFS(Donnees_generations!$Z$3:$Z$113,Donnees_generations!$A$3:$A$113,MAX(1915,MIN(2025,E184))),SUMIFS(Donnees_generations!$AA$3:$AA$113,Donnees_generations!$A$3:$A$113,MAX(1915,MIN(2025,E184))),SUMIFS(Donnees_generations!$AB$3:$AB$113,Donnees_generations!$A$3:$A$113,MAX(1915,MIN(2025,E184))))+CHOOSE(((AG184+2)-56)/2+1,SUMIFS(Donnees_generations!$AC$3:$AC$113,Donnees_generations!$A$3:$A$113,MAX(1915,MIN(2025,E184))),SUMIFS(Donnees_generations!$AD$3:$AD$113,Donnees_generations!$A$3:$A$113,MAX(1915,MIN(2025,E184))),SUMIFS(Donnees_generations!$AE$3:$AE$113,Donnees_generations!$A$3:$A$113,MAX(1915,MIN(2025,E184))),SUMIFS(Donnees_generations!$AF$3:$AF$113,Donnees_generations!$A$3:$A$113,MAX(1915,MIN(2025,E184))),SUMIFS(Donnees_generations!$AG$3:$AG$113,Donnees_generations!$A$3:$A$113,MAX(1915,MIN(2025,E184))),SUMIFS(Donnees_generations!$AH$3:$AH$113,Donnees_generations!$A$3:$A$113,MAX(1915,MIN(2025,E184))),SUMIFS(Donnees_generations!$AI$3:$AI$113,Donnees_generations!$A$3:$A$113,MAX(1915,MIN(2025,E184))),SUMIFS(Donnees_generations!$AJ$3:$AJ$113,Donnees_generations!$A$3:$A$113,MAX(1915,MIN(2025,E184)))))/2</f>
        <v/>
      </c>
      <c r="AJ184" s="8">
        <f>MAX(0,AH184+(AI184-AH184)*(K184-AG184)/2)</f>
        <v/>
      </c>
      <c r="AK184" s="8">
        <f>K184+AJ184</f>
        <v/>
      </c>
      <c r="AL184" s="14">
        <f>AE184*AJ184</f>
        <v/>
      </c>
      <c r="AM184" s="17">
        <f>V184/AL184</f>
        <v/>
      </c>
      <c r="AN184" s="17">
        <f>Z184/AL184</f>
        <v/>
      </c>
      <c r="AO184" s="33">
        <f>IF(V184+Z184=0,0,Z184/(V184+Z184))</f>
        <v/>
      </c>
      <c r="AP184" s="14">
        <f>AL184/V184*100</f>
        <v/>
      </c>
      <c r="AQ184" s="8">
        <f>P184/AL184*1000</f>
        <v/>
      </c>
      <c r="AR184" s="77">
        <f>MAX(N184,M184-1)</f>
        <v/>
      </c>
      <c r="AS184" s="14">
        <f>SUMIFS(Donnees_regimes!$R$3:$R$1118,Donnees_regimes!$A$3:$A$1118,C184,Donnees_regimes!$B$3:$B$1118,"&gt;="&amp;G184,Donnees_regimes!$B$3:$B$1118,"&lt;="&amp;N184)*L184/ROUNDUP(L184,0)*SUMIFS(Donnees_annuelles!$AG$3:$AG$188,Donnees_annuelles!$A$3:$A$188,AR184)*SUMIFS(Donnees_annuelles!$AA$3:$AA$188,Donnees_annuelles!$A$3:$A$188,AR184)</f>
        <v/>
      </c>
      <c r="AT184" s="36">
        <f>AS184/V184</f>
        <v/>
      </c>
      <c r="AU184" s="14">
        <f>AL184</f>
        <v/>
      </c>
      <c r="AV184" s="39">
        <f>AS184-AL184</f>
        <v/>
      </c>
      <c r="AW184" s="9">
        <f>AS184/AL184-1</f>
        <v/>
      </c>
      <c r="AX184" s="14">
        <f>AS184/AJ184/12</f>
        <v/>
      </c>
      <c r="AY184" s="14">
        <f>AF184</f>
        <v/>
      </c>
      <c r="AZ184" s="39">
        <f>AX184-AF184</f>
        <v/>
      </c>
      <c r="BA184" s="14">
        <f>SUMIFS(Donnees_regimes!$S$3:$S$1118,Donnees_regimes!$A$3:$A$1118,C184,Donnees_regimes!$B$3:$B$1118,"&gt;="&amp;G184,Donnees_regimes!$B$3:$B$1118,"&lt;="&amp;N184)*L184/ROUNDUP(L184,0)*SUMIFS(Donnees_annuelles!$AH$3:$AH$188,Donnees_annuelles!$A$3:$A$188,AR184)*SUMIFS(Donnees_annuelles!$AA$3:$AA$188,Donnees_annuelles!$A$3:$A$188,AR184)</f>
        <v/>
      </c>
      <c r="BB184" s="39">
        <f>BA184-AL184</f>
        <v/>
      </c>
      <c r="BC184" s="7">
        <f>IF(M184+AJ184&gt;2026,IF(G184&gt;2026,"entièrement projeté","en partie projeté"),"observé")</f>
        <v/>
      </c>
    </row>
    <row r="185">
      <c r="A185" s="7" t="inlineStr">
        <is>
          <t>Génération Z</t>
        </is>
      </c>
      <c r="B185" s="84" t="inlineStr">
        <is>
          <t>Fonction publique d'État</t>
        </is>
      </c>
      <c r="C185" s="7">
        <f>IF(G185&gt;=SUMIFS(Regimes!$C$5:$C$10,Regimes!$A$5:$A$10,B185),"Privé",B185)</f>
        <v/>
      </c>
      <c r="D185" s="7">
        <f>INDEX(Regimes!$D$5:$D$10,MATCH(C185,Regimes!$A$5:$A$10,0))</f>
        <v/>
      </c>
      <c r="E185" s="88" t="n">
        <v>2012</v>
      </c>
      <c r="F185" s="8">
        <f>Donnees_generations!C100</f>
        <v/>
      </c>
      <c r="G185" s="77">
        <f>Donnees_generations!D100</f>
        <v/>
      </c>
      <c r="H185" s="8">
        <f>SUMIFS(Donnees_generations!$S$3:$S$113,Donnees_generations!$A$3:$A$113,MAX(1915,MIN(2025,E185)))</f>
        <v/>
      </c>
      <c r="I185" s="8">
        <f>SUMIFS(Donnees_generations!$T$3:$T$113,Donnees_generations!$A$3:$A$113,MAX(1915,MIN(2025,E185)))</f>
        <v/>
      </c>
      <c r="J185" s="8">
        <f>IF(G185&gt;=2000,MAX(I185,Parametres!$B$3),I185)</f>
        <v/>
      </c>
      <c r="K185" s="8">
        <f>IF(C185="Privé",J185,SUMIFS(Regles_regimes!$J$3:$J$2000,Regles_regimes!$A$3:$A$2000,C185,Regles_regimes!$B$3:$B$2000,D185,Regles_regimes!$C$3:$C$2000,MAX(1915,MIN(2025,E185))))</f>
        <v/>
      </c>
      <c r="L185" s="8">
        <f>IF(C185="Privé",H185,(K185-F185)*H185/(J185-F185))</f>
        <v/>
      </c>
      <c r="M185" s="77">
        <f>INT(E185+K185)</f>
        <v/>
      </c>
      <c r="N185" s="77">
        <f>G185+ROUNDUP(L185,0)-1</f>
        <v/>
      </c>
      <c r="O185" s="89">
        <f>SUMIFS(Regles_regimes!$K$3:$K$2000,Regles_regimes!$A$3:$A$2000,C185,Regles_regimes!$B$3:$B$2000,D185,Regles_regimes!$C$3:$C$2000,MAX(1915,MIN(2025,E185)))</f>
        <v/>
      </c>
      <c r="P185" s="13">
        <f>SUMIFS(Donnees_annuelles!$W$3:$W$188,Donnees_annuelles!$A$3:$A$188,"&gt;="&amp;G185,Donnees_annuelles!$A$3:$A$188,"&lt;="&amp;N185)*L185/ROUNDUP(L185,0)*O185</f>
        <v/>
      </c>
      <c r="Q185" s="13">
        <f>SUMIFS(Donnees_annuelles!$V$3:$V$188,Donnees_annuelles!$A$3:$A$188,"&gt;="&amp;G185,Donnees_annuelles!$A$3:$A$188,"&lt;="&amp;N185)*L185/ROUNDUP(L185,0)</f>
        <v/>
      </c>
      <c r="R185" s="13">
        <f>P185/L185</f>
        <v/>
      </c>
      <c r="S185" s="14">
        <f>SUMIFS(Donnees_annuelles!$D$3:$D$188,Donnees_annuelles!$A$3:$A$188,"&gt;="&amp;G185,Donnees_annuelles!$A$3:$A$188,"&lt;="&amp;N185)*L185/ROUNDUP(L185,0)</f>
        <v/>
      </c>
      <c r="T185" s="14">
        <f>SUMIFS(Donnees_regimes!$N$3:$N$1118,Donnees_regimes!$A$3:$A$1118,C185,Donnees_regimes!$B$3:$B$1118,"&gt;="&amp;G185,Donnees_regimes!$B$3:$B$1118,"&lt;="&amp;N185)*L185/ROUNDUP(L185,0)</f>
        <v/>
      </c>
      <c r="U185" s="14">
        <f>SUMIFS(Donnees_regimes!$O$3:$O$1118,Donnees_regimes!$A$3:$A$1118,C185,Donnees_regimes!$B$3:$B$1118,"&gt;="&amp;G185,Donnees_regimes!$B$3:$B$1118,"&lt;="&amp;N185)*L185/ROUNDUP(L185,0)</f>
        <v/>
      </c>
      <c r="V185" s="14">
        <f>T185+U185</f>
        <v/>
      </c>
      <c r="W185" s="33">
        <f>V185/S185</f>
        <v/>
      </c>
      <c r="X185" s="14">
        <f>S185+U185</f>
        <v/>
      </c>
      <c r="Y185" s="17">
        <f>V185/P185</f>
        <v/>
      </c>
      <c r="Z185" s="14">
        <f>SUMIFS(Donnees_regimes!$Q$3:$Q$1118,Donnees_regimes!$A$3:$A$1118,C185,Donnees_regimes!$B$3:$B$1118,"&gt;="&amp;G185,Donnees_regimes!$B$3:$B$1118,"&lt;="&amp;N185)*L185/ROUNDUP(L185,0)</f>
        <v/>
      </c>
      <c r="AA185" s="77">
        <f>SUMIFS(Regles_regimes!$F$3:$F$2000,Regles_regimes!$A$3:$A$2000,C185,Regles_regimes!$B$3:$B$2000,D185,Regles_regimes!$C$3:$C$2000,MAX(1915,MIN(2025,E185)))</f>
        <v/>
      </c>
      <c r="AB185" s="77">
        <f>IF(AND(SUMIFS(Regles_regimes!$L$3:$L$2000,Regles_regimes!$A$3:$A$2000,C185,Regles_regimes!$B$3:$B$2000,D185,Regles_regimes!$C$3:$C$2000,MAX(1915,MIN(2025,E185)))=1,G185&lt;2009,C185&lt;&gt;"Privé"),MIN(20,L185*4/5),0)</f>
        <v/>
      </c>
      <c r="AC185" s="89">
        <f>SUMIFS(Donnees_regimes!$M$3:$M$1118,Donnees_regimes!$A$3:$A$1118,C185,Donnees_regimes!$B$3:$B$1118,M185)</f>
        <v/>
      </c>
      <c r="AD185" s="14">
        <f>SUMIFS(Donnees_annuelles!$Y$3:$Y$188,Donnees_annuelles!$A$3:$A$188,M185)*SUMIFS(Donnees_generations!$I$3:$I$113,Donnees_generations!$A$3:$A$113,MAX(1915,MIN(2025,E185)))/H185</f>
        <v/>
      </c>
      <c r="AE185" s="14">
        <f>IF(C185="Privé",SUMIFS(Donnees_annuelles!$Y$3:$Y$188,Donnees_annuelles!$A$3:$A$188,M185)*MIN(L185,SUMIFS(Donnees_generations!$I$3:$I$113,Donnees_generations!$A$3:$A$113,MAX(1915,MIN(2025,E185))))/L185,AD185*AC185*MIN(IF(AB185&gt;0,0.8/0.75,1),(L185*4+AB185)/AA185))</f>
        <v/>
      </c>
      <c r="AF185" s="14">
        <f>AE185/12</f>
        <v/>
      </c>
      <c r="AG185" s="77">
        <f>MIN(68,MAX(56,2*INT(K185/2)))</f>
        <v/>
      </c>
      <c r="AH185" s="75">
        <f>(CHOOSE((AG185-56)/2+1,SUMIFS(Donnees_generations!$U$3:$U$113,Donnees_generations!$A$3:$A$113,MAX(1915,MIN(2025,E185))),SUMIFS(Donnees_generations!$V$3:$V$113,Donnees_generations!$A$3:$A$113,MAX(1915,MIN(2025,E185))),SUMIFS(Donnees_generations!$W$3:$W$113,Donnees_generations!$A$3:$A$113,MAX(1915,MIN(2025,E185))),SUMIFS(Donnees_generations!$X$3:$X$113,Donnees_generations!$A$3:$A$113,MAX(1915,MIN(2025,E185))),SUMIFS(Donnees_generations!$Y$3:$Y$113,Donnees_generations!$A$3:$A$113,MAX(1915,MIN(2025,E185))),SUMIFS(Donnees_generations!$Z$3:$Z$113,Donnees_generations!$A$3:$A$113,MAX(1915,MIN(2025,E185))),SUMIFS(Donnees_generations!$AA$3:$AA$113,Donnees_generations!$A$3:$A$113,MAX(1915,MIN(2025,E185))),SUMIFS(Donnees_generations!$AB$3:$AB$113,Donnees_generations!$A$3:$A$113,MAX(1915,MIN(2025,E185))))+CHOOSE((AG185-56)/2+1,SUMIFS(Donnees_generations!$AC$3:$AC$113,Donnees_generations!$A$3:$A$113,MAX(1915,MIN(2025,E185))),SUMIFS(Donnees_generations!$AD$3:$AD$113,Donnees_generations!$A$3:$A$113,MAX(1915,MIN(2025,E185))),SUMIFS(Donnees_generations!$AE$3:$AE$113,Donnees_generations!$A$3:$A$113,MAX(1915,MIN(2025,E185))),SUMIFS(Donnees_generations!$AF$3:$AF$113,Donnees_generations!$A$3:$A$113,MAX(1915,MIN(2025,E185))),SUMIFS(Donnees_generations!$AG$3:$AG$113,Donnees_generations!$A$3:$A$113,MAX(1915,MIN(2025,E185))),SUMIFS(Donnees_generations!$AH$3:$AH$113,Donnees_generations!$A$3:$A$113,MAX(1915,MIN(2025,E185))),SUMIFS(Donnees_generations!$AI$3:$AI$113,Donnees_generations!$A$3:$A$113,MAX(1915,MIN(2025,E185))),SUMIFS(Donnees_generations!$AJ$3:$AJ$113,Donnees_generations!$A$3:$A$113,MAX(1915,MIN(2025,E185)))))/2</f>
        <v/>
      </c>
      <c r="AI185" s="75">
        <f>(CHOOSE(((AG185+2)-56)/2+1,SUMIFS(Donnees_generations!$U$3:$U$113,Donnees_generations!$A$3:$A$113,MAX(1915,MIN(2025,E185))),SUMIFS(Donnees_generations!$V$3:$V$113,Donnees_generations!$A$3:$A$113,MAX(1915,MIN(2025,E185))),SUMIFS(Donnees_generations!$W$3:$W$113,Donnees_generations!$A$3:$A$113,MAX(1915,MIN(2025,E185))),SUMIFS(Donnees_generations!$X$3:$X$113,Donnees_generations!$A$3:$A$113,MAX(1915,MIN(2025,E185))),SUMIFS(Donnees_generations!$Y$3:$Y$113,Donnees_generations!$A$3:$A$113,MAX(1915,MIN(2025,E185))),SUMIFS(Donnees_generations!$Z$3:$Z$113,Donnees_generations!$A$3:$A$113,MAX(1915,MIN(2025,E185))),SUMIFS(Donnees_generations!$AA$3:$AA$113,Donnees_generations!$A$3:$A$113,MAX(1915,MIN(2025,E185))),SUMIFS(Donnees_generations!$AB$3:$AB$113,Donnees_generations!$A$3:$A$113,MAX(1915,MIN(2025,E185))))+CHOOSE(((AG185+2)-56)/2+1,SUMIFS(Donnees_generations!$AC$3:$AC$113,Donnees_generations!$A$3:$A$113,MAX(1915,MIN(2025,E185))),SUMIFS(Donnees_generations!$AD$3:$AD$113,Donnees_generations!$A$3:$A$113,MAX(1915,MIN(2025,E185))),SUMIFS(Donnees_generations!$AE$3:$AE$113,Donnees_generations!$A$3:$A$113,MAX(1915,MIN(2025,E185))),SUMIFS(Donnees_generations!$AF$3:$AF$113,Donnees_generations!$A$3:$A$113,MAX(1915,MIN(2025,E185))),SUMIFS(Donnees_generations!$AG$3:$AG$113,Donnees_generations!$A$3:$A$113,MAX(1915,MIN(2025,E185))),SUMIFS(Donnees_generations!$AH$3:$AH$113,Donnees_generations!$A$3:$A$113,MAX(1915,MIN(2025,E185))),SUMIFS(Donnees_generations!$AI$3:$AI$113,Donnees_generations!$A$3:$A$113,MAX(1915,MIN(2025,E185))),SUMIFS(Donnees_generations!$AJ$3:$AJ$113,Donnees_generations!$A$3:$A$113,MAX(1915,MIN(2025,E185)))))/2</f>
        <v/>
      </c>
      <c r="AJ185" s="8">
        <f>MAX(0,AH185+(AI185-AH185)*(K185-AG185)/2)</f>
        <v/>
      </c>
      <c r="AK185" s="8">
        <f>K185+AJ185</f>
        <v/>
      </c>
      <c r="AL185" s="14">
        <f>AE185*AJ185</f>
        <v/>
      </c>
      <c r="AM185" s="17">
        <f>V185/AL185</f>
        <v/>
      </c>
      <c r="AN185" s="17">
        <f>Z185/AL185</f>
        <v/>
      </c>
      <c r="AO185" s="33">
        <f>IF(V185+Z185=0,0,Z185/(V185+Z185))</f>
        <v/>
      </c>
      <c r="AP185" s="14">
        <f>AL185/V185*100</f>
        <v/>
      </c>
      <c r="AQ185" s="8">
        <f>P185/AL185*1000</f>
        <v/>
      </c>
      <c r="AR185" s="77">
        <f>MAX(N185,M185-1)</f>
        <v/>
      </c>
      <c r="AS185" s="14">
        <f>SUMIFS(Donnees_regimes!$R$3:$R$1118,Donnees_regimes!$A$3:$A$1118,C185,Donnees_regimes!$B$3:$B$1118,"&gt;="&amp;G185,Donnees_regimes!$B$3:$B$1118,"&lt;="&amp;N185)*L185/ROUNDUP(L185,0)*SUMIFS(Donnees_annuelles!$AG$3:$AG$188,Donnees_annuelles!$A$3:$A$188,AR185)*SUMIFS(Donnees_annuelles!$AA$3:$AA$188,Donnees_annuelles!$A$3:$A$188,AR185)</f>
        <v/>
      </c>
      <c r="AT185" s="36">
        <f>AS185/V185</f>
        <v/>
      </c>
      <c r="AU185" s="14">
        <f>AL185</f>
        <v/>
      </c>
      <c r="AV185" s="39">
        <f>AS185-AL185</f>
        <v/>
      </c>
      <c r="AW185" s="9">
        <f>AS185/AL185-1</f>
        <v/>
      </c>
      <c r="AX185" s="14">
        <f>AS185/AJ185/12</f>
        <v/>
      </c>
      <c r="AY185" s="14">
        <f>AF185</f>
        <v/>
      </c>
      <c r="AZ185" s="39">
        <f>AX185-AF185</f>
        <v/>
      </c>
      <c r="BA185" s="14">
        <f>SUMIFS(Donnees_regimes!$S$3:$S$1118,Donnees_regimes!$A$3:$A$1118,C185,Donnees_regimes!$B$3:$B$1118,"&gt;="&amp;G185,Donnees_regimes!$B$3:$B$1118,"&lt;="&amp;N185)*L185/ROUNDUP(L185,0)*SUMIFS(Donnees_annuelles!$AH$3:$AH$188,Donnees_annuelles!$A$3:$A$188,AR185)*SUMIFS(Donnees_annuelles!$AA$3:$AA$188,Donnees_annuelles!$A$3:$A$188,AR185)</f>
        <v/>
      </c>
      <c r="BB185" s="39">
        <f>BA185-AL185</f>
        <v/>
      </c>
      <c r="BC185" s="7">
        <f>IF(M185+AJ185&gt;2026,IF(G185&gt;2026,"entièrement projeté","en partie projeté"),"observé")</f>
        <v/>
      </c>
    </row>
    <row r="186">
      <c r="A186" s="7" t="inlineStr">
        <is>
          <t>Génération Alpha</t>
        </is>
      </c>
      <c r="B186" s="84" t="inlineStr">
        <is>
          <t>Fonction publique d'État</t>
        </is>
      </c>
      <c r="C186" s="7">
        <f>IF(G186&gt;=SUMIFS(Regimes!$C$5:$C$10,Regimes!$A$5:$A$10,B186),"Privé",B186)</f>
        <v/>
      </c>
      <c r="D186" s="7">
        <f>INDEX(Regimes!$D$5:$D$10,MATCH(C186,Regimes!$A$5:$A$10,0))</f>
        <v/>
      </c>
      <c r="E186" s="88" t="n">
        <v>2013</v>
      </c>
      <c r="F186" s="8">
        <f>Donnees_generations!C101</f>
        <v/>
      </c>
      <c r="G186" s="77">
        <f>Donnees_generations!D101</f>
        <v/>
      </c>
      <c r="H186" s="8">
        <f>SUMIFS(Donnees_generations!$S$3:$S$113,Donnees_generations!$A$3:$A$113,MAX(1915,MIN(2025,E186)))</f>
        <v/>
      </c>
      <c r="I186" s="8">
        <f>SUMIFS(Donnees_generations!$T$3:$T$113,Donnees_generations!$A$3:$A$113,MAX(1915,MIN(2025,E186)))</f>
        <v/>
      </c>
      <c r="J186" s="8">
        <f>IF(G186&gt;=2000,MAX(I186,Parametres!$B$3),I186)</f>
        <v/>
      </c>
      <c r="K186" s="8">
        <f>IF(C186="Privé",J186,SUMIFS(Regles_regimes!$J$3:$J$2000,Regles_regimes!$A$3:$A$2000,C186,Regles_regimes!$B$3:$B$2000,D186,Regles_regimes!$C$3:$C$2000,MAX(1915,MIN(2025,E186))))</f>
        <v/>
      </c>
      <c r="L186" s="8">
        <f>IF(C186="Privé",H186,(K186-F186)*H186/(J186-F186))</f>
        <v/>
      </c>
      <c r="M186" s="77">
        <f>INT(E186+K186)</f>
        <v/>
      </c>
      <c r="N186" s="77">
        <f>G186+ROUNDUP(L186,0)-1</f>
        <v/>
      </c>
      <c r="O186" s="89">
        <f>SUMIFS(Regles_regimes!$K$3:$K$2000,Regles_regimes!$A$3:$A$2000,C186,Regles_regimes!$B$3:$B$2000,D186,Regles_regimes!$C$3:$C$2000,MAX(1915,MIN(2025,E186)))</f>
        <v/>
      </c>
      <c r="P186" s="13">
        <f>SUMIFS(Donnees_annuelles!$W$3:$W$188,Donnees_annuelles!$A$3:$A$188,"&gt;="&amp;G186,Donnees_annuelles!$A$3:$A$188,"&lt;="&amp;N186)*L186/ROUNDUP(L186,0)*O186</f>
        <v/>
      </c>
      <c r="Q186" s="13">
        <f>SUMIFS(Donnees_annuelles!$V$3:$V$188,Donnees_annuelles!$A$3:$A$188,"&gt;="&amp;G186,Donnees_annuelles!$A$3:$A$188,"&lt;="&amp;N186)*L186/ROUNDUP(L186,0)</f>
        <v/>
      </c>
      <c r="R186" s="13">
        <f>P186/L186</f>
        <v/>
      </c>
      <c r="S186" s="14">
        <f>SUMIFS(Donnees_annuelles!$D$3:$D$188,Donnees_annuelles!$A$3:$A$188,"&gt;="&amp;G186,Donnees_annuelles!$A$3:$A$188,"&lt;="&amp;N186)*L186/ROUNDUP(L186,0)</f>
        <v/>
      </c>
      <c r="T186" s="14">
        <f>SUMIFS(Donnees_regimes!$N$3:$N$1118,Donnees_regimes!$A$3:$A$1118,C186,Donnees_regimes!$B$3:$B$1118,"&gt;="&amp;G186,Donnees_regimes!$B$3:$B$1118,"&lt;="&amp;N186)*L186/ROUNDUP(L186,0)</f>
        <v/>
      </c>
      <c r="U186" s="14">
        <f>SUMIFS(Donnees_regimes!$O$3:$O$1118,Donnees_regimes!$A$3:$A$1118,C186,Donnees_regimes!$B$3:$B$1118,"&gt;="&amp;G186,Donnees_regimes!$B$3:$B$1118,"&lt;="&amp;N186)*L186/ROUNDUP(L186,0)</f>
        <v/>
      </c>
      <c r="V186" s="14">
        <f>T186+U186</f>
        <v/>
      </c>
      <c r="W186" s="33">
        <f>V186/S186</f>
        <v/>
      </c>
      <c r="X186" s="14">
        <f>S186+U186</f>
        <v/>
      </c>
      <c r="Y186" s="17">
        <f>V186/P186</f>
        <v/>
      </c>
      <c r="Z186" s="14">
        <f>SUMIFS(Donnees_regimes!$Q$3:$Q$1118,Donnees_regimes!$A$3:$A$1118,C186,Donnees_regimes!$B$3:$B$1118,"&gt;="&amp;G186,Donnees_regimes!$B$3:$B$1118,"&lt;="&amp;N186)*L186/ROUNDUP(L186,0)</f>
        <v/>
      </c>
      <c r="AA186" s="77">
        <f>SUMIFS(Regles_regimes!$F$3:$F$2000,Regles_regimes!$A$3:$A$2000,C186,Regles_regimes!$B$3:$B$2000,D186,Regles_regimes!$C$3:$C$2000,MAX(1915,MIN(2025,E186)))</f>
        <v/>
      </c>
      <c r="AB186" s="77">
        <f>IF(AND(SUMIFS(Regles_regimes!$L$3:$L$2000,Regles_regimes!$A$3:$A$2000,C186,Regles_regimes!$B$3:$B$2000,D186,Regles_regimes!$C$3:$C$2000,MAX(1915,MIN(2025,E186)))=1,G186&lt;2009,C186&lt;&gt;"Privé"),MIN(20,L186*4/5),0)</f>
        <v/>
      </c>
      <c r="AC186" s="89">
        <f>SUMIFS(Donnees_regimes!$M$3:$M$1118,Donnees_regimes!$A$3:$A$1118,C186,Donnees_regimes!$B$3:$B$1118,M186)</f>
        <v/>
      </c>
      <c r="AD186" s="14">
        <f>SUMIFS(Donnees_annuelles!$Y$3:$Y$188,Donnees_annuelles!$A$3:$A$188,M186)*SUMIFS(Donnees_generations!$I$3:$I$113,Donnees_generations!$A$3:$A$113,MAX(1915,MIN(2025,E186)))/H186</f>
        <v/>
      </c>
      <c r="AE186" s="14">
        <f>IF(C186="Privé",SUMIFS(Donnees_annuelles!$Y$3:$Y$188,Donnees_annuelles!$A$3:$A$188,M186)*MIN(L186,SUMIFS(Donnees_generations!$I$3:$I$113,Donnees_generations!$A$3:$A$113,MAX(1915,MIN(2025,E186))))/L186,AD186*AC186*MIN(IF(AB186&gt;0,0.8/0.75,1),(L186*4+AB186)/AA186))</f>
        <v/>
      </c>
      <c r="AF186" s="14">
        <f>AE186/12</f>
        <v/>
      </c>
      <c r="AG186" s="77">
        <f>MIN(68,MAX(56,2*INT(K186/2)))</f>
        <v/>
      </c>
      <c r="AH186" s="75">
        <f>(CHOOSE((AG186-56)/2+1,SUMIFS(Donnees_generations!$U$3:$U$113,Donnees_generations!$A$3:$A$113,MAX(1915,MIN(2025,E186))),SUMIFS(Donnees_generations!$V$3:$V$113,Donnees_generations!$A$3:$A$113,MAX(1915,MIN(2025,E186))),SUMIFS(Donnees_generations!$W$3:$W$113,Donnees_generations!$A$3:$A$113,MAX(1915,MIN(2025,E186))),SUMIFS(Donnees_generations!$X$3:$X$113,Donnees_generations!$A$3:$A$113,MAX(1915,MIN(2025,E186))),SUMIFS(Donnees_generations!$Y$3:$Y$113,Donnees_generations!$A$3:$A$113,MAX(1915,MIN(2025,E186))),SUMIFS(Donnees_generations!$Z$3:$Z$113,Donnees_generations!$A$3:$A$113,MAX(1915,MIN(2025,E186))),SUMIFS(Donnees_generations!$AA$3:$AA$113,Donnees_generations!$A$3:$A$113,MAX(1915,MIN(2025,E186))),SUMIFS(Donnees_generations!$AB$3:$AB$113,Donnees_generations!$A$3:$A$113,MAX(1915,MIN(2025,E186))))+CHOOSE((AG186-56)/2+1,SUMIFS(Donnees_generations!$AC$3:$AC$113,Donnees_generations!$A$3:$A$113,MAX(1915,MIN(2025,E186))),SUMIFS(Donnees_generations!$AD$3:$AD$113,Donnees_generations!$A$3:$A$113,MAX(1915,MIN(2025,E186))),SUMIFS(Donnees_generations!$AE$3:$AE$113,Donnees_generations!$A$3:$A$113,MAX(1915,MIN(2025,E186))),SUMIFS(Donnees_generations!$AF$3:$AF$113,Donnees_generations!$A$3:$A$113,MAX(1915,MIN(2025,E186))),SUMIFS(Donnees_generations!$AG$3:$AG$113,Donnees_generations!$A$3:$A$113,MAX(1915,MIN(2025,E186))),SUMIFS(Donnees_generations!$AH$3:$AH$113,Donnees_generations!$A$3:$A$113,MAX(1915,MIN(2025,E186))),SUMIFS(Donnees_generations!$AI$3:$AI$113,Donnees_generations!$A$3:$A$113,MAX(1915,MIN(2025,E186))),SUMIFS(Donnees_generations!$AJ$3:$AJ$113,Donnees_generations!$A$3:$A$113,MAX(1915,MIN(2025,E186)))))/2</f>
        <v/>
      </c>
      <c r="AI186" s="75">
        <f>(CHOOSE(((AG186+2)-56)/2+1,SUMIFS(Donnees_generations!$U$3:$U$113,Donnees_generations!$A$3:$A$113,MAX(1915,MIN(2025,E186))),SUMIFS(Donnees_generations!$V$3:$V$113,Donnees_generations!$A$3:$A$113,MAX(1915,MIN(2025,E186))),SUMIFS(Donnees_generations!$W$3:$W$113,Donnees_generations!$A$3:$A$113,MAX(1915,MIN(2025,E186))),SUMIFS(Donnees_generations!$X$3:$X$113,Donnees_generations!$A$3:$A$113,MAX(1915,MIN(2025,E186))),SUMIFS(Donnees_generations!$Y$3:$Y$113,Donnees_generations!$A$3:$A$113,MAX(1915,MIN(2025,E186))),SUMIFS(Donnees_generations!$Z$3:$Z$113,Donnees_generations!$A$3:$A$113,MAX(1915,MIN(2025,E186))),SUMIFS(Donnees_generations!$AA$3:$AA$113,Donnees_generations!$A$3:$A$113,MAX(1915,MIN(2025,E186))),SUMIFS(Donnees_generations!$AB$3:$AB$113,Donnees_generations!$A$3:$A$113,MAX(1915,MIN(2025,E186))))+CHOOSE(((AG186+2)-56)/2+1,SUMIFS(Donnees_generations!$AC$3:$AC$113,Donnees_generations!$A$3:$A$113,MAX(1915,MIN(2025,E186))),SUMIFS(Donnees_generations!$AD$3:$AD$113,Donnees_generations!$A$3:$A$113,MAX(1915,MIN(2025,E186))),SUMIFS(Donnees_generations!$AE$3:$AE$113,Donnees_generations!$A$3:$A$113,MAX(1915,MIN(2025,E186))),SUMIFS(Donnees_generations!$AF$3:$AF$113,Donnees_generations!$A$3:$A$113,MAX(1915,MIN(2025,E186))),SUMIFS(Donnees_generations!$AG$3:$AG$113,Donnees_generations!$A$3:$A$113,MAX(1915,MIN(2025,E186))),SUMIFS(Donnees_generations!$AH$3:$AH$113,Donnees_generations!$A$3:$A$113,MAX(1915,MIN(2025,E186))),SUMIFS(Donnees_generations!$AI$3:$AI$113,Donnees_generations!$A$3:$A$113,MAX(1915,MIN(2025,E186))),SUMIFS(Donnees_generations!$AJ$3:$AJ$113,Donnees_generations!$A$3:$A$113,MAX(1915,MIN(2025,E186)))))/2</f>
        <v/>
      </c>
      <c r="AJ186" s="8">
        <f>MAX(0,AH186+(AI186-AH186)*(K186-AG186)/2)</f>
        <v/>
      </c>
      <c r="AK186" s="8">
        <f>K186+AJ186</f>
        <v/>
      </c>
      <c r="AL186" s="14">
        <f>AE186*AJ186</f>
        <v/>
      </c>
      <c r="AM186" s="17">
        <f>V186/AL186</f>
        <v/>
      </c>
      <c r="AN186" s="17">
        <f>Z186/AL186</f>
        <v/>
      </c>
      <c r="AO186" s="33">
        <f>IF(V186+Z186=0,0,Z186/(V186+Z186))</f>
        <v/>
      </c>
      <c r="AP186" s="14">
        <f>AL186/V186*100</f>
        <v/>
      </c>
      <c r="AQ186" s="8">
        <f>P186/AL186*1000</f>
        <v/>
      </c>
      <c r="AR186" s="77">
        <f>MAX(N186,M186-1)</f>
        <v/>
      </c>
      <c r="AS186" s="14">
        <f>SUMIFS(Donnees_regimes!$R$3:$R$1118,Donnees_regimes!$A$3:$A$1118,C186,Donnees_regimes!$B$3:$B$1118,"&gt;="&amp;G186,Donnees_regimes!$B$3:$B$1118,"&lt;="&amp;N186)*L186/ROUNDUP(L186,0)*SUMIFS(Donnees_annuelles!$AG$3:$AG$188,Donnees_annuelles!$A$3:$A$188,AR186)*SUMIFS(Donnees_annuelles!$AA$3:$AA$188,Donnees_annuelles!$A$3:$A$188,AR186)</f>
        <v/>
      </c>
      <c r="AT186" s="36">
        <f>AS186/V186</f>
        <v/>
      </c>
      <c r="AU186" s="14">
        <f>AL186</f>
        <v/>
      </c>
      <c r="AV186" s="39">
        <f>AS186-AL186</f>
        <v/>
      </c>
      <c r="AW186" s="9">
        <f>AS186/AL186-1</f>
        <v/>
      </c>
      <c r="AX186" s="14">
        <f>AS186/AJ186/12</f>
        <v/>
      </c>
      <c r="AY186" s="14">
        <f>AF186</f>
        <v/>
      </c>
      <c r="AZ186" s="39">
        <f>AX186-AF186</f>
        <v/>
      </c>
      <c r="BA186" s="14">
        <f>SUMIFS(Donnees_regimes!$S$3:$S$1118,Donnees_regimes!$A$3:$A$1118,C186,Donnees_regimes!$B$3:$B$1118,"&gt;="&amp;G186,Donnees_regimes!$B$3:$B$1118,"&lt;="&amp;N186)*L186/ROUNDUP(L186,0)*SUMIFS(Donnees_annuelles!$AH$3:$AH$188,Donnees_annuelles!$A$3:$A$188,AR186)*SUMIFS(Donnees_annuelles!$AA$3:$AA$188,Donnees_annuelles!$A$3:$A$188,AR186)</f>
        <v/>
      </c>
      <c r="BB186" s="39">
        <f>BA186-AL186</f>
        <v/>
      </c>
      <c r="BC186" s="7">
        <f>IF(M186+AJ186&gt;2026,IF(G186&gt;2026,"entièrement projeté","en partie projeté"),"observé")</f>
        <v/>
      </c>
    </row>
    <row r="187">
      <c r="A187" s="7" t="inlineStr">
        <is>
          <t>Génération Alpha</t>
        </is>
      </c>
      <c r="B187" s="84" t="inlineStr">
        <is>
          <t>Fonction publique d'État</t>
        </is>
      </c>
      <c r="C187" s="7">
        <f>IF(G187&gt;=SUMIFS(Regimes!$C$5:$C$10,Regimes!$A$5:$A$10,B187),"Privé",B187)</f>
        <v/>
      </c>
      <c r="D187" s="7">
        <f>INDEX(Regimes!$D$5:$D$10,MATCH(C187,Regimes!$A$5:$A$10,0))</f>
        <v/>
      </c>
      <c r="E187" s="88" t="n">
        <v>2014</v>
      </c>
      <c r="F187" s="8">
        <f>Donnees_generations!C102</f>
        <v/>
      </c>
      <c r="G187" s="77">
        <f>Donnees_generations!D102</f>
        <v/>
      </c>
      <c r="H187" s="8">
        <f>SUMIFS(Donnees_generations!$S$3:$S$113,Donnees_generations!$A$3:$A$113,MAX(1915,MIN(2025,E187)))</f>
        <v/>
      </c>
      <c r="I187" s="8">
        <f>SUMIFS(Donnees_generations!$T$3:$T$113,Donnees_generations!$A$3:$A$113,MAX(1915,MIN(2025,E187)))</f>
        <v/>
      </c>
      <c r="J187" s="8">
        <f>IF(G187&gt;=2000,MAX(I187,Parametres!$B$3),I187)</f>
        <v/>
      </c>
      <c r="K187" s="8">
        <f>IF(C187="Privé",J187,SUMIFS(Regles_regimes!$J$3:$J$2000,Regles_regimes!$A$3:$A$2000,C187,Regles_regimes!$B$3:$B$2000,D187,Regles_regimes!$C$3:$C$2000,MAX(1915,MIN(2025,E187))))</f>
        <v/>
      </c>
      <c r="L187" s="8">
        <f>IF(C187="Privé",H187,(K187-F187)*H187/(J187-F187))</f>
        <v/>
      </c>
      <c r="M187" s="77">
        <f>INT(E187+K187)</f>
        <v/>
      </c>
      <c r="N187" s="77">
        <f>G187+ROUNDUP(L187,0)-1</f>
        <v/>
      </c>
      <c r="O187" s="89">
        <f>SUMIFS(Regles_regimes!$K$3:$K$2000,Regles_regimes!$A$3:$A$2000,C187,Regles_regimes!$B$3:$B$2000,D187,Regles_regimes!$C$3:$C$2000,MAX(1915,MIN(2025,E187)))</f>
        <v/>
      </c>
      <c r="P187" s="13">
        <f>SUMIFS(Donnees_annuelles!$W$3:$W$188,Donnees_annuelles!$A$3:$A$188,"&gt;="&amp;G187,Donnees_annuelles!$A$3:$A$188,"&lt;="&amp;N187)*L187/ROUNDUP(L187,0)*O187</f>
        <v/>
      </c>
      <c r="Q187" s="13">
        <f>SUMIFS(Donnees_annuelles!$V$3:$V$188,Donnees_annuelles!$A$3:$A$188,"&gt;="&amp;G187,Donnees_annuelles!$A$3:$A$188,"&lt;="&amp;N187)*L187/ROUNDUP(L187,0)</f>
        <v/>
      </c>
      <c r="R187" s="13">
        <f>P187/L187</f>
        <v/>
      </c>
      <c r="S187" s="14">
        <f>SUMIFS(Donnees_annuelles!$D$3:$D$188,Donnees_annuelles!$A$3:$A$188,"&gt;="&amp;G187,Donnees_annuelles!$A$3:$A$188,"&lt;="&amp;N187)*L187/ROUNDUP(L187,0)</f>
        <v/>
      </c>
      <c r="T187" s="14">
        <f>SUMIFS(Donnees_regimes!$N$3:$N$1118,Donnees_regimes!$A$3:$A$1118,C187,Donnees_regimes!$B$3:$B$1118,"&gt;="&amp;G187,Donnees_regimes!$B$3:$B$1118,"&lt;="&amp;N187)*L187/ROUNDUP(L187,0)</f>
        <v/>
      </c>
      <c r="U187" s="14">
        <f>SUMIFS(Donnees_regimes!$O$3:$O$1118,Donnees_regimes!$A$3:$A$1118,C187,Donnees_regimes!$B$3:$B$1118,"&gt;="&amp;G187,Donnees_regimes!$B$3:$B$1118,"&lt;="&amp;N187)*L187/ROUNDUP(L187,0)</f>
        <v/>
      </c>
      <c r="V187" s="14">
        <f>T187+U187</f>
        <v/>
      </c>
      <c r="W187" s="33">
        <f>V187/S187</f>
        <v/>
      </c>
      <c r="X187" s="14">
        <f>S187+U187</f>
        <v/>
      </c>
      <c r="Y187" s="17">
        <f>V187/P187</f>
        <v/>
      </c>
      <c r="Z187" s="14">
        <f>SUMIFS(Donnees_regimes!$Q$3:$Q$1118,Donnees_regimes!$A$3:$A$1118,C187,Donnees_regimes!$B$3:$B$1118,"&gt;="&amp;G187,Donnees_regimes!$B$3:$B$1118,"&lt;="&amp;N187)*L187/ROUNDUP(L187,0)</f>
        <v/>
      </c>
      <c r="AA187" s="77">
        <f>SUMIFS(Regles_regimes!$F$3:$F$2000,Regles_regimes!$A$3:$A$2000,C187,Regles_regimes!$B$3:$B$2000,D187,Regles_regimes!$C$3:$C$2000,MAX(1915,MIN(2025,E187)))</f>
        <v/>
      </c>
      <c r="AB187" s="77">
        <f>IF(AND(SUMIFS(Regles_regimes!$L$3:$L$2000,Regles_regimes!$A$3:$A$2000,C187,Regles_regimes!$B$3:$B$2000,D187,Regles_regimes!$C$3:$C$2000,MAX(1915,MIN(2025,E187)))=1,G187&lt;2009,C187&lt;&gt;"Privé"),MIN(20,L187*4/5),0)</f>
        <v/>
      </c>
      <c r="AC187" s="89">
        <f>SUMIFS(Donnees_regimes!$M$3:$M$1118,Donnees_regimes!$A$3:$A$1118,C187,Donnees_regimes!$B$3:$B$1118,M187)</f>
        <v/>
      </c>
      <c r="AD187" s="14">
        <f>SUMIFS(Donnees_annuelles!$Y$3:$Y$188,Donnees_annuelles!$A$3:$A$188,M187)*SUMIFS(Donnees_generations!$I$3:$I$113,Donnees_generations!$A$3:$A$113,MAX(1915,MIN(2025,E187)))/H187</f>
        <v/>
      </c>
      <c r="AE187" s="14">
        <f>IF(C187="Privé",SUMIFS(Donnees_annuelles!$Y$3:$Y$188,Donnees_annuelles!$A$3:$A$188,M187)*MIN(L187,SUMIFS(Donnees_generations!$I$3:$I$113,Donnees_generations!$A$3:$A$113,MAX(1915,MIN(2025,E187))))/L187,AD187*AC187*MIN(IF(AB187&gt;0,0.8/0.75,1),(L187*4+AB187)/AA187))</f>
        <v/>
      </c>
      <c r="AF187" s="14">
        <f>AE187/12</f>
        <v/>
      </c>
      <c r="AG187" s="77">
        <f>MIN(68,MAX(56,2*INT(K187/2)))</f>
        <v/>
      </c>
      <c r="AH187" s="75">
        <f>(CHOOSE((AG187-56)/2+1,SUMIFS(Donnees_generations!$U$3:$U$113,Donnees_generations!$A$3:$A$113,MAX(1915,MIN(2025,E187))),SUMIFS(Donnees_generations!$V$3:$V$113,Donnees_generations!$A$3:$A$113,MAX(1915,MIN(2025,E187))),SUMIFS(Donnees_generations!$W$3:$W$113,Donnees_generations!$A$3:$A$113,MAX(1915,MIN(2025,E187))),SUMIFS(Donnees_generations!$X$3:$X$113,Donnees_generations!$A$3:$A$113,MAX(1915,MIN(2025,E187))),SUMIFS(Donnees_generations!$Y$3:$Y$113,Donnees_generations!$A$3:$A$113,MAX(1915,MIN(2025,E187))),SUMIFS(Donnees_generations!$Z$3:$Z$113,Donnees_generations!$A$3:$A$113,MAX(1915,MIN(2025,E187))),SUMIFS(Donnees_generations!$AA$3:$AA$113,Donnees_generations!$A$3:$A$113,MAX(1915,MIN(2025,E187))),SUMIFS(Donnees_generations!$AB$3:$AB$113,Donnees_generations!$A$3:$A$113,MAX(1915,MIN(2025,E187))))+CHOOSE((AG187-56)/2+1,SUMIFS(Donnees_generations!$AC$3:$AC$113,Donnees_generations!$A$3:$A$113,MAX(1915,MIN(2025,E187))),SUMIFS(Donnees_generations!$AD$3:$AD$113,Donnees_generations!$A$3:$A$113,MAX(1915,MIN(2025,E187))),SUMIFS(Donnees_generations!$AE$3:$AE$113,Donnees_generations!$A$3:$A$113,MAX(1915,MIN(2025,E187))),SUMIFS(Donnees_generations!$AF$3:$AF$113,Donnees_generations!$A$3:$A$113,MAX(1915,MIN(2025,E187))),SUMIFS(Donnees_generations!$AG$3:$AG$113,Donnees_generations!$A$3:$A$113,MAX(1915,MIN(2025,E187))),SUMIFS(Donnees_generations!$AH$3:$AH$113,Donnees_generations!$A$3:$A$113,MAX(1915,MIN(2025,E187))),SUMIFS(Donnees_generations!$AI$3:$AI$113,Donnees_generations!$A$3:$A$113,MAX(1915,MIN(2025,E187))),SUMIFS(Donnees_generations!$AJ$3:$AJ$113,Donnees_generations!$A$3:$A$113,MAX(1915,MIN(2025,E187)))))/2</f>
        <v/>
      </c>
      <c r="AI187" s="75">
        <f>(CHOOSE(((AG187+2)-56)/2+1,SUMIFS(Donnees_generations!$U$3:$U$113,Donnees_generations!$A$3:$A$113,MAX(1915,MIN(2025,E187))),SUMIFS(Donnees_generations!$V$3:$V$113,Donnees_generations!$A$3:$A$113,MAX(1915,MIN(2025,E187))),SUMIFS(Donnees_generations!$W$3:$W$113,Donnees_generations!$A$3:$A$113,MAX(1915,MIN(2025,E187))),SUMIFS(Donnees_generations!$X$3:$X$113,Donnees_generations!$A$3:$A$113,MAX(1915,MIN(2025,E187))),SUMIFS(Donnees_generations!$Y$3:$Y$113,Donnees_generations!$A$3:$A$113,MAX(1915,MIN(2025,E187))),SUMIFS(Donnees_generations!$Z$3:$Z$113,Donnees_generations!$A$3:$A$113,MAX(1915,MIN(2025,E187))),SUMIFS(Donnees_generations!$AA$3:$AA$113,Donnees_generations!$A$3:$A$113,MAX(1915,MIN(2025,E187))),SUMIFS(Donnees_generations!$AB$3:$AB$113,Donnees_generations!$A$3:$A$113,MAX(1915,MIN(2025,E187))))+CHOOSE(((AG187+2)-56)/2+1,SUMIFS(Donnees_generations!$AC$3:$AC$113,Donnees_generations!$A$3:$A$113,MAX(1915,MIN(2025,E187))),SUMIFS(Donnees_generations!$AD$3:$AD$113,Donnees_generations!$A$3:$A$113,MAX(1915,MIN(2025,E187))),SUMIFS(Donnees_generations!$AE$3:$AE$113,Donnees_generations!$A$3:$A$113,MAX(1915,MIN(2025,E187))),SUMIFS(Donnees_generations!$AF$3:$AF$113,Donnees_generations!$A$3:$A$113,MAX(1915,MIN(2025,E187))),SUMIFS(Donnees_generations!$AG$3:$AG$113,Donnees_generations!$A$3:$A$113,MAX(1915,MIN(2025,E187))),SUMIFS(Donnees_generations!$AH$3:$AH$113,Donnees_generations!$A$3:$A$113,MAX(1915,MIN(2025,E187))),SUMIFS(Donnees_generations!$AI$3:$AI$113,Donnees_generations!$A$3:$A$113,MAX(1915,MIN(2025,E187))),SUMIFS(Donnees_generations!$AJ$3:$AJ$113,Donnees_generations!$A$3:$A$113,MAX(1915,MIN(2025,E187)))))/2</f>
        <v/>
      </c>
      <c r="AJ187" s="8">
        <f>MAX(0,AH187+(AI187-AH187)*(K187-AG187)/2)</f>
        <v/>
      </c>
      <c r="AK187" s="8">
        <f>K187+AJ187</f>
        <v/>
      </c>
      <c r="AL187" s="14">
        <f>AE187*AJ187</f>
        <v/>
      </c>
      <c r="AM187" s="17">
        <f>V187/AL187</f>
        <v/>
      </c>
      <c r="AN187" s="17">
        <f>Z187/AL187</f>
        <v/>
      </c>
      <c r="AO187" s="33">
        <f>IF(V187+Z187=0,0,Z187/(V187+Z187))</f>
        <v/>
      </c>
      <c r="AP187" s="14">
        <f>AL187/V187*100</f>
        <v/>
      </c>
      <c r="AQ187" s="8">
        <f>P187/AL187*1000</f>
        <v/>
      </c>
      <c r="AR187" s="77">
        <f>MAX(N187,M187-1)</f>
        <v/>
      </c>
      <c r="AS187" s="14">
        <f>SUMIFS(Donnees_regimes!$R$3:$R$1118,Donnees_regimes!$A$3:$A$1118,C187,Donnees_regimes!$B$3:$B$1118,"&gt;="&amp;G187,Donnees_regimes!$B$3:$B$1118,"&lt;="&amp;N187)*L187/ROUNDUP(L187,0)*SUMIFS(Donnees_annuelles!$AG$3:$AG$188,Donnees_annuelles!$A$3:$A$188,AR187)*SUMIFS(Donnees_annuelles!$AA$3:$AA$188,Donnees_annuelles!$A$3:$A$188,AR187)</f>
        <v/>
      </c>
      <c r="AT187" s="36">
        <f>AS187/V187</f>
        <v/>
      </c>
      <c r="AU187" s="14">
        <f>AL187</f>
        <v/>
      </c>
      <c r="AV187" s="39">
        <f>AS187-AL187</f>
        <v/>
      </c>
      <c r="AW187" s="9">
        <f>AS187/AL187-1</f>
        <v/>
      </c>
      <c r="AX187" s="14">
        <f>AS187/AJ187/12</f>
        <v/>
      </c>
      <c r="AY187" s="14">
        <f>AF187</f>
        <v/>
      </c>
      <c r="AZ187" s="39">
        <f>AX187-AF187</f>
        <v/>
      </c>
      <c r="BA187" s="14">
        <f>SUMIFS(Donnees_regimes!$S$3:$S$1118,Donnees_regimes!$A$3:$A$1118,C187,Donnees_regimes!$B$3:$B$1118,"&gt;="&amp;G187,Donnees_regimes!$B$3:$B$1118,"&lt;="&amp;N187)*L187/ROUNDUP(L187,0)*SUMIFS(Donnees_annuelles!$AH$3:$AH$188,Donnees_annuelles!$A$3:$A$188,AR187)*SUMIFS(Donnees_annuelles!$AA$3:$AA$188,Donnees_annuelles!$A$3:$A$188,AR187)</f>
        <v/>
      </c>
      <c r="BB187" s="39">
        <f>BA187-AL187</f>
        <v/>
      </c>
      <c r="BC187" s="7">
        <f>IF(M187+AJ187&gt;2026,IF(G187&gt;2026,"entièrement projeté","en partie projeté"),"observé")</f>
        <v/>
      </c>
    </row>
    <row r="188">
      <c r="A188" s="7" t="inlineStr">
        <is>
          <t>Génération Alpha</t>
        </is>
      </c>
      <c r="B188" s="84" t="inlineStr">
        <is>
          <t>Fonction publique d'État</t>
        </is>
      </c>
      <c r="C188" s="7">
        <f>IF(G188&gt;=SUMIFS(Regimes!$C$5:$C$10,Regimes!$A$5:$A$10,B188),"Privé",B188)</f>
        <v/>
      </c>
      <c r="D188" s="7">
        <f>INDEX(Regimes!$D$5:$D$10,MATCH(C188,Regimes!$A$5:$A$10,0))</f>
        <v/>
      </c>
      <c r="E188" s="88" t="n">
        <v>2015</v>
      </c>
      <c r="F188" s="8">
        <f>Donnees_generations!C103</f>
        <v/>
      </c>
      <c r="G188" s="77">
        <f>Donnees_generations!D103</f>
        <v/>
      </c>
      <c r="H188" s="8">
        <f>SUMIFS(Donnees_generations!$S$3:$S$113,Donnees_generations!$A$3:$A$113,MAX(1915,MIN(2025,E188)))</f>
        <v/>
      </c>
      <c r="I188" s="8">
        <f>SUMIFS(Donnees_generations!$T$3:$T$113,Donnees_generations!$A$3:$A$113,MAX(1915,MIN(2025,E188)))</f>
        <v/>
      </c>
      <c r="J188" s="8">
        <f>IF(G188&gt;=2000,MAX(I188,Parametres!$B$3),I188)</f>
        <v/>
      </c>
      <c r="K188" s="8">
        <f>IF(C188="Privé",J188,SUMIFS(Regles_regimes!$J$3:$J$2000,Regles_regimes!$A$3:$A$2000,C188,Regles_regimes!$B$3:$B$2000,D188,Regles_regimes!$C$3:$C$2000,MAX(1915,MIN(2025,E188))))</f>
        <v/>
      </c>
      <c r="L188" s="8">
        <f>IF(C188="Privé",H188,(K188-F188)*H188/(J188-F188))</f>
        <v/>
      </c>
      <c r="M188" s="77">
        <f>INT(E188+K188)</f>
        <v/>
      </c>
      <c r="N188" s="77">
        <f>G188+ROUNDUP(L188,0)-1</f>
        <v/>
      </c>
      <c r="O188" s="89">
        <f>SUMIFS(Regles_regimes!$K$3:$K$2000,Regles_regimes!$A$3:$A$2000,C188,Regles_regimes!$B$3:$B$2000,D188,Regles_regimes!$C$3:$C$2000,MAX(1915,MIN(2025,E188)))</f>
        <v/>
      </c>
      <c r="P188" s="13">
        <f>SUMIFS(Donnees_annuelles!$W$3:$W$188,Donnees_annuelles!$A$3:$A$188,"&gt;="&amp;G188,Donnees_annuelles!$A$3:$A$188,"&lt;="&amp;N188)*L188/ROUNDUP(L188,0)*O188</f>
        <v/>
      </c>
      <c r="Q188" s="13">
        <f>SUMIFS(Donnees_annuelles!$V$3:$V$188,Donnees_annuelles!$A$3:$A$188,"&gt;="&amp;G188,Donnees_annuelles!$A$3:$A$188,"&lt;="&amp;N188)*L188/ROUNDUP(L188,0)</f>
        <v/>
      </c>
      <c r="R188" s="13">
        <f>P188/L188</f>
        <v/>
      </c>
      <c r="S188" s="14">
        <f>SUMIFS(Donnees_annuelles!$D$3:$D$188,Donnees_annuelles!$A$3:$A$188,"&gt;="&amp;G188,Donnees_annuelles!$A$3:$A$188,"&lt;="&amp;N188)*L188/ROUNDUP(L188,0)</f>
        <v/>
      </c>
      <c r="T188" s="14">
        <f>SUMIFS(Donnees_regimes!$N$3:$N$1118,Donnees_regimes!$A$3:$A$1118,C188,Donnees_regimes!$B$3:$B$1118,"&gt;="&amp;G188,Donnees_regimes!$B$3:$B$1118,"&lt;="&amp;N188)*L188/ROUNDUP(L188,0)</f>
        <v/>
      </c>
      <c r="U188" s="14">
        <f>SUMIFS(Donnees_regimes!$O$3:$O$1118,Donnees_regimes!$A$3:$A$1118,C188,Donnees_regimes!$B$3:$B$1118,"&gt;="&amp;G188,Donnees_regimes!$B$3:$B$1118,"&lt;="&amp;N188)*L188/ROUNDUP(L188,0)</f>
        <v/>
      </c>
      <c r="V188" s="14">
        <f>T188+U188</f>
        <v/>
      </c>
      <c r="W188" s="33">
        <f>V188/S188</f>
        <v/>
      </c>
      <c r="X188" s="14">
        <f>S188+U188</f>
        <v/>
      </c>
      <c r="Y188" s="17">
        <f>V188/P188</f>
        <v/>
      </c>
      <c r="Z188" s="14">
        <f>SUMIFS(Donnees_regimes!$Q$3:$Q$1118,Donnees_regimes!$A$3:$A$1118,C188,Donnees_regimes!$B$3:$B$1118,"&gt;="&amp;G188,Donnees_regimes!$B$3:$B$1118,"&lt;="&amp;N188)*L188/ROUNDUP(L188,0)</f>
        <v/>
      </c>
      <c r="AA188" s="77">
        <f>SUMIFS(Regles_regimes!$F$3:$F$2000,Regles_regimes!$A$3:$A$2000,C188,Regles_regimes!$B$3:$B$2000,D188,Regles_regimes!$C$3:$C$2000,MAX(1915,MIN(2025,E188)))</f>
        <v/>
      </c>
      <c r="AB188" s="77">
        <f>IF(AND(SUMIFS(Regles_regimes!$L$3:$L$2000,Regles_regimes!$A$3:$A$2000,C188,Regles_regimes!$B$3:$B$2000,D188,Regles_regimes!$C$3:$C$2000,MAX(1915,MIN(2025,E188)))=1,G188&lt;2009,C188&lt;&gt;"Privé"),MIN(20,L188*4/5),0)</f>
        <v/>
      </c>
      <c r="AC188" s="89">
        <f>SUMIFS(Donnees_regimes!$M$3:$M$1118,Donnees_regimes!$A$3:$A$1118,C188,Donnees_regimes!$B$3:$B$1118,M188)</f>
        <v/>
      </c>
      <c r="AD188" s="14">
        <f>SUMIFS(Donnees_annuelles!$Y$3:$Y$188,Donnees_annuelles!$A$3:$A$188,M188)*SUMIFS(Donnees_generations!$I$3:$I$113,Donnees_generations!$A$3:$A$113,MAX(1915,MIN(2025,E188)))/H188</f>
        <v/>
      </c>
      <c r="AE188" s="14">
        <f>IF(C188="Privé",SUMIFS(Donnees_annuelles!$Y$3:$Y$188,Donnees_annuelles!$A$3:$A$188,M188)*MIN(L188,SUMIFS(Donnees_generations!$I$3:$I$113,Donnees_generations!$A$3:$A$113,MAX(1915,MIN(2025,E188))))/L188,AD188*AC188*MIN(IF(AB188&gt;0,0.8/0.75,1),(L188*4+AB188)/AA188))</f>
        <v/>
      </c>
      <c r="AF188" s="14">
        <f>AE188/12</f>
        <v/>
      </c>
      <c r="AG188" s="77">
        <f>MIN(68,MAX(56,2*INT(K188/2)))</f>
        <v/>
      </c>
      <c r="AH188" s="75">
        <f>(CHOOSE((AG188-56)/2+1,SUMIFS(Donnees_generations!$U$3:$U$113,Donnees_generations!$A$3:$A$113,MAX(1915,MIN(2025,E188))),SUMIFS(Donnees_generations!$V$3:$V$113,Donnees_generations!$A$3:$A$113,MAX(1915,MIN(2025,E188))),SUMIFS(Donnees_generations!$W$3:$W$113,Donnees_generations!$A$3:$A$113,MAX(1915,MIN(2025,E188))),SUMIFS(Donnees_generations!$X$3:$X$113,Donnees_generations!$A$3:$A$113,MAX(1915,MIN(2025,E188))),SUMIFS(Donnees_generations!$Y$3:$Y$113,Donnees_generations!$A$3:$A$113,MAX(1915,MIN(2025,E188))),SUMIFS(Donnees_generations!$Z$3:$Z$113,Donnees_generations!$A$3:$A$113,MAX(1915,MIN(2025,E188))),SUMIFS(Donnees_generations!$AA$3:$AA$113,Donnees_generations!$A$3:$A$113,MAX(1915,MIN(2025,E188))),SUMIFS(Donnees_generations!$AB$3:$AB$113,Donnees_generations!$A$3:$A$113,MAX(1915,MIN(2025,E188))))+CHOOSE((AG188-56)/2+1,SUMIFS(Donnees_generations!$AC$3:$AC$113,Donnees_generations!$A$3:$A$113,MAX(1915,MIN(2025,E188))),SUMIFS(Donnees_generations!$AD$3:$AD$113,Donnees_generations!$A$3:$A$113,MAX(1915,MIN(2025,E188))),SUMIFS(Donnees_generations!$AE$3:$AE$113,Donnees_generations!$A$3:$A$113,MAX(1915,MIN(2025,E188))),SUMIFS(Donnees_generations!$AF$3:$AF$113,Donnees_generations!$A$3:$A$113,MAX(1915,MIN(2025,E188))),SUMIFS(Donnees_generations!$AG$3:$AG$113,Donnees_generations!$A$3:$A$113,MAX(1915,MIN(2025,E188))),SUMIFS(Donnees_generations!$AH$3:$AH$113,Donnees_generations!$A$3:$A$113,MAX(1915,MIN(2025,E188))),SUMIFS(Donnees_generations!$AI$3:$AI$113,Donnees_generations!$A$3:$A$113,MAX(1915,MIN(2025,E188))),SUMIFS(Donnees_generations!$AJ$3:$AJ$113,Donnees_generations!$A$3:$A$113,MAX(1915,MIN(2025,E188)))))/2</f>
        <v/>
      </c>
      <c r="AI188" s="75">
        <f>(CHOOSE(((AG188+2)-56)/2+1,SUMIFS(Donnees_generations!$U$3:$U$113,Donnees_generations!$A$3:$A$113,MAX(1915,MIN(2025,E188))),SUMIFS(Donnees_generations!$V$3:$V$113,Donnees_generations!$A$3:$A$113,MAX(1915,MIN(2025,E188))),SUMIFS(Donnees_generations!$W$3:$W$113,Donnees_generations!$A$3:$A$113,MAX(1915,MIN(2025,E188))),SUMIFS(Donnees_generations!$X$3:$X$113,Donnees_generations!$A$3:$A$113,MAX(1915,MIN(2025,E188))),SUMIFS(Donnees_generations!$Y$3:$Y$113,Donnees_generations!$A$3:$A$113,MAX(1915,MIN(2025,E188))),SUMIFS(Donnees_generations!$Z$3:$Z$113,Donnees_generations!$A$3:$A$113,MAX(1915,MIN(2025,E188))),SUMIFS(Donnees_generations!$AA$3:$AA$113,Donnees_generations!$A$3:$A$113,MAX(1915,MIN(2025,E188))),SUMIFS(Donnees_generations!$AB$3:$AB$113,Donnees_generations!$A$3:$A$113,MAX(1915,MIN(2025,E188))))+CHOOSE(((AG188+2)-56)/2+1,SUMIFS(Donnees_generations!$AC$3:$AC$113,Donnees_generations!$A$3:$A$113,MAX(1915,MIN(2025,E188))),SUMIFS(Donnees_generations!$AD$3:$AD$113,Donnees_generations!$A$3:$A$113,MAX(1915,MIN(2025,E188))),SUMIFS(Donnees_generations!$AE$3:$AE$113,Donnees_generations!$A$3:$A$113,MAX(1915,MIN(2025,E188))),SUMIFS(Donnees_generations!$AF$3:$AF$113,Donnees_generations!$A$3:$A$113,MAX(1915,MIN(2025,E188))),SUMIFS(Donnees_generations!$AG$3:$AG$113,Donnees_generations!$A$3:$A$113,MAX(1915,MIN(2025,E188))),SUMIFS(Donnees_generations!$AH$3:$AH$113,Donnees_generations!$A$3:$A$113,MAX(1915,MIN(2025,E188))),SUMIFS(Donnees_generations!$AI$3:$AI$113,Donnees_generations!$A$3:$A$113,MAX(1915,MIN(2025,E188))),SUMIFS(Donnees_generations!$AJ$3:$AJ$113,Donnees_generations!$A$3:$A$113,MAX(1915,MIN(2025,E188)))))/2</f>
        <v/>
      </c>
      <c r="AJ188" s="8">
        <f>MAX(0,AH188+(AI188-AH188)*(K188-AG188)/2)</f>
        <v/>
      </c>
      <c r="AK188" s="8">
        <f>K188+AJ188</f>
        <v/>
      </c>
      <c r="AL188" s="14">
        <f>AE188*AJ188</f>
        <v/>
      </c>
      <c r="AM188" s="17">
        <f>V188/AL188</f>
        <v/>
      </c>
      <c r="AN188" s="17">
        <f>Z188/AL188</f>
        <v/>
      </c>
      <c r="AO188" s="33">
        <f>IF(V188+Z188=0,0,Z188/(V188+Z188))</f>
        <v/>
      </c>
      <c r="AP188" s="14">
        <f>AL188/V188*100</f>
        <v/>
      </c>
      <c r="AQ188" s="8">
        <f>P188/AL188*1000</f>
        <v/>
      </c>
      <c r="AR188" s="77">
        <f>MAX(N188,M188-1)</f>
        <v/>
      </c>
      <c r="AS188" s="14">
        <f>SUMIFS(Donnees_regimes!$R$3:$R$1118,Donnees_regimes!$A$3:$A$1118,C188,Donnees_regimes!$B$3:$B$1118,"&gt;="&amp;G188,Donnees_regimes!$B$3:$B$1118,"&lt;="&amp;N188)*L188/ROUNDUP(L188,0)*SUMIFS(Donnees_annuelles!$AG$3:$AG$188,Donnees_annuelles!$A$3:$A$188,AR188)*SUMIFS(Donnees_annuelles!$AA$3:$AA$188,Donnees_annuelles!$A$3:$A$188,AR188)</f>
        <v/>
      </c>
      <c r="AT188" s="36">
        <f>AS188/V188</f>
        <v/>
      </c>
      <c r="AU188" s="14">
        <f>AL188</f>
        <v/>
      </c>
      <c r="AV188" s="39">
        <f>AS188-AL188</f>
        <v/>
      </c>
      <c r="AW188" s="9">
        <f>AS188/AL188-1</f>
        <v/>
      </c>
      <c r="AX188" s="14">
        <f>AS188/AJ188/12</f>
        <v/>
      </c>
      <c r="AY188" s="14">
        <f>AF188</f>
        <v/>
      </c>
      <c r="AZ188" s="39">
        <f>AX188-AF188</f>
        <v/>
      </c>
      <c r="BA188" s="14">
        <f>SUMIFS(Donnees_regimes!$S$3:$S$1118,Donnees_regimes!$A$3:$A$1118,C188,Donnees_regimes!$B$3:$B$1118,"&gt;="&amp;G188,Donnees_regimes!$B$3:$B$1118,"&lt;="&amp;N188)*L188/ROUNDUP(L188,0)*SUMIFS(Donnees_annuelles!$AH$3:$AH$188,Donnees_annuelles!$A$3:$A$188,AR188)*SUMIFS(Donnees_annuelles!$AA$3:$AA$188,Donnees_annuelles!$A$3:$A$188,AR188)</f>
        <v/>
      </c>
      <c r="BB188" s="39">
        <f>BA188-AL188</f>
        <v/>
      </c>
      <c r="BC188" s="7">
        <f>IF(M188+AJ188&gt;2026,IF(G188&gt;2026,"entièrement projeté","en partie projeté"),"observé")</f>
        <v/>
      </c>
    </row>
    <row r="189">
      <c r="A189" s="7" t="inlineStr">
        <is>
          <t>Génération Alpha</t>
        </is>
      </c>
      <c r="B189" s="84" t="inlineStr">
        <is>
          <t>Fonction publique d'État</t>
        </is>
      </c>
      <c r="C189" s="7">
        <f>IF(G189&gt;=SUMIFS(Regimes!$C$5:$C$10,Regimes!$A$5:$A$10,B189),"Privé",B189)</f>
        <v/>
      </c>
      <c r="D189" s="7">
        <f>INDEX(Regimes!$D$5:$D$10,MATCH(C189,Regimes!$A$5:$A$10,0))</f>
        <v/>
      </c>
      <c r="E189" s="88" t="n">
        <v>2016</v>
      </c>
      <c r="F189" s="8">
        <f>Donnees_generations!C104</f>
        <v/>
      </c>
      <c r="G189" s="77">
        <f>Donnees_generations!D104</f>
        <v/>
      </c>
      <c r="H189" s="8">
        <f>SUMIFS(Donnees_generations!$S$3:$S$113,Donnees_generations!$A$3:$A$113,MAX(1915,MIN(2025,E189)))</f>
        <v/>
      </c>
      <c r="I189" s="8">
        <f>SUMIFS(Donnees_generations!$T$3:$T$113,Donnees_generations!$A$3:$A$113,MAX(1915,MIN(2025,E189)))</f>
        <v/>
      </c>
      <c r="J189" s="8">
        <f>IF(G189&gt;=2000,MAX(I189,Parametres!$B$3),I189)</f>
        <v/>
      </c>
      <c r="K189" s="8">
        <f>IF(C189="Privé",J189,SUMIFS(Regles_regimes!$J$3:$J$2000,Regles_regimes!$A$3:$A$2000,C189,Regles_regimes!$B$3:$B$2000,D189,Regles_regimes!$C$3:$C$2000,MAX(1915,MIN(2025,E189))))</f>
        <v/>
      </c>
      <c r="L189" s="8">
        <f>IF(C189="Privé",H189,(K189-F189)*H189/(J189-F189))</f>
        <v/>
      </c>
      <c r="M189" s="77">
        <f>INT(E189+K189)</f>
        <v/>
      </c>
      <c r="N189" s="77">
        <f>G189+ROUNDUP(L189,0)-1</f>
        <v/>
      </c>
      <c r="O189" s="89">
        <f>SUMIFS(Regles_regimes!$K$3:$K$2000,Regles_regimes!$A$3:$A$2000,C189,Regles_regimes!$B$3:$B$2000,D189,Regles_regimes!$C$3:$C$2000,MAX(1915,MIN(2025,E189)))</f>
        <v/>
      </c>
      <c r="P189" s="13">
        <f>SUMIFS(Donnees_annuelles!$W$3:$W$188,Donnees_annuelles!$A$3:$A$188,"&gt;="&amp;G189,Donnees_annuelles!$A$3:$A$188,"&lt;="&amp;N189)*L189/ROUNDUP(L189,0)*O189</f>
        <v/>
      </c>
      <c r="Q189" s="13">
        <f>SUMIFS(Donnees_annuelles!$V$3:$V$188,Donnees_annuelles!$A$3:$A$188,"&gt;="&amp;G189,Donnees_annuelles!$A$3:$A$188,"&lt;="&amp;N189)*L189/ROUNDUP(L189,0)</f>
        <v/>
      </c>
      <c r="R189" s="13">
        <f>P189/L189</f>
        <v/>
      </c>
      <c r="S189" s="14">
        <f>SUMIFS(Donnees_annuelles!$D$3:$D$188,Donnees_annuelles!$A$3:$A$188,"&gt;="&amp;G189,Donnees_annuelles!$A$3:$A$188,"&lt;="&amp;N189)*L189/ROUNDUP(L189,0)</f>
        <v/>
      </c>
      <c r="T189" s="14">
        <f>SUMIFS(Donnees_regimes!$N$3:$N$1118,Donnees_regimes!$A$3:$A$1118,C189,Donnees_regimes!$B$3:$B$1118,"&gt;="&amp;G189,Donnees_regimes!$B$3:$B$1118,"&lt;="&amp;N189)*L189/ROUNDUP(L189,0)</f>
        <v/>
      </c>
      <c r="U189" s="14">
        <f>SUMIFS(Donnees_regimes!$O$3:$O$1118,Donnees_regimes!$A$3:$A$1118,C189,Donnees_regimes!$B$3:$B$1118,"&gt;="&amp;G189,Donnees_regimes!$B$3:$B$1118,"&lt;="&amp;N189)*L189/ROUNDUP(L189,0)</f>
        <v/>
      </c>
      <c r="V189" s="14">
        <f>T189+U189</f>
        <v/>
      </c>
      <c r="W189" s="33">
        <f>V189/S189</f>
        <v/>
      </c>
      <c r="X189" s="14">
        <f>S189+U189</f>
        <v/>
      </c>
      <c r="Y189" s="17">
        <f>V189/P189</f>
        <v/>
      </c>
      <c r="Z189" s="14">
        <f>SUMIFS(Donnees_regimes!$Q$3:$Q$1118,Donnees_regimes!$A$3:$A$1118,C189,Donnees_regimes!$B$3:$B$1118,"&gt;="&amp;G189,Donnees_regimes!$B$3:$B$1118,"&lt;="&amp;N189)*L189/ROUNDUP(L189,0)</f>
        <v/>
      </c>
      <c r="AA189" s="77">
        <f>SUMIFS(Regles_regimes!$F$3:$F$2000,Regles_regimes!$A$3:$A$2000,C189,Regles_regimes!$B$3:$B$2000,D189,Regles_regimes!$C$3:$C$2000,MAX(1915,MIN(2025,E189)))</f>
        <v/>
      </c>
      <c r="AB189" s="77">
        <f>IF(AND(SUMIFS(Regles_regimes!$L$3:$L$2000,Regles_regimes!$A$3:$A$2000,C189,Regles_regimes!$B$3:$B$2000,D189,Regles_regimes!$C$3:$C$2000,MAX(1915,MIN(2025,E189)))=1,G189&lt;2009,C189&lt;&gt;"Privé"),MIN(20,L189*4/5),0)</f>
        <v/>
      </c>
      <c r="AC189" s="89">
        <f>SUMIFS(Donnees_regimes!$M$3:$M$1118,Donnees_regimes!$A$3:$A$1118,C189,Donnees_regimes!$B$3:$B$1118,M189)</f>
        <v/>
      </c>
      <c r="AD189" s="14">
        <f>SUMIFS(Donnees_annuelles!$Y$3:$Y$188,Donnees_annuelles!$A$3:$A$188,M189)*SUMIFS(Donnees_generations!$I$3:$I$113,Donnees_generations!$A$3:$A$113,MAX(1915,MIN(2025,E189)))/H189</f>
        <v/>
      </c>
      <c r="AE189" s="14">
        <f>IF(C189="Privé",SUMIFS(Donnees_annuelles!$Y$3:$Y$188,Donnees_annuelles!$A$3:$A$188,M189)*MIN(L189,SUMIFS(Donnees_generations!$I$3:$I$113,Donnees_generations!$A$3:$A$113,MAX(1915,MIN(2025,E189))))/L189,AD189*AC189*MIN(IF(AB189&gt;0,0.8/0.75,1),(L189*4+AB189)/AA189))</f>
        <v/>
      </c>
      <c r="AF189" s="14">
        <f>AE189/12</f>
        <v/>
      </c>
      <c r="AG189" s="77">
        <f>MIN(68,MAX(56,2*INT(K189/2)))</f>
        <v/>
      </c>
      <c r="AH189" s="75">
        <f>(CHOOSE((AG189-56)/2+1,SUMIFS(Donnees_generations!$U$3:$U$113,Donnees_generations!$A$3:$A$113,MAX(1915,MIN(2025,E189))),SUMIFS(Donnees_generations!$V$3:$V$113,Donnees_generations!$A$3:$A$113,MAX(1915,MIN(2025,E189))),SUMIFS(Donnees_generations!$W$3:$W$113,Donnees_generations!$A$3:$A$113,MAX(1915,MIN(2025,E189))),SUMIFS(Donnees_generations!$X$3:$X$113,Donnees_generations!$A$3:$A$113,MAX(1915,MIN(2025,E189))),SUMIFS(Donnees_generations!$Y$3:$Y$113,Donnees_generations!$A$3:$A$113,MAX(1915,MIN(2025,E189))),SUMIFS(Donnees_generations!$Z$3:$Z$113,Donnees_generations!$A$3:$A$113,MAX(1915,MIN(2025,E189))),SUMIFS(Donnees_generations!$AA$3:$AA$113,Donnees_generations!$A$3:$A$113,MAX(1915,MIN(2025,E189))),SUMIFS(Donnees_generations!$AB$3:$AB$113,Donnees_generations!$A$3:$A$113,MAX(1915,MIN(2025,E189))))+CHOOSE((AG189-56)/2+1,SUMIFS(Donnees_generations!$AC$3:$AC$113,Donnees_generations!$A$3:$A$113,MAX(1915,MIN(2025,E189))),SUMIFS(Donnees_generations!$AD$3:$AD$113,Donnees_generations!$A$3:$A$113,MAX(1915,MIN(2025,E189))),SUMIFS(Donnees_generations!$AE$3:$AE$113,Donnees_generations!$A$3:$A$113,MAX(1915,MIN(2025,E189))),SUMIFS(Donnees_generations!$AF$3:$AF$113,Donnees_generations!$A$3:$A$113,MAX(1915,MIN(2025,E189))),SUMIFS(Donnees_generations!$AG$3:$AG$113,Donnees_generations!$A$3:$A$113,MAX(1915,MIN(2025,E189))),SUMIFS(Donnees_generations!$AH$3:$AH$113,Donnees_generations!$A$3:$A$113,MAX(1915,MIN(2025,E189))),SUMIFS(Donnees_generations!$AI$3:$AI$113,Donnees_generations!$A$3:$A$113,MAX(1915,MIN(2025,E189))),SUMIFS(Donnees_generations!$AJ$3:$AJ$113,Donnees_generations!$A$3:$A$113,MAX(1915,MIN(2025,E189)))))/2</f>
        <v/>
      </c>
      <c r="AI189" s="75">
        <f>(CHOOSE(((AG189+2)-56)/2+1,SUMIFS(Donnees_generations!$U$3:$U$113,Donnees_generations!$A$3:$A$113,MAX(1915,MIN(2025,E189))),SUMIFS(Donnees_generations!$V$3:$V$113,Donnees_generations!$A$3:$A$113,MAX(1915,MIN(2025,E189))),SUMIFS(Donnees_generations!$W$3:$W$113,Donnees_generations!$A$3:$A$113,MAX(1915,MIN(2025,E189))),SUMIFS(Donnees_generations!$X$3:$X$113,Donnees_generations!$A$3:$A$113,MAX(1915,MIN(2025,E189))),SUMIFS(Donnees_generations!$Y$3:$Y$113,Donnees_generations!$A$3:$A$113,MAX(1915,MIN(2025,E189))),SUMIFS(Donnees_generations!$Z$3:$Z$113,Donnees_generations!$A$3:$A$113,MAX(1915,MIN(2025,E189))),SUMIFS(Donnees_generations!$AA$3:$AA$113,Donnees_generations!$A$3:$A$113,MAX(1915,MIN(2025,E189))),SUMIFS(Donnees_generations!$AB$3:$AB$113,Donnees_generations!$A$3:$A$113,MAX(1915,MIN(2025,E189))))+CHOOSE(((AG189+2)-56)/2+1,SUMIFS(Donnees_generations!$AC$3:$AC$113,Donnees_generations!$A$3:$A$113,MAX(1915,MIN(2025,E189))),SUMIFS(Donnees_generations!$AD$3:$AD$113,Donnees_generations!$A$3:$A$113,MAX(1915,MIN(2025,E189))),SUMIFS(Donnees_generations!$AE$3:$AE$113,Donnees_generations!$A$3:$A$113,MAX(1915,MIN(2025,E189))),SUMIFS(Donnees_generations!$AF$3:$AF$113,Donnees_generations!$A$3:$A$113,MAX(1915,MIN(2025,E189))),SUMIFS(Donnees_generations!$AG$3:$AG$113,Donnees_generations!$A$3:$A$113,MAX(1915,MIN(2025,E189))),SUMIFS(Donnees_generations!$AH$3:$AH$113,Donnees_generations!$A$3:$A$113,MAX(1915,MIN(2025,E189))),SUMIFS(Donnees_generations!$AI$3:$AI$113,Donnees_generations!$A$3:$A$113,MAX(1915,MIN(2025,E189))),SUMIFS(Donnees_generations!$AJ$3:$AJ$113,Donnees_generations!$A$3:$A$113,MAX(1915,MIN(2025,E189)))))/2</f>
        <v/>
      </c>
      <c r="AJ189" s="8">
        <f>MAX(0,AH189+(AI189-AH189)*(K189-AG189)/2)</f>
        <v/>
      </c>
      <c r="AK189" s="8">
        <f>K189+AJ189</f>
        <v/>
      </c>
      <c r="AL189" s="14">
        <f>AE189*AJ189</f>
        <v/>
      </c>
      <c r="AM189" s="17">
        <f>V189/AL189</f>
        <v/>
      </c>
      <c r="AN189" s="17">
        <f>Z189/AL189</f>
        <v/>
      </c>
      <c r="AO189" s="33">
        <f>IF(V189+Z189=0,0,Z189/(V189+Z189))</f>
        <v/>
      </c>
      <c r="AP189" s="14">
        <f>AL189/V189*100</f>
        <v/>
      </c>
      <c r="AQ189" s="8">
        <f>P189/AL189*1000</f>
        <v/>
      </c>
      <c r="AR189" s="77">
        <f>MAX(N189,M189-1)</f>
        <v/>
      </c>
      <c r="AS189" s="14">
        <f>SUMIFS(Donnees_regimes!$R$3:$R$1118,Donnees_regimes!$A$3:$A$1118,C189,Donnees_regimes!$B$3:$B$1118,"&gt;="&amp;G189,Donnees_regimes!$B$3:$B$1118,"&lt;="&amp;N189)*L189/ROUNDUP(L189,0)*SUMIFS(Donnees_annuelles!$AG$3:$AG$188,Donnees_annuelles!$A$3:$A$188,AR189)*SUMIFS(Donnees_annuelles!$AA$3:$AA$188,Donnees_annuelles!$A$3:$A$188,AR189)</f>
        <v/>
      </c>
      <c r="AT189" s="36">
        <f>AS189/V189</f>
        <v/>
      </c>
      <c r="AU189" s="14">
        <f>AL189</f>
        <v/>
      </c>
      <c r="AV189" s="39">
        <f>AS189-AL189</f>
        <v/>
      </c>
      <c r="AW189" s="9">
        <f>AS189/AL189-1</f>
        <v/>
      </c>
      <c r="AX189" s="14">
        <f>AS189/AJ189/12</f>
        <v/>
      </c>
      <c r="AY189" s="14">
        <f>AF189</f>
        <v/>
      </c>
      <c r="AZ189" s="39">
        <f>AX189-AF189</f>
        <v/>
      </c>
      <c r="BA189" s="14">
        <f>SUMIFS(Donnees_regimes!$S$3:$S$1118,Donnees_regimes!$A$3:$A$1118,C189,Donnees_regimes!$B$3:$B$1118,"&gt;="&amp;G189,Donnees_regimes!$B$3:$B$1118,"&lt;="&amp;N189)*L189/ROUNDUP(L189,0)*SUMIFS(Donnees_annuelles!$AH$3:$AH$188,Donnees_annuelles!$A$3:$A$188,AR189)*SUMIFS(Donnees_annuelles!$AA$3:$AA$188,Donnees_annuelles!$A$3:$A$188,AR189)</f>
        <v/>
      </c>
      <c r="BB189" s="39">
        <f>BA189-AL189</f>
        <v/>
      </c>
      <c r="BC189" s="7">
        <f>IF(M189+AJ189&gt;2026,IF(G189&gt;2026,"entièrement projeté","en partie projeté"),"observé")</f>
        <v/>
      </c>
    </row>
    <row r="190">
      <c r="A190" s="7" t="inlineStr">
        <is>
          <t>Génération Alpha</t>
        </is>
      </c>
      <c r="B190" s="84" t="inlineStr">
        <is>
          <t>Fonction publique d'État</t>
        </is>
      </c>
      <c r="C190" s="7">
        <f>IF(G190&gt;=SUMIFS(Regimes!$C$5:$C$10,Regimes!$A$5:$A$10,B190),"Privé",B190)</f>
        <v/>
      </c>
      <c r="D190" s="7">
        <f>INDEX(Regimes!$D$5:$D$10,MATCH(C190,Regimes!$A$5:$A$10,0))</f>
        <v/>
      </c>
      <c r="E190" s="88" t="n">
        <v>2017</v>
      </c>
      <c r="F190" s="8">
        <f>Donnees_generations!C105</f>
        <v/>
      </c>
      <c r="G190" s="77">
        <f>Donnees_generations!D105</f>
        <v/>
      </c>
      <c r="H190" s="8">
        <f>SUMIFS(Donnees_generations!$S$3:$S$113,Donnees_generations!$A$3:$A$113,MAX(1915,MIN(2025,E190)))</f>
        <v/>
      </c>
      <c r="I190" s="8">
        <f>SUMIFS(Donnees_generations!$T$3:$T$113,Donnees_generations!$A$3:$A$113,MAX(1915,MIN(2025,E190)))</f>
        <v/>
      </c>
      <c r="J190" s="8">
        <f>IF(G190&gt;=2000,MAX(I190,Parametres!$B$3),I190)</f>
        <v/>
      </c>
      <c r="K190" s="8">
        <f>IF(C190="Privé",J190,SUMIFS(Regles_regimes!$J$3:$J$2000,Regles_regimes!$A$3:$A$2000,C190,Regles_regimes!$B$3:$B$2000,D190,Regles_regimes!$C$3:$C$2000,MAX(1915,MIN(2025,E190))))</f>
        <v/>
      </c>
      <c r="L190" s="8">
        <f>IF(C190="Privé",H190,(K190-F190)*H190/(J190-F190))</f>
        <v/>
      </c>
      <c r="M190" s="77">
        <f>INT(E190+K190)</f>
        <v/>
      </c>
      <c r="N190" s="77">
        <f>G190+ROUNDUP(L190,0)-1</f>
        <v/>
      </c>
      <c r="O190" s="89">
        <f>SUMIFS(Regles_regimes!$K$3:$K$2000,Regles_regimes!$A$3:$A$2000,C190,Regles_regimes!$B$3:$B$2000,D190,Regles_regimes!$C$3:$C$2000,MAX(1915,MIN(2025,E190)))</f>
        <v/>
      </c>
      <c r="P190" s="13">
        <f>SUMIFS(Donnees_annuelles!$W$3:$W$188,Donnees_annuelles!$A$3:$A$188,"&gt;="&amp;G190,Donnees_annuelles!$A$3:$A$188,"&lt;="&amp;N190)*L190/ROUNDUP(L190,0)*O190</f>
        <v/>
      </c>
      <c r="Q190" s="13">
        <f>SUMIFS(Donnees_annuelles!$V$3:$V$188,Donnees_annuelles!$A$3:$A$188,"&gt;="&amp;G190,Donnees_annuelles!$A$3:$A$188,"&lt;="&amp;N190)*L190/ROUNDUP(L190,0)</f>
        <v/>
      </c>
      <c r="R190" s="13">
        <f>P190/L190</f>
        <v/>
      </c>
      <c r="S190" s="14">
        <f>SUMIFS(Donnees_annuelles!$D$3:$D$188,Donnees_annuelles!$A$3:$A$188,"&gt;="&amp;G190,Donnees_annuelles!$A$3:$A$188,"&lt;="&amp;N190)*L190/ROUNDUP(L190,0)</f>
        <v/>
      </c>
      <c r="T190" s="14">
        <f>SUMIFS(Donnees_regimes!$N$3:$N$1118,Donnees_regimes!$A$3:$A$1118,C190,Donnees_regimes!$B$3:$B$1118,"&gt;="&amp;G190,Donnees_regimes!$B$3:$B$1118,"&lt;="&amp;N190)*L190/ROUNDUP(L190,0)</f>
        <v/>
      </c>
      <c r="U190" s="14">
        <f>SUMIFS(Donnees_regimes!$O$3:$O$1118,Donnees_regimes!$A$3:$A$1118,C190,Donnees_regimes!$B$3:$B$1118,"&gt;="&amp;G190,Donnees_regimes!$B$3:$B$1118,"&lt;="&amp;N190)*L190/ROUNDUP(L190,0)</f>
        <v/>
      </c>
      <c r="V190" s="14">
        <f>T190+U190</f>
        <v/>
      </c>
      <c r="W190" s="33">
        <f>V190/S190</f>
        <v/>
      </c>
      <c r="X190" s="14">
        <f>S190+U190</f>
        <v/>
      </c>
      <c r="Y190" s="17">
        <f>V190/P190</f>
        <v/>
      </c>
      <c r="Z190" s="14">
        <f>SUMIFS(Donnees_regimes!$Q$3:$Q$1118,Donnees_regimes!$A$3:$A$1118,C190,Donnees_regimes!$B$3:$B$1118,"&gt;="&amp;G190,Donnees_regimes!$B$3:$B$1118,"&lt;="&amp;N190)*L190/ROUNDUP(L190,0)</f>
        <v/>
      </c>
      <c r="AA190" s="77">
        <f>SUMIFS(Regles_regimes!$F$3:$F$2000,Regles_regimes!$A$3:$A$2000,C190,Regles_regimes!$B$3:$B$2000,D190,Regles_regimes!$C$3:$C$2000,MAX(1915,MIN(2025,E190)))</f>
        <v/>
      </c>
      <c r="AB190" s="77">
        <f>IF(AND(SUMIFS(Regles_regimes!$L$3:$L$2000,Regles_regimes!$A$3:$A$2000,C190,Regles_regimes!$B$3:$B$2000,D190,Regles_regimes!$C$3:$C$2000,MAX(1915,MIN(2025,E190)))=1,G190&lt;2009,C190&lt;&gt;"Privé"),MIN(20,L190*4/5),0)</f>
        <v/>
      </c>
      <c r="AC190" s="89">
        <f>SUMIFS(Donnees_regimes!$M$3:$M$1118,Donnees_regimes!$A$3:$A$1118,C190,Donnees_regimes!$B$3:$B$1118,M190)</f>
        <v/>
      </c>
      <c r="AD190" s="14">
        <f>SUMIFS(Donnees_annuelles!$Y$3:$Y$188,Donnees_annuelles!$A$3:$A$188,M190)*SUMIFS(Donnees_generations!$I$3:$I$113,Donnees_generations!$A$3:$A$113,MAX(1915,MIN(2025,E190)))/H190</f>
        <v/>
      </c>
      <c r="AE190" s="14">
        <f>IF(C190="Privé",SUMIFS(Donnees_annuelles!$Y$3:$Y$188,Donnees_annuelles!$A$3:$A$188,M190)*MIN(L190,SUMIFS(Donnees_generations!$I$3:$I$113,Donnees_generations!$A$3:$A$113,MAX(1915,MIN(2025,E190))))/L190,AD190*AC190*MIN(IF(AB190&gt;0,0.8/0.75,1),(L190*4+AB190)/AA190))</f>
        <v/>
      </c>
      <c r="AF190" s="14">
        <f>AE190/12</f>
        <v/>
      </c>
      <c r="AG190" s="77">
        <f>MIN(68,MAX(56,2*INT(K190/2)))</f>
        <v/>
      </c>
      <c r="AH190" s="75">
        <f>(CHOOSE((AG190-56)/2+1,SUMIFS(Donnees_generations!$U$3:$U$113,Donnees_generations!$A$3:$A$113,MAX(1915,MIN(2025,E190))),SUMIFS(Donnees_generations!$V$3:$V$113,Donnees_generations!$A$3:$A$113,MAX(1915,MIN(2025,E190))),SUMIFS(Donnees_generations!$W$3:$W$113,Donnees_generations!$A$3:$A$113,MAX(1915,MIN(2025,E190))),SUMIFS(Donnees_generations!$X$3:$X$113,Donnees_generations!$A$3:$A$113,MAX(1915,MIN(2025,E190))),SUMIFS(Donnees_generations!$Y$3:$Y$113,Donnees_generations!$A$3:$A$113,MAX(1915,MIN(2025,E190))),SUMIFS(Donnees_generations!$Z$3:$Z$113,Donnees_generations!$A$3:$A$113,MAX(1915,MIN(2025,E190))),SUMIFS(Donnees_generations!$AA$3:$AA$113,Donnees_generations!$A$3:$A$113,MAX(1915,MIN(2025,E190))),SUMIFS(Donnees_generations!$AB$3:$AB$113,Donnees_generations!$A$3:$A$113,MAX(1915,MIN(2025,E190))))+CHOOSE((AG190-56)/2+1,SUMIFS(Donnees_generations!$AC$3:$AC$113,Donnees_generations!$A$3:$A$113,MAX(1915,MIN(2025,E190))),SUMIFS(Donnees_generations!$AD$3:$AD$113,Donnees_generations!$A$3:$A$113,MAX(1915,MIN(2025,E190))),SUMIFS(Donnees_generations!$AE$3:$AE$113,Donnees_generations!$A$3:$A$113,MAX(1915,MIN(2025,E190))),SUMIFS(Donnees_generations!$AF$3:$AF$113,Donnees_generations!$A$3:$A$113,MAX(1915,MIN(2025,E190))),SUMIFS(Donnees_generations!$AG$3:$AG$113,Donnees_generations!$A$3:$A$113,MAX(1915,MIN(2025,E190))),SUMIFS(Donnees_generations!$AH$3:$AH$113,Donnees_generations!$A$3:$A$113,MAX(1915,MIN(2025,E190))),SUMIFS(Donnees_generations!$AI$3:$AI$113,Donnees_generations!$A$3:$A$113,MAX(1915,MIN(2025,E190))),SUMIFS(Donnees_generations!$AJ$3:$AJ$113,Donnees_generations!$A$3:$A$113,MAX(1915,MIN(2025,E190)))))/2</f>
        <v/>
      </c>
      <c r="AI190" s="75">
        <f>(CHOOSE(((AG190+2)-56)/2+1,SUMIFS(Donnees_generations!$U$3:$U$113,Donnees_generations!$A$3:$A$113,MAX(1915,MIN(2025,E190))),SUMIFS(Donnees_generations!$V$3:$V$113,Donnees_generations!$A$3:$A$113,MAX(1915,MIN(2025,E190))),SUMIFS(Donnees_generations!$W$3:$W$113,Donnees_generations!$A$3:$A$113,MAX(1915,MIN(2025,E190))),SUMIFS(Donnees_generations!$X$3:$X$113,Donnees_generations!$A$3:$A$113,MAX(1915,MIN(2025,E190))),SUMIFS(Donnees_generations!$Y$3:$Y$113,Donnees_generations!$A$3:$A$113,MAX(1915,MIN(2025,E190))),SUMIFS(Donnees_generations!$Z$3:$Z$113,Donnees_generations!$A$3:$A$113,MAX(1915,MIN(2025,E190))),SUMIFS(Donnees_generations!$AA$3:$AA$113,Donnees_generations!$A$3:$A$113,MAX(1915,MIN(2025,E190))),SUMIFS(Donnees_generations!$AB$3:$AB$113,Donnees_generations!$A$3:$A$113,MAX(1915,MIN(2025,E190))))+CHOOSE(((AG190+2)-56)/2+1,SUMIFS(Donnees_generations!$AC$3:$AC$113,Donnees_generations!$A$3:$A$113,MAX(1915,MIN(2025,E190))),SUMIFS(Donnees_generations!$AD$3:$AD$113,Donnees_generations!$A$3:$A$113,MAX(1915,MIN(2025,E190))),SUMIFS(Donnees_generations!$AE$3:$AE$113,Donnees_generations!$A$3:$A$113,MAX(1915,MIN(2025,E190))),SUMIFS(Donnees_generations!$AF$3:$AF$113,Donnees_generations!$A$3:$A$113,MAX(1915,MIN(2025,E190))),SUMIFS(Donnees_generations!$AG$3:$AG$113,Donnees_generations!$A$3:$A$113,MAX(1915,MIN(2025,E190))),SUMIFS(Donnees_generations!$AH$3:$AH$113,Donnees_generations!$A$3:$A$113,MAX(1915,MIN(2025,E190))),SUMIFS(Donnees_generations!$AI$3:$AI$113,Donnees_generations!$A$3:$A$113,MAX(1915,MIN(2025,E190))),SUMIFS(Donnees_generations!$AJ$3:$AJ$113,Donnees_generations!$A$3:$A$113,MAX(1915,MIN(2025,E190)))))/2</f>
        <v/>
      </c>
      <c r="AJ190" s="8">
        <f>MAX(0,AH190+(AI190-AH190)*(K190-AG190)/2)</f>
        <v/>
      </c>
      <c r="AK190" s="8">
        <f>K190+AJ190</f>
        <v/>
      </c>
      <c r="AL190" s="14">
        <f>AE190*AJ190</f>
        <v/>
      </c>
      <c r="AM190" s="17">
        <f>V190/AL190</f>
        <v/>
      </c>
      <c r="AN190" s="17">
        <f>Z190/AL190</f>
        <v/>
      </c>
      <c r="AO190" s="33">
        <f>IF(V190+Z190=0,0,Z190/(V190+Z190))</f>
        <v/>
      </c>
      <c r="AP190" s="14">
        <f>AL190/V190*100</f>
        <v/>
      </c>
      <c r="AQ190" s="8">
        <f>P190/AL190*1000</f>
        <v/>
      </c>
      <c r="AR190" s="77">
        <f>MAX(N190,M190-1)</f>
        <v/>
      </c>
      <c r="AS190" s="14">
        <f>SUMIFS(Donnees_regimes!$R$3:$R$1118,Donnees_regimes!$A$3:$A$1118,C190,Donnees_regimes!$B$3:$B$1118,"&gt;="&amp;G190,Donnees_regimes!$B$3:$B$1118,"&lt;="&amp;N190)*L190/ROUNDUP(L190,0)*SUMIFS(Donnees_annuelles!$AG$3:$AG$188,Donnees_annuelles!$A$3:$A$188,AR190)*SUMIFS(Donnees_annuelles!$AA$3:$AA$188,Donnees_annuelles!$A$3:$A$188,AR190)</f>
        <v/>
      </c>
      <c r="AT190" s="36">
        <f>AS190/V190</f>
        <v/>
      </c>
      <c r="AU190" s="14">
        <f>AL190</f>
        <v/>
      </c>
      <c r="AV190" s="39">
        <f>AS190-AL190</f>
        <v/>
      </c>
      <c r="AW190" s="9">
        <f>AS190/AL190-1</f>
        <v/>
      </c>
      <c r="AX190" s="14">
        <f>AS190/AJ190/12</f>
        <v/>
      </c>
      <c r="AY190" s="14">
        <f>AF190</f>
        <v/>
      </c>
      <c r="AZ190" s="39">
        <f>AX190-AF190</f>
        <v/>
      </c>
      <c r="BA190" s="14">
        <f>SUMIFS(Donnees_regimes!$S$3:$S$1118,Donnees_regimes!$A$3:$A$1118,C190,Donnees_regimes!$B$3:$B$1118,"&gt;="&amp;G190,Donnees_regimes!$B$3:$B$1118,"&lt;="&amp;N190)*L190/ROUNDUP(L190,0)*SUMIFS(Donnees_annuelles!$AH$3:$AH$188,Donnees_annuelles!$A$3:$A$188,AR190)*SUMIFS(Donnees_annuelles!$AA$3:$AA$188,Donnees_annuelles!$A$3:$A$188,AR190)</f>
        <v/>
      </c>
      <c r="BB190" s="39">
        <f>BA190-AL190</f>
        <v/>
      </c>
      <c r="BC190" s="7">
        <f>IF(M190+AJ190&gt;2026,IF(G190&gt;2026,"entièrement projeté","en partie projeté"),"observé")</f>
        <v/>
      </c>
    </row>
    <row r="191">
      <c r="A191" s="7" t="inlineStr">
        <is>
          <t>Génération Alpha</t>
        </is>
      </c>
      <c r="B191" s="84" t="inlineStr">
        <is>
          <t>Fonction publique d'État</t>
        </is>
      </c>
      <c r="C191" s="7">
        <f>IF(G191&gt;=SUMIFS(Regimes!$C$5:$C$10,Regimes!$A$5:$A$10,B191),"Privé",B191)</f>
        <v/>
      </c>
      <c r="D191" s="7">
        <f>INDEX(Regimes!$D$5:$D$10,MATCH(C191,Regimes!$A$5:$A$10,0))</f>
        <v/>
      </c>
      <c r="E191" s="88" t="n">
        <v>2018</v>
      </c>
      <c r="F191" s="8">
        <f>Donnees_generations!C106</f>
        <v/>
      </c>
      <c r="G191" s="77">
        <f>Donnees_generations!D106</f>
        <v/>
      </c>
      <c r="H191" s="8">
        <f>SUMIFS(Donnees_generations!$S$3:$S$113,Donnees_generations!$A$3:$A$113,MAX(1915,MIN(2025,E191)))</f>
        <v/>
      </c>
      <c r="I191" s="8">
        <f>SUMIFS(Donnees_generations!$T$3:$T$113,Donnees_generations!$A$3:$A$113,MAX(1915,MIN(2025,E191)))</f>
        <v/>
      </c>
      <c r="J191" s="8">
        <f>IF(G191&gt;=2000,MAX(I191,Parametres!$B$3),I191)</f>
        <v/>
      </c>
      <c r="K191" s="8">
        <f>IF(C191="Privé",J191,SUMIFS(Regles_regimes!$J$3:$J$2000,Regles_regimes!$A$3:$A$2000,C191,Regles_regimes!$B$3:$B$2000,D191,Regles_regimes!$C$3:$C$2000,MAX(1915,MIN(2025,E191))))</f>
        <v/>
      </c>
      <c r="L191" s="8">
        <f>IF(C191="Privé",H191,(K191-F191)*H191/(J191-F191))</f>
        <v/>
      </c>
      <c r="M191" s="77">
        <f>INT(E191+K191)</f>
        <v/>
      </c>
      <c r="N191" s="77">
        <f>G191+ROUNDUP(L191,0)-1</f>
        <v/>
      </c>
      <c r="O191" s="89">
        <f>SUMIFS(Regles_regimes!$K$3:$K$2000,Regles_regimes!$A$3:$A$2000,C191,Regles_regimes!$B$3:$B$2000,D191,Regles_regimes!$C$3:$C$2000,MAX(1915,MIN(2025,E191)))</f>
        <v/>
      </c>
      <c r="P191" s="13">
        <f>SUMIFS(Donnees_annuelles!$W$3:$W$188,Donnees_annuelles!$A$3:$A$188,"&gt;="&amp;G191,Donnees_annuelles!$A$3:$A$188,"&lt;="&amp;N191)*L191/ROUNDUP(L191,0)*O191</f>
        <v/>
      </c>
      <c r="Q191" s="13">
        <f>SUMIFS(Donnees_annuelles!$V$3:$V$188,Donnees_annuelles!$A$3:$A$188,"&gt;="&amp;G191,Donnees_annuelles!$A$3:$A$188,"&lt;="&amp;N191)*L191/ROUNDUP(L191,0)</f>
        <v/>
      </c>
      <c r="R191" s="13">
        <f>P191/L191</f>
        <v/>
      </c>
      <c r="S191" s="14">
        <f>SUMIFS(Donnees_annuelles!$D$3:$D$188,Donnees_annuelles!$A$3:$A$188,"&gt;="&amp;G191,Donnees_annuelles!$A$3:$A$188,"&lt;="&amp;N191)*L191/ROUNDUP(L191,0)</f>
        <v/>
      </c>
      <c r="T191" s="14">
        <f>SUMIFS(Donnees_regimes!$N$3:$N$1118,Donnees_regimes!$A$3:$A$1118,C191,Donnees_regimes!$B$3:$B$1118,"&gt;="&amp;G191,Donnees_regimes!$B$3:$B$1118,"&lt;="&amp;N191)*L191/ROUNDUP(L191,0)</f>
        <v/>
      </c>
      <c r="U191" s="14">
        <f>SUMIFS(Donnees_regimes!$O$3:$O$1118,Donnees_regimes!$A$3:$A$1118,C191,Donnees_regimes!$B$3:$B$1118,"&gt;="&amp;G191,Donnees_regimes!$B$3:$B$1118,"&lt;="&amp;N191)*L191/ROUNDUP(L191,0)</f>
        <v/>
      </c>
      <c r="V191" s="14">
        <f>T191+U191</f>
        <v/>
      </c>
      <c r="W191" s="33">
        <f>V191/S191</f>
        <v/>
      </c>
      <c r="X191" s="14">
        <f>S191+U191</f>
        <v/>
      </c>
      <c r="Y191" s="17">
        <f>V191/P191</f>
        <v/>
      </c>
      <c r="Z191" s="14">
        <f>SUMIFS(Donnees_regimes!$Q$3:$Q$1118,Donnees_regimes!$A$3:$A$1118,C191,Donnees_regimes!$B$3:$B$1118,"&gt;="&amp;G191,Donnees_regimes!$B$3:$B$1118,"&lt;="&amp;N191)*L191/ROUNDUP(L191,0)</f>
        <v/>
      </c>
      <c r="AA191" s="77">
        <f>SUMIFS(Regles_regimes!$F$3:$F$2000,Regles_regimes!$A$3:$A$2000,C191,Regles_regimes!$B$3:$B$2000,D191,Regles_regimes!$C$3:$C$2000,MAX(1915,MIN(2025,E191)))</f>
        <v/>
      </c>
      <c r="AB191" s="77">
        <f>IF(AND(SUMIFS(Regles_regimes!$L$3:$L$2000,Regles_regimes!$A$3:$A$2000,C191,Regles_regimes!$B$3:$B$2000,D191,Regles_regimes!$C$3:$C$2000,MAX(1915,MIN(2025,E191)))=1,G191&lt;2009,C191&lt;&gt;"Privé"),MIN(20,L191*4/5),0)</f>
        <v/>
      </c>
      <c r="AC191" s="89">
        <f>SUMIFS(Donnees_regimes!$M$3:$M$1118,Donnees_regimes!$A$3:$A$1118,C191,Donnees_regimes!$B$3:$B$1118,M191)</f>
        <v/>
      </c>
      <c r="AD191" s="14">
        <f>SUMIFS(Donnees_annuelles!$Y$3:$Y$188,Donnees_annuelles!$A$3:$A$188,M191)*SUMIFS(Donnees_generations!$I$3:$I$113,Donnees_generations!$A$3:$A$113,MAX(1915,MIN(2025,E191)))/H191</f>
        <v/>
      </c>
      <c r="AE191" s="14">
        <f>IF(C191="Privé",SUMIFS(Donnees_annuelles!$Y$3:$Y$188,Donnees_annuelles!$A$3:$A$188,M191)*MIN(L191,SUMIFS(Donnees_generations!$I$3:$I$113,Donnees_generations!$A$3:$A$113,MAX(1915,MIN(2025,E191))))/L191,AD191*AC191*MIN(IF(AB191&gt;0,0.8/0.75,1),(L191*4+AB191)/AA191))</f>
        <v/>
      </c>
      <c r="AF191" s="14">
        <f>AE191/12</f>
        <v/>
      </c>
      <c r="AG191" s="77">
        <f>MIN(68,MAX(56,2*INT(K191/2)))</f>
        <v/>
      </c>
      <c r="AH191" s="75">
        <f>(CHOOSE((AG191-56)/2+1,SUMIFS(Donnees_generations!$U$3:$U$113,Donnees_generations!$A$3:$A$113,MAX(1915,MIN(2025,E191))),SUMIFS(Donnees_generations!$V$3:$V$113,Donnees_generations!$A$3:$A$113,MAX(1915,MIN(2025,E191))),SUMIFS(Donnees_generations!$W$3:$W$113,Donnees_generations!$A$3:$A$113,MAX(1915,MIN(2025,E191))),SUMIFS(Donnees_generations!$X$3:$X$113,Donnees_generations!$A$3:$A$113,MAX(1915,MIN(2025,E191))),SUMIFS(Donnees_generations!$Y$3:$Y$113,Donnees_generations!$A$3:$A$113,MAX(1915,MIN(2025,E191))),SUMIFS(Donnees_generations!$Z$3:$Z$113,Donnees_generations!$A$3:$A$113,MAX(1915,MIN(2025,E191))),SUMIFS(Donnees_generations!$AA$3:$AA$113,Donnees_generations!$A$3:$A$113,MAX(1915,MIN(2025,E191))),SUMIFS(Donnees_generations!$AB$3:$AB$113,Donnees_generations!$A$3:$A$113,MAX(1915,MIN(2025,E191))))+CHOOSE((AG191-56)/2+1,SUMIFS(Donnees_generations!$AC$3:$AC$113,Donnees_generations!$A$3:$A$113,MAX(1915,MIN(2025,E191))),SUMIFS(Donnees_generations!$AD$3:$AD$113,Donnees_generations!$A$3:$A$113,MAX(1915,MIN(2025,E191))),SUMIFS(Donnees_generations!$AE$3:$AE$113,Donnees_generations!$A$3:$A$113,MAX(1915,MIN(2025,E191))),SUMIFS(Donnees_generations!$AF$3:$AF$113,Donnees_generations!$A$3:$A$113,MAX(1915,MIN(2025,E191))),SUMIFS(Donnees_generations!$AG$3:$AG$113,Donnees_generations!$A$3:$A$113,MAX(1915,MIN(2025,E191))),SUMIFS(Donnees_generations!$AH$3:$AH$113,Donnees_generations!$A$3:$A$113,MAX(1915,MIN(2025,E191))),SUMIFS(Donnees_generations!$AI$3:$AI$113,Donnees_generations!$A$3:$A$113,MAX(1915,MIN(2025,E191))),SUMIFS(Donnees_generations!$AJ$3:$AJ$113,Donnees_generations!$A$3:$A$113,MAX(1915,MIN(2025,E191)))))/2</f>
        <v/>
      </c>
      <c r="AI191" s="75">
        <f>(CHOOSE(((AG191+2)-56)/2+1,SUMIFS(Donnees_generations!$U$3:$U$113,Donnees_generations!$A$3:$A$113,MAX(1915,MIN(2025,E191))),SUMIFS(Donnees_generations!$V$3:$V$113,Donnees_generations!$A$3:$A$113,MAX(1915,MIN(2025,E191))),SUMIFS(Donnees_generations!$W$3:$W$113,Donnees_generations!$A$3:$A$113,MAX(1915,MIN(2025,E191))),SUMIFS(Donnees_generations!$X$3:$X$113,Donnees_generations!$A$3:$A$113,MAX(1915,MIN(2025,E191))),SUMIFS(Donnees_generations!$Y$3:$Y$113,Donnees_generations!$A$3:$A$113,MAX(1915,MIN(2025,E191))),SUMIFS(Donnees_generations!$Z$3:$Z$113,Donnees_generations!$A$3:$A$113,MAX(1915,MIN(2025,E191))),SUMIFS(Donnees_generations!$AA$3:$AA$113,Donnees_generations!$A$3:$A$113,MAX(1915,MIN(2025,E191))),SUMIFS(Donnees_generations!$AB$3:$AB$113,Donnees_generations!$A$3:$A$113,MAX(1915,MIN(2025,E191))))+CHOOSE(((AG191+2)-56)/2+1,SUMIFS(Donnees_generations!$AC$3:$AC$113,Donnees_generations!$A$3:$A$113,MAX(1915,MIN(2025,E191))),SUMIFS(Donnees_generations!$AD$3:$AD$113,Donnees_generations!$A$3:$A$113,MAX(1915,MIN(2025,E191))),SUMIFS(Donnees_generations!$AE$3:$AE$113,Donnees_generations!$A$3:$A$113,MAX(1915,MIN(2025,E191))),SUMIFS(Donnees_generations!$AF$3:$AF$113,Donnees_generations!$A$3:$A$113,MAX(1915,MIN(2025,E191))),SUMIFS(Donnees_generations!$AG$3:$AG$113,Donnees_generations!$A$3:$A$113,MAX(1915,MIN(2025,E191))),SUMIFS(Donnees_generations!$AH$3:$AH$113,Donnees_generations!$A$3:$A$113,MAX(1915,MIN(2025,E191))),SUMIFS(Donnees_generations!$AI$3:$AI$113,Donnees_generations!$A$3:$A$113,MAX(1915,MIN(2025,E191))),SUMIFS(Donnees_generations!$AJ$3:$AJ$113,Donnees_generations!$A$3:$A$113,MAX(1915,MIN(2025,E191)))))/2</f>
        <v/>
      </c>
      <c r="AJ191" s="8">
        <f>MAX(0,AH191+(AI191-AH191)*(K191-AG191)/2)</f>
        <v/>
      </c>
      <c r="AK191" s="8">
        <f>K191+AJ191</f>
        <v/>
      </c>
      <c r="AL191" s="14">
        <f>AE191*AJ191</f>
        <v/>
      </c>
      <c r="AM191" s="17">
        <f>V191/AL191</f>
        <v/>
      </c>
      <c r="AN191" s="17">
        <f>Z191/AL191</f>
        <v/>
      </c>
      <c r="AO191" s="33">
        <f>IF(V191+Z191=0,0,Z191/(V191+Z191))</f>
        <v/>
      </c>
      <c r="AP191" s="14">
        <f>AL191/V191*100</f>
        <v/>
      </c>
      <c r="AQ191" s="8">
        <f>P191/AL191*1000</f>
        <v/>
      </c>
      <c r="AR191" s="77">
        <f>MAX(N191,M191-1)</f>
        <v/>
      </c>
      <c r="AS191" s="14">
        <f>SUMIFS(Donnees_regimes!$R$3:$R$1118,Donnees_regimes!$A$3:$A$1118,C191,Donnees_regimes!$B$3:$B$1118,"&gt;="&amp;G191,Donnees_regimes!$B$3:$B$1118,"&lt;="&amp;N191)*L191/ROUNDUP(L191,0)*SUMIFS(Donnees_annuelles!$AG$3:$AG$188,Donnees_annuelles!$A$3:$A$188,AR191)*SUMIFS(Donnees_annuelles!$AA$3:$AA$188,Donnees_annuelles!$A$3:$A$188,AR191)</f>
        <v/>
      </c>
      <c r="AT191" s="36">
        <f>AS191/V191</f>
        <v/>
      </c>
      <c r="AU191" s="14">
        <f>AL191</f>
        <v/>
      </c>
      <c r="AV191" s="39">
        <f>AS191-AL191</f>
        <v/>
      </c>
      <c r="AW191" s="9">
        <f>AS191/AL191-1</f>
        <v/>
      </c>
      <c r="AX191" s="14">
        <f>AS191/AJ191/12</f>
        <v/>
      </c>
      <c r="AY191" s="14">
        <f>AF191</f>
        <v/>
      </c>
      <c r="AZ191" s="39">
        <f>AX191-AF191</f>
        <v/>
      </c>
      <c r="BA191" s="14">
        <f>SUMIFS(Donnees_regimes!$S$3:$S$1118,Donnees_regimes!$A$3:$A$1118,C191,Donnees_regimes!$B$3:$B$1118,"&gt;="&amp;G191,Donnees_regimes!$B$3:$B$1118,"&lt;="&amp;N191)*L191/ROUNDUP(L191,0)*SUMIFS(Donnees_annuelles!$AH$3:$AH$188,Donnees_annuelles!$A$3:$A$188,AR191)*SUMIFS(Donnees_annuelles!$AA$3:$AA$188,Donnees_annuelles!$A$3:$A$188,AR191)</f>
        <v/>
      </c>
      <c r="BB191" s="39">
        <f>BA191-AL191</f>
        <v/>
      </c>
      <c r="BC191" s="7">
        <f>IF(M191+AJ191&gt;2026,IF(G191&gt;2026,"entièrement projeté","en partie projeté"),"observé")</f>
        <v/>
      </c>
    </row>
    <row r="192">
      <c r="A192" s="7" t="inlineStr">
        <is>
          <t>Génération Alpha</t>
        </is>
      </c>
      <c r="B192" s="84" t="inlineStr">
        <is>
          <t>Fonction publique d'État</t>
        </is>
      </c>
      <c r="C192" s="7">
        <f>IF(G192&gt;=SUMIFS(Regimes!$C$5:$C$10,Regimes!$A$5:$A$10,B192),"Privé",B192)</f>
        <v/>
      </c>
      <c r="D192" s="7">
        <f>INDEX(Regimes!$D$5:$D$10,MATCH(C192,Regimes!$A$5:$A$10,0))</f>
        <v/>
      </c>
      <c r="E192" s="88" t="n">
        <v>2019</v>
      </c>
      <c r="F192" s="8">
        <f>Donnees_generations!C107</f>
        <v/>
      </c>
      <c r="G192" s="77">
        <f>Donnees_generations!D107</f>
        <v/>
      </c>
      <c r="H192" s="8">
        <f>SUMIFS(Donnees_generations!$S$3:$S$113,Donnees_generations!$A$3:$A$113,MAX(1915,MIN(2025,E192)))</f>
        <v/>
      </c>
      <c r="I192" s="8">
        <f>SUMIFS(Donnees_generations!$T$3:$T$113,Donnees_generations!$A$3:$A$113,MAX(1915,MIN(2025,E192)))</f>
        <v/>
      </c>
      <c r="J192" s="8">
        <f>IF(G192&gt;=2000,MAX(I192,Parametres!$B$3),I192)</f>
        <v/>
      </c>
      <c r="K192" s="8">
        <f>IF(C192="Privé",J192,SUMIFS(Regles_regimes!$J$3:$J$2000,Regles_regimes!$A$3:$A$2000,C192,Regles_regimes!$B$3:$B$2000,D192,Regles_regimes!$C$3:$C$2000,MAX(1915,MIN(2025,E192))))</f>
        <v/>
      </c>
      <c r="L192" s="8">
        <f>IF(C192="Privé",H192,(K192-F192)*H192/(J192-F192))</f>
        <v/>
      </c>
      <c r="M192" s="77">
        <f>INT(E192+K192)</f>
        <v/>
      </c>
      <c r="N192" s="77">
        <f>G192+ROUNDUP(L192,0)-1</f>
        <v/>
      </c>
      <c r="O192" s="89">
        <f>SUMIFS(Regles_regimes!$K$3:$K$2000,Regles_regimes!$A$3:$A$2000,C192,Regles_regimes!$B$3:$B$2000,D192,Regles_regimes!$C$3:$C$2000,MAX(1915,MIN(2025,E192)))</f>
        <v/>
      </c>
      <c r="P192" s="13">
        <f>SUMIFS(Donnees_annuelles!$W$3:$W$188,Donnees_annuelles!$A$3:$A$188,"&gt;="&amp;G192,Donnees_annuelles!$A$3:$A$188,"&lt;="&amp;N192)*L192/ROUNDUP(L192,0)*O192</f>
        <v/>
      </c>
      <c r="Q192" s="13">
        <f>SUMIFS(Donnees_annuelles!$V$3:$V$188,Donnees_annuelles!$A$3:$A$188,"&gt;="&amp;G192,Donnees_annuelles!$A$3:$A$188,"&lt;="&amp;N192)*L192/ROUNDUP(L192,0)</f>
        <v/>
      </c>
      <c r="R192" s="13">
        <f>P192/L192</f>
        <v/>
      </c>
      <c r="S192" s="14">
        <f>SUMIFS(Donnees_annuelles!$D$3:$D$188,Donnees_annuelles!$A$3:$A$188,"&gt;="&amp;G192,Donnees_annuelles!$A$3:$A$188,"&lt;="&amp;N192)*L192/ROUNDUP(L192,0)</f>
        <v/>
      </c>
      <c r="T192" s="14">
        <f>SUMIFS(Donnees_regimes!$N$3:$N$1118,Donnees_regimes!$A$3:$A$1118,C192,Donnees_regimes!$B$3:$B$1118,"&gt;="&amp;G192,Donnees_regimes!$B$3:$B$1118,"&lt;="&amp;N192)*L192/ROUNDUP(L192,0)</f>
        <v/>
      </c>
      <c r="U192" s="14">
        <f>SUMIFS(Donnees_regimes!$O$3:$O$1118,Donnees_regimes!$A$3:$A$1118,C192,Donnees_regimes!$B$3:$B$1118,"&gt;="&amp;G192,Donnees_regimes!$B$3:$B$1118,"&lt;="&amp;N192)*L192/ROUNDUP(L192,0)</f>
        <v/>
      </c>
      <c r="V192" s="14">
        <f>T192+U192</f>
        <v/>
      </c>
      <c r="W192" s="33">
        <f>V192/S192</f>
        <v/>
      </c>
      <c r="X192" s="14">
        <f>S192+U192</f>
        <v/>
      </c>
      <c r="Y192" s="17">
        <f>V192/P192</f>
        <v/>
      </c>
      <c r="Z192" s="14">
        <f>SUMIFS(Donnees_regimes!$Q$3:$Q$1118,Donnees_regimes!$A$3:$A$1118,C192,Donnees_regimes!$B$3:$B$1118,"&gt;="&amp;G192,Donnees_regimes!$B$3:$B$1118,"&lt;="&amp;N192)*L192/ROUNDUP(L192,0)</f>
        <v/>
      </c>
      <c r="AA192" s="77">
        <f>SUMIFS(Regles_regimes!$F$3:$F$2000,Regles_regimes!$A$3:$A$2000,C192,Regles_regimes!$B$3:$B$2000,D192,Regles_regimes!$C$3:$C$2000,MAX(1915,MIN(2025,E192)))</f>
        <v/>
      </c>
      <c r="AB192" s="77">
        <f>IF(AND(SUMIFS(Regles_regimes!$L$3:$L$2000,Regles_regimes!$A$3:$A$2000,C192,Regles_regimes!$B$3:$B$2000,D192,Regles_regimes!$C$3:$C$2000,MAX(1915,MIN(2025,E192)))=1,G192&lt;2009,C192&lt;&gt;"Privé"),MIN(20,L192*4/5),0)</f>
        <v/>
      </c>
      <c r="AC192" s="89">
        <f>SUMIFS(Donnees_regimes!$M$3:$M$1118,Donnees_regimes!$A$3:$A$1118,C192,Donnees_regimes!$B$3:$B$1118,M192)</f>
        <v/>
      </c>
      <c r="AD192" s="14">
        <f>SUMIFS(Donnees_annuelles!$Y$3:$Y$188,Donnees_annuelles!$A$3:$A$188,M192)*SUMIFS(Donnees_generations!$I$3:$I$113,Donnees_generations!$A$3:$A$113,MAX(1915,MIN(2025,E192)))/H192</f>
        <v/>
      </c>
      <c r="AE192" s="14">
        <f>IF(C192="Privé",SUMIFS(Donnees_annuelles!$Y$3:$Y$188,Donnees_annuelles!$A$3:$A$188,M192)*MIN(L192,SUMIFS(Donnees_generations!$I$3:$I$113,Donnees_generations!$A$3:$A$113,MAX(1915,MIN(2025,E192))))/L192,AD192*AC192*MIN(IF(AB192&gt;0,0.8/0.75,1),(L192*4+AB192)/AA192))</f>
        <v/>
      </c>
      <c r="AF192" s="14">
        <f>AE192/12</f>
        <v/>
      </c>
      <c r="AG192" s="77">
        <f>MIN(68,MAX(56,2*INT(K192/2)))</f>
        <v/>
      </c>
      <c r="AH192" s="75">
        <f>(CHOOSE((AG192-56)/2+1,SUMIFS(Donnees_generations!$U$3:$U$113,Donnees_generations!$A$3:$A$113,MAX(1915,MIN(2025,E192))),SUMIFS(Donnees_generations!$V$3:$V$113,Donnees_generations!$A$3:$A$113,MAX(1915,MIN(2025,E192))),SUMIFS(Donnees_generations!$W$3:$W$113,Donnees_generations!$A$3:$A$113,MAX(1915,MIN(2025,E192))),SUMIFS(Donnees_generations!$X$3:$X$113,Donnees_generations!$A$3:$A$113,MAX(1915,MIN(2025,E192))),SUMIFS(Donnees_generations!$Y$3:$Y$113,Donnees_generations!$A$3:$A$113,MAX(1915,MIN(2025,E192))),SUMIFS(Donnees_generations!$Z$3:$Z$113,Donnees_generations!$A$3:$A$113,MAX(1915,MIN(2025,E192))),SUMIFS(Donnees_generations!$AA$3:$AA$113,Donnees_generations!$A$3:$A$113,MAX(1915,MIN(2025,E192))),SUMIFS(Donnees_generations!$AB$3:$AB$113,Donnees_generations!$A$3:$A$113,MAX(1915,MIN(2025,E192))))+CHOOSE((AG192-56)/2+1,SUMIFS(Donnees_generations!$AC$3:$AC$113,Donnees_generations!$A$3:$A$113,MAX(1915,MIN(2025,E192))),SUMIFS(Donnees_generations!$AD$3:$AD$113,Donnees_generations!$A$3:$A$113,MAX(1915,MIN(2025,E192))),SUMIFS(Donnees_generations!$AE$3:$AE$113,Donnees_generations!$A$3:$A$113,MAX(1915,MIN(2025,E192))),SUMIFS(Donnees_generations!$AF$3:$AF$113,Donnees_generations!$A$3:$A$113,MAX(1915,MIN(2025,E192))),SUMIFS(Donnees_generations!$AG$3:$AG$113,Donnees_generations!$A$3:$A$113,MAX(1915,MIN(2025,E192))),SUMIFS(Donnees_generations!$AH$3:$AH$113,Donnees_generations!$A$3:$A$113,MAX(1915,MIN(2025,E192))),SUMIFS(Donnees_generations!$AI$3:$AI$113,Donnees_generations!$A$3:$A$113,MAX(1915,MIN(2025,E192))),SUMIFS(Donnees_generations!$AJ$3:$AJ$113,Donnees_generations!$A$3:$A$113,MAX(1915,MIN(2025,E192)))))/2</f>
        <v/>
      </c>
      <c r="AI192" s="75">
        <f>(CHOOSE(((AG192+2)-56)/2+1,SUMIFS(Donnees_generations!$U$3:$U$113,Donnees_generations!$A$3:$A$113,MAX(1915,MIN(2025,E192))),SUMIFS(Donnees_generations!$V$3:$V$113,Donnees_generations!$A$3:$A$113,MAX(1915,MIN(2025,E192))),SUMIFS(Donnees_generations!$W$3:$W$113,Donnees_generations!$A$3:$A$113,MAX(1915,MIN(2025,E192))),SUMIFS(Donnees_generations!$X$3:$X$113,Donnees_generations!$A$3:$A$113,MAX(1915,MIN(2025,E192))),SUMIFS(Donnees_generations!$Y$3:$Y$113,Donnees_generations!$A$3:$A$113,MAX(1915,MIN(2025,E192))),SUMIFS(Donnees_generations!$Z$3:$Z$113,Donnees_generations!$A$3:$A$113,MAX(1915,MIN(2025,E192))),SUMIFS(Donnees_generations!$AA$3:$AA$113,Donnees_generations!$A$3:$A$113,MAX(1915,MIN(2025,E192))),SUMIFS(Donnees_generations!$AB$3:$AB$113,Donnees_generations!$A$3:$A$113,MAX(1915,MIN(2025,E192))))+CHOOSE(((AG192+2)-56)/2+1,SUMIFS(Donnees_generations!$AC$3:$AC$113,Donnees_generations!$A$3:$A$113,MAX(1915,MIN(2025,E192))),SUMIFS(Donnees_generations!$AD$3:$AD$113,Donnees_generations!$A$3:$A$113,MAX(1915,MIN(2025,E192))),SUMIFS(Donnees_generations!$AE$3:$AE$113,Donnees_generations!$A$3:$A$113,MAX(1915,MIN(2025,E192))),SUMIFS(Donnees_generations!$AF$3:$AF$113,Donnees_generations!$A$3:$A$113,MAX(1915,MIN(2025,E192))),SUMIFS(Donnees_generations!$AG$3:$AG$113,Donnees_generations!$A$3:$A$113,MAX(1915,MIN(2025,E192))),SUMIFS(Donnees_generations!$AH$3:$AH$113,Donnees_generations!$A$3:$A$113,MAX(1915,MIN(2025,E192))),SUMIFS(Donnees_generations!$AI$3:$AI$113,Donnees_generations!$A$3:$A$113,MAX(1915,MIN(2025,E192))),SUMIFS(Donnees_generations!$AJ$3:$AJ$113,Donnees_generations!$A$3:$A$113,MAX(1915,MIN(2025,E192)))))/2</f>
        <v/>
      </c>
      <c r="AJ192" s="8">
        <f>MAX(0,AH192+(AI192-AH192)*(K192-AG192)/2)</f>
        <v/>
      </c>
      <c r="AK192" s="8">
        <f>K192+AJ192</f>
        <v/>
      </c>
      <c r="AL192" s="14">
        <f>AE192*AJ192</f>
        <v/>
      </c>
      <c r="AM192" s="17">
        <f>V192/AL192</f>
        <v/>
      </c>
      <c r="AN192" s="17">
        <f>Z192/AL192</f>
        <v/>
      </c>
      <c r="AO192" s="33">
        <f>IF(V192+Z192=0,0,Z192/(V192+Z192))</f>
        <v/>
      </c>
      <c r="AP192" s="14">
        <f>AL192/V192*100</f>
        <v/>
      </c>
      <c r="AQ192" s="8">
        <f>P192/AL192*1000</f>
        <v/>
      </c>
      <c r="AR192" s="77">
        <f>MAX(N192,M192-1)</f>
        <v/>
      </c>
      <c r="AS192" s="14">
        <f>SUMIFS(Donnees_regimes!$R$3:$R$1118,Donnees_regimes!$A$3:$A$1118,C192,Donnees_regimes!$B$3:$B$1118,"&gt;="&amp;G192,Donnees_regimes!$B$3:$B$1118,"&lt;="&amp;N192)*L192/ROUNDUP(L192,0)*SUMIFS(Donnees_annuelles!$AG$3:$AG$188,Donnees_annuelles!$A$3:$A$188,AR192)*SUMIFS(Donnees_annuelles!$AA$3:$AA$188,Donnees_annuelles!$A$3:$A$188,AR192)</f>
        <v/>
      </c>
      <c r="AT192" s="36">
        <f>AS192/V192</f>
        <v/>
      </c>
      <c r="AU192" s="14">
        <f>AL192</f>
        <v/>
      </c>
      <c r="AV192" s="39">
        <f>AS192-AL192</f>
        <v/>
      </c>
      <c r="AW192" s="9">
        <f>AS192/AL192-1</f>
        <v/>
      </c>
      <c r="AX192" s="14">
        <f>AS192/AJ192/12</f>
        <v/>
      </c>
      <c r="AY192" s="14">
        <f>AF192</f>
        <v/>
      </c>
      <c r="AZ192" s="39">
        <f>AX192-AF192</f>
        <v/>
      </c>
      <c r="BA192" s="14">
        <f>SUMIFS(Donnees_regimes!$S$3:$S$1118,Donnees_regimes!$A$3:$A$1118,C192,Donnees_regimes!$B$3:$B$1118,"&gt;="&amp;G192,Donnees_regimes!$B$3:$B$1118,"&lt;="&amp;N192)*L192/ROUNDUP(L192,0)*SUMIFS(Donnees_annuelles!$AH$3:$AH$188,Donnees_annuelles!$A$3:$A$188,AR192)*SUMIFS(Donnees_annuelles!$AA$3:$AA$188,Donnees_annuelles!$A$3:$A$188,AR192)</f>
        <v/>
      </c>
      <c r="BB192" s="39">
        <f>BA192-AL192</f>
        <v/>
      </c>
      <c r="BC192" s="7">
        <f>IF(M192+AJ192&gt;2026,IF(G192&gt;2026,"entièrement projeté","en partie projeté"),"observé")</f>
        <v/>
      </c>
    </row>
    <row r="193">
      <c r="A193" s="7" t="inlineStr">
        <is>
          <t>Génération Alpha</t>
        </is>
      </c>
      <c r="B193" s="84" t="inlineStr">
        <is>
          <t>Fonction publique d'État</t>
        </is>
      </c>
      <c r="C193" s="7">
        <f>IF(G193&gt;=SUMIFS(Regimes!$C$5:$C$10,Regimes!$A$5:$A$10,B193),"Privé",B193)</f>
        <v/>
      </c>
      <c r="D193" s="7">
        <f>INDEX(Regimes!$D$5:$D$10,MATCH(C193,Regimes!$A$5:$A$10,0))</f>
        <v/>
      </c>
      <c r="E193" s="88" t="n">
        <v>2020</v>
      </c>
      <c r="F193" s="8">
        <f>Donnees_generations!C108</f>
        <v/>
      </c>
      <c r="G193" s="77">
        <f>Donnees_generations!D108</f>
        <v/>
      </c>
      <c r="H193" s="8">
        <f>SUMIFS(Donnees_generations!$S$3:$S$113,Donnees_generations!$A$3:$A$113,MAX(1915,MIN(2025,E193)))</f>
        <v/>
      </c>
      <c r="I193" s="8">
        <f>SUMIFS(Donnees_generations!$T$3:$T$113,Donnees_generations!$A$3:$A$113,MAX(1915,MIN(2025,E193)))</f>
        <v/>
      </c>
      <c r="J193" s="8">
        <f>IF(G193&gt;=2000,MAX(I193,Parametres!$B$3),I193)</f>
        <v/>
      </c>
      <c r="K193" s="8">
        <f>IF(C193="Privé",J193,SUMIFS(Regles_regimes!$J$3:$J$2000,Regles_regimes!$A$3:$A$2000,C193,Regles_regimes!$B$3:$B$2000,D193,Regles_regimes!$C$3:$C$2000,MAX(1915,MIN(2025,E193))))</f>
        <v/>
      </c>
      <c r="L193" s="8">
        <f>IF(C193="Privé",H193,(K193-F193)*H193/(J193-F193))</f>
        <v/>
      </c>
      <c r="M193" s="77">
        <f>INT(E193+K193)</f>
        <v/>
      </c>
      <c r="N193" s="77">
        <f>G193+ROUNDUP(L193,0)-1</f>
        <v/>
      </c>
      <c r="O193" s="89">
        <f>SUMIFS(Regles_regimes!$K$3:$K$2000,Regles_regimes!$A$3:$A$2000,C193,Regles_regimes!$B$3:$B$2000,D193,Regles_regimes!$C$3:$C$2000,MAX(1915,MIN(2025,E193)))</f>
        <v/>
      </c>
      <c r="P193" s="13">
        <f>SUMIFS(Donnees_annuelles!$W$3:$W$188,Donnees_annuelles!$A$3:$A$188,"&gt;="&amp;G193,Donnees_annuelles!$A$3:$A$188,"&lt;="&amp;N193)*L193/ROUNDUP(L193,0)*O193</f>
        <v/>
      </c>
      <c r="Q193" s="13">
        <f>SUMIFS(Donnees_annuelles!$V$3:$V$188,Donnees_annuelles!$A$3:$A$188,"&gt;="&amp;G193,Donnees_annuelles!$A$3:$A$188,"&lt;="&amp;N193)*L193/ROUNDUP(L193,0)</f>
        <v/>
      </c>
      <c r="R193" s="13">
        <f>P193/L193</f>
        <v/>
      </c>
      <c r="S193" s="14">
        <f>SUMIFS(Donnees_annuelles!$D$3:$D$188,Donnees_annuelles!$A$3:$A$188,"&gt;="&amp;G193,Donnees_annuelles!$A$3:$A$188,"&lt;="&amp;N193)*L193/ROUNDUP(L193,0)</f>
        <v/>
      </c>
      <c r="T193" s="14">
        <f>SUMIFS(Donnees_regimes!$N$3:$N$1118,Donnees_regimes!$A$3:$A$1118,C193,Donnees_regimes!$B$3:$B$1118,"&gt;="&amp;G193,Donnees_regimes!$B$3:$B$1118,"&lt;="&amp;N193)*L193/ROUNDUP(L193,0)</f>
        <v/>
      </c>
      <c r="U193" s="14">
        <f>SUMIFS(Donnees_regimes!$O$3:$O$1118,Donnees_regimes!$A$3:$A$1118,C193,Donnees_regimes!$B$3:$B$1118,"&gt;="&amp;G193,Donnees_regimes!$B$3:$B$1118,"&lt;="&amp;N193)*L193/ROUNDUP(L193,0)</f>
        <v/>
      </c>
      <c r="V193" s="14">
        <f>T193+U193</f>
        <v/>
      </c>
      <c r="W193" s="33">
        <f>V193/S193</f>
        <v/>
      </c>
      <c r="X193" s="14">
        <f>S193+U193</f>
        <v/>
      </c>
      <c r="Y193" s="17">
        <f>V193/P193</f>
        <v/>
      </c>
      <c r="Z193" s="14">
        <f>SUMIFS(Donnees_regimes!$Q$3:$Q$1118,Donnees_regimes!$A$3:$A$1118,C193,Donnees_regimes!$B$3:$B$1118,"&gt;="&amp;G193,Donnees_regimes!$B$3:$B$1118,"&lt;="&amp;N193)*L193/ROUNDUP(L193,0)</f>
        <v/>
      </c>
      <c r="AA193" s="77">
        <f>SUMIFS(Regles_regimes!$F$3:$F$2000,Regles_regimes!$A$3:$A$2000,C193,Regles_regimes!$B$3:$B$2000,D193,Regles_regimes!$C$3:$C$2000,MAX(1915,MIN(2025,E193)))</f>
        <v/>
      </c>
      <c r="AB193" s="77">
        <f>IF(AND(SUMIFS(Regles_regimes!$L$3:$L$2000,Regles_regimes!$A$3:$A$2000,C193,Regles_regimes!$B$3:$B$2000,D193,Regles_regimes!$C$3:$C$2000,MAX(1915,MIN(2025,E193)))=1,G193&lt;2009,C193&lt;&gt;"Privé"),MIN(20,L193*4/5),0)</f>
        <v/>
      </c>
      <c r="AC193" s="89">
        <f>SUMIFS(Donnees_regimes!$M$3:$M$1118,Donnees_regimes!$A$3:$A$1118,C193,Donnees_regimes!$B$3:$B$1118,M193)</f>
        <v/>
      </c>
      <c r="AD193" s="14">
        <f>SUMIFS(Donnees_annuelles!$Y$3:$Y$188,Donnees_annuelles!$A$3:$A$188,M193)*SUMIFS(Donnees_generations!$I$3:$I$113,Donnees_generations!$A$3:$A$113,MAX(1915,MIN(2025,E193)))/H193</f>
        <v/>
      </c>
      <c r="AE193" s="14">
        <f>IF(C193="Privé",SUMIFS(Donnees_annuelles!$Y$3:$Y$188,Donnees_annuelles!$A$3:$A$188,M193)*MIN(L193,SUMIFS(Donnees_generations!$I$3:$I$113,Donnees_generations!$A$3:$A$113,MAX(1915,MIN(2025,E193))))/L193,AD193*AC193*MIN(IF(AB193&gt;0,0.8/0.75,1),(L193*4+AB193)/AA193))</f>
        <v/>
      </c>
      <c r="AF193" s="14">
        <f>AE193/12</f>
        <v/>
      </c>
      <c r="AG193" s="77">
        <f>MIN(68,MAX(56,2*INT(K193/2)))</f>
        <v/>
      </c>
      <c r="AH193" s="75">
        <f>(CHOOSE((AG193-56)/2+1,SUMIFS(Donnees_generations!$U$3:$U$113,Donnees_generations!$A$3:$A$113,MAX(1915,MIN(2025,E193))),SUMIFS(Donnees_generations!$V$3:$V$113,Donnees_generations!$A$3:$A$113,MAX(1915,MIN(2025,E193))),SUMIFS(Donnees_generations!$W$3:$W$113,Donnees_generations!$A$3:$A$113,MAX(1915,MIN(2025,E193))),SUMIFS(Donnees_generations!$X$3:$X$113,Donnees_generations!$A$3:$A$113,MAX(1915,MIN(2025,E193))),SUMIFS(Donnees_generations!$Y$3:$Y$113,Donnees_generations!$A$3:$A$113,MAX(1915,MIN(2025,E193))),SUMIFS(Donnees_generations!$Z$3:$Z$113,Donnees_generations!$A$3:$A$113,MAX(1915,MIN(2025,E193))),SUMIFS(Donnees_generations!$AA$3:$AA$113,Donnees_generations!$A$3:$A$113,MAX(1915,MIN(2025,E193))),SUMIFS(Donnees_generations!$AB$3:$AB$113,Donnees_generations!$A$3:$A$113,MAX(1915,MIN(2025,E193))))+CHOOSE((AG193-56)/2+1,SUMIFS(Donnees_generations!$AC$3:$AC$113,Donnees_generations!$A$3:$A$113,MAX(1915,MIN(2025,E193))),SUMIFS(Donnees_generations!$AD$3:$AD$113,Donnees_generations!$A$3:$A$113,MAX(1915,MIN(2025,E193))),SUMIFS(Donnees_generations!$AE$3:$AE$113,Donnees_generations!$A$3:$A$113,MAX(1915,MIN(2025,E193))),SUMIFS(Donnees_generations!$AF$3:$AF$113,Donnees_generations!$A$3:$A$113,MAX(1915,MIN(2025,E193))),SUMIFS(Donnees_generations!$AG$3:$AG$113,Donnees_generations!$A$3:$A$113,MAX(1915,MIN(2025,E193))),SUMIFS(Donnees_generations!$AH$3:$AH$113,Donnees_generations!$A$3:$A$113,MAX(1915,MIN(2025,E193))),SUMIFS(Donnees_generations!$AI$3:$AI$113,Donnees_generations!$A$3:$A$113,MAX(1915,MIN(2025,E193))),SUMIFS(Donnees_generations!$AJ$3:$AJ$113,Donnees_generations!$A$3:$A$113,MAX(1915,MIN(2025,E193)))))/2</f>
        <v/>
      </c>
      <c r="AI193" s="75">
        <f>(CHOOSE(((AG193+2)-56)/2+1,SUMIFS(Donnees_generations!$U$3:$U$113,Donnees_generations!$A$3:$A$113,MAX(1915,MIN(2025,E193))),SUMIFS(Donnees_generations!$V$3:$V$113,Donnees_generations!$A$3:$A$113,MAX(1915,MIN(2025,E193))),SUMIFS(Donnees_generations!$W$3:$W$113,Donnees_generations!$A$3:$A$113,MAX(1915,MIN(2025,E193))),SUMIFS(Donnees_generations!$X$3:$X$113,Donnees_generations!$A$3:$A$113,MAX(1915,MIN(2025,E193))),SUMIFS(Donnees_generations!$Y$3:$Y$113,Donnees_generations!$A$3:$A$113,MAX(1915,MIN(2025,E193))),SUMIFS(Donnees_generations!$Z$3:$Z$113,Donnees_generations!$A$3:$A$113,MAX(1915,MIN(2025,E193))),SUMIFS(Donnees_generations!$AA$3:$AA$113,Donnees_generations!$A$3:$A$113,MAX(1915,MIN(2025,E193))),SUMIFS(Donnees_generations!$AB$3:$AB$113,Donnees_generations!$A$3:$A$113,MAX(1915,MIN(2025,E193))))+CHOOSE(((AG193+2)-56)/2+1,SUMIFS(Donnees_generations!$AC$3:$AC$113,Donnees_generations!$A$3:$A$113,MAX(1915,MIN(2025,E193))),SUMIFS(Donnees_generations!$AD$3:$AD$113,Donnees_generations!$A$3:$A$113,MAX(1915,MIN(2025,E193))),SUMIFS(Donnees_generations!$AE$3:$AE$113,Donnees_generations!$A$3:$A$113,MAX(1915,MIN(2025,E193))),SUMIFS(Donnees_generations!$AF$3:$AF$113,Donnees_generations!$A$3:$A$113,MAX(1915,MIN(2025,E193))),SUMIFS(Donnees_generations!$AG$3:$AG$113,Donnees_generations!$A$3:$A$113,MAX(1915,MIN(2025,E193))),SUMIFS(Donnees_generations!$AH$3:$AH$113,Donnees_generations!$A$3:$A$113,MAX(1915,MIN(2025,E193))),SUMIFS(Donnees_generations!$AI$3:$AI$113,Donnees_generations!$A$3:$A$113,MAX(1915,MIN(2025,E193))),SUMIFS(Donnees_generations!$AJ$3:$AJ$113,Donnees_generations!$A$3:$A$113,MAX(1915,MIN(2025,E193)))))/2</f>
        <v/>
      </c>
      <c r="AJ193" s="8">
        <f>MAX(0,AH193+(AI193-AH193)*(K193-AG193)/2)</f>
        <v/>
      </c>
      <c r="AK193" s="8">
        <f>K193+AJ193</f>
        <v/>
      </c>
      <c r="AL193" s="14">
        <f>AE193*AJ193</f>
        <v/>
      </c>
      <c r="AM193" s="17">
        <f>V193/AL193</f>
        <v/>
      </c>
      <c r="AN193" s="17">
        <f>Z193/AL193</f>
        <v/>
      </c>
      <c r="AO193" s="33">
        <f>IF(V193+Z193=0,0,Z193/(V193+Z193))</f>
        <v/>
      </c>
      <c r="AP193" s="14">
        <f>AL193/V193*100</f>
        <v/>
      </c>
      <c r="AQ193" s="8">
        <f>P193/AL193*1000</f>
        <v/>
      </c>
      <c r="AR193" s="77">
        <f>MAX(N193,M193-1)</f>
        <v/>
      </c>
      <c r="AS193" s="14">
        <f>SUMIFS(Donnees_regimes!$R$3:$R$1118,Donnees_regimes!$A$3:$A$1118,C193,Donnees_regimes!$B$3:$B$1118,"&gt;="&amp;G193,Donnees_regimes!$B$3:$B$1118,"&lt;="&amp;N193)*L193/ROUNDUP(L193,0)*SUMIFS(Donnees_annuelles!$AG$3:$AG$188,Donnees_annuelles!$A$3:$A$188,AR193)*SUMIFS(Donnees_annuelles!$AA$3:$AA$188,Donnees_annuelles!$A$3:$A$188,AR193)</f>
        <v/>
      </c>
      <c r="AT193" s="36">
        <f>AS193/V193</f>
        <v/>
      </c>
      <c r="AU193" s="14">
        <f>AL193</f>
        <v/>
      </c>
      <c r="AV193" s="39">
        <f>AS193-AL193</f>
        <v/>
      </c>
      <c r="AW193" s="9">
        <f>AS193/AL193-1</f>
        <v/>
      </c>
      <c r="AX193" s="14">
        <f>AS193/AJ193/12</f>
        <v/>
      </c>
      <c r="AY193" s="14">
        <f>AF193</f>
        <v/>
      </c>
      <c r="AZ193" s="39">
        <f>AX193-AF193</f>
        <v/>
      </c>
      <c r="BA193" s="14">
        <f>SUMIFS(Donnees_regimes!$S$3:$S$1118,Donnees_regimes!$A$3:$A$1118,C193,Donnees_regimes!$B$3:$B$1118,"&gt;="&amp;G193,Donnees_regimes!$B$3:$B$1118,"&lt;="&amp;N193)*L193/ROUNDUP(L193,0)*SUMIFS(Donnees_annuelles!$AH$3:$AH$188,Donnees_annuelles!$A$3:$A$188,AR193)*SUMIFS(Donnees_annuelles!$AA$3:$AA$188,Donnees_annuelles!$A$3:$A$188,AR193)</f>
        <v/>
      </c>
      <c r="BB193" s="39">
        <f>BA193-AL193</f>
        <v/>
      </c>
      <c r="BC193" s="7">
        <f>IF(M193+AJ193&gt;2026,IF(G193&gt;2026,"entièrement projeté","en partie projeté"),"observé")</f>
        <v/>
      </c>
    </row>
    <row r="194">
      <c r="A194" s="7" t="inlineStr">
        <is>
          <t>Génération Alpha</t>
        </is>
      </c>
      <c r="B194" s="84" t="inlineStr">
        <is>
          <t>Fonction publique d'État</t>
        </is>
      </c>
      <c r="C194" s="7">
        <f>IF(G194&gt;=SUMIFS(Regimes!$C$5:$C$10,Regimes!$A$5:$A$10,B194),"Privé",B194)</f>
        <v/>
      </c>
      <c r="D194" s="7">
        <f>INDEX(Regimes!$D$5:$D$10,MATCH(C194,Regimes!$A$5:$A$10,0))</f>
        <v/>
      </c>
      <c r="E194" s="88" t="n">
        <v>2021</v>
      </c>
      <c r="F194" s="8">
        <f>Donnees_generations!C109</f>
        <v/>
      </c>
      <c r="G194" s="77">
        <f>Donnees_generations!D109</f>
        <v/>
      </c>
      <c r="H194" s="8">
        <f>SUMIFS(Donnees_generations!$S$3:$S$113,Donnees_generations!$A$3:$A$113,MAX(1915,MIN(2025,E194)))</f>
        <v/>
      </c>
      <c r="I194" s="8">
        <f>SUMIFS(Donnees_generations!$T$3:$T$113,Donnees_generations!$A$3:$A$113,MAX(1915,MIN(2025,E194)))</f>
        <v/>
      </c>
      <c r="J194" s="8">
        <f>IF(G194&gt;=2000,MAX(I194,Parametres!$B$3),I194)</f>
        <v/>
      </c>
      <c r="K194" s="8">
        <f>IF(C194="Privé",J194,SUMIFS(Regles_regimes!$J$3:$J$2000,Regles_regimes!$A$3:$A$2000,C194,Regles_regimes!$B$3:$B$2000,D194,Regles_regimes!$C$3:$C$2000,MAX(1915,MIN(2025,E194))))</f>
        <v/>
      </c>
      <c r="L194" s="8">
        <f>IF(C194="Privé",H194,(K194-F194)*H194/(J194-F194))</f>
        <v/>
      </c>
      <c r="M194" s="77">
        <f>INT(E194+K194)</f>
        <v/>
      </c>
      <c r="N194" s="77">
        <f>G194+ROUNDUP(L194,0)-1</f>
        <v/>
      </c>
      <c r="O194" s="89">
        <f>SUMIFS(Regles_regimes!$K$3:$K$2000,Regles_regimes!$A$3:$A$2000,C194,Regles_regimes!$B$3:$B$2000,D194,Regles_regimes!$C$3:$C$2000,MAX(1915,MIN(2025,E194)))</f>
        <v/>
      </c>
      <c r="P194" s="13">
        <f>SUMIFS(Donnees_annuelles!$W$3:$W$188,Donnees_annuelles!$A$3:$A$188,"&gt;="&amp;G194,Donnees_annuelles!$A$3:$A$188,"&lt;="&amp;N194)*L194/ROUNDUP(L194,0)*O194</f>
        <v/>
      </c>
      <c r="Q194" s="13">
        <f>SUMIFS(Donnees_annuelles!$V$3:$V$188,Donnees_annuelles!$A$3:$A$188,"&gt;="&amp;G194,Donnees_annuelles!$A$3:$A$188,"&lt;="&amp;N194)*L194/ROUNDUP(L194,0)</f>
        <v/>
      </c>
      <c r="R194" s="13">
        <f>P194/L194</f>
        <v/>
      </c>
      <c r="S194" s="14">
        <f>SUMIFS(Donnees_annuelles!$D$3:$D$188,Donnees_annuelles!$A$3:$A$188,"&gt;="&amp;G194,Donnees_annuelles!$A$3:$A$188,"&lt;="&amp;N194)*L194/ROUNDUP(L194,0)</f>
        <v/>
      </c>
      <c r="T194" s="14">
        <f>SUMIFS(Donnees_regimes!$N$3:$N$1118,Donnees_regimes!$A$3:$A$1118,C194,Donnees_regimes!$B$3:$B$1118,"&gt;="&amp;G194,Donnees_regimes!$B$3:$B$1118,"&lt;="&amp;N194)*L194/ROUNDUP(L194,0)</f>
        <v/>
      </c>
      <c r="U194" s="14">
        <f>SUMIFS(Donnees_regimes!$O$3:$O$1118,Donnees_regimes!$A$3:$A$1118,C194,Donnees_regimes!$B$3:$B$1118,"&gt;="&amp;G194,Donnees_regimes!$B$3:$B$1118,"&lt;="&amp;N194)*L194/ROUNDUP(L194,0)</f>
        <v/>
      </c>
      <c r="V194" s="14">
        <f>T194+U194</f>
        <v/>
      </c>
      <c r="W194" s="33">
        <f>V194/S194</f>
        <v/>
      </c>
      <c r="X194" s="14">
        <f>S194+U194</f>
        <v/>
      </c>
      <c r="Y194" s="17">
        <f>V194/P194</f>
        <v/>
      </c>
      <c r="Z194" s="14">
        <f>SUMIFS(Donnees_regimes!$Q$3:$Q$1118,Donnees_regimes!$A$3:$A$1118,C194,Donnees_regimes!$B$3:$B$1118,"&gt;="&amp;G194,Donnees_regimes!$B$3:$B$1118,"&lt;="&amp;N194)*L194/ROUNDUP(L194,0)</f>
        <v/>
      </c>
      <c r="AA194" s="77">
        <f>SUMIFS(Regles_regimes!$F$3:$F$2000,Regles_regimes!$A$3:$A$2000,C194,Regles_regimes!$B$3:$B$2000,D194,Regles_regimes!$C$3:$C$2000,MAX(1915,MIN(2025,E194)))</f>
        <v/>
      </c>
      <c r="AB194" s="77">
        <f>IF(AND(SUMIFS(Regles_regimes!$L$3:$L$2000,Regles_regimes!$A$3:$A$2000,C194,Regles_regimes!$B$3:$B$2000,D194,Regles_regimes!$C$3:$C$2000,MAX(1915,MIN(2025,E194)))=1,G194&lt;2009,C194&lt;&gt;"Privé"),MIN(20,L194*4/5),0)</f>
        <v/>
      </c>
      <c r="AC194" s="89">
        <f>SUMIFS(Donnees_regimes!$M$3:$M$1118,Donnees_regimes!$A$3:$A$1118,C194,Donnees_regimes!$B$3:$B$1118,M194)</f>
        <v/>
      </c>
      <c r="AD194" s="14">
        <f>SUMIFS(Donnees_annuelles!$Y$3:$Y$188,Donnees_annuelles!$A$3:$A$188,M194)*SUMIFS(Donnees_generations!$I$3:$I$113,Donnees_generations!$A$3:$A$113,MAX(1915,MIN(2025,E194)))/H194</f>
        <v/>
      </c>
      <c r="AE194" s="14">
        <f>IF(C194="Privé",SUMIFS(Donnees_annuelles!$Y$3:$Y$188,Donnees_annuelles!$A$3:$A$188,M194)*MIN(L194,SUMIFS(Donnees_generations!$I$3:$I$113,Donnees_generations!$A$3:$A$113,MAX(1915,MIN(2025,E194))))/L194,AD194*AC194*MIN(IF(AB194&gt;0,0.8/0.75,1),(L194*4+AB194)/AA194))</f>
        <v/>
      </c>
      <c r="AF194" s="14">
        <f>AE194/12</f>
        <v/>
      </c>
      <c r="AG194" s="77">
        <f>MIN(68,MAX(56,2*INT(K194/2)))</f>
        <v/>
      </c>
      <c r="AH194" s="75">
        <f>(CHOOSE((AG194-56)/2+1,SUMIFS(Donnees_generations!$U$3:$U$113,Donnees_generations!$A$3:$A$113,MAX(1915,MIN(2025,E194))),SUMIFS(Donnees_generations!$V$3:$V$113,Donnees_generations!$A$3:$A$113,MAX(1915,MIN(2025,E194))),SUMIFS(Donnees_generations!$W$3:$W$113,Donnees_generations!$A$3:$A$113,MAX(1915,MIN(2025,E194))),SUMIFS(Donnees_generations!$X$3:$X$113,Donnees_generations!$A$3:$A$113,MAX(1915,MIN(2025,E194))),SUMIFS(Donnees_generations!$Y$3:$Y$113,Donnees_generations!$A$3:$A$113,MAX(1915,MIN(2025,E194))),SUMIFS(Donnees_generations!$Z$3:$Z$113,Donnees_generations!$A$3:$A$113,MAX(1915,MIN(2025,E194))),SUMIFS(Donnees_generations!$AA$3:$AA$113,Donnees_generations!$A$3:$A$113,MAX(1915,MIN(2025,E194))),SUMIFS(Donnees_generations!$AB$3:$AB$113,Donnees_generations!$A$3:$A$113,MAX(1915,MIN(2025,E194))))+CHOOSE((AG194-56)/2+1,SUMIFS(Donnees_generations!$AC$3:$AC$113,Donnees_generations!$A$3:$A$113,MAX(1915,MIN(2025,E194))),SUMIFS(Donnees_generations!$AD$3:$AD$113,Donnees_generations!$A$3:$A$113,MAX(1915,MIN(2025,E194))),SUMIFS(Donnees_generations!$AE$3:$AE$113,Donnees_generations!$A$3:$A$113,MAX(1915,MIN(2025,E194))),SUMIFS(Donnees_generations!$AF$3:$AF$113,Donnees_generations!$A$3:$A$113,MAX(1915,MIN(2025,E194))),SUMIFS(Donnees_generations!$AG$3:$AG$113,Donnees_generations!$A$3:$A$113,MAX(1915,MIN(2025,E194))),SUMIFS(Donnees_generations!$AH$3:$AH$113,Donnees_generations!$A$3:$A$113,MAX(1915,MIN(2025,E194))),SUMIFS(Donnees_generations!$AI$3:$AI$113,Donnees_generations!$A$3:$A$113,MAX(1915,MIN(2025,E194))),SUMIFS(Donnees_generations!$AJ$3:$AJ$113,Donnees_generations!$A$3:$A$113,MAX(1915,MIN(2025,E194)))))/2</f>
        <v/>
      </c>
      <c r="AI194" s="75">
        <f>(CHOOSE(((AG194+2)-56)/2+1,SUMIFS(Donnees_generations!$U$3:$U$113,Donnees_generations!$A$3:$A$113,MAX(1915,MIN(2025,E194))),SUMIFS(Donnees_generations!$V$3:$V$113,Donnees_generations!$A$3:$A$113,MAX(1915,MIN(2025,E194))),SUMIFS(Donnees_generations!$W$3:$W$113,Donnees_generations!$A$3:$A$113,MAX(1915,MIN(2025,E194))),SUMIFS(Donnees_generations!$X$3:$X$113,Donnees_generations!$A$3:$A$113,MAX(1915,MIN(2025,E194))),SUMIFS(Donnees_generations!$Y$3:$Y$113,Donnees_generations!$A$3:$A$113,MAX(1915,MIN(2025,E194))),SUMIFS(Donnees_generations!$Z$3:$Z$113,Donnees_generations!$A$3:$A$113,MAX(1915,MIN(2025,E194))),SUMIFS(Donnees_generations!$AA$3:$AA$113,Donnees_generations!$A$3:$A$113,MAX(1915,MIN(2025,E194))),SUMIFS(Donnees_generations!$AB$3:$AB$113,Donnees_generations!$A$3:$A$113,MAX(1915,MIN(2025,E194))))+CHOOSE(((AG194+2)-56)/2+1,SUMIFS(Donnees_generations!$AC$3:$AC$113,Donnees_generations!$A$3:$A$113,MAX(1915,MIN(2025,E194))),SUMIFS(Donnees_generations!$AD$3:$AD$113,Donnees_generations!$A$3:$A$113,MAX(1915,MIN(2025,E194))),SUMIFS(Donnees_generations!$AE$3:$AE$113,Donnees_generations!$A$3:$A$113,MAX(1915,MIN(2025,E194))),SUMIFS(Donnees_generations!$AF$3:$AF$113,Donnees_generations!$A$3:$A$113,MAX(1915,MIN(2025,E194))),SUMIFS(Donnees_generations!$AG$3:$AG$113,Donnees_generations!$A$3:$A$113,MAX(1915,MIN(2025,E194))),SUMIFS(Donnees_generations!$AH$3:$AH$113,Donnees_generations!$A$3:$A$113,MAX(1915,MIN(2025,E194))),SUMIFS(Donnees_generations!$AI$3:$AI$113,Donnees_generations!$A$3:$A$113,MAX(1915,MIN(2025,E194))),SUMIFS(Donnees_generations!$AJ$3:$AJ$113,Donnees_generations!$A$3:$A$113,MAX(1915,MIN(2025,E194)))))/2</f>
        <v/>
      </c>
      <c r="AJ194" s="8">
        <f>MAX(0,AH194+(AI194-AH194)*(K194-AG194)/2)</f>
        <v/>
      </c>
      <c r="AK194" s="8">
        <f>K194+AJ194</f>
        <v/>
      </c>
      <c r="AL194" s="14">
        <f>AE194*AJ194</f>
        <v/>
      </c>
      <c r="AM194" s="17">
        <f>V194/AL194</f>
        <v/>
      </c>
      <c r="AN194" s="17">
        <f>Z194/AL194</f>
        <v/>
      </c>
      <c r="AO194" s="33">
        <f>IF(V194+Z194=0,0,Z194/(V194+Z194))</f>
        <v/>
      </c>
      <c r="AP194" s="14">
        <f>AL194/V194*100</f>
        <v/>
      </c>
      <c r="AQ194" s="8">
        <f>P194/AL194*1000</f>
        <v/>
      </c>
      <c r="AR194" s="77">
        <f>MAX(N194,M194-1)</f>
        <v/>
      </c>
      <c r="AS194" s="14">
        <f>SUMIFS(Donnees_regimes!$R$3:$R$1118,Donnees_regimes!$A$3:$A$1118,C194,Donnees_regimes!$B$3:$B$1118,"&gt;="&amp;G194,Donnees_regimes!$B$3:$B$1118,"&lt;="&amp;N194)*L194/ROUNDUP(L194,0)*SUMIFS(Donnees_annuelles!$AG$3:$AG$188,Donnees_annuelles!$A$3:$A$188,AR194)*SUMIFS(Donnees_annuelles!$AA$3:$AA$188,Donnees_annuelles!$A$3:$A$188,AR194)</f>
        <v/>
      </c>
      <c r="AT194" s="36">
        <f>AS194/V194</f>
        <v/>
      </c>
      <c r="AU194" s="14">
        <f>AL194</f>
        <v/>
      </c>
      <c r="AV194" s="39">
        <f>AS194-AL194</f>
        <v/>
      </c>
      <c r="AW194" s="9">
        <f>AS194/AL194-1</f>
        <v/>
      </c>
      <c r="AX194" s="14">
        <f>AS194/AJ194/12</f>
        <v/>
      </c>
      <c r="AY194" s="14">
        <f>AF194</f>
        <v/>
      </c>
      <c r="AZ194" s="39">
        <f>AX194-AF194</f>
        <v/>
      </c>
      <c r="BA194" s="14">
        <f>SUMIFS(Donnees_regimes!$S$3:$S$1118,Donnees_regimes!$A$3:$A$1118,C194,Donnees_regimes!$B$3:$B$1118,"&gt;="&amp;G194,Donnees_regimes!$B$3:$B$1118,"&lt;="&amp;N194)*L194/ROUNDUP(L194,0)*SUMIFS(Donnees_annuelles!$AH$3:$AH$188,Donnees_annuelles!$A$3:$A$188,AR194)*SUMIFS(Donnees_annuelles!$AA$3:$AA$188,Donnees_annuelles!$A$3:$A$188,AR194)</f>
        <v/>
      </c>
      <c r="BB194" s="39">
        <f>BA194-AL194</f>
        <v/>
      </c>
      <c r="BC194" s="7">
        <f>IF(M194+AJ194&gt;2026,IF(G194&gt;2026,"entièrement projeté","en partie projeté"),"observé")</f>
        <v/>
      </c>
    </row>
    <row r="195">
      <c r="A195" s="7" t="inlineStr">
        <is>
          <t>Génération Alpha</t>
        </is>
      </c>
      <c r="B195" s="84" t="inlineStr">
        <is>
          <t>Fonction publique d'État</t>
        </is>
      </c>
      <c r="C195" s="7">
        <f>IF(G195&gt;=SUMIFS(Regimes!$C$5:$C$10,Regimes!$A$5:$A$10,B195),"Privé",B195)</f>
        <v/>
      </c>
      <c r="D195" s="7">
        <f>INDEX(Regimes!$D$5:$D$10,MATCH(C195,Regimes!$A$5:$A$10,0))</f>
        <v/>
      </c>
      <c r="E195" s="88" t="n">
        <v>2022</v>
      </c>
      <c r="F195" s="8">
        <f>Donnees_generations!C110</f>
        <v/>
      </c>
      <c r="G195" s="77">
        <f>Donnees_generations!D110</f>
        <v/>
      </c>
      <c r="H195" s="8">
        <f>SUMIFS(Donnees_generations!$S$3:$S$113,Donnees_generations!$A$3:$A$113,MAX(1915,MIN(2025,E195)))</f>
        <v/>
      </c>
      <c r="I195" s="8">
        <f>SUMIFS(Donnees_generations!$T$3:$T$113,Donnees_generations!$A$3:$A$113,MAX(1915,MIN(2025,E195)))</f>
        <v/>
      </c>
      <c r="J195" s="8">
        <f>IF(G195&gt;=2000,MAX(I195,Parametres!$B$3),I195)</f>
        <v/>
      </c>
      <c r="K195" s="8">
        <f>IF(C195="Privé",J195,SUMIFS(Regles_regimes!$J$3:$J$2000,Regles_regimes!$A$3:$A$2000,C195,Regles_regimes!$B$3:$B$2000,D195,Regles_regimes!$C$3:$C$2000,MAX(1915,MIN(2025,E195))))</f>
        <v/>
      </c>
      <c r="L195" s="8">
        <f>IF(C195="Privé",H195,(K195-F195)*H195/(J195-F195))</f>
        <v/>
      </c>
      <c r="M195" s="77">
        <f>INT(E195+K195)</f>
        <v/>
      </c>
      <c r="N195" s="77">
        <f>G195+ROUNDUP(L195,0)-1</f>
        <v/>
      </c>
      <c r="O195" s="89">
        <f>SUMIFS(Regles_regimes!$K$3:$K$2000,Regles_regimes!$A$3:$A$2000,C195,Regles_regimes!$B$3:$B$2000,D195,Regles_regimes!$C$3:$C$2000,MAX(1915,MIN(2025,E195)))</f>
        <v/>
      </c>
      <c r="P195" s="13">
        <f>SUMIFS(Donnees_annuelles!$W$3:$W$188,Donnees_annuelles!$A$3:$A$188,"&gt;="&amp;G195,Donnees_annuelles!$A$3:$A$188,"&lt;="&amp;N195)*L195/ROUNDUP(L195,0)*O195</f>
        <v/>
      </c>
      <c r="Q195" s="13">
        <f>SUMIFS(Donnees_annuelles!$V$3:$V$188,Donnees_annuelles!$A$3:$A$188,"&gt;="&amp;G195,Donnees_annuelles!$A$3:$A$188,"&lt;="&amp;N195)*L195/ROUNDUP(L195,0)</f>
        <v/>
      </c>
      <c r="R195" s="13">
        <f>P195/L195</f>
        <v/>
      </c>
      <c r="S195" s="14">
        <f>SUMIFS(Donnees_annuelles!$D$3:$D$188,Donnees_annuelles!$A$3:$A$188,"&gt;="&amp;G195,Donnees_annuelles!$A$3:$A$188,"&lt;="&amp;N195)*L195/ROUNDUP(L195,0)</f>
        <v/>
      </c>
      <c r="T195" s="14">
        <f>SUMIFS(Donnees_regimes!$N$3:$N$1118,Donnees_regimes!$A$3:$A$1118,C195,Donnees_regimes!$B$3:$B$1118,"&gt;="&amp;G195,Donnees_regimes!$B$3:$B$1118,"&lt;="&amp;N195)*L195/ROUNDUP(L195,0)</f>
        <v/>
      </c>
      <c r="U195" s="14">
        <f>SUMIFS(Donnees_regimes!$O$3:$O$1118,Donnees_regimes!$A$3:$A$1118,C195,Donnees_regimes!$B$3:$B$1118,"&gt;="&amp;G195,Donnees_regimes!$B$3:$B$1118,"&lt;="&amp;N195)*L195/ROUNDUP(L195,0)</f>
        <v/>
      </c>
      <c r="V195" s="14">
        <f>T195+U195</f>
        <v/>
      </c>
      <c r="W195" s="33">
        <f>V195/S195</f>
        <v/>
      </c>
      <c r="X195" s="14">
        <f>S195+U195</f>
        <v/>
      </c>
      <c r="Y195" s="17">
        <f>V195/P195</f>
        <v/>
      </c>
      <c r="Z195" s="14">
        <f>SUMIFS(Donnees_regimes!$Q$3:$Q$1118,Donnees_regimes!$A$3:$A$1118,C195,Donnees_regimes!$B$3:$B$1118,"&gt;="&amp;G195,Donnees_regimes!$B$3:$B$1118,"&lt;="&amp;N195)*L195/ROUNDUP(L195,0)</f>
        <v/>
      </c>
      <c r="AA195" s="77">
        <f>SUMIFS(Regles_regimes!$F$3:$F$2000,Regles_regimes!$A$3:$A$2000,C195,Regles_regimes!$B$3:$B$2000,D195,Regles_regimes!$C$3:$C$2000,MAX(1915,MIN(2025,E195)))</f>
        <v/>
      </c>
      <c r="AB195" s="77">
        <f>IF(AND(SUMIFS(Regles_regimes!$L$3:$L$2000,Regles_regimes!$A$3:$A$2000,C195,Regles_regimes!$B$3:$B$2000,D195,Regles_regimes!$C$3:$C$2000,MAX(1915,MIN(2025,E195)))=1,G195&lt;2009,C195&lt;&gt;"Privé"),MIN(20,L195*4/5),0)</f>
        <v/>
      </c>
      <c r="AC195" s="89">
        <f>SUMIFS(Donnees_regimes!$M$3:$M$1118,Donnees_regimes!$A$3:$A$1118,C195,Donnees_regimes!$B$3:$B$1118,M195)</f>
        <v/>
      </c>
      <c r="AD195" s="14">
        <f>SUMIFS(Donnees_annuelles!$Y$3:$Y$188,Donnees_annuelles!$A$3:$A$188,M195)*SUMIFS(Donnees_generations!$I$3:$I$113,Donnees_generations!$A$3:$A$113,MAX(1915,MIN(2025,E195)))/H195</f>
        <v/>
      </c>
      <c r="AE195" s="14">
        <f>IF(C195="Privé",SUMIFS(Donnees_annuelles!$Y$3:$Y$188,Donnees_annuelles!$A$3:$A$188,M195)*MIN(L195,SUMIFS(Donnees_generations!$I$3:$I$113,Donnees_generations!$A$3:$A$113,MAX(1915,MIN(2025,E195))))/L195,AD195*AC195*MIN(IF(AB195&gt;0,0.8/0.75,1),(L195*4+AB195)/AA195))</f>
        <v/>
      </c>
      <c r="AF195" s="14">
        <f>AE195/12</f>
        <v/>
      </c>
      <c r="AG195" s="77">
        <f>MIN(68,MAX(56,2*INT(K195/2)))</f>
        <v/>
      </c>
      <c r="AH195" s="75">
        <f>(CHOOSE((AG195-56)/2+1,SUMIFS(Donnees_generations!$U$3:$U$113,Donnees_generations!$A$3:$A$113,MAX(1915,MIN(2025,E195))),SUMIFS(Donnees_generations!$V$3:$V$113,Donnees_generations!$A$3:$A$113,MAX(1915,MIN(2025,E195))),SUMIFS(Donnees_generations!$W$3:$W$113,Donnees_generations!$A$3:$A$113,MAX(1915,MIN(2025,E195))),SUMIFS(Donnees_generations!$X$3:$X$113,Donnees_generations!$A$3:$A$113,MAX(1915,MIN(2025,E195))),SUMIFS(Donnees_generations!$Y$3:$Y$113,Donnees_generations!$A$3:$A$113,MAX(1915,MIN(2025,E195))),SUMIFS(Donnees_generations!$Z$3:$Z$113,Donnees_generations!$A$3:$A$113,MAX(1915,MIN(2025,E195))),SUMIFS(Donnees_generations!$AA$3:$AA$113,Donnees_generations!$A$3:$A$113,MAX(1915,MIN(2025,E195))),SUMIFS(Donnees_generations!$AB$3:$AB$113,Donnees_generations!$A$3:$A$113,MAX(1915,MIN(2025,E195))))+CHOOSE((AG195-56)/2+1,SUMIFS(Donnees_generations!$AC$3:$AC$113,Donnees_generations!$A$3:$A$113,MAX(1915,MIN(2025,E195))),SUMIFS(Donnees_generations!$AD$3:$AD$113,Donnees_generations!$A$3:$A$113,MAX(1915,MIN(2025,E195))),SUMIFS(Donnees_generations!$AE$3:$AE$113,Donnees_generations!$A$3:$A$113,MAX(1915,MIN(2025,E195))),SUMIFS(Donnees_generations!$AF$3:$AF$113,Donnees_generations!$A$3:$A$113,MAX(1915,MIN(2025,E195))),SUMIFS(Donnees_generations!$AG$3:$AG$113,Donnees_generations!$A$3:$A$113,MAX(1915,MIN(2025,E195))),SUMIFS(Donnees_generations!$AH$3:$AH$113,Donnees_generations!$A$3:$A$113,MAX(1915,MIN(2025,E195))),SUMIFS(Donnees_generations!$AI$3:$AI$113,Donnees_generations!$A$3:$A$113,MAX(1915,MIN(2025,E195))),SUMIFS(Donnees_generations!$AJ$3:$AJ$113,Donnees_generations!$A$3:$A$113,MAX(1915,MIN(2025,E195)))))/2</f>
        <v/>
      </c>
      <c r="AI195" s="75">
        <f>(CHOOSE(((AG195+2)-56)/2+1,SUMIFS(Donnees_generations!$U$3:$U$113,Donnees_generations!$A$3:$A$113,MAX(1915,MIN(2025,E195))),SUMIFS(Donnees_generations!$V$3:$V$113,Donnees_generations!$A$3:$A$113,MAX(1915,MIN(2025,E195))),SUMIFS(Donnees_generations!$W$3:$W$113,Donnees_generations!$A$3:$A$113,MAX(1915,MIN(2025,E195))),SUMIFS(Donnees_generations!$X$3:$X$113,Donnees_generations!$A$3:$A$113,MAX(1915,MIN(2025,E195))),SUMIFS(Donnees_generations!$Y$3:$Y$113,Donnees_generations!$A$3:$A$113,MAX(1915,MIN(2025,E195))),SUMIFS(Donnees_generations!$Z$3:$Z$113,Donnees_generations!$A$3:$A$113,MAX(1915,MIN(2025,E195))),SUMIFS(Donnees_generations!$AA$3:$AA$113,Donnees_generations!$A$3:$A$113,MAX(1915,MIN(2025,E195))),SUMIFS(Donnees_generations!$AB$3:$AB$113,Donnees_generations!$A$3:$A$113,MAX(1915,MIN(2025,E195))))+CHOOSE(((AG195+2)-56)/2+1,SUMIFS(Donnees_generations!$AC$3:$AC$113,Donnees_generations!$A$3:$A$113,MAX(1915,MIN(2025,E195))),SUMIFS(Donnees_generations!$AD$3:$AD$113,Donnees_generations!$A$3:$A$113,MAX(1915,MIN(2025,E195))),SUMIFS(Donnees_generations!$AE$3:$AE$113,Donnees_generations!$A$3:$A$113,MAX(1915,MIN(2025,E195))),SUMIFS(Donnees_generations!$AF$3:$AF$113,Donnees_generations!$A$3:$A$113,MAX(1915,MIN(2025,E195))),SUMIFS(Donnees_generations!$AG$3:$AG$113,Donnees_generations!$A$3:$A$113,MAX(1915,MIN(2025,E195))),SUMIFS(Donnees_generations!$AH$3:$AH$113,Donnees_generations!$A$3:$A$113,MAX(1915,MIN(2025,E195))),SUMIFS(Donnees_generations!$AI$3:$AI$113,Donnees_generations!$A$3:$A$113,MAX(1915,MIN(2025,E195))),SUMIFS(Donnees_generations!$AJ$3:$AJ$113,Donnees_generations!$A$3:$A$113,MAX(1915,MIN(2025,E195)))))/2</f>
        <v/>
      </c>
      <c r="AJ195" s="8">
        <f>MAX(0,AH195+(AI195-AH195)*(K195-AG195)/2)</f>
        <v/>
      </c>
      <c r="AK195" s="8">
        <f>K195+AJ195</f>
        <v/>
      </c>
      <c r="AL195" s="14">
        <f>AE195*AJ195</f>
        <v/>
      </c>
      <c r="AM195" s="17">
        <f>V195/AL195</f>
        <v/>
      </c>
      <c r="AN195" s="17">
        <f>Z195/AL195</f>
        <v/>
      </c>
      <c r="AO195" s="33">
        <f>IF(V195+Z195=0,0,Z195/(V195+Z195))</f>
        <v/>
      </c>
      <c r="AP195" s="14">
        <f>AL195/V195*100</f>
        <v/>
      </c>
      <c r="AQ195" s="8">
        <f>P195/AL195*1000</f>
        <v/>
      </c>
      <c r="AR195" s="77">
        <f>MAX(N195,M195-1)</f>
        <v/>
      </c>
      <c r="AS195" s="14">
        <f>SUMIFS(Donnees_regimes!$R$3:$R$1118,Donnees_regimes!$A$3:$A$1118,C195,Donnees_regimes!$B$3:$B$1118,"&gt;="&amp;G195,Donnees_regimes!$B$3:$B$1118,"&lt;="&amp;N195)*L195/ROUNDUP(L195,0)*SUMIFS(Donnees_annuelles!$AG$3:$AG$188,Donnees_annuelles!$A$3:$A$188,AR195)*SUMIFS(Donnees_annuelles!$AA$3:$AA$188,Donnees_annuelles!$A$3:$A$188,AR195)</f>
        <v/>
      </c>
      <c r="AT195" s="36">
        <f>AS195/V195</f>
        <v/>
      </c>
      <c r="AU195" s="14">
        <f>AL195</f>
        <v/>
      </c>
      <c r="AV195" s="39">
        <f>AS195-AL195</f>
        <v/>
      </c>
      <c r="AW195" s="9">
        <f>AS195/AL195-1</f>
        <v/>
      </c>
      <c r="AX195" s="14">
        <f>AS195/AJ195/12</f>
        <v/>
      </c>
      <c r="AY195" s="14">
        <f>AF195</f>
        <v/>
      </c>
      <c r="AZ195" s="39">
        <f>AX195-AF195</f>
        <v/>
      </c>
      <c r="BA195" s="14">
        <f>SUMIFS(Donnees_regimes!$S$3:$S$1118,Donnees_regimes!$A$3:$A$1118,C195,Donnees_regimes!$B$3:$B$1118,"&gt;="&amp;G195,Donnees_regimes!$B$3:$B$1118,"&lt;="&amp;N195)*L195/ROUNDUP(L195,0)*SUMIFS(Donnees_annuelles!$AH$3:$AH$188,Donnees_annuelles!$A$3:$A$188,AR195)*SUMIFS(Donnees_annuelles!$AA$3:$AA$188,Donnees_annuelles!$A$3:$A$188,AR195)</f>
        <v/>
      </c>
      <c r="BB195" s="39">
        <f>BA195-AL195</f>
        <v/>
      </c>
      <c r="BC195" s="7">
        <f>IF(M195+AJ195&gt;2026,IF(G195&gt;2026,"entièrement projeté","en partie projeté"),"observé")</f>
        <v/>
      </c>
    </row>
    <row r="196">
      <c r="A196" s="7" t="inlineStr">
        <is>
          <t>Génération Alpha</t>
        </is>
      </c>
      <c r="B196" s="84" t="inlineStr">
        <is>
          <t>Fonction publique d'État</t>
        </is>
      </c>
      <c r="C196" s="7">
        <f>IF(G196&gt;=SUMIFS(Regimes!$C$5:$C$10,Regimes!$A$5:$A$10,B196),"Privé",B196)</f>
        <v/>
      </c>
      <c r="D196" s="7">
        <f>INDEX(Regimes!$D$5:$D$10,MATCH(C196,Regimes!$A$5:$A$10,0))</f>
        <v/>
      </c>
      <c r="E196" s="88" t="n">
        <v>2023</v>
      </c>
      <c r="F196" s="8">
        <f>Donnees_generations!C111</f>
        <v/>
      </c>
      <c r="G196" s="77">
        <f>Donnees_generations!D111</f>
        <v/>
      </c>
      <c r="H196" s="8">
        <f>SUMIFS(Donnees_generations!$S$3:$S$113,Donnees_generations!$A$3:$A$113,MAX(1915,MIN(2025,E196)))</f>
        <v/>
      </c>
      <c r="I196" s="8">
        <f>SUMIFS(Donnees_generations!$T$3:$T$113,Donnees_generations!$A$3:$A$113,MAX(1915,MIN(2025,E196)))</f>
        <v/>
      </c>
      <c r="J196" s="8">
        <f>IF(G196&gt;=2000,MAX(I196,Parametres!$B$3),I196)</f>
        <v/>
      </c>
      <c r="K196" s="8">
        <f>IF(C196="Privé",J196,SUMIFS(Regles_regimes!$J$3:$J$2000,Regles_regimes!$A$3:$A$2000,C196,Regles_regimes!$B$3:$B$2000,D196,Regles_regimes!$C$3:$C$2000,MAX(1915,MIN(2025,E196))))</f>
        <v/>
      </c>
      <c r="L196" s="8">
        <f>IF(C196="Privé",H196,(K196-F196)*H196/(J196-F196))</f>
        <v/>
      </c>
      <c r="M196" s="77">
        <f>INT(E196+K196)</f>
        <v/>
      </c>
      <c r="N196" s="77">
        <f>G196+ROUNDUP(L196,0)-1</f>
        <v/>
      </c>
      <c r="O196" s="89">
        <f>SUMIFS(Regles_regimes!$K$3:$K$2000,Regles_regimes!$A$3:$A$2000,C196,Regles_regimes!$B$3:$B$2000,D196,Regles_regimes!$C$3:$C$2000,MAX(1915,MIN(2025,E196)))</f>
        <v/>
      </c>
      <c r="P196" s="13">
        <f>SUMIFS(Donnees_annuelles!$W$3:$W$188,Donnees_annuelles!$A$3:$A$188,"&gt;="&amp;G196,Donnees_annuelles!$A$3:$A$188,"&lt;="&amp;N196)*L196/ROUNDUP(L196,0)*O196</f>
        <v/>
      </c>
      <c r="Q196" s="13">
        <f>SUMIFS(Donnees_annuelles!$V$3:$V$188,Donnees_annuelles!$A$3:$A$188,"&gt;="&amp;G196,Donnees_annuelles!$A$3:$A$188,"&lt;="&amp;N196)*L196/ROUNDUP(L196,0)</f>
        <v/>
      </c>
      <c r="R196" s="13">
        <f>P196/L196</f>
        <v/>
      </c>
      <c r="S196" s="14">
        <f>SUMIFS(Donnees_annuelles!$D$3:$D$188,Donnees_annuelles!$A$3:$A$188,"&gt;="&amp;G196,Donnees_annuelles!$A$3:$A$188,"&lt;="&amp;N196)*L196/ROUNDUP(L196,0)</f>
        <v/>
      </c>
      <c r="T196" s="14">
        <f>SUMIFS(Donnees_regimes!$N$3:$N$1118,Donnees_regimes!$A$3:$A$1118,C196,Donnees_regimes!$B$3:$B$1118,"&gt;="&amp;G196,Donnees_regimes!$B$3:$B$1118,"&lt;="&amp;N196)*L196/ROUNDUP(L196,0)</f>
        <v/>
      </c>
      <c r="U196" s="14">
        <f>SUMIFS(Donnees_regimes!$O$3:$O$1118,Donnees_regimes!$A$3:$A$1118,C196,Donnees_regimes!$B$3:$B$1118,"&gt;="&amp;G196,Donnees_regimes!$B$3:$B$1118,"&lt;="&amp;N196)*L196/ROUNDUP(L196,0)</f>
        <v/>
      </c>
      <c r="V196" s="14">
        <f>T196+U196</f>
        <v/>
      </c>
      <c r="W196" s="33">
        <f>V196/S196</f>
        <v/>
      </c>
      <c r="X196" s="14">
        <f>S196+U196</f>
        <v/>
      </c>
      <c r="Y196" s="17">
        <f>V196/P196</f>
        <v/>
      </c>
      <c r="Z196" s="14">
        <f>SUMIFS(Donnees_regimes!$Q$3:$Q$1118,Donnees_regimes!$A$3:$A$1118,C196,Donnees_regimes!$B$3:$B$1118,"&gt;="&amp;G196,Donnees_regimes!$B$3:$B$1118,"&lt;="&amp;N196)*L196/ROUNDUP(L196,0)</f>
        <v/>
      </c>
      <c r="AA196" s="77">
        <f>SUMIFS(Regles_regimes!$F$3:$F$2000,Regles_regimes!$A$3:$A$2000,C196,Regles_regimes!$B$3:$B$2000,D196,Regles_regimes!$C$3:$C$2000,MAX(1915,MIN(2025,E196)))</f>
        <v/>
      </c>
      <c r="AB196" s="77">
        <f>IF(AND(SUMIFS(Regles_regimes!$L$3:$L$2000,Regles_regimes!$A$3:$A$2000,C196,Regles_regimes!$B$3:$B$2000,D196,Regles_regimes!$C$3:$C$2000,MAX(1915,MIN(2025,E196)))=1,G196&lt;2009,C196&lt;&gt;"Privé"),MIN(20,L196*4/5),0)</f>
        <v/>
      </c>
      <c r="AC196" s="89">
        <f>SUMIFS(Donnees_regimes!$M$3:$M$1118,Donnees_regimes!$A$3:$A$1118,C196,Donnees_regimes!$B$3:$B$1118,M196)</f>
        <v/>
      </c>
      <c r="AD196" s="14">
        <f>SUMIFS(Donnees_annuelles!$Y$3:$Y$188,Donnees_annuelles!$A$3:$A$188,M196)*SUMIFS(Donnees_generations!$I$3:$I$113,Donnees_generations!$A$3:$A$113,MAX(1915,MIN(2025,E196)))/H196</f>
        <v/>
      </c>
      <c r="AE196" s="14">
        <f>IF(C196="Privé",SUMIFS(Donnees_annuelles!$Y$3:$Y$188,Donnees_annuelles!$A$3:$A$188,M196)*MIN(L196,SUMIFS(Donnees_generations!$I$3:$I$113,Donnees_generations!$A$3:$A$113,MAX(1915,MIN(2025,E196))))/L196,AD196*AC196*MIN(IF(AB196&gt;0,0.8/0.75,1),(L196*4+AB196)/AA196))</f>
        <v/>
      </c>
      <c r="AF196" s="14">
        <f>AE196/12</f>
        <v/>
      </c>
      <c r="AG196" s="77">
        <f>MIN(68,MAX(56,2*INT(K196/2)))</f>
        <v/>
      </c>
      <c r="AH196" s="75">
        <f>(CHOOSE((AG196-56)/2+1,SUMIFS(Donnees_generations!$U$3:$U$113,Donnees_generations!$A$3:$A$113,MAX(1915,MIN(2025,E196))),SUMIFS(Donnees_generations!$V$3:$V$113,Donnees_generations!$A$3:$A$113,MAX(1915,MIN(2025,E196))),SUMIFS(Donnees_generations!$W$3:$W$113,Donnees_generations!$A$3:$A$113,MAX(1915,MIN(2025,E196))),SUMIFS(Donnees_generations!$X$3:$X$113,Donnees_generations!$A$3:$A$113,MAX(1915,MIN(2025,E196))),SUMIFS(Donnees_generations!$Y$3:$Y$113,Donnees_generations!$A$3:$A$113,MAX(1915,MIN(2025,E196))),SUMIFS(Donnees_generations!$Z$3:$Z$113,Donnees_generations!$A$3:$A$113,MAX(1915,MIN(2025,E196))),SUMIFS(Donnees_generations!$AA$3:$AA$113,Donnees_generations!$A$3:$A$113,MAX(1915,MIN(2025,E196))),SUMIFS(Donnees_generations!$AB$3:$AB$113,Donnees_generations!$A$3:$A$113,MAX(1915,MIN(2025,E196))))+CHOOSE((AG196-56)/2+1,SUMIFS(Donnees_generations!$AC$3:$AC$113,Donnees_generations!$A$3:$A$113,MAX(1915,MIN(2025,E196))),SUMIFS(Donnees_generations!$AD$3:$AD$113,Donnees_generations!$A$3:$A$113,MAX(1915,MIN(2025,E196))),SUMIFS(Donnees_generations!$AE$3:$AE$113,Donnees_generations!$A$3:$A$113,MAX(1915,MIN(2025,E196))),SUMIFS(Donnees_generations!$AF$3:$AF$113,Donnees_generations!$A$3:$A$113,MAX(1915,MIN(2025,E196))),SUMIFS(Donnees_generations!$AG$3:$AG$113,Donnees_generations!$A$3:$A$113,MAX(1915,MIN(2025,E196))),SUMIFS(Donnees_generations!$AH$3:$AH$113,Donnees_generations!$A$3:$A$113,MAX(1915,MIN(2025,E196))),SUMIFS(Donnees_generations!$AI$3:$AI$113,Donnees_generations!$A$3:$A$113,MAX(1915,MIN(2025,E196))),SUMIFS(Donnees_generations!$AJ$3:$AJ$113,Donnees_generations!$A$3:$A$113,MAX(1915,MIN(2025,E196)))))/2</f>
        <v/>
      </c>
      <c r="AI196" s="75">
        <f>(CHOOSE(((AG196+2)-56)/2+1,SUMIFS(Donnees_generations!$U$3:$U$113,Donnees_generations!$A$3:$A$113,MAX(1915,MIN(2025,E196))),SUMIFS(Donnees_generations!$V$3:$V$113,Donnees_generations!$A$3:$A$113,MAX(1915,MIN(2025,E196))),SUMIFS(Donnees_generations!$W$3:$W$113,Donnees_generations!$A$3:$A$113,MAX(1915,MIN(2025,E196))),SUMIFS(Donnees_generations!$X$3:$X$113,Donnees_generations!$A$3:$A$113,MAX(1915,MIN(2025,E196))),SUMIFS(Donnees_generations!$Y$3:$Y$113,Donnees_generations!$A$3:$A$113,MAX(1915,MIN(2025,E196))),SUMIFS(Donnees_generations!$Z$3:$Z$113,Donnees_generations!$A$3:$A$113,MAX(1915,MIN(2025,E196))),SUMIFS(Donnees_generations!$AA$3:$AA$113,Donnees_generations!$A$3:$A$113,MAX(1915,MIN(2025,E196))),SUMIFS(Donnees_generations!$AB$3:$AB$113,Donnees_generations!$A$3:$A$113,MAX(1915,MIN(2025,E196))))+CHOOSE(((AG196+2)-56)/2+1,SUMIFS(Donnees_generations!$AC$3:$AC$113,Donnees_generations!$A$3:$A$113,MAX(1915,MIN(2025,E196))),SUMIFS(Donnees_generations!$AD$3:$AD$113,Donnees_generations!$A$3:$A$113,MAX(1915,MIN(2025,E196))),SUMIFS(Donnees_generations!$AE$3:$AE$113,Donnees_generations!$A$3:$A$113,MAX(1915,MIN(2025,E196))),SUMIFS(Donnees_generations!$AF$3:$AF$113,Donnees_generations!$A$3:$A$113,MAX(1915,MIN(2025,E196))),SUMIFS(Donnees_generations!$AG$3:$AG$113,Donnees_generations!$A$3:$A$113,MAX(1915,MIN(2025,E196))),SUMIFS(Donnees_generations!$AH$3:$AH$113,Donnees_generations!$A$3:$A$113,MAX(1915,MIN(2025,E196))),SUMIFS(Donnees_generations!$AI$3:$AI$113,Donnees_generations!$A$3:$A$113,MAX(1915,MIN(2025,E196))),SUMIFS(Donnees_generations!$AJ$3:$AJ$113,Donnees_generations!$A$3:$A$113,MAX(1915,MIN(2025,E196)))))/2</f>
        <v/>
      </c>
      <c r="AJ196" s="8">
        <f>MAX(0,AH196+(AI196-AH196)*(K196-AG196)/2)</f>
        <v/>
      </c>
      <c r="AK196" s="8">
        <f>K196+AJ196</f>
        <v/>
      </c>
      <c r="AL196" s="14">
        <f>AE196*AJ196</f>
        <v/>
      </c>
      <c r="AM196" s="17">
        <f>V196/AL196</f>
        <v/>
      </c>
      <c r="AN196" s="17">
        <f>Z196/AL196</f>
        <v/>
      </c>
      <c r="AO196" s="33">
        <f>IF(V196+Z196=0,0,Z196/(V196+Z196))</f>
        <v/>
      </c>
      <c r="AP196" s="14">
        <f>AL196/V196*100</f>
        <v/>
      </c>
      <c r="AQ196" s="8">
        <f>P196/AL196*1000</f>
        <v/>
      </c>
      <c r="AR196" s="77">
        <f>MAX(N196,M196-1)</f>
        <v/>
      </c>
      <c r="AS196" s="14">
        <f>SUMIFS(Donnees_regimes!$R$3:$R$1118,Donnees_regimes!$A$3:$A$1118,C196,Donnees_regimes!$B$3:$B$1118,"&gt;="&amp;G196,Donnees_regimes!$B$3:$B$1118,"&lt;="&amp;N196)*L196/ROUNDUP(L196,0)*SUMIFS(Donnees_annuelles!$AG$3:$AG$188,Donnees_annuelles!$A$3:$A$188,AR196)*SUMIFS(Donnees_annuelles!$AA$3:$AA$188,Donnees_annuelles!$A$3:$A$188,AR196)</f>
        <v/>
      </c>
      <c r="AT196" s="36">
        <f>AS196/V196</f>
        <v/>
      </c>
      <c r="AU196" s="14">
        <f>AL196</f>
        <v/>
      </c>
      <c r="AV196" s="39">
        <f>AS196-AL196</f>
        <v/>
      </c>
      <c r="AW196" s="9">
        <f>AS196/AL196-1</f>
        <v/>
      </c>
      <c r="AX196" s="14">
        <f>AS196/AJ196/12</f>
        <v/>
      </c>
      <c r="AY196" s="14">
        <f>AF196</f>
        <v/>
      </c>
      <c r="AZ196" s="39">
        <f>AX196-AF196</f>
        <v/>
      </c>
      <c r="BA196" s="14">
        <f>SUMIFS(Donnees_regimes!$S$3:$S$1118,Donnees_regimes!$A$3:$A$1118,C196,Donnees_regimes!$B$3:$B$1118,"&gt;="&amp;G196,Donnees_regimes!$B$3:$B$1118,"&lt;="&amp;N196)*L196/ROUNDUP(L196,0)*SUMIFS(Donnees_annuelles!$AH$3:$AH$188,Donnees_annuelles!$A$3:$A$188,AR196)*SUMIFS(Donnees_annuelles!$AA$3:$AA$188,Donnees_annuelles!$A$3:$A$188,AR196)</f>
        <v/>
      </c>
      <c r="BB196" s="39">
        <f>BA196-AL196</f>
        <v/>
      </c>
      <c r="BC196" s="7">
        <f>IF(M196+AJ196&gt;2026,IF(G196&gt;2026,"entièrement projeté","en partie projeté"),"observé")</f>
        <v/>
      </c>
    </row>
    <row r="197">
      <c r="A197" s="7" t="inlineStr">
        <is>
          <t>Génération Alpha</t>
        </is>
      </c>
      <c r="B197" s="84" t="inlineStr">
        <is>
          <t>Fonction publique d'État</t>
        </is>
      </c>
      <c r="C197" s="7">
        <f>IF(G197&gt;=SUMIFS(Regimes!$C$5:$C$10,Regimes!$A$5:$A$10,B197),"Privé",B197)</f>
        <v/>
      </c>
      <c r="D197" s="7">
        <f>INDEX(Regimes!$D$5:$D$10,MATCH(C197,Regimes!$A$5:$A$10,0))</f>
        <v/>
      </c>
      <c r="E197" s="88" t="n">
        <v>2024</v>
      </c>
      <c r="F197" s="8">
        <f>Donnees_generations!C112</f>
        <v/>
      </c>
      <c r="G197" s="77">
        <f>Donnees_generations!D112</f>
        <v/>
      </c>
      <c r="H197" s="8">
        <f>SUMIFS(Donnees_generations!$S$3:$S$113,Donnees_generations!$A$3:$A$113,MAX(1915,MIN(2025,E197)))</f>
        <v/>
      </c>
      <c r="I197" s="8">
        <f>SUMIFS(Donnees_generations!$T$3:$T$113,Donnees_generations!$A$3:$A$113,MAX(1915,MIN(2025,E197)))</f>
        <v/>
      </c>
      <c r="J197" s="8">
        <f>IF(G197&gt;=2000,MAX(I197,Parametres!$B$3),I197)</f>
        <v/>
      </c>
      <c r="K197" s="8">
        <f>IF(C197="Privé",J197,SUMIFS(Regles_regimes!$J$3:$J$2000,Regles_regimes!$A$3:$A$2000,C197,Regles_regimes!$B$3:$B$2000,D197,Regles_regimes!$C$3:$C$2000,MAX(1915,MIN(2025,E197))))</f>
        <v/>
      </c>
      <c r="L197" s="8">
        <f>IF(C197="Privé",H197,(K197-F197)*H197/(J197-F197))</f>
        <v/>
      </c>
      <c r="M197" s="77">
        <f>INT(E197+K197)</f>
        <v/>
      </c>
      <c r="N197" s="77">
        <f>G197+ROUNDUP(L197,0)-1</f>
        <v/>
      </c>
      <c r="O197" s="89">
        <f>SUMIFS(Regles_regimes!$K$3:$K$2000,Regles_regimes!$A$3:$A$2000,C197,Regles_regimes!$B$3:$B$2000,D197,Regles_regimes!$C$3:$C$2000,MAX(1915,MIN(2025,E197)))</f>
        <v/>
      </c>
      <c r="P197" s="13">
        <f>SUMIFS(Donnees_annuelles!$W$3:$W$188,Donnees_annuelles!$A$3:$A$188,"&gt;="&amp;G197,Donnees_annuelles!$A$3:$A$188,"&lt;="&amp;N197)*L197/ROUNDUP(L197,0)*O197</f>
        <v/>
      </c>
      <c r="Q197" s="13">
        <f>SUMIFS(Donnees_annuelles!$V$3:$V$188,Donnees_annuelles!$A$3:$A$188,"&gt;="&amp;G197,Donnees_annuelles!$A$3:$A$188,"&lt;="&amp;N197)*L197/ROUNDUP(L197,0)</f>
        <v/>
      </c>
      <c r="R197" s="13">
        <f>P197/L197</f>
        <v/>
      </c>
      <c r="S197" s="14">
        <f>SUMIFS(Donnees_annuelles!$D$3:$D$188,Donnees_annuelles!$A$3:$A$188,"&gt;="&amp;G197,Donnees_annuelles!$A$3:$A$188,"&lt;="&amp;N197)*L197/ROUNDUP(L197,0)</f>
        <v/>
      </c>
      <c r="T197" s="14">
        <f>SUMIFS(Donnees_regimes!$N$3:$N$1118,Donnees_regimes!$A$3:$A$1118,C197,Donnees_regimes!$B$3:$B$1118,"&gt;="&amp;G197,Donnees_regimes!$B$3:$B$1118,"&lt;="&amp;N197)*L197/ROUNDUP(L197,0)</f>
        <v/>
      </c>
      <c r="U197" s="14">
        <f>SUMIFS(Donnees_regimes!$O$3:$O$1118,Donnees_regimes!$A$3:$A$1118,C197,Donnees_regimes!$B$3:$B$1118,"&gt;="&amp;G197,Donnees_regimes!$B$3:$B$1118,"&lt;="&amp;N197)*L197/ROUNDUP(L197,0)</f>
        <v/>
      </c>
      <c r="V197" s="14">
        <f>T197+U197</f>
        <v/>
      </c>
      <c r="W197" s="33">
        <f>V197/S197</f>
        <v/>
      </c>
      <c r="X197" s="14">
        <f>S197+U197</f>
        <v/>
      </c>
      <c r="Y197" s="17">
        <f>V197/P197</f>
        <v/>
      </c>
      <c r="Z197" s="14">
        <f>SUMIFS(Donnees_regimes!$Q$3:$Q$1118,Donnees_regimes!$A$3:$A$1118,C197,Donnees_regimes!$B$3:$B$1118,"&gt;="&amp;G197,Donnees_regimes!$B$3:$B$1118,"&lt;="&amp;N197)*L197/ROUNDUP(L197,0)</f>
        <v/>
      </c>
      <c r="AA197" s="77">
        <f>SUMIFS(Regles_regimes!$F$3:$F$2000,Regles_regimes!$A$3:$A$2000,C197,Regles_regimes!$B$3:$B$2000,D197,Regles_regimes!$C$3:$C$2000,MAX(1915,MIN(2025,E197)))</f>
        <v/>
      </c>
      <c r="AB197" s="77">
        <f>IF(AND(SUMIFS(Regles_regimes!$L$3:$L$2000,Regles_regimes!$A$3:$A$2000,C197,Regles_regimes!$B$3:$B$2000,D197,Regles_regimes!$C$3:$C$2000,MAX(1915,MIN(2025,E197)))=1,G197&lt;2009,C197&lt;&gt;"Privé"),MIN(20,L197*4/5),0)</f>
        <v/>
      </c>
      <c r="AC197" s="89">
        <f>SUMIFS(Donnees_regimes!$M$3:$M$1118,Donnees_regimes!$A$3:$A$1118,C197,Donnees_regimes!$B$3:$B$1118,M197)</f>
        <v/>
      </c>
      <c r="AD197" s="14">
        <f>SUMIFS(Donnees_annuelles!$Y$3:$Y$188,Donnees_annuelles!$A$3:$A$188,M197)*SUMIFS(Donnees_generations!$I$3:$I$113,Donnees_generations!$A$3:$A$113,MAX(1915,MIN(2025,E197)))/H197</f>
        <v/>
      </c>
      <c r="AE197" s="14">
        <f>IF(C197="Privé",SUMIFS(Donnees_annuelles!$Y$3:$Y$188,Donnees_annuelles!$A$3:$A$188,M197)*MIN(L197,SUMIFS(Donnees_generations!$I$3:$I$113,Donnees_generations!$A$3:$A$113,MAX(1915,MIN(2025,E197))))/L197,AD197*AC197*MIN(IF(AB197&gt;0,0.8/0.75,1),(L197*4+AB197)/AA197))</f>
        <v/>
      </c>
      <c r="AF197" s="14">
        <f>AE197/12</f>
        <v/>
      </c>
      <c r="AG197" s="77">
        <f>MIN(68,MAX(56,2*INT(K197/2)))</f>
        <v/>
      </c>
      <c r="AH197" s="75">
        <f>(CHOOSE((AG197-56)/2+1,SUMIFS(Donnees_generations!$U$3:$U$113,Donnees_generations!$A$3:$A$113,MAX(1915,MIN(2025,E197))),SUMIFS(Donnees_generations!$V$3:$V$113,Donnees_generations!$A$3:$A$113,MAX(1915,MIN(2025,E197))),SUMIFS(Donnees_generations!$W$3:$W$113,Donnees_generations!$A$3:$A$113,MAX(1915,MIN(2025,E197))),SUMIFS(Donnees_generations!$X$3:$X$113,Donnees_generations!$A$3:$A$113,MAX(1915,MIN(2025,E197))),SUMIFS(Donnees_generations!$Y$3:$Y$113,Donnees_generations!$A$3:$A$113,MAX(1915,MIN(2025,E197))),SUMIFS(Donnees_generations!$Z$3:$Z$113,Donnees_generations!$A$3:$A$113,MAX(1915,MIN(2025,E197))),SUMIFS(Donnees_generations!$AA$3:$AA$113,Donnees_generations!$A$3:$A$113,MAX(1915,MIN(2025,E197))),SUMIFS(Donnees_generations!$AB$3:$AB$113,Donnees_generations!$A$3:$A$113,MAX(1915,MIN(2025,E197))))+CHOOSE((AG197-56)/2+1,SUMIFS(Donnees_generations!$AC$3:$AC$113,Donnees_generations!$A$3:$A$113,MAX(1915,MIN(2025,E197))),SUMIFS(Donnees_generations!$AD$3:$AD$113,Donnees_generations!$A$3:$A$113,MAX(1915,MIN(2025,E197))),SUMIFS(Donnees_generations!$AE$3:$AE$113,Donnees_generations!$A$3:$A$113,MAX(1915,MIN(2025,E197))),SUMIFS(Donnees_generations!$AF$3:$AF$113,Donnees_generations!$A$3:$A$113,MAX(1915,MIN(2025,E197))),SUMIFS(Donnees_generations!$AG$3:$AG$113,Donnees_generations!$A$3:$A$113,MAX(1915,MIN(2025,E197))),SUMIFS(Donnees_generations!$AH$3:$AH$113,Donnees_generations!$A$3:$A$113,MAX(1915,MIN(2025,E197))),SUMIFS(Donnees_generations!$AI$3:$AI$113,Donnees_generations!$A$3:$A$113,MAX(1915,MIN(2025,E197))),SUMIFS(Donnees_generations!$AJ$3:$AJ$113,Donnees_generations!$A$3:$A$113,MAX(1915,MIN(2025,E197)))))/2</f>
        <v/>
      </c>
      <c r="AI197" s="75">
        <f>(CHOOSE(((AG197+2)-56)/2+1,SUMIFS(Donnees_generations!$U$3:$U$113,Donnees_generations!$A$3:$A$113,MAX(1915,MIN(2025,E197))),SUMIFS(Donnees_generations!$V$3:$V$113,Donnees_generations!$A$3:$A$113,MAX(1915,MIN(2025,E197))),SUMIFS(Donnees_generations!$W$3:$W$113,Donnees_generations!$A$3:$A$113,MAX(1915,MIN(2025,E197))),SUMIFS(Donnees_generations!$X$3:$X$113,Donnees_generations!$A$3:$A$113,MAX(1915,MIN(2025,E197))),SUMIFS(Donnees_generations!$Y$3:$Y$113,Donnees_generations!$A$3:$A$113,MAX(1915,MIN(2025,E197))),SUMIFS(Donnees_generations!$Z$3:$Z$113,Donnees_generations!$A$3:$A$113,MAX(1915,MIN(2025,E197))),SUMIFS(Donnees_generations!$AA$3:$AA$113,Donnees_generations!$A$3:$A$113,MAX(1915,MIN(2025,E197))),SUMIFS(Donnees_generations!$AB$3:$AB$113,Donnees_generations!$A$3:$A$113,MAX(1915,MIN(2025,E197))))+CHOOSE(((AG197+2)-56)/2+1,SUMIFS(Donnees_generations!$AC$3:$AC$113,Donnees_generations!$A$3:$A$113,MAX(1915,MIN(2025,E197))),SUMIFS(Donnees_generations!$AD$3:$AD$113,Donnees_generations!$A$3:$A$113,MAX(1915,MIN(2025,E197))),SUMIFS(Donnees_generations!$AE$3:$AE$113,Donnees_generations!$A$3:$A$113,MAX(1915,MIN(2025,E197))),SUMIFS(Donnees_generations!$AF$3:$AF$113,Donnees_generations!$A$3:$A$113,MAX(1915,MIN(2025,E197))),SUMIFS(Donnees_generations!$AG$3:$AG$113,Donnees_generations!$A$3:$A$113,MAX(1915,MIN(2025,E197))),SUMIFS(Donnees_generations!$AH$3:$AH$113,Donnees_generations!$A$3:$A$113,MAX(1915,MIN(2025,E197))),SUMIFS(Donnees_generations!$AI$3:$AI$113,Donnees_generations!$A$3:$A$113,MAX(1915,MIN(2025,E197))),SUMIFS(Donnees_generations!$AJ$3:$AJ$113,Donnees_generations!$A$3:$A$113,MAX(1915,MIN(2025,E197)))))/2</f>
        <v/>
      </c>
      <c r="AJ197" s="8">
        <f>MAX(0,AH197+(AI197-AH197)*(K197-AG197)/2)</f>
        <v/>
      </c>
      <c r="AK197" s="8">
        <f>K197+AJ197</f>
        <v/>
      </c>
      <c r="AL197" s="14">
        <f>AE197*AJ197</f>
        <v/>
      </c>
      <c r="AM197" s="17">
        <f>V197/AL197</f>
        <v/>
      </c>
      <c r="AN197" s="17">
        <f>Z197/AL197</f>
        <v/>
      </c>
      <c r="AO197" s="33">
        <f>IF(V197+Z197=0,0,Z197/(V197+Z197))</f>
        <v/>
      </c>
      <c r="AP197" s="14">
        <f>AL197/V197*100</f>
        <v/>
      </c>
      <c r="AQ197" s="8">
        <f>P197/AL197*1000</f>
        <v/>
      </c>
      <c r="AR197" s="77">
        <f>MAX(N197,M197-1)</f>
        <v/>
      </c>
      <c r="AS197" s="14">
        <f>SUMIFS(Donnees_regimes!$R$3:$R$1118,Donnees_regimes!$A$3:$A$1118,C197,Donnees_regimes!$B$3:$B$1118,"&gt;="&amp;G197,Donnees_regimes!$B$3:$B$1118,"&lt;="&amp;N197)*L197/ROUNDUP(L197,0)*SUMIFS(Donnees_annuelles!$AG$3:$AG$188,Donnees_annuelles!$A$3:$A$188,AR197)*SUMIFS(Donnees_annuelles!$AA$3:$AA$188,Donnees_annuelles!$A$3:$A$188,AR197)</f>
        <v/>
      </c>
      <c r="AT197" s="36">
        <f>AS197/V197</f>
        <v/>
      </c>
      <c r="AU197" s="14">
        <f>AL197</f>
        <v/>
      </c>
      <c r="AV197" s="39">
        <f>AS197-AL197</f>
        <v/>
      </c>
      <c r="AW197" s="9">
        <f>AS197/AL197-1</f>
        <v/>
      </c>
      <c r="AX197" s="14">
        <f>AS197/AJ197/12</f>
        <v/>
      </c>
      <c r="AY197" s="14">
        <f>AF197</f>
        <v/>
      </c>
      <c r="AZ197" s="39">
        <f>AX197-AF197</f>
        <v/>
      </c>
      <c r="BA197" s="14">
        <f>SUMIFS(Donnees_regimes!$S$3:$S$1118,Donnees_regimes!$A$3:$A$1118,C197,Donnees_regimes!$B$3:$B$1118,"&gt;="&amp;G197,Donnees_regimes!$B$3:$B$1118,"&lt;="&amp;N197)*L197/ROUNDUP(L197,0)*SUMIFS(Donnees_annuelles!$AH$3:$AH$188,Donnees_annuelles!$A$3:$A$188,AR197)*SUMIFS(Donnees_annuelles!$AA$3:$AA$188,Donnees_annuelles!$A$3:$A$188,AR197)</f>
        <v/>
      </c>
      <c r="BB197" s="39">
        <f>BA197-AL197</f>
        <v/>
      </c>
      <c r="BC197" s="7">
        <f>IF(M197+AJ197&gt;2026,IF(G197&gt;2026,"entièrement projeté","en partie projeté"),"observé")</f>
        <v/>
      </c>
    </row>
    <row r="198">
      <c r="A198" s="7" t="inlineStr">
        <is>
          <t>Génération Alpha</t>
        </is>
      </c>
      <c r="B198" s="84" t="inlineStr">
        <is>
          <t>Fonction publique d'État</t>
        </is>
      </c>
      <c r="C198" s="7">
        <f>IF(G198&gt;=SUMIFS(Regimes!$C$5:$C$10,Regimes!$A$5:$A$10,B198),"Privé",B198)</f>
        <v/>
      </c>
      <c r="D198" s="7">
        <f>INDEX(Regimes!$D$5:$D$10,MATCH(C198,Regimes!$A$5:$A$10,0))</f>
        <v/>
      </c>
      <c r="E198" s="88" t="n">
        <v>2025</v>
      </c>
      <c r="F198" s="8">
        <f>Donnees_generations!C113</f>
        <v/>
      </c>
      <c r="G198" s="77">
        <f>Donnees_generations!D113</f>
        <v/>
      </c>
      <c r="H198" s="8">
        <f>SUMIFS(Donnees_generations!$S$3:$S$113,Donnees_generations!$A$3:$A$113,MAX(1915,MIN(2025,E198)))</f>
        <v/>
      </c>
      <c r="I198" s="8">
        <f>SUMIFS(Donnees_generations!$T$3:$T$113,Donnees_generations!$A$3:$A$113,MAX(1915,MIN(2025,E198)))</f>
        <v/>
      </c>
      <c r="J198" s="8">
        <f>IF(G198&gt;=2000,MAX(I198,Parametres!$B$3),I198)</f>
        <v/>
      </c>
      <c r="K198" s="8">
        <f>IF(C198="Privé",J198,SUMIFS(Regles_regimes!$J$3:$J$2000,Regles_regimes!$A$3:$A$2000,C198,Regles_regimes!$B$3:$B$2000,D198,Regles_regimes!$C$3:$C$2000,MAX(1915,MIN(2025,E198))))</f>
        <v/>
      </c>
      <c r="L198" s="8">
        <f>IF(C198="Privé",H198,(K198-F198)*H198/(J198-F198))</f>
        <v/>
      </c>
      <c r="M198" s="77">
        <f>INT(E198+K198)</f>
        <v/>
      </c>
      <c r="N198" s="77">
        <f>G198+ROUNDUP(L198,0)-1</f>
        <v/>
      </c>
      <c r="O198" s="89">
        <f>SUMIFS(Regles_regimes!$K$3:$K$2000,Regles_regimes!$A$3:$A$2000,C198,Regles_regimes!$B$3:$B$2000,D198,Regles_regimes!$C$3:$C$2000,MAX(1915,MIN(2025,E198)))</f>
        <v/>
      </c>
      <c r="P198" s="13">
        <f>SUMIFS(Donnees_annuelles!$W$3:$W$188,Donnees_annuelles!$A$3:$A$188,"&gt;="&amp;G198,Donnees_annuelles!$A$3:$A$188,"&lt;="&amp;N198)*L198/ROUNDUP(L198,0)*O198</f>
        <v/>
      </c>
      <c r="Q198" s="13">
        <f>SUMIFS(Donnees_annuelles!$V$3:$V$188,Donnees_annuelles!$A$3:$A$188,"&gt;="&amp;G198,Donnees_annuelles!$A$3:$A$188,"&lt;="&amp;N198)*L198/ROUNDUP(L198,0)</f>
        <v/>
      </c>
      <c r="R198" s="13">
        <f>P198/L198</f>
        <v/>
      </c>
      <c r="S198" s="14">
        <f>SUMIFS(Donnees_annuelles!$D$3:$D$188,Donnees_annuelles!$A$3:$A$188,"&gt;="&amp;G198,Donnees_annuelles!$A$3:$A$188,"&lt;="&amp;N198)*L198/ROUNDUP(L198,0)</f>
        <v/>
      </c>
      <c r="T198" s="14">
        <f>SUMIFS(Donnees_regimes!$N$3:$N$1118,Donnees_regimes!$A$3:$A$1118,C198,Donnees_regimes!$B$3:$B$1118,"&gt;="&amp;G198,Donnees_regimes!$B$3:$B$1118,"&lt;="&amp;N198)*L198/ROUNDUP(L198,0)</f>
        <v/>
      </c>
      <c r="U198" s="14">
        <f>SUMIFS(Donnees_regimes!$O$3:$O$1118,Donnees_regimes!$A$3:$A$1118,C198,Donnees_regimes!$B$3:$B$1118,"&gt;="&amp;G198,Donnees_regimes!$B$3:$B$1118,"&lt;="&amp;N198)*L198/ROUNDUP(L198,0)</f>
        <v/>
      </c>
      <c r="V198" s="14">
        <f>T198+U198</f>
        <v/>
      </c>
      <c r="W198" s="33">
        <f>V198/S198</f>
        <v/>
      </c>
      <c r="X198" s="14">
        <f>S198+U198</f>
        <v/>
      </c>
      <c r="Y198" s="17">
        <f>V198/P198</f>
        <v/>
      </c>
      <c r="Z198" s="14">
        <f>SUMIFS(Donnees_regimes!$Q$3:$Q$1118,Donnees_regimes!$A$3:$A$1118,C198,Donnees_regimes!$B$3:$B$1118,"&gt;="&amp;G198,Donnees_regimes!$B$3:$B$1118,"&lt;="&amp;N198)*L198/ROUNDUP(L198,0)</f>
        <v/>
      </c>
      <c r="AA198" s="77">
        <f>SUMIFS(Regles_regimes!$F$3:$F$2000,Regles_regimes!$A$3:$A$2000,C198,Regles_regimes!$B$3:$B$2000,D198,Regles_regimes!$C$3:$C$2000,MAX(1915,MIN(2025,E198)))</f>
        <v/>
      </c>
      <c r="AB198" s="77">
        <f>IF(AND(SUMIFS(Regles_regimes!$L$3:$L$2000,Regles_regimes!$A$3:$A$2000,C198,Regles_regimes!$B$3:$B$2000,D198,Regles_regimes!$C$3:$C$2000,MAX(1915,MIN(2025,E198)))=1,G198&lt;2009,C198&lt;&gt;"Privé"),MIN(20,L198*4/5),0)</f>
        <v/>
      </c>
      <c r="AC198" s="89">
        <f>SUMIFS(Donnees_regimes!$M$3:$M$1118,Donnees_regimes!$A$3:$A$1118,C198,Donnees_regimes!$B$3:$B$1118,M198)</f>
        <v/>
      </c>
      <c r="AD198" s="14">
        <f>SUMIFS(Donnees_annuelles!$Y$3:$Y$188,Donnees_annuelles!$A$3:$A$188,M198)*SUMIFS(Donnees_generations!$I$3:$I$113,Donnees_generations!$A$3:$A$113,MAX(1915,MIN(2025,E198)))/H198</f>
        <v/>
      </c>
      <c r="AE198" s="14">
        <f>IF(C198="Privé",SUMIFS(Donnees_annuelles!$Y$3:$Y$188,Donnees_annuelles!$A$3:$A$188,M198)*MIN(L198,SUMIFS(Donnees_generations!$I$3:$I$113,Donnees_generations!$A$3:$A$113,MAX(1915,MIN(2025,E198))))/L198,AD198*AC198*MIN(IF(AB198&gt;0,0.8/0.75,1),(L198*4+AB198)/AA198))</f>
        <v/>
      </c>
      <c r="AF198" s="14">
        <f>AE198/12</f>
        <v/>
      </c>
      <c r="AG198" s="77">
        <f>MIN(68,MAX(56,2*INT(K198/2)))</f>
        <v/>
      </c>
      <c r="AH198" s="75">
        <f>(CHOOSE((AG198-56)/2+1,SUMIFS(Donnees_generations!$U$3:$U$113,Donnees_generations!$A$3:$A$113,MAX(1915,MIN(2025,E198))),SUMIFS(Donnees_generations!$V$3:$V$113,Donnees_generations!$A$3:$A$113,MAX(1915,MIN(2025,E198))),SUMIFS(Donnees_generations!$W$3:$W$113,Donnees_generations!$A$3:$A$113,MAX(1915,MIN(2025,E198))),SUMIFS(Donnees_generations!$X$3:$X$113,Donnees_generations!$A$3:$A$113,MAX(1915,MIN(2025,E198))),SUMIFS(Donnees_generations!$Y$3:$Y$113,Donnees_generations!$A$3:$A$113,MAX(1915,MIN(2025,E198))),SUMIFS(Donnees_generations!$Z$3:$Z$113,Donnees_generations!$A$3:$A$113,MAX(1915,MIN(2025,E198))),SUMIFS(Donnees_generations!$AA$3:$AA$113,Donnees_generations!$A$3:$A$113,MAX(1915,MIN(2025,E198))),SUMIFS(Donnees_generations!$AB$3:$AB$113,Donnees_generations!$A$3:$A$113,MAX(1915,MIN(2025,E198))))+CHOOSE((AG198-56)/2+1,SUMIFS(Donnees_generations!$AC$3:$AC$113,Donnees_generations!$A$3:$A$113,MAX(1915,MIN(2025,E198))),SUMIFS(Donnees_generations!$AD$3:$AD$113,Donnees_generations!$A$3:$A$113,MAX(1915,MIN(2025,E198))),SUMIFS(Donnees_generations!$AE$3:$AE$113,Donnees_generations!$A$3:$A$113,MAX(1915,MIN(2025,E198))),SUMIFS(Donnees_generations!$AF$3:$AF$113,Donnees_generations!$A$3:$A$113,MAX(1915,MIN(2025,E198))),SUMIFS(Donnees_generations!$AG$3:$AG$113,Donnees_generations!$A$3:$A$113,MAX(1915,MIN(2025,E198))),SUMIFS(Donnees_generations!$AH$3:$AH$113,Donnees_generations!$A$3:$A$113,MAX(1915,MIN(2025,E198))),SUMIFS(Donnees_generations!$AI$3:$AI$113,Donnees_generations!$A$3:$A$113,MAX(1915,MIN(2025,E198))),SUMIFS(Donnees_generations!$AJ$3:$AJ$113,Donnees_generations!$A$3:$A$113,MAX(1915,MIN(2025,E198)))))/2</f>
        <v/>
      </c>
      <c r="AI198" s="75">
        <f>(CHOOSE(((AG198+2)-56)/2+1,SUMIFS(Donnees_generations!$U$3:$U$113,Donnees_generations!$A$3:$A$113,MAX(1915,MIN(2025,E198))),SUMIFS(Donnees_generations!$V$3:$V$113,Donnees_generations!$A$3:$A$113,MAX(1915,MIN(2025,E198))),SUMIFS(Donnees_generations!$W$3:$W$113,Donnees_generations!$A$3:$A$113,MAX(1915,MIN(2025,E198))),SUMIFS(Donnees_generations!$X$3:$X$113,Donnees_generations!$A$3:$A$113,MAX(1915,MIN(2025,E198))),SUMIFS(Donnees_generations!$Y$3:$Y$113,Donnees_generations!$A$3:$A$113,MAX(1915,MIN(2025,E198))),SUMIFS(Donnees_generations!$Z$3:$Z$113,Donnees_generations!$A$3:$A$113,MAX(1915,MIN(2025,E198))),SUMIFS(Donnees_generations!$AA$3:$AA$113,Donnees_generations!$A$3:$A$113,MAX(1915,MIN(2025,E198))),SUMIFS(Donnees_generations!$AB$3:$AB$113,Donnees_generations!$A$3:$A$113,MAX(1915,MIN(2025,E198))))+CHOOSE(((AG198+2)-56)/2+1,SUMIFS(Donnees_generations!$AC$3:$AC$113,Donnees_generations!$A$3:$A$113,MAX(1915,MIN(2025,E198))),SUMIFS(Donnees_generations!$AD$3:$AD$113,Donnees_generations!$A$3:$A$113,MAX(1915,MIN(2025,E198))),SUMIFS(Donnees_generations!$AE$3:$AE$113,Donnees_generations!$A$3:$A$113,MAX(1915,MIN(2025,E198))),SUMIFS(Donnees_generations!$AF$3:$AF$113,Donnees_generations!$A$3:$A$113,MAX(1915,MIN(2025,E198))),SUMIFS(Donnees_generations!$AG$3:$AG$113,Donnees_generations!$A$3:$A$113,MAX(1915,MIN(2025,E198))),SUMIFS(Donnees_generations!$AH$3:$AH$113,Donnees_generations!$A$3:$A$113,MAX(1915,MIN(2025,E198))),SUMIFS(Donnees_generations!$AI$3:$AI$113,Donnees_generations!$A$3:$A$113,MAX(1915,MIN(2025,E198))),SUMIFS(Donnees_generations!$AJ$3:$AJ$113,Donnees_generations!$A$3:$A$113,MAX(1915,MIN(2025,E198)))))/2</f>
        <v/>
      </c>
      <c r="AJ198" s="8">
        <f>MAX(0,AH198+(AI198-AH198)*(K198-AG198)/2)</f>
        <v/>
      </c>
      <c r="AK198" s="8">
        <f>K198+AJ198</f>
        <v/>
      </c>
      <c r="AL198" s="14">
        <f>AE198*AJ198</f>
        <v/>
      </c>
      <c r="AM198" s="17">
        <f>V198/AL198</f>
        <v/>
      </c>
      <c r="AN198" s="17">
        <f>Z198/AL198</f>
        <v/>
      </c>
      <c r="AO198" s="33">
        <f>IF(V198+Z198=0,0,Z198/(V198+Z198))</f>
        <v/>
      </c>
      <c r="AP198" s="14">
        <f>AL198/V198*100</f>
        <v/>
      </c>
      <c r="AQ198" s="8">
        <f>P198/AL198*1000</f>
        <v/>
      </c>
      <c r="AR198" s="77">
        <f>MAX(N198,M198-1)</f>
        <v/>
      </c>
      <c r="AS198" s="14">
        <f>SUMIFS(Donnees_regimes!$R$3:$R$1118,Donnees_regimes!$A$3:$A$1118,C198,Donnees_regimes!$B$3:$B$1118,"&gt;="&amp;G198,Donnees_regimes!$B$3:$B$1118,"&lt;="&amp;N198)*L198/ROUNDUP(L198,0)*SUMIFS(Donnees_annuelles!$AG$3:$AG$188,Donnees_annuelles!$A$3:$A$188,AR198)*SUMIFS(Donnees_annuelles!$AA$3:$AA$188,Donnees_annuelles!$A$3:$A$188,AR198)</f>
        <v/>
      </c>
      <c r="AT198" s="36">
        <f>AS198/V198</f>
        <v/>
      </c>
      <c r="AU198" s="14">
        <f>AL198</f>
        <v/>
      </c>
      <c r="AV198" s="39">
        <f>AS198-AL198</f>
        <v/>
      </c>
      <c r="AW198" s="9">
        <f>AS198/AL198-1</f>
        <v/>
      </c>
      <c r="AX198" s="14">
        <f>AS198/AJ198/12</f>
        <v/>
      </c>
      <c r="AY198" s="14">
        <f>AF198</f>
        <v/>
      </c>
      <c r="AZ198" s="39">
        <f>AX198-AF198</f>
        <v/>
      </c>
      <c r="BA198" s="14">
        <f>SUMIFS(Donnees_regimes!$S$3:$S$1118,Donnees_regimes!$A$3:$A$1118,C198,Donnees_regimes!$B$3:$B$1118,"&gt;="&amp;G198,Donnees_regimes!$B$3:$B$1118,"&lt;="&amp;N198)*L198/ROUNDUP(L198,0)*SUMIFS(Donnees_annuelles!$AH$3:$AH$188,Donnees_annuelles!$A$3:$A$188,AR198)*SUMIFS(Donnees_annuelles!$AA$3:$AA$188,Donnees_annuelles!$A$3:$A$188,AR198)</f>
        <v/>
      </c>
      <c r="BB198" s="39">
        <f>BA198-AL198</f>
        <v/>
      </c>
      <c r="BC198" s="7">
        <f>IF(M198+AJ198&gt;2026,IF(G198&gt;2026,"entièrement projeté","en partie projeté"),"observé")</f>
        <v/>
      </c>
    </row>
    <row r="199">
      <c r="A199" s="7" t="inlineStr">
        <is>
          <t>Génération silencieuse</t>
        </is>
      </c>
      <c r="B199" s="84" t="inlineStr">
        <is>
          <t>Fonction publique territoriale et hospitalière</t>
        </is>
      </c>
      <c r="C199" s="7">
        <f>IF(G199&gt;=SUMIFS(Regimes!$C$5:$C$10,Regimes!$A$5:$A$10,B199),"Privé",B199)</f>
        <v/>
      </c>
      <c r="D199" s="7">
        <f>INDEX(Regimes!$D$5:$D$10,MATCH(C199,Regimes!$A$5:$A$10,0))</f>
        <v/>
      </c>
      <c r="E199" s="88" t="n">
        <v>1928</v>
      </c>
      <c r="F199" s="8">
        <f>Donnees_generations!C16</f>
        <v/>
      </c>
      <c r="G199" s="77">
        <f>Donnees_generations!D16</f>
        <v/>
      </c>
      <c r="H199" s="8">
        <f>SUMIFS(Donnees_generations!$S$3:$S$113,Donnees_generations!$A$3:$A$113,MAX(1915,MIN(2025,E199)))</f>
        <v/>
      </c>
      <c r="I199" s="8">
        <f>SUMIFS(Donnees_generations!$T$3:$T$113,Donnees_generations!$A$3:$A$113,MAX(1915,MIN(2025,E199)))</f>
        <v/>
      </c>
      <c r="J199" s="8">
        <f>IF(G199&gt;=2000,MAX(I199,Parametres!$B$3),I199)</f>
        <v/>
      </c>
      <c r="K199" s="8">
        <f>IF(C199="Privé",J199,SUMIFS(Regles_regimes!$J$3:$J$2000,Regles_regimes!$A$3:$A$2000,C199,Regles_regimes!$B$3:$B$2000,D199,Regles_regimes!$C$3:$C$2000,MAX(1915,MIN(2025,E199))))</f>
        <v/>
      </c>
      <c r="L199" s="8">
        <f>IF(C199="Privé",H199,(K199-F199)*H199/(J199-F199))</f>
        <v/>
      </c>
      <c r="M199" s="77">
        <f>INT(E199+K199)</f>
        <v/>
      </c>
      <c r="N199" s="77">
        <f>G199+ROUNDUP(L199,0)-1</f>
        <v/>
      </c>
      <c r="O199" s="89">
        <f>SUMIFS(Regles_regimes!$K$3:$K$2000,Regles_regimes!$A$3:$A$2000,C199,Regles_regimes!$B$3:$B$2000,D199,Regles_regimes!$C$3:$C$2000,MAX(1915,MIN(2025,E199)))</f>
        <v/>
      </c>
      <c r="P199" s="13">
        <f>SUMIFS(Donnees_annuelles!$W$3:$W$188,Donnees_annuelles!$A$3:$A$188,"&gt;="&amp;G199,Donnees_annuelles!$A$3:$A$188,"&lt;="&amp;N199)*L199/ROUNDUP(L199,0)*O199</f>
        <v/>
      </c>
      <c r="Q199" s="13">
        <f>SUMIFS(Donnees_annuelles!$V$3:$V$188,Donnees_annuelles!$A$3:$A$188,"&gt;="&amp;G199,Donnees_annuelles!$A$3:$A$188,"&lt;="&amp;N199)*L199/ROUNDUP(L199,0)</f>
        <v/>
      </c>
      <c r="R199" s="13">
        <f>P199/L199</f>
        <v/>
      </c>
      <c r="S199" s="14">
        <f>SUMIFS(Donnees_annuelles!$D$3:$D$188,Donnees_annuelles!$A$3:$A$188,"&gt;="&amp;G199,Donnees_annuelles!$A$3:$A$188,"&lt;="&amp;N199)*L199/ROUNDUP(L199,0)</f>
        <v/>
      </c>
      <c r="T199" s="14">
        <f>SUMIFS(Donnees_regimes!$N$3:$N$1118,Donnees_regimes!$A$3:$A$1118,C199,Donnees_regimes!$B$3:$B$1118,"&gt;="&amp;G199,Donnees_regimes!$B$3:$B$1118,"&lt;="&amp;N199)*L199/ROUNDUP(L199,0)</f>
        <v/>
      </c>
      <c r="U199" s="14">
        <f>SUMIFS(Donnees_regimes!$O$3:$O$1118,Donnees_regimes!$A$3:$A$1118,C199,Donnees_regimes!$B$3:$B$1118,"&gt;="&amp;G199,Donnees_regimes!$B$3:$B$1118,"&lt;="&amp;N199)*L199/ROUNDUP(L199,0)</f>
        <v/>
      </c>
      <c r="V199" s="14">
        <f>T199+U199</f>
        <v/>
      </c>
      <c r="W199" s="33">
        <f>V199/S199</f>
        <v/>
      </c>
      <c r="X199" s="14">
        <f>S199+U199</f>
        <v/>
      </c>
      <c r="Y199" s="17">
        <f>V199/P199</f>
        <v/>
      </c>
      <c r="Z199" s="14">
        <f>SUMIFS(Donnees_regimes!$Q$3:$Q$1118,Donnees_regimes!$A$3:$A$1118,C199,Donnees_regimes!$B$3:$B$1118,"&gt;="&amp;G199,Donnees_regimes!$B$3:$B$1118,"&lt;="&amp;N199)*L199/ROUNDUP(L199,0)</f>
        <v/>
      </c>
      <c r="AA199" s="77">
        <f>SUMIFS(Regles_regimes!$F$3:$F$2000,Regles_regimes!$A$3:$A$2000,C199,Regles_regimes!$B$3:$B$2000,D199,Regles_regimes!$C$3:$C$2000,MAX(1915,MIN(2025,E199)))</f>
        <v/>
      </c>
      <c r="AB199" s="77">
        <f>IF(AND(SUMIFS(Regles_regimes!$L$3:$L$2000,Regles_regimes!$A$3:$A$2000,C199,Regles_regimes!$B$3:$B$2000,D199,Regles_regimes!$C$3:$C$2000,MAX(1915,MIN(2025,E199)))=1,G199&lt;2009,C199&lt;&gt;"Privé"),MIN(20,L199*4/5),0)</f>
        <v/>
      </c>
      <c r="AC199" s="89">
        <f>SUMIFS(Donnees_regimes!$M$3:$M$1118,Donnees_regimes!$A$3:$A$1118,C199,Donnees_regimes!$B$3:$B$1118,M199)</f>
        <v/>
      </c>
      <c r="AD199" s="14">
        <f>SUMIFS(Donnees_annuelles!$Y$3:$Y$188,Donnees_annuelles!$A$3:$A$188,M199)*SUMIFS(Donnees_generations!$I$3:$I$113,Donnees_generations!$A$3:$A$113,MAX(1915,MIN(2025,E199)))/H199</f>
        <v/>
      </c>
      <c r="AE199" s="14">
        <f>IF(C199="Privé",SUMIFS(Donnees_annuelles!$Y$3:$Y$188,Donnees_annuelles!$A$3:$A$188,M199)*MIN(L199,SUMIFS(Donnees_generations!$I$3:$I$113,Donnees_generations!$A$3:$A$113,MAX(1915,MIN(2025,E199))))/L199,AD199*AC199*MIN(IF(AB199&gt;0,0.8/0.75,1),(L199*4+AB199)/AA199))</f>
        <v/>
      </c>
      <c r="AF199" s="14">
        <f>AE199/12</f>
        <v/>
      </c>
      <c r="AG199" s="77">
        <f>MIN(68,MAX(56,2*INT(K199/2)))</f>
        <v/>
      </c>
      <c r="AH199" s="75">
        <f>(CHOOSE((AG199-56)/2+1,SUMIFS(Donnees_generations!$U$3:$U$113,Donnees_generations!$A$3:$A$113,MAX(1915,MIN(2025,E199))),SUMIFS(Donnees_generations!$V$3:$V$113,Donnees_generations!$A$3:$A$113,MAX(1915,MIN(2025,E199))),SUMIFS(Donnees_generations!$W$3:$W$113,Donnees_generations!$A$3:$A$113,MAX(1915,MIN(2025,E199))),SUMIFS(Donnees_generations!$X$3:$X$113,Donnees_generations!$A$3:$A$113,MAX(1915,MIN(2025,E199))),SUMIFS(Donnees_generations!$Y$3:$Y$113,Donnees_generations!$A$3:$A$113,MAX(1915,MIN(2025,E199))),SUMIFS(Donnees_generations!$Z$3:$Z$113,Donnees_generations!$A$3:$A$113,MAX(1915,MIN(2025,E199))),SUMIFS(Donnees_generations!$AA$3:$AA$113,Donnees_generations!$A$3:$A$113,MAX(1915,MIN(2025,E199))),SUMIFS(Donnees_generations!$AB$3:$AB$113,Donnees_generations!$A$3:$A$113,MAX(1915,MIN(2025,E199))))+CHOOSE((AG199-56)/2+1,SUMIFS(Donnees_generations!$AC$3:$AC$113,Donnees_generations!$A$3:$A$113,MAX(1915,MIN(2025,E199))),SUMIFS(Donnees_generations!$AD$3:$AD$113,Donnees_generations!$A$3:$A$113,MAX(1915,MIN(2025,E199))),SUMIFS(Donnees_generations!$AE$3:$AE$113,Donnees_generations!$A$3:$A$113,MAX(1915,MIN(2025,E199))),SUMIFS(Donnees_generations!$AF$3:$AF$113,Donnees_generations!$A$3:$A$113,MAX(1915,MIN(2025,E199))),SUMIFS(Donnees_generations!$AG$3:$AG$113,Donnees_generations!$A$3:$A$113,MAX(1915,MIN(2025,E199))),SUMIFS(Donnees_generations!$AH$3:$AH$113,Donnees_generations!$A$3:$A$113,MAX(1915,MIN(2025,E199))),SUMIFS(Donnees_generations!$AI$3:$AI$113,Donnees_generations!$A$3:$A$113,MAX(1915,MIN(2025,E199))),SUMIFS(Donnees_generations!$AJ$3:$AJ$113,Donnees_generations!$A$3:$A$113,MAX(1915,MIN(2025,E199)))))/2</f>
        <v/>
      </c>
      <c r="AI199" s="75">
        <f>(CHOOSE(((AG199+2)-56)/2+1,SUMIFS(Donnees_generations!$U$3:$U$113,Donnees_generations!$A$3:$A$113,MAX(1915,MIN(2025,E199))),SUMIFS(Donnees_generations!$V$3:$V$113,Donnees_generations!$A$3:$A$113,MAX(1915,MIN(2025,E199))),SUMIFS(Donnees_generations!$W$3:$W$113,Donnees_generations!$A$3:$A$113,MAX(1915,MIN(2025,E199))),SUMIFS(Donnees_generations!$X$3:$X$113,Donnees_generations!$A$3:$A$113,MAX(1915,MIN(2025,E199))),SUMIFS(Donnees_generations!$Y$3:$Y$113,Donnees_generations!$A$3:$A$113,MAX(1915,MIN(2025,E199))),SUMIFS(Donnees_generations!$Z$3:$Z$113,Donnees_generations!$A$3:$A$113,MAX(1915,MIN(2025,E199))),SUMIFS(Donnees_generations!$AA$3:$AA$113,Donnees_generations!$A$3:$A$113,MAX(1915,MIN(2025,E199))),SUMIFS(Donnees_generations!$AB$3:$AB$113,Donnees_generations!$A$3:$A$113,MAX(1915,MIN(2025,E199))))+CHOOSE(((AG199+2)-56)/2+1,SUMIFS(Donnees_generations!$AC$3:$AC$113,Donnees_generations!$A$3:$A$113,MAX(1915,MIN(2025,E199))),SUMIFS(Donnees_generations!$AD$3:$AD$113,Donnees_generations!$A$3:$A$113,MAX(1915,MIN(2025,E199))),SUMIFS(Donnees_generations!$AE$3:$AE$113,Donnees_generations!$A$3:$A$113,MAX(1915,MIN(2025,E199))),SUMIFS(Donnees_generations!$AF$3:$AF$113,Donnees_generations!$A$3:$A$113,MAX(1915,MIN(2025,E199))),SUMIFS(Donnees_generations!$AG$3:$AG$113,Donnees_generations!$A$3:$A$113,MAX(1915,MIN(2025,E199))),SUMIFS(Donnees_generations!$AH$3:$AH$113,Donnees_generations!$A$3:$A$113,MAX(1915,MIN(2025,E199))),SUMIFS(Donnees_generations!$AI$3:$AI$113,Donnees_generations!$A$3:$A$113,MAX(1915,MIN(2025,E199))),SUMIFS(Donnees_generations!$AJ$3:$AJ$113,Donnees_generations!$A$3:$A$113,MAX(1915,MIN(2025,E199)))))/2</f>
        <v/>
      </c>
      <c r="AJ199" s="8">
        <f>MAX(0,AH199+(AI199-AH199)*(K199-AG199)/2)</f>
        <v/>
      </c>
      <c r="AK199" s="8">
        <f>K199+AJ199</f>
        <v/>
      </c>
      <c r="AL199" s="14">
        <f>AE199*AJ199</f>
        <v/>
      </c>
      <c r="AM199" s="17">
        <f>V199/AL199</f>
        <v/>
      </c>
      <c r="AN199" s="17">
        <f>Z199/AL199</f>
        <v/>
      </c>
      <c r="AO199" s="33">
        <f>IF(V199+Z199=0,0,Z199/(V199+Z199))</f>
        <v/>
      </c>
      <c r="AP199" s="14">
        <f>AL199/V199*100</f>
        <v/>
      </c>
      <c r="AQ199" s="8">
        <f>P199/AL199*1000</f>
        <v/>
      </c>
      <c r="AR199" s="77">
        <f>MAX(N199,M199-1)</f>
        <v/>
      </c>
      <c r="AS199" s="14">
        <f>SUMIFS(Donnees_regimes!$R$3:$R$1118,Donnees_regimes!$A$3:$A$1118,C199,Donnees_regimes!$B$3:$B$1118,"&gt;="&amp;G199,Donnees_regimes!$B$3:$B$1118,"&lt;="&amp;N199)*L199/ROUNDUP(L199,0)*SUMIFS(Donnees_annuelles!$AG$3:$AG$188,Donnees_annuelles!$A$3:$A$188,AR199)*SUMIFS(Donnees_annuelles!$AA$3:$AA$188,Donnees_annuelles!$A$3:$A$188,AR199)</f>
        <v/>
      </c>
      <c r="AT199" s="36">
        <f>AS199/V199</f>
        <v/>
      </c>
      <c r="AU199" s="14">
        <f>AL199</f>
        <v/>
      </c>
      <c r="AV199" s="39">
        <f>AS199-AL199</f>
        <v/>
      </c>
      <c r="AW199" s="9">
        <f>AS199/AL199-1</f>
        <v/>
      </c>
      <c r="AX199" s="14">
        <f>AS199/AJ199/12</f>
        <v/>
      </c>
      <c r="AY199" s="14">
        <f>AF199</f>
        <v/>
      </c>
      <c r="AZ199" s="39">
        <f>AX199-AF199</f>
        <v/>
      </c>
      <c r="BA199" s="14">
        <f>SUMIFS(Donnees_regimes!$S$3:$S$1118,Donnees_regimes!$A$3:$A$1118,C199,Donnees_regimes!$B$3:$B$1118,"&gt;="&amp;G199,Donnees_regimes!$B$3:$B$1118,"&lt;="&amp;N199)*L199/ROUNDUP(L199,0)*SUMIFS(Donnees_annuelles!$AH$3:$AH$188,Donnees_annuelles!$A$3:$A$188,AR199)*SUMIFS(Donnees_annuelles!$AA$3:$AA$188,Donnees_annuelles!$A$3:$A$188,AR199)</f>
        <v/>
      </c>
      <c r="BB199" s="39">
        <f>BA199-AL199</f>
        <v/>
      </c>
      <c r="BC199" s="7">
        <f>IF(M199+AJ199&gt;2026,IF(G199&gt;2026,"entièrement projeté","en partie projeté"),"observé")</f>
        <v/>
      </c>
    </row>
    <row r="200">
      <c r="A200" s="7" t="inlineStr">
        <is>
          <t>Génération silencieuse</t>
        </is>
      </c>
      <c r="B200" s="84" t="inlineStr">
        <is>
          <t>Fonction publique territoriale et hospitalière</t>
        </is>
      </c>
      <c r="C200" s="7">
        <f>IF(G200&gt;=SUMIFS(Regimes!$C$5:$C$10,Regimes!$A$5:$A$10,B200),"Privé",B200)</f>
        <v/>
      </c>
      <c r="D200" s="7">
        <f>INDEX(Regimes!$D$5:$D$10,MATCH(C200,Regimes!$A$5:$A$10,0))</f>
        <v/>
      </c>
      <c r="E200" s="88" t="n">
        <v>1929</v>
      </c>
      <c r="F200" s="8">
        <f>Donnees_generations!C17</f>
        <v/>
      </c>
      <c r="G200" s="77">
        <f>Donnees_generations!D17</f>
        <v/>
      </c>
      <c r="H200" s="8">
        <f>SUMIFS(Donnees_generations!$S$3:$S$113,Donnees_generations!$A$3:$A$113,MAX(1915,MIN(2025,E200)))</f>
        <v/>
      </c>
      <c r="I200" s="8">
        <f>SUMIFS(Donnees_generations!$T$3:$T$113,Donnees_generations!$A$3:$A$113,MAX(1915,MIN(2025,E200)))</f>
        <v/>
      </c>
      <c r="J200" s="8">
        <f>IF(G200&gt;=2000,MAX(I200,Parametres!$B$3),I200)</f>
        <v/>
      </c>
      <c r="K200" s="8">
        <f>IF(C200="Privé",J200,SUMIFS(Regles_regimes!$J$3:$J$2000,Regles_regimes!$A$3:$A$2000,C200,Regles_regimes!$B$3:$B$2000,D200,Regles_regimes!$C$3:$C$2000,MAX(1915,MIN(2025,E200))))</f>
        <v/>
      </c>
      <c r="L200" s="8">
        <f>IF(C200="Privé",H200,(K200-F200)*H200/(J200-F200))</f>
        <v/>
      </c>
      <c r="M200" s="77">
        <f>INT(E200+K200)</f>
        <v/>
      </c>
      <c r="N200" s="77">
        <f>G200+ROUNDUP(L200,0)-1</f>
        <v/>
      </c>
      <c r="O200" s="89">
        <f>SUMIFS(Regles_regimes!$K$3:$K$2000,Regles_regimes!$A$3:$A$2000,C200,Regles_regimes!$B$3:$B$2000,D200,Regles_regimes!$C$3:$C$2000,MAX(1915,MIN(2025,E200)))</f>
        <v/>
      </c>
      <c r="P200" s="13">
        <f>SUMIFS(Donnees_annuelles!$W$3:$W$188,Donnees_annuelles!$A$3:$A$188,"&gt;="&amp;G200,Donnees_annuelles!$A$3:$A$188,"&lt;="&amp;N200)*L200/ROUNDUP(L200,0)*O200</f>
        <v/>
      </c>
      <c r="Q200" s="13">
        <f>SUMIFS(Donnees_annuelles!$V$3:$V$188,Donnees_annuelles!$A$3:$A$188,"&gt;="&amp;G200,Donnees_annuelles!$A$3:$A$188,"&lt;="&amp;N200)*L200/ROUNDUP(L200,0)</f>
        <v/>
      </c>
      <c r="R200" s="13">
        <f>P200/L200</f>
        <v/>
      </c>
      <c r="S200" s="14">
        <f>SUMIFS(Donnees_annuelles!$D$3:$D$188,Donnees_annuelles!$A$3:$A$188,"&gt;="&amp;G200,Donnees_annuelles!$A$3:$A$188,"&lt;="&amp;N200)*L200/ROUNDUP(L200,0)</f>
        <v/>
      </c>
      <c r="T200" s="14">
        <f>SUMIFS(Donnees_regimes!$N$3:$N$1118,Donnees_regimes!$A$3:$A$1118,C200,Donnees_regimes!$B$3:$B$1118,"&gt;="&amp;G200,Donnees_regimes!$B$3:$B$1118,"&lt;="&amp;N200)*L200/ROUNDUP(L200,0)</f>
        <v/>
      </c>
      <c r="U200" s="14">
        <f>SUMIFS(Donnees_regimes!$O$3:$O$1118,Donnees_regimes!$A$3:$A$1118,C200,Donnees_regimes!$B$3:$B$1118,"&gt;="&amp;G200,Donnees_regimes!$B$3:$B$1118,"&lt;="&amp;N200)*L200/ROUNDUP(L200,0)</f>
        <v/>
      </c>
      <c r="V200" s="14">
        <f>T200+U200</f>
        <v/>
      </c>
      <c r="W200" s="33">
        <f>V200/S200</f>
        <v/>
      </c>
      <c r="X200" s="14">
        <f>S200+U200</f>
        <v/>
      </c>
      <c r="Y200" s="17">
        <f>V200/P200</f>
        <v/>
      </c>
      <c r="Z200" s="14">
        <f>SUMIFS(Donnees_regimes!$Q$3:$Q$1118,Donnees_regimes!$A$3:$A$1118,C200,Donnees_regimes!$B$3:$B$1118,"&gt;="&amp;G200,Donnees_regimes!$B$3:$B$1118,"&lt;="&amp;N200)*L200/ROUNDUP(L200,0)</f>
        <v/>
      </c>
      <c r="AA200" s="77">
        <f>SUMIFS(Regles_regimes!$F$3:$F$2000,Regles_regimes!$A$3:$A$2000,C200,Regles_regimes!$B$3:$B$2000,D200,Regles_regimes!$C$3:$C$2000,MAX(1915,MIN(2025,E200)))</f>
        <v/>
      </c>
      <c r="AB200" s="77">
        <f>IF(AND(SUMIFS(Regles_regimes!$L$3:$L$2000,Regles_regimes!$A$3:$A$2000,C200,Regles_regimes!$B$3:$B$2000,D200,Regles_regimes!$C$3:$C$2000,MAX(1915,MIN(2025,E200)))=1,G200&lt;2009,C200&lt;&gt;"Privé"),MIN(20,L200*4/5),0)</f>
        <v/>
      </c>
      <c r="AC200" s="89">
        <f>SUMIFS(Donnees_regimes!$M$3:$M$1118,Donnees_regimes!$A$3:$A$1118,C200,Donnees_regimes!$B$3:$B$1118,M200)</f>
        <v/>
      </c>
      <c r="AD200" s="14">
        <f>SUMIFS(Donnees_annuelles!$Y$3:$Y$188,Donnees_annuelles!$A$3:$A$188,M200)*SUMIFS(Donnees_generations!$I$3:$I$113,Donnees_generations!$A$3:$A$113,MAX(1915,MIN(2025,E200)))/H200</f>
        <v/>
      </c>
      <c r="AE200" s="14">
        <f>IF(C200="Privé",SUMIFS(Donnees_annuelles!$Y$3:$Y$188,Donnees_annuelles!$A$3:$A$188,M200)*MIN(L200,SUMIFS(Donnees_generations!$I$3:$I$113,Donnees_generations!$A$3:$A$113,MAX(1915,MIN(2025,E200))))/L200,AD200*AC200*MIN(IF(AB200&gt;0,0.8/0.75,1),(L200*4+AB200)/AA200))</f>
        <v/>
      </c>
      <c r="AF200" s="14">
        <f>AE200/12</f>
        <v/>
      </c>
      <c r="AG200" s="77">
        <f>MIN(68,MAX(56,2*INT(K200/2)))</f>
        <v/>
      </c>
      <c r="AH200" s="75">
        <f>(CHOOSE((AG200-56)/2+1,SUMIFS(Donnees_generations!$U$3:$U$113,Donnees_generations!$A$3:$A$113,MAX(1915,MIN(2025,E200))),SUMIFS(Donnees_generations!$V$3:$V$113,Donnees_generations!$A$3:$A$113,MAX(1915,MIN(2025,E200))),SUMIFS(Donnees_generations!$W$3:$W$113,Donnees_generations!$A$3:$A$113,MAX(1915,MIN(2025,E200))),SUMIFS(Donnees_generations!$X$3:$X$113,Donnees_generations!$A$3:$A$113,MAX(1915,MIN(2025,E200))),SUMIFS(Donnees_generations!$Y$3:$Y$113,Donnees_generations!$A$3:$A$113,MAX(1915,MIN(2025,E200))),SUMIFS(Donnees_generations!$Z$3:$Z$113,Donnees_generations!$A$3:$A$113,MAX(1915,MIN(2025,E200))),SUMIFS(Donnees_generations!$AA$3:$AA$113,Donnees_generations!$A$3:$A$113,MAX(1915,MIN(2025,E200))),SUMIFS(Donnees_generations!$AB$3:$AB$113,Donnees_generations!$A$3:$A$113,MAX(1915,MIN(2025,E200))))+CHOOSE((AG200-56)/2+1,SUMIFS(Donnees_generations!$AC$3:$AC$113,Donnees_generations!$A$3:$A$113,MAX(1915,MIN(2025,E200))),SUMIFS(Donnees_generations!$AD$3:$AD$113,Donnees_generations!$A$3:$A$113,MAX(1915,MIN(2025,E200))),SUMIFS(Donnees_generations!$AE$3:$AE$113,Donnees_generations!$A$3:$A$113,MAX(1915,MIN(2025,E200))),SUMIFS(Donnees_generations!$AF$3:$AF$113,Donnees_generations!$A$3:$A$113,MAX(1915,MIN(2025,E200))),SUMIFS(Donnees_generations!$AG$3:$AG$113,Donnees_generations!$A$3:$A$113,MAX(1915,MIN(2025,E200))),SUMIFS(Donnees_generations!$AH$3:$AH$113,Donnees_generations!$A$3:$A$113,MAX(1915,MIN(2025,E200))),SUMIFS(Donnees_generations!$AI$3:$AI$113,Donnees_generations!$A$3:$A$113,MAX(1915,MIN(2025,E200))),SUMIFS(Donnees_generations!$AJ$3:$AJ$113,Donnees_generations!$A$3:$A$113,MAX(1915,MIN(2025,E200)))))/2</f>
        <v/>
      </c>
      <c r="AI200" s="75">
        <f>(CHOOSE(((AG200+2)-56)/2+1,SUMIFS(Donnees_generations!$U$3:$U$113,Donnees_generations!$A$3:$A$113,MAX(1915,MIN(2025,E200))),SUMIFS(Donnees_generations!$V$3:$V$113,Donnees_generations!$A$3:$A$113,MAX(1915,MIN(2025,E200))),SUMIFS(Donnees_generations!$W$3:$W$113,Donnees_generations!$A$3:$A$113,MAX(1915,MIN(2025,E200))),SUMIFS(Donnees_generations!$X$3:$X$113,Donnees_generations!$A$3:$A$113,MAX(1915,MIN(2025,E200))),SUMIFS(Donnees_generations!$Y$3:$Y$113,Donnees_generations!$A$3:$A$113,MAX(1915,MIN(2025,E200))),SUMIFS(Donnees_generations!$Z$3:$Z$113,Donnees_generations!$A$3:$A$113,MAX(1915,MIN(2025,E200))),SUMIFS(Donnees_generations!$AA$3:$AA$113,Donnees_generations!$A$3:$A$113,MAX(1915,MIN(2025,E200))),SUMIFS(Donnees_generations!$AB$3:$AB$113,Donnees_generations!$A$3:$A$113,MAX(1915,MIN(2025,E200))))+CHOOSE(((AG200+2)-56)/2+1,SUMIFS(Donnees_generations!$AC$3:$AC$113,Donnees_generations!$A$3:$A$113,MAX(1915,MIN(2025,E200))),SUMIFS(Donnees_generations!$AD$3:$AD$113,Donnees_generations!$A$3:$A$113,MAX(1915,MIN(2025,E200))),SUMIFS(Donnees_generations!$AE$3:$AE$113,Donnees_generations!$A$3:$A$113,MAX(1915,MIN(2025,E200))),SUMIFS(Donnees_generations!$AF$3:$AF$113,Donnees_generations!$A$3:$A$113,MAX(1915,MIN(2025,E200))),SUMIFS(Donnees_generations!$AG$3:$AG$113,Donnees_generations!$A$3:$A$113,MAX(1915,MIN(2025,E200))),SUMIFS(Donnees_generations!$AH$3:$AH$113,Donnees_generations!$A$3:$A$113,MAX(1915,MIN(2025,E200))),SUMIFS(Donnees_generations!$AI$3:$AI$113,Donnees_generations!$A$3:$A$113,MAX(1915,MIN(2025,E200))),SUMIFS(Donnees_generations!$AJ$3:$AJ$113,Donnees_generations!$A$3:$A$113,MAX(1915,MIN(2025,E200)))))/2</f>
        <v/>
      </c>
      <c r="AJ200" s="8">
        <f>MAX(0,AH200+(AI200-AH200)*(K200-AG200)/2)</f>
        <v/>
      </c>
      <c r="AK200" s="8">
        <f>K200+AJ200</f>
        <v/>
      </c>
      <c r="AL200" s="14">
        <f>AE200*AJ200</f>
        <v/>
      </c>
      <c r="AM200" s="17">
        <f>V200/AL200</f>
        <v/>
      </c>
      <c r="AN200" s="17">
        <f>Z200/AL200</f>
        <v/>
      </c>
      <c r="AO200" s="33">
        <f>IF(V200+Z200=0,0,Z200/(V200+Z200))</f>
        <v/>
      </c>
      <c r="AP200" s="14">
        <f>AL200/V200*100</f>
        <v/>
      </c>
      <c r="AQ200" s="8">
        <f>P200/AL200*1000</f>
        <v/>
      </c>
      <c r="AR200" s="77">
        <f>MAX(N200,M200-1)</f>
        <v/>
      </c>
      <c r="AS200" s="14">
        <f>SUMIFS(Donnees_regimes!$R$3:$R$1118,Donnees_regimes!$A$3:$A$1118,C200,Donnees_regimes!$B$3:$B$1118,"&gt;="&amp;G200,Donnees_regimes!$B$3:$B$1118,"&lt;="&amp;N200)*L200/ROUNDUP(L200,0)*SUMIFS(Donnees_annuelles!$AG$3:$AG$188,Donnees_annuelles!$A$3:$A$188,AR200)*SUMIFS(Donnees_annuelles!$AA$3:$AA$188,Donnees_annuelles!$A$3:$A$188,AR200)</f>
        <v/>
      </c>
      <c r="AT200" s="36">
        <f>AS200/V200</f>
        <v/>
      </c>
      <c r="AU200" s="14">
        <f>AL200</f>
        <v/>
      </c>
      <c r="AV200" s="39">
        <f>AS200-AL200</f>
        <v/>
      </c>
      <c r="AW200" s="9">
        <f>AS200/AL200-1</f>
        <v/>
      </c>
      <c r="AX200" s="14">
        <f>AS200/AJ200/12</f>
        <v/>
      </c>
      <c r="AY200" s="14">
        <f>AF200</f>
        <v/>
      </c>
      <c r="AZ200" s="39">
        <f>AX200-AF200</f>
        <v/>
      </c>
      <c r="BA200" s="14">
        <f>SUMIFS(Donnees_regimes!$S$3:$S$1118,Donnees_regimes!$A$3:$A$1118,C200,Donnees_regimes!$B$3:$B$1118,"&gt;="&amp;G200,Donnees_regimes!$B$3:$B$1118,"&lt;="&amp;N200)*L200/ROUNDUP(L200,0)*SUMIFS(Donnees_annuelles!$AH$3:$AH$188,Donnees_annuelles!$A$3:$A$188,AR200)*SUMIFS(Donnees_annuelles!$AA$3:$AA$188,Donnees_annuelles!$A$3:$A$188,AR200)</f>
        <v/>
      </c>
      <c r="BB200" s="39">
        <f>BA200-AL200</f>
        <v/>
      </c>
      <c r="BC200" s="7">
        <f>IF(M200+AJ200&gt;2026,IF(G200&gt;2026,"entièrement projeté","en partie projeté"),"observé")</f>
        <v/>
      </c>
    </row>
    <row r="201">
      <c r="A201" s="7" t="inlineStr">
        <is>
          <t>Génération silencieuse</t>
        </is>
      </c>
      <c r="B201" s="84" t="inlineStr">
        <is>
          <t>Fonction publique territoriale et hospitalière</t>
        </is>
      </c>
      <c r="C201" s="7">
        <f>IF(G201&gt;=SUMIFS(Regimes!$C$5:$C$10,Regimes!$A$5:$A$10,B201),"Privé",B201)</f>
        <v/>
      </c>
      <c r="D201" s="7">
        <f>INDEX(Regimes!$D$5:$D$10,MATCH(C201,Regimes!$A$5:$A$10,0))</f>
        <v/>
      </c>
      <c r="E201" s="88" t="n">
        <v>1930</v>
      </c>
      <c r="F201" s="8">
        <f>Donnees_generations!C18</f>
        <v/>
      </c>
      <c r="G201" s="77">
        <f>Donnees_generations!D18</f>
        <v/>
      </c>
      <c r="H201" s="8">
        <f>SUMIFS(Donnees_generations!$S$3:$S$113,Donnees_generations!$A$3:$A$113,MAX(1915,MIN(2025,E201)))</f>
        <v/>
      </c>
      <c r="I201" s="8">
        <f>SUMIFS(Donnees_generations!$T$3:$T$113,Donnees_generations!$A$3:$A$113,MAX(1915,MIN(2025,E201)))</f>
        <v/>
      </c>
      <c r="J201" s="8">
        <f>IF(G201&gt;=2000,MAX(I201,Parametres!$B$3),I201)</f>
        <v/>
      </c>
      <c r="K201" s="8">
        <f>IF(C201="Privé",J201,SUMIFS(Regles_regimes!$J$3:$J$2000,Regles_regimes!$A$3:$A$2000,C201,Regles_regimes!$B$3:$B$2000,D201,Regles_regimes!$C$3:$C$2000,MAX(1915,MIN(2025,E201))))</f>
        <v/>
      </c>
      <c r="L201" s="8">
        <f>IF(C201="Privé",H201,(K201-F201)*H201/(J201-F201))</f>
        <v/>
      </c>
      <c r="M201" s="77">
        <f>INT(E201+K201)</f>
        <v/>
      </c>
      <c r="N201" s="77">
        <f>G201+ROUNDUP(L201,0)-1</f>
        <v/>
      </c>
      <c r="O201" s="89">
        <f>SUMIFS(Regles_regimes!$K$3:$K$2000,Regles_regimes!$A$3:$A$2000,C201,Regles_regimes!$B$3:$B$2000,D201,Regles_regimes!$C$3:$C$2000,MAX(1915,MIN(2025,E201)))</f>
        <v/>
      </c>
      <c r="P201" s="13">
        <f>SUMIFS(Donnees_annuelles!$W$3:$W$188,Donnees_annuelles!$A$3:$A$188,"&gt;="&amp;G201,Donnees_annuelles!$A$3:$A$188,"&lt;="&amp;N201)*L201/ROUNDUP(L201,0)*O201</f>
        <v/>
      </c>
      <c r="Q201" s="13">
        <f>SUMIFS(Donnees_annuelles!$V$3:$V$188,Donnees_annuelles!$A$3:$A$188,"&gt;="&amp;G201,Donnees_annuelles!$A$3:$A$188,"&lt;="&amp;N201)*L201/ROUNDUP(L201,0)</f>
        <v/>
      </c>
      <c r="R201" s="13">
        <f>P201/L201</f>
        <v/>
      </c>
      <c r="S201" s="14">
        <f>SUMIFS(Donnees_annuelles!$D$3:$D$188,Donnees_annuelles!$A$3:$A$188,"&gt;="&amp;G201,Donnees_annuelles!$A$3:$A$188,"&lt;="&amp;N201)*L201/ROUNDUP(L201,0)</f>
        <v/>
      </c>
      <c r="T201" s="14">
        <f>SUMIFS(Donnees_regimes!$N$3:$N$1118,Donnees_regimes!$A$3:$A$1118,C201,Donnees_regimes!$B$3:$B$1118,"&gt;="&amp;G201,Donnees_regimes!$B$3:$B$1118,"&lt;="&amp;N201)*L201/ROUNDUP(L201,0)</f>
        <v/>
      </c>
      <c r="U201" s="14">
        <f>SUMIFS(Donnees_regimes!$O$3:$O$1118,Donnees_regimes!$A$3:$A$1118,C201,Donnees_regimes!$B$3:$B$1118,"&gt;="&amp;G201,Donnees_regimes!$B$3:$B$1118,"&lt;="&amp;N201)*L201/ROUNDUP(L201,0)</f>
        <v/>
      </c>
      <c r="V201" s="14">
        <f>T201+U201</f>
        <v/>
      </c>
      <c r="W201" s="33">
        <f>V201/S201</f>
        <v/>
      </c>
      <c r="X201" s="14">
        <f>S201+U201</f>
        <v/>
      </c>
      <c r="Y201" s="17">
        <f>V201/P201</f>
        <v/>
      </c>
      <c r="Z201" s="14">
        <f>SUMIFS(Donnees_regimes!$Q$3:$Q$1118,Donnees_regimes!$A$3:$A$1118,C201,Donnees_regimes!$B$3:$B$1118,"&gt;="&amp;G201,Donnees_regimes!$B$3:$B$1118,"&lt;="&amp;N201)*L201/ROUNDUP(L201,0)</f>
        <v/>
      </c>
      <c r="AA201" s="77">
        <f>SUMIFS(Regles_regimes!$F$3:$F$2000,Regles_regimes!$A$3:$A$2000,C201,Regles_regimes!$B$3:$B$2000,D201,Regles_regimes!$C$3:$C$2000,MAX(1915,MIN(2025,E201)))</f>
        <v/>
      </c>
      <c r="AB201" s="77">
        <f>IF(AND(SUMIFS(Regles_regimes!$L$3:$L$2000,Regles_regimes!$A$3:$A$2000,C201,Regles_regimes!$B$3:$B$2000,D201,Regles_regimes!$C$3:$C$2000,MAX(1915,MIN(2025,E201)))=1,G201&lt;2009,C201&lt;&gt;"Privé"),MIN(20,L201*4/5),0)</f>
        <v/>
      </c>
      <c r="AC201" s="89">
        <f>SUMIFS(Donnees_regimes!$M$3:$M$1118,Donnees_regimes!$A$3:$A$1118,C201,Donnees_regimes!$B$3:$B$1118,M201)</f>
        <v/>
      </c>
      <c r="AD201" s="14">
        <f>SUMIFS(Donnees_annuelles!$Y$3:$Y$188,Donnees_annuelles!$A$3:$A$188,M201)*SUMIFS(Donnees_generations!$I$3:$I$113,Donnees_generations!$A$3:$A$113,MAX(1915,MIN(2025,E201)))/H201</f>
        <v/>
      </c>
      <c r="AE201" s="14">
        <f>IF(C201="Privé",SUMIFS(Donnees_annuelles!$Y$3:$Y$188,Donnees_annuelles!$A$3:$A$188,M201)*MIN(L201,SUMIFS(Donnees_generations!$I$3:$I$113,Donnees_generations!$A$3:$A$113,MAX(1915,MIN(2025,E201))))/L201,AD201*AC201*MIN(IF(AB201&gt;0,0.8/0.75,1),(L201*4+AB201)/AA201))</f>
        <v/>
      </c>
      <c r="AF201" s="14">
        <f>AE201/12</f>
        <v/>
      </c>
      <c r="AG201" s="77">
        <f>MIN(68,MAX(56,2*INT(K201/2)))</f>
        <v/>
      </c>
      <c r="AH201" s="75">
        <f>(CHOOSE((AG201-56)/2+1,SUMIFS(Donnees_generations!$U$3:$U$113,Donnees_generations!$A$3:$A$113,MAX(1915,MIN(2025,E201))),SUMIFS(Donnees_generations!$V$3:$V$113,Donnees_generations!$A$3:$A$113,MAX(1915,MIN(2025,E201))),SUMIFS(Donnees_generations!$W$3:$W$113,Donnees_generations!$A$3:$A$113,MAX(1915,MIN(2025,E201))),SUMIFS(Donnees_generations!$X$3:$X$113,Donnees_generations!$A$3:$A$113,MAX(1915,MIN(2025,E201))),SUMIFS(Donnees_generations!$Y$3:$Y$113,Donnees_generations!$A$3:$A$113,MAX(1915,MIN(2025,E201))),SUMIFS(Donnees_generations!$Z$3:$Z$113,Donnees_generations!$A$3:$A$113,MAX(1915,MIN(2025,E201))),SUMIFS(Donnees_generations!$AA$3:$AA$113,Donnees_generations!$A$3:$A$113,MAX(1915,MIN(2025,E201))),SUMIFS(Donnees_generations!$AB$3:$AB$113,Donnees_generations!$A$3:$A$113,MAX(1915,MIN(2025,E201))))+CHOOSE((AG201-56)/2+1,SUMIFS(Donnees_generations!$AC$3:$AC$113,Donnees_generations!$A$3:$A$113,MAX(1915,MIN(2025,E201))),SUMIFS(Donnees_generations!$AD$3:$AD$113,Donnees_generations!$A$3:$A$113,MAX(1915,MIN(2025,E201))),SUMIFS(Donnees_generations!$AE$3:$AE$113,Donnees_generations!$A$3:$A$113,MAX(1915,MIN(2025,E201))),SUMIFS(Donnees_generations!$AF$3:$AF$113,Donnees_generations!$A$3:$A$113,MAX(1915,MIN(2025,E201))),SUMIFS(Donnees_generations!$AG$3:$AG$113,Donnees_generations!$A$3:$A$113,MAX(1915,MIN(2025,E201))),SUMIFS(Donnees_generations!$AH$3:$AH$113,Donnees_generations!$A$3:$A$113,MAX(1915,MIN(2025,E201))),SUMIFS(Donnees_generations!$AI$3:$AI$113,Donnees_generations!$A$3:$A$113,MAX(1915,MIN(2025,E201))),SUMIFS(Donnees_generations!$AJ$3:$AJ$113,Donnees_generations!$A$3:$A$113,MAX(1915,MIN(2025,E201)))))/2</f>
        <v/>
      </c>
      <c r="AI201" s="75">
        <f>(CHOOSE(((AG201+2)-56)/2+1,SUMIFS(Donnees_generations!$U$3:$U$113,Donnees_generations!$A$3:$A$113,MAX(1915,MIN(2025,E201))),SUMIFS(Donnees_generations!$V$3:$V$113,Donnees_generations!$A$3:$A$113,MAX(1915,MIN(2025,E201))),SUMIFS(Donnees_generations!$W$3:$W$113,Donnees_generations!$A$3:$A$113,MAX(1915,MIN(2025,E201))),SUMIFS(Donnees_generations!$X$3:$X$113,Donnees_generations!$A$3:$A$113,MAX(1915,MIN(2025,E201))),SUMIFS(Donnees_generations!$Y$3:$Y$113,Donnees_generations!$A$3:$A$113,MAX(1915,MIN(2025,E201))),SUMIFS(Donnees_generations!$Z$3:$Z$113,Donnees_generations!$A$3:$A$113,MAX(1915,MIN(2025,E201))),SUMIFS(Donnees_generations!$AA$3:$AA$113,Donnees_generations!$A$3:$A$113,MAX(1915,MIN(2025,E201))),SUMIFS(Donnees_generations!$AB$3:$AB$113,Donnees_generations!$A$3:$A$113,MAX(1915,MIN(2025,E201))))+CHOOSE(((AG201+2)-56)/2+1,SUMIFS(Donnees_generations!$AC$3:$AC$113,Donnees_generations!$A$3:$A$113,MAX(1915,MIN(2025,E201))),SUMIFS(Donnees_generations!$AD$3:$AD$113,Donnees_generations!$A$3:$A$113,MAX(1915,MIN(2025,E201))),SUMIFS(Donnees_generations!$AE$3:$AE$113,Donnees_generations!$A$3:$A$113,MAX(1915,MIN(2025,E201))),SUMIFS(Donnees_generations!$AF$3:$AF$113,Donnees_generations!$A$3:$A$113,MAX(1915,MIN(2025,E201))),SUMIFS(Donnees_generations!$AG$3:$AG$113,Donnees_generations!$A$3:$A$113,MAX(1915,MIN(2025,E201))),SUMIFS(Donnees_generations!$AH$3:$AH$113,Donnees_generations!$A$3:$A$113,MAX(1915,MIN(2025,E201))),SUMIFS(Donnees_generations!$AI$3:$AI$113,Donnees_generations!$A$3:$A$113,MAX(1915,MIN(2025,E201))),SUMIFS(Donnees_generations!$AJ$3:$AJ$113,Donnees_generations!$A$3:$A$113,MAX(1915,MIN(2025,E201)))))/2</f>
        <v/>
      </c>
      <c r="AJ201" s="8">
        <f>MAX(0,AH201+(AI201-AH201)*(K201-AG201)/2)</f>
        <v/>
      </c>
      <c r="AK201" s="8">
        <f>K201+AJ201</f>
        <v/>
      </c>
      <c r="AL201" s="14">
        <f>AE201*AJ201</f>
        <v/>
      </c>
      <c r="AM201" s="17">
        <f>V201/AL201</f>
        <v/>
      </c>
      <c r="AN201" s="17">
        <f>Z201/AL201</f>
        <v/>
      </c>
      <c r="AO201" s="33">
        <f>IF(V201+Z201=0,0,Z201/(V201+Z201))</f>
        <v/>
      </c>
      <c r="AP201" s="14">
        <f>AL201/V201*100</f>
        <v/>
      </c>
      <c r="AQ201" s="8">
        <f>P201/AL201*1000</f>
        <v/>
      </c>
      <c r="AR201" s="77">
        <f>MAX(N201,M201-1)</f>
        <v/>
      </c>
      <c r="AS201" s="14">
        <f>SUMIFS(Donnees_regimes!$R$3:$R$1118,Donnees_regimes!$A$3:$A$1118,C201,Donnees_regimes!$B$3:$B$1118,"&gt;="&amp;G201,Donnees_regimes!$B$3:$B$1118,"&lt;="&amp;N201)*L201/ROUNDUP(L201,0)*SUMIFS(Donnees_annuelles!$AG$3:$AG$188,Donnees_annuelles!$A$3:$A$188,AR201)*SUMIFS(Donnees_annuelles!$AA$3:$AA$188,Donnees_annuelles!$A$3:$A$188,AR201)</f>
        <v/>
      </c>
      <c r="AT201" s="36">
        <f>AS201/V201</f>
        <v/>
      </c>
      <c r="AU201" s="14">
        <f>AL201</f>
        <v/>
      </c>
      <c r="AV201" s="39">
        <f>AS201-AL201</f>
        <v/>
      </c>
      <c r="AW201" s="9">
        <f>AS201/AL201-1</f>
        <v/>
      </c>
      <c r="AX201" s="14">
        <f>AS201/AJ201/12</f>
        <v/>
      </c>
      <c r="AY201" s="14">
        <f>AF201</f>
        <v/>
      </c>
      <c r="AZ201" s="39">
        <f>AX201-AF201</f>
        <v/>
      </c>
      <c r="BA201" s="14">
        <f>SUMIFS(Donnees_regimes!$S$3:$S$1118,Donnees_regimes!$A$3:$A$1118,C201,Donnees_regimes!$B$3:$B$1118,"&gt;="&amp;G201,Donnees_regimes!$B$3:$B$1118,"&lt;="&amp;N201)*L201/ROUNDUP(L201,0)*SUMIFS(Donnees_annuelles!$AH$3:$AH$188,Donnees_annuelles!$A$3:$A$188,AR201)*SUMIFS(Donnees_annuelles!$AA$3:$AA$188,Donnees_annuelles!$A$3:$A$188,AR201)</f>
        <v/>
      </c>
      <c r="BB201" s="39">
        <f>BA201-AL201</f>
        <v/>
      </c>
      <c r="BC201" s="7">
        <f>IF(M201+AJ201&gt;2026,IF(G201&gt;2026,"entièrement projeté","en partie projeté"),"observé")</f>
        <v/>
      </c>
    </row>
    <row r="202">
      <c r="A202" s="7" t="inlineStr">
        <is>
          <t>Génération silencieuse</t>
        </is>
      </c>
      <c r="B202" s="84" t="inlineStr">
        <is>
          <t>Fonction publique territoriale et hospitalière</t>
        </is>
      </c>
      <c r="C202" s="7">
        <f>IF(G202&gt;=SUMIFS(Regimes!$C$5:$C$10,Regimes!$A$5:$A$10,B202),"Privé",B202)</f>
        <v/>
      </c>
      <c r="D202" s="7">
        <f>INDEX(Regimes!$D$5:$D$10,MATCH(C202,Regimes!$A$5:$A$10,0))</f>
        <v/>
      </c>
      <c r="E202" s="88" t="n">
        <v>1931</v>
      </c>
      <c r="F202" s="8">
        <f>Donnees_generations!C19</f>
        <v/>
      </c>
      <c r="G202" s="77">
        <f>Donnees_generations!D19</f>
        <v/>
      </c>
      <c r="H202" s="8">
        <f>SUMIFS(Donnees_generations!$S$3:$S$113,Donnees_generations!$A$3:$A$113,MAX(1915,MIN(2025,E202)))</f>
        <v/>
      </c>
      <c r="I202" s="8">
        <f>SUMIFS(Donnees_generations!$T$3:$T$113,Donnees_generations!$A$3:$A$113,MAX(1915,MIN(2025,E202)))</f>
        <v/>
      </c>
      <c r="J202" s="8">
        <f>IF(G202&gt;=2000,MAX(I202,Parametres!$B$3),I202)</f>
        <v/>
      </c>
      <c r="K202" s="8">
        <f>IF(C202="Privé",J202,SUMIFS(Regles_regimes!$J$3:$J$2000,Regles_regimes!$A$3:$A$2000,C202,Regles_regimes!$B$3:$B$2000,D202,Regles_regimes!$C$3:$C$2000,MAX(1915,MIN(2025,E202))))</f>
        <v/>
      </c>
      <c r="L202" s="8">
        <f>IF(C202="Privé",H202,(K202-F202)*H202/(J202-F202))</f>
        <v/>
      </c>
      <c r="M202" s="77">
        <f>INT(E202+K202)</f>
        <v/>
      </c>
      <c r="N202" s="77">
        <f>G202+ROUNDUP(L202,0)-1</f>
        <v/>
      </c>
      <c r="O202" s="89">
        <f>SUMIFS(Regles_regimes!$K$3:$K$2000,Regles_regimes!$A$3:$A$2000,C202,Regles_regimes!$B$3:$B$2000,D202,Regles_regimes!$C$3:$C$2000,MAX(1915,MIN(2025,E202)))</f>
        <v/>
      </c>
      <c r="P202" s="13">
        <f>SUMIFS(Donnees_annuelles!$W$3:$W$188,Donnees_annuelles!$A$3:$A$188,"&gt;="&amp;G202,Donnees_annuelles!$A$3:$A$188,"&lt;="&amp;N202)*L202/ROUNDUP(L202,0)*O202</f>
        <v/>
      </c>
      <c r="Q202" s="13">
        <f>SUMIFS(Donnees_annuelles!$V$3:$V$188,Donnees_annuelles!$A$3:$A$188,"&gt;="&amp;G202,Donnees_annuelles!$A$3:$A$188,"&lt;="&amp;N202)*L202/ROUNDUP(L202,0)</f>
        <v/>
      </c>
      <c r="R202" s="13">
        <f>P202/L202</f>
        <v/>
      </c>
      <c r="S202" s="14">
        <f>SUMIFS(Donnees_annuelles!$D$3:$D$188,Donnees_annuelles!$A$3:$A$188,"&gt;="&amp;G202,Donnees_annuelles!$A$3:$A$188,"&lt;="&amp;N202)*L202/ROUNDUP(L202,0)</f>
        <v/>
      </c>
      <c r="T202" s="14">
        <f>SUMIFS(Donnees_regimes!$N$3:$N$1118,Donnees_regimes!$A$3:$A$1118,C202,Donnees_regimes!$B$3:$B$1118,"&gt;="&amp;G202,Donnees_regimes!$B$3:$B$1118,"&lt;="&amp;N202)*L202/ROUNDUP(L202,0)</f>
        <v/>
      </c>
      <c r="U202" s="14">
        <f>SUMIFS(Donnees_regimes!$O$3:$O$1118,Donnees_regimes!$A$3:$A$1118,C202,Donnees_regimes!$B$3:$B$1118,"&gt;="&amp;G202,Donnees_regimes!$B$3:$B$1118,"&lt;="&amp;N202)*L202/ROUNDUP(L202,0)</f>
        <v/>
      </c>
      <c r="V202" s="14">
        <f>T202+U202</f>
        <v/>
      </c>
      <c r="W202" s="33">
        <f>V202/S202</f>
        <v/>
      </c>
      <c r="X202" s="14">
        <f>S202+U202</f>
        <v/>
      </c>
      <c r="Y202" s="17">
        <f>V202/P202</f>
        <v/>
      </c>
      <c r="Z202" s="14">
        <f>SUMIFS(Donnees_regimes!$Q$3:$Q$1118,Donnees_regimes!$A$3:$A$1118,C202,Donnees_regimes!$B$3:$B$1118,"&gt;="&amp;G202,Donnees_regimes!$B$3:$B$1118,"&lt;="&amp;N202)*L202/ROUNDUP(L202,0)</f>
        <v/>
      </c>
      <c r="AA202" s="77">
        <f>SUMIFS(Regles_regimes!$F$3:$F$2000,Regles_regimes!$A$3:$A$2000,C202,Regles_regimes!$B$3:$B$2000,D202,Regles_regimes!$C$3:$C$2000,MAX(1915,MIN(2025,E202)))</f>
        <v/>
      </c>
      <c r="AB202" s="77">
        <f>IF(AND(SUMIFS(Regles_regimes!$L$3:$L$2000,Regles_regimes!$A$3:$A$2000,C202,Regles_regimes!$B$3:$B$2000,D202,Regles_regimes!$C$3:$C$2000,MAX(1915,MIN(2025,E202)))=1,G202&lt;2009,C202&lt;&gt;"Privé"),MIN(20,L202*4/5),0)</f>
        <v/>
      </c>
      <c r="AC202" s="89">
        <f>SUMIFS(Donnees_regimes!$M$3:$M$1118,Donnees_regimes!$A$3:$A$1118,C202,Donnees_regimes!$B$3:$B$1118,M202)</f>
        <v/>
      </c>
      <c r="AD202" s="14">
        <f>SUMIFS(Donnees_annuelles!$Y$3:$Y$188,Donnees_annuelles!$A$3:$A$188,M202)*SUMIFS(Donnees_generations!$I$3:$I$113,Donnees_generations!$A$3:$A$113,MAX(1915,MIN(2025,E202)))/H202</f>
        <v/>
      </c>
      <c r="AE202" s="14">
        <f>IF(C202="Privé",SUMIFS(Donnees_annuelles!$Y$3:$Y$188,Donnees_annuelles!$A$3:$A$188,M202)*MIN(L202,SUMIFS(Donnees_generations!$I$3:$I$113,Donnees_generations!$A$3:$A$113,MAX(1915,MIN(2025,E202))))/L202,AD202*AC202*MIN(IF(AB202&gt;0,0.8/0.75,1),(L202*4+AB202)/AA202))</f>
        <v/>
      </c>
      <c r="AF202" s="14">
        <f>AE202/12</f>
        <v/>
      </c>
      <c r="AG202" s="77">
        <f>MIN(68,MAX(56,2*INT(K202/2)))</f>
        <v/>
      </c>
      <c r="AH202" s="75">
        <f>(CHOOSE((AG202-56)/2+1,SUMIFS(Donnees_generations!$U$3:$U$113,Donnees_generations!$A$3:$A$113,MAX(1915,MIN(2025,E202))),SUMIFS(Donnees_generations!$V$3:$V$113,Donnees_generations!$A$3:$A$113,MAX(1915,MIN(2025,E202))),SUMIFS(Donnees_generations!$W$3:$W$113,Donnees_generations!$A$3:$A$113,MAX(1915,MIN(2025,E202))),SUMIFS(Donnees_generations!$X$3:$X$113,Donnees_generations!$A$3:$A$113,MAX(1915,MIN(2025,E202))),SUMIFS(Donnees_generations!$Y$3:$Y$113,Donnees_generations!$A$3:$A$113,MAX(1915,MIN(2025,E202))),SUMIFS(Donnees_generations!$Z$3:$Z$113,Donnees_generations!$A$3:$A$113,MAX(1915,MIN(2025,E202))),SUMIFS(Donnees_generations!$AA$3:$AA$113,Donnees_generations!$A$3:$A$113,MAX(1915,MIN(2025,E202))),SUMIFS(Donnees_generations!$AB$3:$AB$113,Donnees_generations!$A$3:$A$113,MAX(1915,MIN(2025,E202))))+CHOOSE((AG202-56)/2+1,SUMIFS(Donnees_generations!$AC$3:$AC$113,Donnees_generations!$A$3:$A$113,MAX(1915,MIN(2025,E202))),SUMIFS(Donnees_generations!$AD$3:$AD$113,Donnees_generations!$A$3:$A$113,MAX(1915,MIN(2025,E202))),SUMIFS(Donnees_generations!$AE$3:$AE$113,Donnees_generations!$A$3:$A$113,MAX(1915,MIN(2025,E202))),SUMIFS(Donnees_generations!$AF$3:$AF$113,Donnees_generations!$A$3:$A$113,MAX(1915,MIN(2025,E202))),SUMIFS(Donnees_generations!$AG$3:$AG$113,Donnees_generations!$A$3:$A$113,MAX(1915,MIN(2025,E202))),SUMIFS(Donnees_generations!$AH$3:$AH$113,Donnees_generations!$A$3:$A$113,MAX(1915,MIN(2025,E202))),SUMIFS(Donnees_generations!$AI$3:$AI$113,Donnees_generations!$A$3:$A$113,MAX(1915,MIN(2025,E202))),SUMIFS(Donnees_generations!$AJ$3:$AJ$113,Donnees_generations!$A$3:$A$113,MAX(1915,MIN(2025,E202)))))/2</f>
        <v/>
      </c>
      <c r="AI202" s="75">
        <f>(CHOOSE(((AG202+2)-56)/2+1,SUMIFS(Donnees_generations!$U$3:$U$113,Donnees_generations!$A$3:$A$113,MAX(1915,MIN(2025,E202))),SUMIFS(Donnees_generations!$V$3:$V$113,Donnees_generations!$A$3:$A$113,MAX(1915,MIN(2025,E202))),SUMIFS(Donnees_generations!$W$3:$W$113,Donnees_generations!$A$3:$A$113,MAX(1915,MIN(2025,E202))),SUMIFS(Donnees_generations!$X$3:$X$113,Donnees_generations!$A$3:$A$113,MAX(1915,MIN(2025,E202))),SUMIFS(Donnees_generations!$Y$3:$Y$113,Donnees_generations!$A$3:$A$113,MAX(1915,MIN(2025,E202))),SUMIFS(Donnees_generations!$Z$3:$Z$113,Donnees_generations!$A$3:$A$113,MAX(1915,MIN(2025,E202))),SUMIFS(Donnees_generations!$AA$3:$AA$113,Donnees_generations!$A$3:$A$113,MAX(1915,MIN(2025,E202))),SUMIFS(Donnees_generations!$AB$3:$AB$113,Donnees_generations!$A$3:$A$113,MAX(1915,MIN(2025,E202))))+CHOOSE(((AG202+2)-56)/2+1,SUMIFS(Donnees_generations!$AC$3:$AC$113,Donnees_generations!$A$3:$A$113,MAX(1915,MIN(2025,E202))),SUMIFS(Donnees_generations!$AD$3:$AD$113,Donnees_generations!$A$3:$A$113,MAX(1915,MIN(2025,E202))),SUMIFS(Donnees_generations!$AE$3:$AE$113,Donnees_generations!$A$3:$A$113,MAX(1915,MIN(2025,E202))),SUMIFS(Donnees_generations!$AF$3:$AF$113,Donnees_generations!$A$3:$A$113,MAX(1915,MIN(2025,E202))),SUMIFS(Donnees_generations!$AG$3:$AG$113,Donnees_generations!$A$3:$A$113,MAX(1915,MIN(2025,E202))),SUMIFS(Donnees_generations!$AH$3:$AH$113,Donnees_generations!$A$3:$A$113,MAX(1915,MIN(2025,E202))),SUMIFS(Donnees_generations!$AI$3:$AI$113,Donnees_generations!$A$3:$A$113,MAX(1915,MIN(2025,E202))),SUMIFS(Donnees_generations!$AJ$3:$AJ$113,Donnees_generations!$A$3:$A$113,MAX(1915,MIN(2025,E202)))))/2</f>
        <v/>
      </c>
      <c r="AJ202" s="8">
        <f>MAX(0,AH202+(AI202-AH202)*(K202-AG202)/2)</f>
        <v/>
      </c>
      <c r="AK202" s="8">
        <f>K202+AJ202</f>
        <v/>
      </c>
      <c r="AL202" s="14">
        <f>AE202*AJ202</f>
        <v/>
      </c>
      <c r="AM202" s="17">
        <f>V202/AL202</f>
        <v/>
      </c>
      <c r="AN202" s="17">
        <f>Z202/AL202</f>
        <v/>
      </c>
      <c r="AO202" s="33">
        <f>IF(V202+Z202=0,0,Z202/(V202+Z202))</f>
        <v/>
      </c>
      <c r="AP202" s="14">
        <f>AL202/V202*100</f>
        <v/>
      </c>
      <c r="AQ202" s="8">
        <f>P202/AL202*1000</f>
        <v/>
      </c>
      <c r="AR202" s="77">
        <f>MAX(N202,M202-1)</f>
        <v/>
      </c>
      <c r="AS202" s="14">
        <f>SUMIFS(Donnees_regimes!$R$3:$R$1118,Donnees_regimes!$A$3:$A$1118,C202,Donnees_regimes!$B$3:$B$1118,"&gt;="&amp;G202,Donnees_regimes!$B$3:$B$1118,"&lt;="&amp;N202)*L202/ROUNDUP(L202,0)*SUMIFS(Donnees_annuelles!$AG$3:$AG$188,Donnees_annuelles!$A$3:$A$188,AR202)*SUMIFS(Donnees_annuelles!$AA$3:$AA$188,Donnees_annuelles!$A$3:$A$188,AR202)</f>
        <v/>
      </c>
      <c r="AT202" s="36">
        <f>AS202/V202</f>
        <v/>
      </c>
      <c r="AU202" s="14">
        <f>AL202</f>
        <v/>
      </c>
      <c r="AV202" s="39">
        <f>AS202-AL202</f>
        <v/>
      </c>
      <c r="AW202" s="9">
        <f>AS202/AL202-1</f>
        <v/>
      </c>
      <c r="AX202" s="14">
        <f>AS202/AJ202/12</f>
        <v/>
      </c>
      <c r="AY202" s="14">
        <f>AF202</f>
        <v/>
      </c>
      <c r="AZ202" s="39">
        <f>AX202-AF202</f>
        <v/>
      </c>
      <c r="BA202" s="14">
        <f>SUMIFS(Donnees_regimes!$S$3:$S$1118,Donnees_regimes!$A$3:$A$1118,C202,Donnees_regimes!$B$3:$B$1118,"&gt;="&amp;G202,Donnees_regimes!$B$3:$B$1118,"&lt;="&amp;N202)*L202/ROUNDUP(L202,0)*SUMIFS(Donnees_annuelles!$AH$3:$AH$188,Donnees_annuelles!$A$3:$A$188,AR202)*SUMIFS(Donnees_annuelles!$AA$3:$AA$188,Donnees_annuelles!$A$3:$A$188,AR202)</f>
        <v/>
      </c>
      <c r="BB202" s="39">
        <f>BA202-AL202</f>
        <v/>
      </c>
      <c r="BC202" s="7">
        <f>IF(M202+AJ202&gt;2026,IF(G202&gt;2026,"entièrement projeté","en partie projeté"),"observé")</f>
        <v/>
      </c>
    </row>
    <row r="203">
      <c r="A203" s="7" t="inlineStr">
        <is>
          <t>Génération silencieuse</t>
        </is>
      </c>
      <c r="B203" s="84" t="inlineStr">
        <is>
          <t>Fonction publique territoriale et hospitalière</t>
        </is>
      </c>
      <c r="C203" s="7">
        <f>IF(G203&gt;=SUMIFS(Regimes!$C$5:$C$10,Regimes!$A$5:$A$10,B203),"Privé",B203)</f>
        <v/>
      </c>
      <c r="D203" s="7">
        <f>INDEX(Regimes!$D$5:$D$10,MATCH(C203,Regimes!$A$5:$A$10,0))</f>
        <v/>
      </c>
      <c r="E203" s="88" t="n">
        <v>1932</v>
      </c>
      <c r="F203" s="8">
        <f>Donnees_generations!C20</f>
        <v/>
      </c>
      <c r="G203" s="77">
        <f>Donnees_generations!D20</f>
        <v/>
      </c>
      <c r="H203" s="8">
        <f>SUMIFS(Donnees_generations!$S$3:$S$113,Donnees_generations!$A$3:$A$113,MAX(1915,MIN(2025,E203)))</f>
        <v/>
      </c>
      <c r="I203" s="8">
        <f>SUMIFS(Donnees_generations!$T$3:$T$113,Donnees_generations!$A$3:$A$113,MAX(1915,MIN(2025,E203)))</f>
        <v/>
      </c>
      <c r="J203" s="8">
        <f>IF(G203&gt;=2000,MAX(I203,Parametres!$B$3),I203)</f>
        <v/>
      </c>
      <c r="K203" s="8">
        <f>IF(C203="Privé",J203,SUMIFS(Regles_regimes!$J$3:$J$2000,Regles_regimes!$A$3:$A$2000,C203,Regles_regimes!$B$3:$B$2000,D203,Regles_regimes!$C$3:$C$2000,MAX(1915,MIN(2025,E203))))</f>
        <v/>
      </c>
      <c r="L203" s="8">
        <f>IF(C203="Privé",H203,(K203-F203)*H203/(J203-F203))</f>
        <v/>
      </c>
      <c r="M203" s="77">
        <f>INT(E203+K203)</f>
        <v/>
      </c>
      <c r="N203" s="77">
        <f>G203+ROUNDUP(L203,0)-1</f>
        <v/>
      </c>
      <c r="O203" s="89">
        <f>SUMIFS(Regles_regimes!$K$3:$K$2000,Regles_regimes!$A$3:$A$2000,C203,Regles_regimes!$B$3:$B$2000,D203,Regles_regimes!$C$3:$C$2000,MAX(1915,MIN(2025,E203)))</f>
        <v/>
      </c>
      <c r="P203" s="13">
        <f>SUMIFS(Donnees_annuelles!$W$3:$W$188,Donnees_annuelles!$A$3:$A$188,"&gt;="&amp;G203,Donnees_annuelles!$A$3:$A$188,"&lt;="&amp;N203)*L203/ROUNDUP(L203,0)*O203</f>
        <v/>
      </c>
      <c r="Q203" s="13">
        <f>SUMIFS(Donnees_annuelles!$V$3:$V$188,Donnees_annuelles!$A$3:$A$188,"&gt;="&amp;G203,Donnees_annuelles!$A$3:$A$188,"&lt;="&amp;N203)*L203/ROUNDUP(L203,0)</f>
        <v/>
      </c>
      <c r="R203" s="13">
        <f>P203/L203</f>
        <v/>
      </c>
      <c r="S203" s="14">
        <f>SUMIFS(Donnees_annuelles!$D$3:$D$188,Donnees_annuelles!$A$3:$A$188,"&gt;="&amp;G203,Donnees_annuelles!$A$3:$A$188,"&lt;="&amp;N203)*L203/ROUNDUP(L203,0)</f>
        <v/>
      </c>
      <c r="T203" s="14">
        <f>SUMIFS(Donnees_regimes!$N$3:$N$1118,Donnees_regimes!$A$3:$A$1118,C203,Donnees_regimes!$B$3:$B$1118,"&gt;="&amp;G203,Donnees_regimes!$B$3:$B$1118,"&lt;="&amp;N203)*L203/ROUNDUP(L203,0)</f>
        <v/>
      </c>
      <c r="U203" s="14">
        <f>SUMIFS(Donnees_regimes!$O$3:$O$1118,Donnees_regimes!$A$3:$A$1118,C203,Donnees_regimes!$B$3:$B$1118,"&gt;="&amp;G203,Donnees_regimes!$B$3:$B$1118,"&lt;="&amp;N203)*L203/ROUNDUP(L203,0)</f>
        <v/>
      </c>
      <c r="V203" s="14">
        <f>T203+U203</f>
        <v/>
      </c>
      <c r="W203" s="33">
        <f>V203/S203</f>
        <v/>
      </c>
      <c r="X203" s="14">
        <f>S203+U203</f>
        <v/>
      </c>
      <c r="Y203" s="17">
        <f>V203/P203</f>
        <v/>
      </c>
      <c r="Z203" s="14">
        <f>SUMIFS(Donnees_regimes!$Q$3:$Q$1118,Donnees_regimes!$A$3:$A$1118,C203,Donnees_regimes!$B$3:$B$1118,"&gt;="&amp;G203,Donnees_regimes!$B$3:$B$1118,"&lt;="&amp;N203)*L203/ROUNDUP(L203,0)</f>
        <v/>
      </c>
      <c r="AA203" s="77">
        <f>SUMIFS(Regles_regimes!$F$3:$F$2000,Regles_regimes!$A$3:$A$2000,C203,Regles_regimes!$B$3:$B$2000,D203,Regles_regimes!$C$3:$C$2000,MAX(1915,MIN(2025,E203)))</f>
        <v/>
      </c>
      <c r="AB203" s="77">
        <f>IF(AND(SUMIFS(Regles_regimes!$L$3:$L$2000,Regles_regimes!$A$3:$A$2000,C203,Regles_regimes!$B$3:$B$2000,D203,Regles_regimes!$C$3:$C$2000,MAX(1915,MIN(2025,E203)))=1,G203&lt;2009,C203&lt;&gt;"Privé"),MIN(20,L203*4/5),0)</f>
        <v/>
      </c>
      <c r="AC203" s="89">
        <f>SUMIFS(Donnees_regimes!$M$3:$M$1118,Donnees_regimes!$A$3:$A$1118,C203,Donnees_regimes!$B$3:$B$1118,M203)</f>
        <v/>
      </c>
      <c r="AD203" s="14">
        <f>SUMIFS(Donnees_annuelles!$Y$3:$Y$188,Donnees_annuelles!$A$3:$A$188,M203)*SUMIFS(Donnees_generations!$I$3:$I$113,Donnees_generations!$A$3:$A$113,MAX(1915,MIN(2025,E203)))/H203</f>
        <v/>
      </c>
      <c r="AE203" s="14">
        <f>IF(C203="Privé",SUMIFS(Donnees_annuelles!$Y$3:$Y$188,Donnees_annuelles!$A$3:$A$188,M203)*MIN(L203,SUMIFS(Donnees_generations!$I$3:$I$113,Donnees_generations!$A$3:$A$113,MAX(1915,MIN(2025,E203))))/L203,AD203*AC203*MIN(IF(AB203&gt;0,0.8/0.75,1),(L203*4+AB203)/AA203))</f>
        <v/>
      </c>
      <c r="AF203" s="14">
        <f>AE203/12</f>
        <v/>
      </c>
      <c r="AG203" s="77">
        <f>MIN(68,MAX(56,2*INT(K203/2)))</f>
        <v/>
      </c>
      <c r="AH203" s="75">
        <f>(CHOOSE((AG203-56)/2+1,SUMIFS(Donnees_generations!$U$3:$U$113,Donnees_generations!$A$3:$A$113,MAX(1915,MIN(2025,E203))),SUMIFS(Donnees_generations!$V$3:$V$113,Donnees_generations!$A$3:$A$113,MAX(1915,MIN(2025,E203))),SUMIFS(Donnees_generations!$W$3:$W$113,Donnees_generations!$A$3:$A$113,MAX(1915,MIN(2025,E203))),SUMIFS(Donnees_generations!$X$3:$X$113,Donnees_generations!$A$3:$A$113,MAX(1915,MIN(2025,E203))),SUMIFS(Donnees_generations!$Y$3:$Y$113,Donnees_generations!$A$3:$A$113,MAX(1915,MIN(2025,E203))),SUMIFS(Donnees_generations!$Z$3:$Z$113,Donnees_generations!$A$3:$A$113,MAX(1915,MIN(2025,E203))),SUMIFS(Donnees_generations!$AA$3:$AA$113,Donnees_generations!$A$3:$A$113,MAX(1915,MIN(2025,E203))),SUMIFS(Donnees_generations!$AB$3:$AB$113,Donnees_generations!$A$3:$A$113,MAX(1915,MIN(2025,E203))))+CHOOSE((AG203-56)/2+1,SUMIFS(Donnees_generations!$AC$3:$AC$113,Donnees_generations!$A$3:$A$113,MAX(1915,MIN(2025,E203))),SUMIFS(Donnees_generations!$AD$3:$AD$113,Donnees_generations!$A$3:$A$113,MAX(1915,MIN(2025,E203))),SUMIFS(Donnees_generations!$AE$3:$AE$113,Donnees_generations!$A$3:$A$113,MAX(1915,MIN(2025,E203))),SUMIFS(Donnees_generations!$AF$3:$AF$113,Donnees_generations!$A$3:$A$113,MAX(1915,MIN(2025,E203))),SUMIFS(Donnees_generations!$AG$3:$AG$113,Donnees_generations!$A$3:$A$113,MAX(1915,MIN(2025,E203))),SUMIFS(Donnees_generations!$AH$3:$AH$113,Donnees_generations!$A$3:$A$113,MAX(1915,MIN(2025,E203))),SUMIFS(Donnees_generations!$AI$3:$AI$113,Donnees_generations!$A$3:$A$113,MAX(1915,MIN(2025,E203))),SUMIFS(Donnees_generations!$AJ$3:$AJ$113,Donnees_generations!$A$3:$A$113,MAX(1915,MIN(2025,E203)))))/2</f>
        <v/>
      </c>
      <c r="AI203" s="75">
        <f>(CHOOSE(((AG203+2)-56)/2+1,SUMIFS(Donnees_generations!$U$3:$U$113,Donnees_generations!$A$3:$A$113,MAX(1915,MIN(2025,E203))),SUMIFS(Donnees_generations!$V$3:$V$113,Donnees_generations!$A$3:$A$113,MAX(1915,MIN(2025,E203))),SUMIFS(Donnees_generations!$W$3:$W$113,Donnees_generations!$A$3:$A$113,MAX(1915,MIN(2025,E203))),SUMIFS(Donnees_generations!$X$3:$X$113,Donnees_generations!$A$3:$A$113,MAX(1915,MIN(2025,E203))),SUMIFS(Donnees_generations!$Y$3:$Y$113,Donnees_generations!$A$3:$A$113,MAX(1915,MIN(2025,E203))),SUMIFS(Donnees_generations!$Z$3:$Z$113,Donnees_generations!$A$3:$A$113,MAX(1915,MIN(2025,E203))),SUMIFS(Donnees_generations!$AA$3:$AA$113,Donnees_generations!$A$3:$A$113,MAX(1915,MIN(2025,E203))),SUMIFS(Donnees_generations!$AB$3:$AB$113,Donnees_generations!$A$3:$A$113,MAX(1915,MIN(2025,E203))))+CHOOSE(((AG203+2)-56)/2+1,SUMIFS(Donnees_generations!$AC$3:$AC$113,Donnees_generations!$A$3:$A$113,MAX(1915,MIN(2025,E203))),SUMIFS(Donnees_generations!$AD$3:$AD$113,Donnees_generations!$A$3:$A$113,MAX(1915,MIN(2025,E203))),SUMIFS(Donnees_generations!$AE$3:$AE$113,Donnees_generations!$A$3:$A$113,MAX(1915,MIN(2025,E203))),SUMIFS(Donnees_generations!$AF$3:$AF$113,Donnees_generations!$A$3:$A$113,MAX(1915,MIN(2025,E203))),SUMIFS(Donnees_generations!$AG$3:$AG$113,Donnees_generations!$A$3:$A$113,MAX(1915,MIN(2025,E203))),SUMIFS(Donnees_generations!$AH$3:$AH$113,Donnees_generations!$A$3:$A$113,MAX(1915,MIN(2025,E203))),SUMIFS(Donnees_generations!$AI$3:$AI$113,Donnees_generations!$A$3:$A$113,MAX(1915,MIN(2025,E203))),SUMIFS(Donnees_generations!$AJ$3:$AJ$113,Donnees_generations!$A$3:$A$113,MAX(1915,MIN(2025,E203)))))/2</f>
        <v/>
      </c>
      <c r="AJ203" s="8">
        <f>MAX(0,AH203+(AI203-AH203)*(K203-AG203)/2)</f>
        <v/>
      </c>
      <c r="AK203" s="8">
        <f>K203+AJ203</f>
        <v/>
      </c>
      <c r="AL203" s="14">
        <f>AE203*AJ203</f>
        <v/>
      </c>
      <c r="AM203" s="17">
        <f>V203/AL203</f>
        <v/>
      </c>
      <c r="AN203" s="17">
        <f>Z203/AL203</f>
        <v/>
      </c>
      <c r="AO203" s="33">
        <f>IF(V203+Z203=0,0,Z203/(V203+Z203))</f>
        <v/>
      </c>
      <c r="AP203" s="14">
        <f>AL203/V203*100</f>
        <v/>
      </c>
      <c r="AQ203" s="8">
        <f>P203/AL203*1000</f>
        <v/>
      </c>
      <c r="AR203" s="77">
        <f>MAX(N203,M203-1)</f>
        <v/>
      </c>
      <c r="AS203" s="14">
        <f>SUMIFS(Donnees_regimes!$R$3:$R$1118,Donnees_regimes!$A$3:$A$1118,C203,Donnees_regimes!$B$3:$B$1118,"&gt;="&amp;G203,Donnees_regimes!$B$3:$B$1118,"&lt;="&amp;N203)*L203/ROUNDUP(L203,0)*SUMIFS(Donnees_annuelles!$AG$3:$AG$188,Donnees_annuelles!$A$3:$A$188,AR203)*SUMIFS(Donnees_annuelles!$AA$3:$AA$188,Donnees_annuelles!$A$3:$A$188,AR203)</f>
        <v/>
      </c>
      <c r="AT203" s="36">
        <f>AS203/V203</f>
        <v/>
      </c>
      <c r="AU203" s="14">
        <f>AL203</f>
        <v/>
      </c>
      <c r="AV203" s="39">
        <f>AS203-AL203</f>
        <v/>
      </c>
      <c r="AW203" s="9">
        <f>AS203/AL203-1</f>
        <v/>
      </c>
      <c r="AX203" s="14">
        <f>AS203/AJ203/12</f>
        <v/>
      </c>
      <c r="AY203" s="14">
        <f>AF203</f>
        <v/>
      </c>
      <c r="AZ203" s="39">
        <f>AX203-AF203</f>
        <v/>
      </c>
      <c r="BA203" s="14">
        <f>SUMIFS(Donnees_regimes!$S$3:$S$1118,Donnees_regimes!$A$3:$A$1118,C203,Donnees_regimes!$B$3:$B$1118,"&gt;="&amp;G203,Donnees_regimes!$B$3:$B$1118,"&lt;="&amp;N203)*L203/ROUNDUP(L203,0)*SUMIFS(Donnees_annuelles!$AH$3:$AH$188,Donnees_annuelles!$A$3:$A$188,AR203)*SUMIFS(Donnees_annuelles!$AA$3:$AA$188,Donnees_annuelles!$A$3:$A$188,AR203)</f>
        <v/>
      </c>
      <c r="BB203" s="39">
        <f>BA203-AL203</f>
        <v/>
      </c>
      <c r="BC203" s="7">
        <f>IF(M203+AJ203&gt;2026,IF(G203&gt;2026,"entièrement projeté","en partie projeté"),"observé")</f>
        <v/>
      </c>
    </row>
    <row r="204">
      <c r="A204" s="7" t="inlineStr">
        <is>
          <t>Génération silencieuse</t>
        </is>
      </c>
      <c r="B204" s="84" t="inlineStr">
        <is>
          <t>Fonction publique territoriale et hospitalière</t>
        </is>
      </c>
      <c r="C204" s="7">
        <f>IF(G204&gt;=SUMIFS(Regimes!$C$5:$C$10,Regimes!$A$5:$A$10,B204),"Privé",B204)</f>
        <v/>
      </c>
      <c r="D204" s="7">
        <f>INDEX(Regimes!$D$5:$D$10,MATCH(C204,Regimes!$A$5:$A$10,0))</f>
        <v/>
      </c>
      <c r="E204" s="88" t="n">
        <v>1933</v>
      </c>
      <c r="F204" s="8">
        <f>Donnees_generations!C21</f>
        <v/>
      </c>
      <c r="G204" s="77">
        <f>Donnees_generations!D21</f>
        <v/>
      </c>
      <c r="H204" s="8">
        <f>SUMIFS(Donnees_generations!$S$3:$S$113,Donnees_generations!$A$3:$A$113,MAX(1915,MIN(2025,E204)))</f>
        <v/>
      </c>
      <c r="I204" s="8">
        <f>SUMIFS(Donnees_generations!$T$3:$T$113,Donnees_generations!$A$3:$A$113,MAX(1915,MIN(2025,E204)))</f>
        <v/>
      </c>
      <c r="J204" s="8">
        <f>IF(G204&gt;=2000,MAX(I204,Parametres!$B$3),I204)</f>
        <v/>
      </c>
      <c r="K204" s="8">
        <f>IF(C204="Privé",J204,SUMIFS(Regles_regimes!$J$3:$J$2000,Regles_regimes!$A$3:$A$2000,C204,Regles_regimes!$B$3:$B$2000,D204,Regles_regimes!$C$3:$C$2000,MAX(1915,MIN(2025,E204))))</f>
        <v/>
      </c>
      <c r="L204" s="8">
        <f>IF(C204="Privé",H204,(K204-F204)*H204/(J204-F204))</f>
        <v/>
      </c>
      <c r="M204" s="77">
        <f>INT(E204+K204)</f>
        <v/>
      </c>
      <c r="N204" s="77">
        <f>G204+ROUNDUP(L204,0)-1</f>
        <v/>
      </c>
      <c r="O204" s="89">
        <f>SUMIFS(Regles_regimes!$K$3:$K$2000,Regles_regimes!$A$3:$A$2000,C204,Regles_regimes!$B$3:$B$2000,D204,Regles_regimes!$C$3:$C$2000,MAX(1915,MIN(2025,E204)))</f>
        <v/>
      </c>
      <c r="P204" s="13">
        <f>SUMIFS(Donnees_annuelles!$W$3:$W$188,Donnees_annuelles!$A$3:$A$188,"&gt;="&amp;G204,Donnees_annuelles!$A$3:$A$188,"&lt;="&amp;N204)*L204/ROUNDUP(L204,0)*O204</f>
        <v/>
      </c>
      <c r="Q204" s="13">
        <f>SUMIFS(Donnees_annuelles!$V$3:$V$188,Donnees_annuelles!$A$3:$A$188,"&gt;="&amp;G204,Donnees_annuelles!$A$3:$A$188,"&lt;="&amp;N204)*L204/ROUNDUP(L204,0)</f>
        <v/>
      </c>
      <c r="R204" s="13">
        <f>P204/L204</f>
        <v/>
      </c>
      <c r="S204" s="14">
        <f>SUMIFS(Donnees_annuelles!$D$3:$D$188,Donnees_annuelles!$A$3:$A$188,"&gt;="&amp;G204,Donnees_annuelles!$A$3:$A$188,"&lt;="&amp;N204)*L204/ROUNDUP(L204,0)</f>
        <v/>
      </c>
      <c r="T204" s="14">
        <f>SUMIFS(Donnees_regimes!$N$3:$N$1118,Donnees_regimes!$A$3:$A$1118,C204,Donnees_regimes!$B$3:$B$1118,"&gt;="&amp;G204,Donnees_regimes!$B$3:$B$1118,"&lt;="&amp;N204)*L204/ROUNDUP(L204,0)</f>
        <v/>
      </c>
      <c r="U204" s="14">
        <f>SUMIFS(Donnees_regimes!$O$3:$O$1118,Donnees_regimes!$A$3:$A$1118,C204,Donnees_regimes!$B$3:$B$1118,"&gt;="&amp;G204,Donnees_regimes!$B$3:$B$1118,"&lt;="&amp;N204)*L204/ROUNDUP(L204,0)</f>
        <v/>
      </c>
      <c r="V204" s="14">
        <f>T204+U204</f>
        <v/>
      </c>
      <c r="W204" s="33">
        <f>V204/S204</f>
        <v/>
      </c>
      <c r="X204" s="14">
        <f>S204+U204</f>
        <v/>
      </c>
      <c r="Y204" s="17">
        <f>V204/P204</f>
        <v/>
      </c>
      <c r="Z204" s="14">
        <f>SUMIFS(Donnees_regimes!$Q$3:$Q$1118,Donnees_regimes!$A$3:$A$1118,C204,Donnees_regimes!$B$3:$B$1118,"&gt;="&amp;G204,Donnees_regimes!$B$3:$B$1118,"&lt;="&amp;N204)*L204/ROUNDUP(L204,0)</f>
        <v/>
      </c>
      <c r="AA204" s="77">
        <f>SUMIFS(Regles_regimes!$F$3:$F$2000,Regles_regimes!$A$3:$A$2000,C204,Regles_regimes!$B$3:$B$2000,D204,Regles_regimes!$C$3:$C$2000,MAX(1915,MIN(2025,E204)))</f>
        <v/>
      </c>
      <c r="AB204" s="77">
        <f>IF(AND(SUMIFS(Regles_regimes!$L$3:$L$2000,Regles_regimes!$A$3:$A$2000,C204,Regles_regimes!$B$3:$B$2000,D204,Regles_regimes!$C$3:$C$2000,MAX(1915,MIN(2025,E204)))=1,G204&lt;2009,C204&lt;&gt;"Privé"),MIN(20,L204*4/5),0)</f>
        <v/>
      </c>
      <c r="AC204" s="89">
        <f>SUMIFS(Donnees_regimes!$M$3:$M$1118,Donnees_regimes!$A$3:$A$1118,C204,Donnees_regimes!$B$3:$B$1118,M204)</f>
        <v/>
      </c>
      <c r="AD204" s="14">
        <f>SUMIFS(Donnees_annuelles!$Y$3:$Y$188,Donnees_annuelles!$A$3:$A$188,M204)*SUMIFS(Donnees_generations!$I$3:$I$113,Donnees_generations!$A$3:$A$113,MAX(1915,MIN(2025,E204)))/H204</f>
        <v/>
      </c>
      <c r="AE204" s="14">
        <f>IF(C204="Privé",SUMIFS(Donnees_annuelles!$Y$3:$Y$188,Donnees_annuelles!$A$3:$A$188,M204)*MIN(L204,SUMIFS(Donnees_generations!$I$3:$I$113,Donnees_generations!$A$3:$A$113,MAX(1915,MIN(2025,E204))))/L204,AD204*AC204*MIN(IF(AB204&gt;0,0.8/0.75,1),(L204*4+AB204)/AA204))</f>
        <v/>
      </c>
      <c r="AF204" s="14">
        <f>AE204/12</f>
        <v/>
      </c>
      <c r="AG204" s="77">
        <f>MIN(68,MAX(56,2*INT(K204/2)))</f>
        <v/>
      </c>
      <c r="AH204" s="75">
        <f>(CHOOSE((AG204-56)/2+1,SUMIFS(Donnees_generations!$U$3:$U$113,Donnees_generations!$A$3:$A$113,MAX(1915,MIN(2025,E204))),SUMIFS(Donnees_generations!$V$3:$V$113,Donnees_generations!$A$3:$A$113,MAX(1915,MIN(2025,E204))),SUMIFS(Donnees_generations!$W$3:$W$113,Donnees_generations!$A$3:$A$113,MAX(1915,MIN(2025,E204))),SUMIFS(Donnees_generations!$X$3:$X$113,Donnees_generations!$A$3:$A$113,MAX(1915,MIN(2025,E204))),SUMIFS(Donnees_generations!$Y$3:$Y$113,Donnees_generations!$A$3:$A$113,MAX(1915,MIN(2025,E204))),SUMIFS(Donnees_generations!$Z$3:$Z$113,Donnees_generations!$A$3:$A$113,MAX(1915,MIN(2025,E204))),SUMIFS(Donnees_generations!$AA$3:$AA$113,Donnees_generations!$A$3:$A$113,MAX(1915,MIN(2025,E204))),SUMIFS(Donnees_generations!$AB$3:$AB$113,Donnees_generations!$A$3:$A$113,MAX(1915,MIN(2025,E204))))+CHOOSE((AG204-56)/2+1,SUMIFS(Donnees_generations!$AC$3:$AC$113,Donnees_generations!$A$3:$A$113,MAX(1915,MIN(2025,E204))),SUMIFS(Donnees_generations!$AD$3:$AD$113,Donnees_generations!$A$3:$A$113,MAX(1915,MIN(2025,E204))),SUMIFS(Donnees_generations!$AE$3:$AE$113,Donnees_generations!$A$3:$A$113,MAX(1915,MIN(2025,E204))),SUMIFS(Donnees_generations!$AF$3:$AF$113,Donnees_generations!$A$3:$A$113,MAX(1915,MIN(2025,E204))),SUMIFS(Donnees_generations!$AG$3:$AG$113,Donnees_generations!$A$3:$A$113,MAX(1915,MIN(2025,E204))),SUMIFS(Donnees_generations!$AH$3:$AH$113,Donnees_generations!$A$3:$A$113,MAX(1915,MIN(2025,E204))),SUMIFS(Donnees_generations!$AI$3:$AI$113,Donnees_generations!$A$3:$A$113,MAX(1915,MIN(2025,E204))),SUMIFS(Donnees_generations!$AJ$3:$AJ$113,Donnees_generations!$A$3:$A$113,MAX(1915,MIN(2025,E204)))))/2</f>
        <v/>
      </c>
      <c r="AI204" s="75">
        <f>(CHOOSE(((AG204+2)-56)/2+1,SUMIFS(Donnees_generations!$U$3:$U$113,Donnees_generations!$A$3:$A$113,MAX(1915,MIN(2025,E204))),SUMIFS(Donnees_generations!$V$3:$V$113,Donnees_generations!$A$3:$A$113,MAX(1915,MIN(2025,E204))),SUMIFS(Donnees_generations!$W$3:$W$113,Donnees_generations!$A$3:$A$113,MAX(1915,MIN(2025,E204))),SUMIFS(Donnees_generations!$X$3:$X$113,Donnees_generations!$A$3:$A$113,MAX(1915,MIN(2025,E204))),SUMIFS(Donnees_generations!$Y$3:$Y$113,Donnees_generations!$A$3:$A$113,MAX(1915,MIN(2025,E204))),SUMIFS(Donnees_generations!$Z$3:$Z$113,Donnees_generations!$A$3:$A$113,MAX(1915,MIN(2025,E204))),SUMIFS(Donnees_generations!$AA$3:$AA$113,Donnees_generations!$A$3:$A$113,MAX(1915,MIN(2025,E204))),SUMIFS(Donnees_generations!$AB$3:$AB$113,Donnees_generations!$A$3:$A$113,MAX(1915,MIN(2025,E204))))+CHOOSE(((AG204+2)-56)/2+1,SUMIFS(Donnees_generations!$AC$3:$AC$113,Donnees_generations!$A$3:$A$113,MAX(1915,MIN(2025,E204))),SUMIFS(Donnees_generations!$AD$3:$AD$113,Donnees_generations!$A$3:$A$113,MAX(1915,MIN(2025,E204))),SUMIFS(Donnees_generations!$AE$3:$AE$113,Donnees_generations!$A$3:$A$113,MAX(1915,MIN(2025,E204))),SUMIFS(Donnees_generations!$AF$3:$AF$113,Donnees_generations!$A$3:$A$113,MAX(1915,MIN(2025,E204))),SUMIFS(Donnees_generations!$AG$3:$AG$113,Donnees_generations!$A$3:$A$113,MAX(1915,MIN(2025,E204))),SUMIFS(Donnees_generations!$AH$3:$AH$113,Donnees_generations!$A$3:$A$113,MAX(1915,MIN(2025,E204))),SUMIFS(Donnees_generations!$AI$3:$AI$113,Donnees_generations!$A$3:$A$113,MAX(1915,MIN(2025,E204))),SUMIFS(Donnees_generations!$AJ$3:$AJ$113,Donnees_generations!$A$3:$A$113,MAX(1915,MIN(2025,E204)))))/2</f>
        <v/>
      </c>
      <c r="AJ204" s="8">
        <f>MAX(0,AH204+(AI204-AH204)*(K204-AG204)/2)</f>
        <v/>
      </c>
      <c r="AK204" s="8">
        <f>K204+AJ204</f>
        <v/>
      </c>
      <c r="AL204" s="14">
        <f>AE204*AJ204</f>
        <v/>
      </c>
      <c r="AM204" s="17">
        <f>V204/AL204</f>
        <v/>
      </c>
      <c r="AN204" s="17">
        <f>Z204/AL204</f>
        <v/>
      </c>
      <c r="AO204" s="33">
        <f>IF(V204+Z204=0,0,Z204/(V204+Z204))</f>
        <v/>
      </c>
      <c r="AP204" s="14">
        <f>AL204/V204*100</f>
        <v/>
      </c>
      <c r="AQ204" s="8">
        <f>P204/AL204*1000</f>
        <v/>
      </c>
      <c r="AR204" s="77">
        <f>MAX(N204,M204-1)</f>
        <v/>
      </c>
      <c r="AS204" s="14">
        <f>SUMIFS(Donnees_regimes!$R$3:$R$1118,Donnees_regimes!$A$3:$A$1118,C204,Donnees_regimes!$B$3:$B$1118,"&gt;="&amp;G204,Donnees_regimes!$B$3:$B$1118,"&lt;="&amp;N204)*L204/ROUNDUP(L204,0)*SUMIFS(Donnees_annuelles!$AG$3:$AG$188,Donnees_annuelles!$A$3:$A$188,AR204)*SUMIFS(Donnees_annuelles!$AA$3:$AA$188,Donnees_annuelles!$A$3:$A$188,AR204)</f>
        <v/>
      </c>
      <c r="AT204" s="36">
        <f>AS204/V204</f>
        <v/>
      </c>
      <c r="AU204" s="14">
        <f>AL204</f>
        <v/>
      </c>
      <c r="AV204" s="39">
        <f>AS204-AL204</f>
        <v/>
      </c>
      <c r="AW204" s="9">
        <f>AS204/AL204-1</f>
        <v/>
      </c>
      <c r="AX204" s="14">
        <f>AS204/AJ204/12</f>
        <v/>
      </c>
      <c r="AY204" s="14">
        <f>AF204</f>
        <v/>
      </c>
      <c r="AZ204" s="39">
        <f>AX204-AF204</f>
        <v/>
      </c>
      <c r="BA204" s="14">
        <f>SUMIFS(Donnees_regimes!$S$3:$S$1118,Donnees_regimes!$A$3:$A$1118,C204,Donnees_regimes!$B$3:$B$1118,"&gt;="&amp;G204,Donnees_regimes!$B$3:$B$1118,"&lt;="&amp;N204)*L204/ROUNDUP(L204,0)*SUMIFS(Donnees_annuelles!$AH$3:$AH$188,Donnees_annuelles!$A$3:$A$188,AR204)*SUMIFS(Donnees_annuelles!$AA$3:$AA$188,Donnees_annuelles!$A$3:$A$188,AR204)</f>
        <v/>
      </c>
      <c r="BB204" s="39">
        <f>BA204-AL204</f>
        <v/>
      </c>
      <c r="BC204" s="7">
        <f>IF(M204+AJ204&gt;2026,IF(G204&gt;2026,"entièrement projeté","en partie projeté"),"observé")</f>
        <v/>
      </c>
    </row>
    <row r="205">
      <c r="A205" s="7" t="inlineStr">
        <is>
          <t>Génération silencieuse</t>
        </is>
      </c>
      <c r="B205" s="84" t="inlineStr">
        <is>
          <t>Fonction publique territoriale et hospitalière</t>
        </is>
      </c>
      <c r="C205" s="7">
        <f>IF(G205&gt;=SUMIFS(Regimes!$C$5:$C$10,Regimes!$A$5:$A$10,B205),"Privé",B205)</f>
        <v/>
      </c>
      <c r="D205" s="7">
        <f>INDEX(Regimes!$D$5:$D$10,MATCH(C205,Regimes!$A$5:$A$10,0))</f>
        <v/>
      </c>
      <c r="E205" s="88" t="n">
        <v>1934</v>
      </c>
      <c r="F205" s="8">
        <f>Donnees_generations!C22</f>
        <v/>
      </c>
      <c r="G205" s="77">
        <f>Donnees_generations!D22</f>
        <v/>
      </c>
      <c r="H205" s="8">
        <f>SUMIFS(Donnees_generations!$S$3:$S$113,Donnees_generations!$A$3:$A$113,MAX(1915,MIN(2025,E205)))</f>
        <v/>
      </c>
      <c r="I205" s="8">
        <f>SUMIFS(Donnees_generations!$T$3:$T$113,Donnees_generations!$A$3:$A$113,MAX(1915,MIN(2025,E205)))</f>
        <v/>
      </c>
      <c r="J205" s="8">
        <f>IF(G205&gt;=2000,MAX(I205,Parametres!$B$3),I205)</f>
        <v/>
      </c>
      <c r="K205" s="8">
        <f>IF(C205="Privé",J205,SUMIFS(Regles_regimes!$J$3:$J$2000,Regles_regimes!$A$3:$A$2000,C205,Regles_regimes!$B$3:$B$2000,D205,Regles_regimes!$C$3:$C$2000,MAX(1915,MIN(2025,E205))))</f>
        <v/>
      </c>
      <c r="L205" s="8">
        <f>IF(C205="Privé",H205,(K205-F205)*H205/(J205-F205))</f>
        <v/>
      </c>
      <c r="M205" s="77">
        <f>INT(E205+K205)</f>
        <v/>
      </c>
      <c r="N205" s="77">
        <f>G205+ROUNDUP(L205,0)-1</f>
        <v/>
      </c>
      <c r="O205" s="89">
        <f>SUMIFS(Regles_regimes!$K$3:$K$2000,Regles_regimes!$A$3:$A$2000,C205,Regles_regimes!$B$3:$B$2000,D205,Regles_regimes!$C$3:$C$2000,MAX(1915,MIN(2025,E205)))</f>
        <v/>
      </c>
      <c r="P205" s="13">
        <f>SUMIFS(Donnees_annuelles!$W$3:$W$188,Donnees_annuelles!$A$3:$A$188,"&gt;="&amp;G205,Donnees_annuelles!$A$3:$A$188,"&lt;="&amp;N205)*L205/ROUNDUP(L205,0)*O205</f>
        <v/>
      </c>
      <c r="Q205" s="13">
        <f>SUMIFS(Donnees_annuelles!$V$3:$V$188,Donnees_annuelles!$A$3:$A$188,"&gt;="&amp;G205,Donnees_annuelles!$A$3:$A$188,"&lt;="&amp;N205)*L205/ROUNDUP(L205,0)</f>
        <v/>
      </c>
      <c r="R205" s="13">
        <f>P205/L205</f>
        <v/>
      </c>
      <c r="S205" s="14">
        <f>SUMIFS(Donnees_annuelles!$D$3:$D$188,Donnees_annuelles!$A$3:$A$188,"&gt;="&amp;G205,Donnees_annuelles!$A$3:$A$188,"&lt;="&amp;N205)*L205/ROUNDUP(L205,0)</f>
        <v/>
      </c>
      <c r="T205" s="14">
        <f>SUMIFS(Donnees_regimes!$N$3:$N$1118,Donnees_regimes!$A$3:$A$1118,C205,Donnees_regimes!$B$3:$B$1118,"&gt;="&amp;G205,Donnees_regimes!$B$3:$B$1118,"&lt;="&amp;N205)*L205/ROUNDUP(L205,0)</f>
        <v/>
      </c>
      <c r="U205" s="14">
        <f>SUMIFS(Donnees_regimes!$O$3:$O$1118,Donnees_regimes!$A$3:$A$1118,C205,Donnees_regimes!$B$3:$B$1118,"&gt;="&amp;G205,Donnees_regimes!$B$3:$B$1118,"&lt;="&amp;N205)*L205/ROUNDUP(L205,0)</f>
        <v/>
      </c>
      <c r="V205" s="14">
        <f>T205+U205</f>
        <v/>
      </c>
      <c r="W205" s="33">
        <f>V205/S205</f>
        <v/>
      </c>
      <c r="X205" s="14">
        <f>S205+U205</f>
        <v/>
      </c>
      <c r="Y205" s="17">
        <f>V205/P205</f>
        <v/>
      </c>
      <c r="Z205" s="14">
        <f>SUMIFS(Donnees_regimes!$Q$3:$Q$1118,Donnees_regimes!$A$3:$A$1118,C205,Donnees_regimes!$B$3:$B$1118,"&gt;="&amp;G205,Donnees_regimes!$B$3:$B$1118,"&lt;="&amp;N205)*L205/ROUNDUP(L205,0)</f>
        <v/>
      </c>
      <c r="AA205" s="77">
        <f>SUMIFS(Regles_regimes!$F$3:$F$2000,Regles_regimes!$A$3:$A$2000,C205,Regles_regimes!$B$3:$B$2000,D205,Regles_regimes!$C$3:$C$2000,MAX(1915,MIN(2025,E205)))</f>
        <v/>
      </c>
      <c r="AB205" s="77">
        <f>IF(AND(SUMIFS(Regles_regimes!$L$3:$L$2000,Regles_regimes!$A$3:$A$2000,C205,Regles_regimes!$B$3:$B$2000,D205,Regles_regimes!$C$3:$C$2000,MAX(1915,MIN(2025,E205)))=1,G205&lt;2009,C205&lt;&gt;"Privé"),MIN(20,L205*4/5),0)</f>
        <v/>
      </c>
      <c r="AC205" s="89">
        <f>SUMIFS(Donnees_regimes!$M$3:$M$1118,Donnees_regimes!$A$3:$A$1118,C205,Donnees_regimes!$B$3:$B$1118,M205)</f>
        <v/>
      </c>
      <c r="AD205" s="14">
        <f>SUMIFS(Donnees_annuelles!$Y$3:$Y$188,Donnees_annuelles!$A$3:$A$188,M205)*SUMIFS(Donnees_generations!$I$3:$I$113,Donnees_generations!$A$3:$A$113,MAX(1915,MIN(2025,E205)))/H205</f>
        <v/>
      </c>
      <c r="AE205" s="14">
        <f>IF(C205="Privé",SUMIFS(Donnees_annuelles!$Y$3:$Y$188,Donnees_annuelles!$A$3:$A$188,M205)*MIN(L205,SUMIFS(Donnees_generations!$I$3:$I$113,Donnees_generations!$A$3:$A$113,MAX(1915,MIN(2025,E205))))/L205,AD205*AC205*MIN(IF(AB205&gt;0,0.8/0.75,1),(L205*4+AB205)/AA205))</f>
        <v/>
      </c>
      <c r="AF205" s="14">
        <f>AE205/12</f>
        <v/>
      </c>
      <c r="AG205" s="77">
        <f>MIN(68,MAX(56,2*INT(K205/2)))</f>
        <v/>
      </c>
      <c r="AH205" s="75">
        <f>(CHOOSE((AG205-56)/2+1,SUMIFS(Donnees_generations!$U$3:$U$113,Donnees_generations!$A$3:$A$113,MAX(1915,MIN(2025,E205))),SUMIFS(Donnees_generations!$V$3:$V$113,Donnees_generations!$A$3:$A$113,MAX(1915,MIN(2025,E205))),SUMIFS(Donnees_generations!$W$3:$W$113,Donnees_generations!$A$3:$A$113,MAX(1915,MIN(2025,E205))),SUMIFS(Donnees_generations!$X$3:$X$113,Donnees_generations!$A$3:$A$113,MAX(1915,MIN(2025,E205))),SUMIFS(Donnees_generations!$Y$3:$Y$113,Donnees_generations!$A$3:$A$113,MAX(1915,MIN(2025,E205))),SUMIFS(Donnees_generations!$Z$3:$Z$113,Donnees_generations!$A$3:$A$113,MAX(1915,MIN(2025,E205))),SUMIFS(Donnees_generations!$AA$3:$AA$113,Donnees_generations!$A$3:$A$113,MAX(1915,MIN(2025,E205))),SUMIFS(Donnees_generations!$AB$3:$AB$113,Donnees_generations!$A$3:$A$113,MAX(1915,MIN(2025,E205))))+CHOOSE((AG205-56)/2+1,SUMIFS(Donnees_generations!$AC$3:$AC$113,Donnees_generations!$A$3:$A$113,MAX(1915,MIN(2025,E205))),SUMIFS(Donnees_generations!$AD$3:$AD$113,Donnees_generations!$A$3:$A$113,MAX(1915,MIN(2025,E205))),SUMIFS(Donnees_generations!$AE$3:$AE$113,Donnees_generations!$A$3:$A$113,MAX(1915,MIN(2025,E205))),SUMIFS(Donnees_generations!$AF$3:$AF$113,Donnees_generations!$A$3:$A$113,MAX(1915,MIN(2025,E205))),SUMIFS(Donnees_generations!$AG$3:$AG$113,Donnees_generations!$A$3:$A$113,MAX(1915,MIN(2025,E205))),SUMIFS(Donnees_generations!$AH$3:$AH$113,Donnees_generations!$A$3:$A$113,MAX(1915,MIN(2025,E205))),SUMIFS(Donnees_generations!$AI$3:$AI$113,Donnees_generations!$A$3:$A$113,MAX(1915,MIN(2025,E205))),SUMIFS(Donnees_generations!$AJ$3:$AJ$113,Donnees_generations!$A$3:$A$113,MAX(1915,MIN(2025,E205)))))/2</f>
        <v/>
      </c>
      <c r="AI205" s="75">
        <f>(CHOOSE(((AG205+2)-56)/2+1,SUMIFS(Donnees_generations!$U$3:$U$113,Donnees_generations!$A$3:$A$113,MAX(1915,MIN(2025,E205))),SUMIFS(Donnees_generations!$V$3:$V$113,Donnees_generations!$A$3:$A$113,MAX(1915,MIN(2025,E205))),SUMIFS(Donnees_generations!$W$3:$W$113,Donnees_generations!$A$3:$A$113,MAX(1915,MIN(2025,E205))),SUMIFS(Donnees_generations!$X$3:$X$113,Donnees_generations!$A$3:$A$113,MAX(1915,MIN(2025,E205))),SUMIFS(Donnees_generations!$Y$3:$Y$113,Donnees_generations!$A$3:$A$113,MAX(1915,MIN(2025,E205))),SUMIFS(Donnees_generations!$Z$3:$Z$113,Donnees_generations!$A$3:$A$113,MAX(1915,MIN(2025,E205))),SUMIFS(Donnees_generations!$AA$3:$AA$113,Donnees_generations!$A$3:$A$113,MAX(1915,MIN(2025,E205))),SUMIFS(Donnees_generations!$AB$3:$AB$113,Donnees_generations!$A$3:$A$113,MAX(1915,MIN(2025,E205))))+CHOOSE(((AG205+2)-56)/2+1,SUMIFS(Donnees_generations!$AC$3:$AC$113,Donnees_generations!$A$3:$A$113,MAX(1915,MIN(2025,E205))),SUMIFS(Donnees_generations!$AD$3:$AD$113,Donnees_generations!$A$3:$A$113,MAX(1915,MIN(2025,E205))),SUMIFS(Donnees_generations!$AE$3:$AE$113,Donnees_generations!$A$3:$A$113,MAX(1915,MIN(2025,E205))),SUMIFS(Donnees_generations!$AF$3:$AF$113,Donnees_generations!$A$3:$A$113,MAX(1915,MIN(2025,E205))),SUMIFS(Donnees_generations!$AG$3:$AG$113,Donnees_generations!$A$3:$A$113,MAX(1915,MIN(2025,E205))),SUMIFS(Donnees_generations!$AH$3:$AH$113,Donnees_generations!$A$3:$A$113,MAX(1915,MIN(2025,E205))),SUMIFS(Donnees_generations!$AI$3:$AI$113,Donnees_generations!$A$3:$A$113,MAX(1915,MIN(2025,E205))),SUMIFS(Donnees_generations!$AJ$3:$AJ$113,Donnees_generations!$A$3:$A$113,MAX(1915,MIN(2025,E205)))))/2</f>
        <v/>
      </c>
      <c r="AJ205" s="8">
        <f>MAX(0,AH205+(AI205-AH205)*(K205-AG205)/2)</f>
        <v/>
      </c>
      <c r="AK205" s="8">
        <f>K205+AJ205</f>
        <v/>
      </c>
      <c r="AL205" s="14">
        <f>AE205*AJ205</f>
        <v/>
      </c>
      <c r="AM205" s="17">
        <f>V205/AL205</f>
        <v/>
      </c>
      <c r="AN205" s="17">
        <f>Z205/AL205</f>
        <v/>
      </c>
      <c r="AO205" s="33">
        <f>IF(V205+Z205=0,0,Z205/(V205+Z205))</f>
        <v/>
      </c>
      <c r="AP205" s="14">
        <f>AL205/V205*100</f>
        <v/>
      </c>
      <c r="AQ205" s="8">
        <f>P205/AL205*1000</f>
        <v/>
      </c>
      <c r="AR205" s="77">
        <f>MAX(N205,M205-1)</f>
        <v/>
      </c>
      <c r="AS205" s="14">
        <f>SUMIFS(Donnees_regimes!$R$3:$R$1118,Donnees_regimes!$A$3:$A$1118,C205,Donnees_regimes!$B$3:$B$1118,"&gt;="&amp;G205,Donnees_regimes!$B$3:$B$1118,"&lt;="&amp;N205)*L205/ROUNDUP(L205,0)*SUMIFS(Donnees_annuelles!$AG$3:$AG$188,Donnees_annuelles!$A$3:$A$188,AR205)*SUMIFS(Donnees_annuelles!$AA$3:$AA$188,Donnees_annuelles!$A$3:$A$188,AR205)</f>
        <v/>
      </c>
      <c r="AT205" s="36">
        <f>AS205/V205</f>
        <v/>
      </c>
      <c r="AU205" s="14">
        <f>AL205</f>
        <v/>
      </c>
      <c r="AV205" s="39">
        <f>AS205-AL205</f>
        <v/>
      </c>
      <c r="AW205" s="9">
        <f>AS205/AL205-1</f>
        <v/>
      </c>
      <c r="AX205" s="14">
        <f>AS205/AJ205/12</f>
        <v/>
      </c>
      <c r="AY205" s="14">
        <f>AF205</f>
        <v/>
      </c>
      <c r="AZ205" s="39">
        <f>AX205-AF205</f>
        <v/>
      </c>
      <c r="BA205" s="14">
        <f>SUMIFS(Donnees_regimes!$S$3:$S$1118,Donnees_regimes!$A$3:$A$1118,C205,Donnees_regimes!$B$3:$B$1118,"&gt;="&amp;G205,Donnees_regimes!$B$3:$B$1118,"&lt;="&amp;N205)*L205/ROUNDUP(L205,0)*SUMIFS(Donnees_annuelles!$AH$3:$AH$188,Donnees_annuelles!$A$3:$A$188,AR205)*SUMIFS(Donnees_annuelles!$AA$3:$AA$188,Donnees_annuelles!$A$3:$A$188,AR205)</f>
        <v/>
      </c>
      <c r="BB205" s="39">
        <f>BA205-AL205</f>
        <v/>
      </c>
      <c r="BC205" s="7">
        <f>IF(M205+AJ205&gt;2026,IF(G205&gt;2026,"entièrement projeté","en partie projeté"),"observé")</f>
        <v/>
      </c>
    </row>
    <row r="206">
      <c r="A206" s="7" t="inlineStr">
        <is>
          <t>Génération silencieuse</t>
        </is>
      </c>
      <c r="B206" s="84" t="inlineStr">
        <is>
          <t>Fonction publique territoriale et hospitalière</t>
        </is>
      </c>
      <c r="C206" s="7">
        <f>IF(G206&gt;=SUMIFS(Regimes!$C$5:$C$10,Regimes!$A$5:$A$10,B206),"Privé",B206)</f>
        <v/>
      </c>
      <c r="D206" s="7">
        <f>INDEX(Regimes!$D$5:$D$10,MATCH(C206,Regimes!$A$5:$A$10,0))</f>
        <v/>
      </c>
      <c r="E206" s="88" t="n">
        <v>1935</v>
      </c>
      <c r="F206" s="8">
        <f>Donnees_generations!C23</f>
        <v/>
      </c>
      <c r="G206" s="77">
        <f>Donnees_generations!D23</f>
        <v/>
      </c>
      <c r="H206" s="8">
        <f>SUMIFS(Donnees_generations!$S$3:$S$113,Donnees_generations!$A$3:$A$113,MAX(1915,MIN(2025,E206)))</f>
        <v/>
      </c>
      <c r="I206" s="8">
        <f>SUMIFS(Donnees_generations!$T$3:$T$113,Donnees_generations!$A$3:$A$113,MAX(1915,MIN(2025,E206)))</f>
        <v/>
      </c>
      <c r="J206" s="8">
        <f>IF(G206&gt;=2000,MAX(I206,Parametres!$B$3),I206)</f>
        <v/>
      </c>
      <c r="K206" s="8">
        <f>IF(C206="Privé",J206,SUMIFS(Regles_regimes!$J$3:$J$2000,Regles_regimes!$A$3:$A$2000,C206,Regles_regimes!$B$3:$B$2000,D206,Regles_regimes!$C$3:$C$2000,MAX(1915,MIN(2025,E206))))</f>
        <v/>
      </c>
      <c r="L206" s="8">
        <f>IF(C206="Privé",H206,(K206-F206)*H206/(J206-F206))</f>
        <v/>
      </c>
      <c r="M206" s="77">
        <f>INT(E206+K206)</f>
        <v/>
      </c>
      <c r="N206" s="77">
        <f>G206+ROUNDUP(L206,0)-1</f>
        <v/>
      </c>
      <c r="O206" s="89">
        <f>SUMIFS(Regles_regimes!$K$3:$K$2000,Regles_regimes!$A$3:$A$2000,C206,Regles_regimes!$B$3:$B$2000,D206,Regles_regimes!$C$3:$C$2000,MAX(1915,MIN(2025,E206)))</f>
        <v/>
      </c>
      <c r="P206" s="13">
        <f>SUMIFS(Donnees_annuelles!$W$3:$W$188,Donnees_annuelles!$A$3:$A$188,"&gt;="&amp;G206,Donnees_annuelles!$A$3:$A$188,"&lt;="&amp;N206)*L206/ROUNDUP(L206,0)*O206</f>
        <v/>
      </c>
      <c r="Q206" s="13">
        <f>SUMIFS(Donnees_annuelles!$V$3:$V$188,Donnees_annuelles!$A$3:$A$188,"&gt;="&amp;G206,Donnees_annuelles!$A$3:$A$188,"&lt;="&amp;N206)*L206/ROUNDUP(L206,0)</f>
        <v/>
      </c>
      <c r="R206" s="13">
        <f>P206/L206</f>
        <v/>
      </c>
      <c r="S206" s="14">
        <f>SUMIFS(Donnees_annuelles!$D$3:$D$188,Donnees_annuelles!$A$3:$A$188,"&gt;="&amp;G206,Donnees_annuelles!$A$3:$A$188,"&lt;="&amp;N206)*L206/ROUNDUP(L206,0)</f>
        <v/>
      </c>
      <c r="T206" s="14">
        <f>SUMIFS(Donnees_regimes!$N$3:$N$1118,Donnees_regimes!$A$3:$A$1118,C206,Donnees_regimes!$B$3:$B$1118,"&gt;="&amp;G206,Donnees_regimes!$B$3:$B$1118,"&lt;="&amp;N206)*L206/ROUNDUP(L206,0)</f>
        <v/>
      </c>
      <c r="U206" s="14">
        <f>SUMIFS(Donnees_regimes!$O$3:$O$1118,Donnees_regimes!$A$3:$A$1118,C206,Donnees_regimes!$B$3:$B$1118,"&gt;="&amp;G206,Donnees_regimes!$B$3:$B$1118,"&lt;="&amp;N206)*L206/ROUNDUP(L206,0)</f>
        <v/>
      </c>
      <c r="V206" s="14">
        <f>T206+U206</f>
        <v/>
      </c>
      <c r="W206" s="33">
        <f>V206/S206</f>
        <v/>
      </c>
      <c r="X206" s="14">
        <f>S206+U206</f>
        <v/>
      </c>
      <c r="Y206" s="17">
        <f>V206/P206</f>
        <v/>
      </c>
      <c r="Z206" s="14">
        <f>SUMIFS(Donnees_regimes!$Q$3:$Q$1118,Donnees_regimes!$A$3:$A$1118,C206,Donnees_regimes!$B$3:$B$1118,"&gt;="&amp;G206,Donnees_regimes!$B$3:$B$1118,"&lt;="&amp;N206)*L206/ROUNDUP(L206,0)</f>
        <v/>
      </c>
      <c r="AA206" s="77">
        <f>SUMIFS(Regles_regimes!$F$3:$F$2000,Regles_regimes!$A$3:$A$2000,C206,Regles_regimes!$B$3:$B$2000,D206,Regles_regimes!$C$3:$C$2000,MAX(1915,MIN(2025,E206)))</f>
        <v/>
      </c>
      <c r="AB206" s="77">
        <f>IF(AND(SUMIFS(Regles_regimes!$L$3:$L$2000,Regles_regimes!$A$3:$A$2000,C206,Regles_regimes!$B$3:$B$2000,D206,Regles_regimes!$C$3:$C$2000,MAX(1915,MIN(2025,E206)))=1,G206&lt;2009,C206&lt;&gt;"Privé"),MIN(20,L206*4/5),0)</f>
        <v/>
      </c>
      <c r="AC206" s="89">
        <f>SUMIFS(Donnees_regimes!$M$3:$M$1118,Donnees_regimes!$A$3:$A$1118,C206,Donnees_regimes!$B$3:$B$1118,M206)</f>
        <v/>
      </c>
      <c r="AD206" s="14">
        <f>SUMIFS(Donnees_annuelles!$Y$3:$Y$188,Donnees_annuelles!$A$3:$A$188,M206)*SUMIFS(Donnees_generations!$I$3:$I$113,Donnees_generations!$A$3:$A$113,MAX(1915,MIN(2025,E206)))/H206</f>
        <v/>
      </c>
      <c r="AE206" s="14">
        <f>IF(C206="Privé",SUMIFS(Donnees_annuelles!$Y$3:$Y$188,Donnees_annuelles!$A$3:$A$188,M206)*MIN(L206,SUMIFS(Donnees_generations!$I$3:$I$113,Donnees_generations!$A$3:$A$113,MAX(1915,MIN(2025,E206))))/L206,AD206*AC206*MIN(IF(AB206&gt;0,0.8/0.75,1),(L206*4+AB206)/AA206))</f>
        <v/>
      </c>
      <c r="AF206" s="14">
        <f>AE206/12</f>
        <v/>
      </c>
      <c r="AG206" s="77">
        <f>MIN(68,MAX(56,2*INT(K206/2)))</f>
        <v/>
      </c>
      <c r="AH206" s="75">
        <f>(CHOOSE((AG206-56)/2+1,SUMIFS(Donnees_generations!$U$3:$U$113,Donnees_generations!$A$3:$A$113,MAX(1915,MIN(2025,E206))),SUMIFS(Donnees_generations!$V$3:$V$113,Donnees_generations!$A$3:$A$113,MAX(1915,MIN(2025,E206))),SUMIFS(Donnees_generations!$W$3:$W$113,Donnees_generations!$A$3:$A$113,MAX(1915,MIN(2025,E206))),SUMIFS(Donnees_generations!$X$3:$X$113,Donnees_generations!$A$3:$A$113,MAX(1915,MIN(2025,E206))),SUMIFS(Donnees_generations!$Y$3:$Y$113,Donnees_generations!$A$3:$A$113,MAX(1915,MIN(2025,E206))),SUMIFS(Donnees_generations!$Z$3:$Z$113,Donnees_generations!$A$3:$A$113,MAX(1915,MIN(2025,E206))),SUMIFS(Donnees_generations!$AA$3:$AA$113,Donnees_generations!$A$3:$A$113,MAX(1915,MIN(2025,E206))),SUMIFS(Donnees_generations!$AB$3:$AB$113,Donnees_generations!$A$3:$A$113,MAX(1915,MIN(2025,E206))))+CHOOSE((AG206-56)/2+1,SUMIFS(Donnees_generations!$AC$3:$AC$113,Donnees_generations!$A$3:$A$113,MAX(1915,MIN(2025,E206))),SUMIFS(Donnees_generations!$AD$3:$AD$113,Donnees_generations!$A$3:$A$113,MAX(1915,MIN(2025,E206))),SUMIFS(Donnees_generations!$AE$3:$AE$113,Donnees_generations!$A$3:$A$113,MAX(1915,MIN(2025,E206))),SUMIFS(Donnees_generations!$AF$3:$AF$113,Donnees_generations!$A$3:$A$113,MAX(1915,MIN(2025,E206))),SUMIFS(Donnees_generations!$AG$3:$AG$113,Donnees_generations!$A$3:$A$113,MAX(1915,MIN(2025,E206))),SUMIFS(Donnees_generations!$AH$3:$AH$113,Donnees_generations!$A$3:$A$113,MAX(1915,MIN(2025,E206))),SUMIFS(Donnees_generations!$AI$3:$AI$113,Donnees_generations!$A$3:$A$113,MAX(1915,MIN(2025,E206))),SUMIFS(Donnees_generations!$AJ$3:$AJ$113,Donnees_generations!$A$3:$A$113,MAX(1915,MIN(2025,E206)))))/2</f>
        <v/>
      </c>
      <c r="AI206" s="75">
        <f>(CHOOSE(((AG206+2)-56)/2+1,SUMIFS(Donnees_generations!$U$3:$U$113,Donnees_generations!$A$3:$A$113,MAX(1915,MIN(2025,E206))),SUMIFS(Donnees_generations!$V$3:$V$113,Donnees_generations!$A$3:$A$113,MAX(1915,MIN(2025,E206))),SUMIFS(Donnees_generations!$W$3:$W$113,Donnees_generations!$A$3:$A$113,MAX(1915,MIN(2025,E206))),SUMIFS(Donnees_generations!$X$3:$X$113,Donnees_generations!$A$3:$A$113,MAX(1915,MIN(2025,E206))),SUMIFS(Donnees_generations!$Y$3:$Y$113,Donnees_generations!$A$3:$A$113,MAX(1915,MIN(2025,E206))),SUMIFS(Donnees_generations!$Z$3:$Z$113,Donnees_generations!$A$3:$A$113,MAX(1915,MIN(2025,E206))),SUMIFS(Donnees_generations!$AA$3:$AA$113,Donnees_generations!$A$3:$A$113,MAX(1915,MIN(2025,E206))),SUMIFS(Donnees_generations!$AB$3:$AB$113,Donnees_generations!$A$3:$A$113,MAX(1915,MIN(2025,E206))))+CHOOSE(((AG206+2)-56)/2+1,SUMIFS(Donnees_generations!$AC$3:$AC$113,Donnees_generations!$A$3:$A$113,MAX(1915,MIN(2025,E206))),SUMIFS(Donnees_generations!$AD$3:$AD$113,Donnees_generations!$A$3:$A$113,MAX(1915,MIN(2025,E206))),SUMIFS(Donnees_generations!$AE$3:$AE$113,Donnees_generations!$A$3:$A$113,MAX(1915,MIN(2025,E206))),SUMIFS(Donnees_generations!$AF$3:$AF$113,Donnees_generations!$A$3:$A$113,MAX(1915,MIN(2025,E206))),SUMIFS(Donnees_generations!$AG$3:$AG$113,Donnees_generations!$A$3:$A$113,MAX(1915,MIN(2025,E206))),SUMIFS(Donnees_generations!$AH$3:$AH$113,Donnees_generations!$A$3:$A$113,MAX(1915,MIN(2025,E206))),SUMIFS(Donnees_generations!$AI$3:$AI$113,Donnees_generations!$A$3:$A$113,MAX(1915,MIN(2025,E206))),SUMIFS(Donnees_generations!$AJ$3:$AJ$113,Donnees_generations!$A$3:$A$113,MAX(1915,MIN(2025,E206)))))/2</f>
        <v/>
      </c>
      <c r="AJ206" s="8">
        <f>MAX(0,AH206+(AI206-AH206)*(K206-AG206)/2)</f>
        <v/>
      </c>
      <c r="AK206" s="8">
        <f>K206+AJ206</f>
        <v/>
      </c>
      <c r="AL206" s="14">
        <f>AE206*AJ206</f>
        <v/>
      </c>
      <c r="AM206" s="17">
        <f>V206/AL206</f>
        <v/>
      </c>
      <c r="AN206" s="17">
        <f>Z206/AL206</f>
        <v/>
      </c>
      <c r="AO206" s="33">
        <f>IF(V206+Z206=0,0,Z206/(V206+Z206))</f>
        <v/>
      </c>
      <c r="AP206" s="14">
        <f>AL206/V206*100</f>
        <v/>
      </c>
      <c r="AQ206" s="8">
        <f>P206/AL206*1000</f>
        <v/>
      </c>
      <c r="AR206" s="77">
        <f>MAX(N206,M206-1)</f>
        <v/>
      </c>
      <c r="AS206" s="14">
        <f>SUMIFS(Donnees_regimes!$R$3:$R$1118,Donnees_regimes!$A$3:$A$1118,C206,Donnees_regimes!$B$3:$B$1118,"&gt;="&amp;G206,Donnees_regimes!$B$3:$B$1118,"&lt;="&amp;N206)*L206/ROUNDUP(L206,0)*SUMIFS(Donnees_annuelles!$AG$3:$AG$188,Donnees_annuelles!$A$3:$A$188,AR206)*SUMIFS(Donnees_annuelles!$AA$3:$AA$188,Donnees_annuelles!$A$3:$A$188,AR206)</f>
        <v/>
      </c>
      <c r="AT206" s="36">
        <f>AS206/V206</f>
        <v/>
      </c>
      <c r="AU206" s="14">
        <f>AL206</f>
        <v/>
      </c>
      <c r="AV206" s="39">
        <f>AS206-AL206</f>
        <v/>
      </c>
      <c r="AW206" s="9">
        <f>AS206/AL206-1</f>
        <v/>
      </c>
      <c r="AX206" s="14">
        <f>AS206/AJ206/12</f>
        <v/>
      </c>
      <c r="AY206" s="14">
        <f>AF206</f>
        <v/>
      </c>
      <c r="AZ206" s="39">
        <f>AX206-AF206</f>
        <v/>
      </c>
      <c r="BA206" s="14">
        <f>SUMIFS(Donnees_regimes!$S$3:$S$1118,Donnees_regimes!$A$3:$A$1118,C206,Donnees_regimes!$B$3:$B$1118,"&gt;="&amp;G206,Donnees_regimes!$B$3:$B$1118,"&lt;="&amp;N206)*L206/ROUNDUP(L206,0)*SUMIFS(Donnees_annuelles!$AH$3:$AH$188,Donnees_annuelles!$A$3:$A$188,AR206)*SUMIFS(Donnees_annuelles!$AA$3:$AA$188,Donnees_annuelles!$A$3:$A$188,AR206)</f>
        <v/>
      </c>
      <c r="BB206" s="39">
        <f>BA206-AL206</f>
        <v/>
      </c>
      <c r="BC206" s="7">
        <f>IF(M206+AJ206&gt;2026,IF(G206&gt;2026,"entièrement projeté","en partie projeté"),"observé")</f>
        <v/>
      </c>
    </row>
    <row r="207">
      <c r="A207" s="7" t="inlineStr">
        <is>
          <t>Génération silencieuse</t>
        </is>
      </c>
      <c r="B207" s="84" t="inlineStr">
        <is>
          <t>Fonction publique territoriale et hospitalière</t>
        </is>
      </c>
      <c r="C207" s="7">
        <f>IF(G207&gt;=SUMIFS(Regimes!$C$5:$C$10,Regimes!$A$5:$A$10,B207),"Privé",B207)</f>
        <v/>
      </c>
      <c r="D207" s="7">
        <f>INDEX(Regimes!$D$5:$D$10,MATCH(C207,Regimes!$A$5:$A$10,0))</f>
        <v/>
      </c>
      <c r="E207" s="88" t="n">
        <v>1936</v>
      </c>
      <c r="F207" s="8">
        <f>Donnees_generations!C24</f>
        <v/>
      </c>
      <c r="G207" s="77">
        <f>Donnees_generations!D24</f>
        <v/>
      </c>
      <c r="H207" s="8">
        <f>SUMIFS(Donnees_generations!$S$3:$S$113,Donnees_generations!$A$3:$A$113,MAX(1915,MIN(2025,E207)))</f>
        <v/>
      </c>
      <c r="I207" s="8">
        <f>SUMIFS(Donnees_generations!$T$3:$T$113,Donnees_generations!$A$3:$A$113,MAX(1915,MIN(2025,E207)))</f>
        <v/>
      </c>
      <c r="J207" s="8">
        <f>IF(G207&gt;=2000,MAX(I207,Parametres!$B$3),I207)</f>
        <v/>
      </c>
      <c r="K207" s="8">
        <f>IF(C207="Privé",J207,SUMIFS(Regles_regimes!$J$3:$J$2000,Regles_regimes!$A$3:$A$2000,C207,Regles_regimes!$B$3:$B$2000,D207,Regles_regimes!$C$3:$C$2000,MAX(1915,MIN(2025,E207))))</f>
        <v/>
      </c>
      <c r="L207" s="8">
        <f>IF(C207="Privé",H207,(K207-F207)*H207/(J207-F207))</f>
        <v/>
      </c>
      <c r="M207" s="77">
        <f>INT(E207+K207)</f>
        <v/>
      </c>
      <c r="N207" s="77">
        <f>G207+ROUNDUP(L207,0)-1</f>
        <v/>
      </c>
      <c r="O207" s="89">
        <f>SUMIFS(Regles_regimes!$K$3:$K$2000,Regles_regimes!$A$3:$A$2000,C207,Regles_regimes!$B$3:$B$2000,D207,Regles_regimes!$C$3:$C$2000,MAX(1915,MIN(2025,E207)))</f>
        <v/>
      </c>
      <c r="P207" s="13">
        <f>SUMIFS(Donnees_annuelles!$W$3:$W$188,Donnees_annuelles!$A$3:$A$188,"&gt;="&amp;G207,Donnees_annuelles!$A$3:$A$188,"&lt;="&amp;N207)*L207/ROUNDUP(L207,0)*O207</f>
        <v/>
      </c>
      <c r="Q207" s="13">
        <f>SUMIFS(Donnees_annuelles!$V$3:$V$188,Donnees_annuelles!$A$3:$A$188,"&gt;="&amp;G207,Donnees_annuelles!$A$3:$A$188,"&lt;="&amp;N207)*L207/ROUNDUP(L207,0)</f>
        <v/>
      </c>
      <c r="R207" s="13">
        <f>P207/L207</f>
        <v/>
      </c>
      <c r="S207" s="14">
        <f>SUMIFS(Donnees_annuelles!$D$3:$D$188,Donnees_annuelles!$A$3:$A$188,"&gt;="&amp;G207,Donnees_annuelles!$A$3:$A$188,"&lt;="&amp;N207)*L207/ROUNDUP(L207,0)</f>
        <v/>
      </c>
      <c r="T207" s="14">
        <f>SUMIFS(Donnees_regimes!$N$3:$N$1118,Donnees_regimes!$A$3:$A$1118,C207,Donnees_regimes!$B$3:$B$1118,"&gt;="&amp;G207,Donnees_regimes!$B$3:$B$1118,"&lt;="&amp;N207)*L207/ROUNDUP(L207,0)</f>
        <v/>
      </c>
      <c r="U207" s="14">
        <f>SUMIFS(Donnees_regimes!$O$3:$O$1118,Donnees_regimes!$A$3:$A$1118,C207,Donnees_regimes!$B$3:$B$1118,"&gt;="&amp;G207,Donnees_regimes!$B$3:$B$1118,"&lt;="&amp;N207)*L207/ROUNDUP(L207,0)</f>
        <v/>
      </c>
      <c r="V207" s="14">
        <f>T207+U207</f>
        <v/>
      </c>
      <c r="W207" s="33">
        <f>V207/S207</f>
        <v/>
      </c>
      <c r="X207" s="14">
        <f>S207+U207</f>
        <v/>
      </c>
      <c r="Y207" s="17">
        <f>V207/P207</f>
        <v/>
      </c>
      <c r="Z207" s="14">
        <f>SUMIFS(Donnees_regimes!$Q$3:$Q$1118,Donnees_regimes!$A$3:$A$1118,C207,Donnees_regimes!$B$3:$B$1118,"&gt;="&amp;G207,Donnees_regimes!$B$3:$B$1118,"&lt;="&amp;N207)*L207/ROUNDUP(L207,0)</f>
        <v/>
      </c>
      <c r="AA207" s="77">
        <f>SUMIFS(Regles_regimes!$F$3:$F$2000,Regles_regimes!$A$3:$A$2000,C207,Regles_regimes!$B$3:$B$2000,D207,Regles_regimes!$C$3:$C$2000,MAX(1915,MIN(2025,E207)))</f>
        <v/>
      </c>
      <c r="AB207" s="77">
        <f>IF(AND(SUMIFS(Regles_regimes!$L$3:$L$2000,Regles_regimes!$A$3:$A$2000,C207,Regles_regimes!$B$3:$B$2000,D207,Regles_regimes!$C$3:$C$2000,MAX(1915,MIN(2025,E207)))=1,G207&lt;2009,C207&lt;&gt;"Privé"),MIN(20,L207*4/5),0)</f>
        <v/>
      </c>
      <c r="AC207" s="89">
        <f>SUMIFS(Donnees_regimes!$M$3:$M$1118,Donnees_regimes!$A$3:$A$1118,C207,Donnees_regimes!$B$3:$B$1118,M207)</f>
        <v/>
      </c>
      <c r="AD207" s="14">
        <f>SUMIFS(Donnees_annuelles!$Y$3:$Y$188,Donnees_annuelles!$A$3:$A$188,M207)*SUMIFS(Donnees_generations!$I$3:$I$113,Donnees_generations!$A$3:$A$113,MAX(1915,MIN(2025,E207)))/H207</f>
        <v/>
      </c>
      <c r="AE207" s="14">
        <f>IF(C207="Privé",SUMIFS(Donnees_annuelles!$Y$3:$Y$188,Donnees_annuelles!$A$3:$A$188,M207)*MIN(L207,SUMIFS(Donnees_generations!$I$3:$I$113,Donnees_generations!$A$3:$A$113,MAX(1915,MIN(2025,E207))))/L207,AD207*AC207*MIN(IF(AB207&gt;0,0.8/0.75,1),(L207*4+AB207)/AA207))</f>
        <v/>
      </c>
      <c r="AF207" s="14">
        <f>AE207/12</f>
        <v/>
      </c>
      <c r="AG207" s="77">
        <f>MIN(68,MAX(56,2*INT(K207/2)))</f>
        <v/>
      </c>
      <c r="AH207" s="75">
        <f>(CHOOSE((AG207-56)/2+1,SUMIFS(Donnees_generations!$U$3:$U$113,Donnees_generations!$A$3:$A$113,MAX(1915,MIN(2025,E207))),SUMIFS(Donnees_generations!$V$3:$V$113,Donnees_generations!$A$3:$A$113,MAX(1915,MIN(2025,E207))),SUMIFS(Donnees_generations!$W$3:$W$113,Donnees_generations!$A$3:$A$113,MAX(1915,MIN(2025,E207))),SUMIFS(Donnees_generations!$X$3:$X$113,Donnees_generations!$A$3:$A$113,MAX(1915,MIN(2025,E207))),SUMIFS(Donnees_generations!$Y$3:$Y$113,Donnees_generations!$A$3:$A$113,MAX(1915,MIN(2025,E207))),SUMIFS(Donnees_generations!$Z$3:$Z$113,Donnees_generations!$A$3:$A$113,MAX(1915,MIN(2025,E207))),SUMIFS(Donnees_generations!$AA$3:$AA$113,Donnees_generations!$A$3:$A$113,MAX(1915,MIN(2025,E207))),SUMIFS(Donnees_generations!$AB$3:$AB$113,Donnees_generations!$A$3:$A$113,MAX(1915,MIN(2025,E207))))+CHOOSE((AG207-56)/2+1,SUMIFS(Donnees_generations!$AC$3:$AC$113,Donnees_generations!$A$3:$A$113,MAX(1915,MIN(2025,E207))),SUMIFS(Donnees_generations!$AD$3:$AD$113,Donnees_generations!$A$3:$A$113,MAX(1915,MIN(2025,E207))),SUMIFS(Donnees_generations!$AE$3:$AE$113,Donnees_generations!$A$3:$A$113,MAX(1915,MIN(2025,E207))),SUMIFS(Donnees_generations!$AF$3:$AF$113,Donnees_generations!$A$3:$A$113,MAX(1915,MIN(2025,E207))),SUMIFS(Donnees_generations!$AG$3:$AG$113,Donnees_generations!$A$3:$A$113,MAX(1915,MIN(2025,E207))),SUMIFS(Donnees_generations!$AH$3:$AH$113,Donnees_generations!$A$3:$A$113,MAX(1915,MIN(2025,E207))),SUMIFS(Donnees_generations!$AI$3:$AI$113,Donnees_generations!$A$3:$A$113,MAX(1915,MIN(2025,E207))),SUMIFS(Donnees_generations!$AJ$3:$AJ$113,Donnees_generations!$A$3:$A$113,MAX(1915,MIN(2025,E207)))))/2</f>
        <v/>
      </c>
      <c r="AI207" s="75">
        <f>(CHOOSE(((AG207+2)-56)/2+1,SUMIFS(Donnees_generations!$U$3:$U$113,Donnees_generations!$A$3:$A$113,MAX(1915,MIN(2025,E207))),SUMIFS(Donnees_generations!$V$3:$V$113,Donnees_generations!$A$3:$A$113,MAX(1915,MIN(2025,E207))),SUMIFS(Donnees_generations!$W$3:$W$113,Donnees_generations!$A$3:$A$113,MAX(1915,MIN(2025,E207))),SUMIFS(Donnees_generations!$X$3:$X$113,Donnees_generations!$A$3:$A$113,MAX(1915,MIN(2025,E207))),SUMIFS(Donnees_generations!$Y$3:$Y$113,Donnees_generations!$A$3:$A$113,MAX(1915,MIN(2025,E207))),SUMIFS(Donnees_generations!$Z$3:$Z$113,Donnees_generations!$A$3:$A$113,MAX(1915,MIN(2025,E207))),SUMIFS(Donnees_generations!$AA$3:$AA$113,Donnees_generations!$A$3:$A$113,MAX(1915,MIN(2025,E207))),SUMIFS(Donnees_generations!$AB$3:$AB$113,Donnees_generations!$A$3:$A$113,MAX(1915,MIN(2025,E207))))+CHOOSE(((AG207+2)-56)/2+1,SUMIFS(Donnees_generations!$AC$3:$AC$113,Donnees_generations!$A$3:$A$113,MAX(1915,MIN(2025,E207))),SUMIFS(Donnees_generations!$AD$3:$AD$113,Donnees_generations!$A$3:$A$113,MAX(1915,MIN(2025,E207))),SUMIFS(Donnees_generations!$AE$3:$AE$113,Donnees_generations!$A$3:$A$113,MAX(1915,MIN(2025,E207))),SUMIFS(Donnees_generations!$AF$3:$AF$113,Donnees_generations!$A$3:$A$113,MAX(1915,MIN(2025,E207))),SUMIFS(Donnees_generations!$AG$3:$AG$113,Donnees_generations!$A$3:$A$113,MAX(1915,MIN(2025,E207))),SUMIFS(Donnees_generations!$AH$3:$AH$113,Donnees_generations!$A$3:$A$113,MAX(1915,MIN(2025,E207))),SUMIFS(Donnees_generations!$AI$3:$AI$113,Donnees_generations!$A$3:$A$113,MAX(1915,MIN(2025,E207))),SUMIFS(Donnees_generations!$AJ$3:$AJ$113,Donnees_generations!$A$3:$A$113,MAX(1915,MIN(2025,E207)))))/2</f>
        <v/>
      </c>
      <c r="AJ207" s="8">
        <f>MAX(0,AH207+(AI207-AH207)*(K207-AG207)/2)</f>
        <v/>
      </c>
      <c r="AK207" s="8">
        <f>K207+AJ207</f>
        <v/>
      </c>
      <c r="AL207" s="14">
        <f>AE207*AJ207</f>
        <v/>
      </c>
      <c r="AM207" s="17">
        <f>V207/AL207</f>
        <v/>
      </c>
      <c r="AN207" s="17">
        <f>Z207/AL207</f>
        <v/>
      </c>
      <c r="AO207" s="33">
        <f>IF(V207+Z207=0,0,Z207/(V207+Z207))</f>
        <v/>
      </c>
      <c r="AP207" s="14">
        <f>AL207/V207*100</f>
        <v/>
      </c>
      <c r="AQ207" s="8">
        <f>P207/AL207*1000</f>
        <v/>
      </c>
      <c r="AR207" s="77">
        <f>MAX(N207,M207-1)</f>
        <v/>
      </c>
      <c r="AS207" s="14">
        <f>SUMIFS(Donnees_regimes!$R$3:$R$1118,Donnees_regimes!$A$3:$A$1118,C207,Donnees_regimes!$B$3:$B$1118,"&gt;="&amp;G207,Donnees_regimes!$B$3:$B$1118,"&lt;="&amp;N207)*L207/ROUNDUP(L207,0)*SUMIFS(Donnees_annuelles!$AG$3:$AG$188,Donnees_annuelles!$A$3:$A$188,AR207)*SUMIFS(Donnees_annuelles!$AA$3:$AA$188,Donnees_annuelles!$A$3:$A$188,AR207)</f>
        <v/>
      </c>
      <c r="AT207" s="36">
        <f>AS207/V207</f>
        <v/>
      </c>
      <c r="AU207" s="14">
        <f>AL207</f>
        <v/>
      </c>
      <c r="AV207" s="39">
        <f>AS207-AL207</f>
        <v/>
      </c>
      <c r="AW207" s="9">
        <f>AS207/AL207-1</f>
        <v/>
      </c>
      <c r="AX207" s="14">
        <f>AS207/AJ207/12</f>
        <v/>
      </c>
      <c r="AY207" s="14">
        <f>AF207</f>
        <v/>
      </c>
      <c r="AZ207" s="39">
        <f>AX207-AF207</f>
        <v/>
      </c>
      <c r="BA207" s="14">
        <f>SUMIFS(Donnees_regimes!$S$3:$S$1118,Donnees_regimes!$A$3:$A$1118,C207,Donnees_regimes!$B$3:$B$1118,"&gt;="&amp;G207,Donnees_regimes!$B$3:$B$1118,"&lt;="&amp;N207)*L207/ROUNDUP(L207,0)*SUMIFS(Donnees_annuelles!$AH$3:$AH$188,Donnees_annuelles!$A$3:$A$188,AR207)*SUMIFS(Donnees_annuelles!$AA$3:$AA$188,Donnees_annuelles!$A$3:$A$188,AR207)</f>
        <v/>
      </c>
      <c r="BB207" s="39">
        <f>BA207-AL207</f>
        <v/>
      </c>
      <c r="BC207" s="7">
        <f>IF(M207+AJ207&gt;2026,IF(G207&gt;2026,"entièrement projeté","en partie projeté"),"observé")</f>
        <v/>
      </c>
    </row>
    <row r="208">
      <c r="A208" s="7" t="inlineStr">
        <is>
          <t>Génération silencieuse</t>
        </is>
      </c>
      <c r="B208" s="84" t="inlineStr">
        <is>
          <t>Fonction publique territoriale et hospitalière</t>
        </is>
      </c>
      <c r="C208" s="7">
        <f>IF(G208&gt;=SUMIFS(Regimes!$C$5:$C$10,Regimes!$A$5:$A$10,B208),"Privé",B208)</f>
        <v/>
      </c>
      <c r="D208" s="7">
        <f>INDEX(Regimes!$D$5:$D$10,MATCH(C208,Regimes!$A$5:$A$10,0))</f>
        <v/>
      </c>
      <c r="E208" s="88" t="n">
        <v>1937</v>
      </c>
      <c r="F208" s="8">
        <f>Donnees_generations!C25</f>
        <v/>
      </c>
      <c r="G208" s="77">
        <f>Donnees_generations!D25</f>
        <v/>
      </c>
      <c r="H208" s="8">
        <f>SUMIFS(Donnees_generations!$S$3:$S$113,Donnees_generations!$A$3:$A$113,MAX(1915,MIN(2025,E208)))</f>
        <v/>
      </c>
      <c r="I208" s="8">
        <f>SUMIFS(Donnees_generations!$T$3:$T$113,Donnees_generations!$A$3:$A$113,MAX(1915,MIN(2025,E208)))</f>
        <v/>
      </c>
      <c r="J208" s="8">
        <f>IF(G208&gt;=2000,MAX(I208,Parametres!$B$3),I208)</f>
        <v/>
      </c>
      <c r="K208" s="8">
        <f>IF(C208="Privé",J208,SUMIFS(Regles_regimes!$J$3:$J$2000,Regles_regimes!$A$3:$A$2000,C208,Regles_regimes!$B$3:$B$2000,D208,Regles_regimes!$C$3:$C$2000,MAX(1915,MIN(2025,E208))))</f>
        <v/>
      </c>
      <c r="L208" s="8">
        <f>IF(C208="Privé",H208,(K208-F208)*H208/(J208-F208))</f>
        <v/>
      </c>
      <c r="M208" s="77">
        <f>INT(E208+K208)</f>
        <v/>
      </c>
      <c r="N208" s="77">
        <f>G208+ROUNDUP(L208,0)-1</f>
        <v/>
      </c>
      <c r="O208" s="89">
        <f>SUMIFS(Regles_regimes!$K$3:$K$2000,Regles_regimes!$A$3:$A$2000,C208,Regles_regimes!$B$3:$B$2000,D208,Regles_regimes!$C$3:$C$2000,MAX(1915,MIN(2025,E208)))</f>
        <v/>
      </c>
      <c r="P208" s="13">
        <f>SUMIFS(Donnees_annuelles!$W$3:$W$188,Donnees_annuelles!$A$3:$A$188,"&gt;="&amp;G208,Donnees_annuelles!$A$3:$A$188,"&lt;="&amp;N208)*L208/ROUNDUP(L208,0)*O208</f>
        <v/>
      </c>
      <c r="Q208" s="13">
        <f>SUMIFS(Donnees_annuelles!$V$3:$V$188,Donnees_annuelles!$A$3:$A$188,"&gt;="&amp;G208,Donnees_annuelles!$A$3:$A$188,"&lt;="&amp;N208)*L208/ROUNDUP(L208,0)</f>
        <v/>
      </c>
      <c r="R208" s="13">
        <f>P208/L208</f>
        <v/>
      </c>
      <c r="S208" s="14">
        <f>SUMIFS(Donnees_annuelles!$D$3:$D$188,Donnees_annuelles!$A$3:$A$188,"&gt;="&amp;G208,Donnees_annuelles!$A$3:$A$188,"&lt;="&amp;N208)*L208/ROUNDUP(L208,0)</f>
        <v/>
      </c>
      <c r="T208" s="14">
        <f>SUMIFS(Donnees_regimes!$N$3:$N$1118,Donnees_regimes!$A$3:$A$1118,C208,Donnees_regimes!$B$3:$B$1118,"&gt;="&amp;G208,Donnees_regimes!$B$3:$B$1118,"&lt;="&amp;N208)*L208/ROUNDUP(L208,0)</f>
        <v/>
      </c>
      <c r="U208" s="14">
        <f>SUMIFS(Donnees_regimes!$O$3:$O$1118,Donnees_regimes!$A$3:$A$1118,C208,Donnees_regimes!$B$3:$B$1118,"&gt;="&amp;G208,Donnees_regimes!$B$3:$B$1118,"&lt;="&amp;N208)*L208/ROUNDUP(L208,0)</f>
        <v/>
      </c>
      <c r="V208" s="14">
        <f>T208+U208</f>
        <v/>
      </c>
      <c r="W208" s="33">
        <f>V208/S208</f>
        <v/>
      </c>
      <c r="X208" s="14">
        <f>S208+U208</f>
        <v/>
      </c>
      <c r="Y208" s="17">
        <f>V208/P208</f>
        <v/>
      </c>
      <c r="Z208" s="14">
        <f>SUMIFS(Donnees_regimes!$Q$3:$Q$1118,Donnees_regimes!$A$3:$A$1118,C208,Donnees_regimes!$B$3:$B$1118,"&gt;="&amp;G208,Donnees_regimes!$B$3:$B$1118,"&lt;="&amp;N208)*L208/ROUNDUP(L208,0)</f>
        <v/>
      </c>
      <c r="AA208" s="77">
        <f>SUMIFS(Regles_regimes!$F$3:$F$2000,Regles_regimes!$A$3:$A$2000,C208,Regles_regimes!$B$3:$B$2000,D208,Regles_regimes!$C$3:$C$2000,MAX(1915,MIN(2025,E208)))</f>
        <v/>
      </c>
      <c r="AB208" s="77">
        <f>IF(AND(SUMIFS(Regles_regimes!$L$3:$L$2000,Regles_regimes!$A$3:$A$2000,C208,Regles_regimes!$B$3:$B$2000,D208,Regles_regimes!$C$3:$C$2000,MAX(1915,MIN(2025,E208)))=1,G208&lt;2009,C208&lt;&gt;"Privé"),MIN(20,L208*4/5),0)</f>
        <v/>
      </c>
      <c r="AC208" s="89">
        <f>SUMIFS(Donnees_regimes!$M$3:$M$1118,Donnees_regimes!$A$3:$A$1118,C208,Donnees_regimes!$B$3:$B$1118,M208)</f>
        <v/>
      </c>
      <c r="AD208" s="14">
        <f>SUMIFS(Donnees_annuelles!$Y$3:$Y$188,Donnees_annuelles!$A$3:$A$188,M208)*SUMIFS(Donnees_generations!$I$3:$I$113,Donnees_generations!$A$3:$A$113,MAX(1915,MIN(2025,E208)))/H208</f>
        <v/>
      </c>
      <c r="AE208" s="14">
        <f>IF(C208="Privé",SUMIFS(Donnees_annuelles!$Y$3:$Y$188,Donnees_annuelles!$A$3:$A$188,M208)*MIN(L208,SUMIFS(Donnees_generations!$I$3:$I$113,Donnees_generations!$A$3:$A$113,MAX(1915,MIN(2025,E208))))/L208,AD208*AC208*MIN(IF(AB208&gt;0,0.8/0.75,1),(L208*4+AB208)/AA208))</f>
        <v/>
      </c>
      <c r="AF208" s="14">
        <f>AE208/12</f>
        <v/>
      </c>
      <c r="AG208" s="77">
        <f>MIN(68,MAX(56,2*INT(K208/2)))</f>
        <v/>
      </c>
      <c r="AH208" s="75">
        <f>(CHOOSE((AG208-56)/2+1,SUMIFS(Donnees_generations!$U$3:$U$113,Donnees_generations!$A$3:$A$113,MAX(1915,MIN(2025,E208))),SUMIFS(Donnees_generations!$V$3:$V$113,Donnees_generations!$A$3:$A$113,MAX(1915,MIN(2025,E208))),SUMIFS(Donnees_generations!$W$3:$W$113,Donnees_generations!$A$3:$A$113,MAX(1915,MIN(2025,E208))),SUMIFS(Donnees_generations!$X$3:$X$113,Donnees_generations!$A$3:$A$113,MAX(1915,MIN(2025,E208))),SUMIFS(Donnees_generations!$Y$3:$Y$113,Donnees_generations!$A$3:$A$113,MAX(1915,MIN(2025,E208))),SUMIFS(Donnees_generations!$Z$3:$Z$113,Donnees_generations!$A$3:$A$113,MAX(1915,MIN(2025,E208))),SUMIFS(Donnees_generations!$AA$3:$AA$113,Donnees_generations!$A$3:$A$113,MAX(1915,MIN(2025,E208))),SUMIFS(Donnees_generations!$AB$3:$AB$113,Donnees_generations!$A$3:$A$113,MAX(1915,MIN(2025,E208))))+CHOOSE((AG208-56)/2+1,SUMIFS(Donnees_generations!$AC$3:$AC$113,Donnees_generations!$A$3:$A$113,MAX(1915,MIN(2025,E208))),SUMIFS(Donnees_generations!$AD$3:$AD$113,Donnees_generations!$A$3:$A$113,MAX(1915,MIN(2025,E208))),SUMIFS(Donnees_generations!$AE$3:$AE$113,Donnees_generations!$A$3:$A$113,MAX(1915,MIN(2025,E208))),SUMIFS(Donnees_generations!$AF$3:$AF$113,Donnees_generations!$A$3:$A$113,MAX(1915,MIN(2025,E208))),SUMIFS(Donnees_generations!$AG$3:$AG$113,Donnees_generations!$A$3:$A$113,MAX(1915,MIN(2025,E208))),SUMIFS(Donnees_generations!$AH$3:$AH$113,Donnees_generations!$A$3:$A$113,MAX(1915,MIN(2025,E208))),SUMIFS(Donnees_generations!$AI$3:$AI$113,Donnees_generations!$A$3:$A$113,MAX(1915,MIN(2025,E208))),SUMIFS(Donnees_generations!$AJ$3:$AJ$113,Donnees_generations!$A$3:$A$113,MAX(1915,MIN(2025,E208)))))/2</f>
        <v/>
      </c>
      <c r="AI208" s="75">
        <f>(CHOOSE(((AG208+2)-56)/2+1,SUMIFS(Donnees_generations!$U$3:$U$113,Donnees_generations!$A$3:$A$113,MAX(1915,MIN(2025,E208))),SUMIFS(Donnees_generations!$V$3:$V$113,Donnees_generations!$A$3:$A$113,MAX(1915,MIN(2025,E208))),SUMIFS(Donnees_generations!$W$3:$W$113,Donnees_generations!$A$3:$A$113,MAX(1915,MIN(2025,E208))),SUMIFS(Donnees_generations!$X$3:$X$113,Donnees_generations!$A$3:$A$113,MAX(1915,MIN(2025,E208))),SUMIFS(Donnees_generations!$Y$3:$Y$113,Donnees_generations!$A$3:$A$113,MAX(1915,MIN(2025,E208))),SUMIFS(Donnees_generations!$Z$3:$Z$113,Donnees_generations!$A$3:$A$113,MAX(1915,MIN(2025,E208))),SUMIFS(Donnees_generations!$AA$3:$AA$113,Donnees_generations!$A$3:$A$113,MAX(1915,MIN(2025,E208))),SUMIFS(Donnees_generations!$AB$3:$AB$113,Donnees_generations!$A$3:$A$113,MAX(1915,MIN(2025,E208))))+CHOOSE(((AG208+2)-56)/2+1,SUMIFS(Donnees_generations!$AC$3:$AC$113,Donnees_generations!$A$3:$A$113,MAX(1915,MIN(2025,E208))),SUMIFS(Donnees_generations!$AD$3:$AD$113,Donnees_generations!$A$3:$A$113,MAX(1915,MIN(2025,E208))),SUMIFS(Donnees_generations!$AE$3:$AE$113,Donnees_generations!$A$3:$A$113,MAX(1915,MIN(2025,E208))),SUMIFS(Donnees_generations!$AF$3:$AF$113,Donnees_generations!$A$3:$A$113,MAX(1915,MIN(2025,E208))),SUMIFS(Donnees_generations!$AG$3:$AG$113,Donnees_generations!$A$3:$A$113,MAX(1915,MIN(2025,E208))),SUMIFS(Donnees_generations!$AH$3:$AH$113,Donnees_generations!$A$3:$A$113,MAX(1915,MIN(2025,E208))),SUMIFS(Donnees_generations!$AI$3:$AI$113,Donnees_generations!$A$3:$A$113,MAX(1915,MIN(2025,E208))),SUMIFS(Donnees_generations!$AJ$3:$AJ$113,Donnees_generations!$A$3:$A$113,MAX(1915,MIN(2025,E208)))))/2</f>
        <v/>
      </c>
      <c r="AJ208" s="8">
        <f>MAX(0,AH208+(AI208-AH208)*(K208-AG208)/2)</f>
        <v/>
      </c>
      <c r="AK208" s="8">
        <f>K208+AJ208</f>
        <v/>
      </c>
      <c r="AL208" s="14">
        <f>AE208*AJ208</f>
        <v/>
      </c>
      <c r="AM208" s="17">
        <f>V208/AL208</f>
        <v/>
      </c>
      <c r="AN208" s="17">
        <f>Z208/AL208</f>
        <v/>
      </c>
      <c r="AO208" s="33">
        <f>IF(V208+Z208=0,0,Z208/(V208+Z208))</f>
        <v/>
      </c>
      <c r="AP208" s="14">
        <f>AL208/V208*100</f>
        <v/>
      </c>
      <c r="AQ208" s="8">
        <f>P208/AL208*1000</f>
        <v/>
      </c>
      <c r="AR208" s="77">
        <f>MAX(N208,M208-1)</f>
        <v/>
      </c>
      <c r="AS208" s="14">
        <f>SUMIFS(Donnees_regimes!$R$3:$R$1118,Donnees_regimes!$A$3:$A$1118,C208,Donnees_regimes!$B$3:$B$1118,"&gt;="&amp;G208,Donnees_regimes!$B$3:$B$1118,"&lt;="&amp;N208)*L208/ROUNDUP(L208,0)*SUMIFS(Donnees_annuelles!$AG$3:$AG$188,Donnees_annuelles!$A$3:$A$188,AR208)*SUMIFS(Donnees_annuelles!$AA$3:$AA$188,Donnees_annuelles!$A$3:$A$188,AR208)</f>
        <v/>
      </c>
      <c r="AT208" s="36">
        <f>AS208/V208</f>
        <v/>
      </c>
      <c r="AU208" s="14">
        <f>AL208</f>
        <v/>
      </c>
      <c r="AV208" s="39">
        <f>AS208-AL208</f>
        <v/>
      </c>
      <c r="AW208" s="9">
        <f>AS208/AL208-1</f>
        <v/>
      </c>
      <c r="AX208" s="14">
        <f>AS208/AJ208/12</f>
        <v/>
      </c>
      <c r="AY208" s="14">
        <f>AF208</f>
        <v/>
      </c>
      <c r="AZ208" s="39">
        <f>AX208-AF208</f>
        <v/>
      </c>
      <c r="BA208" s="14">
        <f>SUMIFS(Donnees_regimes!$S$3:$S$1118,Donnees_regimes!$A$3:$A$1118,C208,Donnees_regimes!$B$3:$B$1118,"&gt;="&amp;G208,Donnees_regimes!$B$3:$B$1118,"&lt;="&amp;N208)*L208/ROUNDUP(L208,0)*SUMIFS(Donnees_annuelles!$AH$3:$AH$188,Donnees_annuelles!$A$3:$A$188,AR208)*SUMIFS(Donnees_annuelles!$AA$3:$AA$188,Donnees_annuelles!$A$3:$A$188,AR208)</f>
        <v/>
      </c>
      <c r="BB208" s="39">
        <f>BA208-AL208</f>
        <v/>
      </c>
      <c r="BC208" s="7">
        <f>IF(M208+AJ208&gt;2026,IF(G208&gt;2026,"entièrement projeté","en partie projeté"),"observé")</f>
        <v/>
      </c>
    </row>
    <row r="209">
      <c r="A209" s="7" t="inlineStr">
        <is>
          <t>Génération silencieuse</t>
        </is>
      </c>
      <c r="B209" s="84" t="inlineStr">
        <is>
          <t>Fonction publique territoriale et hospitalière</t>
        </is>
      </c>
      <c r="C209" s="7">
        <f>IF(G209&gt;=SUMIFS(Regimes!$C$5:$C$10,Regimes!$A$5:$A$10,B209),"Privé",B209)</f>
        <v/>
      </c>
      <c r="D209" s="7">
        <f>INDEX(Regimes!$D$5:$D$10,MATCH(C209,Regimes!$A$5:$A$10,0))</f>
        <v/>
      </c>
      <c r="E209" s="88" t="n">
        <v>1938</v>
      </c>
      <c r="F209" s="8">
        <f>Donnees_generations!C26</f>
        <v/>
      </c>
      <c r="G209" s="77">
        <f>Donnees_generations!D26</f>
        <v/>
      </c>
      <c r="H209" s="8">
        <f>SUMIFS(Donnees_generations!$S$3:$S$113,Donnees_generations!$A$3:$A$113,MAX(1915,MIN(2025,E209)))</f>
        <v/>
      </c>
      <c r="I209" s="8">
        <f>SUMIFS(Donnees_generations!$T$3:$T$113,Donnees_generations!$A$3:$A$113,MAX(1915,MIN(2025,E209)))</f>
        <v/>
      </c>
      <c r="J209" s="8">
        <f>IF(G209&gt;=2000,MAX(I209,Parametres!$B$3),I209)</f>
        <v/>
      </c>
      <c r="K209" s="8">
        <f>IF(C209="Privé",J209,SUMIFS(Regles_regimes!$J$3:$J$2000,Regles_regimes!$A$3:$A$2000,C209,Regles_regimes!$B$3:$B$2000,D209,Regles_regimes!$C$3:$C$2000,MAX(1915,MIN(2025,E209))))</f>
        <v/>
      </c>
      <c r="L209" s="8">
        <f>IF(C209="Privé",H209,(K209-F209)*H209/(J209-F209))</f>
        <v/>
      </c>
      <c r="M209" s="77">
        <f>INT(E209+K209)</f>
        <v/>
      </c>
      <c r="N209" s="77">
        <f>G209+ROUNDUP(L209,0)-1</f>
        <v/>
      </c>
      <c r="O209" s="89">
        <f>SUMIFS(Regles_regimes!$K$3:$K$2000,Regles_regimes!$A$3:$A$2000,C209,Regles_regimes!$B$3:$B$2000,D209,Regles_regimes!$C$3:$C$2000,MAX(1915,MIN(2025,E209)))</f>
        <v/>
      </c>
      <c r="P209" s="13">
        <f>SUMIFS(Donnees_annuelles!$W$3:$W$188,Donnees_annuelles!$A$3:$A$188,"&gt;="&amp;G209,Donnees_annuelles!$A$3:$A$188,"&lt;="&amp;N209)*L209/ROUNDUP(L209,0)*O209</f>
        <v/>
      </c>
      <c r="Q209" s="13">
        <f>SUMIFS(Donnees_annuelles!$V$3:$V$188,Donnees_annuelles!$A$3:$A$188,"&gt;="&amp;G209,Donnees_annuelles!$A$3:$A$188,"&lt;="&amp;N209)*L209/ROUNDUP(L209,0)</f>
        <v/>
      </c>
      <c r="R209" s="13">
        <f>P209/L209</f>
        <v/>
      </c>
      <c r="S209" s="14">
        <f>SUMIFS(Donnees_annuelles!$D$3:$D$188,Donnees_annuelles!$A$3:$A$188,"&gt;="&amp;G209,Donnees_annuelles!$A$3:$A$188,"&lt;="&amp;N209)*L209/ROUNDUP(L209,0)</f>
        <v/>
      </c>
      <c r="T209" s="14">
        <f>SUMIFS(Donnees_regimes!$N$3:$N$1118,Donnees_regimes!$A$3:$A$1118,C209,Donnees_regimes!$B$3:$B$1118,"&gt;="&amp;G209,Donnees_regimes!$B$3:$B$1118,"&lt;="&amp;N209)*L209/ROUNDUP(L209,0)</f>
        <v/>
      </c>
      <c r="U209" s="14">
        <f>SUMIFS(Donnees_regimes!$O$3:$O$1118,Donnees_regimes!$A$3:$A$1118,C209,Donnees_regimes!$B$3:$B$1118,"&gt;="&amp;G209,Donnees_regimes!$B$3:$B$1118,"&lt;="&amp;N209)*L209/ROUNDUP(L209,0)</f>
        <v/>
      </c>
      <c r="V209" s="14">
        <f>T209+U209</f>
        <v/>
      </c>
      <c r="W209" s="33">
        <f>V209/S209</f>
        <v/>
      </c>
      <c r="X209" s="14">
        <f>S209+U209</f>
        <v/>
      </c>
      <c r="Y209" s="17">
        <f>V209/P209</f>
        <v/>
      </c>
      <c r="Z209" s="14">
        <f>SUMIFS(Donnees_regimes!$Q$3:$Q$1118,Donnees_regimes!$A$3:$A$1118,C209,Donnees_regimes!$B$3:$B$1118,"&gt;="&amp;G209,Donnees_regimes!$B$3:$B$1118,"&lt;="&amp;N209)*L209/ROUNDUP(L209,0)</f>
        <v/>
      </c>
      <c r="AA209" s="77">
        <f>SUMIFS(Regles_regimes!$F$3:$F$2000,Regles_regimes!$A$3:$A$2000,C209,Regles_regimes!$B$3:$B$2000,D209,Regles_regimes!$C$3:$C$2000,MAX(1915,MIN(2025,E209)))</f>
        <v/>
      </c>
      <c r="AB209" s="77">
        <f>IF(AND(SUMIFS(Regles_regimes!$L$3:$L$2000,Regles_regimes!$A$3:$A$2000,C209,Regles_regimes!$B$3:$B$2000,D209,Regles_regimes!$C$3:$C$2000,MAX(1915,MIN(2025,E209)))=1,G209&lt;2009,C209&lt;&gt;"Privé"),MIN(20,L209*4/5),0)</f>
        <v/>
      </c>
      <c r="AC209" s="89">
        <f>SUMIFS(Donnees_regimes!$M$3:$M$1118,Donnees_regimes!$A$3:$A$1118,C209,Donnees_regimes!$B$3:$B$1118,M209)</f>
        <v/>
      </c>
      <c r="AD209" s="14">
        <f>SUMIFS(Donnees_annuelles!$Y$3:$Y$188,Donnees_annuelles!$A$3:$A$188,M209)*SUMIFS(Donnees_generations!$I$3:$I$113,Donnees_generations!$A$3:$A$113,MAX(1915,MIN(2025,E209)))/H209</f>
        <v/>
      </c>
      <c r="AE209" s="14">
        <f>IF(C209="Privé",SUMIFS(Donnees_annuelles!$Y$3:$Y$188,Donnees_annuelles!$A$3:$A$188,M209)*MIN(L209,SUMIFS(Donnees_generations!$I$3:$I$113,Donnees_generations!$A$3:$A$113,MAX(1915,MIN(2025,E209))))/L209,AD209*AC209*MIN(IF(AB209&gt;0,0.8/0.75,1),(L209*4+AB209)/AA209))</f>
        <v/>
      </c>
      <c r="AF209" s="14">
        <f>AE209/12</f>
        <v/>
      </c>
      <c r="AG209" s="77">
        <f>MIN(68,MAX(56,2*INT(K209/2)))</f>
        <v/>
      </c>
      <c r="AH209" s="75">
        <f>(CHOOSE((AG209-56)/2+1,SUMIFS(Donnees_generations!$U$3:$U$113,Donnees_generations!$A$3:$A$113,MAX(1915,MIN(2025,E209))),SUMIFS(Donnees_generations!$V$3:$V$113,Donnees_generations!$A$3:$A$113,MAX(1915,MIN(2025,E209))),SUMIFS(Donnees_generations!$W$3:$W$113,Donnees_generations!$A$3:$A$113,MAX(1915,MIN(2025,E209))),SUMIFS(Donnees_generations!$X$3:$X$113,Donnees_generations!$A$3:$A$113,MAX(1915,MIN(2025,E209))),SUMIFS(Donnees_generations!$Y$3:$Y$113,Donnees_generations!$A$3:$A$113,MAX(1915,MIN(2025,E209))),SUMIFS(Donnees_generations!$Z$3:$Z$113,Donnees_generations!$A$3:$A$113,MAX(1915,MIN(2025,E209))),SUMIFS(Donnees_generations!$AA$3:$AA$113,Donnees_generations!$A$3:$A$113,MAX(1915,MIN(2025,E209))),SUMIFS(Donnees_generations!$AB$3:$AB$113,Donnees_generations!$A$3:$A$113,MAX(1915,MIN(2025,E209))))+CHOOSE((AG209-56)/2+1,SUMIFS(Donnees_generations!$AC$3:$AC$113,Donnees_generations!$A$3:$A$113,MAX(1915,MIN(2025,E209))),SUMIFS(Donnees_generations!$AD$3:$AD$113,Donnees_generations!$A$3:$A$113,MAX(1915,MIN(2025,E209))),SUMIFS(Donnees_generations!$AE$3:$AE$113,Donnees_generations!$A$3:$A$113,MAX(1915,MIN(2025,E209))),SUMIFS(Donnees_generations!$AF$3:$AF$113,Donnees_generations!$A$3:$A$113,MAX(1915,MIN(2025,E209))),SUMIFS(Donnees_generations!$AG$3:$AG$113,Donnees_generations!$A$3:$A$113,MAX(1915,MIN(2025,E209))),SUMIFS(Donnees_generations!$AH$3:$AH$113,Donnees_generations!$A$3:$A$113,MAX(1915,MIN(2025,E209))),SUMIFS(Donnees_generations!$AI$3:$AI$113,Donnees_generations!$A$3:$A$113,MAX(1915,MIN(2025,E209))),SUMIFS(Donnees_generations!$AJ$3:$AJ$113,Donnees_generations!$A$3:$A$113,MAX(1915,MIN(2025,E209)))))/2</f>
        <v/>
      </c>
      <c r="AI209" s="75">
        <f>(CHOOSE(((AG209+2)-56)/2+1,SUMIFS(Donnees_generations!$U$3:$U$113,Donnees_generations!$A$3:$A$113,MAX(1915,MIN(2025,E209))),SUMIFS(Donnees_generations!$V$3:$V$113,Donnees_generations!$A$3:$A$113,MAX(1915,MIN(2025,E209))),SUMIFS(Donnees_generations!$W$3:$W$113,Donnees_generations!$A$3:$A$113,MAX(1915,MIN(2025,E209))),SUMIFS(Donnees_generations!$X$3:$X$113,Donnees_generations!$A$3:$A$113,MAX(1915,MIN(2025,E209))),SUMIFS(Donnees_generations!$Y$3:$Y$113,Donnees_generations!$A$3:$A$113,MAX(1915,MIN(2025,E209))),SUMIFS(Donnees_generations!$Z$3:$Z$113,Donnees_generations!$A$3:$A$113,MAX(1915,MIN(2025,E209))),SUMIFS(Donnees_generations!$AA$3:$AA$113,Donnees_generations!$A$3:$A$113,MAX(1915,MIN(2025,E209))),SUMIFS(Donnees_generations!$AB$3:$AB$113,Donnees_generations!$A$3:$A$113,MAX(1915,MIN(2025,E209))))+CHOOSE(((AG209+2)-56)/2+1,SUMIFS(Donnees_generations!$AC$3:$AC$113,Donnees_generations!$A$3:$A$113,MAX(1915,MIN(2025,E209))),SUMIFS(Donnees_generations!$AD$3:$AD$113,Donnees_generations!$A$3:$A$113,MAX(1915,MIN(2025,E209))),SUMIFS(Donnees_generations!$AE$3:$AE$113,Donnees_generations!$A$3:$A$113,MAX(1915,MIN(2025,E209))),SUMIFS(Donnees_generations!$AF$3:$AF$113,Donnees_generations!$A$3:$A$113,MAX(1915,MIN(2025,E209))),SUMIFS(Donnees_generations!$AG$3:$AG$113,Donnees_generations!$A$3:$A$113,MAX(1915,MIN(2025,E209))),SUMIFS(Donnees_generations!$AH$3:$AH$113,Donnees_generations!$A$3:$A$113,MAX(1915,MIN(2025,E209))),SUMIFS(Donnees_generations!$AI$3:$AI$113,Donnees_generations!$A$3:$A$113,MAX(1915,MIN(2025,E209))),SUMIFS(Donnees_generations!$AJ$3:$AJ$113,Donnees_generations!$A$3:$A$113,MAX(1915,MIN(2025,E209)))))/2</f>
        <v/>
      </c>
      <c r="AJ209" s="8">
        <f>MAX(0,AH209+(AI209-AH209)*(K209-AG209)/2)</f>
        <v/>
      </c>
      <c r="AK209" s="8">
        <f>K209+AJ209</f>
        <v/>
      </c>
      <c r="AL209" s="14">
        <f>AE209*AJ209</f>
        <v/>
      </c>
      <c r="AM209" s="17">
        <f>V209/AL209</f>
        <v/>
      </c>
      <c r="AN209" s="17">
        <f>Z209/AL209</f>
        <v/>
      </c>
      <c r="AO209" s="33">
        <f>IF(V209+Z209=0,0,Z209/(V209+Z209))</f>
        <v/>
      </c>
      <c r="AP209" s="14">
        <f>AL209/V209*100</f>
        <v/>
      </c>
      <c r="AQ209" s="8">
        <f>P209/AL209*1000</f>
        <v/>
      </c>
      <c r="AR209" s="77">
        <f>MAX(N209,M209-1)</f>
        <v/>
      </c>
      <c r="AS209" s="14">
        <f>SUMIFS(Donnees_regimes!$R$3:$R$1118,Donnees_regimes!$A$3:$A$1118,C209,Donnees_regimes!$B$3:$B$1118,"&gt;="&amp;G209,Donnees_regimes!$B$3:$B$1118,"&lt;="&amp;N209)*L209/ROUNDUP(L209,0)*SUMIFS(Donnees_annuelles!$AG$3:$AG$188,Donnees_annuelles!$A$3:$A$188,AR209)*SUMIFS(Donnees_annuelles!$AA$3:$AA$188,Donnees_annuelles!$A$3:$A$188,AR209)</f>
        <v/>
      </c>
      <c r="AT209" s="36">
        <f>AS209/V209</f>
        <v/>
      </c>
      <c r="AU209" s="14">
        <f>AL209</f>
        <v/>
      </c>
      <c r="AV209" s="39">
        <f>AS209-AL209</f>
        <v/>
      </c>
      <c r="AW209" s="9">
        <f>AS209/AL209-1</f>
        <v/>
      </c>
      <c r="AX209" s="14">
        <f>AS209/AJ209/12</f>
        <v/>
      </c>
      <c r="AY209" s="14">
        <f>AF209</f>
        <v/>
      </c>
      <c r="AZ209" s="39">
        <f>AX209-AF209</f>
        <v/>
      </c>
      <c r="BA209" s="14">
        <f>SUMIFS(Donnees_regimes!$S$3:$S$1118,Donnees_regimes!$A$3:$A$1118,C209,Donnees_regimes!$B$3:$B$1118,"&gt;="&amp;G209,Donnees_regimes!$B$3:$B$1118,"&lt;="&amp;N209)*L209/ROUNDUP(L209,0)*SUMIFS(Donnees_annuelles!$AH$3:$AH$188,Donnees_annuelles!$A$3:$A$188,AR209)*SUMIFS(Donnees_annuelles!$AA$3:$AA$188,Donnees_annuelles!$A$3:$A$188,AR209)</f>
        <v/>
      </c>
      <c r="BB209" s="39">
        <f>BA209-AL209</f>
        <v/>
      </c>
      <c r="BC209" s="7">
        <f>IF(M209+AJ209&gt;2026,IF(G209&gt;2026,"entièrement projeté","en partie projeté"),"observé")</f>
        <v/>
      </c>
    </row>
    <row r="210">
      <c r="A210" s="7" t="inlineStr">
        <is>
          <t>Génération silencieuse</t>
        </is>
      </c>
      <c r="B210" s="84" t="inlineStr">
        <is>
          <t>Fonction publique territoriale et hospitalière</t>
        </is>
      </c>
      <c r="C210" s="7">
        <f>IF(G210&gt;=SUMIFS(Regimes!$C$5:$C$10,Regimes!$A$5:$A$10,B210),"Privé",B210)</f>
        <v/>
      </c>
      <c r="D210" s="7">
        <f>INDEX(Regimes!$D$5:$D$10,MATCH(C210,Regimes!$A$5:$A$10,0))</f>
        <v/>
      </c>
      <c r="E210" s="88" t="n">
        <v>1939</v>
      </c>
      <c r="F210" s="8">
        <f>Donnees_generations!C27</f>
        <v/>
      </c>
      <c r="G210" s="77">
        <f>Donnees_generations!D27</f>
        <v/>
      </c>
      <c r="H210" s="8">
        <f>SUMIFS(Donnees_generations!$S$3:$S$113,Donnees_generations!$A$3:$A$113,MAX(1915,MIN(2025,E210)))</f>
        <v/>
      </c>
      <c r="I210" s="8">
        <f>SUMIFS(Donnees_generations!$T$3:$T$113,Donnees_generations!$A$3:$A$113,MAX(1915,MIN(2025,E210)))</f>
        <v/>
      </c>
      <c r="J210" s="8">
        <f>IF(G210&gt;=2000,MAX(I210,Parametres!$B$3),I210)</f>
        <v/>
      </c>
      <c r="K210" s="8">
        <f>IF(C210="Privé",J210,SUMIFS(Regles_regimes!$J$3:$J$2000,Regles_regimes!$A$3:$A$2000,C210,Regles_regimes!$B$3:$B$2000,D210,Regles_regimes!$C$3:$C$2000,MAX(1915,MIN(2025,E210))))</f>
        <v/>
      </c>
      <c r="L210" s="8">
        <f>IF(C210="Privé",H210,(K210-F210)*H210/(J210-F210))</f>
        <v/>
      </c>
      <c r="M210" s="77">
        <f>INT(E210+K210)</f>
        <v/>
      </c>
      <c r="N210" s="77">
        <f>G210+ROUNDUP(L210,0)-1</f>
        <v/>
      </c>
      <c r="O210" s="89">
        <f>SUMIFS(Regles_regimes!$K$3:$K$2000,Regles_regimes!$A$3:$A$2000,C210,Regles_regimes!$B$3:$B$2000,D210,Regles_regimes!$C$3:$C$2000,MAX(1915,MIN(2025,E210)))</f>
        <v/>
      </c>
      <c r="P210" s="13">
        <f>SUMIFS(Donnees_annuelles!$W$3:$W$188,Donnees_annuelles!$A$3:$A$188,"&gt;="&amp;G210,Donnees_annuelles!$A$3:$A$188,"&lt;="&amp;N210)*L210/ROUNDUP(L210,0)*O210</f>
        <v/>
      </c>
      <c r="Q210" s="13">
        <f>SUMIFS(Donnees_annuelles!$V$3:$V$188,Donnees_annuelles!$A$3:$A$188,"&gt;="&amp;G210,Donnees_annuelles!$A$3:$A$188,"&lt;="&amp;N210)*L210/ROUNDUP(L210,0)</f>
        <v/>
      </c>
      <c r="R210" s="13">
        <f>P210/L210</f>
        <v/>
      </c>
      <c r="S210" s="14">
        <f>SUMIFS(Donnees_annuelles!$D$3:$D$188,Donnees_annuelles!$A$3:$A$188,"&gt;="&amp;G210,Donnees_annuelles!$A$3:$A$188,"&lt;="&amp;N210)*L210/ROUNDUP(L210,0)</f>
        <v/>
      </c>
      <c r="T210" s="14">
        <f>SUMIFS(Donnees_regimes!$N$3:$N$1118,Donnees_regimes!$A$3:$A$1118,C210,Donnees_regimes!$B$3:$B$1118,"&gt;="&amp;G210,Donnees_regimes!$B$3:$B$1118,"&lt;="&amp;N210)*L210/ROUNDUP(L210,0)</f>
        <v/>
      </c>
      <c r="U210" s="14">
        <f>SUMIFS(Donnees_regimes!$O$3:$O$1118,Donnees_regimes!$A$3:$A$1118,C210,Donnees_regimes!$B$3:$B$1118,"&gt;="&amp;G210,Donnees_regimes!$B$3:$B$1118,"&lt;="&amp;N210)*L210/ROUNDUP(L210,0)</f>
        <v/>
      </c>
      <c r="V210" s="14">
        <f>T210+U210</f>
        <v/>
      </c>
      <c r="W210" s="33">
        <f>V210/S210</f>
        <v/>
      </c>
      <c r="X210" s="14">
        <f>S210+U210</f>
        <v/>
      </c>
      <c r="Y210" s="17">
        <f>V210/P210</f>
        <v/>
      </c>
      <c r="Z210" s="14">
        <f>SUMIFS(Donnees_regimes!$Q$3:$Q$1118,Donnees_regimes!$A$3:$A$1118,C210,Donnees_regimes!$B$3:$B$1118,"&gt;="&amp;G210,Donnees_regimes!$B$3:$B$1118,"&lt;="&amp;N210)*L210/ROUNDUP(L210,0)</f>
        <v/>
      </c>
      <c r="AA210" s="77">
        <f>SUMIFS(Regles_regimes!$F$3:$F$2000,Regles_regimes!$A$3:$A$2000,C210,Regles_regimes!$B$3:$B$2000,D210,Regles_regimes!$C$3:$C$2000,MAX(1915,MIN(2025,E210)))</f>
        <v/>
      </c>
      <c r="AB210" s="77">
        <f>IF(AND(SUMIFS(Regles_regimes!$L$3:$L$2000,Regles_regimes!$A$3:$A$2000,C210,Regles_regimes!$B$3:$B$2000,D210,Regles_regimes!$C$3:$C$2000,MAX(1915,MIN(2025,E210)))=1,G210&lt;2009,C210&lt;&gt;"Privé"),MIN(20,L210*4/5),0)</f>
        <v/>
      </c>
      <c r="AC210" s="89">
        <f>SUMIFS(Donnees_regimes!$M$3:$M$1118,Donnees_regimes!$A$3:$A$1118,C210,Donnees_regimes!$B$3:$B$1118,M210)</f>
        <v/>
      </c>
      <c r="AD210" s="14">
        <f>SUMIFS(Donnees_annuelles!$Y$3:$Y$188,Donnees_annuelles!$A$3:$A$188,M210)*SUMIFS(Donnees_generations!$I$3:$I$113,Donnees_generations!$A$3:$A$113,MAX(1915,MIN(2025,E210)))/H210</f>
        <v/>
      </c>
      <c r="AE210" s="14">
        <f>IF(C210="Privé",SUMIFS(Donnees_annuelles!$Y$3:$Y$188,Donnees_annuelles!$A$3:$A$188,M210)*MIN(L210,SUMIFS(Donnees_generations!$I$3:$I$113,Donnees_generations!$A$3:$A$113,MAX(1915,MIN(2025,E210))))/L210,AD210*AC210*MIN(IF(AB210&gt;0,0.8/0.75,1),(L210*4+AB210)/AA210))</f>
        <v/>
      </c>
      <c r="AF210" s="14">
        <f>AE210/12</f>
        <v/>
      </c>
      <c r="AG210" s="77">
        <f>MIN(68,MAX(56,2*INT(K210/2)))</f>
        <v/>
      </c>
      <c r="AH210" s="75">
        <f>(CHOOSE((AG210-56)/2+1,SUMIFS(Donnees_generations!$U$3:$U$113,Donnees_generations!$A$3:$A$113,MAX(1915,MIN(2025,E210))),SUMIFS(Donnees_generations!$V$3:$V$113,Donnees_generations!$A$3:$A$113,MAX(1915,MIN(2025,E210))),SUMIFS(Donnees_generations!$W$3:$W$113,Donnees_generations!$A$3:$A$113,MAX(1915,MIN(2025,E210))),SUMIFS(Donnees_generations!$X$3:$X$113,Donnees_generations!$A$3:$A$113,MAX(1915,MIN(2025,E210))),SUMIFS(Donnees_generations!$Y$3:$Y$113,Donnees_generations!$A$3:$A$113,MAX(1915,MIN(2025,E210))),SUMIFS(Donnees_generations!$Z$3:$Z$113,Donnees_generations!$A$3:$A$113,MAX(1915,MIN(2025,E210))),SUMIFS(Donnees_generations!$AA$3:$AA$113,Donnees_generations!$A$3:$A$113,MAX(1915,MIN(2025,E210))),SUMIFS(Donnees_generations!$AB$3:$AB$113,Donnees_generations!$A$3:$A$113,MAX(1915,MIN(2025,E210))))+CHOOSE((AG210-56)/2+1,SUMIFS(Donnees_generations!$AC$3:$AC$113,Donnees_generations!$A$3:$A$113,MAX(1915,MIN(2025,E210))),SUMIFS(Donnees_generations!$AD$3:$AD$113,Donnees_generations!$A$3:$A$113,MAX(1915,MIN(2025,E210))),SUMIFS(Donnees_generations!$AE$3:$AE$113,Donnees_generations!$A$3:$A$113,MAX(1915,MIN(2025,E210))),SUMIFS(Donnees_generations!$AF$3:$AF$113,Donnees_generations!$A$3:$A$113,MAX(1915,MIN(2025,E210))),SUMIFS(Donnees_generations!$AG$3:$AG$113,Donnees_generations!$A$3:$A$113,MAX(1915,MIN(2025,E210))),SUMIFS(Donnees_generations!$AH$3:$AH$113,Donnees_generations!$A$3:$A$113,MAX(1915,MIN(2025,E210))),SUMIFS(Donnees_generations!$AI$3:$AI$113,Donnees_generations!$A$3:$A$113,MAX(1915,MIN(2025,E210))),SUMIFS(Donnees_generations!$AJ$3:$AJ$113,Donnees_generations!$A$3:$A$113,MAX(1915,MIN(2025,E210)))))/2</f>
        <v/>
      </c>
      <c r="AI210" s="75">
        <f>(CHOOSE(((AG210+2)-56)/2+1,SUMIFS(Donnees_generations!$U$3:$U$113,Donnees_generations!$A$3:$A$113,MAX(1915,MIN(2025,E210))),SUMIFS(Donnees_generations!$V$3:$V$113,Donnees_generations!$A$3:$A$113,MAX(1915,MIN(2025,E210))),SUMIFS(Donnees_generations!$W$3:$W$113,Donnees_generations!$A$3:$A$113,MAX(1915,MIN(2025,E210))),SUMIFS(Donnees_generations!$X$3:$X$113,Donnees_generations!$A$3:$A$113,MAX(1915,MIN(2025,E210))),SUMIFS(Donnees_generations!$Y$3:$Y$113,Donnees_generations!$A$3:$A$113,MAX(1915,MIN(2025,E210))),SUMIFS(Donnees_generations!$Z$3:$Z$113,Donnees_generations!$A$3:$A$113,MAX(1915,MIN(2025,E210))),SUMIFS(Donnees_generations!$AA$3:$AA$113,Donnees_generations!$A$3:$A$113,MAX(1915,MIN(2025,E210))),SUMIFS(Donnees_generations!$AB$3:$AB$113,Donnees_generations!$A$3:$A$113,MAX(1915,MIN(2025,E210))))+CHOOSE(((AG210+2)-56)/2+1,SUMIFS(Donnees_generations!$AC$3:$AC$113,Donnees_generations!$A$3:$A$113,MAX(1915,MIN(2025,E210))),SUMIFS(Donnees_generations!$AD$3:$AD$113,Donnees_generations!$A$3:$A$113,MAX(1915,MIN(2025,E210))),SUMIFS(Donnees_generations!$AE$3:$AE$113,Donnees_generations!$A$3:$A$113,MAX(1915,MIN(2025,E210))),SUMIFS(Donnees_generations!$AF$3:$AF$113,Donnees_generations!$A$3:$A$113,MAX(1915,MIN(2025,E210))),SUMIFS(Donnees_generations!$AG$3:$AG$113,Donnees_generations!$A$3:$A$113,MAX(1915,MIN(2025,E210))),SUMIFS(Donnees_generations!$AH$3:$AH$113,Donnees_generations!$A$3:$A$113,MAX(1915,MIN(2025,E210))),SUMIFS(Donnees_generations!$AI$3:$AI$113,Donnees_generations!$A$3:$A$113,MAX(1915,MIN(2025,E210))),SUMIFS(Donnees_generations!$AJ$3:$AJ$113,Donnees_generations!$A$3:$A$113,MAX(1915,MIN(2025,E210)))))/2</f>
        <v/>
      </c>
      <c r="AJ210" s="8">
        <f>MAX(0,AH210+(AI210-AH210)*(K210-AG210)/2)</f>
        <v/>
      </c>
      <c r="AK210" s="8">
        <f>K210+AJ210</f>
        <v/>
      </c>
      <c r="AL210" s="14">
        <f>AE210*AJ210</f>
        <v/>
      </c>
      <c r="AM210" s="17">
        <f>V210/AL210</f>
        <v/>
      </c>
      <c r="AN210" s="17">
        <f>Z210/AL210</f>
        <v/>
      </c>
      <c r="AO210" s="33">
        <f>IF(V210+Z210=0,0,Z210/(V210+Z210))</f>
        <v/>
      </c>
      <c r="AP210" s="14">
        <f>AL210/V210*100</f>
        <v/>
      </c>
      <c r="AQ210" s="8">
        <f>P210/AL210*1000</f>
        <v/>
      </c>
      <c r="AR210" s="77">
        <f>MAX(N210,M210-1)</f>
        <v/>
      </c>
      <c r="AS210" s="14">
        <f>SUMIFS(Donnees_regimes!$R$3:$R$1118,Donnees_regimes!$A$3:$A$1118,C210,Donnees_regimes!$B$3:$B$1118,"&gt;="&amp;G210,Donnees_regimes!$B$3:$B$1118,"&lt;="&amp;N210)*L210/ROUNDUP(L210,0)*SUMIFS(Donnees_annuelles!$AG$3:$AG$188,Donnees_annuelles!$A$3:$A$188,AR210)*SUMIFS(Donnees_annuelles!$AA$3:$AA$188,Donnees_annuelles!$A$3:$A$188,AR210)</f>
        <v/>
      </c>
      <c r="AT210" s="36">
        <f>AS210/V210</f>
        <v/>
      </c>
      <c r="AU210" s="14">
        <f>AL210</f>
        <v/>
      </c>
      <c r="AV210" s="39">
        <f>AS210-AL210</f>
        <v/>
      </c>
      <c r="AW210" s="9">
        <f>AS210/AL210-1</f>
        <v/>
      </c>
      <c r="AX210" s="14">
        <f>AS210/AJ210/12</f>
        <v/>
      </c>
      <c r="AY210" s="14">
        <f>AF210</f>
        <v/>
      </c>
      <c r="AZ210" s="39">
        <f>AX210-AF210</f>
        <v/>
      </c>
      <c r="BA210" s="14">
        <f>SUMIFS(Donnees_regimes!$S$3:$S$1118,Donnees_regimes!$A$3:$A$1118,C210,Donnees_regimes!$B$3:$B$1118,"&gt;="&amp;G210,Donnees_regimes!$B$3:$B$1118,"&lt;="&amp;N210)*L210/ROUNDUP(L210,0)*SUMIFS(Donnees_annuelles!$AH$3:$AH$188,Donnees_annuelles!$A$3:$A$188,AR210)*SUMIFS(Donnees_annuelles!$AA$3:$AA$188,Donnees_annuelles!$A$3:$A$188,AR210)</f>
        <v/>
      </c>
      <c r="BB210" s="39">
        <f>BA210-AL210</f>
        <v/>
      </c>
      <c r="BC210" s="7">
        <f>IF(M210+AJ210&gt;2026,IF(G210&gt;2026,"entièrement projeté","en partie projeté"),"observé")</f>
        <v/>
      </c>
    </row>
    <row r="211">
      <c r="A211" s="7" t="inlineStr">
        <is>
          <t>Génération silencieuse</t>
        </is>
      </c>
      <c r="B211" s="84" t="inlineStr">
        <is>
          <t>Fonction publique territoriale et hospitalière</t>
        </is>
      </c>
      <c r="C211" s="7">
        <f>IF(G211&gt;=SUMIFS(Regimes!$C$5:$C$10,Regimes!$A$5:$A$10,B211),"Privé",B211)</f>
        <v/>
      </c>
      <c r="D211" s="7">
        <f>INDEX(Regimes!$D$5:$D$10,MATCH(C211,Regimes!$A$5:$A$10,0))</f>
        <v/>
      </c>
      <c r="E211" s="88" t="n">
        <v>1940</v>
      </c>
      <c r="F211" s="8">
        <f>Donnees_generations!C28</f>
        <v/>
      </c>
      <c r="G211" s="77">
        <f>Donnees_generations!D28</f>
        <v/>
      </c>
      <c r="H211" s="8">
        <f>SUMIFS(Donnees_generations!$S$3:$S$113,Donnees_generations!$A$3:$A$113,MAX(1915,MIN(2025,E211)))</f>
        <v/>
      </c>
      <c r="I211" s="8">
        <f>SUMIFS(Donnees_generations!$T$3:$T$113,Donnees_generations!$A$3:$A$113,MAX(1915,MIN(2025,E211)))</f>
        <v/>
      </c>
      <c r="J211" s="8">
        <f>IF(G211&gt;=2000,MAX(I211,Parametres!$B$3),I211)</f>
        <v/>
      </c>
      <c r="K211" s="8">
        <f>IF(C211="Privé",J211,SUMIFS(Regles_regimes!$J$3:$J$2000,Regles_regimes!$A$3:$A$2000,C211,Regles_regimes!$B$3:$B$2000,D211,Regles_regimes!$C$3:$C$2000,MAX(1915,MIN(2025,E211))))</f>
        <v/>
      </c>
      <c r="L211" s="8">
        <f>IF(C211="Privé",H211,(K211-F211)*H211/(J211-F211))</f>
        <v/>
      </c>
      <c r="M211" s="77">
        <f>INT(E211+K211)</f>
        <v/>
      </c>
      <c r="N211" s="77">
        <f>G211+ROUNDUP(L211,0)-1</f>
        <v/>
      </c>
      <c r="O211" s="89">
        <f>SUMIFS(Regles_regimes!$K$3:$K$2000,Regles_regimes!$A$3:$A$2000,C211,Regles_regimes!$B$3:$B$2000,D211,Regles_regimes!$C$3:$C$2000,MAX(1915,MIN(2025,E211)))</f>
        <v/>
      </c>
      <c r="P211" s="13">
        <f>SUMIFS(Donnees_annuelles!$W$3:$W$188,Donnees_annuelles!$A$3:$A$188,"&gt;="&amp;G211,Donnees_annuelles!$A$3:$A$188,"&lt;="&amp;N211)*L211/ROUNDUP(L211,0)*O211</f>
        <v/>
      </c>
      <c r="Q211" s="13">
        <f>SUMIFS(Donnees_annuelles!$V$3:$V$188,Donnees_annuelles!$A$3:$A$188,"&gt;="&amp;G211,Donnees_annuelles!$A$3:$A$188,"&lt;="&amp;N211)*L211/ROUNDUP(L211,0)</f>
        <v/>
      </c>
      <c r="R211" s="13">
        <f>P211/L211</f>
        <v/>
      </c>
      <c r="S211" s="14">
        <f>SUMIFS(Donnees_annuelles!$D$3:$D$188,Donnees_annuelles!$A$3:$A$188,"&gt;="&amp;G211,Donnees_annuelles!$A$3:$A$188,"&lt;="&amp;N211)*L211/ROUNDUP(L211,0)</f>
        <v/>
      </c>
      <c r="T211" s="14">
        <f>SUMIFS(Donnees_regimes!$N$3:$N$1118,Donnees_regimes!$A$3:$A$1118,C211,Donnees_regimes!$B$3:$B$1118,"&gt;="&amp;G211,Donnees_regimes!$B$3:$B$1118,"&lt;="&amp;N211)*L211/ROUNDUP(L211,0)</f>
        <v/>
      </c>
      <c r="U211" s="14">
        <f>SUMIFS(Donnees_regimes!$O$3:$O$1118,Donnees_regimes!$A$3:$A$1118,C211,Donnees_regimes!$B$3:$B$1118,"&gt;="&amp;G211,Donnees_regimes!$B$3:$B$1118,"&lt;="&amp;N211)*L211/ROUNDUP(L211,0)</f>
        <v/>
      </c>
      <c r="V211" s="14">
        <f>T211+U211</f>
        <v/>
      </c>
      <c r="W211" s="33">
        <f>V211/S211</f>
        <v/>
      </c>
      <c r="X211" s="14">
        <f>S211+U211</f>
        <v/>
      </c>
      <c r="Y211" s="17">
        <f>V211/P211</f>
        <v/>
      </c>
      <c r="Z211" s="14">
        <f>SUMIFS(Donnees_regimes!$Q$3:$Q$1118,Donnees_regimes!$A$3:$A$1118,C211,Donnees_regimes!$B$3:$B$1118,"&gt;="&amp;G211,Donnees_regimes!$B$3:$B$1118,"&lt;="&amp;N211)*L211/ROUNDUP(L211,0)</f>
        <v/>
      </c>
      <c r="AA211" s="77">
        <f>SUMIFS(Regles_regimes!$F$3:$F$2000,Regles_regimes!$A$3:$A$2000,C211,Regles_regimes!$B$3:$B$2000,D211,Regles_regimes!$C$3:$C$2000,MAX(1915,MIN(2025,E211)))</f>
        <v/>
      </c>
      <c r="AB211" s="77">
        <f>IF(AND(SUMIFS(Regles_regimes!$L$3:$L$2000,Regles_regimes!$A$3:$A$2000,C211,Regles_regimes!$B$3:$B$2000,D211,Regles_regimes!$C$3:$C$2000,MAX(1915,MIN(2025,E211)))=1,G211&lt;2009,C211&lt;&gt;"Privé"),MIN(20,L211*4/5),0)</f>
        <v/>
      </c>
      <c r="AC211" s="89">
        <f>SUMIFS(Donnees_regimes!$M$3:$M$1118,Donnees_regimes!$A$3:$A$1118,C211,Donnees_regimes!$B$3:$B$1118,M211)</f>
        <v/>
      </c>
      <c r="AD211" s="14">
        <f>SUMIFS(Donnees_annuelles!$Y$3:$Y$188,Donnees_annuelles!$A$3:$A$188,M211)*SUMIFS(Donnees_generations!$I$3:$I$113,Donnees_generations!$A$3:$A$113,MAX(1915,MIN(2025,E211)))/H211</f>
        <v/>
      </c>
      <c r="AE211" s="14">
        <f>IF(C211="Privé",SUMIFS(Donnees_annuelles!$Y$3:$Y$188,Donnees_annuelles!$A$3:$A$188,M211)*MIN(L211,SUMIFS(Donnees_generations!$I$3:$I$113,Donnees_generations!$A$3:$A$113,MAX(1915,MIN(2025,E211))))/L211,AD211*AC211*MIN(IF(AB211&gt;0,0.8/0.75,1),(L211*4+AB211)/AA211))</f>
        <v/>
      </c>
      <c r="AF211" s="14">
        <f>AE211/12</f>
        <v/>
      </c>
      <c r="AG211" s="77">
        <f>MIN(68,MAX(56,2*INT(K211/2)))</f>
        <v/>
      </c>
      <c r="AH211" s="75">
        <f>(CHOOSE((AG211-56)/2+1,SUMIFS(Donnees_generations!$U$3:$U$113,Donnees_generations!$A$3:$A$113,MAX(1915,MIN(2025,E211))),SUMIFS(Donnees_generations!$V$3:$V$113,Donnees_generations!$A$3:$A$113,MAX(1915,MIN(2025,E211))),SUMIFS(Donnees_generations!$W$3:$W$113,Donnees_generations!$A$3:$A$113,MAX(1915,MIN(2025,E211))),SUMIFS(Donnees_generations!$X$3:$X$113,Donnees_generations!$A$3:$A$113,MAX(1915,MIN(2025,E211))),SUMIFS(Donnees_generations!$Y$3:$Y$113,Donnees_generations!$A$3:$A$113,MAX(1915,MIN(2025,E211))),SUMIFS(Donnees_generations!$Z$3:$Z$113,Donnees_generations!$A$3:$A$113,MAX(1915,MIN(2025,E211))),SUMIFS(Donnees_generations!$AA$3:$AA$113,Donnees_generations!$A$3:$A$113,MAX(1915,MIN(2025,E211))),SUMIFS(Donnees_generations!$AB$3:$AB$113,Donnees_generations!$A$3:$A$113,MAX(1915,MIN(2025,E211))))+CHOOSE((AG211-56)/2+1,SUMIFS(Donnees_generations!$AC$3:$AC$113,Donnees_generations!$A$3:$A$113,MAX(1915,MIN(2025,E211))),SUMIFS(Donnees_generations!$AD$3:$AD$113,Donnees_generations!$A$3:$A$113,MAX(1915,MIN(2025,E211))),SUMIFS(Donnees_generations!$AE$3:$AE$113,Donnees_generations!$A$3:$A$113,MAX(1915,MIN(2025,E211))),SUMIFS(Donnees_generations!$AF$3:$AF$113,Donnees_generations!$A$3:$A$113,MAX(1915,MIN(2025,E211))),SUMIFS(Donnees_generations!$AG$3:$AG$113,Donnees_generations!$A$3:$A$113,MAX(1915,MIN(2025,E211))),SUMIFS(Donnees_generations!$AH$3:$AH$113,Donnees_generations!$A$3:$A$113,MAX(1915,MIN(2025,E211))),SUMIFS(Donnees_generations!$AI$3:$AI$113,Donnees_generations!$A$3:$A$113,MAX(1915,MIN(2025,E211))),SUMIFS(Donnees_generations!$AJ$3:$AJ$113,Donnees_generations!$A$3:$A$113,MAX(1915,MIN(2025,E211)))))/2</f>
        <v/>
      </c>
      <c r="AI211" s="75">
        <f>(CHOOSE(((AG211+2)-56)/2+1,SUMIFS(Donnees_generations!$U$3:$U$113,Donnees_generations!$A$3:$A$113,MAX(1915,MIN(2025,E211))),SUMIFS(Donnees_generations!$V$3:$V$113,Donnees_generations!$A$3:$A$113,MAX(1915,MIN(2025,E211))),SUMIFS(Donnees_generations!$W$3:$W$113,Donnees_generations!$A$3:$A$113,MAX(1915,MIN(2025,E211))),SUMIFS(Donnees_generations!$X$3:$X$113,Donnees_generations!$A$3:$A$113,MAX(1915,MIN(2025,E211))),SUMIFS(Donnees_generations!$Y$3:$Y$113,Donnees_generations!$A$3:$A$113,MAX(1915,MIN(2025,E211))),SUMIFS(Donnees_generations!$Z$3:$Z$113,Donnees_generations!$A$3:$A$113,MAX(1915,MIN(2025,E211))),SUMIFS(Donnees_generations!$AA$3:$AA$113,Donnees_generations!$A$3:$A$113,MAX(1915,MIN(2025,E211))),SUMIFS(Donnees_generations!$AB$3:$AB$113,Donnees_generations!$A$3:$A$113,MAX(1915,MIN(2025,E211))))+CHOOSE(((AG211+2)-56)/2+1,SUMIFS(Donnees_generations!$AC$3:$AC$113,Donnees_generations!$A$3:$A$113,MAX(1915,MIN(2025,E211))),SUMIFS(Donnees_generations!$AD$3:$AD$113,Donnees_generations!$A$3:$A$113,MAX(1915,MIN(2025,E211))),SUMIFS(Donnees_generations!$AE$3:$AE$113,Donnees_generations!$A$3:$A$113,MAX(1915,MIN(2025,E211))),SUMIFS(Donnees_generations!$AF$3:$AF$113,Donnees_generations!$A$3:$A$113,MAX(1915,MIN(2025,E211))),SUMIFS(Donnees_generations!$AG$3:$AG$113,Donnees_generations!$A$3:$A$113,MAX(1915,MIN(2025,E211))),SUMIFS(Donnees_generations!$AH$3:$AH$113,Donnees_generations!$A$3:$A$113,MAX(1915,MIN(2025,E211))),SUMIFS(Donnees_generations!$AI$3:$AI$113,Donnees_generations!$A$3:$A$113,MAX(1915,MIN(2025,E211))),SUMIFS(Donnees_generations!$AJ$3:$AJ$113,Donnees_generations!$A$3:$A$113,MAX(1915,MIN(2025,E211)))))/2</f>
        <v/>
      </c>
      <c r="AJ211" s="8">
        <f>MAX(0,AH211+(AI211-AH211)*(K211-AG211)/2)</f>
        <v/>
      </c>
      <c r="AK211" s="8">
        <f>K211+AJ211</f>
        <v/>
      </c>
      <c r="AL211" s="14">
        <f>AE211*AJ211</f>
        <v/>
      </c>
      <c r="AM211" s="17">
        <f>V211/AL211</f>
        <v/>
      </c>
      <c r="AN211" s="17">
        <f>Z211/AL211</f>
        <v/>
      </c>
      <c r="AO211" s="33">
        <f>IF(V211+Z211=0,0,Z211/(V211+Z211))</f>
        <v/>
      </c>
      <c r="AP211" s="14">
        <f>AL211/V211*100</f>
        <v/>
      </c>
      <c r="AQ211" s="8">
        <f>P211/AL211*1000</f>
        <v/>
      </c>
      <c r="AR211" s="77">
        <f>MAX(N211,M211-1)</f>
        <v/>
      </c>
      <c r="AS211" s="14">
        <f>SUMIFS(Donnees_regimes!$R$3:$R$1118,Donnees_regimes!$A$3:$A$1118,C211,Donnees_regimes!$B$3:$B$1118,"&gt;="&amp;G211,Donnees_regimes!$B$3:$B$1118,"&lt;="&amp;N211)*L211/ROUNDUP(L211,0)*SUMIFS(Donnees_annuelles!$AG$3:$AG$188,Donnees_annuelles!$A$3:$A$188,AR211)*SUMIFS(Donnees_annuelles!$AA$3:$AA$188,Donnees_annuelles!$A$3:$A$188,AR211)</f>
        <v/>
      </c>
      <c r="AT211" s="36">
        <f>AS211/V211</f>
        <v/>
      </c>
      <c r="AU211" s="14">
        <f>AL211</f>
        <v/>
      </c>
      <c r="AV211" s="39">
        <f>AS211-AL211</f>
        <v/>
      </c>
      <c r="AW211" s="9">
        <f>AS211/AL211-1</f>
        <v/>
      </c>
      <c r="AX211" s="14">
        <f>AS211/AJ211/12</f>
        <v/>
      </c>
      <c r="AY211" s="14">
        <f>AF211</f>
        <v/>
      </c>
      <c r="AZ211" s="39">
        <f>AX211-AF211</f>
        <v/>
      </c>
      <c r="BA211" s="14">
        <f>SUMIFS(Donnees_regimes!$S$3:$S$1118,Donnees_regimes!$A$3:$A$1118,C211,Donnees_regimes!$B$3:$B$1118,"&gt;="&amp;G211,Donnees_regimes!$B$3:$B$1118,"&lt;="&amp;N211)*L211/ROUNDUP(L211,0)*SUMIFS(Donnees_annuelles!$AH$3:$AH$188,Donnees_annuelles!$A$3:$A$188,AR211)*SUMIFS(Donnees_annuelles!$AA$3:$AA$188,Donnees_annuelles!$A$3:$A$188,AR211)</f>
        <v/>
      </c>
      <c r="BB211" s="39">
        <f>BA211-AL211</f>
        <v/>
      </c>
      <c r="BC211" s="7">
        <f>IF(M211+AJ211&gt;2026,IF(G211&gt;2026,"entièrement projeté","en partie projeté"),"observé")</f>
        <v/>
      </c>
    </row>
    <row r="212">
      <c r="A212" s="7" t="inlineStr">
        <is>
          <t>Génération silencieuse</t>
        </is>
      </c>
      <c r="B212" s="84" t="inlineStr">
        <is>
          <t>Fonction publique territoriale et hospitalière</t>
        </is>
      </c>
      <c r="C212" s="7">
        <f>IF(G212&gt;=SUMIFS(Regimes!$C$5:$C$10,Regimes!$A$5:$A$10,B212),"Privé",B212)</f>
        <v/>
      </c>
      <c r="D212" s="7">
        <f>INDEX(Regimes!$D$5:$D$10,MATCH(C212,Regimes!$A$5:$A$10,0))</f>
        <v/>
      </c>
      <c r="E212" s="88" t="n">
        <v>1941</v>
      </c>
      <c r="F212" s="8">
        <f>Donnees_generations!C29</f>
        <v/>
      </c>
      <c r="G212" s="77">
        <f>Donnees_generations!D29</f>
        <v/>
      </c>
      <c r="H212" s="8">
        <f>SUMIFS(Donnees_generations!$S$3:$S$113,Donnees_generations!$A$3:$A$113,MAX(1915,MIN(2025,E212)))</f>
        <v/>
      </c>
      <c r="I212" s="8">
        <f>SUMIFS(Donnees_generations!$T$3:$T$113,Donnees_generations!$A$3:$A$113,MAX(1915,MIN(2025,E212)))</f>
        <v/>
      </c>
      <c r="J212" s="8">
        <f>IF(G212&gt;=2000,MAX(I212,Parametres!$B$3),I212)</f>
        <v/>
      </c>
      <c r="K212" s="8">
        <f>IF(C212="Privé",J212,SUMIFS(Regles_regimes!$J$3:$J$2000,Regles_regimes!$A$3:$A$2000,C212,Regles_regimes!$B$3:$B$2000,D212,Regles_regimes!$C$3:$C$2000,MAX(1915,MIN(2025,E212))))</f>
        <v/>
      </c>
      <c r="L212" s="8">
        <f>IF(C212="Privé",H212,(K212-F212)*H212/(J212-F212))</f>
        <v/>
      </c>
      <c r="M212" s="77">
        <f>INT(E212+K212)</f>
        <v/>
      </c>
      <c r="N212" s="77">
        <f>G212+ROUNDUP(L212,0)-1</f>
        <v/>
      </c>
      <c r="O212" s="89">
        <f>SUMIFS(Regles_regimes!$K$3:$K$2000,Regles_regimes!$A$3:$A$2000,C212,Regles_regimes!$B$3:$B$2000,D212,Regles_regimes!$C$3:$C$2000,MAX(1915,MIN(2025,E212)))</f>
        <v/>
      </c>
      <c r="P212" s="13">
        <f>SUMIFS(Donnees_annuelles!$W$3:$W$188,Donnees_annuelles!$A$3:$A$188,"&gt;="&amp;G212,Donnees_annuelles!$A$3:$A$188,"&lt;="&amp;N212)*L212/ROUNDUP(L212,0)*O212</f>
        <v/>
      </c>
      <c r="Q212" s="13">
        <f>SUMIFS(Donnees_annuelles!$V$3:$V$188,Donnees_annuelles!$A$3:$A$188,"&gt;="&amp;G212,Donnees_annuelles!$A$3:$A$188,"&lt;="&amp;N212)*L212/ROUNDUP(L212,0)</f>
        <v/>
      </c>
      <c r="R212" s="13">
        <f>P212/L212</f>
        <v/>
      </c>
      <c r="S212" s="14">
        <f>SUMIFS(Donnees_annuelles!$D$3:$D$188,Donnees_annuelles!$A$3:$A$188,"&gt;="&amp;G212,Donnees_annuelles!$A$3:$A$188,"&lt;="&amp;N212)*L212/ROUNDUP(L212,0)</f>
        <v/>
      </c>
      <c r="T212" s="14">
        <f>SUMIFS(Donnees_regimes!$N$3:$N$1118,Donnees_regimes!$A$3:$A$1118,C212,Donnees_regimes!$B$3:$B$1118,"&gt;="&amp;G212,Donnees_regimes!$B$3:$B$1118,"&lt;="&amp;N212)*L212/ROUNDUP(L212,0)</f>
        <v/>
      </c>
      <c r="U212" s="14">
        <f>SUMIFS(Donnees_regimes!$O$3:$O$1118,Donnees_regimes!$A$3:$A$1118,C212,Donnees_regimes!$B$3:$B$1118,"&gt;="&amp;G212,Donnees_regimes!$B$3:$B$1118,"&lt;="&amp;N212)*L212/ROUNDUP(L212,0)</f>
        <v/>
      </c>
      <c r="V212" s="14">
        <f>T212+U212</f>
        <v/>
      </c>
      <c r="W212" s="33">
        <f>V212/S212</f>
        <v/>
      </c>
      <c r="X212" s="14">
        <f>S212+U212</f>
        <v/>
      </c>
      <c r="Y212" s="17">
        <f>V212/P212</f>
        <v/>
      </c>
      <c r="Z212" s="14">
        <f>SUMIFS(Donnees_regimes!$Q$3:$Q$1118,Donnees_regimes!$A$3:$A$1118,C212,Donnees_regimes!$B$3:$B$1118,"&gt;="&amp;G212,Donnees_regimes!$B$3:$B$1118,"&lt;="&amp;N212)*L212/ROUNDUP(L212,0)</f>
        <v/>
      </c>
      <c r="AA212" s="77">
        <f>SUMIFS(Regles_regimes!$F$3:$F$2000,Regles_regimes!$A$3:$A$2000,C212,Regles_regimes!$B$3:$B$2000,D212,Regles_regimes!$C$3:$C$2000,MAX(1915,MIN(2025,E212)))</f>
        <v/>
      </c>
      <c r="AB212" s="77">
        <f>IF(AND(SUMIFS(Regles_regimes!$L$3:$L$2000,Regles_regimes!$A$3:$A$2000,C212,Regles_regimes!$B$3:$B$2000,D212,Regles_regimes!$C$3:$C$2000,MAX(1915,MIN(2025,E212)))=1,G212&lt;2009,C212&lt;&gt;"Privé"),MIN(20,L212*4/5),0)</f>
        <v/>
      </c>
      <c r="AC212" s="89">
        <f>SUMIFS(Donnees_regimes!$M$3:$M$1118,Donnees_regimes!$A$3:$A$1118,C212,Donnees_regimes!$B$3:$B$1118,M212)</f>
        <v/>
      </c>
      <c r="AD212" s="14">
        <f>SUMIFS(Donnees_annuelles!$Y$3:$Y$188,Donnees_annuelles!$A$3:$A$188,M212)*SUMIFS(Donnees_generations!$I$3:$I$113,Donnees_generations!$A$3:$A$113,MAX(1915,MIN(2025,E212)))/H212</f>
        <v/>
      </c>
      <c r="AE212" s="14">
        <f>IF(C212="Privé",SUMIFS(Donnees_annuelles!$Y$3:$Y$188,Donnees_annuelles!$A$3:$A$188,M212)*MIN(L212,SUMIFS(Donnees_generations!$I$3:$I$113,Donnees_generations!$A$3:$A$113,MAX(1915,MIN(2025,E212))))/L212,AD212*AC212*MIN(IF(AB212&gt;0,0.8/0.75,1),(L212*4+AB212)/AA212))</f>
        <v/>
      </c>
      <c r="AF212" s="14">
        <f>AE212/12</f>
        <v/>
      </c>
      <c r="AG212" s="77">
        <f>MIN(68,MAX(56,2*INT(K212/2)))</f>
        <v/>
      </c>
      <c r="AH212" s="75">
        <f>(CHOOSE((AG212-56)/2+1,SUMIFS(Donnees_generations!$U$3:$U$113,Donnees_generations!$A$3:$A$113,MAX(1915,MIN(2025,E212))),SUMIFS(Donnees_generations!$V$3:$V$113,Donnees_generations!$A$3:$A$113,MAX(1915,MIN(2025,E212))),SUMIFS(Donnees_generations!$W$3:$W$113,Donnees_generations!$A$3:$A$113,MAX(1915,MIN(2025,E212))),SUMIFS(Donnees_generations!$X$3:$X$113,Donnees_generations!$A$3:$A$113,MAX(1915,MIN(2025,E212))),SUMIFS(Donnees_generations!$Y$3:$Y$113,Donnees_generations!$A$3:$A$113,MAX(1915,MIN(2025,E212))),SUMIFS(Donnees_generations!$Z$3:$Z$113,Donnees_generations!$A$3:$A$113,MAX(1915,MIN(2025,E212))),SUMIFS(Donnees_generations!$AA$3:$AA$113,Donnees_generations!$A$3:$A$113,MAX(1915,MIN(2025,E212))),SUMIFS(Donnees_generations!$AB$3:$AB$113,Donnees_generations!$A$3:$A$113,MAX(1915,MIN(2025,E212))))+CHOOSE((AG212-56)/2+1,SUMIFS(Donnees_generations!$AC$3:$AC$113,Donnees_generations!$A$3:$A$113,MAX(1915,MIN(2025,E212))),SUMIFS(Donnees_generations!$AD$3:$AD$113,Donnees_generations!$A$3:$A$113,MAX(1915,MIN(2025,E212))),SUMIFS(Donnees_generations!$AE$3:$AE$113,Donnees_generations!$A$3:$A$113,MAX(1915,MIN(2025,E212))),SUMIFS(Donnees_generations!$AF$3:$AF$113,Donnees_generations!$A$3:$A$113,MAX(1915,MIN(2025,E212))),SUMIFS(Donnees_generations!$AG$3:$AG$113,Donnees_generations!$A$3:$A$113,MAX(1915,MIN(2025,E212))),SUMIFS(Donnees_generations!$AH$3:$AH$113,Donnees_generations!$A$3:$A$113,MAX(1915,MIN(2025,E212))),SUMIFS(Donnees_generations!$AI$3:$AI$113,Donnees_generations!$A$3:$A$113,MAX(1915,MIN(2025,E212))),SUMIFS(Donnees_generations!$AJ$3:$AJ$113,Donnees_generations!$A$3:$A$113,MAX(1915,MIN(2025,E212)))))/2</f>
        <v/>
      </c>
      <c r="AI212" s="75">
        <f>(CHOOSE(((AG212+2)-56)/2+1,SUMIFS(Donnees_generations!$U$3:$U$113,Donnees_generations!$A$3:$A$113,MAX(1915,MIN(2025,E212))),SUMIFS(Donnees_generations!$V$3:$V$113,Donnees_generations!$A$3:$A$113,MAX(1915,MIN(2025,E212))),SUMIFS(Donnees_generations!$W$3:$W$113,Donnees_generations!$A$3:$A$113,MAX(1915,MIN(2025,E212))),SUMIFS(Donnees_generations!$X$3:$X$113,Donnees_generations!$A$3:$A$113,MAX(1915,MIN(2025,E212))),SUMIFS(Donnees_generations!$Y$3:$Y$113,Donnees_generations!$A$3:$A$113,MAX(1915,MIN(2025,E212))),SUMIFS(Donnees_generations!$Z$3:$Z$113,Donnees_generations!$A$3:$A$113,MAX(1915,MIN(2025,E212))),SUMIFS(Donnees_generations!$AA$3:$AA$113,Donnees_generations!$A$3:$A$113,MAX(1915,MIN(2025,E212))),SUMIFS(Donnees_generations!$AB$3:$AB$113,Donnees_generations!$A$3:$A$113,MAX(1915,MIN(2025,E212))))+CHOOSE(((AG212+2)-56)/2+1,SUMIFS(Donnees_generations!$AC$3:$AC$113,Donnees_generations!$A$3:$A$113,MAX(1915,MIN(2025,E212))),SUMIFS(Donnees_generations!$AD$3:$AD$113,Donnees_generations!$A$3:$A$113,MAX(1915,MIN(2025,E212))),SUMIFS(Donnees_generations!$AE$3:$AE$113,Donnees_generations!$A$3:$A$113,MAX(1915,MIN(2025,E212))),SUMIFS(Donnees_generations!$AF$3:$AF$113,Donnees_generations!$A$3:$A$113,MAX(1915,MIN(2025,E212))),SUMIFS(Donnees_generations!$AG$3:$AG$113,Donnees_generations!$A$3:$A$113,MAX(1915,MIN(2025,E212))),SUMIFS(Donnees_generations!$AH$3:$AH$113,Donnees_generations!$A$3:$A$113,MAX(1915,MIN(2025,E212))),SUMIFS(Donnees_generations!$AI$3:$AI$113,Donnees_generations!$A$3:$A$113,MAX(1915,MIN(2025,E212))),SUMIFS(Donnees_generations!$AJ$3:$AJ$113,Donnees_generations!$A$3:$A$113,MAX(1915,MIN(2025,E212)))))/2</f>
        <v/>
      </c>
      <c r="AJ212" s="8">
        <f>MAX(0,AH212+(AI212-AH212)*(K212-AG212)/2)</f>
        <v/>
      </c>
      <c r="AK212" s="8">
        <f>K212+AJ212</f>
        <v/>
      </c>
      <c r="AL212" s="14">
        <f>AE212*AJ212</f>
        <v/>
      </c>
      <c r="AM212" s="17">
        <f>V212/AL212</f>
        <v/>
      </c>
      <c r="AN212" s="17">
        <f>Z212/AL212</f>
        <v/>
      </c>
      <c r="AO212" s="33">
        <f>IF(V212+Z212=0,0,Z212/(V212+Z212))</f>
        <v/>
      </c>
      <c r="AP212" s="14">
        <f>AL212/V212*100</f>
        <v/>
      </c>
      <c r="AQ212" s="8">
        <f>P212/AL212*1000</f>
        <v/>
      </c>
      <c r="AR212" s="77">
        <f>MAX(N212,M212-1)</f>
        <v/>
      </c>
      <c r="AS212" s="14">
        <f>SUMIFS(Donnees_regimes!$R$3:$R$1118,Donnees_regimes!$A$3:$A$1118,C212,Donnees_regimes!$B$3:$B$1118,"&gt;="&amp;G212,Donnees_regimes!$B$3:$B$1118,"&lt;="&amp;N212)*L212/ROUNDUP(L212,0)*SUMIFS(Donnees_annuelles!$AG$3:$AG$188,Donnees_annuelles!$A$3:$A$188,AR212)*SUMIFS(Donnees_annuelles!$AA$3:$AA$188,Donnees_annuelles!$A$3:$A$188,AR212)</f>
        <v/>
      </c>
      <c r="AT212" s="36">
        <f>AS212/V212</f>
        <v/>
      </c>
      <c r="AU212" s="14">
        <f>AL212</f>
        <v/>
      </c>
      <c r="AV212" s="39">
        <f>AS212-AL212</f>
        <v/>
      </c>
      <c r="AW212" s="9">
        <f>AS212/AL212-1</f>
        <v/>
      </c>
      <c r="AX212" s="14">
        <f>AS212/AJ212/12</f>
        <v/>
      </c>
      <c r="AY212" s="14">
        <f>AF212</f>
        <v/>
      </c>
      <c r="AZ212" s="39">
        <f>AX212-AF212</f>
        <v/>
      </c>
      <c r="BA212" s="14">
        <f>SUMIFS(Donnees_regimes!$S$3:$S$1118,Donnees_regimes!$A$3:$A$1118,C212,Donnees_regimes!$B$3:$B$1118,"&gt;="&amp;G212,Donnees_regimes!$B$3:$B$1118,"&lt;="&amp;N212)*L212/ROUNDUP(L212,0)*SUMIFS(Donnees_annuelles!$AH$3:$AH$188,Donnees_annuelles!$A$3:$A$188,AR212)*SUMIFS(Donnees_annuelles!$AA$3:$AA$188,Donnees_annuelles!$A$3:$A$188,AR212)</f>
        <v/>
      </c>
      <c r="BB212" s="39">
        <f>BA212-AL212</f>
        <v/>
      </c>
      <c r="BC212" s="7">
        <f>IF(M212+AJ212&gt;2026,IF(G212&gt;2026,"entièrement projeté","en partie projeté"),"observé")</f>
        <v/>
      </c>
    </row>
    <row r="213">
      <c r="A213" s="7" t="inlineStr">
        <is>
          <t>Génération silencieuse</t>
        </is>
      </c>
      <c r="B213" s="84" t="inlineStr">
        <is>
          <t>Fonction publique territoriale et hospitalière</t>
        </is>
      </c>
      <c r="C213" s="7">
        <f>IF(G213&gt;=SUMIFS(Regimes!$C$5:$C$10,Regimes!$A$5:$A$10,B213),"Privé",B213)</f>
        <v/>
      </c>
      <c r="D213" s="7">
        <f>INDEX(Regimes!$D$5:$D$10,MATCH(C213,Regimes!$A$5:$A$10,0))</f>
        <v/>
      </c>
      <c r="E213" s="88" t="n">
        <v>1942</v>
      </c>
      <c r="F213" s="8">
        <f>Donnees_generations!C30</f>
        <v/>
      </c>
      <c r="G213" s="77">
        <f>Donnees_generations!D30</f>
        <v/>
      </c>
      <c r="H213" s="8">
        <f>SUMIFS(Donnees_generations!$S$3:$S$113,Donnees_generations!$A$3:$A$113,MAX(1915,MIN(2025,E213)))</f>
        <v/>
      </c>
      <c r="I213" s="8">
        <f>SUMIFS(Donnees_generations!$T$3:$T$113,Donnees_generations!$A$3:$A$113,MAX(1915,MIN(2025,E213)))</f>
        <v/>
      </c>
      <c r="J213" s="8">
        <f>IF(G213&gt;=2000,MAX(I213,Parametres!$B$3),I213)</f>
        <v/>
      </c>
      <c r="K213" s="8">
        <f>IF(C213="Privé",J213,SUMIFS(Regles_regimes!$J$3:$J$2000,Regles_regimes!$A$3:$A$2000,C213,Regles_regimes!$B$3:$B$2000,D213,Regles_regimes!$C$3:$C$2000,MAX(1915,MIN(2025,E213))))</f>
        <v/>
      </c>
      <c r="L213" s="8">
        <f>IF(C213="Privé",H213,(K213-F213)*H213/(J213-F213))</f>
        <v/>
      </c>
      <c r="M213" s="77">
        <f>INT(E213+K213)</f>
        <v/>
      </c>
      <c r="N213" s="77">
        <f>G213+ROUNDUP(L213,0)-1</f>
        <v/>
      </c>
      <c r="O213" s="89">
        <f>SUMIFS(Regles_regimes!$K$3:$K$2000,Regles_regimes!$A$3:$A$2000,C213,Regles_regimes!$B$3:$B$2000,D213,Regles_regimes!$C$3:$C$2000,MAX(1915,MIN(2025,E213)))</f>
        <v/>
      </c>
      <c r="P213" s="13">
        <f>SUMIFS(Donnees_annuelles!$W$3:$W$188,Donnees_annuelles!$A$3:$A$188,"&gt;="&amp;G213,Donnees_annuelles!$A$3:$A$188,"&lt;="&amp;N213)*L213/ROUNDUP(L213,0)*O213</f>
        <v/>
      </c>
      <c r="Q213" s="13">
        <f>SUMIFS(Donnees_annuelles!$V$3:$V$188,Donnees_annuelles!$A$3:$A$188,"&gt;="&amp;G213,Donnees_annuelles!$A$3:$A$188,"&lt;="&amp;N213)*L213/ROUNDUP(L213,0)</f>
        <v/>
      </c>
      <c r="R213" s="13">
        <f>P213/L213</f>
        <v/>
      </c>
      <c r="S213" s="14">
        <f>SUMIFS(Donnees_annuelles!$D$3:$D$188,Donnees_annuelles!$A$3:$A$188,"&gt;="&amp;G213,Donnees_annuelles!$A$3:$A$188,"&lt;="&amp;N213)*L213/ROUNDUP(L213,0)</f>
        <v/>
      </c>
      <c r="T213" s="14">
        <f>SUMIFS(Donnees_regimes!$N$3:$N$1118,Donnees_regimes!$A$3:$A$1118,C213,Donnees_regimes!$B$3:$B$1118,"&gt;="&amp;G213,Donnees_regimes!$B$3:$B$1118,"&lt;="&amp;N213)*L213/ROUNDUP(L213,0)</f>
        <v/>
      </c>
      <c r="U213" s="14">
        <f>SUMIFS(Donnees_regimes!$O$3:$O$1118,Donnees_regimes!$A$3:$A$1118,C213,Donnees_regimes!$B$3:$B$1118,"&gt;="&amp;G213,Donnees_regimes!$B$3:$B$1118,"&lt;="&amp;N213)*L213/ROUNDUP(L213,0)</f>
        <v/>
      </c>
      <c r="V213" s="14">
        <f>T213+U213</f>
        <v/>
      </c>
      <c r="W213" s="33">
        <f>V213/S213</f>
        <v/>
      </c>
      <c r="X213" s="14">
        <f>S213+U213</f>
        <v/>
      </c>
      <c r="Y213" s="17">
        <f>V213/P213</f>
        <v/>
      </c>
      <c r="Z213" s="14">
        <f>SUMIFS(Donnees_regimes!$Q$3:$Q$1118,Donnees_regimes!$A$3:$A$1118,C213,Donnees_regimes!$B$3:$B$1118,"&gt;="&amp;G213,Donnees_regimes!$B$3:$B$1118,"&lt;="&amp;N213)*L213/ROUNDUP(L213,0)</f>
        <v/>
      </c>
      <c r="AA213" s="77">
        <f>SUMIFS(Regles_regimes!$F$3:$F$2000,Regles_regimes!$A$3:$A$2000,C213,Regles_regimes!$B$3:$B$2000,D213,Regles_regimes!$C$3:$C$2000,MAX(1915,MIN(2025,E213)))</f>
        <v/>
      </c>
      <c r="AB213" s="77">
        <f>IF(AND(SUMIFS(Regles_regimes!$L$3:$L$2000,Regles_regimes!$A$3:$A$2000,C213,Regles_regimes!$B$3:$B$2000,D213,Regles_regimes!$C$3:$C$2000,MAX(1915,MIN(2025,E213)))=1,G213&lt;2009,C213&lt;&gt;"Privé"),MIN(20,L213*4/5),0)</f>
        <v/>
      </c>
      <c r="AC213" s="89">
        <f>SUMIFS(Donnees_regimes!$M$3:$M$1118,Donnees_regimes!$A$3:$A$1118,C213,Donnees_regimes!$B$3:$B$1118,M213)</f>
        <v/>
      </c>
      <c r="AD213" s="14">
        <f>SUMIFS(Donnees_annuelles!$Y$3:$Y$188,Donnees_annuelles!$A$3:$A$188,M213)*SUMIFS(Donnees_generations!$I$3:$I$113,Donnees_generations!$A$3:$A$113,MAX(1915,MIN(2025,E213)))/H213</f>
        <v/>
      </c>
      <c r="AE213" s="14">
        <f>IF(C213="Privé",SUMIFS(Donnees_annuelles!$Y$3:$Y$188,Donnees_annuelles!$A$3:$A$188,M213)*MIN(L213,SUMIFS(Donnees_generations!$I$3:$I$113,Donnees_generations!$A$3:$A$113,MAX(1915,MIN(2025,E213))))/L213,AD213*AC213*MIN(IF(AB213&gt;0,0.8/0.75,1),(L213*4+AB213)/AA213))</f>
        <v/>
      </c>
      <c r="AF213" s="14">
        <f>AE213/12</f>
        <v/>
      </c>
      <c r="AG213" s="77">
        <f>MIN(68,MAX(56,2*INT(K213/2)))</f>
        <v/>
      </c>
      <c r="AH213" s="75">
        <f>(CHOOSE((AG213-56)/2+1,SUMIFS(Donnees_generations!$U$3:$U$113,Donnees_generations!$A$3:$A$113,MAX(1915,MIN(2025,E213))),SUMIFS(Donnees_generations!$V$3:$V$113,Donnees_generations!$A$3:$A$113,MAX(1915,MIN(2025,E213))),SUMIFS(Donnees_generations!$W$3:$W$113,Donnees_generations!$A$3:$A$113,MAX(1915,MIN(2025,E213))),SUMIFS(Donnees_generations!$X$3:$X$113,Donnees_generations!$A$3:$A$113,MAX(1915,MIN(2025,E213))),SUMIFS(Donnees_generations!$Y$3:$Y$113,Donnees_generations!$A$3:$A$113,MAX(1915,MIN(2025,E213))),SUMIFS(Donnees_generations!$Z$3:$Z$113,Donnees_generations!$A$3:$A$113,MAX(1915,MIN(2025,E213))),SUMIFS(Donnees_generations!$AA$3:$AA$113,Donnees_generations!$A$3:$A$113,MAX(1915,MIN(2025,E213))),SUMIFS(Donnees_generations!$AB$3:$AB$113,Donnees_generations!$A$3:$A$113,MAX(1915,MIN(2025,E213))))+CHOOSE((AG213-56)/2+1,SUMIFS(Donnees_generations!$AC$3:$AC$113,Donnees_generations!$A$3:$A$113,MAX(1915,MIN(2025,E213))),SUMIFS(Donnees_generations!$AD$3:$AD$113,Donnees_generations!$A$3:$A$113,MAX(1915,MIN(2025,E213))),SUMIFS(Donnees_generations!$AE$3:$AE$113,Donnees_generations!$A$3:$A$113,MAX(1915,MIN(2025,E213))),SUMIFS(Donnees_generations!$AF$3:$AF$113,Donnees_generations!$A$3:$A$113,MAX(1915,MIN(2025,E213))),SUMIFS(Donnees_generations!$AG$3:$AG$113,Donnees_generations!$A$3:$A$113,MAX(1915,MIN(2025,E213))),SUMIFS(Donnees_generations!$AH$3:$AH$113,Donnees_generations!$A$3:$A$113,MAX(1915,MIN(2025,E213))),SUMIFS(Donnees_generations!$AI$3:$AI$113,Donnees_generations!$A$3:$A$113,MAX(1915,MIN(2025,E213))),SUMIFS(Donnees_generations!$AJ$3:$AJ$113,Donnees_generations!$A$3:$A$113,MAX(1915,MIN(2025,E213)))))/2</f>
        <v/>
      </c>
      <c r="AI213" s="75">
        <f>(CHOOSE(((AG213+2)-56)/2+1,SUMIFS(Donnees_generations!$U$3:$U$113,Donnees_generations!$A$3:$A$113,MAX(1915,MIN(2025,E213))),SUMIFS(Donnees_generations!$V$3:$V$113,Donnees_generations!$A$3:$A$113,MAX(1915,MIN(2025,E213))),SUMIFS(Donnees_generations!$W$3:$W$113,Donnees_generations!$A$3:$A$113,MAX(1915,MIN(2025,E213))),SUMIFS(Donnees_generations!$X$3:$X$113,Donnees_generations!$A$3:$A$113,MAX(1915,MIN(2025,E213))),SUMIFS(Donnees_generations!$Y$3:$Y$113,Donnees_generations!$A$3:$A$113,MAX(1915,MIN(2025,E213))),SUMIFS(Donnees_generations!$Z$3:$Z$113,Donnees_generations!$A$3:$A$113,MAX(1915,MIN(2025,E213))),SUMIFS(Donnees_generations!$AA$3:$AA$113,Donnees_generations!$A$3:$A$113,MAX(1915,MIN(2025,E213))),SUMIFS(Donnees_generations!$AB$3:$AB$113,Donnees_generations!$A$3:$A$113,MAX(1915,MIN(2025,E213))))+CHOOSE(((AG213+2)-56)/2+1,SUMIFS(Donnees_generations!$AC$3:$AC$113,Donnees_generations!$A$3:$A$113,MAX(1915,MIN(2025,E213))),SUMIFS(Donnees_generations!$AD$3:$AD$113,Donnees_generations!$A$3:$A$113,MAX(1915,MIN(2025,E213))),SUMIFS(Donnees_generations!$AE$3:$AE$113,Donnees_generations!$A$3:$A$113,MAX(1915,MIN(2025,E213))),SUMIFS(Donnees_generations!$AF$3:$AF$113,Donnees_generations!$A$3:$A$113,MAX(1915,MIN(2025,E213))),SUMIFS(Donnees_generations!$AG$3:$AG$113,Donnees_generations!$A$3:$A$113,MAX(1915,MIN(2025,E213))),SUMIFS(Donnees_generations!$AH$3:$AH$113,Donnees_generations!$A$3:$A$113,MAX(1915,MIN(2025,E213))),SUMIFS(Donnees_generations!$AI$3:$AI$113,Donnees_generations!$A$3:$A$113,MAX(1915,MIN(2025,E213))),SUMIFS(Donnees_generations!$AJ$3:$AJ$113,Donnees_generations!$A$3:$A$113,MAX(1915,MIN(2025,E213)))))/2</f>
        <v/>
      </c>
      <c r="AJ213" s="8">
        <f>MAX(0,AH213+(AI213-AH213)*(K213-AG213)/2)</f>
        <v/>
      </c>
      <c r="AK213" s="8">
        <f>K213+AJ213</f>
        <v/>
      </c>
      <c r="AL213" s="14">
        <f>AE213*AJ213</f>
        <v/>
      </c>
      <c r="AM213" s="17">
        <f>V213/AL213</f>
        <v/>
      </c>
      <c r="AN213" s="17">
        <f>Z213/AL213</f>
        <v/>
      </c>
      <c r="AO213" s="33">
        <f>IF(V213+Z213=0,0,Z213/(V213+Z213))</f>
        <v/>
      </c>
      <c r="AP213" s="14">
        <f>AL213/V213*100</f>
        <v/>
      </c>
      <c r="AQ213" s="8">
        <f>P213/AL213*1000</f>
        <v/>
      </c>
      <c r="AR213" s="77">
        <f>MAX(N213,M213-1)</f>
        <v/>
      </c>
      <c r="AS213" s="14">
        <f>SUMIFS(Donnees_regimes!$R$3:$R$1118,Donnees_regimes!$A$3:$A$1118,C213,Donnees_regimes!$B$3:$B$1118,"&gt;="&amp;G213,Donnees_regimes!$B$3:$B$1118,"&lt;="&amp;N213)*L213/ROUNDUP(L213,0)*SUMIFS(Donnees_annuelles!$AG$3:$AG$188,Donnees_annuelles!$A$3:$A$188,AR213)*SUMIFS(Donnees_annuelles!$AA$3:$AA$188,Donnees_annuelles!$A$3:$A$188,AR213)</f>
        <v/>
      </c>
      <c r="AT213" s="36">
        <f>AS213/V213</f>
        <v/>
      </c>
      <c r="AU213" s="14">
        <f>AL213</f>
        <v/>
      </c>
      <c r="AV213" s="39">
        <f>AS213-AL213</f>
        <v/>
      </c>
      <c r="AW213" s="9">
        <f>AS213/AL213-1</f>
        <v/>
      </c>
      <c r="AX213" s="14">
        <f>AS213/AJ213/12</f>
        <v/>
      </c>
      <c r="AY213" s="14">
        <f>AF213</f>
        <v/>
      </c>
      <c r="AZ213" s="39">
        <f>AX213-AF213</f>
        <v/>
      </c>
      <c r="BA213" s="14">
        <f>SUMIFS(Donnees_regimes!$S$3:$S$1118,Donnees_regimes!$A$3:$A$1118,C213,Donnees_regimes!$B$3:$B$1118,"&gt;="&amp;G213,Donnees_regimes!$B$3:$B$1118,"&lt;="&amp;N213)*L213/ROUNDUP(L213,0)*SUMIFS(Donnees_annuelles!$AH$3:$AH$188,Donnees_annuelles!$A$3:$A$188,AR213)*SUMIFS(Donnees_annuelles!$AA$3:$AA$188,Donnees_annuelles!$A$3:$A$188,AR213)</f>
        <v/>
      </c>
      <c r="BB213" s="39">
        <f>BA213-AL213</f>
        <v/>
      </c>
      <c r="BC213" s="7">
        <f>IF(M213+AJ213&gt;2026,IF(G213&gt;2026,"entièrement projeté","en partie projeté"),"observé")</f>
        <v/>
      </c>
    </row>
    <row r="214">
      <c r="A214" s="7" t="inlineStr">
        <is>
          <t>Génération silencieuse</t>
        </is>
      </c>
      <c r="B214" s="84" t="inlineStr">
        <is>
          <t>Fonction publique territoriale et hospitalière</t>
        </is>
      </c>
      <c r="C214" s="7">
        <f>IF(G214&gt;=SUMIFS(Regimes!$C$5:$C$10,Regimes!$A$5:$A$10,B214),"Privé",B214)</f>
        <v/>
      </c>
      <c r="D214" s="7">
        <f>INDEX(Regimes!$D$5:$D$10,MATCH(C214,Regimes!$A$5:$A$10,0))</f>
        <v/>
      </c>
      <c r="E214" s="88" t="n">
        <v>1943</v>
      </c>
      <c r="F214" s="8">
        <f>Donnees_generations!C31</f>
        <v/>
      </c>
      <c r="G214" s="77">
        <f>Donnees_generations!D31</f>
        <v/>
      </c>
      <c r="H214" s="8">
        <f>SUMIFS(Donnees_generations!$S$3:$S$113,Donnees_generations!$A$3:$A$113,MAX(1915,MIN(2025,E214)))</f>
        <v/>
      </c>
      <c r="I214" s="8">
        <f>SUMIFS(Donnees_generations!$T$3:$T$113,Donnees_generations!$A$3:$A$113,MAX(1915,MIN(2025,E214)))</f>
        <v/>
      </c>
      <c r="J214" s="8">
        <f>IF(G214&gt;=2000,MAX(I214,Parametres!$B$3),I214)</f>
        <v/>
      </c>
      <c r="K214" s="8">
        <f>IF(C214="Privé",J214,SUMIFS(Regles_regimes!$J$3:$J$2000,Regles_regimes!$A$3:$A$2000,C214,Regles_regimes!$B$3:$B$2000,D214,Regles_regimes!$C$3:$C$2000,MAX(1915,MIN(2025,E214))))</f>
        <v/>
      </c>
      <c r="L214" s="8">
        <f>IF(C214="Privé",H214,(K214-F214)*H214/(J214-F214))</f>
        <v/>
      </c>
      <c r="M214" s="77">
        <f>INT(E214+K214)</f>
        <v/>
      </c>
      <c r="N214" s="77">
        <f>G214+ROUNDUP(L214,0)-1</f>
        <v/>
      </c>
      <c r="O214" s="89">
        <f>SUMIFS(Regles_regimes!$K$3:$K$2000,Regles_regimes!$A$3:$A$2000,C214,Regles_regimes!$B$3:$B$2000,D214,Regles_regimes!$C$3:$C$2000,MAX(1915,MIN(2025,E214)))</f>
        <v/>
      </c>
      <c r="P214" s="13">
        <f>SUMIFS(Donnees_annuelles!$W$3:$W$188,Donnees_annuelles!$A$3:$A$188,"&gt;="&amp;G214,Donnees_annuelles!$A$3:$A$188,"&lt;="&amp;N214)*L214/ROUNDUP(L214,0)*O214</f>
        <v/>
      </c>
      <c r="Q214" s="13">
        <f>SUMIFS(Donnees_annuelles!$V$3:$V$188,Donnees_annuelles!$A$3:$A$188,"&gt;="&amp;G214,Donnees_annuelles!$A$3:$A$188,"&lt;="&amp;N214)*L214/ROUNDUP(L214,0)</f>
        <v/>
      </c>
      <c r="R214" s="13">
        <f>P214/L214</f>
        <v/>
      </c>
      <c r="S214" s="14">
        <f>SUMIFS(Donnees_annuelles!$D$3:$D$188,Donnees_annuelles!$A$3:$A$188,"&gt;="&amp;G214,Donnees_annuelles!$A$3:$A$188,"&lt;="&amp;N214)*L214/ROUNDUP(L214,0)</f>
        <v/>
      </c>
      <c r="T214" s="14">
        <f>SUMIFS(Donnees_regimes!$N$3:$N$1118,Donnees_regimes!$A$3:$A$1118,C214,Donnees_regimes!$B$3:$B$1118,"&gt;="&amp;G214,Donnees_regimes!$B$3:$B$1118,"&lt;="&amp;N214)*L214/ROUNDUP(L214,0)</f>
        <v/>
      </c>
      <c r="U214" s="14">
        <f>SUMIFS(Donnees_regimes!$O$3:$O$1118,Donnees_regimes!$A$3:$A$1118,C214,Donnees_regimes!$B$3:$B$1118,"&gt;="&amp;G214,Donnees_regimes!$B$3:$B$1118,"&lt;="&amp;N214)*L214/ROUNDUP(L214,0)</f>
        <v/>
      </c>
      <c r="V214" s="14">
        <f>T214+U214</f>
        <v/>
      </c>
      <c r="W214" s="33">
        <f>V214/S214</f>
        <v/>
      </c>
      <c r="X214" s="14">
        <f>S214+U214</f>
        <v/>
      </c>
      <c r="Y214" s="17">
        <f>V214/P214</f>
        <v/>
      </c>
      <c r="Z214" s="14">
        <f>SUMIFS(Donnees_regimes!$Q$3:$Q$1118,Donnees_regimes!$A$3:$A$1118,C214,Donnees_regimes!$B$3:$B$1118,"&gt;="&amp;G214,Donnees_regimes!$B$3:$B$1118,"&lt;="&amp;N214)*L214/ROUNDUP(L214,0)</f>
        <v/>
      </c>
      <c r="AA214" s="77">
        <f>SUMIFS(Regles_regimes!$F$3:$F$2000,Regles_regimes!$A$3:$A$2000,C214,Regles_regimes!$B$3:$B$2000,D214,Regles_regimes!$C$3:$C$2000,MAX(1915,MIN(2025,E214)))</f>
        <v/>
      </c>
      <c r="AB214" s="77">
        <f>IF(AND(SUMIFS(Regles_regimes!$L$3:$L$2000,Regles_regimes!$A$3:$A$2000,C214,Regles_regimes!$B$3:$B$2000,D214,Regles_regimes!$C$3:$C$2000,MAX(1915,MIN(2025,E214)))=1,G214&lt;2009,C214&lt;&gt;"Privé"),MIN(20,L214*4/5),0)</f>
        <v/>
      </c>
      <c r="AC214" s="89">
        <f>SUMIFS(Donnees_regimes!$M$3:$M$1118,Donnees_regimes!$A$3:$A$1118,C214,Donnees_regimes!$B$3:$B$1118,M214)</f>
        <v/>
      </c>
      <c r="AD214" s="14">
        <f>SUMIFS(Donnees_annuelles!$Y$3:$Y$188,Donnees_annuelles!$A$3:$A$188,M214)*SUMIFS(Donnees_generations!$I$3:$I$113,Donnees_generations!$A$3:$A$113,MAX(1915,MIN(2025,E214)))/H214</f>
        <v/>
      </c>
      <c r="AE214" s="14">
        <f>IF(C214="Privé",SUMIFS(Donnees_annuelles!$Y$3:$Y$188,Donnees_annuelles!$A$3:$A$188,M214)*MIN(L214,SUMIFS(Donnees_generations!$I$3:$I$113,Donnees_generations!$A$3:$A$113,MAX(1915,MIN(2025,E214))))/L214,AD214*AC214*MIN(IF(AB214&gt;0,0.8/0.75,1),(L214*4+AB214)/AA214))</f>
        <v/>
      </c>
      <c r="AF214" s="14">
        <f>AE214/12</f>
        <v/>
      </c>
      <c r="AG214" s="77">
        <f>MIN(68,MAX(56,2*INT(K214/2)))</f>
        <v/>
      </c>
      <c r="AH214" s="75">
        <f>(CHOOSE((AG214-56)/2+1,SUMIFS(Donnees_generations!$U$3:$U$113,Donnees_generations!$A$3:$A$113,MAX(1915,MIN(2025,E214))),SUMIFS(Donnees_generations!$V$3:$V$113,Donnees_generations!$A$3:$A$113,MAX(1915,MIN(2025,E214))),SUMIFS(Donnees_generations!$W$3:$W$113,Donnees_generations!$A$3:$A$113,MAX(1915,MIN(2025,E214))),SUMIFS(Donnees_generations!$X$3:$X$113,Donnees_generations!$A$3:$A$113,MAX(1915,MIN(2025,E214))),SUMIFS(Donnees_generations!$Y$3:$Y$113,Donnees_generations!$A$3:$A$113,MAX(1915,MIN(2025,E214))),SUMIFS(Donnees_generations!$Z$3:$Z$113,Donnees_generations!$A$3:$A$113,MAX(1915,MIN(2025,E214))),SUMIFS(Donnees_generations!$AA$3:$AA$113,Donnees_generations!$A$3:$A$113,MAX(1915,MIN(2025,E214))),SUMIFS(Donnees_generations!$AB$3:$AB$113,Donnees_generations!$A$3:$A$113,MAX(1915,MIN(2025,E214))))+CHOOSE((AG214-56)/2+1,SUMIFS(Donnees_generations!$AC$3:$AC$113,Donnees_generations!$A$3:$A$113,MAX(1915,MIN(2025,E214))),SUMIFS(Donnees_generations!$AD$3:$AD$113,Donnees_generations!$A$3:$A$113,MAX(1915,MIN(2025,E214))),SUMIFS(Donnees_generations!$AE$3:$AE$113,Donnees_generations!$A$3:$A$113,MAX(1915,MIN(2025,E214))),SUMIFS(Donnees_generations!$AF$3:$AF$113,Donnees_generations!$A$3:$A$113,MAX(1915,MIN(2025,E214))),SUMIFS(Donnees_generations!$AG$3:$AG$113,Donnees_generations!$A$3:$A$113,MAX(1915,MIN(2025,E214))),SUMIFS(Donnees_generations!$AH$3:$AH$113,Donnees_generations!$A$3:$A$113,MAX(1915,MIN(2025,E214))),SUMIFS(Donnees_generations!$AI$3:$AI$113,Donnees_generations!$A$3:$A$113,MAX(1915,MIN(2025,E214))),SUMIFS(Donnees_generations!$AJ$3:$AJ$113,Donnees_generations!$A$3:$A$113,MAX(1915,MIN(2025,E214)))))/2</f>
        <v/>
      </c>
      <c r="AI214" s="75">
        <f>(CHOOSE(((AG214+2)-56)/2+1,SUMIFS(Donnees_generations!$U$3:$U$113,Donnees_generations!$A$3:$A$113,MAX(1915,MIN(2025,E214))),SUMIFS(Donnees_generations!$V$3:$V$113,Donnees_generations!$A$3:$A$113,MAX(1915,MIN(2025,E214))),SUMIFS(Donnees_generations!$W$3:$W$113,Donnees_generations!$A$3:$A$113,MAX(1915,MIN(2025,E214))),SUMIFS(Donnees_generations!$X$3:$X$113,Donnees_generations!$A$3:$A$113,MAX(1915,MIN(2025,E214))),SUMIFS(Donnees_generations!$Y$3:$Y$113,Donnees_generations!$A$3:$A$113,MAX(1915,MIN(2025,E214))),SUMIFS(Donnees_generations!$Z$3:$Z$113,Donnees_generations!$A$3:$A$113,MAX(1915,MIN(2025,E214))),SUMIFS(Donnees_generations!$AA$3:$AA$113,Donnees_generations!$A$3:$A$113,MAX(1915,MIN(2025,E214))),SUMIFS(Donnees_generations!$AB$3:$AB$113,Donnees_generations!$A$3:$A$113,MAX(1915,MIN(2025,E214))))+CHOOSE(((AG214+2)-56)/2+1,SUMIFS(Donnees_generations!$AC$3:$AC$113,Donnees_generations!$A$3:$A$113,MAX(1915,MIN(2025,E214))),SUMIFS(Donnees_generations!$AD$3:$AD$113,Donnees_generations!$A$3:$A$113,MAX(1915,MIN(2025,E214))),SUMIFS(Donnees_generations!$AE$3:$AE$113,Donnees_generations!$A$3:$A$113,MAX(1915,MIN(2025,E214))),SUMIFS(Donnees_generations!$AF$3:$AF$113,Donnees_generations!$A$3:$A$113,MAX(1915,MIN(2025,E214))),SUMIFS(Donnees_generations!$AG$3:$AG$113,Donnees_generations!$A$3:$A$113,MAX(1915,MIN(2025,E214))),SUMIFS(Donnees_generations!$AH$3:$AH$113,Donnees_generations!$A$3:$A$113,MAX(1915,MIN(2025,E214))),SUMIFS(Donnees_generations!$AI$3:$AI$113,Donnees_generations!$A$3:$A$113,MAX(1915,MIN(2025,E214))),SUMIFS(Donnees_generations!$AJ$3:$AJ$113,Donnees_generations!$A$3:$A$113,MAX(1915,MIN(2025,E214)))))/2</f>
        <v/>
      </c>
      <c r="AJ214" s="8">
        <f>MAX(0,AH214+(AI214-AH214)*(K214-AG214)/2)</f>
        <v/>
      </c>
      <c r="AK214" s="8">
        <f>K214+AJ214</f>
        <v/>
      </c>
      <c r="AL214" s="14">
        <f>AE214*AJ214</f>
        <v/>
      </c>
      <c r="AM214" s="17">
        <f>V214/AL214</f>
        <v/>
      </c>
      <c r="AN214" s="17">
        <f>Z214/AL214</f>
        <v/>
      </c>
      <c r="AO214" s="33">
        <f>IF(V214+Z214=0,0,Z214/(V214+Z214))</f>
        <v/>
      </c>
      <c r="AP214" s="14">
        <f>AL214/V214*100</f>
        <v/>
      </c>
      <c r="AQ214" s="8">
        <f>P214/AL214*1000</f>
        <v/>
      </c>
      <c r="AR214" s="77">
        <f>MAX(N214,M214-1)</f>
        <v/>
      </c>
      <c r="AS214" s="14">
        <f>SUMIFS(Donnees_regimes!$R$3:$R$1118,Donnees_regimes!$A$3:$A$1118,C214,Donnees_regimes!$B$3:$B$1118,"&gt;="&amp;G214,Donnees_regimes!$B$3:$B$1118,"&lt;="&amp;N214)*L214/ROUNDUP(L214,0)*SUMIFS(Donnees_annuelles!$AG$3:$AG$188,Donnees_annuelles!$A$3:$A$188,AR214)*SUMIFS(Donnees_annuelles!$AA$3:$AA$188,Donnees_annuelles!$A$3:$A$188,AR214)</f>
        <v/>
      </c>
      <c r="AT214" s="36">
        <f>AS214/V214</f>
        <v/>
      </c>
      <c r="AU214" s="14">
        <f>AL214</f>
        <v/>
      </c>
      <c r="AV214" s="39">
        <f>AS214-AL214</f>
        <v/>
      </c>
      <c r="AW214" s="9">
        <f>AS214/AL214-1</f>
        <v/>
      </c>
      <c r="AX214" s="14">
        <f>AS214/AJ214/12</f>
        <v/>
      </c>
      <c r="AY214" s="14">
        <f>AF214</f>
        <v/>
      </c>
      <c r="AZ214" s="39">
        <f>AX214-AF214</f>
        <v/>
      </c>
      <c r="BA214" s="14">
        <f>SUMIFS(Donnees_regimes!$S$3:$S$1118,Donnees_regimes!$A$3:$A$1118,C214,Donnees_regimes!$B$3:$B$1118,"&gt;="&amp;G214,Donnees_regimes!$B$3:$B$1118,"&lt;="&amp;N214)*L214/ROUNDUP(L214,0)*SUMIFS(Donnees_annuelles!$AH$3:$AH$188,Donnees_annuelles!$A$3:$A$188,AR214)*SUMIFS(Donnees_annuelles!$AA$3:$AA$188,Donnees_annuelles!$A$3:$A$188,AR214)</f>
        <v/>
      </c>
      <c r="BB214" s="39">
        <f>BA214-AL214</f>
        <v/>
      </c>
      <c r="BC214" s="7">
        <f>IF(M214+AJ214&gt;2026,IF(G214&gt;2026,"entièrement projeté","en partie projeté"),"observé")</f>
        <v/>
      </c>
    </row>
    <row r="215">
      <c r="A215" s="7" t="inlineStr">
        <is>
          <t>Génération silencieuse</t>
        </is>
      </c>
      <c r="B215" s="84" t="inlineStr">
        <is>
          <t>Fonction publique territoriale et hospitalière</t>
        </is>
      </c>
      <c r="C215" s="7">
        <f>IF(G215&gt;=SUMIFS(Regimes!$C$5:$C$10,Regimes!$A$5:$A$10,B215),"Privé",B215)</f>
        <v/>
      </c>
      <c r="D215" s="7">
        <f>INDEX(Regimes!$D$5:$D$10,MATCH(C215,Regimes!$A$5:$A$10,0))</f>
        <v/>
      </c>
      <c r="E215" s="88" t="n">
        <v>1944</v>
      </c>
      <c r="F215" s="8">
        <f>Donnees_generations!C32</f>
        <v/>
      </c>
      <c r="G215" s="77">
        <f>Donnees_generations!D32</f>
        <v/>
      </c>
      <c r="H215" s="8">
        <f>SUMIFS(Donnees_generations!$S$3:$S$113,Donnees_generations!$A$3:$A$113,MAX(1915,MIN(2025,E215)))</f>
        <v/>
      </c>
      <c r="I215" s="8">
        <f>SUMIFS(Donnees_generations!$T$3:$T$113,Donnees_generations!$A$3:$A$113,MAX(1915,MIN(2025,E215)))</f>
        <v/>
      </c>
      <c r="J215" s="8">
        <f>IF(G215&gt;=2000,MAX(I215,Parametres!$B$3),I215)</f>
        <v/>
      </c>
      <c r="K215" s="8">
        <f>IF(C215="Privé",J215,SUMIFS(Regles_regimes!$J$3:$J$2000,Regles_regimes!$A$3:$A$2000,C215,Regles_regimes!$B$3:$B$2000,D215,Regles_regimes!$C$3:$C$2000,MAX(1915,MIN(2025,E215))))</f>
        <v/>
      </c>
      <c r="L215" s="8">
        <f>IF(C215="Privé",H215,(K215-F215)*H215/(J215-F215))</f>
        <v/>
      </c>
      <c r="M215" s="77">
        <f>INT(E215+K215)</f>
        <v/>
      </c>
      <c r="N215" s="77">
        <f>G215+ROUNDUP(L215,0)-1</f>
        <v/>
      </c>
      <c r="O215" s="89">
        <f>SUMIFS(Regles_regimes!$K$3:$K$2000,Regles_regimes!$A$3:$A$2000,C215,Regles_regimes!$B$3:$B$2000,D215,Regles_regimes!$C$3:$C$2000,MAX(1915,MIN(2025,E215)))</f>
        <v/>
      </c>
      <c r="P215" s="13">
        <f>SUMIFS(Donnees_annuelles!$W$3:$W$188,Donnees_annuelles!$A$3:$A$188,"&gt;="&amp;G215,Donnees_annuelles!$A$3:$A$188,"&lt;="&amp;N215)*L215/ROUNDUP(L215,0)*O215</f>
        <v/>
      </c>
      <c r="Q215" s="13">
        <f>SUMIFS(Donnees_annuelles!$V$3:$V$188,Donnees_annuelles!$A$3:$A$188,"&gt;="&amp;G215,Donnees_annuelles!$A$3:$A$188,"&lt;="&amp;N215)*L215/ROUNDUP(L215,0)</f>
        <v/>
      </c>
      <c r="R215" s="13">
        <f>P215/L215</f>
        <v/>
      </c>
      <c r="S215" s="14">
        <f>SUMIFS(Donnees_annuelles!$D$3:$D$188,Donnees_annuelles!$A$3:$A$188,"&gt;="&amp;G215,Donnees_annuelles!$A$3:$A$188,"&lt;="&amp;N215)*L215/ROUNDUP(L215,0)</f>
        <v/>
      </c>
      <c r="T215" s="14">
        <f>SUMIFS(Donnees_regimes!$N$3:$N$1118,Donnees_regimes!$A$3:$A$1118,C215,Donnees_regimes!$B$3:$B$1118,"&gt;="&amp;G215,Donnees_regimes!$B$3:$B$1118,"&lt;="&amp;N215)*L215/ROUNDUP(L215,0)</f>
        <v/>
      </c>
      <c r="U215" s="14">
        <f>SUMIFS(Donnees_regimes!$O$3:$O$1118,Donnees_regimes!$A$3:$A$1118,C215,Donnees_regimes!$B$3:$B$1118,"&gt;="&amp;G215,Donnees_regimes!$B$3:$B$1118,"&lt;="&amp;N215)*L215/ROUNDUP(L215,0)</f>
        <v/>
      </c>
      <c r="V215" s="14">
        <f>T215+U215</f>
        <v/>
      </c>
      <c r="W215" s="33">
        <f>V215/S215</f>
        <v/>
      </c>
      <c r="X215" s="14">
        <f>S215+U215</f>
        <v/>
      </c>
      <c r="Y215" s="17">
        <f>V215/P215</f>
        <v/>
      </c>
      <c r="Z215" s="14">
        <f>SUMIFS(Donnees_regimes!$Q$3:$Q$1118,Donnees_regimes!$A$3:$A$1118,C215,Donnees_regimes!$B$3:$B$1118,"&gt;="&amp;G215,Donnees_regimes!$B$3:$B$1118,"&lt;="&amp;N215)*L215/ROUNDUP(L215,0)</f>
        <v/>
      </c>
      <c r="AA215" s="77">
        <f>SUMIFS(Regles_regimes!$F$3:$F$2000,Regles_regimes!$A$3:$A$2000,C215,Regles_regimes!$B$3:$B$2000,D215,Regles_regimes!$C$3:$C$2000,MAX(1915,MIN(2025,E215)))</f>
        <v/>
      </c>
      <c r="AB215" s="77">
        <f>IF(AND(SUMIFS(Regles_regimes!$L$3:$L$2000,Regles_regimes!$A$3:$A$2000,C215,Regles_regimes!$B$3:$B$2000,D215,Regles_regimes!$C$3:$C$2000,MAX(1915,MIN(2025,E215)))=1,G215&lt;2009,C215&lt;&gt;"Privé"),MIN(20,L215*4/5),0)</f>
        <v/>
      </c>
      <c r="AC215" s="89">
        <f>SUMIFS(Donnees_regimes!$M$3:$M$1118,Donnees_regimes!$A$3:$A$1118,C215,Donnees_regimes!$B$3:$B$1118,M215)</f>
        <v/>
      </c>
      <c r="AD215" s="14">
        <f>SUMIFS(Donnees_annuelles!$Y$3:$Y$188,Donnees_annuelles!$A$3:$A$188,M215)*SUMIFS(Donnees_generations!$I$3:$I$113,Donnees_generations!$A$3:$A$113,MAX(1915,MIN(2025,E215)))/H215</f>
        <v/>
      </c>
      <c r="AE215" s="14">
        <f>IF(C215="Privé",SUMIFS(Donnees_annuelles!$Y$3:$Y$188,Donnees_annuelles!$A$3:$A$188,M215)*MIN(L215,SUMIFS(Donnees_generations!$I$3:$I$113,Donnees_generations!$A$3:$A$113,MAX(1915,MIN(2025,E215))))/L215,AD215*AC215*MIN(IF(AB215&gt;0,0.8/0.75,1),(L215*4+AB215)/AA215))</f>
        <v/>
      </c>
      <c r="AF215" s="14">
        <f>AE215/12</f>
        <v/>
      </c>
      <c r="AG215" s="77">
        <f>MIN(68,MAX(56,2*INT(K215/2)))</f>
        <v/>
      </c>
      <c r="AH215" s="75">
        <f>(CHOOSE((AG215-56)/2+1,SUMIFS(Donnees_generations!$U$3:$U$113,Donnees_generations!$A$3:$A$113,MAX(1915,MIN(2025,E215))),SUMIFS(Donnees_generations!$V$3:$V$113,Donnees_generations!$A$3:$A$113,MAX(1915,MIN(2025,E215))),SUMIFS(Donnees_generations!$W$3:$W$113,Donnees_generations!$A$3:$A$113,MAX(1915,MIN(2025,E215))),SUMIFS(Donnees_generations!$X$3:$X$113,Donnees_generations!$A$3:$A$113,MAX(1915,MIN(2025,E215))),SUMIFS(Donnees_generations!$Y$3:$Y$113,Donnees_generations!$A$3:$A$113,MAX(1915,MIN(2025,E215))),SUMIFS(Donnees_generations!$Z$3:$Z$113,Donnees_generations!$A$3:$A$113,MAX(1915,MIN(2025,E215))),SUMIFS(Donnees_generations!$AA$3:$AA$113,Donnees_generations!$A$3:$A$113,MAX(1915,MIN(2025,E215))),SUMIFS(Donnees_generations!$AB$3:$AB$113,Donnees_generations!$A$3:$A$113,MAX(1915,MIN(2025,E215))))+CHOOSE((AG215-56)/2+1,SUMIFS(Donnees_generations!$AC$3:$AC$113,Donnees_generations!$A$3:$A$113,MAX(1915,MIN(2025,E215))),SUMIFS(Donnees_generations!$AD$3:$AD$113,Donnees_generations!$A$3:$A$113,MAX(1915,MIN(2025,E215))),SUMIFS(Donnees_generations!$AE$3:$AE$113,Donnees_generations!$A$3:$A$113,MAX(1915,MIN(2025,E215))),SUMIFS(Donnees_generations!$AF$3:$AF$113,Donnees_generations!$A$3:$A$113,MAX(1915,MIN(2025,E215))),SUMIFS(Donnees_generations!$AG$3:$AG$113,Donnees_generations!$A$3:$A$113,MAX(1915,MIN(2025,E215))),SUMIFS(Donnees_generations!$AH$3:$AH$113,Donnees_generations!$A$3:$A$113,MAX(1915,MIN(2025,E215))),SUMIFS(Donnees_generations!$AI$3:$AI$113,Donnees_generations!$A$3:$A$113,MAX(1915,MIN(2025,E215))),SUMIFS(Donnees_generations!$AJ$3:$AJ$113,Donnees_generations!$A$3:$A$113,MAX(1915,MIN(2025,E215)))))/2</f>
        <v/>
      </c>
      <c r="AI215" s="75">
        <f>(CHOOSE(((AG215+2)-56)/2+1,SUMIFS(Donnees_generations!$U$3:$U$113,Donnees_generations!$A$3:$A$113,MAX(1915,MIN(2025,E215))),SUMIFS(Donnees_generations!$V$3:$V$113,Donnees_generations!$A$3:$A$113,MAX(1915,MIN(2025,E215))),SUMIFS(Donnees_generations!$W$3:$W$113,Donnees_generations!$A$3:$A$113,MAX(1915,MIN(2025,E215))),SUMIFS(Donnees_generations!$X$3:$X$113,Donnees_generations!$A$3:$A$113,MAX(1915,MIN(2025,E215))),SUMIFS(Donnees_generations!$Y$3:$Y$113,Donnees_generations!$A$3:$A$113,MAX(1915,MIN(2025,E215))),SUMIFS(Donnees_generations!$Z$3:$Z$113,Donnees_generations!$A$3:$A$113,MAX(1915,MIN(2025,E215))),SUMIFS(Donnees_generations!$AA$3:$AA$113,Donnees_generations!$A$3:$A$113,MAX(1915,MIN(2025,E215))),SUMIFS(Donnees_generations!$AB$3:$AB$113,Donnees_generations!$A$3:$A$113,MAX(1915,MIN(2025,E215))))+CHOOSE(((AG215+2)-56)/2+1,SUMIFS(Donnees_generations!$AC$3:$AC$113,Donnees_generations!$A$3:$A$113,MAX(1915,MIN(2025,E215))),SUMIFS(Donnees_generations!$AD$3:$AD$113,Donnees_generations!$A$3:$A$113,MAX(1915,MIN(2025,E215))),SUMIFS(Donnees_generations!$AE$3:$AE$113,Donnees_generations!$A$3:$A$113,MAX(1915,MIN(2025,E215))),SUMIFS(Donnees_generations!$AF$3:$AF$113,Donnees_generations!$A$3:$A$113,MAX(1915,MIN(2025,E215))),SUMIFS(Donnees_generations!$AG$3:$AG$113,Donnees_generations!$A$3:$A$113,MAX(1915,MIN(2025,E215))),SUMIFS(Donnees_generations!$AH$3:$AH$113,Donnees_generations!$A$3:$A$113,MAX(1915,MIN(2025,E215))),SUMIFS(Donnees_generations!$AI$3:$AI$113,Donnees_generations!$A$3:$A$113,MAX(1915,MIN(2025,E215))),SUMIFS(Donnees_generations!$AJ$3:$AJ$113,Donnees_generations!$A$3:$A$113,MAX(1915,MIN(2025,E215)))))/2</f>
        <v/>
      </c>
      <c r="AJ215" s="8">
        <f>MAX(0,AH215+(AI215-AH215)*(K215-AG215)/2)</f>
        <v/>
      </c>
      <c r="AK215" s="8">
        <f>K215+AJ215</f>
        <v/>
      </c>
      <c r="AL215" s="14">
        <f>AE215*AJ215</f>
        <v/>
      </c>
      <c r="AM215" s="17">
        <f>V215/AL215</f>
        <v/>
      </c>
      <c r="AN215" s="17">
        <f>Z215/AL215</f>
        <v/>
      </c>
      <c r="AO215" s="33">
        <f>IF(V215+Z215=0,0,Z215/(V215+Z215))</f>
        <v/>
      </c>
      <c r="AP215" s="14">
        <f>AL215/V215*100</f>
        <v/>
      </c>
      <c r="AQ215" s="8">
        <f>P215/AL215*1000</f>
        <v/>
      </c>
      <c r="AR215" s="77">
        <f>MAX(N215,M215-1)</f>
        <v/>
      </c>
      <c r="AS215" s="14">
        <f>SUMIFS(Donnees_regimes!$R$3:$R$1118,Donnees_regimes!$A$3:$A$1118,C215,Donnees_regimes!$B$3:$B$1118,"&gt;="&amp;G215,Donnees_regimes!$B$3:$B$1118,"&lt;="&amp;N215)*L215/ROUNDUP(L215,0)*SUMIFS(Donnees_annuelles!$AG$3:$AG$188,Donnees_annuelles!$A$3:$A$188,AR215)*SUMIFS(Donnees_annuelles!$AA$3:$AA$188,Donnees_annuelles!$A$3:$A$188,AR215)</f>
        <v/>
      </c>
      <c r="AT215" s="36">
        <f>AS215/V215</f>
        <v/>
      </c>
      <c r="AU215" s="14">
        <f>AL215</f>
        <v/>
      </c>
      <c r="AV215" s="39">
        <f>AS215-AL215</f>
        <v/>
      </c>
      <c r="AW215" s="9">
        <f>AS215/AL215-1</f>
        <v/>
      </c>
      <c r="AX215" s="14">
        <f>AS215/AJ215/12</f>
        <v/>
      </c>
      <c r="AY215" s="14">
        <f>AF215</f>
        <v/>
      </c>
      <c r="AZ215" s="39">
        <f>AX215-AF215</f>
        <v/>
      </c>
      <c r="BA215" s="14">
        <f>SUMIFS(Donnees_regimes!$S$3:$S$1118,Donnees_regimes!$A$3:$A$1118,C215,Donnees_regimes!$B$3:$B$1118,"&gt;="&amp;G215,Donnees_regimes!$B$3:$B$1118,"&lt;="&amp;N215)*L215/ROUNDUP(L215,0)*SUMIFS(Donnees_annuelles!$AH$3:$AH$188,Donnees_annuelles!$A$3:$A$188,AR215)*SUMIFS(Donnees_annuelles!$AA$3:$AA$188,Donnees_annuelles!$A$3:$A$188,AR215)</f>
        <v/>
      </c>
      <c r="BB215" s="39">
        <f>BA215-AL215</f>
        <v/>
      </c>
      <c r="BC215" s="7">
        <f>IF(M215+AJ215&gt;2026,IF(G215&gt;2026,"entièrement projeté","en partie projeté"),"observé")</f>
        <v/>
      </c>
    </row>
    <row r="216">
      <c r="A216" s="7" t="inlineStr">
        <is>
          <t>Génération silencieuse</t>
        </is>
      </c>
      <c r="B216" s="84" t="inlineStr">
        <is>
          <t>Fonction publique territoriale et hospitalière</t>
        </is>
      </c>
      <c r="C216" s="7">
        <f>IF(G216&gt;=SUMIFS(Regimes!$C$5:$C$10,Regimes!$A$5:$A$10,B216),"Privé",B216)</f>
        <v/>
      </c>
      <c r="D216" s="7">
        <f>INDEX(Regimes!$D$5:$D$10,MATCH(C216,Regimes!$A$5:$A$10,0))</f>
        <v/>
      </c>
      <c r="E216" s="88" t="n">
        <v>1945</v>
      </c>
      <c r="F216" s="8">
        <f>Donnees_generations!C33</f>
        <v/>
      </c>
      <c r="G216" s="77">
        <f>Donnees_generations!D33</f>
        <v/>
      </c>
      <c r="H216" s="8">
        <f>SUMIFS(Donnees_generations!$S$3:$S$113,Donnees_generations!$A$3:$A$113,MAX(1915,MIN(2025,E216)))</f>
        <v/>
      </c>
      <c r="I216" s="8">
        <f>SUMIFS(Donnees_generations!$T$3:$T$113,Donnees_generations!$A$3:$A$113,MAX(1915,MIN(2025,E216)))</f>
        <v/>
      </c>
      <c r="J216" s="8">
        <f>IF(G216&gt;=2000,MAX(I216,Parametres!$B$3),I216)</f>
        <v/>
      </c>
      <c r="K216" s="8">
        <f>IF(C216="Privé",J216,SUMIFS(Regles_regimes!$J$3:$J$2000,Regles_regimes!$A$3:$A$2000,C216,Regles_regimes!$B$3:$B$2000,D216,Regles_regimes!$C$3:$C$2000,MAX(1915,MIN(2025,E216))))</f>
        <v/>
      </c>
      <c r="L216" s="8">
        <f>IF(C216="Privé",H216,(K216-F216)*H216/(J216-F216))</f>
        <v/>
      </c>
      <c r="M216" s="77">
        <f>INT(E216+K216)</f>
        <v/>
      </c>
      <c r="N216" s="77">
        <f>G216+ROUNDUP(L216,0)-1</f>
        <v/>
      </c>
      <c r="O216" s="89">
        <f>SUMIFS(Regles_regimes!$K$3:$K$2000,Regles_regimes!$A$3:$A$2000,C216,Regles_regimes!$B$3:$B$2000,D216,Regles_regimes!$C$3:$C$2000,MAX(1915,MIN(2025,E216)))</f>
        <v/>
      </c>
      <c r="P216" s="13">
        <f>SUMIFS(Donnees_annuelles!$W$3:$W$188,Donnees_annuelles!$A$3:$A$188,"&gt;="&amp;G216,Donnees_annuelles!$A$3:$A$188,"&lt;="&amp;N216)*L216/ROUNDUP(L216,0)*O216</f>
        <v/>
      </c>
      <c r="Q216" s="13">
        <f>SUMIFS(Donnees_annuelles!$V$3:$V$188,Donnees_annuelles!$A$3:$A$188,"&gt;="&amp;G216,Donnees_annuelles!$A$3:$A$188,"&lt;="&amp;N216)*L216/ROUNDUP(L216,0)</f>
        <v/>
      </c>
      <c r="R216" s="13">
        <f>P216/L216</f>
        <v/>
      </c>
      <c r="S216" s="14">
        <f>SUMIFS(Donnees_annuelles!$D$3:$D$188,Donnees_annuelles!$A$3:$A$188,"&gt;="&amp;G216,Donnees_annuelles!$A$3:$A$188,"&lt;="&amp;N216)*L216/ROUNDUP(L216,0)</f>
        <v/>
      </c>
      <c r="T216" s="14">
        <f>SUMIFS(Donnees_regimes!$N$3:$N$1118,Donnees_regimes!$A$3:$A$1118,C216,Donnees_regimes!$B$3:$B$1118,"&gt;="&amp;G216,Donnees_regimes!$B$3:$B$1118,"&lt;="&amp;N216)*L216/ROUNDUP(L216,0)</f>
        <v/>
      </c>
      <c r="U216" s="14">
        <f>SUMIFS(Donnees_regimes!$O$3:$O$1118,Donnees_regimes!$A$3:$A$1118,C216,Donnees_regimes!$B$3:$B$1118,"&gt;="&amp;G216,Donnees_regimes!$B$3:$B$1118,"&lt;="&amp;N216)*L216/ROUNDUP(L216,0)</f>
        <v/>
      </c>
      <c r="V216" s="14">
        <f>T216+U216</f>
        <v/>
      </c>
      <c r="W216" s="33">
        <f>V216/S216</f>
        <v/>
      </c>
      <c r="X216" s="14">
        <f>S216+U216</f>
        <v/>
      </c>
      <c r="Y216" s="17">
        <f>V216/P216</f>
        <v/>
      </c>
      <c r="Z216" s="14">
        <f>SUMIFS(Donnees_regimes!$Q$3:$Q$1118,Donnees_regimes!$A$3:$A$1118,C216,Donnees_regimes!$B$3:$B$1118,"&gt;="&amp;G216,Donnees_regimes!$B$3:$B$1118,"&lt;="&amp;N216)*L216/ROUNDUP(L216,0)</f>
        <v/>
      </c>
      <c r="AA216" s="77">
        <f>SUMIFS(Regles_regimes!$F$3:$F$2000,Regles_regimes!$A$3:$A$2000,C216,Regles_regimes!$B$3:$B$2000,D216,Regles_regimes!$C$3:$C$2000,MAX(1915,MIN(2025,E216)))</f>
        <v/>
      </c>
      <c r="AB216" s="77">
        <f>IF(AND(SUMIFS(Regles_regimes!$L$3:$L$2000,Regles_regimes!$A$3:$A$2000,C216,Regles_regimes!$B$3:$B$2000,D216,Regles_regimes!$C$3:$C$2000,MAX(1915,MIN(2025,E216)))=1,G216&lt;2009,C216&lt;&gt;"Privé"),MIN(20,L216*4/5),0)</f>
        <v/>
      </c>
      <c r="AC216" s="89">
        <f>SUMIFS(Donnees_regimes!$M$3:$M$1118,Donnees_regimes!$A$3:$A$1118,C216,Donnees_regimes!$B$3:$B$1118,M216)</f>
        <v/>
      </c>
      <c r="AD216" s="14">
        <f>SUMIFS(Donnees_annuelles!$Y$3:$Y$188,Donnees_annuelles!$A$3:$A$188,M216)*SUMIFS(Donnees_generations!$I$3:$I$113,Donnees_generations!$A$3:$A$113,MAX(1915,MIN(2025,E216)))/H216</f>
        <v/>
      </c>
      <c r="AE216" s="14">
        <f>IF(C216="Privé",SUMIFS(Donnees_annuelles!$Y$3:$Y$188,Donnees_annuelles!$A$3:$A$188,M216)*MIN(L216,SUMIFS(Donnees_generations!$I$3:$I$113,Donnees_generations!$A$3:$A$113,MAX(1915,MIN(2025,E216))))/L216,AD216*AC216*MIN(IF(AB216&gt;0,0.8/0.75,1),(L216*4+AB216)/AA216))</f>
        <v/>
      </c>
      <c r="AF216" s="14">
        <f>AE216/12</f>
        <v/>
      </c>
      <c r="AG216" s="77">
        <f>MIN(68,MAX(56,2*INT(K216/2)))</f>
        <v/>
      </c>
      <c r="AH216" s="75">
        <f>(CHOOSE((AG216-56)/2+1,SUMIFS(Donnees_generations!$U$3:$U$113,Donnees_generations!$A$3:$A$113,MAX(1915,MIN(2025,E216))),SUMIFS(Donnees_generations!$V$3:$V$113,Donnees_generations!$A$3:$A$113,MAX(1915,MIN(2025,E216))),SUMIFS(Donnees_generations!$W$3:$W$113,Donnees_generations!$A$3:$A$113,MAX(1915,MIN(2025,E216))),SUMIFS(Donnees_generations!$X$3:$X$113,Donnees_generations!$A$3:$A$113,MAX(1915,MIN(2025,E216))),SUMIFS(Donnees_generations!$Y$3:$Y$113,Donnees_generations!$A$3:$A$113,MAX(1915,MIN(2025,E216))),SUMIFS(Donnees_generations!$Z$3:$Z$113,Donnees_generations!$A$3:$A$113,MAX(1915,MIN(2025,E216))),SUMIFS(Donnees_generations!$AA$3:$AA$113,Donnees_generations!$A$3:$A$113,MAX(1915,MIN(2025,E216))),SUMIFS(Donnees_generations!$AB$3:$AB$113,Donnees_generations!$A$3:$A$113,MAX(1915,MIN(2025,E216))))+CHOOSE((AG216-56)/2+1,SUMIFS(Donnees_generations!$AC$3:$AC$113,Donnees_generations!$A$3:$A$113,MAX(1915,MIN(2025,E216))),SUMIFS(Donnees_generations!$AD$3:$AD$113,Donnees_generations!$A$3:$A$113,MAX(1915,MIN(2025,E216))),SUMIFS(Donnees_generations!$AE$3:$AE$113,Donnees_generations!$A$3:$A$113,MAX(1915,MIN(2025,E216))),SUMIFS(Donnees_generations!$AF$3:$AF$113,Donnees_generations!$A$3:$A$113,MAX(1915,MIN(2025,E216))),SUMIFS(Donnees_generations!$AG$3:$AG$113,Donnees_generations!$A$3:$A$113,MAX(1915,MIN(2025,E216))),SUMIFS(Donnees_generations!$AH$3:$AH$113,Donnees_generations!$A$3:$A$113,MAX(1915,MIN(2025,E216))),SUMIFS(Donnees_generations!$AI$3:$AI$113,Donnees_generations!$A$3:$A$113,MAX(1915,MIN(2025,E216))),SUMIFS(Donnees_generations!$AJ$3:$AJ$113,Donnees_generations!$A$3:$A$113,MAX(1915,MIN(2025,E216)))))/2</f>
        <v/>
      </c>
      <c r="AI216" s="75">
        <f>(CHOOSE(((AG216+2)-56)/2+1,SUMIFS(Donnees_generations!$U$3:$U$113,Donnees_generations!$A$3:$A$113,MAX(1915,MIN(2025,E216))),SUMIFS(Donnees_generations!$V$3:$V$113,Donnees_generations!$A$3:$A$113,MAX(1915,MIN(2025,E216))),SUMIFS(Donnees_generations!$W$3:$W$113,Donnees_generations!$A$3:$A$113,MAX(1915,MIN(2025,E216))),SUMIFS(Donnees_generations!$X$3:$X$113,Donnees_generations!$A$3:$A$113,MAX(1915,MIN(2025,E216))),SUMIFS(Donnees_generations!$Y$3:$Y$113,Donnees_generations!$A$3:$A$113,MAX(1915,MIN(2025,E216))),SUMIFS(Donnees_generations!$Z$3:$Z$113,Donnees_generations!$A$3:$A$113,MAX(1915,MIN(2025,E216))),SUMIFS(Donnees_generations!$AA$3:$AA$113,Donnees_generations!$A$3:$A$113,MAX(1915,MIN(2025,E216))),SUMIFS(Donnees_generations!$AB$3:$AB$113,Donnees_generations!$A$3:$A$113,MAX(1915,MIN(2025,E216))))+CHOOSE(((AG216+2)-56)/2+1,SUMIFS(Donnees_generations!$AC$3:$AC$113,Donnees_generations!$A$3:$A$113,MAX(1915,MIN(2025,E216))),SUMIFS(Donnees_generations!$AD$3:$AD$113,Donnees_generations!$A$3:$A$113,MAX(1915,MIN(2025,E216))),SUMIFS(Donnees_generations!$AE$3:$AE$113,Donnees_generations!$A$3:$A$113,MAX(1915,MIN(2025,E216))),SUMIFS(Donnees_generations!$AF$3:$AF$113,Donnees_generations!$A$3:$A$113,MAX(1915,MIN(2025,E216))),SUMIFS(Donnees_generations!$AG$3:$AG$113,Donnees_generations!$A$3:$A$113,MAX(1915,MIN(2025,E216))),SUMIFS(Donnees_generations!$AH$3:$AH$113,Donnees_generations!$A$3:$A$113,MAX(1915,MIN(2025,E216))),SUMIFS(Donnees_generations!$AI$3:$AI$113,Donnees_generations!$A$3:$A$113,MAX(1915,MIN(2025,E216))),SUMIFS(Donnees_generations!$AJ$3:$AJ$113,Donnees_generations!$A$3:$A$113,MAX(1915,MIN(2025,E216)))))/2</f>
        <v/>
      </c>
      <c r="AJ216" s="8">
        <f>MAX(0,AH216+(AI216-AH216)*(K216-AG216)/2)</f>
        <v/>
      </c>
      <c r="AK216" s="8">
        <f>K216+AJ216</f>
        <v/>
      </c>
      <c r="AL216" s="14">
        <f>AE216*AJ216</f>
        <v/>
      </c>
      <c r="AM216" s="17">
        <f>V216/AL216</f>
        <v/>
      </c>
      <c r="AN216" s="17">
        <f>Z216/AL216</f>
        <v/>
      </c>
      <c r="AO216" s="33">
        <f>IF(V216+Z216=0,0,Z216/(V216+Z216))</f>
        <v/>
      </c>
      <c r="AP216" s="14">
        <f>AL216/V216*100</f>
        <v/>
      </c>
      <c r="AQ216" s="8">
        <f>P216/AL216*1000</f>
        <v/>
      </c>
      <c r="AR216" s="77">
        <f>MAX(N216,M216-1)</f>
        <v/>
      </c>
      <c r="AS216" s="14">
        <f>SUMIFS(Donnees_regimes!$R$3:$R$1118,Donnees_regimes!$A$3:$A$1118,C216,Donnees_regimes!$B$3:$B$1118,"&gt;="&amp;G216,Donnees_regimes!$B$3:$B$1118,"&lt;="&amp;N216)*L216/ROUNDUP(L216,0)*SUMIFS(Donnees_annuelles!$AG$3:$AG$188,Donnees_annuelles!$A$3:$A$188,AR216)*SUMIFS(Donnees_annuelles!$AA$3:$AA$188,Donnees_annuelles!$A$3:$A$188,AR216)</f>
        <v/>
      </c>
      <c r="AT216" s="36">
        <f>AS216/V216</f>
        <v/>
      </c>
      <c r="AU216" s="14">
        <f>AL216</f>
        <v/>
      </c>
      <c r="AV216" s="39">
        <f>AS216-AL216</f>
        <v/>
      </c>
      <c r="AW216" s="9">
        <f>AS216/AL216-1</f>
        <v/>
      </c>
      <c r="AX216" s="14">
        <f>AS216/AJ216/12</f>
        <v/>
      </c>
      <c r="AY216" s="14">
        <f>AF216</f>
        <v/>
      </c>
      <c r="AZ216" s="39">
        <f>AX216-AF216</f>
        <v/>
      </c>
      <c r="BA216" s="14">
        <f>SUMIFS(Donnees_regimes!$S$3:$S$1118,Donnees_regimes!$A$3:$A$1118,C216,Donnees_regimes!$B$3:$B$1118,"&gt;="&amp;G216,Donnees_regimes!$B$3:$B$1118,"&lt;="&amp;N216)*L216/ROUNDUP(L216,0)*SUMIFS(Donnees_annuelles!$AH$3:$AH$188,Donnees_annuelles!$A$3:$A$188,AR216)*SUMIFS(Donnees_annuelles!$AA$3:$AA$188,Donnees_annuelles!$A$3:$A$188,AR216)</f>
        <v/>
      </c>
      <c r="BB216" s="39">
        <f>BA216-AL216</f>
        <v/>
      </c>
      <c r="BC216" s="7">
        <f>IF(M216+AJ216&gt;2026,IF(G216&gt;2026,"entièrement projeté","en partie projeté"),"observé")</f>
        <v/>
      </c>
    </row>
    <row r="217">
      <c r="A217" s="7" t="inlineStr">
        <is>
          <t>Baby-boomers</t>
        </is>
      </c>
      <c r="B217" s="84" t="inlineStr">
        <is>
          <t>Fonction publique territoriale et hospitalière</t>
        </is>
      </c>
      <c r="C217" s="7">
        <f>IF(G217&gt;=SUMIFS(Regimes!$C$5:$C$10,Regimes!$A$5:$A$10,B217),"Privé",B217)</f>
        <v/>
      </c>
      <c r="D217" s="7">
        <f>INDEX(Regimes!$D$5:$D$10,MATCH(C217,Regimes!$A$5:$A$10,0))</f>
        <v/>
      </c>
      <c r="E217" s="88" t="n">
        <v>1946</v>
      </c>
      <c r="F217" s="8">
        <f>Donnees_generations!C34</f>
        <v/>
      </c>
      <c r="G217" s="77">
        <f>Donnees_generations!D34</f>
        <v/>
      </c>
      <c r="H217" s="8">
        <f>SUMIFS(Donnees_generations!$S$3:$S$113,Donnees_generations!$A$3:$A$113,MAX(1915,MIN(2025,E217)))</f>
        <v/>
      </c>
      <c r="I217" s="8">
        <f>SUMIFS(Donnees_generations!$T$3:$T$113,Donnees_generations!$A$3:$A$113,MAX(1915,MIN(2025,E217)))</f>
        <v/>
      </c>
      <c r="J217" s="8">
        <f>IF(G217&gt;=2000,MAX(I217,Parametres!$B$3),I217)</f>
        <v/>
      </c>
      <c r="K217" s="8">
        <f>IF(C217="Privé",J217,SUMIFS(Regles_regimes!$J$3:$J$2000,Regles_regimes!$A$3:$A$2000,C217,Regles_regimes!$B$3:$B$2000,D217,Regles_regimes!$C$3:$C$2000,MAX(1915,MIN(2025,E217))))</f>
        <v/>
      </c>
      <c r="L217" s="8">
        <f>IF(C217="Privé",H217,(K217-F217)*H217/(J217-F217))</f>
        <v/>
      </c>
      <c r="M217" s="77">
        <f>INT(E217+K217)</f>
        <v/>
      </c>
      <c r="N217" s="77">
        <f>G217+ROUNDUP(L217,0)-1</f>
        <v/>
      </c>
      <c r="O217" s="89">
        <f>SUMIFS(Regles_regimes!$K$3:$K$2000,Regles_regimes!$A$3:$A$2000,C217,Regles_regimes!$B$3:$B$2000,D217,Regles_regimes!$C$3:$C$2000,MAX(1915,MIN(2025,E217)))</f>
        <v/>
      </c>
      <c r="P217" s="13">
        <f>SUMIFS(Donnees_annuelles!$W$3:$W$188,Donnees_annuelles!$A$3:$A$188,"&gt;="&amp;G217,Donnees_annuelles!$A$3:$A$188,"&lt;="&amp;N217)*L217/ROUNDUP(L217,0)*O217</f>
        <v/>
      </c>
      <c r="Q217" s="13">
        <f>SUMIFS(Donnees_annuelles!$V$3:$V$188,Donnees_annuelles!$A$3:$A$188,"&gt;="&amp;G217,Donnees_annuelles!$A$3:$A$188,"&lt;="&amp;N217)*L217/ROUNDUP(L217,0)</f>
        <v/>
      </c>
      <c r="R217" s="13">
        <f>P217/L217</f>
        <v/>
      </c>
      <c r="S217" s="14">
        <f>SUMIFS(Donnees_annuelles!$D$3:$D$188,Donnees_annuelles!$A$3:$A$188,"&gt;="&amp;G217,Donnees_annuelles!$A$3:$A$188,"&lt;="&amp;N217)*L217/ROUNDUP(L217,0)</f>
        <v/>
      </c>
      <c r="T217" s="14">
        <f>SUMIFS(Donnees_regimes!$N$3:$N$1118,Donnees_regimes!$A$3:$A$1118,C217,Donnees_regimes!$B$3:$B$1118,"&gt;="&amp;G217,Donnees_regimes!$B$3:$B$1118,"&lt;="&amp;N217)*L217/ROUNDUP(L217,0)</f>
        <v/>
      </c>
      <c r="U217" s="14">
        <f>SUMIFS(Donnees_regimes!$O$3:$O$1118,Donnees_regimes!$A$3:$A$1118,C217,Donnees_regimes!$B$3:$B$1118,"&gt;="&amp;G217,Donnees_regimes!$B$3:$B$1118,"&lt;="&amp;N217)*L217/ROUNDUP(L217,0)</f>
        <v/>
      </c>
      <c r="V217" s="14">
        <f>T217+U217</f>
        <v/>
      </c>
      <c r="W217" s="33">
        <f>V217/S217</f>
        <v/>
      </c>
      <c r="X217" s="14">
        <f>S217+U217</f>
        <v/>
      </c>
      <c r="Y217" s="17">
        <f>V217/P217</f>
        <v/>
      </c>
      <c r="Z217" s="14">
        <f>SUMIFS(Donnees_regimes!$Q$3:$Q$1118,Donnees_regimes!$A$3:$A$1118,C217,Donnees_regimes!$B$3:$B$1118,"&gt;="&amp;G217,Donnees_regimes!$B$3:$B$1118,"&lt;="&amp;N217)*L217/ROUNDUP(L217,0)</f>
        <v/>
      </c>
      <c r="AA217" s="77">
        <f>SUMIFS(Regles_regimes!$F$3:$F$2000,Regles_regimes!$A$3:$A$2000,C217,Regles_regimes!$B$3:$B$2000,D217,Regles_regimes!$C$3:$C$2000,MAX(1915,MIN(2025,E217)))</f>
        <v/>
      </c>
      <c r="AB217" s="77">
        <f>IF(AND(SUMIFS(Regles_regimes!$L$3:$L$2000,Regles_regimes!$A$3:$A$2000,C217,Regles_regimes!$B$3:$B$2000,D217,Regles_regimes!$C$3:$C$2000,MAX(1915,MIN(2025,E217)))=1,G217&lt;2009,C217&lt;&gt;"Privé"),MIN(20,L217*4/5),0)</f>
        <v/>
      </c>
      <c r="AC217" s="89">
        <f>SUMIFS(Donnees_regimes!$M$3:$M$1118,Donnees_regimes!$A$3:$A$1118,C217,Donnees_regimes!$B$3:$B$1118,M217)</f>
        <v/>
      </c>
      <c r="AD217" s="14">
        <f>SUMIFS(Donnees_annuelles!$Y$3:$Y$188,Donnees_annuelles!$A$3:$A$188,M217)*SUMIFS(Donnees_generations!$I$3:$I$113,Donnees_generations!$A$3:$A$113,MAX(1915,MIN(2025,E217)))/H217</f>
        <v/>
      </c>
      <c r="AE217" s="14">
        <f>IF(C217="Privé",SUMIFS(Donnees_annuelles!$Y$3:$Y$188,Donnees_annuelles!$A$3:$A$188,M217)*MIN(L217,SUMIFS(Donnees_generations!$I$3:$I$113,Donnees_generations!$A$3:$A$113,MAX(1915,MIN(2025,E217))))/L217,AD217*AC217*MIN(IF(AB217&gt;0,0.8/0.75,1),(L217*4+AB217)/AA217))</f>
        <v/>
      </c>
      <c r="AF217" s="14">
        <f>AE217/12</f>
        <v/>
      </c>
      <c r="AG217" s="77">
        <f>MIN(68,MAX(56,2*INT(K217/2)))</f>
        <v/>
      </c>
      <c r="AH217" s="75">
        <f>(CHOOSE((AG217-56)/2+1,SUMIFS(Donnees_generations!$U$3:$U$113,Donnees_generations!$A$3:$A$113,MAX(1915,MIN(2025,E217))),SUMIFS(Donnees_generations!$V$3:$V$113,Donnees_generations!$A$3:$A$113,MAX(1915,MIN(2025,E217))),SUMIFS(Donnees_generations!$W$3:$W$113,Donnees_generations!$A$3:$A$113,MAX(1915,MIN(2025,E217))),SUMIFS(Donnees_generations!$X$3:$X$113,Donnees_generations!$A$3:$A$113,MAX(1915,MIN(2025,E217))),SUMIFS(Donnees_generations!$Y$3:$Y$113,Donnees_generations!$A$3:$A$113,MAX(1915,MIN(2025,E217))),SUMIFS(Donnees_generations!$Z$3:$Z$113,Donnees_generations!$A$3:$A$113,MAX(1915,MIN(2025,E217))),SUMIFS(Donnees_generations!$AA$3:$AA$113,Donnees_generations!$A$3:$A$113,MAX(1915,MIN(2025,E217))),SUMIFS(Donnees_generations!$AB$3:$AB$113,Donnees_generations!$A$3:$A$113,MAX(1915,MIN(2025,E217))))+CHOOSE((AG217-56)/2+1,SUMIFS(Donnees_generations!$AC$3:$AC$113,Donnees_generations!$A$3:$A$113,MAX(1915,MIN(2025,E217))),SUMIFS(Donnees_generations!$AD$3:$AD$113,Donnees_generations!$A$3:$A$113,MAX(1915,MIN(2025,E217))),SUMIFS(Donnees_generations!$AE$3:$AE$113,Donnees_generations!$A$3:$A$113,MAX(1915,MIN(2025,E217))),SUMIFS(Donnees_generations!$AF$3:$AF$113,Donnees_generations!$A$3:$A$113,MAX(1915,MIN(2025,E217))),SUMIFS(Donnees_generations!$AG$3:$AG$113,Donnees_generations!$A$3:$A$113,MAX(1915,MIN(2025,E217))),SUMIFS(Donnees_generations!$AH$3:$AH$113,Donnees_generations!$A$3:$A$113,MAX(1915,MIN(2025,E217))),SUMIFS(Donnees_generations!$AI$3:$AI$113,Donnees_generations!$A$3:$A$113,MAX(1915,MIN(2025,E217))),SUMIFS(Donnees_generations!$AJ$3:$AJ$113,Donnees_generations!$A$3:$A$113,MAX(1915,MIN(2025,E217)))))/2</f>
        <v/>
      </c>
      <c r="AI217" s="75">
        <f>(CHOOSE(((AG217+2)-56)/2+1,SUMIFS(Donnees_generations!$U$3:$U$113,Donnees_generations!$A$3:$A$113,MAX(1915,MIN(2025,E217))),SUMIFS(Donnees_generations!$V$3:$V$113,Donnees_generations!$A$3:$A$113,MAX(1915,MIN(2025,E217))),SUMIFS(Donnees_generations!$W$3:$W$113,Donnees_generations!$A$3:$A$113,MAX(1915,MIN(2025,E217))),SUMIFS(Donnees_generations!$X$3:$X$113,Donnees_generations!$A$3:$A$113,MAX(1915,MIN(2025,E217))),SUMIFS(Donnees_generations!$Y$3:$Y$113,Donnees_generations!$A$3:$A$113,MAX(1915,MIN(2025,E217))),SUMIFS(Donnees_generations!$Z$3:$Z$113,Donnees_generations!$A$3:$A$113,MAX(1915,MIN(2025,E217))),SUMIFS(Donnees_generations!$AA$3:$AA$113,Donnees_generations!$A$3:$A$113,MAX(1915,MIN(2025,E217))),SUMIFS(Donnees_generations!$AB$3:$AB$113,Donnees_generations!$A$3:$A$113,MAX(1915,MIN(2025,E217))))+CHOOSE(((AG217+2)-56)/2+1,SUMIFS(Donnees_generations!$AC$3:$AC$113,Donnees_generations!$A$3:$A$113,MAX(1915,MIN(2025,E217))),SUMIFS(Donnees_generations!$AD$3:$AD$113,Donnees_generations!$A$3:$A$113,MAX(1915,MIN(2025,E217))),SUMIFS(Donnees_generations!$AE$3:$AE$113,Donnees_generations!$A$3:$A$113,MAX(1915,MIN(2025,E217))),SUMIFS(Donnees_generations!$AF$3:$AF$113,Donnees_generations!$A$3:$A$113,MAX(1915,MIN(2025,E217))),SUMIFS(Donnees_generations!$AG$3:$AG$113,Donnees_generations!$A$3:$A$113,MAX(1915,MIN(2025,E217))),SUMIFS(Donnees_generations!$AH$3:$AH$113,Donnees_generations!$A$3:$A$113,MAX(1915,MIN(2025,E217))),SUMIFS(Donnees_generations!$AI$3:$AI$113,Donnees_generations!$A$3:$A$113,MAX(1915,MIN(2025,E217))),SUMIFS(Donnees_generations!$AJ$3:$AJ$113,Donnees_generations!$A$3:$A$113,MAX(1915,MIN(2025,E217)))))/2</f>
        <v/>
      </c>
      <c r="AJ217" s="8">
        <f>MAX(0,AH217+(AI217-AH217)*(K217-AG217)/2)</f>
        <v/>
      </c>
      <c r="AK217" s="8">
        <f>K217+AJ217</f>
        <v/>
      </c>
      <c r="AL217" s="14">
        <f>AE217*AJ217</f>
        <v/>
      </c>
      <c r="AM217" s="17">
        <f>V217/AL217</f>
        <v/>
      </c>
      <c r="AN217" s="17">
        <f>Z217/AL217</f>
        <v/>
      </c>
      <c r="AO217" s="33">
        <f>IF(V217+Z217=0,0,Z217/(V217+Z217))</f>
        <v/>
      </c>
      <c r="AP217" s="14">
        <f>AL217/V217*100</f>
        <v/>
      </c>
      <c r="AQ217" s="8">
        <f>P217/AL217*1000</f>
        <v/>
      </c>
      <c r="AR217" s="77">
        <f>MAX(N217,M217-1)</f>
        <v/>
      </c>
      <c r="AS217" s="14">
        <f>SUMIFS(Donnees_regimes!$R$3:$R$1118,Donnees_regimes!$A$3:$A$1118,C217,Donnees_regimes!$B$3:$B$1118,"&gt;="&amp;G217,Donnees_regimes!$B$3:$B$1118,"&lt;="&amp;N217)*L217/ROUNDUP(L217,0)*SUMIFS(Donnees_annuelles!$AG$3:$AG$188,Donnees_annuelles!$A$3:$A$188,AR217)*SUMIFS(Donnees_annuelles!$AA$3:$AA$188,Donnees_annuelles!$A$3:$A$188,AR217)</f>
        <v/>
      </c>
      <c r="AT217" s="36">
        <f>AS217/V217</f>
        <v/>
      </c>
      <c r="AU217" s="14">
        <f>AL217</f>
        <v/>
      </c>
      <c r="AV217" s="39">
        <f>AS217-AL217</f>
        <v/>
      </c>
      <c r="AW217" s="9">
        <f>AS217/AL217-1</f>
        <v/>
      </c>
      <c r="AX217" s="14">
        <f>AS217/AJ217/12</f>
        <v/>
      </c>
      <c r="AY217" s="14">
        <f>AF217</f>
        <v/>
      </c>
      <c r="AZ217" s="39">
        <f>AX217-AF217</f>
        <v/>
      </c>
      <c r="BA217" s="14">
        <f>SUMIFS(Donnees_regimes!$S$3:$S$1118,Donnees_regimes!$A$3:$A$1118,C217,Donnees_regimes!$B$3:$B$1118,"&gt;="&amp;G217,Donnees_regimes!$B$3:$B$1118,"&lt;="&amp;N217)*L217/ROUNDUP(L217,0)*SUMIFS(Donnees_annuelles!$AH$3:$AH$188,Donnees_annuelles!$A$3:$A$188,AR217)*SUMIFS(Donnees_annuelles!$AA$3:$AA$188,Donnees_annuelles!$A$3:$A$188,AR217)</f>
        <v/>
      </c>
      <c r="BB217" s="39">
        <f>BA217-AL217</f>
        <v/>
      </c>
      <c r="BC217" s="7">
        <f>IF(M217+AJ217&gt;2026,IF(G217&gt;2026,"entièrement projeté","en partie projeté"),"observé")</f>
        <v/>
      </c>
    </row>
    <row r="218">
      <c r="A218" s="7" t="inlineStr">
        <is>
          <t>Baby-boomers</t>
        </is>
      </c>
      <c r="B218" s="84" t="inlineStr">
        <is>
          <t>Fonction publique territoriale et hospitalière</t>
        </is>
      </c>
      <c r="C218" s="7">
        <f>IF(G218&gt;=SUMIFS(Regimes!$C$5:$C$10,Regimes!$A$5:$A$10,B218),"Privé",B218)</f>
        <v/>
      </c>
      <c r="D218" s="7">
        <f>INDEX(Regimes!$D$5:$D$10,MATCH(C218,Regimes!$A$5:$A$10,0))</f>
        <v/>
      </c>
      <c r="E218" s="88" t="n">
        <v>1947</v>
      </c>
      <c r="F218" s="8">
        <f>Donnees_generations!C35</f>
        <v/>
      </c>
      <c r="G218" s="77">
        <f>Donnees_generations!D35</f>
        <v/>
      </c>
      <c r="H218" s="8">
        <f>SUMIFS(Donnees_generations!$S$3:$S$113,Donnees_generations!$A$3:$A$113,MAX(1915,MIN(2025,E218)))</f>
        <v/>
      </c>
      <c r="I218" s="8">
        <f>SUMIFS(Donnees_generations!$T$3:$T$113,Donnees_generations!$A$3:$A$113,MAX(1915,MIN(2025,E218)))</f>
        <v/>
      </c>
      <c r="J218" s="8">
        <f>IF(G218&gt;=2000,MAX(I218,Parametres!$B$3),I218)</f>
        <v/>
      </c>
      <c r="K218" s="8">
        <f>IF(C218="Privé",J218,SUMIFS(Regles_regimes!$J$3:$J$2000,Regles_regimes!$A$3:$A$2000,C218,Regles_regimes!$B$3:$B$2000,D218,Regles_regimes!$C$3:$C$2000,MAX(1915,MIN(2025,E218))))</f>
        <v/>
      </c>
      <c r="L218" s="8">
        <f>IF(C218="Privé",H218,(K218-F218)*H218/(J218-F218))</f>
        <v/>
      </c>
      <c r="M218" s="77">
        <f>INT(E218+K218)</f>
        <v/>
      </c>
      <c r="N218" s="77">
        <f>G218+ROUNDUP(L218,0)-1</f>
        <v/>
      </c>
      <c r="O218" s="89">
        <f>SUMIFS(Regles_regimes!$K$3:$K$2000,Regles_regimes!$A$3:$A$2000,C218,Regles_regimes!$B$3:$B$2000,D218,Regles_regimes!$C$3:$C$2000,MAX(1915,MIN(2025,E218)))</f>
        <v/>
      </c>
      <c r="P218" s="13">
        <f>SUMIFS(Donnees_annuelles!$W$3:$W$188,Donnees_annuelles!$A$3:$A$188,"&gt;="&amp;G218,Donnees_annuelles!$A$3:$A$188,"&lt;="&amp;N218)*L218/ROUNDUP(L218,0)*O218</f>
        <v/>
      </c>
      <c r="Q218" s="13">
        <f>SUMIFS(Donnees_annuelles!$V$3:$V$188,Donnees_annuelles!$A$3:$A$188,"&gt;="&amp;G218,Donnees_annuelles!$A$3:$A$188,"&lt;="&amp;N218)*L218/ROUNDUP(L218,0)</f>
        <v/>
      </c>
      <c r="R218" s="13">
        <f>P218/L218</f>
        <v/>
      </c>
      <c r="S218" s="14">
        <f>SUMIFS(Donnees_annuelles!$D$3:$D$188,Donnees_annuelles!$A$3:$A$188,"&gt;="&amp;G218,Donnees_annuelles!$A$3:$A$188,"&lt;="&amp;N218)*L218/ROUNDUP(L218,0)</f>
        <v/>
      </c>
      <c r="T218" s="14">
        <f>SUMIFS(Donnees_regimes!$N$3:$N$1118,Donnees_regimes!$A$3:$A$1118,C218,Donnees_regimes!$B$3:$B$1118,"&gt;="&amp;G218,Donnees_regimes!$B$3:$B$1118,"&lt;="&amp;N218)*L218/ROUNDUP(L218,0)</f>
        <v/>
      </c>
      <c r="U218" s="14">
        <f>SUMIFS(Donnees_regimes!$O$3:$O$1118,Donnees_regimes!$A$3:$A$1118,C218,Donnees_regimes!$B$3:$B$1118,"&gt;="&amp;G218,Donnees_regimes!$B$3:$B$1118,"&lt;="&amp;N218)*L218/ROUNDUP(L218,0)</f>
        <v/>
      </c>
      <c r="V218" s="14">
        <f>T218+U218</f>
        <v/>
      </c>
      <c r="W218" s="33">
        <f>V218/S218</f>
        <v/>
      </c>
      <c r="X218" s="14">
        <f>S218+U218</f>
        <v/>
      </c>
      <c r="Y218" s="17">
        <f>V218/P218</f>
        <v/>
      </c>
      <c r="Z218" s="14">
        <f>SUMIFS(Donnees_regimes!$Q$3:$Q$1118,Donnees_regimes!$A$3:$A$1118,C218,Donnees_regimes!$B$3:$B$1118,"&gt;="&amp;G218,Donnees_regimes!$B$3:$B$1118,"&lt;="&amp;N218)*L218/ROUNDUP(L218,0)</f>
        <v/>
      </c>
      <c r="AA218" s="77">
        <f>SUMIFS(Regles_regimes!$F$3:$F$2000,Regles_regimes!$A$3:$A$2000,C218,Regles_regimes!$B$3:$B$2000,D218,Regles_regimes!$C$3:$C$2000,MAX(1915,MIN(2025,E218)))</f>
        <v/>
      </c>
      <c r="AB218" s="77">
        <f>IF(AND(SUMIFS(Regles_regimes!$L$3:$L$2000,Regles_regimes!$A$3:$A$2000,C218,Regles_regimes!$B$3:$B$2000,D218,Regles_regimes!$C$3:$C$2000,MAX(1915,MIN(2025,E218)))=1,G218&lt;2009,C218&lt;&gt;"Privé"),MIN(20,L218*4/5),0)</f>
        <v/>
      </c>
      <c r="AC218" s="89">
        <f>SUMIFS(Donnees_regimes!$M$3:$M$1118,Donnees_regimes!$A$3:$A$1118,C218,Donnees_regimes!$B$3:$B$1118,M218)</f>
        <v/>
      </c>
      <c r="AD218" s="14">
        <f>SUMIFS(Donnees_annuelles!$Y$3:$Y$188,Donnees_annuelles!$A$3:$A$188,M218)*SUMIFS(Donnees_generations!$I$3:$I$113,Donnees_generations!$A$3:$A$113,MAX(1915,MIN(2025,E218)))/H218</f>
        <v/>
      </c>
      <c r="AE218" s="14">
        <f>IF(C218="Privé",SUMIFS(Donnees_annuelles!$Y$3:$Y$188,Donnees_annuelles!$A$3:$A$188,M218)*MIN(L218,SUMIFS(Donnees_generations!$I$3:$I$113,Donnees_generations!$A$3:$A$113,MAX(1915,MIN(2025,E218))))/L218,AD218*AC218*MIN(IF(AB218&gt;0,0.8/0.75,1),(L218*4+AB218)/AA218))</f>
        <v/>
      </c>
      <c r="AF218" s="14">
        <f>AE218/12</f>
        <v/>
      </c>
      <c r="AG218" s="77">
        <f>MIN(68,MAX(56,2*INT(K218/2)))</f>
        <v/>
      </c>
      <c r="AH218" s="75">
        <f>(CHOOSE((AG218-56)/2+1,SUMIFS(Donnees_generations!$U$3:$U$113,Donnees_generations!$A$3:$A$113,MAX(1915,MIN(2025,E218))),SUMIFS(Donnees_generations!$V$3:$V$113,Donnees_generations!$A$3:$A$113,MAX(1915,MIN(2025,E218))),SUMIFS(Donnees_generations!$W$3:$W$113,Donnees_generations!$A$3:$A$113,MAX(1915,MIN(2025,E218))),SUMIFS(Donnees_generations!$X$3:$X$113,Donnees_generations!$A$3:$A$113,MAX(1915,MIN(2025,E218))),SUMIFS(Donnees_generations!$Y$3:$Y$113,Donnees_generations!$A$3:$A$113,MAX(1915,MIN(2025,E218))),SUMIFS(Donnees_generations!$Z$3:$Z$113,Donnees_generations!$A$3:$A$113,MAX(1915,MIN(2025,E218))),SUMIFS(Donnees_generations!$AA$3:$AA$113,Donnees_generations!$A$3:$A$113,MAX(1915,MIN(2025,E218))),SUMIFS(Donnees_generations!$AB$3:$AB$113,Donnees_generations!$A$3:$A$113,MAX(1915,MIN(2025,E218))))+CHOOSE((AG218-56)/2+1,SUMIFS(Donnees_generations!$AC$3:$AC$113,Donnees_generations!$A$3:$A$113,MAX(1915,MIN(2025,E218))),SUMIFS(Donnees_generations!$AD$3:$AD$113,Donnees_generations!$A$3:$A$113,MAX(1915,MIN(2025,E218))),SUMIFS(Donnees_generations!$AE$3:$AE$113,Donnees_generations!$A$3:$A$113,MAX(1915,MIN(2025,E218))),SUMIFS(Donnees_generations!$AF$3:$AF$113,Donnees_generations!$A$3:$A$113,MAX(1915,MIN(2025,E218))),SUMIFS(Donnees_generations!$AG$3:$AG$113,Donnees_generations!$A$3:$A$113,MAX(1915,MIN(2025,E218))),SUMIFS(Donnees_generations!$AH$3:$AH$113,Donnees_generations!$A$3:$A$113,MAX(1915,MIN(2025,E218))),SUMIFS(Donnees_generations!$AI$3:$AI$113,Donnees_generations!$A$3:$A$113,MAX(1915,MIN(2025,E218))),SUMIFS(Donnees_generations!$AJ$3:$AJ$113,Donnees_generations!$A$3:$A$113,MAX(1915,MIN(2025,E218)))))/2</f>
        <v/>
      </c>
      <c r="AI218" s="75">
        <f>(CHOOSE(((AG218+2)-56)/2+1,SUMIFS(Donnees_generations!$U$3:$U$113,Donnees_generations!$A$3:$A$113,MAX(1915,MIN(2025,E218))),SUMIFS(Donnees_generations!$V$3:$V$113,Donnees_generations!$A$3:$A$113,MAX(1915,MIN(2025,E218))),SUMIFS(Donnees_generations!$W$3:$W$113,Donnees_generations!$A$3:$A$113,MAX(1915,MIN(2025,E218))),SUMIFS(Donnees_generations!$X$3:$X$113,Donnees_generations!$A$3:$A$113,MAX(1915,MIN(2025,E218))),SUMIFS(Donnees_generations!$Y$3:$Y$113,Donnees_generations!$A$3:$A$113,MAX(1915,MIN(2025,E218))),SUMIFS(Donnees_generations!$Z$3:$Z$113,Donnees_generations!$A$3:$A$113,MAX(1915,MIN(2025,E218))),SUMIFS(Donnees_generations!$AA$3:$AA$113,Donnees_generations!$A$3:$A$113,MAX(1915,MIN(2025,E218))),SUMIFS(Donnees_generations!$AB$3:$AB$113,Donnees_generations!$A$3:$A$113,MAX(1915,MIN(2025,E218))))+CHOOSE(((AG218+2)-56)/2+1,SUMIFS(Donnees_generations!$AC$3:$AC$113,Donnees_generations!$A$3:$A$113,MAX(1915,MIN(2025,E218))),SUMIFS(Donnees_generations!$AD$3:$AD$113,Donnees_generations!$A$3:$A$113,MAX(1915,MIN(2025,E218))),SUMIFS(Donnees_generations!$AE$3:$AE$113,Donnees_generations!$A$3:$A$113,MAX(1915,MIN(2025,E218))),SUMIFS(Donnees_generations!$AF$3:$AF$113,Donnees_generations!$A$3:$A$113,MAX(1915,MIN(2025,E218))),SUMIFS(Donnees_generations!$AG$3:$AG$113,Donnees_generations!$A$3:$A$113,MAX(1915,MIN(2025,E218))),SUMIFS(Donnees_generations!$AH$3:$AH$113,Donnees_generations!$A$3:$A$113,MAX(1915,MIN(2025,E218))),SUMIFS(Donnees_generations!$AI$3:$AI$113,Donnees_generations!$A$3:$A$113,MAX(1915,MIN(2025,E218))),SUMIFS(Donnees_generations!$AJ$3:$AJ$113,Donnees_generations!$A$3:$A$113,MAX(1915,MIN(2025,E218)))))/2</f>
        <v/>
      </c>
      <c r="AJ218" s="8">
        <f>MAX(0,AH218+(AI218-AH218)*(K218-AG218)/2)</f>
        <v/>
      </c>
      <c r="AK218" s="8">
        <f>K218+AJ218</f>
        <v/>
      </c>
      <c r="AL218" s="14">
        <f>AE218*AJ218</f>
        <v/>
      </c>
      <c r="AM218" s="17">
        <f>V218/AL218</f>
        <v/>
      </c>
      <c r="AN218" s="17">
        <f>Z218/AL218</f>
        <v/>
      </c>
      <c r="AO218" s="33">
        <f>IF(V218+Z218=0,0,Z218/(V218+Z218))</f>
        <v/>
      </c>
      <c r="AP218" s="14">
        <f>AL218/V218*100</f>
        <v/>
      </c>
      <c r="AQ218" s="8">
        <f>P218/AL218*1000</f>
        <v/>
      </c>
      <c r="AR218" s="77">
        <f>MAX(N218,M218-1)</f>
        <v/>
      </c>
      <c r="AS218" s="14">
        <f>SUMIFS(Donnees_regimes!$R$3:$R$1118,Donnees_regimes!$A$3:$A$1118,C218,Donnees_regimes!$B$3:$B$1118,"&gt;="&amp;G218,Donnees_regimes!$B$3:$B$1118,"&lt;="&amp;N218)*L218/ROUNDUP(L218,0)*SUMIFS(Donnees_annuelles!$AG$3:$AG$188,Donnees_annuelles!$A$3:$A$188,AR218)*SUMIFS(Donnees_annuelles!$AA$3:$AA$188,Donnees_annuelles!$A$3:$A$188,AR218)</f>
        <v/>
      </c>
      <c r="AT218" s="36">
        <f>AS218/V218</f>
        <v/>
      </c>
      <c r="AU218" s="14">
        <f>AL218</f>
        <v/>
      </c>
      <c r="AV218" s="39">
        <f>AS218-AL218</f>
        <v/>
      </c>
      <c r="AW218" s="9">
        <f>AS218/AL218-1</f>
        <v/>
      </c>
      <c r="AX218" s="14">
        <f>AS218/AJ218/12</f>
        <v/>
      </c>
      <c r="AY218" s="14">
        <f>AF218</f>
        <v/>
      </c>
      <c r="AZ218" s="39">
        <f>AX218-AF218</f>
        <v/>
      </c>
      <c r="BA218" s="14">
        <f>SUMIFS(Donnees_regimes!$S$3:$S$1118,Donnees_regimes!$A$3:$A$1118,C218,Donnees_regimes!$B$3:$B$1118,"&gt;="&amp;G218,Donnees_regimes!$B$3:$B$1118,"&lt;="&amp;N218)*L218/ROUNDUP(L218,0)*SUMIFS(Donnees_annuelles!$AH$3:$AH$188,Donnees_annuelles!$A$3:$A$188,AR218)*SUMIFS(Donnees_annuelles!$AA$3:$AA$188,Donnees_annuelles!$A$3:$A$188,AR218)</f>
        <v/>
      </c>
      <c r="BB218" s="39">
        <f>BA218-AL218</f>
        <v/>
      </c>
      <c r="BC218" s="7">
        <f>IF(M218+AJ218&gt;2026,IF(G218&gt;2026,"entièrement projeté","en partie projeté"),"observé")</f>
        <v/>
      </c>
    </row>
    <row r="219">
      <c r="A219" s="7" t="inlineStr">
        <is>
          <t>Baby-boomers</t>
        </is>
      </c>
      <c r="B219" s="84" t="inlineStr">
        <is>
          <t>Fonction publique territoriale et hospitalière</t>
        </is>
      </c>
      <c r="C219" s="7">
        <f>IF(G219&gt;=SUMIFS(Regimes!$C$5:$C$10,Regimes!$A$5:$A$10,B219),"Privé",B219)</f>
        <v/>
      </c>
      <c r="D219" s="7">
        <f>INDEX(Regimes!$D$5:$D$10,MATCH(C219,Regimes!$A$5:$A$10,0))</f>
        <v/>
      </c>
      <c r="E219" s="88" t="n">
        <v>1948</v>
      </c>
      <c r="F219" s="8">
        <f>Donnees_generations!C36</f>
        <v/>
      </c>
      <c r="G219" s="77">
        <f>Donnees_generations!D36</f>
        <v/>
      </c>
      <c r="H219" s="8">
        <f>SUMIFS(Donnees_generations!$S$3:$S$113,Donnees_generations!$A$3:$A$113,MAX(1915,MIN(2025,E219)))</f>
        <v/>
      </c>
      <c r="I219" s="8">
        <f>SUMIFS(Donnees_generations!$T$3:$T$113,Donnees_generations!$A$3:$A$113,MAX(1915,MIN(2025,E219)))</f>
        <v/>
      </c>
      <c r="J219" s="8">
        <f>IF(G219&gt;=2000,MAX(I219,Parametres!$B$3),I219)</f>
        <v/>
      </c>
      <c r="K219" s="8">
        <f>IF(C219="Privé",J219,SUMIFS(Regles_regimes!$J$3:$J$2000,Regles_regimes!$A$3:$A$2000,C219,Regles_regimes!$B$3:$B$2000,D219,Regles_regimes!$C$3:$C$2000,MAX(1915,MIN(2025,E219))))</f>
        <v/>
      </c>
      <c r="L219" s="8">
        <f>IF(C219="Privé",H219,(K219-F219)*H219/(J219-F219))</f>
        <v/>
      </c>
      <c r="M219" s="77">
        <f>INT(E219+K219)</f>
        <v/>
      </c>
      <c r="N219" s="77">
        <f>G219+ROUNDUP(L219,0)-1</f>
        <v/>
      </c>
      <c r="O219" s="89">
        <f>SUMIFS(Regles_regimes!$K$3:$K$2000,Regles_regimes!$A$3:$A$2000,C219,Regles_regimes!$B$3:$B$2000,D219,Regles_regimes!$C$3:$C$2000,MAX(1915,MIN(2025,E219)))</f>
        <v/>
      </c>
      <c r="P219" s="13">
        <f>SUMIFS(Donnees_annuelles!$W$3:$W$188,Donnees_annuelles!$A$3:$A$188,"&gt;="&amp;G219,Donnees_annuelles!$A$3:$A$188,"&lt;="&amp;N219)*L219/ROUNDUP(L219,0)*O219</f>
        <v/>
      </c>
      <c r="Q219" s="13">
        <f>SUMIFS(Donnees_annuelles!$V$3:$V$188,Donnees_annuelles!$A$3:$A$188,"&gt;="&amp;G219,Donnees_annuelles!$A$3:$A$188,"&lt;="&amp;N219)*L219/ROUNDUP(L219,0)</f>
        <v/>
      </c>
      <c r="R219" s="13">
        <f>P219/L219</f>
        <v/>
      </c>
      <c r="S219" s="14">
        <f>SUMIFS(Donnees_annuelles!$D$3:$D$188,Donnees_annuelles!$A$3:$A$188,"&gt;="&amp;G219,Donnees_annuelles!$A$3:$A$188,"&lt;="&amp;N219)*L219/ROUNDUP(L219,0)</f>
        <v/>
      </c>
      <c r="T219" s="14">
        <f>SUMIFS(Donnees_regimes!$N$3:$N$1118,Donnees_regimes!$A$3:$A$1118,C219,Donnees_regimes!$B$3:$B$1118,"&gt;="&amp;G219,Donnees_regimes!$B$3:$B$1118,"&lt;="&amp;N219)*L219/ROUNDUP(L219,0)</f>
        <v/>
      </c>
      <c r="U219" s="14">
        <f>SUMIFS(Donnees_regimes!$O$3:$O$1118,Donnees_regimes!$A$3:$A$1118,C219,Donnees_regimes!$B$3:$B$1118,"&gt;="&amp;G219,Donnees_regimes!$B$3:$B$1118,"&lt;="&amp;N219)*L219/ROUNDUP(L219,0)</f>
        <v/>
      </c>
      <c r="V219" s="14">
        <f>T219+U219</f>
        <v/>
      </c>
      <c r="W219" s="33">
        <f>V219/S219</f>
        <v/>
      </c>
      <c r="X219" s="14">
        <f>S219+U219</f>
        <v/>
      </c>
      <c r="Y219" s="17">
        <f>V219/P219</f>
        <v/>
      </c>
      <c r="Z219" s="14">
        <f>SUMIFS(Donnees_regimes!$Q$3:$Q$1118,Donnees_regimes!$A$3:$A$1118,C219,Donnees_regimes!$B$3:$B$1118,"&gt;="&amp;G219,Donnees_regimes!$B$3:$B$1118,"&lt;="&amp;N219)*L219/ROUNDUP(L219,0)</f>
        <v/>
      </c>
      <c r="AA219" s="77">
        <f>SUMIFS(Regles_regimes!$F$3:$F$2000,Regles_regimes!$A$3:$A$2000,C219,Regles_regimes!$B$3:$B$2000,D219,Regles_regimes!$C$3:$C$2000,MAX(1915,MIN(2025,E219)))</f>
        <v/>
      </c>
      <c r="AB219" s="77">
        <f>IF(AND(SUMIFS(Regles_regimes!$L$3:$L$2000,Regles_regimes!$A$3:$A$2000,C219,Regles_regimes!$B$3:$B$2000,D219,Regles_regimes!$C$3:$C$2000,MAX(1915,MIN(2025,E219)))=1,G219&lt;2009,C219&lt;&gt;"Privé"),MIN(20,L219*4/5),0)</f>
        <v/>
      </c>
      <c r="AC219" s="89">
        <f>SUMIFS(Donnees_regimes!$M$3:$M$1118,Donnees_regimes!$A$3:$A$1118,C219,Donnees_regimes!$B$3:$B$1118,M219)</f>
        <v/>
      </c>
      <c r="AD219" s="14">
        <f>SUMIFS(Donnees_annuelles!$Y$3:$Y$188,Donnees_annuelles!$A$3:$A$188,M219)*SUMIFS(Donnees_generations!$I$3:$I$113,Donnees_generations!$A$3:$A$113,MAX(1915,MIN(2025,E219)))/H219</f>
        <v/>
      </c>
      <c r="AE219" s="14">
        <f>IF(C219="Privé",SUMIFS(Donnees_annuelles!$Y$3:$Y$188,Donnees_annuelles!$A$3:$A$188,M219)*MIN(L219,SUMIFS(Donnees_generations!$I$3:$I$113,Donnees_generations!$A$3:$A$113,MAX(1915,MIN(2025,E219))))/L219,AD219*AC219*MIN(IF(AB219&gt;0,0.8/0.75,1),(L219*4+AB219)/AA219))</f>
        <v/>
      </c>
      <c r="AF219" s="14">
        <f>AE219/12</f>
        <v/>
      </c>
      <c r="AG219" s="77">
        <f>MIN(68,MAX(56,2*INT(K219/2)))</f>
        <v/>
      </c>
      <c r="AH219" s="75">
        <f>(CHOOSE((AG219-56)/2+1,SUMIFS(Donnees_generations!$U$3:$U$113,Donnees_generations!$A$3:$A$113,MAX(1915,MIN(2025,E219))),SUMIFS(Donnees_generations!$V$3:$V$113,Donnees_generations!$A$3:$A$113,MAX(1915,MIN(2025,E219))),SUMIFS(Donnees_generations!$W$3:$W$113,Donnees_generations!$A$3:$A$113,MAX(1915,MIN(2025,E219))),SUMIFS(Donnees_generations!$X$3:$X$113,Donnees_generations!$A$3:$A$113,MAX(1915,MIN(2025,E219))),SUMIFS(Donnees_generations!$Y$3:$Y$113,Donnees_generations!$A$3:$A$113,MAX(1915,MIN(2025,E219))),SUMIFS(Donnees_generations!$Z$3:$Z$113,Donnees_generations!$A$3:$A$113,MAX(1915,MIN(2025,E219))),SUMIFS(Donnees_generations!$AA$3:$AA$113,Donnees_generations!$A$3:$A$113,MAX(1915,MIN(2025,E219))),SUMIFS(Donnees_generations!$AB$3:$AB$113,Donnees_generations!$A$3:$A$113,MAX(1915,MIN(2025,E219))))+CHOOSE((AG219-56)/2+1,SUMIFS(Donnees_generations!$AC$3:$AC$113,Donnees_generations!$A$3:$A$113,MAX(1915,MIN(2025,E219))),SUMIFS(Donnees_generations!$AD$3:$AD$113,Donnees_generations!$A$3:$A$113,MAX(1915,MIN(2025,E219))),SUMIFS(Donnees_generations!$AE$3:$AE$113,Donnees_generations!$A$3:$A$113,MAX(1915,MIN(2025,E219))),SUMIFS(Donnees_generations!$AF$3:$AF$113,Donnees_generations!$A$3:$A$113,MAX(1915,MIN(2025,E219))),SUMIFS(Donnees_generations!$AG$3:$AG$113,Donnees_generations!$A$3:$A$113,MAX(1915,MIN(2025,E219))),SUMIFS(Donnees_generations!$AH$3:$AH$113,Donnees_generations!$A$3:$A$113,MAX(1915,MIN(2025,E219))),SUMIFS(Donnees_generations!$AI$3:$AI$113,Donnees_generations!$A$3:$A$113,MAX(1915,MIN(2025,E219))),SUMIFS(Donnees_generations!$AJ$3:$AJ$113,Donnees_generations!$A$3:$A$113,MAX(1915,MIN(2025,E219)))))/2</f>
        <v/>
      </c>
      <c r="AI219" s="75">
        <f>(CHOOSE(((AG219+2)-56)/2+1,SUMIFS(Donnees_generations!$U$3:$U$113,Donnees_generations!$A$3:$A$113,MAX(1915,MIN(2025,E219))),SUMIFS(Donnees_generations!$V$3:$V$113,Donnees_generations!$A$3:$A$113,MAX(1915,MIN(2025,E219))),SUMIFS(Donnees_generations!$W$3:$W$113,Donnees_generations!$A$3:$A$113,MAX(1915,MIN(2025,E219))),SUMIFS(Donnees_generations!$X$3:$X$113,Donnees_generations!$A$3:$A$113,MAX(1915,MIN(2025,E219))),SUMIFS(Donnees_generations!$Y$3:$Y$113,Donnees_generations!$A$3:$A$113,MAX(1915,MIN(2025,E219))),SUMIFS(Donnees_generations!$Z$3:$Z$113,Donnees_generations!$A$3:$A$113,MAX(1915,MIN(2025,E219))),SUMIFS(Donnees_generations!$AA$3:$AA$113,Donnees_generations!$A$3:$A$113,MAX(1915,MIN(2025,E219))),SUMIFS(Donnees_generations!$AB$3:$AB$113,Donnees_generations!$A$3:$A$113,MAX(1915,MIN(2025,E219))))+CHOOSE(((AG219+2)-56)/2+1,SUMIFS(Donnees_generations!$AC$3:$AC$113,Donnees_generations!$A$3:$A$113,MAX(1915,MIN(2025,E219))),SUMIFS(Donnees_generations!$AD$3:$AD$113,Donnees_generations!$A$3:$A$113,MAX(1915,MIN(2025,E219))),SUMIFS(Donnees_generations!$AE$3:$AE$113,Donnees_generations!$A$3:$A$113,MAX(1915,MIN(2025,E219))),SUMIFS(Donnees_generations!$AF$3:$AF$113,Donnees_generations!$A$3:$A$113,MAX(1915,MIN(2025,E219))),SUMIFS(Donnees_generations!$AG$3:$AG$113,Donnees_generations!$A$3:$A$113,MAX(1915,MIN(2025,E219))),SUMIFS(Donnees_generations!$AH$3:$AH$113,Donnees_generations!$A$3:$A$113,MAX(1915,MIN(2025,E219))),SUMIFS(Donnees_generations!$AI$3:$AI$113,Donnees_generations!$A$3:$A$113,MAX(1915,MIN(2025,E219))),SUMIFS(Donnees_generations!$AJ$3:$AJ$113,Donnees_generations!$A$3:$A$113,MAX(1915,MIN(2025,E219)))))/2</f>
        <v/>
      </c>
      <c r="AJ219" s="8">
        <f>MAX(0,AH219+(AI219-AH219)*(K219-AG219)/2)</f>
        <v/>
      </c>
      <c r="AK219" s="8">
        <f>K219+AJ219</f>
        <v/>
      </c>
      <c r="AL219" s="14">
        <f>AE219*AJ219</f>
        <v/>
      </c>
      <c r="AM219" s="17">
        <f>V219/AL219</f>
        <v/>
      </c>
      <c r="AN219" s="17">
        <f>Z219/AL219</f>
        <v/>
      </c>
      <c r="AO219" s="33">
        <f>IF(V219+Z219=0,0,Z219/(V219+Z219))</f>
        <v/>
      </c>
      <c r="AP219" s="14">
        <f>AL219/V219*100</f>
        <v/>
      </c>
      <c r="AQ219" s="8">
        <f>P219/AL219*1000</f>
        <v/>
      </c>
      <c r="AR219" s="77">
        <f>MAX(N219,M219-1)</f>
        <v/>
      </c>
      <c r="AS219" s="14">
        <f>SUMIFS(Donnees_regimes!$R$3:$R$1118,Donnees_regimes!$A$3:$A$1118,C219,Donnees_regimes!$B$3:$B$1118,"&gt;="&amp;G219,Donnees_regimes!$B$3:$B$1118,"&lt;="&amp;N219)*L219/ROUNDUP(L219,0)*SUMIFS(Donnees_annuelles!$AG$3:$AG$188,Donnees_annuelles!$A$3:$A$188,AR219)*SUMIFS(Donnees_annuelles!$AA$3:$AA$188,Donnees_annuelles!$A$3:$A$188,AR219)</f>
        <v/>
      </c>
      <c r="AT219" s="36">
        <f>AS219/V219</f>
        <v/>
      </c>
      <c r="AU219" s="14">
        <f>AL219</f>
        <v/>
      </c>
      <c r="AV219" s="39">
        <f>AS219-AL219</f>
        <v/>
      </c>
      <c r="AW219" s="9">
        <f>AS219/AL219-1</f>
        <v/>
      </c>
      <c r="AX219" s="14">
        <f>AS219/AJ219/12</f>
        <v/>
      </c>
      <c r="AY219" s="14">
        <f>AF219</f>
        <v/>
      </c>
      <c r="AZ219" s="39">
        <f>AX219-AF219</f>
        <v/>
      </c>
      <c r="BA219" s="14">
        <f>SUMIFS(Donnees_regimes!$S$3:$S$1118,Donnees_regimes!$A$3:$A$1118,C219,Donnees_regimes!$B$3:$B$1118,"&gt;="&amp;G219,Donnees_regimes!$B$3:$B$1118,"&lt;="&amp;N219)*L219/ROUNDUP(L219,0)*SUMIFS(Donnees_annuelles!$AH$3:$AH$188,Donnees_annuelles!$A$3:$A$188,AR219)*SUMIFS(Donnees_annuelles!$AA$3:$AA$188,Donnees_annuelles!$A$3:$A$188,AR219)</f>
        <v/>
      </c>
      <c r="BB219" s="39">
        <f>BA219-AL219</f>
        <v/>
      </c>
      <c r="BC219" s="7">
        <f>IF(M219+AJ219&gt;2026,IF(G219&gt;2026,"entièrement projeté","en partie projeté"),"observé")</f>
        <v/>
      </c>
    </row>
    <row r="220">
      <c r="A220" s="7" t="inlineStr">
        <is>
          <t>Baby-boomers</t>
        </is>
      </c>
      <c r="B220" s="84" t="inlineStr">
        <is>
          <t>Fonction publique territoriale et hospitalière</t>
        </is>
      </c>
      <c r="C220" s="7">
        <f>IF(G220&gt;=SUMIFS(Regimes!$C$5:$C$10,Regimes!$A$5:$A$10,B220),"Privé",B220)</f>
        <v/>
      </c>
      <c r="D220" s="7">
        <f>INDEX(Regimes!$D$5:$D$10,MATCH(C220,Regimes!$A$5:$A$10,0))</f>
        <v/>
      </c>
      <c r="E220" s="88" t="n">
        <v>1949</v>
      </c>
      <c r="F220" s="8">
        <f>Donnees_generations!C37</f>
        <v/>
      </c>
      <c r="G220" s="77">
        <f>Donnees_generations!D37</f>
        <v/>
      </c>
      <c r="H220" s="8">
        <f>SUMIFS(Donnees_generations!$S$3:$S$113,Donnees_generations!$A$3:$A$113,MAX(1915,MIN(2025,E220)))</f>
        <v/>
      </c>
      <c r="I220" s="8">
        <f>SUMIFS(Donnees_generations!$T$3:$T$113,Donnees_generations!$A$3:$A$113,MAX(1915,MIN(2025,E220)))</f>
        <v/>
      </c>
      <c r="J220" s="8">
        <f>IF(G220&gt;=2000,MAX(I220,Parametres!$B$3),I220)</f>
        <v/>
      </c>
      <c r="K220" s="8">
        <f>IF(C220="Privé",J220,SUMIFS(Regles_regimes!$J$3:$J$2000,Regles_regimes!$A$3:$A$2000,C220,Regles_regimes!$B$3:$B$2000,D220,Regles_regimes!$C$3:$C$2000,MAX(1915,MIN(2025,E220))))</f>
        <v/>
      </c>
      <c r="L220" s="8">
        <f>IF(C220="Privé",H220,(K220-F220)*H220/(J220-F220))</f>
        <v/>
      </c>
      <c r="M220" s="77">
        <f>INT(E220+K220)</f>
        <v/>
      </c>
      <c r="N220" s="77">
        <f>G220+ROUNDUP(L220,0)-1</f>
        <v/>
      </c>
      <c r="O220" s="89">
        <f>SUMIFS(Regles_regimes!$K$3:$K$2000,Regles_regimes!$A$3:$A$2000,C220,Regles_regimes!$B$3:$B$2000,D220,Regles_regimes!$C$3:$C$2000,MAX(1915,MIN(2025,E220)))</f>
        <v/>
      </c>
      <c r="P220" s="13">
        <f>SUMIFS(Donnees_annuelles!$W$3:$W$188,Donnees_annuelles!$A$3:$A$188,"&gt;="&amp;G220,Donnees_annuelles!$A$3:$A$188,"&lt;="&amp;N220)*L220/ROUNDUP(L220,0)*O220</f>
        <v/>
      </c>
      <c r="Q220" s="13">
        <f>SUMIFS(Donnees_annuelles!$V$3:$V$188,Donnees_annuelles!$A$3:$A$188,"&gt;="&amp;G220,Donnees_annuelles!$A$3:$A$188,"&lt;="&amp;N220)*L220/ROUNDUP(L220,0)</f>
        <v/>
      </c>
      <c r="R220" s="13">
        <f>P220/L220</f>
        <v/>
      </c>
      <c r="S220" s="14">
        <f>SUMIFS(Donnees_annuelles!$D$3:$D$188,Donnees_annuelles!$A$3:$A$188,"&gt;="&amp;G220,Donnees_annuelles!$A$3:$A$188,"&lt;="&amp;N220)*L220/ROUNDUP(L220,0)</f>
        <v/>
      </c>
      <c r="T220" s="14">
        <f>SUMIFS(Donnees_regimes!$N$3:$N$1118,Donnees_regimes!$A$3:$A$1118,C220,Donnees_regimes!$B$3:$B$1118,"&gt;="&amp;G220,Donnees_regimes!$B$3:$B$1118,"&lt;="&amp;N220)*L220/ROUNDUP(L220,0)</f>
        <v/>
      </c>
      <c r="U220" s="14">
        <f>SUMIFS(Donnees_regimes!$O$3:$O$1118,Donnees_regimes!$A$3:$A$1118,C220,Donnees_regimes!$B$3:$B$1118,"&gt;="&amp;G220,Donnees_regimes!$B$3:$B$1118,"&lt;="&amp;N220)*L220/ROUNDUP(L220,0)</f>
        <v/>
      </c>
      <c r="V220" s="14">
        <f>T220+U220</f>
        <v/>
      </c>
      <c r="W220" s="33">
        <f>V220/S220</f>
        <v/>
      </c>
      <c r="X220" s="14">
        <f>S220+U220</f>
        <v/>
      </c>
      <c r="Y220" s="17">
        <f>V220/P220</f>
        <v/>
      </c>
      <c r="Z220" s="14">
        <f>SUMIFS(Donnees_regimes!$Q$3:$Q$1118,Donnees_regimes!$A$3:$A$1118,C220,Donnees_regimes!$B$3:$B$1118,"&gt;="&amp;G220,Donnees_regimes!$B$3:$B$1118,"&lt;="&amp;N220)*L220/ROUNDUP(L220,0)</f>
        <v/>
      </c>
      <c r="AA220" s="77">
        <f>SUMIFS(Regles_regimes!$F$3:$F$2000,Regles_regimes!$A$3:$A$2000,C220,Regles_regimes!$B$3:$B$2000,D220,Regles_regimes!$C$3:$C$2000,MAX(1915,MIN(2025,E220)))</f>
        <v/>
      </c>
      <c r="AB220" s="77">
        <f>IF(AND(SUMIFS(Regles_regimes!$L$3:$L$2000,Regles_regimes!$A$3:$A$2000,C220,Regles_regimes!$B$3:$B$2000,D220,Regles_regimes!$C$3:$C$2000,MAX(1915,MIN(2025,E220)))=1,G220&lt;2009,C220&lt;&gt;"Privé"),MIN(20,L220*4/5),0)</f>
        <v/>
      </c>
      <c r="AC220" s="89">
        <f>SUMIFS(Donnees_regimes!$M$3:$M$1118,Donnees_regimes!$A$3:$A$1118,C220,Donnees_regimes!$B$3:$B$1118,M220)</f>
        <v/>
      </c>
      <c r="AD220" s="14">
        <f>SUMIFS(Donnees_annuelles!$Y$3:$Y$188,Donnees_annuelles!$A$3:$A$188,M220)*SUMIFS(Donnees_generations!$I$3:$I$113,Donnees_generations!$A$3:$A$113,MAX(1915,MIN(2025,E220)))/H220</f>
        <v/>
      </c>
      <c r="AE220" s="14">
        <f>IF(C220="Privé",SUMIFS(Donnees_annuelles!$Y$3:$Y$188,Donnees_annuelles!$A$3:$A$188,M220)*MIN(L220,SUMIFS(Donnees_generations!$I$3:$I$113,Donnees_generations!$A$3:$A$113,MAX(1915,MIN(2025,E220))))/L220,AD220*AC220*MIN(IF(AB220&gt;0,0.8/0.75,1),(L220*4+AB220)/AA220))</f>
        <v/>
      </c>
      <c r="AF220" s="14">
        <f>AE220/12</f>
        <v/>
      </c>
      <c r="AG220" s="77">
        <f>MIN(68,MAX(56,2*INT(K220/2)))</f>
        <v/>
      </c>
      <c r="AH220" s="75">
        <f>(CHOOSE((AG220-56)/2+1,SUMIFS(Donnees_generations!$U$3:$U$113,Donnees_generations!$A$3:$A$113,MAX(1915,MIN(2025,E220))),SUMIFS(Donnees_generations!$V$3:$V$113,Donnees_generations!$A$3:$A$113,MAX(1915,MIN(2025,E220))),SUMIFS(Donnees_generations!$W$3:$W$113,Donnees_generations!$A$3:$A$113,MAX(1915,MIN(2025,E220))),SUMIFS(Donnees_generations!$X$3:$X$113,Donnees_generations!$A$3:$A$113,MAX(1915,MIN(2025,E220))),SUMIFS(Donnees_generations!$Y$3:$Y$113,Donnees_generations!$A$3:$A$113,MAX(1915,MIN(2025,E220))),SUMIFS(Donnees_generations!$Z$3:$Z$113,Donnees_generations!$A$3:$A$113,MAX(1915,MIN(2025,E220))),SUMIFS(Donnees_generations!$AA$3:$AA$113,Donnees_generations!$A$3:$A$113,MAX(1915,MIN(2025,E220))),SUMIFS(Donnees_generations!$AB$3:$AB$113,Donnees_generations!$A$3:$A$113,MAX(1915,MIN(2025,E220))))+CHOOSE((AG220-56)/2+1,SUMIFS(Donnees_generations!$AC$3:$AC$113,Donnees_generations!$A$3:$A$113,MAX(1915,MIN(2025,E220))),SUMIFS(Donnees_generations!$AD$3:$AD$113,Donnees_generations!$A$3:$A$113,MAX(1915,MIN(2025,E220))),SUMIFS(Donnees_generations!$AE$3:$AE$113,Donnees_generations!$A$3:$A$113,MAX(1915,MIN(2025,E220))),SUMIFS(Donnees_generations!$AF$3:$AF$113,Donnees_generations!$A$3:$A$113,MAX(1915,MIN(2025,E220))),SUMIFS(Donnees_generations!$AG$3:$AG$113,Donnees_generations!$A$3:$A$113,MAX(1915,MIN(2025,E220))),SUMIFS(Donnees_generations!$AH$3:$AH$113,Donnees_generations!$A$3:$A$113,MAX(1915,MIN(2025,E220))),SUMIFS(Donnees_generations!$AI$3:$AI$113,Donnees_generations!$A$3:$A$113,MAX(1915,MIN(2025,E220))),SUMIFS(Donnees_generations!$AJ$3:$AJ$113,Donnees_generations!$A$3:$A$113,MAX(1915,MIN(2025,E220)))))/2</f>
        <v/>
      </c>
      <c r="AI220" s="75">
        <f>(CHOOSE(((AG220+2)-56)/2+1,SUMIFS(Donnees_generations!$U$3:$U$113,Donnees_generations!$A$3:$A$113,MAX(1915,MIN(2025,E220))),SUMIFS(Donnees_generations!$V$3:$V$113,Donnees_generations!$A$3:$A$113,MAX(1915,MIN(2025,E220))),SUMIFS(Donnees_generations!$W$3:$W$113,Donnees_generations!$A$3:$A$113,MAX(1915,MIN(2025,E220))),SUMIFS(Donnees_generations!$X$3:$X$113,Donnees_generations!$A$3:$A$113,MAX(1915,MIN(2025,E220))),SUMIFS(Donnees_generations!$Y$3:$Y$113,Donnees_generations!$A$3:$A$113,MAX(1915,MIN(2025,E220))),SUMIFS(Donnees_generations!$Z$3:$Z$113,Donnees_generations!$A$3:$A$113,MAX(1915,MIN(2025,E220))),SUMIFS(Donnees_generations!$AA$3:$AA$113,Donnees_generations!$A$3:$A$113,MAX(1915,MIN(2025,E220))),SUMIFS(Donnees_generations!$AB$3:$AB$113,Donnees_generations!$A$3:$A$113,MAX(1915,MIN(2025,E220))))+CHOOSE(((AG220+2)-56)/2+1,SUMIFS(Donnees_generations!$AC$3:$AC$113,Donnees_generations!$A$3:$A$113,MAX(1915,MIN(2025,E220))),SUMIFS(Donnees_generations!$AD$3:$AD$113,Donnees_generations!$A$3:$A$113,MAX(1915,MIN(2025,E220))),SUMIFS(Donnees_generations!$AE$3:$AE$113,Donnees_generations!$A$3:$A$113,MAX(1915,MIN(2025,E220))),SUMIFS(Donnees_generations!$AF$3:$AF$113,Donnees_generations!$A$3:$A$113,MAX(1915,MIN(2025,E220))),SUMIFS(Donnees_generations!$AG$3:$AG$113,Donnees_generations!$A$3:$A$113,MAX(1915,MIN(2025,E220))),SUMIFS(Donnees_generations!$AH$3:$AH$113,Donnees_generations!$A$3:$A$113,MAX(1915,MIN(2025,E220))),SUMIFS(Donnees_generations!$AI$3:$AI$113,Donnees_generations!$A$3:$A$113,MAX(1915,MIN(2025,E220))),SUMIFS(Donnees_generations!$AJ$3:$AJ$113,Donnees_generations!$A$3:$A$113,MAX(1915,MIN(2025,E220)))))/2</f>
        <v/>
      </c>
      <c r="AJ220" s="8">
        <f>MAX(0,AH220+(AI220-AH220)*(K220-AG220)/2)</f>
        <v/>
      </c>
      <c r="AK220" s="8">
        <f>K220+AJ220</f>
        <v/>
      </c>
      <c r="AL220" s="14">
        <f>AE220*AJ220</f>
        <v/>
      </c>
      <c r="AM220" s="17">
        <f>V220/AL220</f>
        <v/>
      </c>
      <c r="AN220" s="17">
        <f>Z220/AL220</f>
        <v/>
      </c>
      <c r="AO220" s="33">
        <f>IF(V220+Z220=0,0,Z220/(V220+Z220))</f>
        <v/>
      </c>
      <c r="AP220" s="14">
        <f>AL220/V220*100</f>
        <v/>
      </c>
      <c r="AQ220" s="8">
        <f>P220/AL220*1000</f>
        <v/>
      </c>
      <c r="AR220" s="77">
        <f>MAX(N220,M220-1)</f>
        <v/>
      </c>
      <c r="AS220" s="14">
        <f>SUMIFS(Donnees_regimes!$R$3:$R$1118,Donnees_regimes!$A$3:$A$1118,C220,Donnees_regimes!$B$3:$B$1118,"&gt;="&amp;G220,Donnees_regimes!$B$3:$B$1118,"&lt;="&amp;N220)*L220/ROUNDUP(L220,0)*SUMIFS(Donnees_annuelles!$AG$3:$AG$188,Donnees_annuelles!$A$3:$A$188,AR220)*SUMIFS(Donnees_annuelles!$AA$3:$AA$188,Donnees_annuelles!$A$3:$A$188,AR220)</f>
        <v/>
      </c>
      <c r="AT220" s="36">
        <f>AS220/V220</f>
        <v/>
      </c>
      <c r="AU220" s="14">
        <f>AL220</f>
        <v/>
      </c>
      <c r="AV220" s="39">
        <f>AS220-AL220</f>
        <v/>
      </c>
      <c r="AW220" s="9">
        <f>AS220/AL220-1</f>
        <v/>
      </c>
      <c r="AX220" s="14">
        <f>AS220/AJ220/12</f>
        <v/>
      </c>
      <c r="AY220" s="14">
        <f>AF220</f>
        <v/>
      </c>
      <c r="AZ220" s="39">
        <f>AX220-AF220</f>
        <v/>
      </c>
      <c r="BA220" s="14">
        <f>SUMIFS(Donnees_regimes!$S$3:$S$1118,Donnees_regimes!$A$3:$A$1118,C220,Donnees_regimes!$B$3:$B$1118,"&gt;="&amp;G220,Donnees_regimes!$B$3:$B$1118,"&lt;="&amp;N220)*L220/ROUNDUP(L220,0)*SUMIFS(Donnees_annuelles!$AH$3:$AH$188,Donnees_annuelles!$A$3:$A$188,AR220)*SUMIFS(Donnees_annuelles!$AA$3:$AA$188,Donnees_annuelles!$A$3:$A$188,AR220)</f>
        <v/>
      </c>
      <c r="BB220" s="39">
        <f>BA220-AL220</f>
        <v/>
      </c>
      <c r="BC220" s="7">
        <f>IF(M220+AJ220&gt;2026,IF(G220&gt;2026,"entièrement projeté","en partie projeté"),"observé")</f>
        <v/>
      </c>
    </row>
    <row r="221">
      <c r="A221" s="7" t="inlineStr">
        <is>
          <t>Baby-boomers</t>
        </is>
      </c>
      <c r="B221" s="84" t="inlineStr">
        <is>
          <t>Fonction publique territoriale et hospitalière</t>
        </is>
      </c>
      <c r="C221" s="7">
        <f>IF(G221&gt;=SUMIFS(Regimes!$C$5:$C$10,Regimes!$A$5:$A$10,B221),"Privé",B221)</f>
        <v/>
      </c>
      <c r="D221" s="7">
        <f>INDEX(Regimes!$D$5:$D$10,MATCH(C221,Regimes!$A$5:$A$10,0))</f>
        <v/>
      </c>
      <c r="E221" s="88" t="n">
        <v>1950</v>
      </c>
      <c r="F221" s="8">
        <f>Donnees_generations!C38</f>
        <v/>
      </c>
      <c r="G221" s="77">
        <f>Donnees_generations!D38</f>
        <v/>
      </c>
      <c r="H221" s="8">
        <f>SUMIFS(Donnees_generations!$S$3:$S$113,Donnees_generations!$A$3:$A$113,MAX(1915,MIN(2025,E221)))</f>
        <v/>
      </c>
      <c r="I221" s="8">
        <f>SUMIFS(Donnees_generations!$T$3:$T$113,Donnees_generations!$A$3:$A$113,MAX(1915,MIN(2025,E221)))</f>
        <v/>
      </c>
      <c r="J221" s="8">
        <f>IF(G221&gt;=2000,MAX(I221,Parametres!$B$3),I221)</f>
        <v/>
      </c>
      <c r="K221" s="8">
        <f>IF(C221="Privé",J221,SUMIFS(Regles_regimes!$J$3:$J$2000,Regles_regimes!$A$3:$A$2000,C221,Regles_regimes!$B$3:$B$2000,D221,Regles_regimes!$C$3:$C$2000,MAX(1915,MIN(2025,E221))))</f>
        <v/>
      </c>
      <c r="L221" s="8">
        <f>IF(C221="Privé",H221,(K221-F221)*H221/(J221-F221))</f>
        <v/>
      </c>
      <c r="M221" s="77">
        <f>INT(E221+K221)</f>
        <v/>
      </c>
      <c r="N221" s="77">
        <f>G221+ROUNDUP(L221,0)-1</f>
        <v/>
      </c>
      <c r="O221" s="89">
        <f>SUMIFS(Regles_regimes!$K$3:$K$2000,Regles_regimes!$A$3:$A$2000,C221,Regles_regimes!$B$3:$B$2000,D221,Regles_regimes!$C$3:$C$2000,MAX(1915,MIN(2025,E221)))</f>
        <v/>
      </c>
      <c r="P221" s="13">
        <f>SUMIFS(Donnees_annuelles!$W$3:$W$188,Donnees_annuelles!$A$3:$A$188,"&gt;="&amp;G221,Donnees_annuelles!$A$3:$A$188,"&lt;="&amp;N221)*L221/ROUNDUP(L221,0)*O221</f>
        <v/>
      </c>
      <c r="Q221" s="13">
        <f>SUMIFS(Donnees_annuelles!$V$3:$V$188,Donnees_annuelles!$A$3:$A$188,"&gt;="&amp;G221,Donnees_annuelles!$A$3:$A$188,"&lt;="&amp;N221)*L221/ROUNDUP(L221,0)</f>
        <v/>
      </c>
      <c r="R221" s="13">
        <f>P221/L221</f>
        <v/>
      </c>
      <c r="S221" s="14">
        <f>SUMIFS(Donnees_annuelles!$D$3:$D$188,Donnees_annuelles!$A$3:$A$188,"&gt;="&amp;G221,Donnees_annuelles!$A$3:$A$188,"&lt;="&amp;N221)*L221/ROUNDUP(L221,0)</f>
        <v/>
      </c>
      <c r="T221" s="14">
        <f>SUMIFS(Donnees_regimes!$N$3:$N$1118,Donnees_regimes!$A$3:$A$1118,C221,Donnees_regimes!$B$3:$B$1118,"&gt;="&amp;G221,Donnees_regimes!$B$3:$B$1118,"&lt;="&amp;N221)*L221/ROUNDUP(L221,0)</f>
        <v/>
      </c>
      <c r="U221" s="14">
        <f>SUMIFS(Donnees_regimes!$O$3:$O$1118,Donnees_regimes!$A$3:$A$1118,C221,Donnees_regimes!$B$3:$B$1118,"&gt;="&amp;G221,Donnees_regimes!$B$3:$B$1118,"&lt;="&amp;N221)*L221/ROUNDUP(L221,0)</f>
        <v/>
      </c>
      <c r="V221" s="14">
        <f>T221+U221</f>
        <v/>
      </c>
      <c r="W221" s="33">
        <f>V221/S221</f>
        <v/>
      </c>
      <c r="X221" s="14">
        <f>S221+U221</f>
        <v/>
      </c>
      <c r="Y221" s="17">
        <f>V221/P221</f>
        <v/>
      </c>
      <c r="Z221" s="14">
        <f>SUMIFS(Donnees_regimes!$Q$3:$Q$1118,Donnees_regimes!$A$3:$A$1118,C221,Donnees_regimes!$B$3:$B$1118,"&gt;="&amp;G221,Donnees_regimes!$B$3:$B$1118,"&lt;="&amp;N221)*L221/ROUNDUP(L221,0)</f>
        <v/>
      </c>
      <c r="AA221" s="77">
        <f>SUMIFS(Regles_regimes!$F$3:$F$2000,Regles_regimes!$A$3:$A$2000,C221,Regles_regimes!$B$3:$B$2000,D221,Regles_regimes!$C$3:$C$2000,MAX(1915,MIN(2025,E221)))</f>
        <v/>
      </c>
      <c r="AB221" s="77">
        <f>IF(AND(SUMIFS(Regles_regimes!$L$3:$L$2000,Regles_regimes!$A$3:$A$2000,C221,Regles_regimes!$B$3:$B$2000,D221,Regles_regimes!$C$3:$C$2000,MAX(1915,MIN(2025,E221)))=1,G221&lt;2009,C221&lt;&gt;"Privé"),MIN(20,L221*4/5),0)</f>
        <v/>
      </c>
      <c r="AC221" s="89">
        <f>SUMIFS(Donnees_regimes!$M$3:$M$1118,Donnees_regimes!$A$3:$A$1118,C221,Donnees_regimes!$B$3:$B$1118,M221)</f>
        <v/>
      </c>
      <c r="AD221" s="14">
        <f>SUMIFS(Donnees_annuelles!$Y$3:$Y$188,Donnees_annuelles!$A$3:$A$188,M221)*SUMIFS(Donnees_generations!$I$3:$I$113,Donnees_generations!$A$3:$A$113,MAX(1915,MIN(2025,E221)))/H221</f>
        <v/>
      </c>
      <c r="AE221" s="14">
        <f>IF(C221="Privé",SUMIFS(Donnees_annuelles!$Y$3:$Y$188,Donnees_annuelles!$A$3:$A$188,M221)*MIN(L221,SUMIFS(Donnees_generations!$I$3:$I$113,Donnees_generations!$A$3:$A$113,MAX(1915,MIN(2025,E221))))/L221,AD221*AC221*MIN(IF(AB221&gt;0,0.8/0.75,1),(L221*4+AB221)/AA221))</f>
        <v/>
      </c>
      <c r="AF221" s="14">
        <f>AE221/12</f>
        <v/>
      </c>
      <c r="AG221" s="77">
        <f>MIN(68,MAX(56,2*INT(K221/2)))</f>
        <v/>
      </c>
      <c r="AH221" s="75">
        <f>(CHOOSE((AG221-56)/2+1,SUMIFS(Donnees_generations!$U$3:$U$113,Donnees_generations!$A$3:$A$113,MAX(1915,MIN(2025,E221))),SUMIFS(Donnees_generations!$V$3:$V$113,Donnees_generations!$A$3:$A$113,MAX(1915,MIN(2025,E221))),SUMIFS(Donnees_generations!$W$3:$W$113,Donnees_generations!$A$3:$A$113,MAX(1915,MIN(2025,E221))),SUMIFS(Donnees_generations!$X$3:$X$113,Donnees_generations!$A$3:$A$113,MAX(1915,MIN(2025,E221))),SUMIFS(Donnees_generations!$Y$3:$Y$113,Donnees_generations!$A$3:$A$113,MAX(1915,MIN(2025,E221))),SUMIFS(Donnees_generations!$Z$3:$Z$113,Donnees_generations!$A$3:$A$113,MAX(1915,MIN(2025,E221))),SUMIFS(Donnees_generations!$AA$3:$AA$113,Donnees_generations!$A$3:$A$113,MAX(1915,MIN(2025,E221))),SUMIFS(Donnees_generations!$AB$3:$AB$113,Donnees_generations!$A$3:$A$113,MAX(1915,MIN(2025,E221))))+CHOOSE((AG221-56)/2+1,SUMIFS(Donnees_generations!$AC$3:$AC$113,Donnees_generations!$A$3:$A$113,MAX(1915,MIN(2025,E221))),SUMIFS(Donnees_generations!$AD$3:$AD$113,Donnees_generations!$A$3:$A$113,MAX(1915,MIN(2025,E221))),SUMIFS(Donnees_generations!$AE$3:$AE$113,Donnees_generations!$A$3:$A$113,MAX(1915,MIN(2025,E221))),SUMIFS(Donnees_generations!$AF$3:$AF$113,Donnees_generations!$A$3:$A$113,MAX(1915,MIN(2025,E221))),SUMIFS(Donnees_generations!$AG$3:$AG$113,Donnees_generations!$A$3:$A$113,MAX(1915,MIN(2025,E221))),SUMIFS(Donnees_generations!$AH$3:$AH$113,Donnees_generations!$A$3:$A$113,MAX(1915,MIN(2025,E221))),SUMIFS(Donnees_generations!$AI$3:$AI$113,Donnees_generations!$A$3:$A$113,MAX(1915,MIN(2025,E221))),SUMIFS(Donnees_generations!$AJ$3:$AJ$113,Donnees_generations!$A$3:$A$113,MAX(1915,MIN(2025,E221)))))/2</f>
        <v/>
      </c>
      <c r="AI221" s="75">
        <f>(CHOOSE(((AG221+2)-56)/2+1,SUMIFS(Donnees_generations!$U$3:$U$113,Donnees_generations!$A$3:$A$113,MAX(1915,MIN(2025,E221))),SUMIFS(Donnees_generations!$V$3:$V$113,Donnees_generations!$A$3:$A$113,MAX(1915,MIN(2025,E221))),SUMIFS(Donnees_generations!$W$3:$W$113,Donnees_generations!$A$3:$A$113,MAX(1915,MIN(2025,E221))),SUMIFS(Donnees_generations!$X$3:$X$113,Donnees_generations!$A$3:$A$113,MAX(1915,MIN(2025,E221))),SUMIFS(Donnees_generations!$Y$3:$Y$113,Donnees_generations!$A$3:$A$113,MAX(1915,MIN(2025,E221))),SUMIFS(Donnees_generations!$Z$3:$Z$113,Donnees_generations!$A$3:$A$113,MAX(1915,MIN(2025,E221))),SUMIFS(Donnees_generations!$AA$3:$AA$113,Donnees_generations!$A$3:$A$113,MAX(1915,MIN(2025,E221))),SUMIFS(Donnees_generations!$AB$3:$AB$113,Donnees_generations!$A$3:$A$113,MAX(1915,MIN(2025,E221))))+CHOOSE(((AG221+2)-56)/2+1,SUMIFS(Donnees_generations!$AC$3:$AC$113,Donnees_generations!$A$3:$A$113,MAX(1915,MIN(2025,E221))),SUMIFS(Donnees_generations!$AD$3:$AD$113,Donnees_generations!$A$3:$A$113,MAX(1915,MIN(2025,E221))),SUMIFS(Donnees_generations!$AE$3:$AE$113,Donnees_generations!$A$3:$A$113,MAX(1915,MIN(2025,E221))),SUMIFS(Donnees_generations!$AF$3:$AF$113,Donnees_generations!$A$3:$A$113,MAX(1915,MIN(2025,E221))),SUMIFS(Donnees_generations!$AG$3:$AG$113,Donnees_generations!$A$3:$A$113,MAX(1915,MIN(2025,E221))),SUMIFS(Donnees_generations!$AH$3:$AH$113,Donnees_generations!$A$3:$A$113,MAX(1915,MIN(2025,E221))),SUMIFS(Donnees_generations!$AI$3:$AI$113,Donnees_generations!$A$3:$A$113,MAX(1915,MIN(2025,E221))),SUMIFS(Donnees_generations!$AJ$3:$AJ$113,Donnees_generations!$A$3:$A$113,MAX(1915,MIN(2025,E221)))))/2</f>
        <v/>
      </c>
      <c r="AJ221" s="8">
        <f>MAX(0,AH221+(AI221-AH221)*(K221-AG221)/2)</f>
        <v/>
      </c>
      <c r="AK221" s="8">
        <f>K221+AJ221</f>
        <v/>
      </c>
      <c r="AL221" s="14">
        <f>AE221*AJ221</f>
        <v/>
      </c>
      <c r="AM221" s="17">
        <f>V221/AL221</f>
        <v/>
      </c>
      <c r="AN221" s="17">
        <f>Z221/AL221</f>
        <v/>
      </c>
      <c r="AO221" s="33">
        <f>IF(V221+Z221=0,0,Z221/(V221+Z221))</f>
        <v/>
      </c>
      <c r="AP221" s="14">
        <f>AL221/V221*100</f>
        <v/>
      </c>
      <c r="AQ221" s="8">
        <f>P221/AL221*1000</f>
        <v/>
      </c>
      <c r="AR221" s="77">
        <f>MAX(N221,M221-1)</f>
        <v/>
      </c>
      <c r="AS221" s="14">
        <f>SUMIFS(Donnees_regimes!$R$3:$R$1118,Donnees_regimes!$A$3:$A$1118,C221,Donnees_regimes!$B$3:$B$1118,"&gt;="&amp;G221,Donnees_regimes!$B$3:$B$1118,"&lt;="&amp;N221)*L221/ROUNDUP(L221,0)*SUMIFS(Donnees_annuelles!$AG$3:$AG$188,Donnees_annuelles!$A$3:$A$188,AR221)*SUMIFS(Donnees_annuelles!$AA$3:$AA$188,Donnees_annuelles!$A$3:$A$188,AR221)</f>
        <v/>
      </c>
      <c r="AT221" s="36">
        <f>AS221/V221</f>
        <v/>
      </c>
      <c r="AU221" s="14">
        <f>AL221</f>
        <v/>
      </c>
      <c r="AV221" s="39">
        <f>AS221-AL221</f>
        <v/>
      </c>
      <c r="AW221" s="9">
        <f>AS221/AL221-1</f>
        <v/>
      </c>
      <c r="AX221" s="14">
        <f>AS221/AJ221/12</f>
        <v/>
      </c>
      <c r="AY221" s="14">
        <f>AF221</f>
        <v/>
      </c>
      <c r="AZ221" s="39">
        <f>AX221-AF221</f>
        <v/>
      </c>
      <c r="BA221" s="14">
        <f>SUMIFS(Donnees_regimes!$S$3:$S$1118,Donnees_regimes!$A$3:$A$1118,C221,Donnees_regimes!$B$3:$B$1118,"&gt;="&amp;G221,Donnees_regimes!$B$3:$B$1118,"&lt;="&amp;N221)*L221/ROUNDUP(L221,0)*SUMIFS(Donnees_annuelles!$AH$3:$AH$188,Donnees_annuelles!$A$3:$A$188,AR221)*SUMIFS(Donnees_annuelles!$AA$3:$AA$188,Donnees_annuelles!$A$3:$A$188,AR221)</f>
        <v/>
      </c>
      <c r="BB221" s="39">
        <f>BA221-AL221</f>
        <v/>
      </c>
      <c r="BC221" s="7">
        <f>IF(M221+AJ221&gt;2026,IF(G221&gt;2026,"entièrement projeté","en partie projeté"),"observé")</f>
        <v/>
      </c>
    </row>
    <row r="222">
      <c r="A222" s="7" t="inlineStr">
        <is>
          <t>Baby-boomers</t>
        </is>
      </c>
      <c r="B222" s="84" t="inlineStr">
        <is>
          <t>Fonction publique territoriale et hospitalière</t>
        </is>
      </c>
      <c r="C222" s="7">
        <f>IF(G222&gt;=SUMIFS(Regimes!$C$5:$C$10,Regimes!$A$5:$A$10,B222),"Privé",B222)</f>
        <v/>
      </c>
      <c r="D222" s="7">
        <f>INDEX(Regimes!$D$5:$D$10,MATCH(C222,Regimes!$A$5:$A$10,0))</f>
        <v/>
      </c>
      <c r="E222" s="88" t="n">
        <v>1951</v>
      </c>
      <c r="F222" s="8">
        <f>Donnees_generations!C39</f>
        <v/>
      </c>
      <c r="G222" s="77">
        <f>Donnees_generations!D39</f>
        <v/>
      </c>
      <c r="H222" s="8">
        <f>SUMIFS(Donnees_generations!$S$3:$S$113,Donnees_generations!$A$3:$A$113,MAX(1915,MIN(2025,E222)))</f>
        <v/>
      </c>
      <c r="I222" s="8">
        <f>SUMIFS(Donnees_generations!$T$3:$T$113,Donnees_generations!$A$3:$A$113,MAX(1915,MIN(2025,E222)))</f>
        <v/>
      </c>
      <c r="J222" s="8">
        <f>IF(G222&gt;=2000,MAX(I222,Parametres!$B$3),I222)</f>
        <v/>
      </c>
      <c r="K222" s="8">
        <f>IF(C222="Privé",J222,SUMIFS(Regles_regimes!$J$3:$J$2000,Regles_regimes!$A$3:$A$2000,C222,Regles_regimes!$B$3:$B$2000,D222,Regles_regimes!$C$3:$C$2000,MAX(1915,MIN(2025,E222))))</f>
        <v/>
      </c>
      <c r="L222" s="8">
        <f>IF(C222="Privé",H222,(K222-F222)*H222/(J222-F222))</f>
        <v/>
      </c>
      <c r="M222" s="77">
        <f>INT(E222+K222)</f>
        <v/>
      </c>
      <c r="N222" s="77">
        <f>G222+ROUNDUP(L222,0)-1</f>
        <v/>
      </c>
      <c r="O222" s="89">
        <f>SUMIFS(Regles_regimes!$K$3:$K$2000,Regles_regimes!$A$3:$A$2000,C222,Regles_regimes!$B$3:$B$2000,D222,Regles_regimes!$C$3:$C$2000,MAX(1915,MIN(2025,E222)))</f>
        <v/>
      </c>
      <c r="P222" s="13">
        <f>SUMIFS(Donnees_annuelles!$W$3:$W$188,Donnees_annuelles!$A$3:$A$188,"&gt;="&amp;G222,Donnees_annuelles!$A$3:$A$188,"&lt;="&amp;N222)*L222/ROUNDUP(L222,0)*O222</f>
        <v/>
      </c>
      <c r="Q222" s="13">
        <f>SUMIFS(Donnees_annuelles!$V$3:$V$188,Donnees_annuelles!$A$3:$A$188,"&gt;="&amp;G222,Donnees_annuelles!$A$3:$A$188,"&lt;="&amp;N222)*L222/ROUNDUP(L222,0)</f>
        <v/>
      </c>
      <c r="R222" s="13">
        <f>P222/L222</f>
        <v/>
      </c>
      <c r="S222" s="14">
        <f>SUMIFS(Donnees_annuelles!$D$3:$D$188,Donnees_annuelles!$A$3:$A$188,"&gt;="&amp;G222,Donnees_annuelles!$A$3:$A$188,"&lt;="&amp;N222)*L222/ROUNDUP(L222,0)</f>
        <v/>
      </c>
      <c r="T222" s="14">
        <f>SUMIFS(Donnees_regimes!$N$3:$N$1118,Donnees_regimes!$A$3:$A$1118,C222,Donnees_regimes!$B$3:$B$1118,"&gt;="&amp;G222,Donnees_regimes!$B$3:$B$1118,"&lt;="&amp;N222)*L222/ROUNDUP(L222,0)</f>
        <v/>
      </c>
      <c r="U222" s="14">
        <f>SUMIFS(Donnees_regimes!$O$3:$O$1118,Donnees_regimes!$A$3:$A$1118,C222,Donnees_regimes!$B$3:$B$1118,"&gt;="&amp;G222,Donnees_regimes!$B$3:$B$1118,"&lt;="&amp;N222)*L222/ROUNDUP(L222,0)</f>
        <v/>
      </c>
      <c r="V222" s="14">
        <f>T222+U222</f>
        <v/>
      </c>
      <c r="W222" s="33">
        <f>V222/S222</f>
        <v/>
      </c>
      <c r="X222" s="14">
        <f>S222+U222</f>
        <v/>
      </c>
      <c r="Y222" s="17">
        <f>V222/P222</f>
        <v/>
      </c>
      <c r="Z222" s="14">
        <f>SUMIFS(Donnees_regimes!$Q$3:$Q$1118,Donnees_regimes!$A$3:$A$1118,C222,Donnees_regimes!$B$3:$B$1118,"&gt;="&amp;G222,Donnees_regimes!$B$3:$B$1118,"&lt;="&amp;N222)*L222/ROUNDUP(L222,0)</f>
        <v/>
      </c>
      <c r="AA222" s="77">
        <f>SUMIFS(Regles_regimes!$F$3:$F$2000,Regles_regimes!$A$3:$A$2000,C222,Regles_regimes!$B$3:$B$2000,D222,Regles_regimes!$C$3:$C$2000,MAX(1915,MIN(2025,E222)))</f>
        <v/>
      </c>
      <c r="AB222" s="77">
        <f>IF(AND(SUMIFS(Regles_regimes!$L$3:$L$2000,Regles_regimes!$A$3:$A$2000,C222,Regles_regimes!$B$3:$B$2000,D222,Regles_regimes!$C$3:$C$2000,MAX(1915,MIN(2025,E222)))=1,G222&lt;2009,C222&lt;&gt;"Privé"),MIN(20,L222*4/5),0)</f>
        <v/>
      </c>
      <c r="AC222" s="89">
        <f>SUMIFS(Donnees_regimes!$M$3:$M$1118,Donnees_regimes!$A$3:$A$1118,C222,Donnees_regimes!$B$3:$B$1118,M222)</f>
        <v/>
      </c>
      <c r="AD222" s="14">
        <f>SUMIFS(Donnees_annuelles!$Y$3:$Y$188,Donnees_annuelles!$A$3:$A$188,M222)*SUMIFS(Donnees_generations!$I$3:$I$113,Donnees_generations!$A$3:$A$113,MAX(1915,MIN(2025,E222)))/H222</f>
        <v/>
      </c>
      <c r="AE222" s="14">
        <f>IF(C222="Privé",SUMIFS(Donnees_annuelles!$Y$3:$Y$188,Donnees_annuelles!$A$3:$A$188,M222)*MIN(L222,SUMIFS(Donnees_generations!$I$3:$I$113,Donnees_generations!$A$3:$A$113,MAX(1915,MIN(2025,E222))))/L222,AD222*AC222*MIN(IF(AB222&gt;0,0.8/0.75,1),(L222*4+AB222)/AA222))</f>
        <v/>
      </c>
      <c r="AF222" s="14">
        <f>AE222/12</f>
        <v/>
      </c>
      <c r="AG222" s="77">
        <f>MIN(68,MAX(56,2*INT(K222/2)))</f>
        <v/>
      </c>
      <c r="AH222" s="75">
        <f>(CHOOSE((AG222-56)/2+1,SUMIFS(Donnees_generations!$U$3:$U$113,Donnees_generations!$A$3:$A$113,MAX(1915,MIN(2025,E222))),SUMIFS(Donnees_generations!$V$3:$V$113,Donnees_generations!$A$3:$A$113,MAX(1915,MIN(2025,E222))),SUMIFS(Donnees_generations!$W$3:$W$113,Donnees_generations!$A$3:$A$113,MAX(1915,MIN(2025,E222))),SUMIFS(Donnees_generations!$X$3:$X$113,Donnees_generations!$A$3:$A$113,MAX(1915,MIN(2025,E222))),SUMIFS(Donnees_generations!$Y$3:$Y$113,Donnees_generations!$A$3:$A$113,MAX(1915,MIN(2025,E222))),SUMIFS(Donnees_generations!$Z$3:$Z$113,Donnees_generations!$A$3:$A$113,MAX(1915,MIN(2025,E222))),SUMIFS(Donnees_generations!$AA$3:$AA$113,Donnees_generations!$A$3:$A$113,MAX(1915,MIN(2025,E222))),SUMIFS(Donnees_generations!$AB$3:$AB$113,Donnees_generations!$A$3:$A$113,MAX(1915,MIN(2025,E222))))+CHOOSE((AG222-56)/2+1,SUMIFS(Donnees_generations!$AC$3:$AC$113,Donnees_generations!$A$3:$A$113,MAX(1915,MIN(2025,E222))),SUMIFS(Donnees_generations!$AD$3:$AD$113,Donnees_generations!$A$3:$A$113,MAX(1915,MIN(2025,E222))),SUMIFS(Donnees_generations!$AE$3:$AE$113,Donnees_generations!$A$3:$A$113,MAX(1915,MIN(2025,E222))),SUMIFS(Donnees_generations!$AF$3:$AF$113,Donnees_generations!$A$3:$A$113,MAX(1915,MIN(2025,E222))),SUMIFS(Donnees_generations!$AG$3:$AG$113,Donnees_generations!$A$3:$A$113,MAX(1915,MIN(2025,E222))),SUMIFS(Donnees_generations!$AH$3:$AH$113,Donnees_generations!$A$3:$A$113,MAX(1915,MIN(2025,E222))),SUMIFS(Donnees_generations!$AI$3:$AI$113,Donnees_generations!$A$3:$A$113,MAX(1915,MIN(2025,E222))),SUMIFS(Donnees_generations!$AJ$3:$AJ$113,Donnees_generations!$A$3:$A$113,MAX(1915,MIN(2025,E222)))))/2</f>
        <v/>
      </c>
      <c r="AI222" s="75">
        <f>(CHOOSE(((AG222+2)-56)/2+1,SUMIFS(Donnees_generations!$U$3:$U$113,Donnees_generations!$A$3:$A$113,MAX(1915,MIN(2025,E222))),SUMIFS(Donnees_generations!$V$3:$V$113,Donnees_generations!$A$3:$A$113,MAX(1915,MIN(2025,E222))),SUMIFS(Donnees_generations!$W$3:$W$113,Donnees_generations!$A$3:$A$113,MAX(1915,MIN(2025,E222))),SUMIFS(Donnees_generations!$X$3:$X$113,Donnees_generations!$A$3:$A$113,MAX(1915,MIN(2025,E222))),SUMIFS(Donnees_generations!$Y$3:$Y$113,Donnees_generations!$A$3:$A$113,MAX(1915,MIN(2025,E222))),SUMIFS(Donnees_generations!$Z$3:$Z$113,Donnees_generations!$A$3:$A$113,MAX(1915,MIN(2025,E222))),SUMIFS(Donnees_generations!$AA$3:$AA$113,Donnees_generations!$A$3:$A$113,MAX(1915,MIN(2025,E222))),SUMIFS(Donnees_generations!$AB$3:$AB$113,Donnees_generations!$A$3:$A$113,MAX(1915,MIN(2025,E222))))+CHOOSE(((AG222+2)-56)/2+1,SUMIFS(Donnees_generations!$AC$3:$AC$113,Donnees_generations!$A$3:$A$113,MAX(1915,MIN(2025,E222))),SUMIFS(Donnees_generations!$AD$3:$AD$113,Donnees_generations!$A$3:$A$113,MAX(1915,MIN(2025,E222))),SUMIFS(Donnees_generations!$AE$3:$AE$113,Donnees_generations!$A$3:$A$113,MAX(1915,MIN(2025,E222))),SUMIFS(Donnees_generations!$AF$3:$AF$113,Donnees_generations!$A$3:$A$113,MAX(1915,MIN(2025,E222))),SUMIFS(Donnees_generations!$AG$3:$AG$113,Donnees_generations!$A$3:$A$113,MAX(1915,MIN(2025,E222))),SUMIFS(Donnees_generations!$AH$3:$AH$113,Donnees_generations!$A$3:$A$113,MAX(1915,MIN(2025,E222))),SUMIFS(Donnees_generations!$AI$3:$AI$113,Donnees_generations!$A$3:$A$113,MAX(1915,MIN(2025,E222))),SUMIFS(Donnees_generations!$AJ$3:$AJ$113,Donnees_generations!$A$3:$A$113,MAX(1915,MIN(2025,E222)))))/2</f>
        <v/>
      </c>
      <c r="AJ222" s="8">
        <f>MAX(0,AH222+(AI222-AH222)*(K222-AG222)/2)</f>
        <v/>
      </c>
      <c r="AK222" s="8">
        <f>K222+AJ222</f>
        <v/>
      </c>
      <c r="AL222" s="14">
        <f>AE222*AJ222</f>
        <v/>
      </c>
      <c r="AM222" s="17">
        <f>V222/AL222</f>
        <v/>
      </c>
      <c r="AN222" s="17">
        <f>Z222/AL222</f>
        <v/>
      </c>
      <c r="AO222" s="33">
        <f>IF(V222+Z222=0,0,Z222/(V222+Z222))</f>
        <v/>
      </c>
      <c r="AP222" s="14">
        <f>AL222/V222*100</f>
        <v/>
      </c>
      <c r="AQ222" s="8">
        <f>P222/AL222*1000</f>
        <v/>
      </c>
      <c r="AR222" s="77">
        <f>MAX(N222,M222-1)</f>
        <v/>
      </c>
      <c r="AS222" s="14">
        <f>SUMIFS(Donnees_regimes!$R$3:$R$1118,Donnees_regimes!$A$3:$A$1118,C222,Donnees_regimes!$B$3:$B$1118,"&gt;="&amp;G222,Donnees_regimes!$B$3:$B$1118,"&lt;="&amp;N222)*L222/ROUNDUP(L222,0)*SUMIFS(Donnees_annuelles!$AG$3:$AG$188,Donnees_annuelles!$A$3:$A$188,AR222)*SUMIFS(Donnees_annuelles!$AA$3:$AA$188,Donnees_annuelles!$A$3:$A$188,AR222)</f>
        <v/>
      </c>
      <c r="AT222" s="36">
        <f>AS222/V222</f>
        <v/>
      </c>
      <c r="AU222" s="14">
        <f>AL222</f>
        <v/>
      </c>
      <c r="AV222" s="39">
        <f>AS222-AL222</f>
        <v/>
      </c>
      <c r="AW222" s="9">
        <f>AS222/AL222-1</f>
        <v/>
      </c>
      <c r="AX222" s="14">
        <f>AS222/AJ222/12</f>
        <v/>
      </c>
      <c r="AY222" s="14">
        <f>AF222</f>
        <v/>
      </c>
      <c r="AZ222" s="39">
        <f>AX222-AF222</f>
        <v/>
      </c>
      <c r="BA222" s="14">
        <f>SUMIFS(Donnees_regimes!$S$3:$S$1118,Donnees_regimes!$A$3:$A$1118,C222,Donnees_regimes!$B$3:$B$1118,"&gt;="&amp;G222,Donnees_regimes!$B$3:$B$1118,"&lt;="&amp;N222)*L222/ROUNDUP(L222,0)*SUMIFS(Donnees_annuelles!$AH$3:$AH$188,Donnees_annuelles!$A$3:$A$188,AR222)*SUMIFS(Donnees_annuelles!$AA$3:$AA$188,Donnees_annuelles!$A$3:$A$188,AR222)</f>
        <v/>
      </c>
      <c r="BB222" s="39">
        <f>BA222-AL222</f>
        <v/>
      </c>
      <c r="BC222" s="7">
        <f>IF(M222+AJ222&gt;2026,IF(G222&gt;2026,"entièrement projeté","en partie projeté"),"observé")</f>
        <v/>
      </c>
    </row>
    <row r="223">
      <c r="A223" s="7" t="inlineStr">
        <is>
          <t>Baby-boomers</t>
        </is>
      </c>
      <c r="B223" s="84" t="inlineStr">
        <is>
          <t>Fonction publique territoriale et hospitalière</t>
        </is>
      </c>
      <c r="C223" s="7">
        <f>IF(G223&gt;=SUMIFS(Regimes!$C$5:$C$10,Regimes!$A$5:$A$10,B223),"Privé",B223)</f>
        <v/>
      </c>
      <c r="D223" s="7">
        <f>INDEX(Regimes!$D$5:$D$10,MATCH(C223,Regimes!$A$5:$A$10,0))</f>
        <v/>
      </c>
      <c r="E223" s="88" t="n">
        <v>1952</v>
      </c>
      <c r="F223" s="8">
        <f>Donnees_generations!C40</f>
        <v/>
      </c>
      <c r="G223" s="77">
        <f>Donnees_generations!D40</f>
        <v/>
      </c>
      <c r="H223" s="8">
        <f>SUMIFS(Donnees_generations!$S$3:$S$113,Donnees_generations!$A$3:$A$113,MAX(1915,MIN(2025,E223)))</f>
        <v/>
      </c>
      <c r="I223" s="8">
        <f>SUMIFS(Donnees_generations!$T$3:$T$113,Donnees_generations!$A$3:$A$113,MAX(1915,MIN(2025,E223)))</f>
        <v/>
      </c>
      <c r="J223" s="8">
        <f>IF(G223&gt;=2000,MAX(I223,Parametres!$B$3),I223)</f>
        <v/>
      </c>
      <c r="K223" s="8">
        <f>IF(C223="Privé",J223,SUMIFS(Regles_regimes!$J$3:$J$2000,Regles_regimes!$A$3:$A$2000,C223,Regles_regimes!$B$3:$B$2000,D223,Regles_regimes!$C$3:$C$2000,MAX(1915,MIN(2025,E223))))</f>
        <v/>
      </c>
      <c r="L223" s="8">
        <f>IF(C223="Privé",H223,(K223-F223)*H223/(J223-F223))</f>
        <v/>
      </c>
      <c r="M223" s="77">
        <f>INT(E223+K223)</f>
        <v/>
      </c>
      <c r="N223" s="77">
        <f>G223+ROUNDUP(L223,0)-1</f>
        <v/>
      </c>
      <c r="O223" s="89">
        <f>SUMIFS(Regles_regimes!$K$3:$K$2000,Regles_regimes!$A$3:$A$2000,C223,Regles_regimes!$B$3:$B$2000,D223,Regles_regimes!$C$3:$C$2000,MAX(1915,MIN(2025,E223)))</f>
        <v/>
      </c>
      <c r="P223" s="13">
        <f>SUMIFS(Donnees_annuelles!$W$3:$W$188,Donnees_annuelles!$A$3:$A$188,"&gt;="&amp;G223,Donnees_annuelles!$A$3:$A$188,"&lt;="&amp;N223)*L223/ROUNDUP(L223,0)*O223</f>
        <v/>
      </c>
      <c r="Q223" s="13">
        <f>SUMIFS(Donnees_annuelles!$V$3:$V$188,Donnees_annuelles!$A$3:$A$188,"&gt;="&amp;G223,Donnees_annuelles!$A$3:$A$188,"&lt;="&amp;N223)*L223/ROUNDUP(L223,0)</f>
        <v/>
      </c>
      <c r="R223" s="13">
        <f>P223/L223</f>
        <v/>
      </c>
      <c r="S223" s="14">
        <f>SUMIFS(Donnees_annuelles!$D$3:$D$188,Donnees_annuelles!$A$3:$A$188,"&gt;="&amp;G223,Donnees_annuelles!$A$3:$A$188,"&lt;="&amp;N223)*L223/ROUNDUP(L223,0)</f>
        <v/>
      </c>
      <c r="T223" s="14">
        <f>SUMIFS(Donnees_regimes!$N$3:$N$1118,Donnees_regimes!$A$3:$A$1118,C223,Donnees_regimes!$B$3:$B$1118,"&gt;="&amp;G223,Donnees_regimes!$B$3:$B$1118,"&lt;="&amp;N223)*L223/ROUNDUP(L223,0)</f>
        <v/>
      </c>
      <c r="U223" s="14">
        <f>SUMIFS(Donnees_regimes!$O$3:$O$1118,Donnees_regimes!$A$3:$A$1118,C223,Donnees_regimes!$B$3:$B$1118,"&gt;="&amp;G223,Donnees_regimes!$B$3:$B$1118,"&lt;="&amp;N223)*L223/ROUNDUP(L223,0)</f>
        <v/>
      </c>
      <c r="V223" s="14">
        <f>T223+U223</f>
        <v/>
      </c>
      <c r="W223" s="33">
        <f>V223/S223</f>
        <v/>
      </c>
      <c r="X223" s="14">
        <f>S223+U223</f>
        <v/>
      </c>
      <c r="Y223" s="17">
        <f>V223/P223</f>
        <v/>
      </c>
      <c r="Z223" s="14">
        <f>SUMIFS(Donnees_regimes!$Q$3:$Q$1118,Donnees_regimes!$A$3:$A$1118,C223,Donnees_regimes!$B$3:$B$1118,"&gt;="&amp;G223,Donnees_regimes!$B$3:$B$1118,"&lt;="&amp;N223)*L223/ROUNDUP(L223,0)</f>
        <v/>
      </c>
      <c r="AA223" s="77">
        <f>SUMIFS(Regles_regimes!$F$3:$F$2000,Regles_regimes!$A$3:$A$2000,C223,Regles_regimes!$B$3:$B$2000,D223,Regles_regimes!$C$3:$C$2000,MAX(1915,MIN(2025,E223)))</f>
        <v/>
      </c>
      <c r="AB223" s="77">
        <f>IF(AND(SUMIFS(Regles_regimes!$L$3:$L$2000,Regles_regimes!$A$3:$A$2000,C223,Regles_regimes!$B$3:$B$2000,D223,Regles_regimes!$C$3:$C$2000,MAX(1915,MIN(2025,E223)))=1,G223&lt;2009,C223&lt;&gt;"Privé"),MIN(20,L223*4/5),0)</f>
        <v/>
      </c>
      <c r="AC223" s="89">
        <f>SUMIFS(Donnees_regimes!$M$3:$M$1118,Donnees_regimes!$A$3:$A$1118,C223,Donnees_regimes!$B$3:$B$1118,M223)</f>
        <v/>
      </c>
      <c r="AD223" s="14">
        <f>SUMIFS(Donnees_annuelles!$Y$3:$Y$188,Donnees_annuelles!$A$3:$A$188,M223)*SUMIFS(Donnees_generations!$I$3:$I$113,Donnees_generations!$A$3:$A$113,MAX(1915,MIN(2025,E223)))/H223</f>
        <v/>
      </c>
      <c r="AE223" s="14">
        <f>IF(C223="Privé",SUMIFS(Donnees_annuelles!$Y$3:$Y$188,Donnees_annuelles!$A$3:$A$188,M223)*MIN(L223,SUMIFS(Donnees_generations!$I$3:$I$113,Donnees_generations!$A$3:$A$113,MAX(1915,MIN(2025,E223))))/L223,AD223*AC223*MIN(IF(AB223&gt;0,0.8/0.75,1),(L223*4+AB223)/AA223))</f>
        <v/>
      </c>
      <c r="AF223" s="14">
        <f>AE223/12</f>
        <v/>
      </c>
      <c r="AG223" s="77">
        <f>MIN(68,MAX(56,2*INT(K223/2)))</f>
        <v/>
      </c>
      <c r="AH223" s="75">
        <f>(CHOOSE((AG223-56)/2+1,SUMIFS(Donnees_generations!$U$3:$U$113,Donnees_generations!$A$3:$A$113,MAX(1915,MIN(2025,E223))),SUMIFS(Donnees_generations!$V$3:$V$113,Donnees_generations!$A$3:$A$113,MAX(1915,MIN(2025,E223))),SUMIFS(Donnees_generations!$W$3:$W$113,Donnees_generations!$A$3:$A$113,MAX(1915,MIN(2025,E223))),SUMIFS(Donnees_generations!$X$3:$X$113,Donnees_generations!$A$3:$A$113,MAX(1915,MIN(2025,E223))),SUMIFS(Donnees_generations!$Y$3:$Y$113,Donnees_generations!$A$3:$A$113,MAX(1915,MIN(2025,E223))),SUMIFS(Donnees_generations!$Z$3:$Z$113,Donnees_generations!$A$3:$A$113,MAX(1915,MIN(2025,E223))),SUMIFS(Donnees_generations!$AA$3:$AA$113,Donnees_generations!$A$3:$A$113,MAX(1915,MIN(2025,E223))),SUMIFS(Donnees_generations!$AB$3:$AB$113,Donnees_generations!$A$3:$A$113,MAX(1915,MIN(2025,E223))))+CHOOSE((AG223-56)/2+1,SUMIFS(Donnees_generations!$AC$3:$AC$113,Donnees_generations!$A$3:$A$113,MAX(1915,MIN(2025,E223))),SUMIFS(Donnees_generations!$AD$3:$AD$113,Donnees_generations!$A$3:$A$113,MAX(1915,MIN(2025,E223))),SUMIFS(Donnees_generations!$AE$3:$AE$113,Donnees_generations!$A$3:$A$113,MAX(1915,MIN(2025,E223))),SUMIFS(Donnees_generations!$AF$3:$AF$113,Donnees_generations!$A$3:$A$113,MAX(1915,MIN(2025,E223))),SUMIFS(Donnees_generations!$AG$3:$AG$113,Donnees_generations!$A$3:$A$113,MAX(1915,MIN(2025,E223))),SUMIFS(Donnees_generations!$AH$3:$AH$113,Donnees_generations!$A$3:$A$113,MAX(1915,MIN(2025,E223))),SUMIFS(Donnees_generations!$AI$3:$AI$113,Donnees_generations!$A$3:$A$113,MAX(1915,MIN(2025,E223))),SUMIFS(Donnees_generations!$AJ$3:$AJ$113,Donnees_generations!$A$3:$A$113,MAX(1915,MIN(2025,E223)))))/2</f>
        <v/>
      </c>
      <c r="AI223" s="75">
        <f>(CHOOSE(((AG223+2)-56)/2+1,SUMIFS(Donnees_generations!$U$3:$U$113,Donnees_generations!$A$3:$A$113,MAX(1915,MIN(2025,E223))),SUMIFS(Donnees_generations!$V$3:$V$113,Donnees_generations!$A$3:$A$113,MAX(1915,MIN(2025,E223))),SUMIFS(Donnees_generations!$W$3:$W$113,Donnees_generations!$A$3:$A$113,MAX(1915,MIN(2025,E223))),SUMIFS(Donnees_generations!$X$3:$X$113,Donnees_generations!$A$3:$A$113,MAX(1915,MIN(2025,E223))),SUMIFS(Donnees_generations!$Y$3:$Y$113,Donnees_generations!$A$3:$A$113,MAX(1915,MIN(2025,E223))),SUMIFS(Donnees_generations!$Z$3:$Z$113,Donnees_generations!$A$3:$A$113,MAX(1915,MIN(2025,E223))),SUMIFS(Donnees_generations!$AA$3:$AA$113,Donnees_generations!$A$3:$A$113,MAX(1915,MIN(2025,E223))),SUMIFS(Donnees_generations!$AB$3:$AB$113,Donnees_generations!$A$3:$A$113,MAX(1915,MIN(2025,E223))))+CHOOSE(((AG223+2)-56)/2+1,SUMIFS(Donnees_generations!$AC$3:$AC$113,Donnees_generations!$A$3:$A$113,MAX(1915,MIN(2025,E223))),SUMIFS(Donnees_generations!$AD$3:$AD$113,Donnees_generations!$A$3:$A$113,MAX(1915,MIN(2025,E223))),SUMIFS(Donnees_generations!$AE$3:$AE$113,Donnees_generations!$A$3:$A$113,MAX(1915,MIN(2025,E223))),SUMIFS(Donnees_generations!$AF$3:$AF$113,Donnees_generations!$A$3:$A$113,MAX(1915,MIN(2025,E223))),SUMIFS(Donnees_generations!$AG$3:$AG$113,Donnees_generations!$A$3:$A$113,MAX(1915,MIN(2025,E223))),SUMIFS(Donnees_generations!$AH$3:$AH$113,Donnees_generations!$A$3:$A$113,MAX(1915,MIN(2025,E223))),SUMIFS(Donnees_generations!$AI$3:$AI$113,Donnees_generations!$A$3:$A$113,MAX(1915,MIN(2025,E223))),SUMIFS(Donnees_generations!$AJ$3:$AJ$113,Donnees_generations!$A$3:$A$113,MAX(1915,MIN(2025,E223)))))/2</f>
        <v/>
      </c>
      <c r="AJ223" s="8">
        <f>MAX(0,AH223+(AI223-AH223)*(K223-AG223)/2)</f>
        <v/>
      </c>
      <c r="AK223" s="8">
        <f>K223+AJ223</f>
        <v/>
      </c>
      <c r="AL223" s="14">
        <f>AE223*AJ223</f>
        <v/>
      </c>
      <c r="AM223" s="17">
        <f>V223/AL223</f>
        <v/>
      </c>
      <c r="AN223" s="17">
        <f>Z223/AL223</f>
        <v/>
      </c>
      <c r="AO223" s="33">
        <f>IF(V223+Z223=0,0,Z223/(V223+Z223))</f>
        <v/>
      </c>
      <c r="AP223" s="14">
        <f>AL223/V223*100</f>
        <v/>
      </c>
      <c r="AQ223" s="8">
        <f>P223/AL223*1000</f>
        <v/>
      </c>
      <c r="AR223" s="77">
        <f>MAX(N223,M223-1)</f>
        <v/>
      </c>
      <c r="AS223" s="14">
        <f>SUMIFS(Donnees_regimes!$R$3:$R$1118,Donnees_regimes!$A$3:$A$1118,C223,Donnees_regimes!$B$3:$B$1118,"&gt;="&amp;G223,Donnees_regimes!$B$3:$B$1118,"&lt;="&amp;N223)*L223/ROUNDUP(L223,0)*SUMIFS(Donnees_annuelles!$AG$3:$AG$188,Donnees_annuelles!$A$3:$A$188,AR223)*SUMIFS(Donnees_annuelles!$AA$3:$AA$188,Donnees_annuelles!$A$3:$A$188,AR223)</f>
        <v/>
      </c>
      <c r="AT223" s="36">
        <f>AS223/V223</f>
        <v/>
      </c>
      <c r="AU223" s="14">
        <f>AL223</f>
        <v/>
      </c>
      <c r="AV223" s="39">
        <f>AS223-AL223</f>
        <v/>
      </c>
      <c r="AW223" s="9">
        <f>AS223/AL223-1</f>
        <v/>
      </c>
      <c r="AX223" s="14">
        <f>AS223/AJ223/12</f>
        <v/>
      </c>
      <c r="AY223" s="14">
        <f>AF223</f>
        <v/>
      </c>
      <c r="AZ223" s="39">
        <f>AX223-AF223</f>
        <v/>
      </c>
      <c r="BA223" s="14">
        <f>SUMIFS(Donnees_regimes!$S$3:$S$1118,Donnees_regimes!$A$3:$A$1118,C223,Donnees_regimes!$B$3:$B$1118,"&gt;="&amp;G223,Donnees_regimes!$B$3:$B$1118,"&lt;="&amp;N223)*L223/ROUNDUP(L223,0)*SUMIFS(Donnees_annuelles!$AH$3:$AH$188,Donnees_annuelles!$A$3:$A$188,AR223)*SUMIFS(Donnees_annuelles!$AA$3:$AA$188,Donnees_annuelles!$A$3:$A$188,AR223)</f>
        <v/>
      </c>
      <c r="BB223" s="39">
        <f>BA223-AL223</f>
        <v/>
      </c>
      <c r="BC223" s="7">
        <f>IF(M223+AJ223&gt;2026,IF(G223&gt;2026,"entièrement projeté","en partie projeté"),"observé")</f>
        <v/>
      </c>
    </row>
    <row r="224">
      <c r="A224" s="7" t="inlineStr">
        <is>
          <t>Baby-boomers</t>
        </is>
      </c>
      <c r="B224" s="84" t="inlineStr">
        <is>
          <t>Fonction publique territoriale et hospitalière</t>
        </is>
      </c>
      <c r="C224" s="7">
        <f>IF(G224&gt;=SUMIFS(Regimes!$C$5:$C$10,Regimes!$A$5:$A$10,B224),"Privé",B224)</f>
        <v/>
      </c>
      <c r="D224" s="7">
        <f>INDEX(Regimes!$D$5:$D$10,MATCH(C224,Regimes!$A$5:$A$10,0))</f>
        <v/>
      </c>
      <c r="E224" s="88" t="n">
        <v>1953</v>
      </c>
      <c r="F224" s="8">
        <f>Donnees_generations!C41</f>
        <v/>
      </c>
      <c r="G224" s="77">
        <f>Donnees_generations!D41</f>
        <v/>
      </c>
      <c r="H224" s="8">
        <f>SUMIFS(Donnees_generations!$S$3:$S$113,Donnees_generations!$A$3:$A$113,MAX(1915,MIN(2025,E224)))</f>
        <v/>
      </c>
      <c r="I224" s="8">
        <f>SUMIFS(Donnees_generations!$T$3:$T$113,Donnees_generations!$A$3:$A$113,MAX(1915,MIN(2025,E224)))</f>
        <v/>
      </c>
      <c r="J224" s="8">
        <f>IF(G224&gt;=2000,MAX(I224,Parametres!$B$3),I224)</f>
        <v/>
      </c>
      <c r="K224" s="8">
        <f>IF(C224="Privé",J224,SUMIFS(Regles_regimes!$J$3:$J$2000,Regles_regimes!$A$3:$A$2000,C224,Regles_regimes!$B$3:$B$2000,D224,Regles_regimes!$C$3:$C$2000,MAX(1915,MIN(2025,E224))))</f>
        <v/>
      </c>
      <c r="L224" s="8">
        <f>IF(C224="Privé",H224,(K224-F224)*H224/(J224-F224))</f>
        <v/>
      </c>
      <c r="M224" s="77">
        <f>INT(E224+K224)</f>
        <v/>
      </c>
      <c r="N224" s="77">
        <f>G224+ROUNDUP(L224,0)-1</f>
        <v/>
      </c>
      <c r="O224" s="89">
        <f>SUMIFS(Regles_regimes!$K$3:$K$2000,Regles_regimes!$A$3:$A$2000,C224,Regles_regimes!$B$3:$B$2000,D224,Regles_regimes!$C$3:$C$2000,MAX(1915,MIN(2025,E224)))</f>
        <v/>
      </c>
      <c r="P224" s="13">
        <f>SUMIFS(Donnees_annuelles!$W$3:$W$188,Donnees_annuelles!$A$3:$A$188,"&gt;="&amp;G224,Donnees_annuelles!$A$3:$A$188,"&lt;="&amp;N224)*L224/ROUNDUP(L224,0)*O224</f>
        <v/>
      </c>
      <c r="Q224" s="13">
        <f>SUMIFS(Donnees_annuelles!$V$3:$V$188,Donnees_annuelles!$A$3:$A$188,"&gt;="&amp;G224,Donnees_annuelles!$A$3:$A$188,"&lt;="&amp;N224)*L224/ROUNDUP(L224,0)</f>
        <v/>
      </c>
      <c r="R224" s="13">
        <f>P224/L224</f>
        <v/>
      </c>
      <c r="S224" s="14">
        <f>SUMIFS(Donnees_annuelles!$D$3:$D$188,Donnees_annuelles!$A$3:$A$188,"&gt;="&amp;G224,Donnees_annuelles!$A$3:$A$188,"&lt;="&amp;N224)*L224/ROUNDUP(L224,0)</f>
        <v/>
      </c>
      <c r="T224" s="14">
        <f>SUMIFS(Donnees_regimes!$N$3:$N$1118,Donnees_regimes!$A$3:$A$1118,C224,Donnees_regimes!$B$3:$B$1118,"&gt;="&amp;G224,Donnees_regimes!$B$3:$B$1118,"&lt;="&amp;N224)*L224/ROUNDUP(L224,0)</f>
        <v/>
      </c>
      <c r="U224" s="14">
        <f>SUMIFS(Donnees_regimes!$O$3:$O$1118,Donnees_regimes!$A$3:$A$1118,C224,Donnees_regimes!$B$3:$B$1118,"&gt;="&amp;G224,Donnees_regimes!$B$3:$B$1118,"&lt;="&amp;N224)*L224/ROUNDUP(L224,0)</f>
        <v/>
      </c>
      <c r="V224" s="14">
        <f>T224+U224</f>
        <v/>
      </c>
      <c r="W224" s="33">
        <f>V224/S224</f>
        <v/>
      </c>
      <c r="X224" s="14">
        <f>S224+U224</f>
        <v/>
      </c>
      <c r="Y224" s="17">
        <f>V224/P224</f>
        <v/>
      </c>
      <c r="Z224" s="14">
        <f>SUMIFS(Donnees_regimes!$Q$3:$Q$1118,Donnees_regimes!$A$3:$A$1118,C224,Donnees_regimes!$B$3:$B$1118,"&gt;="&amp;G224,Donnees_regimes!$B$3:$B$1118,"&lt;="&amp;N224)*L224/ROUNDUP(L224,0)</f>
        <v/>
      </c>
      <c r="AA224" s="77">
        <f>SUMIFS(Regles_regimes!$F$3:$F$2000,Regles_regimes!$A$3:$A$2000,C224,Regles_regimes!$B$3:$B$2000,D224,Regles_regimes!$C$3:$C$2000,MAX(1915,MIN(2025,E224)))</f>
        <v/>
      </c>
      <c r="AB224" s="77">
        <f>IF(AND(SUMIFS(Regles_regimes!$L$3:$L$2000,Regles_regimes!$A$3:$A$2000,C224,Regles_regimes!$B$3:$B$2000,D224,Regles_regimes!$C$3:$C$2000,MAX(1915,MIN(2025,E224)))=1,G224&lt;2009,C224&lt;&gt;"Privé"),MIN(20,L224*4/5),0)</f>
        <v/>
      </c>
      <c r="AC224" s="89">
        <f>SUMIFS(Donnees_regimes!$M$3:$M$1118,Donnees_regimes!$A$3:$A$1118,C224,Donnees_regimes!$B$3:$B$1118,M224)</f>
        <v/>
      </c>
      <c r="AD224" s="14">
        <f>SUMIFS(Donnees_annuelles!$Y$3:$Y$188,Donnees_annuelles!$A$3:$A$188,M224)*SUMIFS(Donnees_generations!$I$3:$I$113,Donnees_generations!$A$3:$A$113,MAX(1915,MIN(2025,E224)))/H224</f>
        <v/>
      </c>
      <c r="AE224" s="14">
        <f>IF(C224="Privé",SUMIFS(Donnees_annuelles!$Y$3:$Y$188,Donnees_annuelles!$A$3:$A$188,M224)*MIN(L224,SUMIFS(Donnees_generations!$I$3:$I$113,Donnees_generations!$A$3:$A$113,MAX(1915,MIN(2025,E224))))/L224,AD224*AC224*MIN(IF(AB224&gt;0,0.8/0.75,1),(L224*4+AB224)/AA224))</f>
        <v/>
      </c>
      <c r="AF224" s="14">
        <f>AE224/12</f>
        <v/>
      </c>
      <c r="AG224" s="77">
        <f>MIN(68,MAX(56,2*INT(K224/2)))</f>
        <v/>
      </c>
      <c r="AH224" s="75">
        <f>(CHOOSE((AG224-56)/2+1,SUMIFS(Donnees_generations!$U$3:$U$113,Donnees_generations!$A$3:$A$113,MAX(1915,MIN(2025,E224))),SUMIFS(Donnees_generations!$V$3:$V$113,Donnees_generations!$A$3:$A$113,MAX(1915,MIN(2025,E224))),SUMIFS(Donnees_generations!$W$3:$W$113,Donnees_generations!$A$3:$A$113,MAX(1915,MIN(2025,E224))),SUMIFS(Donnees_generations!$X$3:$X$113,Donnees_generations!$A$3:$A$113,MAX(1915,MIN(2025,E224))),SUMIFS(Donnees_generations!$Y$3:$Y$113,Donnees_generations!$A$3:$A$113,MAX(1915,MIN(2025,E224))),SUMIFS(Donnees_generations!$Z$3:$Z$113,Donnees_generations!$A$3:$A$113,MAX(1915,MIN(2025,E224))),SUMIFS(Donnees_generations!$AA$3:$AA$113,Donnees_generations!$A$3:$A$113,MAX(1915,MIN(2025,E224))),SUMIFS(Donnees_generations!$AB$3:$AB$113,Donnees_generations!$A$3:$A$113,MAX(1915,MIN(2025,E224))))+CHOOSE((AG224-56)/2+1,SUMIFS(Donnees_generations!$AC$3:$AC$113,Donnees_generations!$A$3:$A$113,MAX(1915,MIN(2025,E224))),SUMIFS(Donnees_generations!$AD$3:$AD$113,Donnees_generations!$A$3:$A$113,MAX(1915,MIN(2025,E224))),SUMIFS(Donnees_generations!$AE$3:$AE$113,Donnees_generations!$A$3:$A$113,MAX(1915,MIN(2025,E224))),SUMIFS(Donnees_generations!$AF$3:$AF$113,Donnees_generations!$A$3:$A$113,MAX(1915,MIN(2025,E224))),SUMIFS(Donnees_generations!$AG$3:$AG$113,Donnees_generations!$A$3:$A$113,MAX(1915,MIN(2025,E224))),SUMIFS(Donnees_generations!$AH$3:$AH$113,Donnees_generations!$A$3:$A$113,MAX(1915,MIN(2025,E224))),SUMIFS(Donnees_generations!$AI$3:$AI$113,Donnees_generations!$A$3:$A$113,MAX(1915,MIN(2025,E224))),SUMIFS(Donnees_generations!$AJ$3:$AJ$113,Donnees_generations!$A$3:$A$113,MAX(1915,MIN(2025,E224)))))/2</f>
        <v/>
      </c>
      <c r="AI224" s="75">
        <f>(CHOOSE(((AG224+2)-56)/2+1,SUMIFS(Donnees_generations!$U$3:$U$113,Donnees_generations!$A$3:$A$113,MAX(1915,MIN(2025,E224))),SUMIFS(Donnees_generations!$V$3:$V$113,Donnees_generations!$A$3:$A$113,MAX(1915,MIN(2025,E224))),SUMIFS(Donnees_generations!$W$3:$W$113,Donnees_generations!$A$3:$A$113,MAX(1915,MIN(2025,E224))),SUMIFS(Donnees_generations!$X$3:$X$113,Donnees_generations!$A$3:$A$113,MAX(1915,MIN(2025,E224))),SUMIFS(Donnees_generations!$Y$3:$Y$113,Donnees_generations!$A$3:$A$113,MAX(1915,MIN(2025,E224))),SUMIFS(Donnees_generations!$Z$3:$Z$113,Donnees_generations!$A$3:$A$113,MAX(1915,MIN(2025,E224))),SUMIFS(Donnees_generations!$AA$3:$AA$113,Donnees_generations!$A$3:$A$113,MAX(1915,MIN(2025,E224))),SUMIFS(Donnees_generations!$AB$3:$AB$113,Donnees_generations!$A$3:$A$113,MAX(1915,MIN(2025,E224))))+CHOOSE(((AG224+2)-56)/2+1,SUMIFS(Donnees_generations!$AC$3:$AC$113,Donnees_generations!$A$3:$A$113,MAX(1915,MIN(2025,E224))),SUMIFS(Donnees_generations!$AD$3:$AD$113,Donnees_generations!$A$3:$A$113,MAX(1915,MIN(2025,E224))),SUMIFS(Donnees_generations!$AE$3:$AE$113,Donnees_generations!$A$3:$A$113,MAX(1915,MIN(2025,E224))),SUMIFS(Donnees_generations!$AF$3:$AF$113,Donnees_generations!$A$3:$A$113,MAX(1915,MIN(2025,E224))),SUMIFS(Donnees_generations!$AG$3:$AG$113,Donnees_generations!$A$3:$A$113,MAX(1915,MIN(2025,E224))),SUMIFS(Donnees_generations!$AH$3:$AH$113,Donnees_generations!$A$3:$A$113,MAX(1915,MIN(2025,E224))),SUMIFS(Donnees_generations!$AI$3:$AI$113,Donnees_generations!$A$3:$A$113,MAX(1915,MIN(2025,E224))),SUMIFS(Donnees_generations!$AJ$3:$AJ$113,Donnees_generations!$A$3:$A$113,MAX(1915,MIN(2025,E224)))))/2</f>
        <v/>
      </c>
      <c r="AJ224" s="8">
        <f>MAX(0,AH224+(AI224-AH224)*(K224-AG224)/2)</f>
        <v/>
      </c>
      <c r="AK224" s="8">
        <f>K224+AJ224</f>
        <v/>
      </c>
      <c r="AL224" s="14">
        <f>AE224*AJ224</f>
        <v/>
      </c>
      <c r="AM224" s="17">
        <f>V224/AL224</f>
        <v/>
      </c>
      <c r="AN224" s="17">
        <f>Z224/AL224</f>
        <v/>
      </c>
      <c r="AO224" s="33">
        <f>IF(V224+Z224=0,0,Z224/(V224+Z224))</f>
        <v/>
      </c>
      <c r="AP224" s="14">
        <f>AL224/V224*100</f>
        <v/>
      </c>
      <c r="AQ224" s="8">
        <f>P224/AL224*1000</f>
        <v/>
      </c>
      <c r="AR224" s="77">
        <f>MAX(N224,M224-1)</f>
        <v/>
      </c>
      <c r="AS224" s="14">
        <f>SUMIFS(Donnees_regimes!$R$3:$R$1118,Donnees_regimes!$A$3:$A$1118,C224,Donnees_regimes!$B$3:$B$1118,"&gt;="&amp;G224,Donnees_regimes!$B$3:$B$1118,"&lt;="&amp;N224)*L224/ROUNDUP(L224,0)*SUMIFS(Donnees_annuelles!$AG$3:$AG$188,Donnees_annuelles!$A$3:$A$188,AR224)*SUMIFS(Donnees_annuelles!$AA$3:$AA$188,Donnees_annuelles!$A$3:$A$188,AR224)</f>
        <v/>
      </c>
      <c r="AT224" s="36">
        <f>AS224/V224</f>
        <v/>
      </c>
      <c r="AU224" s="14">
        <f>AL224</f>
        <v/>
      </c>
      <c r="AV224" s="39">
        <f>AS224-AL224</f>
        <v/>
      </c>
      <c r="AW224" s="9">
        <f>AS224/AL224-1</f>
        <v/>
      </c>
      <c r="AX224" s="14">
        <f>AS224/AJ224/12</f>
        <v/>
      </c>
      <c r="AY224" s="14">
        <f>AF224</f>
        <v/>
      </c>
      <c r="AZ224" s="39">
        <f>AX224-AF224</f>
        <v/>
      </c>
      <c r="BA224" s="14">
        <f>SUMIFS(Donnees_regimes!$S$3:$S$1118,Donnees_regimes!$A$3:$A$1118,C224,Donnees_regimes!$B$3:$B$1118,"&gt;="&amp;G224,Donnees_regimes!$B$3:$B$1118,"&lt;="&amp;N224)*L224/ROUNDUP(L224,0)*SUMIFS(Donnees_annuelles!$AH$3:$AH$188,Donnees_annuelles!$A$3:$A$188,AR224)*SUMIFS(Donnees_annuelles!$AA$3:$AA$188,Donnees_annuelles!$A$3:$A$188,AR224)</f>
        <v/>
      </c>
      <c r="BB224" s="39">
        <f>BA224-AL224</f>
        <v/>
      </c>
      <c r="BC224" s="7">
        <f>IF(M224+AJ224&gt;2026,IF(G224&gt;2026,"entièrement projeté","en partie projeté"),"observé")</f>
        <v/>
      </c>
    </row>
    <row r="225">
      <c r="A225" s="7" t="inlineStr">
        <is>
          <t>Baby-boomers</t>
        </is>
      </c>
      <c r="B225" s="84" t="inlineStr">
        <is>
          <t>Fonction publique territoriale et hospitalière</t>
        </is>
      </c>
      <c r="C225" s="7">
        <f>IF(G225&gt;=SUMIFS(Regimes!$C$5:$C$10,Regimes!$A$5:$A$10,B225),"Privé",B225)</f>
        <v/>
      </c>
      <c r="D225" s="7">
        <f>INDEX(Regimes!$D$5:$D$10,MATCH(C225,Regimes!$A$5:$A$10,0))</f>
        <v/>
      </c>
      <c r="E225" s="88" t="n">
        <v>1954</v>
      </c>
      <c r="F225" s="8">
        <f>Donnees_generations!C42</f>
        <v/>
      </c>
      <c r="G225" s="77">
        <f>Donnees_generations!D42</f>
        <v/>
      </c>
      <c r="H225" s="8">
        <f>SUMIFS(Donnees_generations!$S$3:$S$113,Donnees_generations!$A$3:$A$113,MAX(1915,MIN(2025,E225)))</f>
        <v/>
      </c>
      <c r="I225" s="8">
        <f>SUMIFS(Donnees_generations!$T$3:$T$113,Donnees_generations!$A$3:$A$113,MAX(1915,MIN(2025,E225)))</f>
        <v/>
      </c>
      <c r="J225" s="8">
        <f>IF(G225&gt;=2000,MAX(I225,Parametres!$B$3),I225)</f>
        <v/>
      </c>
      <c r="K225" s="8">
        <f>IF(C225="Privé",J225,SUMIFS(Regles_regimes!$J$3:$J$2000,Regles_regimes!$A$3:$A$2000,C225,Regles_regimes!$B$3:$B$2000,D225,Regles_regimes!$C$3:$C$2000,MAX(1915,MIN(2025,E225))))</f>
        <v/>
      </c>
      <c r="L225" s="8">
        <f>IF(C225="Privé",H225,(K225-F225)*H225/(J225-F225))</f>
        <v/>
      </c>
      <c r="M225" s="77">
        <f>INT(E225+K225)</f>
        <v/>
      </c>
      <c r="N225" s="77">
        <f>G225+ROUNDUP(L225,0)-1</f>
        <v/>
      </c>
      <c r="O225" s="89">
        <f>SUMIFS(Regles_regimes!$K$3:$K$2000,Regles_regimes!$A$3:$A$2000,C225,Regles_regimes!$B$3:$B$2000,D225,Regles_regimes!$C$3:$C$2000,MAX(1915,MIN(2025,E225)))</f>
        <v/>
      </c>
      <c r="P225" s="13">
        <f>SUMIFS(Donnees_annuelles!$W$3:$W$188,Donnees_annuelles!$A$3:$A$188,"&gt;="&amp;G225,Donnees_annuelles!$A$3:$A$188,"&lt;="&amp;N225)*L225/ROUNDUP(L225,0)*O225</f>
        <v/>
      </c>
      <c r="Q225" s="13">
        <f>SUMIFS(Donnees_annuelles!$V$3:$V$188,Donnees_annuelles!$A$3:$A$188,"&gt;="&amp;G225,Donnees_annuelles!$A$3:$A$188,"&lt;="&amp;N225)*L225/ROUNDUP(L225,0)</f>
        <v/>
      </c>
      <c r="R225" s="13">
        <f>P225/L225</f>
        <v/>
      </c>
      <c r="S225" s="14">
        <f>SUMIFS(Donnees_annuelles!$D$3:$D$188,Donnees_annuelles!$A$3:$A$188,"&gt;="&amp;G225,Donnees_annuelles!$A$3:$A$188,"&lt;="&amp;N225)*L225/ROUNDUP(L225,0)</f>
        <v/>
      </c>
      <c r="T225" s="14">
        <f>SUMIFS(Donnees_regimes!$N$3:$N$1118,Donnees_regimes!$A$3:$A$1118,C225,Donnees_regimes!$B$3:$B$1118,"&gt;="&amp;G225,Donnees_regimes!$B$3:$B$1118,"&lt;="&amp;N225)*L225/ROUNDUP(L225,0)</f>
        <v/>
      </c>
      <c r="U225" s="14">
        <f>SUMIFS(Donnees_regimes!$O$3:$O$1118,Donnees_regimes!$A$3:$A$1118,C225,Donnees_regimes!$B$3:$B$1118,"&gt;="&amp;G225,Donnees_regimes!$B$3:$B$1118,"&lt;="&amp;N225)*L225/ROUNDUP(L225,0)</f>
        <v/>
      </c>
      <c r="V225" s="14">
        <f>T225+U225</f>
        <v/>
      </c>
      <c r="W225" s="33">
        <f>V225/S225</f>
        <v/>
      </c>
      <c r="X225" s="14">
        <f>S225+U225</f>
        <v/>
      </c>
      <c r="Y225" s="17">
        <f>V225/P225</f>
        <v/>
      </c>
      <c r="Z225" s="14">
        <f>SUMIFS(Donnees_regimes!$Q$3:$Q$1118,Donnees_regimes!$A$3:$A$1118,C225,Donnees_regimes!$B$3:$B$1118,"&gt;="&amp;G225,Donnees_regimes!$B$3:$B$1118,"&lt;="&amp;N225)*L225/ROUNDUP(L225,0)</f>
        <v/>
      </c>
      <c r="AA225" s="77">
        <f>SUMIFS(Regles_regimes!$F$3:$F$2000,Regles_regimes!$A$3:$A$2000,C225,Regles_regimes!$B$3:$B$2000,D225,Regles_regimes!$C$3:$C$2000,MAX(1915,MIN(2025,E225)))</f>
        <v/>
      </c>
      <c r="AB225" s="77">
        <f>IF(AND(SUMIFS(Regles_regimes!$L$3:$L$2000,Regles_regimes!$A$3:$A$2000,C225,Regles_regimes!$B$3:$B$2000,D225,Regles_regimes!$C$3:$C$2000,MAX(1915,MIN(2025,E225)))=1,G225&lt;2009,C225&lt;&gt;"Privé"),MIN(20,L225*4/5),0)</f>
        <v/>
      </c>
      <c r="AC225" s="89">
        <f>SUMIFS(Donnees_regimes!$M$3:$M$1118,Donnees_regimes!$A$3:$A$1118,C225,Donnees_regimes!$B$3:$B$1118,M225)</f>
        <v/>
      </c>
      <c r="AD225" s="14">
        <f>SUMIFS(Donnees_annuelles!$Y$3:$Y$188,Donnees_annuelles!$A$3:$A$188,M225)*SUMIFS(Donnees_generations!$I$3:$I$113,Donnees_generations!$A$3:$A$113,MAX(1915,MIN(2025,E225)))/H225</f>
        <v/>
      </c>
      <c r="AE225" s="14">
        <f>IF(C225="Privé",SUMIFS(Donnees_annuelles!$Y$3:$Y$188,Donnees_annuelles!$A$3:$A$188,M225)*MIN(L225,SUMIFS(Donnees_generations!$I$3:$I$113,Donnees_generations!$A$3:$A$113,MAX(1915,MIN(2025,E225))))/L225,AD225*AC225*MIN(IF(AB225&gt;0,0.8/0.75,1),(L225*4+AB225)/AA225))</f>
        <v/>
      </c>
      <c r="AF225" s="14">
        <f>AE225/12</f>
        <v/>
      </c>
      <c r="AG225" s="77">
        <f>MIN(68,MAX(56,2*INT(K225/2)))</f>
        <v/>
      </c>
      <c r="AH225" s="75">
        <f>(CHOOSE((AG225-56)/2+1,SUMIFS(Donnees_generations!$U$3:$U$113,Donnees_generations!$A$3:$A$113,MAX(1915,MIN(2025,E225))),SUMIFS(Donnees_generations!$V$3:$V$113,Donnees_generations!$A$3:$A$113,MAX(1915,MIN(2025,E225))),SUMIFS(Donnees_generations!$W$3:$W$113,Donnees_generations!$A$3:$A$113,MAX(1915,MIN(2025,E225))),SUMIFS(Donnees_generations!$X$3:$X$113,Donnees_generations!$A$3:$A$113,MAX(1915,MIN(2025,E225))),SUMIFS(Donnees_generations!$Y$3:$Y$113,Donnees_generations!$A$3:$A$113,MAX(1915,MIN(2025,E225))),SUMIFS(Donnees_generations!$Z$3:$Z$113,Donnees_generations!$A$3:$A$113,MAX(1915,MIN(2025,E225))),SUMIFS(Donnees_generations!$AA$3:$AA$113,Donnees_generations!$A$3:$A$113,MAX(1915,MIN(2025,E225))),SUMIFS(Donnees_generations!$AB$3:$AB$113,Donnees_generations!$A$3:$A$113,MAX(1915,MIN(2025,E225))))+CHOOSE((AG225-56)/2+1,SUMIFS(Donnees_generations!$AC$3:$AC$113,Donnees_generations!$A$3:$A$113,MAX(1915,MIN(2025,E225))),SUMIFS(Donnees_generations!$AD$3:$AD$113,Donnees_generations!$A$3:$A$113,MAX(1915,MIN(2025,E225))),SUMIFS(Donnees_generations!$AE$3:$AE$113,Donnees_generations!$A$3:$A$113,MAX(1915,MIN(2025,E225))),SUMIFS(Donnees_generations!$AF$3:$AF$113,Donnees_generations!$A$3:$A$113,MAX(1915,MIN(2025,E225))),SUMIFS(Donnees_generations!$AG$3:$AG$113,Donnees_generations!$A$3:$A$113,MAX(1915,MIN(2025,E225))),SUMIFS(Donnees_generations!$AH$3:$AH$113,Donnees_generations!$A$3:$A$113,MAX(1915,MIN(2025,E225))),SUMIFS(Donnees_generations!$AI$3:$AI$113,Donnees_generations!$A$3:$A$113,MAX(1915,MIN(2025,E225))),SUMIFS(Donnees_generations!$AJ$3:$AJ$113,Donnees_generations!$A$3:$A$113,MAX(1915,MIN(2025,E225)))))/2</f>
        <v/>
      </c>
      <c r="AI225" s="75">
        <f>(CHOOSE(((AG225+2)-56)/2+1,SUMIFS(Donnees_generations!$U$3:$U$113,Donnees_generations!$A$3:$A$113,MAX(1915,MIN(2025,E225))),SUMIFS(Donnees_generations!$V$3:$V$113,Donnees_generations!$A$3:$A$113,MAX(1915,MIN(2025,E225))),SUMIFS(Donnees_generations!$W$3:$W$113,Donnees_generations!$A$3:$A$113,MAX(1915,MIN(2025,E225))),SUMIFS(Donnees_generations!$X$3:$X$113,Donnees_generations!$A$3:$A$113,MAX(1915,MIN(2025,E225))),SUMIFS(Donnees_generations!$Y$3:$Y$113,Donnees_generations!$A$3:$A$113,MAX(1915,MIN(2025,E225))),SUMIFS(Donnees_generations!$Z$3:$Z$113,Donnees_generations!$A$3:$A$113,MAX(1915,MIN(2025,E225))),SUMIFS(Donnees_generations!$AA$3:$AA$113,Donnees_generations!$A$3:$A$113,MAX(1915,MIN(2025,E225))),SUMIFS(Donnees_generations!$AB$3:$AB$113,Donnees_generations!$A$3:$A$113,MAX(1915,MIN(2025,E225))))+CHOOSE(((AG225+2)-56)/2+1,SUMIFS(Donnees_generations!$AC$3:$AC$113,Donnees_generations!$A$3:$A$113,MAX(1915,MIN(2025,E225))),SUMIFS(Donnees_generations!$AD$3:$AD$113,Donnees_generations!$A$3:$A$113,MAX(1915,MIN(2025,E225))),SUMIFS(Donnees_generations!$AE$3:$AE$113,Donnees_generations!$A$3:$A$113,MAX(1915,MIN(2025,E225))),SUMIFS(Donnees_generations!$AF$3:$AF$113,Donnees_generations!$A$3:$A$113,MAX(1915,MIN(2025,E225))),SUMIFS(Donnees_generations!$AG$3:$AG$113,Donnees_generations!$A$3:$A$113,MAX(1915,MIN(2025,E225))),SUMIFS(Donnees_generations!$AH$3:$AH$113,Donnees_generations!$A$3:$A$113,MAX(1915,MIN(2025,E225))),SUMIFS(Donnees_generations!$AI$3:$AI$113,Donnees_generations!$A$3:$A$113,MAX(1915,MIN(2025,E225))),SUMIFS(Donnees_generations!$AJ$3:$AJ$113,Donnees_generations!$A$3:$A$113,MAX(1915,MIN(2025,E225)))))/2</f>
        <v/>
      </c>
      <c r="AJ225" s="8">
        <f>MAX(0,AH225+(AI225-AH225)*(K225-AG225)/2)</f>
        <v/>
      </c>
      <c r="AK225" s="8">
        <f>K225+AJ225</f>
        <v/>
      </c>
      <c r="AL225" s="14">
        <f>AE225*AJ225</f>
        <v/>
      </c>
      <c r="AM225" s="17">
        <f>V225/AL225</f>
        <v/>
      </c>
      <c r="AN225" s="17">
        <f>Z225/AL225</f>
        <v/>
      </c>
      <c r="AO225" s="33">
        <f>IF(V225+Z225=0,0,Z225/(V225+Z225))</f>
        <v/>
      </c>
      <c r="AP225" s="14">
        <f>AL225/V225*100</f>
        <v/>
      </c>
      <c r="AQ225" s="8">
        <f>P225/AL225*1000</f>
        <v/>
      </c>
      <c r="AR225" s="77">
        <f>MAX(N225,M225-1)</f>
        <v/>
      </c>
      <c r="AS225" s="14">
        <f>SUMIFS(Donnees_regimes!$R$3:$R$1118,Donnees_regimes!$A$3:$A$1118,C225,Donnees_regimes!$B$3:$B$1118,"&gt;="&amp;G225,Donnees_regimes!$B$3:$B$1118,"&lt;="&amp;N225)*L225/ROUNDUP(L225,0)*SUMIFS(Donnees_annuelles!$AG$3:$AG$188,Donnees_annuelles!$A$3:$A$188,AR225)*SUMIFS(Donnees_annuelles!$AA$3:$AA$188,Donnees_annuelles!$A$3:$A$188,AR225)</f>
        <v/>
      </c>
      <c r="AT225" s="36">
        <f>AS225/V225</f>
        <v/>
      </c>
      <c r="AU225" s="14">
        <f>AL225</f>
        <v/>
      </c>
      <c r="AV225" s="39">
        <f>AS225-AL225</f>
        <v/>
      </c>
      <c r="AW225" s="9">
        <f>AS225/AL225-1</f>
        <v/>
      </c>
      <c r="AX225" s="14">
        <f>AS225/AJ225/12</f>
        <v/>
      </c>
      <c r="AY225" s="14">
        <f>AF225</f>
        <v/>
      </c>
      <c r="AZ225" s="39">
        <f>AX225-AF225</f>
        <v/>
      </c>
      <c r="BA225" s="14">
        <f>SUMIFS(Donnees_regimes!$S$3:$S$1118,Donnees_regimes!$A$3:$A$1118,C225,Donnees_regimes!$B$3:$B$1118,"&gt;="&amp;G225,Donnees_regimes!$B$3:$B$1118,"&lt;="&amp;N225)*L225/ROUNDUP(L225,0)*SUMIFS(Donnees_annuelles!$AH$3:$AH$188,Donnees_annuelles!$A$3:$A$188,AR225)*SUMIFS(Donnees_annuelles!$AA$3:$AA$188,Donnees_annuelles!$A$3:$A$188,AR225)</f>
        <v/>
      </c>
      <c r="BB225" s="39">
        <f>BA225-AL225</f>
        <v/>
      </c>
      <c r="BC225" s="7">
        <f>IF(M225+AJ225&gt;2026,IF(G225&gt;2026,"entièrement projeté","en partie projeté"),"observé")</f>
        <v/>
      </c>
    </row>
    <row r="226">
      <c r="A226" s="7" t="inlineStr">
        <is>
          <t>Baby-boomers</t>
        </is>
      </c>
      <c r="B226" s="84" t="inlineStr">
        <is>
          <t>Fonction publique territoriale et hospitalière</t>
        </is>
      </c>
      <c r="C226" s="7">
        <f>IF(G226&gt;=SUMIFS(Regimes!$C$5:$C$10,Regimes!$A$5:$A$10,B226),"Privé",B226)</f>
        <v/>
      </c>
      <c r="D226" s="7">
        <f>INDEX(Regimes!$D$5:$D$10,MATCH(C226,Regimes!$A$5:$A$10,0))</f>
        <v/>
      </c>
      <c r="E226" s="88" t="n">
        <v>1955</v>
      </c>
      <c r="F226" s="8">
        <f>Donnees_generations!C43</f>
        <v/>
      </c>
      <c r="G226" s="77">
        <f>Donnees_generations!D43</f>
        <v/>
      </c>
      <c r="H226" s="8">
        <f>SUMIFS(Donnees_generations!$S$3:$S$113,Donnees_generations!$A$3:$A$113,MAX(1915,MIN(2025,E226)))</f>
        <v/>
      </c>
      <c r="I226" s="8">
        <f>SUMIFS(Donnees_generations!$T$3:$T$113,Donnees_generations!$A$3:$A$113,MAX(1915,MIN(2025,E226)))</f>
        <v/>
      </c>
      <c r="J226" s="8">
        <f>IF(G226&gt;=2000,MAX(I226,Parametres!$B$3),I226)</f>
        <v/>
      </c>
      <c r="K226" s="8">
        <f>IF(C226="Privé",J226,SUMIFS(Regles_regimes!$J$3:$J$2000,Regles_regimes!$A$3:$A$2000,C226,Regles_regimes!$B$3:$B$2000,D226,Regles_regimes!$C$3:$C$2000,MAX(1915,MIN(2025,E226))))</f>
        <v/>
      </c>
      <c r="L226" s="8">
        <f>IF(C226="Privé",H226,(K226-F226)*H226/(J226-F226))</f>
        <v/>
      </c>
      <c r="M226" s="77">
        <f>INT(E226+K226)</f>
        <v/>
      </c>
      <c r="N226" s="77">
        <f>G226+ROUNDUP(L226,0)-1</f>
        <v/>
      </c>
      <c r="O226" s="89">
        <f>SUMIFS(Regles_regimes!$K$3:$K$2000,Regles_regimes!$A$3:$A$2000,C226,Regles_regimes!$B$3:$B$2000,D226,Regles_regimes!$C$3:$C$2000,MAX(1915,MIN(2025,E226)))</f>
        <v/>
      </c>
      <c r="P226" s="13">
        <f>SUMIFS(Donnees_annuelles!$W$3:$W$188,Donnees_annuelles!$A$3:$A$188,"&gt;="&amp;G226,Donnees_annuelles!$A$3:$A$188,"&lt;="&amp;N226)*L226/ROUNDUP(L226,0)*O226</f>
        <v/>
      </c>
      <c r="Q226" s="13">
        <f>SUMIFS(Donnees_annuelles!$V$3:$V$188,Donnees_annuelles!$A$3:$A$188,"&gt;="&amp;G226,Donnees_annuelles!$A$3:$A$188,"&lt;="&amp;N226)*L226/ROUNDUP(L226,0)</f>
        <v/>
      </c>
      <c r="R226" s="13">
        <f>P226/L226</f>
        <v/>
      </c>
      <c r="S226" s="14">
        <f>SUMIFS(Donnees_annuelles!$D$3:$D$188,Donnees_annuelles!$A$3:$A$188,"&gt;="&amp;G226,Donnees_annuelles!$A$3:$A$188,"&lt;="&amp;N226)*L226/ROUNDUP(L226,0)</f>
        <v/>
      </c>
      <c r="T226" s="14">
        <f>SUMIFS(Donnees_regimes!$N$3:$N$1118,Donnees_regimes!$A$3:$A$1118,C226,Donnees_regimes!$B$3:$B$1118,"&gt;="&amp;G226,Donnees_regimes!$B$3:$B$1118,"&lt;="&amp;N226)*L226/ROUNDUP(L226,0)</f>
        <v/>
      </c>
      <c r="U226" s="14">
        <f>SUMIFS(Donnees_regimes!$O$3:$O$1118,Donnees_regimes!$A$3:$A$1118,C226,Donnees_regimes!$B$3:$B$1118,"&gt;="&amp;G226,Donnees_regimes!$B$3:$B$1118,"&lt;="&amp;N226)*L226/ROUNDUP(L226,0)</f>
        <v/>
      </c>
      <c r="V226" s="14">
        <f>T226+U226</f>
        <v/>
      </c>
      <c r="W226" s="33">
        <f>V226/S226</f>
        <v/>
      </c>
      <c r="X226" s="14">
        <f>S226+U226</f>
        <v/>
      </c>
      <c r="Y226" s="17">
        <f>V226/P226</f>
        <v/>
      </c>
      <c r="Z226" s="14">
        <f>SUMIFS(Donnees_regimes!$Q$3:$Q$1118,Donnees_regimes!$A$3:$A$1118,C226,Donnees_regimes!$B$3:$B$1118,"&gt;="&amp;G226,Donnees_regimes!$B$3:$B$1118,"&lt;="&amp;N226)*L226/ROUNDUP(L226,0)</f>
        <v/>
      </c>
      <c r="AA226" s="77">
        <f>SUMIFS(Regles_regimes!$F$3:$F$2000,Regles_regimes!$A$3:$A$2000,C226,Regles_regimes!$B$3:$B$2000,D226,Regles_regimes!$C$3:$C$2000,MAX(1915,MIN(2025,E226)))</f>
        <v/>
      </c>
      <c r="AB226" s="77">
        <f>IF(AND(SUMIFS(Regles_regimes!$L$3:$L$2000,Regles_regimes!$A$3:$A$2000,C226,Regles_regimes!$B$3:$B$2000,D226,Regles_regimes!$C$3:$C$2000,MAX(1915,MIN(2025,E226)))=1,G226&lt;2009,C226&lt;&gt;"Privé"),MIN(20,L226*4/5),0)</f>
        <v/>
      </c>
      <c r="AC226" s="89">
        <f>SUMIFS(Donnees_regimes!$M$3:$M$1118,Donnees_regimes!$A$3:$A$1118,C226,Donnees_regimes!$B$3:$B$1118,M226)</f>
        <v/>
      </c>
      <c r="AD226" s="14">
        <f>SUMIFS(Donnees_annuelles!$Y$3:$Y$188,Donnees_annuelles!$A$3:$A$188,M226)*SUMIFS(Donnees_generations!$I$3:$I$113,Donnees_generations!$A$3:$A$113,MAX(1915,MIN(2025,E226)))/H226</f>
        <v/>
      </c>
      <c r="AE226" s="14">
        <f>IF(C226="Privé",SUMIFS(Donnees_annuelles!$Y$3:$Y$188,Donnees_annuelles!$A$3:$A$188,M226)*MIN(L226,SUMIFS(Donnees_generations!$I$3:$I$113,Donnees_generations!$A$3:$A$113,MAX(1915,MIN(2025,E226))))/L226,AD226*AC226*MIN(IF(AB226&gt;0,0.8/0.75,1),(L226*4+AB226)/AA226))</f>
        <v/>
      </c>
      <c r="AF226" s="14">
        <f>AE226/12</f>
        <v/>
      </c>
      <c r="AG226" s="77">
        <f>MIN(68,MAX(56,2*INT(K226/2)))</f>
        <v/>
      </c>
      <c r="AH226" s="75">
        <f>(CHOOSE((AG226-56)/2+1,SUMIFS(Donnees_generations!$U$3:$U$113,Donnees_generations!$A$3:$A$113,MAX(1915,MIN(2025,E226))),SUMIFS(Donnees_generations!$V$3:$V$113,Donnees_generations!$A$3:$A$113,MAX(1915,MIN(2025,E226))),SUMIFS(Donnees_generations!$W$3:$W$113,Donnees_generations!$A$3:$A$113,MAX(1915,MIN(2025,E226))),SUMIFS(Donnees_generations!$X$3:$X$113,Donnees_generations!$A$3:$A$113,MAX(1915,MIN(2025,E226))),SUMIFS(Donnees_generations!$Y$3:$Y$113,Donnees_generations!$A$3:$A$113,MAX(1915,MIN(2025,E226))),SUMIFS(Donnees_generations!$Z$3:$Z$113,Donnees_generations!$A$3:$A$113,MAX(1915,MIN(2025,E226))),SUMIFS(Donnees_generations!$AA$3:$AA$113,Donnees_generations!$A$3:$A$113,MAX(1915,MIN(2025,E226))),SUMIFS(Donnees_generations!$AB$3:$AB$113,Donnees_generations!$A$3:$A$113,MAX(1915,MIN(2025,E226))))+CHOOSE((AG226-56)/2+1,SUMIFS(Donnees_generations!$AC$3:$AC$113,Donnees_generations!$A$3:$A$113,MAX(1915,MIN(2025,E226))),SUMIFS(Donnees_generations!$AD$3:$AD$113,Donnees_generations!$A$3:$A$113,MAX(1915,MIN(2025,E226))),SUMIFS(Donnees_generations!$AE$3:$AE$113,Donnees_generations!$A$3:$A$113,MAX(1915,MIN(2025,E226))),SUMIFS(Donnees_generations!$AF$3:$AF$113,Donnees_generations!$A$3:$A$113,MAX(1915,MIN(2025,E226))),SUMIFS(Donnees_generations!$AG$3:$AG$113,Donnees_generations!$A$3:$A$113,MAX(1915,MIN(2025,E226))),SUMIFS(Donnees_generations!$AH$3:$AH$113,Donnees_generations!$A$3:$A$113,MAX(1915,MIN(2025,E226))),SUMIFS(Donnees_generations!$AI$3:$AI$113,Donnees_generations!$A$3:$A$113,MAX(1915,MIN(2025,E226))),SUMIFS(Donnees_generations!$AJ$3:$AJ$113,Donnees_generations!$A$3:$A$113,MAX(1915,MIN(2025,E226)))))/2</f>
        <v/>
      </c>
      <c r="AI226" s="75">
        <f>(CHOOSE(((AG226+2)-56)/2+1,SUMIFS(Donnees_generations!$U$3:$U$113,Donnees_generations!$A$3:$A$113,MAX(1915,MIN(2025,E226))),SUMIFS(Donnees_generations!$V$3:$V$113,Donnees_generations!$A$3:$A$113,MAX(1915,MIN(2025,E226))),SUMIFS(Donnees_generations!$W$3:$W$113,Donnees_generations!$A$3:$A$113,MAX(1915,MIN(2025,E226))),SUMIFS(Donnees_generations!$X$3:$X$113,Donnees_generations!$A$3:$A$113,MAX(1915,MIN(2025,E226))),SUMIFS(Donnees_generations!$Y$3:$Y$113,Donnees_generations!$A$3:$A$113,MAX(1915,MIN(2025,E226))),SUMIFS(Donnees_generations!$Z$3:$Z$113,Donnees_generations!$A$3:$A$113,MAX(1915,MIN(2025,E226))),SUMIFS(Donnees_generations!$AA$3:$AA$113,Donnees_generations!$A$3:$A$113,MAX(1915,MIN(2025,E226))),SUMIFS(Donnees_generations!$AB$3:$AB$113,Donnees_generations!$A$3:$A$113,MAX(1915,MIN(2025,E226))))+CHOOSE(((AG226+2)-56)/2+1,SUMIFS(Donnees_generations!$AC$3:$AC$113,Donnees_generations!$A$3:$A$113,MAX(1915,MIN(2025,E226))),SUMIFS(Donnees_generations!$AD$3:$AD$113,Donnees_generations!$A$3:$A$113,MAX(1915,MIN(2025,E226))),SUMIFS(Donnees_generations!$AE$3:$AE$113,Donnees_generations!$A$3:$A$113,MAX(1915,MIN(2025,E226))),SUMIFS(Donnees_generations!$AF$3:$AF$113,Donnees_generations!$A$3:$A$113,MAX(1915,MIN(2025,E226))),SUMIFS(Donnees_generations!$AG$3:$AG$113,Donnees_generations!$A$3:$A$113,MAX(1915,MIN(2025,E226))),SUMIFS(Donnees_generations!$AH$3:$AH$113,Donnees_generations!$A$3:$A$113,MAX(1915,MIN(2025,E226))),SUMIFS(Donnees_generations!$AI$3:$AI$113,Donnees_generations!$A$3:$A$113,MAX(1915,MIN(2025,E226))),SUMIFS(Donnees_generations!$AJ$3:$AJ$113,Donnees_generations!$A$3:$A$113,MAX(1915,MIN(2025,E226)))))/2</f>
        <v/>
      </c>
      <c r="AJ226" s="8">
        <f>MAX(0,AH226+(AI226-AH226)*(K226-AG226)/2)</f>
        <v/>
      </c>
      <c r="AK226" s="8">
        <f>K226+AJ226</f>
        <v/>
      </c>
      <c r="AL226" s="14">
        <f>AE226*AJ226</f>
        <v/>
      </c>
      <c r="AM226" s="17">
        <f>V226/AL226</f>
        <v/>
      </c>
      <c r="AN226" s="17">
        <f>Z226/AL226</f>
        <v/>
      </c>
      <c r="AO226" s="33">
        <f>IF(V226+Z226=0,0,Z226/(V226+Z226))</f>
        <v/>
      </c>
      <c r="AP226" s="14">
        <f>AL226/V226*100</f>
        <v/>
      </c>
      <c r="AQ226" s="8">
        <f>P226/AL226*1000</f>
        <v/>
      </c>
      <c r="AR226" s="77">
        <f>MAX(N226,M226-1)</f>
        <v/>
      </c>
      <c r="AS226" s="14">
        <f>SUMIFS(Donnees_regimes!$R$3:$R$1118,Donnees_regimes!$A$3:$A$1118,C226,Donnees_regimes!$B$3:$B$1118,"&gt;="&amp;G226,Donnees_regimes!$B$3:$B$1118,"&lt;="&amp;N226)*L226/ROUNDUP(L226,0)*SUMIFS(Donnees_annuelles!$AG$3:$AG$188,Donnees_annuelles!$A$3:$A$188,AR226)*SUMIFS(Donnees_annuelles!$AA$3:$AA$188,Donnees_annuelles!$A$3:$A$188,AR226)</f>
        <v/>
      </c>
      <c r="AT226" s="36">
        <f>AS226/V226</f>
        <v/>
      </c>
      <c r="AU226" s="14">
        <f>AL226</f>
        <v/>
      </c>
      <c r="AV226" s="39">
        <f>AS226-AL226</f>
        <v/>
      </c>
      <c r="AW226" s="9">
        <f>AS226/AL226-1</f>
        <v/>
      </c>
      <c r="AX226" s="14">
        <f>AS226/AJ226/12</f>
        <v/>
      </c>
      <c r="AY226" s="14">
        <f>AF226</f>
        <v/>
      </c>
      <c r="AZ226" s="39">
        <f>AX226-AF226</f>
        <v/>
      </c>
      <c r="BA226" s="14">
        <f>SUMIFS(Donnees_regimes!$S$3:$S$1118,Donnees_regimes!$A$3:$A$1118,C226,Donnees_regimes!$B$3:$B$1118,"&gt;="&amp;G226,Donnees_regimes!$B$3:$B$1118,"&lt;="&amp;N226)*L226/ROUNDUP(L226,0)*SUMIFS(Donnees_annuelles!$AH$3:$AH$188,Donnees_annuelles!$A$3:$A$188,AR226)*SUMIFS(Donnees_annuelles!$AA$3:$AA$188,Donnees_annuelles!$A$3:$A$188,AR226)</f>
        <v/>
      </c>
      <c r="BB226" s="39">
        <f>BA226-AL226</f>
        <v/>
      </c>
      <c r="BC226" s="7">
        <f>IF(M226+AJ226&gt;2026,IF(G226&gt;2026,"entièrement projeté","en partie projeté"),"observé")</f>
        <v/>
      </c>
    </row>
    <row r="227">
      <c r="A227" s="7" t="inlineStr">
        <is>
          <t>Baby-boomers</t>
        </is>
      </c>
      <c r="B227" s="84" t="inlineStr">
        <is>
          <t>Fonction publique territoriale et hospitalière</t>
        </is>
      </c>
      <c r="C227" s="7">
        <f>IF(G227&gt;=SUMIFS(Regimes!$C$5:$C$10,Regimes!$A$5:$A$10,B227),"Privé",B227)</f>
        <v/>
      </c>
      <c r="D227" s="7">
        <f>INDEX(Regimes!$D$5:$D$10,MATCH(C227,Regimes!$A$5:$A$10,0))</f>
        <v/>
      </c>
      <c r="E227" s="88" t="n">
        <v>1956</v>
      </c>
      <c r="F227" s="8">
        <f>Donnees_generations!C44</f>
        <v/>
      </c>
      <c r="G227" s="77">
        <f>Donnees_generations!D44</f>
        <v/>
      </c>
      <c r="H227" s="8">
        <f>SUMIFS(Donnees_generations!$S$3:$S$113,Donnees_generations!$A$3:$A$113,MAX(1915,MIN(2025,E227)))</f>
        <v/>
      </c>
      <c r="I227" s="8">
        <f>SUMIFS(Donnees_generations!$T$3:$T$113,Donnees_generations!$A$3:$A$113,MAX(1915,MIN(2025,E227)))</f>
        <v/>
      </c>
      <c r="J227" s="8">
        <f>IF(G227&gt;=2000,MAX(I227,Parametres!$B$3),I227)</f>
        <v/>
      </c>
      <c r="K227" s="8">
        <f>IF(C227="Privé",J227,SUMIFS(Regles_regimes!$J$3:$J$2000,Regles_regimes!$A$3:$A$2000,C227,Regles_regimes!$B$3:$B$2000,D227,Regles_regimes!$C$3:$C$2000,MAX(1915,MIN(2025,E227))))</f>
        <v/>
      </c>
      <c r="L227" s="8">
        <f>IF(C227="Privé",H227,(K227-F227)*H227/(J227-F227))</f>
        <v/>
      </c>
      <c r="M227" s="77">
        <f>INT(E227+K227)</f>
        <v/>
      </c>
      <c r="N227" s="77">
        <f>G227+ROUNDUP(L227,0)-1</f>
        <v/>
      </c>
      <c r="O227" s="89">
        <f>SUMIFS(Regles_regimes!$K$3:$K$2000,Regles_regimes!$A$3:$A$2000,C227,Regles_regimes!$B$3:$B$2000,D227,Regles_regimes!$C$3:$C$2000,MAX(1915,MIN(2025,E227)))</f>
        <v/>
      </c>
      <c r="P227" s="13">
        <f>SUMIFS(Donnees_annuelles!$W$3:$W$188,Donnees_annuelles!$A$3:$A$188,"&gt;="&amp;G227,Donnees_annuelles!$A$3:$A$188,"&lt;="&amp;N227)*L227/ROUNDUP(L227,0)*O227</f>
        <v/>
      </c>
      <c r="Q227" s="13">
        <f>SUMIFS(Donnees_annuelles!$V$3:$V$188,Donnees_annuelles!$A$3:$A$188,"&gt;="&amp;G227,Donnees_annuelles!$A$3:$A$188,"&lt;="&amp;N227)*L227/ROUNDUP(L227,0)</f>
        <v/>
      </c>
      <c r="R227" s="13">
        <f>P227/L227</f>
        <v/>
      </c>
      <c r="S227" s="14">
        <f>SUMIFS(Donnees_annuelles!$D$3:$D$188,Donnees_annuelles!$A$3:$A$188,"&gt;="&amp;G227,Donnees_annuelles!$A$3:$A$188,"&lt;="&amp;N227)*L227/ROUNDUP(L227,0)</f>
        <v/>
      </c>
      <c r="T227" s="14">
        <f>SUMIFS(Donnees_regimes!$N$3:$N$1118,Donnees_regimes!$A$3:$A$1118,C227,Donnees_regimes!$B$3:$B$1118,"&gt;="&amp;G227,Donnees_regimes!$B$3:$B$1118,"&lt;="&amp;N227)*L227/ROUNDUP(L227,0)</f>
        <v/>
      </c>
      <c r="U227" s="14">
        <f>SUMIFS(Donnees_regimes!$O$3:$O$1118,Donnees_regimes!$A$3:$A$1118,C227,Donnees_regimes!$B$3:$B$1118,"&gt;="&amp;G227,Donnees_regimes!$B$3:$B$1118,"&lt;="&amp;N227)*L227/ROUNDUP(L227,0)</f>
        <v/>
      </c>
      <c r="V227" s="14">
        <f>T227+U227</f>
        <v/>
      </c>
      <c r="W227" s="33">
        <f>V227/S227</f>
        <v/>
      </c>
      <c r="X227" s="14">
        <f>S227+U227</f>
        <v/>
      </c>
      <c r="Y227" s="17">
        <f>V227/P227</f>
        <v/>
      </c>
      <c r="Z227" s="14">
        <f>SUMIFS(Donnees_regimes!$Q$3:$Q$1118,Donnees_regimes!$A$3:$A$1118,C227,Donnees_regimes!$B$3:$B$1118,"&gt;="&amp;G227,Donnees_regimes!$B$3:$B$1118,"&lt;="&amp;N227)*L227/ROUNDUP(L227,0)</f>
        <v/>
      </c>
      <c r="AA227" s="77">
        <f>SUMIFS(Regles_regimes!$F$3:$F$2000,Regles_regimes!$A$3:$A$2000,C227,Regles_regimes!$B$3:$B$2000,D227,Regles_regimes!$C$3:$C$2000,MAX(1915,MIN(2025,E227)))</f>
        <v/>
      </c>
      <c r="AB227" s="77">
        <f>IF(AND(SUMIFS(Regles_regimes!$L$3:$L$2000,Regles_regimes!$A$3:$A$2000,C227,Regles_regimes!$B$3:$B$2000,D227,Regles_regimes!$C$3:$C$2000,MAX(1915,MIN(2025,E227)))=1,G227&lt;2009,C227&lt;&gt;"Privé"),MIN(20,L227*4/5),0)</f>
        <v/>
      </c>
      <c r="AC227" s="89">
        <f>SUMIFS(Donnees_regimes!$M$3:$M$1118,Donnees_regimes!$A$3:$A$1118,C227,Donnees_regimes!$B$3:$B$1118,M227)</f>
        <v/>
      </c>
      <c r="AD227" s="14">
        <f>SUMIFS(Donnees_annuelles!$Y$3:$Y$188,Donnees_annuelles!$A$3:$A$188,M227)*SUMIFS(Donnees_generations!$I$3:$I$113,Donnees_generations!$A$3:$A$113,MAX(1915,MIN(2025,E227)))/H227</f>
        <v/>
      </c>
      <c r="AE227" s="14">
        <f>IF(C227="Privé",SUMIFS(Donnees_annuelles!$Y$3:$Y$188,Donnees_annuelles!$A$3:$A$188,M227)*MIN(L227,SUMIFS(Donnees_generations!$I$3:$I$113,Donnees_generations!$A$3:$A$113,MAX(1915,MIN(2025,E227))))/L227,AD227*AC227*MIN(IF(AB227&gt;0,0.8/0.75,1),(L227*4+AB227)/AA227))</f>
        <v/>
      </c>
      <c r="AF227" s="14">
        <f>AE227/12</f>
        <v/>
      </c>
      <c r="AG227" s="77">
        <f>MIN(68,MAX(56,2*INT(K227/2)))</f>
        <v/>
      </c>
      <c r="AH227" s="75">
        <f>(CHOOSE((AG227-56)/2+1,SUMIFS(Donnees_generations!$U$3:$U$113,Donnees_generations!$A$3:$A$113,MAX(1915,MIN(2025,E227))),SUMIFS(Donnees_generations!$V$3:$V$113,Donnees_generations!$A$3:$A$113,MAX(1915,MIN(2025,E227))),SUMIFS(Donnees_generations!$W$3:$W$113,Donnees_generations!$A$3:$A$113,MAX(1915,MIN(2025,E227))),SUMIFS(Donnees_generations!$X$3:$X$113,Donnees_generations!$A$3:$A$113,MAX(1915,MIN(2025,E227))),SUMIFS(Donnees_generations!$Y$3:$Y$113,Donnees_generations!$A$3:$A$113,MAX(1915,MIN(2025,E227))),SUMIFS(Donnees_generations!$Z$3:$Z$113,Donnees_generations!$A$3:$A$113,MAX(1915,MIN(2025,E227))),SUMIFS(Donnees_generations!$AA$3:$AA$113,Donnees_generations!$A$3:$A$113,MAX(1915,MIN(2025,E227))),SUMIFS(Donnees_generations!$AB$3:$AB$113,Donnees_generations!$A$3:$A$113,MAX(1915,MIN(2025,E227))))+CHOOSE((AG227-56)/2+1,SUMIFS(Donnees_generations!$AC$3:$AC$113,Donnees_generations!$A$3:$A$113,MAX(1915,MIN(2025,E227))),SUMIFS(Donnees_generations!$AD$3:$AD$113,Donnees_generations!$A$3:$A$113,MAX(1915,MIN(2025,E227))),SUMIFS(Donnees_generations!$AE$3:$AE$113,Donnees_generations!$A$3:$A$113,MAX(1915,MIN(2025,E227))),SUMIFS(Donnees_generations!$AF$3:$AF$113,Donnees_generations!$A$3:$A$113,MAX(1915,MIN(2025,E227))),SUMIFS(Donnees_generations!$AG$3:$AG$113,Donnees_generations!$A$3:$A$113,MAX(1915,MIN(2025,E227))),SUMIFS(Donnees_generations!$AH$3:$AH$113,Donnees_generations!$A$3:$A$113,MAX(1915,MIN(2025,E227))),SUMIFS(Donnees_generations!$AI$3:$AI$113,Donnees_generations!$A$3:$A$113,MAX(1915,MIN(2025,E227))),SUMIFS(Donnees_generations!$AJ$3:$AJ$113,Donnees_generations!$A$3:$A$113,MAX(1915,MIN(2025,E227)))))/2</f>
        <v/>
      </c>
      <c r="AI227" s="75">
        <f>(CHOOSE(((AG227+2)-56)/2+1,SUMIFS(Donnees_generations!$U$3:$U$113,Donnees_generations!$A$3:$A$113,MAX(1915,MIN(2025,E227))),SUMIFS(Donnees_generations!$V$3:$V$113,Donnees_generations!$A$3:$A$113,MAX(1915,MIN(2025,E227))),SUMIFS(Donnees_generations!$W$3:$W$113,Donnees_generations!$A$3:$A$113,MAX(1915,MIN(2025,E227))),SUMIFS(Donnees_generations!$X$3:$X$113,Donnees_generations!$A$3:$A$113,MAX(1915,MIN(2025,E227))),SUMIFS(Donnees_generations!$Y$3:$Y$113,Donnees_generations!$A$3:$A$113,MAX(1915,MIN(2025,E227))),SUMIFS(Donnees_generations!$Z$3:$Z$113,Donnees_generations!$A$3:$A$113,MAX(1915,MIN(2025,E227))),SUMIFS(Donnees_generations!$AA$3:$AA$113,Donnees_generations!$A$3:$A$113,MAX(1915,MIN(2025,E227))),SUMIFS(Donnees_generations!$AB$3:$AB$113,Donnees_generations!$A$3:$A$113,MAX(1915,MIN(2025,E227))))+CHOOSE(((AG227+2)-56)/2+1,SUMIFS(Donnees_generations!$AC$3:$AC$113,Donnees_generations!$A$3:$A$113,MAX(1915,MIN(2025,E227))),SUMIFS(Donnees_generations!$AD$3:$AD$113,Donnees_generations!$A$3:$A$113,MAX(1915,MIN(2025,E227))),SUMIFS(Donnees_generations!$AE$3:$AE$113,Donnees_generations!$A$3:$A$113,MAX(1915,MIN(2025,E227))),SUMIFS(Donnees_generations!$AF$3:$AF$113,Donnees_generations!$A$3:$A$113,MAX(1915,MIN(2025,E227))),SUMIFS(Donnees_generations!$AG$3:$AG$113,Donnees_generations!$A$3:$A$113,MAX(1915,MIN(2025,E227))),SUMIFS(Donnees_generations!$AH$3:$AH$113,Donnees_generations!$A$3:$A$113,MAX(1915,MIN(2025,E227))),SUMIFS(Donnees_generations!$AI$3:$AI$113,Donnees_generations!$A$3:$A$113,MAX(1915,MIN(2025,E227))),SUMIFS(Donnees_generations!$AJ$3:$AJ$113,Donnees_generations!$A$3:$A$113,MAX(1915,MIN(2025,E227)))))/2</f>
        <v/>
      </c>
      <c r="AJ227" s="8">
        <f>MAX(0,AH227+(AI227-AH227)*(K227-AG227)/2)</f>
        <v/>
      </c>
      <c r="AK227" s="8">
        <f>K227+AJ227</f>
        <v/>
      </c>
      <c r="AL227" s="14">
        <f>AE227*AJ227</f>
        <v/>
      </c>
      <c r="AM227" s="17">
        <f>V227/AL227</f>
        <v/>
      </c>
      <c r="AN227" s="17">
        <f>Z227/AL227</f>
        <v/>
      </c>
      <c r="AO227" s="33">
        <f>IF(V227+Z227=0,0,Z227/(V227+Z227))</f>
        <v/>
      </c>
      <c r="AP227" s="14">
        <f>AL227/V227*100</f>
        <v/>
      </c>
      <c r="AQ227" s="8">
        <f>P227/AL227*1000</f>
        <v/>
      </c>
      <c r="AR227" s="77">
        <f>MAX(N227,M227-1)</f>
        <v/>
      </c>
      <c r="AS227" s="14">
        <f>SUMIFS(Donnees_regimes!$R$3:$R$1118,Donnees_regimes!$A$3:$A$1118,C227,Donnees_regimes!$B$3:$B$1118,"&gt;="&amp;G227,Donnees_regimes!$B$3:$B$1118,"&lt;="&amp;N227)*L227/ROUNDUP(L227,0)*SUMIFS(Donnees_annuelles!$AG$3:$AG$188,Donnees_annuelles!$A$3:$A$188,AR227)*SUMIFS(Donnees_annuelles!$AA$3:$AA$188,Donnees_annuelles!$A$3:$A$188,AR227)</f>
        <v/>
      </c>
      <c r="AT227" s="36">
        <f>AS227/V227</f>
        <v/>
      </c>
      <c r="AU227" s="14">
        <f>AL227</f>
        <v/>
      </c>
      <c r="AV227" s="39">
        <f>AS227-AL227</f>
        <v/>
      </c>
      <c r="AW227" s="9">
        <f>AS227/AL227-1</f>
        <v/>
      </c>
      <c r="AX227" s="14">
        <f>AS227/AJ227/12</f>
        <v/>
      </c>
      <c r="AY227" s="14">
        <f>AF227</f>
        <v/>
      </c>
      <c r="AZ227" s="39">
        <f>AX227-AF227</f>
        <v/>
      </c>
      <c r="BA227" s="14">
        <f>SUMIFS(Donnees_regimes!$S$3:$S$1118,Donnees_regimes!$A$3:$A$1118,C227,Donnees_regimes!$B$3:$B$1118,"&gt;="&amp;G227,Donnees_regimes!$B$3:$B$1118,"&lt;="&amp;N227)*L227/ROUNDUP(L227,0)*SUMIFS(Donnees_annuelles!$AH$3:$AH$188,Donnees_annuelles!$A$3:$A$188,AR227)*SUMIFS(Donnees_annuelles!$AA$3:$AA$188,Donnees_annuelles!$A$3:$A$188,AR227)</f>
        <v/>
      </c>
      <c r="BB227" s="39">
        <f>BA227-AL227</f>
        <v/>
      </c>
      <c r="BC227" s="7">
        <f>IF(M227+AJ227&gt;2026,IF(G227&gt;2026,"entièrement projeté","en partie projeté"),"observé")</f>
        <v/>
      </c>
    </row>
    <row r="228">
      <c r="A228" s="7" t="inlineStr">
        <is>
          <t>Baby-boomers</t>
        </is>
      </c>
      <c r="B228" s="84" t="inlineStr">
        <is>
          <t>Fonction publique territoriale et hospitalière</t>
        </is>
      </c>
      <c r="C228" s="7">
        <f>IF(G228&gt;=SUMIFS(Regimes!$C$5:$C$10,Regimes!$A$5:$A$10,B228),"Privé",B228)</f>
        <v/>
      </c>
      <c r="D228" s="7">
        <f>INDEX(Regimes!$D$5:$D$10,MATCH(C228,Regimes!$A$5:$A$10,0))</f>
        <v/>
      </c>
      <c r="E228" s="88" t="n">
        <v>1957</v>
      </c>
      <c r="F228" s="8">
        <f>Donnees_generations!C45</f>
        <v/>
      </c>
      <c r="G228" s="77">
        <f>Donnees_generations!D45</f>
        <v/>
      </c>
      <c r="H228" s="8">
        <f>SUMIFS(Donnees_generations!$S$3:$S$113,Donnees_generations!$A$3:$A$113,MAX(1915,MIN(2025,E228)))</f>
        <v/>
      </c>
      <c r="I228" s="8">
        <f>SUMIFS(Donnees_generations!$T$3:$T$113,Donnees_generations!$A$3:$A$113,MAX(1915,MIN(2025,E228)))</f>
        <v/>
      </c>
      <c r="J228" s="8">
        <f>IF(G228&gt;=2000,MAX(I228,Parametres!$B$3),I228)</f>
        <v/>
      </c>
      <c r="K228" s="8">
        <f>IF(C228="Privé",J228,SUMIFS(Regles_regimes!$J$3:$J$2000,Regles_regimes!$A$3:$A$2000,C228,Regles_regimes!$B$3:$B$2000,D228,Regles_regimes!$C$3:$C$2000,MAX(1915,MIN(2025,E228))))</f>
        <v/>
      </c>
      <c r="L228" s="8">
        <f>IF(C228="Privé",H228,(K228-F228)*H228/(J228-F228))</f>
        <v/>
      </c>
      <c r="M228" s="77">
        <f>INT(E228+K228)</f>
        <v/>
      </c>
      <c r="N228" s="77">
        <f>G228+ROUNDUP(L228,0)-1</f>
        <v/>
      </c>
      <c r="O228" s="89">
        <f>SUMIFS(Regles_regimes!$K$3:$K$2000,Regles_regimes!$A$3:$A$2000,C228,Regles_regimes!$B$3:$B$2000,D228,Regles_regimes!$C$3:$C$2000,MAX(1915,MIN(2025,E228)))</f>
        <v/>
      </c>
      <c r="P228" s="13">
        <f>SUMIFS(Donnees_annuelles!$W$3:$W$188,Donnees_annuelles!$A$3:$A$188,"&gt;="&amp;G228,Donnees_annuelles!$A$3:$A$188,"&lt;="&amp;N228)*L228/ROUNDUP(L228,0)*O228</f>
        <v/>
      </c>
      <c r="Q228" s="13">
        <f>SUMIFS(Donnees_annuelles!$V$3:$V$188,Donnees_annuelles!$A$3:$A$188,"&gt;="&amp;G228,Donnees_annuelles!$A$3:$A$188,"&lt;="&amp;N228)*L228/ROUNDUP(L228,0)</f>
        <v/>
      </c>
      <c r="R228" s="13">
        <f>P228/L228</f>
        <v/>
      </c>
      <c r="S228" s="14">
        <f>SUMIFS(Donnees_annuelles!$D$3:$D$188,Donnees_annuelles!$A$3:$A$188,"&gt;="&amp;G228,Donnees_annuelles!$A$3:$A$188,"&lt;="&amp;N228)*L228/ROUNDUP(L228,0)</f>
        <v/>
      </c>
      <c r="T228" s="14">
        <f>SUMIFS(Donnees_regimes!$N$3:$N$1118,Donnees_regimes!$A$3:$A$1118,C228,Donnees_regimes!$B$3:$B$1118,"&gt;="&amp;G228,Donnees_regimes!$B$3:$B$1118,"&lt;="&amp;N228)*L228/ROUNDUP(L228,0)</f>
        <v/>
      </c>
      <c r="U228" s="14">
        <f>SUMIFS(Donnees_regimes!$O$3:$O$1118,Donnees_regimes!$A$3:$A$1118,C228,Donnees_regimes!$B$3:$B$1118,"&gt;="&amp;G228,Donnees_regimes!$B$3:$B$1118,"&lt;="&amp;N228)*L228/ROUNDUP(L228,0)</f>
        <v/>
      </c>
      <c r="V228" s="14">
        <f>T228+U228</f>
        <v/>
      </c>
      <c r="W228" s="33">
        <f>V228/S228</f>
        <v/>
      </c>
      <c r="X228" s="14">
        <f>S228+U228</f>
        <v/>
      </c>
      <c r="Y228" s="17">
        <f>V228/P228</f>
        <v/>
      </c>
      <c r="Z228" s="14">
        <f>SUMIFS(Donnees_regimes!$Q$3:$Q$1118,Donnees_regimes!$A$3:$A$1118,C228,Donnees_regimes!$B$3:$B$1118,"&gt;="&amp;G228,Donnees_regimes!$B$3:$B$1118,"&lt;="&amp;N228)*L228/ROUNDUP(L228,0)</f>
        <v/>
      </c>
      <c r="AA228" s="77">
        <f>SUMIFS(Regles_regimes!$F$3:$F$2000,Regles_regimes!$A$3:$A$2000,C228,Regles_regimes!$B$3:$B$2000,D228,Regles_regimes!$C$3:$C$2000,MAX(1915,MIN(2025,E228)))</f>
        <v/>
      </c>
      <c r="AB228" s="77">
        <f>IF(AND(SUMIFS(Regles_regimes!$L$3:$L$2000,Regles_regimes!$A$3:$A$2000,C228,Regles_regimes!$B$3:$B$2000,D228,Regles_regimes!$C$3:$C$2000,MAX(1915,MIN(2025,E228)))=1,G228&lt;2009,C228&lt;&gt;"Privé"),MIN(20,L228*4/5),0)</f>
        <v/>
      </c>
      <c r="AC228" s="89">
        <f>SUMIFS(Donnees_regimes!$M$3:$M$1118,Donnees_regimes!$A$3:$A$1118,C228,Donnees_regimes!$B$3:$B$1118,M228)</f>
        <v/>
      </c>
      <c r="AD228" s="14">
        <f>SUMIFS(Donnees_annuelles!$Y$3:$Y$188,Donnees_annuelles!$A$3:$A$188,M228)*SUMIFS(Donnees_generations!$I$3:$I$113,Donnees_generations!$A$3:$A$113,MAX(1915,MIN(2025,E228)))/H228</f>
        <v/>
      </c>
      <c r="AE228" s="14">
        <f>IF(C228="Privé",SUMIFS(Donnees_annuelles!$Y$3:$Y$188,Donnees_annuelles!$A$3:$A$188,M228)*MIN(L228,SUMIFS(Donnees_generations!$I$3:$I$113,Donnees_generations!$A$3:$A$113,MAX(1915,MIN(2025,E228))))/L228,AD228*AC228*MIN(IF(AB228&gt;0,0.8/0.75,1),(L228*4+AB228)/AA228))</f>
        <v/>
      </c>
      <c r="AF228" s="14">
        <f>AE228/12</f>
        <v/>
      </c>
      <c r="AG228" s="77">
        <f>MIN(68,MAX(56,2*INT(K228/2)))</f>
        <v/>
      </c>
      <c r="AH228" s="75">
        <f>(CHOOSE((AG228-56)/2+1,SUMIFS(Donnees_generations!$U$3:$U$113,Donnees_generations!$A$3:$A$113,MAX(1915,MIN(2025,E228))),SUMIFS(Donnees_generations!$V$3:$V$113,Donnees_generations!$A$3:$A$113,MAX(1915,MIN(2025,E228))),SUMIFS(Donnees_generations!$W$3:$W$113,Donnees_generations!$A$3:$A$113,MAX(1915,MIN(2025,E228))),SUMIFS(Donnees_generations!$X$3:$X$113,Donnees_generations!$A$3:$A$113,MAX(1915,MIN(2025,E228))),SUMIFS(Donnees_generations!$Y$3:$Y$113,Donnees_generations!$A$3:$A$113,MAX(1915,MIN(2025,E228))),SUMIFS(Donnees_generations!$Z$3:$Z$113,Donnees_generations!$A$3:$A$113,MAX(1915,MIN(2025,E228))),SUMIFS(Donnees_generations!$AA$3:$AA$113,Donnees_generations!$A$3:$A$113,MAX(1915,MIN(2025,E228))),SUMIFS(Donnees_generations!$AB$3:$AB$113,Donnees_generations!$A$3:$A$113,MAX(1915,MIN(2025,E228))))+CHOOSE((AG228-56)/2+1,SUMIFS(Donnees_generations!$AC$3:$AC$113,Donnees_generations!$A$3:$A$113,MAX(1915,MIN(2025,E228))),SUMIFS(Donnees_generations!$AD$3:$AD$113,Donnees_generations!$A$3:$A$113,MAX(1915,MIN(2025,E228))),SUMIFS(Donnees_generations!$AE$3:$AE$113,Donnees_generations!$A$3:$A$113,MAX(1915,MIN(2025,E228))),SUMIFS(Donnees_generations!$AF$3:$AF$113,Donnees_generations!$A$3:$A$113,MAX(1915,MIN(2025,E228))),SUMIFS(Donnees_generations!$AG$3:$AG$113,Donnees_generations!$A$3:$A$113,MAX(1915,MIN(2025,E228))),SUMIFS(Donnees_generations!$AH$3:$AH$113,Donnees_generations!$A$3:$A$113,MAX(1915,MIN(2025,E228))),SUMIFS(Donnees_generations!$AI$3:$AI$113,Donnees_generations!$A$3:$A$113,MAX(1915,MIN(2025,E228))),SUMIFS(Donnees_generations!$AJ$3:$AJ$113,Donnees_generations!$A$3:$A$113,MAX(1915,MIN(2025,E228)))))/2</f>
        <v/>
      </c>
      <c r="AI228" s="75">
        <f>(CHOOSE(((AG228+2)-56)/2+1,SUMIFS(Donnees_generations!$U$3:$U$113,Donnees_generations!$A$3:$A$113,MAX(1915,MIN(2025,E228))),SUMIFS(Donnees_generations!$V$3:$V$113,Donnees_generations!$A$3:$A$113,MAX(1915,MIN(2025,E228))),SUMIFS(Donnees_generations!$W$3:$W$113,Donnees_generations!$A$3:$A$113,MAX(1915,MIN(2025,E228))),SUMIFS(Donnees_generations!$X$3:$X$113,Donnees_generations!$A$3:$A$113,MAX(1915,MIN(2025,E228))),SUMIFS(Donnees_generations!$Y$3:$Y$113,Donnees_generations!$A$3:$A$113,MAX(1915,MIN(2025,E228))),SUMIFS(Donnees_generations!$Z$3:$Z$113,Donnees_generations!$A$3:$A$113,MAX(1915,MIN(2025,E228))),SUMIFS(Donnees_generations!$AA$3:$AA$113,Donnees_generations!$A$3:$A$113,MAX(1915,MIN(2025,E228))),SUMIFS(Donnees_generations!$AB$3:$AB$113,Donnees_generations!$A$3:$A$113,MAX(1915,MIN(2025,E228))))+CHOOSE(((AG228+2)-56)/2+1,SUMIFS(Donnees_generations!$AC$3:$AC$113,Donnees_generations!$A$3:$A$113,MAX(1915,MIN(2025,E228))),SUMIFS(Donnees_generations!$AD$3:$AD$113,Donnees_generations!$A$3:$A$113,MAX(1915,MIN(2025,E228))),SUMIFS(Donnees_generations!$AE$3:$AE$113,Donnees_generations!$A$3:$A$113,MAX(1915,MIN(2025,E228))),SUMIFS(Donnees_generations!$AF$3:$AF$113,Donnees_generations!$A$3:$A$113,MAX(1915,MIN(2025,E228))),SUMIFS(Donnees_generations!$AG$3:$AG$113,Donnees_generations!$A$3:$A$113,MAX(1915,MIN(2025,E228))),SUMIFS(Donnees_generations!$AH$3:$AH$113,Donnees_generations!$A$3:$A$113,MAX(1915,MIN(2025,E228))),SUMIFS(Donnees_generations!$AI$3:$AI$113,Donnees_generations!$A$3:$A$113,MAX(1915,MIN(2025,E228))),SUMIFS(Donnees_generations!$AJ$3:$AJ$113,Donnees_generations!$A$3:$A$113,MAX(1915,MIN(2025,E228)))))/2</f>
        <v/>
      </c>
      <c r="AJ228" s="8">
        <f>MAX(0,AH228+(AI228-AH228)*(K228-AG228)/2)</f>
        <v/>
      </c>
      <c r="AK228" s="8">
        <f>K228+AJ228</f>
        <v/>
      </c>
      <c r="AL228" s="14">
        <f>AE228*AJ228</f>
        <v/>
      </c>
      <c r="AM228" s="17">
        <f>V228/AL228</f>
        <v/>
      </c>
      <c r="AN228" s="17">
        <f>Z228/AL228</f>
        <v/>
      </c>
      <c r="AO228" s="33">
        <f>IF(V228+Z228=0,0,Z228/(V228+Z228))</f>
        <v/>
      </c>
      <c r="AP228" s="14">
        <f>AL228/V228*100</f>
        <v/>
      </c>
      <c r="AQ228" s="8">
        <f>P228/AL228*1000</f>
        <v/>
      </c>
      <c r="AR228" s="77">
        <f>MAX(N228,M228-1)</f>
        <v/>
      </c>
      <c r="AS228" s="14">
        <f>SUMIFS(Donnees_regimes!$R$3:$R$1118,Donnees_regimes!$A$3:$A$1118,C228,Donnees_regimes!$B$3:$B$1118,"&gt;="&amp;G228,Donnees_regimes!$B$3:$B$1118,"&lt;="&amp;N228)*L228/ROUNDUP(L228,0)*SUMIFS(Donnees_annuelles!$AG$3:$AG$188,Donnees_annuelles!$A$3:$A$188,AR228)*SUMIFS(Donnees_annuelles!$AA$3:$AA$188,Donnees_annuelles!$A$3:$A$188,AR228)</f>
        <v/>
      </c>
      <c r="AT228" s="36">
        <f>AS228/V228</f>
        <v/>
      </c>
      <c r="AU228" s="14">
        <f>AL228</f>
        <v/>
      </c>
      <c r="AV228" s="39">
        <f>AS228-AL228</f>
        <v/>
      </c>
      <c r="AW228" s="9">
        <f>AS228/AL228-1</f>
        <v/>
      </c>
      <c r="AX228" s="14">
        <f>AS228/AJ228/12</f>
        <v/>
      </c>
      <c r="AY228" s="14">
        <f>AF228</f>
        <v/>
      </c>
      <c r="AZ228" s="39">
        <f>AX228-AF228</f>
        <v/>
      </c>
      <c r="BA228" s="14">
        <f>SUMIFS(Donnees_regimes!$S$3:$S$1118,Donnees_regimes!$A$3:$A$1118,C228,Donnees_regimes!$B$3:$B$1118,"&gt;="&amp;G228,Donnees_regimes!$B$3:$B$1118,"&lt;="&amp;N228)*L228/ROUNDUP(L228,0)*SUMIFS(Donnees_annuelles!$AH$3:$AH$188,Donnees_annuelles!$A$3:$A$188,AR228)*SUMIFS(Donnees_annuelles!$AA$3:$AA$188,Donnees_annuelles!$A$3:$A$188,AR228)</f>
        <v/>
      </c>
      <c r="BB228" s="39">
        <f>BA228-AL228</f>
        <v/>
      </c>
      <c r="BC228" s="7">
        <f>IF(M228+AJ228&gt;2026,IF(G228&gt;2026,"entièrement projeté","en partie projeté"),"observé")</f>
        <v/>
      </c>
    </row>
    <row r="229">
      <c r="A229" s="7" t="inlineStr">
        <is>
          <t>Baby-boomers</t>
        </is>
      </c>
      <c r="B229" s="84" t="inlineStr">
        <is>
          <t>Fonction publique territoriale et hospitalière</t>
        </is>
      </c>
      <c r="C229" s="7">
        <f>IF(G229&gt;=SUMIFS(Regimes!$C$5:$C$10,Regimes!$A$5:$A$10,B229),"Privé",B229)</f>
        <v/>
      </c>
      <c r="D229" s="7">
        <f>INDEX(Regimes!$D$5:$D$10,MATCH(C229,Regimes!$A$5:$A$10,0))</f>
        <v/>
      </c>
      <c r="E229" s="88" t="n">
        <v>1958</v>
      </c>
      <c r="F229" s="8">
        <f>Donnees_generations!C46</f>
        <v/>
      </c>
      <c r="G229" s="77">
        <f>Donnees_generations!D46</f>
        <v/>
      </c>
      <c r="H229" s="8">
        <f>SUMIFS(Donnees_generations!$S$3:$S$113,Donnees_generations!$A$3:$A$113,MAX(1915,MIN(2025,E229)))</f>
        <v/>
      </c>
      <c r="I229" s="8">
        <f>SUMIFS(Donnees_generations!$T$3:$T$113,Donnees_generations!$A$3:$A$113,MAX(1915,MIN(2025,E229)))</f>
        <v/>
      </c>
      <c r="J229" s="8">
        <f>IF(G229&gt;=2000,MAX(I229,Parametres!$B$3),I229)</f>
        <v/>
      </c>
      <c r="K229" s="8">
        <f>IF(C229="Privé",J229,SUMIFS(Regles_regimes!$J$3:$J$2000,Regles_regimes!$A$3:$A$2000,C229,Regles_regimes!$B$3:$B$2000,D229,Regles_regimes!$C$3:$C$2000,MAX(1915,MIN(2025,E229))))</f>
        <v/>
      </c>
      <c r="L229" s="8">
        <f>IF(C229="Privé",H229,(K229-F229)*H229/(J229-F229))</f>
        <v/>
      </c>
      <c r="M229" s="77">
        <f>INT(E229+K229)</f>
        <v/>
      </c>
      <c r="N229" s="77">
        <f>G229+ROUNDUP(L229,0)-1</f>
        <v/>
      </c>
      <c r="O229" s="89">
        <f>SUMIFS(Regles_regimes!$K$3:$K$2000,Regles_regimes!$A$3:$A$2000,C229,Regles_regimes!$B$3:$B$2000,D229,Regles_regimes!$C$3:$C$2000,MAX(1915,MIN(2025,E229)))</f>
        <v/>
      </c>
      <c r="P229" s="13">
        <f>SUMIFS(Donnees_annuelles!$W$3:$W$188,Donnees_annuelles!$A$3:$A$188,"&gt;="&amp;G229,Donnees_annuelles!$A$3:$A$188,"&lt;="&amp;N229)*L229/ROUNDUP(L229,0)*O229</f>
        <v/>
      </c>
      <c r="Q229" s="13">
        <f>SUMIFS(Donnees_annuelles!$V$3:$V$188,Donnees_annuelles!$A$3:$A$188,"&gt;="&amp;G229,Donnees_annuelles!$A$3:$A$188,"&lt;="&amp;N229)*L229/ROUNDUP(L229,0)</f>
        <v/>
      </c>
      <c r="R229" s="13">
        <f>P229/L229</f>
        <v/>
      </c>
      <c r="S229" s="14">
        <f>SUMIFS(Donnees_annuelles!$D$3:$D$188,Donnees_annuelles!$A$3:$A$188,"&gt;="&amp;G229,Donnees_annuelles!$A$3:$A$188,"&lt;="&amp;N229)*L229/ROUNDUP(L229,0)</f>
        <v/>
      </c>
      <c r="T229" s="14">
        <f>SUMIFS(Donnees_regimes!$N$3:$N$1118,Donnees_regimes!$A$3:$A$1118,C229,Donnees_regimes!$B$3:$B$1118,"&gt;="&amp;G229,Donnees_regimes!$B$3:$B$1118,"&lt;="&amp;N229)*L229/ROUNDUP(L229,0)</f>
        <v/>
      </c>
      <c r="U229" s="14">
        <f>SUMIFS(Donnees_regimes!$O$3:$O$1118,Donnees_regimes!$A$3:$A$1118,C229,Donnees_regimes!$B$3:$B$1118,"&gt;="&amp;G229,Donnees_regimes!$B$3:$B$1118,"&lt;="&amp;N229)*L229/ROUNDUP(L229,0)</f>
        <v/>
      </c>
      <c r="V229" s="14">
        <f>T229+U229</f>
        <v/>
      </c>
      <c r="W229" s="33">
        <f>V229/S229</f>
        <v/>
      </c>
      <c r="X229" s="14">
        <f>S229+U229</f>
        <v/>
      </c>
      <c r="Y229" s="17">
        <f>V229/P229</f>
        <v/>
      </c>
      <c r="Z229" s="14">
        <f>SUMIFS(Donnees_regimes!$Q$3:$Q$1118,Donnees_regimes!$A$3:$A$1118,C229,Donnees_regimes!$B$3:$B$1118,"&gt;="&amp;G229,Donnees_regimes!$B$3:$B$1118,"&lt;="&amp;N229)*L229/ROUNDUP(L229,0)</f>
        <v/>
      </c>
      <c r="AA229" s="77">
        <f>SUMIFS(Regles_regimes!$F$3:$F$2000,Regles_regimes!$A$3:$A$2000,C229,Regles_regimes!$B$3:$B$2000,D229,Regles_regimes!$C$3:$C$2000,MAX(1915,MIN(2025,E229)))</f>
        <v/>
      </c>
      <c r="AB229" s="77">
        <f>IF(AND(SUMIFS(Regles_regimes!$L$3:$L$2000,Regles_regimes!$A$3:$A$2000,C229,Regles_regimes!$B$3:$B$2000,D229,Regles_regimes!$C$3:$C$2000,MAX(1915,MIN(2025,E229)))=1,G229&lt;2009,C229&lt;&gt;"Privé"),MIN(20,L229*4/5),0)</f>
        <v/>
      </c>
      <c r="AC229" s="89">
        <f>SUMIFS(Donnees_regimes!$M$3:$M$1118,Donnees_regimes!$A$3:$A$1118,C229,Donnees_regimes!$B$3:$B$1118,M229)</f>
        <v/>
      </c>
      <c r="AD229" s="14">
        <f>SUMIFS(Donnees_annuelles!$Y$3:$Y$188,Donnees_annuelles!$A$3:$A$188,M229)*SUMIFS(Donnees_generations!$I$3:$I$113,Donnees_generations!$A$3:$A$113,MAX(1915,MIN(2025,E229)))/H229</f>
        <v/>
      </c>
      <c r="AE229" s="14">
        <f>IF(C229="Privé",SUMIFS(Donnees_annuelles!$Y$3:$Y$188,Donnees_annuelles!$A$3:$A$188,M229)*MIN(L229,SUMIFS(Donnees_generations!$I$3:$I$113,Donnees_generations!$A$3:$A$113,MAX(1915,MIN(2025,E229))))/L229,AD229*AC229*MIN(IF(AB229&gt;0,0.8/0.75,1),(L229*4+AB229)/AA229))</f>
        <v/>
      </c>
      <c r="AF229" s="14">
        <f>AE229/12</f>
        <v/>
      </c>
      <c r="AG229" s="77">
        <f>MIN(68,MAX(56,2*INT(K229/2)))</f>
        <v/>
      </c>
      <c r="AH229" s="75">
        <f>(CHOOSE((AG229-56)/2+1,SUMIFS(Donnees_generations!$U$3:$U$113,Donnees_generations!$A$3:$A$113,MAX(1915,MIN(2025,E229))),SUMIFS(Donnees_generations!$V$3:$V$113,Donnees_generations!$A$3:$A$113,MAX(1915,MIN(2025,E229))),SUMIFS(Donnees_generations!$W$3:$W$113,Donnees_generations!$A$3:$A$113,MAX(1915,MIN(2025,E229))),SUMIFS(Donnees_generations!$X$3:$X$113,Donnees_generations!$A$3:$A$113,MAX(1915,MIN(2025,E229))),SUMIFS(Donnees_generations!$Y$3:$Y$113,Donnees_generations!$A$3:$A$113,MAX(1915,MIN(2025,E229))),SUMIFS(Donnees_generations!$Z$3:$Z$113,Donnees_generations!$A$3:$A$113,MAX(1915,MIN(2025,E229))),SUMIFS(Donnees_generations!$AA$3:$AA$113,Donnees_generations!$A$3:$A$113,MAX(1915,MIN(2025,E229))),SUMIFS(Donnees_generations!$AB$3:$AB$113,Donnees_generations!$A$3:$A$113,MAX(1915,MIN(2025,E229))))+CHOOSE((AG229-56)/2+1,SUMIFS(Donnees_generations!$AC$3:$AC$113,Donnees_generations!$A$3:$A$113,MAX(1915,MIN(2025,E229))),SUMIFS(Donnees_generations!$AD$3:$AD$113,Donnees_generations!$A$3:$A$113,MAX(1915,MIN(2025,E229))),SUMIFS(Donnees_generations!$AE$3:$AE$113,Donnees_generations!$A$3:$A$113,MAX(1915,MIN(2025,E229))),SUMIFS(Donnees_generations!$AF$3:$AF$113,Donnees_generations!$A$3:$A$113,MAX(1915,MIN(2025,E229))),SUMIFS(Donnees_generations!$AG$3:$AG$113,Donnees_generations!$A$3:$A$113,MAX(1915,MIN(2025,E229))),SUMIFS(Donnees_generations!$AH$3:$AH$113,Donnees_generations!$A$3:$A$113,MAX(1915,MIN(2025,E229))),SUMIFS(Donnees_generations!$AI$3:$AI$113,Donnees_generations!$A$3:$A$113,MAX(1915,MIN(2025,E229))),SUMIFS(Donnees_generations!$AJ$3:$AJ$113,Donnees_generations!$A$3:$A$113,MAX(1915,MIN(2025,E229)))))/2</f>
        <v/>
      </c>
      <c r="AI229" s="75">
        <f>(CHOOSE(((AG229+2)-56)/2+1,SUMIFS(Donnees_generations!$U$3:$U$113,Donnees_generations!$A$3:$A$113,MAX(1915,MIN(2025,E229))),SUMIFS(Donnees_generations!$V$3:$V$113,Donnees_generations!$A$3:$A$113,MAX(1915,MIN(2025,E229))),SUMIFS(Donnees_generations!$W$3:$W$113,Donnees_generations!$A$3:$A$113,MAX(1915,MIN(2025,E229))),SUMIFS(Donnees_generations!$X$3:$X$113,Donnees_generations!$A$3:$A$113,MAX(1915,MIN(2025,E229))),SUMIFS(Donnees_generations!$Y$3:$Y$113,Donnees_generations!$A$3:$A$113,MAX(1915,MIN(2025,E229))),SUMIFS(Donnees_generations!$Z$3:$Z$113,Donnees_generations!$A$3:$A$113,MAX(1915,MIN(2025,E229))),SUMIFS(Donnees_generations!$AA$3:$AA$113,Donnees_generations!$A$3:$A$113,MAX(1915,MIN(2025,E229))),SUMIFS(Donnees_generations!$AB$3:$AB$113,Donnees_generations!$A$3:$A$113,MAX(1915,MIN(2025,E229))))+CHOOSE(((AG229+2)-56)/2+1,SUMIFS(Donnees_generations!$AC$3:$AC$113,Donnees_generations!$A$3:$A$113,MAX(1915,MIN(2025,E229))),SUMIFS(Donnees_generations!$AD$3:$AD$113,Donnees_generations!$A$3:$A$113,MAX(1915,MIN(2025,E229))),SUMIFS(Donnees_generations!$AE$3:$AE$113,Donnees_generations!$A$3:$A$113,MAX(1915,MIN(2025,E229))),SUMIFS(Donnees_generations!$AF$3:$AF$113,Donnees_generations!$A$3:$A$113,MAX(1915,MIN(2025,E229))),SUMIFS(Donnees_generations!$AG$3:$AG$113,Donnees_generations!$A$3:$A$113,MAX(1915,MIN(2025,E229))),SUMIFS(Donnees_generations!$AH$3:$AH$113,Donnees_generations!$A$3:$A$113,MAX(1915,MIN(2025,E229))),SUMIFS(Donnees_generations!$AI$3:$AI$113,Donnees_generations!$A$3:$A$113,MAX(1915,MIN(2025,E229))),SUMIFS(Donnees_generations!$AJ$3:$AJ$113,Donnees_generations!$A$3:$A$113,MAX(1915,MIN(2025,E229)))))/2</f>
        <v/>
      </c>
      <c r="AJ229" s="8">
        <f>MAX(0,AH229+(AI229-AH229)*(K229-AG229)/2)</f>
        <v/>
      </c>
      <c r="AK229" s="8">
        <f>K229+AJ229</f>
        <v/>
      </c>
      <c r="AL229" s="14">
        <f>AE229*AJ229</f>
        <v/>
      </c>
      <c r="AM229" s="17">
        <f>V229/AL229</f>
        <v/>
      </c>
      <c r="AN229" s="17">
        <f>Z229/AL229</f>
        <v/>
      </c>
      <c r="AO229" s="33">
        <f>IF(V229+Z229=0,0,Z229/(V229+Z229))</f>
        <v/>
      </c>
      <c r="AP229" s="14">
        <f>AL229/V229*100</f>
        <v/>
      </c>
      <c r="AQ229" s="8">
        <f>P229/AL229*1000</f>
        <v/>
      </c>
      <c r="AR229" s="77">
        <f>MAX(N229,M229-1)</f>
        <v/>
      </c>
      <c r="AS229" s="14">
        <f>SUMIFS(Donnees_regimes!$R$3:$R$1118,Donnees_regimes!$A$3:$A$1118,C229,Donnees_regimes!$B$3:$B$1118,"&gt;="&amp;G229,Donnees_regimes!$B$3:$B$1118,"&lt;="&amp;N229)*L229/ROUNDUP(L229,0)*SUMIFS(Donnees_annuelles!$AG$3:$AG$188,Donnees_annuelles!$A$3:$A$188,AR229)*SUMIFS(Donnees_annuelles!$AA$3:$AA$188,Donnees_annuelles!$A$3:$A$188,AR229)</f>
        <v/>
      </c>
      <c r="AT229" s="36">
        <f>AS229/V229</f>
        <v/>
      </c>
      <c r="AU229" s="14">
        <f>AL229</f>
        <v/>
      </c>
      <c r="AV229" s="39">
        <f>AS229-AL229</f>
        <v/>
      </c>
      <c r="AW229" s="9">
        <f>AS229/AL229-1</f>
        <v/>
      </c>
      <c r="AX229" s="14">
        <f>AS229/AJ229/12</f>
        <v/>
      </c>
      <c r="AY229" s="14">
        <f>AF229</f>
        <v/>
      </c>
      <c r="AZ229" s="39">
        <f>AX229-AF229</f>
        <v/>
      </c>
      <c r="BA229" s="14">
        <f>SUMIFS(Donnees_regimes!$S$3:$S$1118,Donnees_regimes!$A$3:$A$1118,C229,Donnees_regimes!$B$3:$B$1118,"&gt;="&amp;G229,Donnees_regimes!$B$3:$B$1118,"&lt;="&amp;N229)*L229/ROUNDUP(L229,0)*SUMIFS(Donnees_annuelles!$AH$3:$AH$188,Donnees_annuelles!$A$3:$A$188,AR229)*SUMIFS(Donnees_annuelles!$AA$3:$AA$188,Donnees_annuelles!$A$3:$A$188,AR229)</f>
        <v/>
      </c>
      <c r="BB229" s="39">
        <f>BA229-AL229</f>
        <v/>
      </c>
      <c r="BC229" s="7">
        <f>IF(M229+AJ229&gt;2026,IF(G229&gt;2026,"entièrement projeté","en partie projeté"),"observé")</f>
        <v/>
      </c>
    </row>
    <row r="230">
      <c r="A230" s="7" t="inlineStr">
        <is>
          <t>Baby-boomers</t>
        </is>
      </c>
      <c r="B230" s="84" t="inlineStr">
        <is>
          <t>Fonction publique territoriale et hospitalière</t>
        </is>
      </c>
      <c r="C230" s="7">
        <f>IF(G230&gt;=SUMIFS(Regimes!$C$5:$C$10,Regimes!$A$5:$A$10,B230),"Privé",B230)</f>
        <v/>
      </c>
      <c r="D230" s="7">
        <f>INDEX(Regimes!$D$5:$D$10,MATCH(C230,Regimes!$A$5:$A$10,0))</f>
        <v/>
      </c>
      <c r="E230" s="88" t="n">
        <v>1959</v>
      </c>
      <c r="F230" s="8">
        <f>Donnees_generations!C47</f>
        <v/>
      </c>
      <c r="G230" s="77">
        <f>Donnees_generations!D47</f>
        <v/>
      </c>
      <c r="H230" s="8">
        <f>SUMIFS(Donnees_generations!$S$3:$S$113,Donnees_generations!$A$3:$A$113,MAX(1915,MIN(2025,E230)))</f>
        <v/>
      </c>
      <c r="I230" s="8">
        <f>SUMIFS(Donnees_generations!$T$3:$T$113,Donnees_generations!$A$3:$A$113,MAX(1915,MIN(2025,E230)))</f>
        <v/>
      </c>
      <c r="J230" s="8">
        <f>IF(G230&gt;=2000,MAX(I230,Parametres!$B$3),I230)</f>
        <v/>
      </c>
      <c r="K230" s="8">
        <f>IF(C230="Privé",J230,SUMIFS(Regles_regimes!$J$3:$J$2000,Regles_regimes!$A$3:$A$2000,C230,Regles_regimes!$B$3:$B$2000,D230,Regles_regimes!$C$3:$C$2000,MAX(1915,MIN(2025,E230))))</f>
        <v/>
      </c>
      <c r="L230" s="8">
        <f>IF(C230="Privé",H230,(K230-F230)*H230/(J230-F230))</f>
        <v/>
      </c>
      <c r="M230" s="77">
        <f>INT(E230+K230)</f>
        <v/>
      </c>
      <c r="N230" s="77">
        <f>G230+ROUNDUP(L230,0)-1</f>
        <v/>
      </c>
      <c r="O230" s="89">
        <f>SUMIFS(Regles_regimes!$K$3:$K$2000,Regles_regimes!$A$3:$A$2000,C230,Regles_regimes!$B$3:$B$2000,D230,Regles_regimes!$C$3:$C$2000,MAX(1915,MIN(2025,E230)))</f>
        <v/>
      </c>
      <c r="P230" s="13">
        <f>SUMIFS(Donnees_annuelles!$W$3:$W$188,Donnees_annuelles!$A$3:$A$188,"&gt;="&amp;G230,Donnees_annuelles!$A$3:$A$188,"&lt;="&amp;N230)*L230/ROUNDUP(L230,0)*O230</f>
        <v/>
      </c>
      <c r="Q230" s="13">
        <f>SUMIFS(Donnees_annuelles!$V$3:$V$188,Donnees_annuelles!$A$3:$A$188,"&gt;="&amp;G230,Donnees_annuelles!$A$3:$A$188,"&lt;="&amp;N230)*L230/ROUNDUP(L230,0)</f>
        <v/>
      </c>
      <c r="R230" s="13">
        <f>P230/L230</f>
        <v/>
      </c>
      <c r="S230" s="14">
        <f>SUMIFS(Donnees_annuelles!$D$3:$D$188,Donnees_annuelles!$A$3:$A$188,"&gt;="&amp;G230,Donnees_annuelles!$A$3:$A$188,"&lt;="&amp;N230)*L230/ROUNDUP(L230,0)</f>
        <v/>
      </c>
      <c r="T230" s="14">
        <f>SUMIFS(Donnees_regimes!$N$3:$N$1118,Donnees_regimes!$A$3:$A$1118,C230,Donnees_regimes!$B$3:$B$1118,"&gt;="&amp;G230,Donnees_regimes!$B$3:$B$1118,"&lt;="&amp;N230)*L230/ROUNDUP(L230,0)</f>
        <v/>
      </c>
      <c r="U230" s="14">
        <f>SUMIFS(Donnees_regimes!$O$3:$O$1118,Donnees_regimes!$A$3:$A$1118,C230,Donnees_regimes!$B$3:$B$1118,"&gt;="&amp;G230,Donnees_regimes!$B$3:$B$1118,"&lt;="&amp;N230)*L230/ROUNDUP(L230,0)</f>
        <v/>
      </c>
      <c r="V230" s="14">
        <f>T230+U230</f>
        <v/>
      </c>
      <c r="W230" s="33">
        <f>V230/S230</f>
        <v/>
      </c>
      <c r="X230" s="14">
        <f>S230+U230</f>
        <v/>
      </c>
      <c r="Y230" s="17">
        <f>V230/P230</f>
        <v/>
      </c>
      <c r="Z230" s="14">
        <f>SUMIFS(Donnees_regimes!$Q$3:$Q$1118,Donnees_regimes!$A$3:$A$1118,C230,Donnees_regimes!$B$3:$B$1118,"&gt;="&amp;G230,Donnees_regimes!$B$3:$B$1118,"&lt;="&amp;N230)*L230/ROUNDUP(L230,0)</f>
        <v/>
      </c>
      <c r="AA230" s="77">
        <f>SUMIFS(Regles_regimes!$F$3:$F$2000,Regles_regimes!$A$3:$A$2000,C230,Regles_regimes!$B$3:$B$2000,D230,Regles_regimes!$C$3:$C$2000,MAX(1915,MIN(2025,E230)))</f>
        <v/>
      </c>
      <c r="AB230" s="77">
        <f>IF(AND(SUMIFS(Regles_regimes!$L$3:$L$2000,Regles_regimes!$A$3:$A$2000,C230,Regles_regimes!$B$3:$B$2000,D230,Regles_regimes!$C$3:$C$2000,MAX(1915,MIN(2025,E230)))=1,G230&lt;2009,C230&lt;&gt;"Privé"),MIN(20,L230*4/5),0)</f>
        <v/>
      </c>
      <c r="AC230" s="89">
        <f>SUMIFS(Donnees_regimes!$M$3:$M$1118,Donnees_regimes!$A$3:$A$1118,C230,Donnees_regimes!$B$3:$B$1118,M230)</f>
        <v/>
      </c>
      <c r="AD230" s="14">
        <f>SUMIFS(Donnees_annuelles!$Y$3:$Y$188,Donnees_annuelles!$A$3:$A$188,M230)*SUMIFS(Donnees_generations!$I$3:$I$113,Donnees_generations!$A$3:$A$113,MAX(1915,MIN(2025,E230)))/H230</f>
        <v/>
      </c>
      <c r="AE230" s="14">
        <f>IF(C230="Privé",SUMIFS(Donnees_annuelles!$Y$3:$Y$188,Donnees_annuelles!$A$3:$A$188,M230)*MIN(L230,SUMIFS(Donnees_generations!$I$3:$I$113,Donnees_generations!$A$3:$A$113,MAX(1915,MIN(2025,E230))))/L230,AD230*AC230*MIN(IF(AB230&gt;0,0.8/0.75,1),(L230*4+AB230)/AA230))</f>
        <v/>
      </c>
      <c r="AF230" s="14">
        <f>AE230/12</f>
        <v/>
      </c>
      <c r="AG230" s="77">
        <f>MIN(68,MAX(56,2*INT(K230/2)))</f>
        <v/>
      </c>
      <c r="AH230" s="75">
        <f>(CHOOSE((AG230-56)/2+1,SUMIFS(Donnees_generations!$U$3:$U$113,Donnees_generations!$A$3:$A$113,MAX(1915,MIN(2025,E230))),SUMIFS(Donnees_generations!$V$3:$V$113,Donnees_generations!$A$3:$A$113,MAX(1915,MIN(2025,E230))),SUMIFS(Donnees_generations!$W$3:$W$113,Donnees_generations!$A$3:$A$113,MAX(1915,MIN(2025,E230))),SUMIFS(Donnees_generations!$X$3:$X$113,Donnees_generations!$A$3:$A$113,MAX(1915,MIN(2025,E230))),SUMIFS(Donnees_generations!$Y$3:$Y$113,Donnees_generations!$A$3:$A$113,MAX(1915,MIN(2025,E230))),SUMIFS(Donnees_generations!$Z$3:$Z$113,Donnees_generations!$A$3:$A$113,MAX(1915,MIN(2025,E230))),SUMIFS(Donnees_generations!$AA$3:$AA$113,Donnees_generations!$A$3:$A$113,MAX(1915,MIN(2025,E230))),SUMIFS(Donnees_generations!$AB$3:$AB$113,Donnees_generations!$A$3:$A$113,MAX(1915,MIN(2025,E230))))+CHOOSE((AG230-56)/2+1,SUMIFS(Donnees_generations!$AC$3:$AC$113,Donnees_generations!$A$3:$A$113,MAX(1915,MIN(2025,E230))),SUMIFS(Donnees_generations!$AD$3:$AD$113,Donnees_generations!$A$3:$A$113,MAX(1915,MIN(2025,E230))),SUMIFS(Donnees_generations!$AE$3:$AE$113,Donnees_generations!$A$3:$A$113,MAX(1915,MIN(2025,E230))),SUMIFS(Donnees_generations!$AF$3:$AF$113,Donnees_generations!$A$3:$A$113,MAX(1915,MIN(2025,E230))),SUMIFS(Donnees_generations!$AG$3:$AG$113,Donnees_generations!$A$3:$A$113,MAX(1915,MIN(2025,E230))),SUMIFS(Donnees_generations!$AH$3:$AH$113,Donnees_generations!$A$3:$A$113,MAX(1915,MIN(2025,E230))),SUMIFS(Donnees_generations!$AI$3:$AI$113,Donnees_generations!$A$3:$A$113,MAX(1915,MIN(2025,E230))),SUMIFS(Donnees_generations!$AJ$3:$AJ$113,Donnees_generations!$A$3:$A$113,MAX(1915,MIN(2025,E230)))))/2</f>
        <v/>
      </c>
      <c r="AI230" s="75">
        <f>(CHOOSE(((AG230+2)-56)/2+1,SUMIFS(Donnees_generations!$U$3:$U$113,Donnees_generations!$A$3:$A$113,MAX(1915,MIN(2025,E230))),SUMIFS(Donnees_generations!$V$3:$V$113,Donnees_generations!$A$3:$A$113,MAX(1915,MIN(2025,E230))),SUMIFS(Donnees_generations!$W$3:$W$113,Donnees_generations!$A$3:$A$113,MAX(1915,MIN(2025,E230))),SUMIFS(Donnees_generations!$X$3:$X$113,Donnees_generations!$A$3:$A$113,MAX(1915,MIN(2025,E230))),SUMIFS(Donnees_generations!$Y$3:$Y$113,Donnees_generations!$A$3:$A$113,MAX(1915,MIN(2025,E230))),SUMIFS(Donnees_generations!$Z$3:$Z$113,Donnees_generations!$A$3:$A$113,MAX(1915,MIN(2025,E230))),SUMIFS(Donnees_generations!$AA$3:$AA$113,Donnees_generations!$A$3:$A$113,MAX(1915,MIN(2025,E230))),SUMIFS(Donnees_generations!$AB$3:$AB$113,Donnees_generations!$A$3:$A$113,MAX(1915,MIN(2025,E230))))+CHOOSE(((AG230+2)-56)/2+1,SUMIFS(Donnees_generations!$AC$3:$AC$113,Donnees_generations!$A$3:$A$113,MAX(1915,MIN(2025,E230))),SUMIFS(Donnees_generations!$AD$3:$AD$113,Donnees_generations!$A$3:$A$113,MAX(1915,MIN(2025,E230))),SUMIFS(Donnees_generations!$AE$3:$AE$113,Donnees_generations!$A$3:$A$113,MAX(1915,MIN(2025,E230))),SUMIFS(Donnees_generations!$AF$3:$AF$113,Donnees_generations!$A$3:$A$113,MAX(1915,MIN(2025,E230))),SUMIFS(Donnees_generations!$AG$3:$AG$113,Donnees_generations!$A$3:$A$113,MAX(1915,MIN(2025,E230))),SUMIFS(Donnees_generations!$AH$3:$AH$113,Donnees_generations!$A$3:$A$113,MAX(1915,MIN(2025,E230))),SUMIFS(Donnees_generations!$AI$3:$AI$113,Donnees_generations!$A$3:$A$113,MAX(1915,MIN(2025,E230))),SUMIFS(Donnees_generations!$AJ$3:$AJ$113,Donnees_generations!$A$3:$A$113,MAX(1915,MIN(2025,E230)))))/2</f>
        <v/>
      </c>
      <c r="AJ230" s="8">
        <f>MAX(0,AH230+(AI230-AH230)*(K230-AG230)/2)</f>
        <v/>
      </c>
      <c r="AK230" s="8">
        <f>K230+AJ230</f>
        <v/>
      </c>
      <c r="AL230" s="14">
        <f>AE230*AJ230</f>
        <v/>
      </c>
      <c r="AM230" s="17">
        <f>V230/AL230</f>
        <v/>
      </c>
      <c r="AN230" s="17">
        <f>Z230/AL230</f>
        <v/>
      </c>
      <c r="AO230" s="33">
        <f>IF(V230+Z230=0,0,Z230/(V230+Z230))</f>
        <v/>
      </c>
      <c r="AP230" s="14">
        <f>AL230/V230*100</f>
        <v/>
      </c>
      <c r="AQ230" s="8">
        <f>P230/AL230*1000</f>
        <v/>
      </c>
      <c r="AR230" s="77">
        <f>MAX(N230,M230-1)</f>
        <v/>
      </c>
      <c r="AS230" s="14">
        <f>SUMIFS(Donnees_regimes!$R$3:$R$1118,Donnees_regimes!$A$3:$A$1118,C230,Donnees_regimes!$B$3:$B$1118,"&gt;="&amp;G230,Donnees_regimes!$B$3:$B$1118,"&lt;="&amp;N230)*L230/ROUNDUP(L230,0)*SUMIFS(Donnees_annuelles!$AG$3:$AG$188,Donnees_annuelles!$A$3:$A$188,AR230)*SUMIFS(Donnees_annuelles!$AA$3:$AA$188,Donnees_annuelles!$A$3:$A$188,AR230)</f>
        <v/>
      </c>
      <c r="AT230" s="36">
        <f>AS230/V230</f>
        <v/>
      </c>
      <c r="AU230" s="14">
        <f>AL230</f>
        <v/>
      </c>
      <c r="AV230" s="39">
        <f>AS230-AL230</f>
        <v/>
      </c>
      <c r="AW230" s="9">
        <f>AS230/AL230-1</f>
        <v/>
      </c>
      <c r="AX230" s="14">
        <f>AS230/AJ230/12</f>
        <v/>
      </c>
      <c r="AY230" s="14">
        <f>AF230</f>
        <v/>
      </c>
      <c r="AZ230" s="39">
        <f>AX230-AF230</f>
        <v/>
      </c>
      <c r="BA230" s="14">
        <f>SUMIFS(Donnees_regimes!$S$3:$S$1118,Donnees_regimes!$A$3:$A$1118,C230,Donnees_regimes!$B$3:$B$1118,"&gt;="&amp;G230,Donnees_regimes!$B$3:$B$1118,"&lt;="&amp;N230)*L230/ROUNDUP(L230,0)*SUMIFS(Donnees_annuelles!$AH$3:$AH$188,Donnees_annuelles!$A$3:$A$188,AR230)*SUMIFS(Donnees_annuelles!$AA$3:$AA$188,Donnees_annuelles!$A$3:$A$188,AR230)</f>
        <v/>
      </c>
      <c r="BB230" s="39">
        <f>BA230-AL230</f>
        <v/>
      </c>
      <c r="BC230" s="7">
        <f>IF(M230+AJ230&gt;2026,IF(G230&gt;2026,"entièrement projeté","en partie projeté"),"observé")</f>
        <v/>
      </c>
    </row>
    <row r="231">
      <c r="A231" s="7" t="inlineStr">
        <is>
          <t>Baby-boomers</t>
        </is>
      </c>
      <c r="B231" s="84" t="inlineStr">
        <is>
          <t>Fonction publique territoriale et hospitalière</t>
        </is>
      </c>
      <c r="C231" s="7">
        <f>IF(G231&gt;=SUMIFS(Regimes!$C$5:$C$10,Regimes!$A$5:$A$10,B231),"Privé",B231)</f>
        <v/>
      </c>
      <c r="D231" s="7">
        <f>INDEX(Regimes!$D$5:$D$10,MATCH(C231,Regimes!$A$5:$A$10,0))</f>
        <v/>
      </c>
      <c r="E231" s="88" t="n">
        <v>1960</v>
      </c>
      <c r="F231" s="8">
        <f>Donnees_generations!C48</f>
        <v/>
      </c>
      <c r="G231" s="77">
        <f>Donnees_generations!D48</f>
        <v/>
      </c>
      <c r="H231" s="8">
        <f>SUMIFS(Donnees_generations!$S$3:$S$113,Donnees_generations!$A$3:$A$113,MAX(1915,MIN(2025,E231)))</f>
        <v/>
      </c>
      <c r="I231" s="8">
        <f>SUMIFS(Donnees_generations!$T$3:$T$113,Donnees_generations!$A$3:$A$113,MAX(1915,MIN(2025,E231)))</f>
        <v/>
      </c>
      <c r="J231" s="8">
        <f>IF(G231&gt;=2000,MAX(I231,Parametres!$B$3),I231)</f>
        <v/>
      </c>
      <c r="K231" s="8">
        <f>IF(C231="Privé",J231,SUMIFS(Regles_regimes!$J$3:$J$2000,Regles_regimes!$A$3:$A$2000,C231,Regles_regimes!$B$3:$B$2000,D231,Regles_regimes!$C$3:$C$2000,MAX(1915,MIN(2025,E231))))</f>
        <v/>
      </c>
      <c r="L231" s="8">
        <f>IF(C231="Privé",H231,(K231-F231)*H231/(J231-F231))</f>
        <v/>
      </c>
      <c r="M231" s="77">
        <f>INT(E231+K231)</f>
        <v/>
      </c>
      <c r="N231" s="77">
        <f>G231+ROUNDUP(L231,0)-1</f>
        <v/>
      </c>
      <c r="O231" s="89">
        <f>SUMIFS(Regles_regimes!$K$3:$K$2000,Regles_regimes!$A$3:$A$2000,C231,Regles_regimes!$B$3:$B$2000,D231,Regles_regimes!$C$3:$C$2000,MAX(1915,MIN(2025,E231)))</f>
        <v/>
      </c>
      <c r="P231" s="13">
        <f>SUMIFS(Donnees_annuelles!$W$3:$W$188,Donnees_annuelles!$A$3:$A$188,"&gt;="&amp;G231,Donnees_annuelles!$A$3:$A$188,"&lt;="&amp;N231)*L231/ROUNDUP(L231,0)*O231</f>
        <v/>
      </c>
      <c r="Q231" s="13">
        <f>SUMIFS(Donnees_annuelles!$V$3:$V$188,Donnees_annuelles!$A$3:$A$188,"&gt;="&amp;G231,Donnees_annuelles!$A$3:$A$188,"&lt;="&amp;N231)*L231/ROUNDUP(L231,0)</f>
        <v/>
      </c>
      <c r="R231" s="13">
        <f>P231/L231</f>
        <v/>
      </c>
      <c r="S231" s="14">
        <f>SUMIFS(Donnees_annuelles!$D$3:$D$188,Donnees_annuelles!$A$3:$A$188,"&gt;="&amp;G231,Donnees_annuelles!$A$3:$A$188,"&lt;="&amp;N231)*L231/ROUNDUP(L231,0)</f>
        <v/>
      </c>
      <c r="T231" s="14">
        <f>SUMIFS(Donnees_regimes!$N$3:$N$1118,Donnees_regimes!$A$3:$A$1118,C231,Donnees_regimes!$B$3:$B$1118,"&gt;="&amp;G231,Donnees_regimes!$B$3:$B$1118,"&lt;="&amp;N231)*L231/ROUNDUP(L231,0)</f>
        <v/>
      </c>
      <c r="U231" s="14">
        <f>SUMIFS(Donnees_regimes!$O$3:$O$1118,Donnees_regimes!$A$3:$A$1118,C231,Donnees_regimes!$B$3:$B$1118,"&gt;="&amp;G231,Donnees_regimes!$B$3:$B$1118,"&lt;="&amp;N231)*L231/ROUNDUP(L231,0)</f>
        <v/>
      </c>
      <c r="V231" s="14">
        <f>T231+U231</f>
        <v/>
      </c>
      <c r="W231" s="33">
        <f>V231/S231</f>
        <v/>
      </c>
      <c r="X231" s="14">
        <f>S231+U231</f>
        <v/>
      </c>
      <c r="Y231" s="17">
        <f>V231/P231</f>
        <v/>
      </c>
      <c r="Z231" s="14">
        <f>SUMIFS(Donnees_regimes!$Q$3:$Q$1118,Donnees_regimes!$A$3:$A$1118,C231,Donnees_regimes!$B$3:$B$1118,"&gt;="&amp;G231,Donnees_regimes!$B$3:$B$1118,"&lt;="&amp;N231)*L231/ROUNDUP(L231,0)</f>
        <v/>
      </c>
      <c r="AA231" s="77">
        <f>SUMIFS(Regles_regimes!$F$3:$F$2000,Regles_regimes!$A$3:$A$2000,C231,Regles_regimes!$B$3:$B$2000,D231,Regles_regimes!$C$3:$C$2000,MAX(1915,MIN(2025,E231)))</f>
        <v/>
      </c>
      <c r="AB231" s="77">
        <f>IF(AND(SUMIFS(Regles_regimes!$L$3:$L$2000,Regles_regimes!$A$3:$A$2000,C231,Regles_regimes!$B$3:$B$2000,D231,Regles_regimes!$C$3:$C$2000,MAX(1915,MIN(2025,E231)))=1,G231&lt;2009,C231&lt;&gt;"Privé"),MIN(20,L231*4/5),0)</f>
        <v/>
      </c>
      <c r="AC231" s="89">
        <f>SUMIFS(Donnees_regimes!$M$3:$M$1118,Donnees_regimes!$A$3:$A$1118,C231,Donnees_regimes!$B$3:$B$1118,M231)</f>
        <v/>
      </c>
      <c r="AD231" s="14">
        <f>SUMIFS(Donnees_annuelles!$Y$3:$Y$188,Donnees_annuelles!$A$3:$A$188,M231)*SUMIFS(Donnees_generations!$I$3:$I$113,Donnees_generations!$A$3:$A$113,MAX(1915,MIN(2025,E231)))/H231</f>
        <v/>
      </c>
      <c r="AE231" s="14">
        <f>IF(C231="Privé",SUMIFS(Donnees_annuelles!$Y$3:$Y$188,Donnees_annuelles!$A$3:$A$188,M231)*MIN(L231,SUMIFS(Donnees_generations!$I$3:$I$113,Donnees_generations!$A$3:$A$113,MAX(1915,MIN(2025,E231))))/L231,AD231*AC231*MIN(IF(AB231&gt;0,0.8/0.75,1),(L231*4+AB231)/AA231))</f>
        <v/>
      </c>
      <c r="AF231" s="14">
        <f>AE231/12</f>
        <v/>
      </c>
      <c r="AG231" s="77">
        <f>MIN(68,MAX(56,2*INT(K231/2)))</f>
        <v/>
      </c>
      <c r="AH231" s="75">
        <f>(CHOOSE((AG231-56)/2+1,SUMIFS(Donnees_generations!$U$3:$U$113,Donnees_generations!$A$3:$A$113,MAX(1915,MIN(2025,E231))),SUMIFS(Donnees_generations!$V$3:$V$113,Donnees_generations!$A$3:$A$113,MAX(1915,MIN(2025,E231))),SUMIFS(Donnees_generations!$W$3:$W$113,Donnees_generations!$A$3:$A$113,MAX(1915,MIN(2025,E231))),SUMIFS(Donnees_generations!$X$3:$X$113,Donnees_generations!$A$3:$A$113,MAX(1915,MIN(2025,E231))),SUMIFS(Donnees_generations!$Y$3:$Y$113,Donnees_generations!$A$3:$A$113,MAX(1915,MIN(2025,E231))),SUMIFS(Donnees_generations!$Z$3:$Z$113,Donnees_generations!$A$3:$A$113,MAX(1915,MIN(2025,E231))),SUMIFS(Donnees_generations!$AA$3:$AA$113,Donnees_generations!$A$3:$A$113,MAX(1915,MIN(2025,E231))),SUMIFS(Donnees_generations!$AB$3:$AB$113,Donnees_generations!$A$3:$A$113,MAX(1915,MIN(2025,E231))))+CHOOSE((AG231-56)/2+1,SUMIFS(Donnees_generations!$AC$3:$AC$113,Donnees_generations!$A$3:$A$113,MAX(1915,MIN(2025,E231))),SUMIFS(Donnees_generations!$AD$3:$AD$113,Donnees_generations!$A$3:$A$113,MAX(1915,MIN(2025,E231))),SUMIFS(Donnees_generations!$AE$3:$AE$113,Donnees_generations!$A$3:$A$113,MAX(1915,MIN(2025,E231))),SUMIFS(Donnees_generations!$AF$3:$AF$113,Donnees_generations!$A$3:$A$113,MAX(1915,MIN(2025,E231))),SUMIFS(Donnees_generations!$AG$3:$AG$113,Donnees_generations!$A$3:$A$113,MAX(1915,MIN(2025,E231))),SUMIFS(Donnees_generations!$AH$3:$AH$113,Donnees_generations!$A$3:$A$113,MAX(1915,MIN(2025,E231))),SUMIFS(Donnees_generations!$AI$3:$AI$113,Donnees_generations!$A$3:$A$113,MAX(1915,MIN(2025,E231))),SUMIFS(Donnees_generations!$AJ$3:$AJ$113,Donnees_generations!$A$3:$A$113,MAX(1915,MIN(2025,E231)))))/2</f>
        <v/>
      </c>
      <c r="AI231" s="75">
        <f>(CHOOSE(((AG231+2)-56)/2+1,SUMIFS(Donnees_generations!$U$3:$U$113,Donnees_generations!$A$3:$A$113,MAX(1915,MIN(2025,E231))),SUMIFS(Donnees_generations!$V$3:$V$113,Donnees_generations!$A$3:$A$113,MAX(1915,MIN(2025,E231))),SUMIFS(Donnees_generations!$W$3:$W$113,Donnees_generations!$A$3:$A$113,MAX(1915,MIN(2025,E231))),SUMIFS(Donnees_generations!$X$3:$X$113,Donnees_generations!$A$3:$A$113,MAX(1915,MIN(2025,E231))),SUMIFS(Donnees_generations!$Y$3:$Y$113,Donnees_generations!$A$3:$A$113,MAX(1915,MIN(2025,E231))),SUMIFS(Donnees_generations!$Z$3:$Z$113,Donnees_generations!$A$3:$A$113,MAX(1915,MIN(2025,E231))),SUMIFS(Donnees_generations!$AA$3:$AA$113,Donnees_generations!$A$3:$A$113,MAX(1915,MIN(2025,E231))),SUMIFS(Donnees_generations!$AB$3:$AB$113,Donnees_generations!$A$3:$A$113,MAX(1915,MIN(2025,E231))))+CHOOSE(((AG231+2)-56)/2+1,SUMIFS(Donnees_generations!$AC$3:$AC$113,Donnees_generations!$A$3:$A$113,MAX(1915,MIN(2025,E231))),SUMIFS(Donnees_generations!$AD$3:$AD$113,Donnees_generations!$A$3:$A$113,MAX(1915,MIN(2025,E231))),SUMIFS(Donnees_generations!$AE$3:$AE$113,Donnees_generations!$A$3:$A$113,MAX(1915,MIN(2025,E231))),SUMIFS(Donnees_generations!$AF$3:$AF$113,Donnees_generations!$A$3:$A$113,MAX(1915,MIN(2025,E231))),SUMIFS(Donnees_generations!$AG$3:$AG$113,Donnees_generations!$A$3:$A$113,MAX(1915,MIN(2025,E231))),SUMIFS(Donnees_generations!$AH$3:$AH$113,Donnees_generations!$A$3:$A$113,MAX(1915,MIN(2025,E231))),SUMIFS(Donnees_generations!$AI$3:$AI$113,Donnees_generations!$A$3:$A$113,MAX(1915,MIN(2025,E231))),SUMIFS(Donnees_generations!$AJ$3:$AJ$113,Donnees_generations!$A$3:$A$113,MAX(1915,MIN(2025,E231)))))/2</f>
        <v/>
      </c>
      <c r="AJ231" s="8">
        <f>MAX(0,AH231+(AI231-AH231)*(K231-AG231)/2)</f>
        <v/>
      </c>
      <c r="AK231" s="8">
        <f>K231+AJ231</f>
        <v/>
      </c>
      <c r="AL231" s="14">
        <f>AE231*AJ231</f>
        <v/>
      </c>
      <c r="AM231" s="17">
        <f>V231/AL231</f>
        <v/>
      </c>
      <c r="AN231" s="17">
        <f>Z231/AL231</f>
        <v/>
      </c>
      <c r="AO231" s="33">
        <f>IF(V231+Z231=0,0,Z231/(V231+Z231))</f>
        <v/>
      </c>
      <c r="AP231" s="14">
        <f>AL231/V231*100</f>
        <v/>
      </c>
      <c r="AQ231" s="8">
        <f>P231/AL231*1000</f>
        <v/>
      </c>
      <c r="AR231" s="77">
        <f>MAX(N231,M231-1)</f>
        <v/>
      </c>
      <c r="AS231" s="14">
        <f>SUMIFS(Donnees_regimes!$R$3:$R$1118,Donnees_regimes!$A$3:$A$1118,C231,Donnees_regimes!$B$3:$B$1118,"&gt;="&amp;G231,Donnees_regimes!$B$3:$B$1118,"&lt;="&amp;N231)*L231/ROUNDUP(L231,0)*SUMIFS(Donnees_annuelles!$AG$3:$AG$188,Donnees_annuelles!$A$3:$A$188,AR231)*SUMIFS(Donnees_annuelles!$AA$3:$AA$188,Donnees_annuelles!$A$3:$A$188,AR231)</f>
        <v/>
      </c>
      <c r="AT231" s="36">
        <f>AS231/V231</f>
        <v/>
      </c>
      <c r="AU231" s="14">
        <f>AL231</f>
        <v/>
      </c>
      <c r="AV231" s="39">
        <f>AS231-AL231</f>
        <v/>
      </c>
      <c r="AW231" s="9">
        <f>AS231/AL231-1</f>
        <v/>
      </c>
      <c r="AX231" s="14">
        <f>AS231/AJ231/12</f>
        <v/>
      </c>
      <c r="AY231" s="14">
        <f>AF231</f>
        <v/>
      </c>
      <c r="AZ231" s="39">
        <f>AX231-AF231</f>
        <v/>
      </c>
      <c r="BA231" s="14">
        <f>SUMIFS(Donnees_regimes!$S$3:$S$1118,Donnees_regimes!$A$3:$A$1118,C231,Donnees_regimes!$B$3:$B$1118,"&gt;="&amp;G231,Donnees_regimes!$B$3:$B$1118,"&lt;="&amp;N231)*L231/ROUNDUP(L231,0)*SUMIFS(Donnees_annuelles!$AH$3:$AH$188,Donnees_annuelles!$A$3:$A$188,AR231)*SUMIFS(Donnees_annuelles!$AA$3:$AA$188,Donnees_annuelles!$A$3:$A$188,AR231)</f>
        <v/>
      </c>
      <c r="BB231" s="39">
        <f>BA231-AL231</f>
        <v/>
      </c>
      <c r="BC231" s="7">
        <f>IF(M231+AJ231&gt;2026,IF(G231&gt;2026,"entièrement projeté","en partie projeté"),"observé")</f>
        <v/>
      </c>
    </row>
    <row r="232">
      <c r="A232" s="7" t="inlineStr">
        <is>
          <t>Baby-boomers</t>
        </is>
      </c>
      <c r="B232" s="84" t="inlineStr">
        <is>
          <t>Fonction publique territoriale et hospitalière</t>
        </is>
      </c>
      <c r="C232" s="7">
        <f>IF(G232&gt;=SUMIFS(Regimes!$C$5:$C$10,Regimes!$A$5:$A$10,B232),"Privé",B232)</f>
        <v/>
      </c>
      <c r="D232" s="7">
        <f>INDEX(Regimes!$D$5:$D$10,MATCH(C232,Regimes!$A$5:$A$10,0))</f>
        <v/>
      </c>
      <c r="E232" s="88" t="n">
        <v>1961</v>
      </c>
      <c r="F232" s="8">
        <f>Donnees_generations!C49</f>
        <v/>
      </c>
      <c r="G232" s="77">
        <f>Donnees_generations!D49</f>
        <v/>
      </c>
      <c r="H232" s="8">
        <f>SUMIFS(Donnees_generations!$S$3:$S$113,Donnees_generations!$A$3:$A$113,MAX(1915,MIN(2025,E232)))</f>
        <v/>
      </c>
      <c r="I232" s="8">
        <f>SUMIFS(Donnees_generations!$T$3:$T$113,Donnees_generations!$A$3:$A$113,MAX(1915,MIN(2025,E232)))</f>
        <v/>
      </c>
      <c r="J232" s="8">
        <f>IF(G232&gt;=2000,MAX(I232,Parametres!$B$3),I232)</f>
        <v/>
      </c>
      <c r="K232" s="8">
        <f>IF(C232="Privé",J232,SUMIFS(Regles_regimes!$J$3:$J$2000,Regles_regimes!$A$3:$A$2000,C232,Regles_regimes!$B$3:$B$2000,D232,Regles_regimes!$C$3:$C$2000,MAX(1915,MIN(2025,E232))))</f>
        <v/>
      </c>
      <c r="L232" s="8">
        <f>IF(C232="Privé",H232,(K232-F232)*H232/(J232-F232))</f>
        <v/>
      </c>
      <c r="M232" s="77">
        <f>INT(E232+K232)</f>
        <v/>
      </c>
      <c r="N232" s="77">
        <f>G232+ROUNDUP(L232,0)-1</f>
        <v/>
      </c>
      <c r="O232" s="89">
        <f>SUMIFS(Regles_regimes!$K$3:$K$2000,Regles_regimes!$A$3:$A$2000,C232,Regles_regimes!$B$3:$B$2000,D232,Regles_regimes!$C$3:$C$2000,MAX(1915,MIN(2025,E232)))</f>
        <v/>
      </c>
      <c r="P232" s="13">
        <f>SUMIFS(Donnees_annuelles!$W$3:$W$188,Donnees_annuelles!$A$3:$A$188,"&gt;="&amp;G232,Donnees_annuelles!$A$3:$A$188,"&lt;="&amp;N232)*L232/ROUNDUP(L232,0)*O232</f>
        <v/>
      </c>
      <c r="Q232" s="13">
        <f>SUMIFS(Donnees_annuelles!$V$3:$V$188,Donnees_annuelles!$A$3:$A$188,"&gt;="&amp;G232,Donnees_annuelles!$A$3:$A$188,"&lt;="&amp;N232)*L232/ROUNDUP(L232,0)</f>
        <v/>
      </c>
      <c r="R232" s="13">
        <f>P232/L232</f>
        <v/>
      </c>
      <c r="S232" s="14">
        <f>SUMIFS(Donnees_annuelles!$D$3:$D$188,Donnees_annuelles!$A$3:$A$188,"&gt;="&amp;G232,Donnees_annuelles!$A$3:$A$188,"&lt;="&amp;N232)*L232/ROUNDUP(L232,0)</f>
        <v/>
      </c>
      <c r="T232" s="14">
        <f>SUMIFS(Donnees_regimes!$N$3:$N$1118,Donnees_regimes!$A$3:$A$1118,C232,Donnees_regimes!$B$3:$B$1118,"&gt;="&amp;G232,Donnees_regimes!$B$3:$B$1118,"&lt;="&amp;N232)*L232/ROUNDUP(L232,0)</f>
        <v/>
      </c>
      <c r="U232" s="14">
        <f>SUMIFS(Donnees_regimes!$O$3:$O$1118,Donnees_regimes!$A$3:$A$1118,C232,Donnees_regimes!$B$3:$B$1118,"&gt;="&amp;G232,Donnees_regimes!$B$3:$B$1118,"&lt;="&amp;N232)*L232/ROUNDUP(L232,0)</f>
        <v/>
      </c>
      <c r="V232" s="14">
        <f>T232+U232</f>
        <v/>
      </c>
      <c r="W232" s="33">
        <f>V232/S232</f>
        <v/>
      </c>
      <c r="X232" s="14">
        <f>S232+U232</f>
        <v/>
      </c>
      <c r="Y232" s="17">
        <f>V232/P232</f>
        <v/>
      </c>
      <c r="Z232" s="14">
        <f>SUMIFS(Donnees_regimes!$Q$3:$Q$1118,Donnees_regimes!$A$3:$A$1118,C232,Donnees_regimes!$B$3:$B$1118,"&gt;="&amp;G232,Donnees_regimes!$B$3:$B$1118,"&lt;="&amp;N232)*L232/ROUNDUP(L232,0)</f>
        <v/>
      </c>
      <c r="AA232" s="77">
        <f>SUMIFS(Regles_regimes!$F$3:$F$2000,Regles_regimes!$A$3:$A$2000,C232,Regles_regimes!$B$3:$B$2000,D232,Regles_regimes!$C$3:$C$2000,MAX(1915,MIN(2025,E232)))</f>
        <v/>
      </c>
      <c r="AB232" s="77">
        <f>IF(AND(SUMIFS(Regles_regimes!$L$3:$L$2000,Regles_regimes!$A$3:$A$2000,C232,Regles_regimes!$B$3:$B$2000,D232,Regles_regimes!$C$3:$C$2000,MAX(1915,MIN(2025,E232)))=1,G232&lt;2009,C232&lt;&gt;"Privé"),MIN(20,L232*4/5),0)</f>
        <v/>
      </c>
      <c r="AC232" s="89">
        <f>SUMIFS(Donnees_regimes!$M$3:$M$1118,Donnees_regimes!$A$3:$A$1118,C232,Donnees_regimes!$B$3:$B$1118,M232)</f>
        <v/>
      </c>
      <c r="AD232" s="14">
        <f>SUMIFS(Donnees_annuelles!$Y$3:$Y$188,Donnees_annuelles!$A$3:$A$188,M232)*SUMIFS(Donnees_generations!$I$3:$I$113,Donnees_generations!$A$3:$A$113,MAX(1915,MIN(2025,E232)))/H232</f>
        <v/>
      </c>
      <c r="AE232" s="14">
        <f>IF(C232="Privé",SUMIFS(Donnees_annuelles!$Y$3:$Y$188,Donnees_annuelles!$A$3:$A$188,M232)*MIN(L232,SUMIFS(Donnees_generations!$I$3:$I$113,Donnees_generations!$A$3:$A$113,MAX(1915,MIN(2025,E232))))/L232,AD232*AC232*MIN(IF(AB232&gt;0,0.8/0.75,1),(L232*4+AB232)/AA232))</f>
        <v/>
      </c>
      <c r="AF232" s="14">
        <f>AE232/12</f>
        <v/>
      </c>
      <c r="AG232" s="77">
        <f>MIN(68,MAX(56,2*INT(K232/2)))</f>
        <v/>
      </c>
      <c r="AH232" s="75">
        <f>(CHOOSE((AG232-56)/2+1,SUMIFS(Donnees_generations!$U$3:$U$113,Donnees_generations!$A$3:$A$113,MAX(1915,MIN(2025,E232))),SUMIFS(Donnees_generations!$V$3:$V$113,Donnees_generations!$A$3:$A$113,MAX(1915,MIN(2025,E232))),SUMIFS(Donnees_generations!$W$3:$W$113,Donnees_generations!$A$3:$A$113,MAX(1915,MIN(2025,E232))),SUMIFS(Donnees_generations!$X$3:$X$113,Donnees_generations!$A$3:$A$113,MAX(1915,MIN(2025,E232))),SUMIFS(Donnees_generations!$Y$3:$Y$113,Donnees_generations!$A$3:$A$113,MAX(1915,MIN(2025,E232))),SUMIFS(Donnees_generations!$Z$3:$Z$113,Donnees_generations!$A$3:$A$113,MAX(1915,MIN(2025,E232))),SUMIFS(Donnees_generations!$AA$3:$AA$113,Donnees_generations!$A$3:$A$113,MAX(1915,MIN(2025,E232))),SUMIFS(Donnees_generations!$AB$3:$AB$113,Donnees_generations!$A$3:$A$113,MAX(1915,MIN(2025,E232))))+CHOOSE((AG232-56)/2+1,SUMIFS(Donnees_generations!$AC$3:$AC$113,Donnees_generations!$A$3:$A$113,MAX(1915,MIN(2025,E232))),SUMIFS(Donnees_generations!$AD$3:$AD$113,Donnees_generations!$A$3:$A$113,MAX(1915,MIN(2025,E232))),SUMIFS(Donnees_generations!$AE$3:$AE$113,Donnees_generations!$A$3:$A$113,MAX(1915,MIN(2025,E232))),SUMIFS(Donnees_generations!$AF$3:$AF$113,Donnees_generations!$A$3:$A$113,MAX(1915,MIN(2025,E232))),SUMIFS(Donnees_generations!$AG$3:$AG$113,Donnees_generations!$A$3:$A$113,MAX(1915,MIN(2025,E232))),SUMIFS(Donnees_generations!$AH$3:$AH$113,Donnees_generations!$A$3:$A$113,MAX(1915,MIN(2025,E232))),SUMIFS(Donnees_generations!$AI$3:$AI$113,Donnees_generations!$A$3:$A$113,MAX(1915,MIN(2025,E232))),SUMIFS(Donnees_generations!$AJ$3:$AJ$113,Donnees_generations!$A$3:$A$113,MAX(1915,MIN(2025,E232)))))/2</f>
        <v/>
      </c>
      <c r="AI232" s="75">
        <f>(CHOOSE(((AG232+2)-56)/2+1,SUMIFS(Donnees_generations!$U$3:$U$113,Donnees_generations!$A$3:$A$113,MAX(1915,MIN(2025,E232))),SUMIFS(Donnees_generations!$V$3:$V$113,Donnees_generations!$A$3:$A$113,MAX(1915,MIN(2025,E232))),SUMIFS(Donnees_generations!$W$3:$W$113,Donnees_generations!$A$3:$A$113,MAX(1915,MIN(2025,E232))),SUMIFS(Donnees_generations!$X$3:$X$113,Donnees_generations!$A$3:$A$113,MAX(1915,MIN(2025,E232))),SUMIFS(Donnees_generations!$Y$3:$Y$113,Donnees_generations!$A$3:$A$113,MAX(1915,MIN(2025,E232))),SUMIFS(Donnees_generations!$Z$3:$Z$113,Donnees_generations!$A$3:$A$113,MAX(1915,MIN(2025,E232))),SUMIFS(Donnees_generations!$AA$3:$AA$113,Donnees_generations!$A$3:$A$113,MAX(1915,MIN(2025,E232))),SUMIFS(Donnees_generations!$AB$3:$AB$113,Donnees_generations!$A$3:$A$113,MAX(1915,MIN(2025,E232))))+CHOOSE(((AG232+2)-56)/2+1,SUMIFS(Donnees_generations!$AC$3:$AC$113,Donnees_generations!$A$3:$A$113,MAX(1915,MIN(2025,E232))),SUMIFS(Donnees_generations!$AD$3:$AD$113,Donnees_generations!$A$3:$A$113,MAX(1915,MIN(2025,E232))),SUMIFS(Donnees_generations!$AE$3:$AE$113,Donnees_generations!$A$3:$A$113,MAX(1915,MIN(2025,E232))),SUMIFS(Donnees_generations!$AF$3:$AF$113,Donnees_generations!$A$3:$A$113,MAX(1915,MIN(2025,E232))),SUMIFS(Donnees_generations!$AG$3:$AG$113,Donnees_generations!$A$3:$A$113,MAX(1915,MIN(2025,E232))),SUMIFS(Donnees_generations!$AH$3:$AH$113,Donnees_generations!$A$3:$A$113,MAX(1915,MIN(2025,E232))),SUMIFS(Donnees_generations!$AI$3:$AI$113,Donnees_generations!$A$3:$A$113,MAX(1915,MIN(2025,E232))),SUMIFS(Donnees_generations!$AJ$3:$AJ$113,Donnees_generations!$A$3:$A$113,MAX(1915,MIN(2025,E232)))))/2</f>
        <v/>
      </c>
      <c r="AJ232" s="8">
        <f>MAX(0,AH232+(AI232-AH232)*(K232-AG232)/2)</f>
        <v/>
      </c>
      <c r="AK232" s="8">
        <f>K232+AJ232</f>
        <v/>
      </c>
      <c r="AL232" s="14">
        <f>AE232*AJ232</f>
        <v/>
      </c>
      <c r="AM232" s="17">
        <f>V232/AL232</f>
        <v/>
      </c>
      <c r="AN232" s="17">
        <f>Z232/AL232</f>
        <v/>
      </c>
      <c r="AO232" s="33">
        <f>IF(V232+Z232=0,0,Z232/(V232+Z232))</f>
        <v/>
      </c>
      <c r="AP232" s="14">
        <f>AL232/V232*100</f>
        <v/>
      </c>
      <c r="AQ232" s="8">
        <f>P232/AL232*1000</f>
        <v/>
      </c>
      <c r="AR232" s="77">
        <f>MAX(N232,M232-1)</f>
        <v/>
      </c>
      <c r="AS232" s="14">
        <f>SUMIFS(Donnees_regimes!$R$3:$R$1118,Donnees_regimes!$A$3:$A$1118,C232,Donnees_regimes!$B$3:$B$1118,"&gt;="&amp;G232,Donnees_regimes!$B$3:$B$1118,"&lt;="&amp;N232)*L232/ROUNDUP(L232,0)*SUMIFS(Donnees_annuelles!$AG$3:$AG$188,Donnees_annuelles!$A$3:$A$188,AR232)*SUMIFS(Donnees_annuelles!$AA$3:$AA$188,Donnees_annuelles!$A$3:$A$188,AR232)</f>
        <v/>
      </c>
      <c r="AT232" s="36">
        <f>AS232/V232</f>
        <v/>
      </c>
      <c r="AU232" s="14">
        <f>AL232</f>
        <v/>
      </c>
      <c r="AV232" s="39">
        <f>AS232-AL232</f>
        <v/>
      </c>
      <c r="AW232" s="9">
        <f>AS232/AL232-1</f>
        <v/>
      </c>
      <c r="AX232" s="14">
        <f>AS232/AJ232/12</f>
        <v/>
      </c>
      <c r="AY232" s="14">
        <f>AF232</f>
        <v/>
      </c>
      <c r="AZ232" s="39">
        <f>AX232-AF232</f>
        <v/>
      </c>
      <c r="BA232" s="14">
        <f>SUMIFS(Donnees_regimes!$S$3:$S$1118,Donnees_regimes!$A$3:$A$1118,C232,Donnees_regimes!$B$3:$B$1118,"&gt;="&amp;G232,Donnees_regimes!$B$3:$B$1118,"&lt;="&amp;N232)*L232/ROUNDUP(L232,0)*SUMIFS(Donnees_annuelles!$AH$3:$AH$188,Donnees_annuelles!$A$3:$A$188,AR232)*SUMIFS(Donnees_annuelles!$AA$3:$AA$188,Donnees_annuelles!$A$3:$A$188,AR232)</f>
        <v/>
      </c>
      <c r="BB232" s="39">
        <f>BA232-AL232</f>
        <v/>
      </c>
      <c r="BC232" s="7">
        <f>IF(M232+AJ232&gt;2026,IF(G232&gt;2026,"entièrement projeté","en partie projeté"),"observé")</f>
        <v/>
      </c>
    </row>
    <row r="233">
      <c r="A233" s="7" t="inlineStr">
        <is>
          <t>Baby-boomers</t>
        </is>
      </c>
      <c r="B233" s="84" t="inlineStr">
        <is>
          <t>Fonction publique territoriale et hospitalière</t>
        </is>
      </c>
      <c r="C233" s="7">
        <f>IF(G233&gt;=SUMIFS(Regimes!$C$5:$C$10,Regimes!$A$5:$A$10,B233),"Privé",B233)</f>
        <v/>
      </c>
      <c r="D233" s="7">
        <f>INDEX(Regimes!$D$5:$D$10,MATCH(C233,Regimes!$A$5:$A$10,0))</f>
        <v/>
      </c>
      <c r="E233" s="88" t="n">
        <v>1962</v>
      </c>
      <c r="F233" s="8">
        <f>Donnees_generations!C50</f>
        <v/>
      </c>
      <c r="G233" s="77">
        <f>Donnees_generations!D50</f>
        <v/>
      </c>
      <c r="H233" s="8">
        <f>SUMIFS(Donnees_generations!$S$3:$S$113,Donnees_generations!$A$3:$A$113,MAX(1915,MIN(2025,E233)))</f>
        <v/>
      </c>
      <c r="I233" s="8">
        <f>SUMIFS(Donnees_generations!$T$3:$T$113,Donnees_generations!$A$3:$A$113,MAX(1915,MIN(2025,E233)))</f>
        <v/>
      </c>
      <c r="J233" s="8">
        <f>IF(G233&gt;=2000,MAX(I233,Parametres!$B$3),I233)</f>
        <v/>
      </c>
      <c r="K233" s="8">
        <f>IF(C233="Privé",J233,SUMIFS(Regles_regimes!$J$3:$J$2000,Regles_regimes!$A$3:$A$2000,C233,Regles_regimes!$B$3:$B$2000,D233,Regles_regimes!$C$3:$C$2000,MAX(1915,MIN(2025,E233))))</f>
        <v/>
      </c>
      <c r="L233" s="8">
        <f>IF(C233="Privé",H233,(K233-F233)*H233/(J233-F233))</f>
        <v/>
      </c>
      <c r="M233" s="77">
        <f>INT(E233+K233)</f>
        <v/>
      </c>
      <c r="N233" s="77">
        <f>G233+ROUNDUP(L233,0)-1</f>
        <v/>
      </c>
      <c r="O233" s="89">
        <f>SUMIFS(Regles_regimes!$K$3:$K$2000,Regles_regimes!$A$3:$A$2000,C233,Regles_regimes!$B$3:$B$2000,D233,Regles_regimes!$C$3:$C$2000,MAX(1915,MIN(2025,E233)))</f>
        <v/>
      </c>
      <c r="P233" s="13">
        <f>SUMIFS(Donnees_annuelles!$W$3:$W$188,Donnees_annuelles!$A$3:$A$188,"&gt;="&amp;G233,Donnees_annuelles!$A$3:$A$188,"&lt;="&amp;N233)*L233/ROUNDUP(L233,0)*O233</f>
        <v/>
      </c>
      <c r="Q233" s="13">
        <f>SUMIFS(Donnees_annuelles!$V$3:$V$188,Donnees_annuelles!$A$3:$A$188,"&gt;="&amp;G233,Donnees_annuelles!$A$3:$A$188,"&lt;="&amp;N233)*L233/ROUNDUP(L233,0)</f>
        <v/>
      </c>
      <c r="R233" s="13">
        <f>P233/L233</f>
        <v/>
      </c>
      <c r="S233" s="14">
        <f>SUMIFS(Donnees_annuelles!$D$3:$D$188,Donnees_annuelles!$A$3:$A$188,"&gt;="&amp;G233,Donnees_annuelles!$A$3:$A$188,"&lt;="&amp;N233)*L233/ROUNDUP(L233,0)</f>
        <v/>
      </c>
      <c r="T233" s="14">
        <f>SUMIFS(Donnees_regimes!$N$3:$N$1118,Donnees_regimes!$A$3:$A$1118,C233,Donnees_regimes!$B$3:$B$1118,"&gt;="&amp;G233,Donnees_regimes!$B$3:$B$1118,"&lt;="&amp;N233)*L233/ROUNDUP(L233,0)</f>
        <v/>
      </c>
      <c r="U233" s="14">
        <f>SUMIFS(Donnees_regimes!$O$3:$O$1118,Donnees_regimes!$A$3:$A$1118,C233,Donnees_regimes!$B$3:$B$1118,"&gt;="&amp;G233,Donnees_regimes!$B$3:$B$1118,"&lt;="&amp;N233)*L233/ROUNDUP(L233,0)</f>
        <v/>
      </c>
      <c r="V233" s="14">
        <f>T233+U233</f>
        <v/>
      </c>
      <c r="W233" s="33">
        <f>V233/S233</f>
        <v/>
      </c>
      <c r="X233" s="14">
        <f>S233+U233</f>
        <v/>
      </c>
      <c r="Y233" s="17">
        <f>V233/P233</f>
        <v/>
      </c>
      <c r="Z233" s="14">
        <f>SUMIFS(Donnees_regimes!$Q$3:$Q$1118,Donnees_regimes!$A$3:$A$1118,C233,Donnees_regimes!$B$3:$B$1118,"&gt;="&amp;G233,Donnees_regimes!$B$3:$B$1118,"&lt;="&amp;N233)*L233/ROUNDUP(L233,0)</f>
        <v/>
      </c>
      <c r="AA233" s="77">
        <f>SUMIFS(Regles_regimes!$F$3:$F$2000,Regles_regimes!$A$3:$A$2000,C233,Regles_regimes!$B$3:$B$2000,D233,Regles_regimes!$C$3:$C$2000,MAX(1915,MIN(2025,E233)))</f>
        <v/>
      </c>
      <c r="AB233" s="77">
        <f>IF(AND(SUMIFS(Regles_regimes!$L$3:$L$2000,Regles_regimes!$A$3:$A$2000,C233,Regles_regimes!$B$3:$B$2000,D233,Regles_regimes!$C$3:$C$2000,MAX(1915,MIN(2025,E233)))=1,G233&lt;2009,C233&lt;&gt;"Privé"),MIN(20,L233*4/5),0)</f>
        <v/>
      </c>
      <c r="AC233" s="89">
        <f>SUMIFS(Donnees_regimes!$M$3:$M$1118,Donnees_regimes!$A$3:$A$1118,C233,Donnees_regimes!$B$3:$B$1118,M233)</f>
        <v/>
      </c>
      <c r="AD233" s="14">
        <f>SUMIFS(Donnees_annuelles!$Y$3:$Y$188,Donnees_annuelles!$A$3:$A$188,M233)*SUMIFS(Donnees_generations!$I$3:$I$113,Donnees_generations!$A$3:$A$113,MAX(1915,MIN(2025,E233)))/H233</f>
        <v/>
      </c>
      <c r="AE233" s="14">
        <f>IF(C233="Privé",SUMIFS(Donnees_annuelles!$Y$3:$Y$188,Donnees_annuelles!$A$3:$A$188,M233)*MIN(L233,SUMIFS(Donnees_generations!$I$3:$I$113,Donnees_generations!$A$3:$A$113,MAX(1915,MIN(2025,E233))))/L233,AD233*AC233*MIN(IF(AB233&gt;0,0.8/0.75,1),(L233*4+AB233)/AA233))</f>
        <v/>
      </c>
      <c r="AF233" s="14">
        <f>AE233/12</f>
        <v/>
      </c>
      <c r="AG233" s="77">
        <f>MIN(68,MAX(56,2*INT(K233/2)))</f>
        <v/>
      </c>
      <c r="AH233" s="75">
        <f>(CHOOSE((AG233-56)/2+1,SUMIFS(Donnees_generations!$U$3:$U$113,Donnees_generations!$A$3:$A$113,MAX(1915,MIN(2025,E233))),SUMIFS(Donnees_generations!$V$3:$V$113,Donnees_generations!$A$3:$A$113,MAX(1915,MIN(2025,E233))),SUMIFS(Donnees_generations!$W$3:$W$113,Donnees_generations!$A$3:$A$113,MAX(1915,MIN(2025,E233))),SUMIFS(Donnees_generations!$X$3:$X$113,Donnees_generations!$A$3:$A$113,MAX(1915,MIN(2025,E233))),SUMIFS(Donnees_generations!$Y$3:$Y$113,Donnees_generations!$A$3:$A$113,MAX(1915,MIN(2025,E233))),SUMIFS(Donnees_generations!$Z$3:$Z$113,Donnees_generations!$A$3:$A$113,MAX(1915,MIN(2025,E233))),SUMIFS(Donnees_generations!$AA$3:$AA$113,Donnees_generations!$A$3:$A$113,MAX(1915,MIN(2025,E233))),SUMIFS(Donnees_generations!$AB$3:$AB$113,Donnees_generations!$A$3:$A$113,MAX(1915,MIN(2025,E233))))+CHOOSE((AG233-56)/2+1,SUMIFS(Donnees_generations!$AC$3:$AC$113,Donnees_generations!$A$3:$A$113,MAX(1915,MIN(2025,E233))),SUMIFS(Donnees_generations!$AD$3:$AD$113,Donnees_generations!$A$3:$A$113,MAX(1915,MIN(2025,E233))),SUMIFS(Donnees_generations!$AE$3:$AE$113,Donnees_generations!$A$3:$A$113,MAX(1915,MIN(2025,E233))),SUMIFS(Donnees_generations!$AF$3:$AF$113,Donnees_generations!$A$3:$A$113,MAX(1915,MIN(2025,E233))),SUMIFS(Donnees_generations!$AG$3:$AG$113,Donnees_generations!$A$3:$A$113,MAX(1915,MIN(2025,E233))),SUMIFS(Donnees_generations!$AH$3:$AH$113,Donnees_generations!$A$3:$A$113,MAX(1915,MIN(2025,E233))),SUMIFS(Donnees_generations!$AI$3:$AI$113,Donnees_generations!$A$3:$A$113,MAX(1915,MIN(2025,E233))),SUMIFS(Donnees_generations!$AJ$3:$AJ$113,Donnees_generations!$A$3:$A$113,MAX(1915,MIN(2025,E233)))))/2</f>
        <v/>
      </c>
      <c r="AI233" s="75">
        <f>(CHOOSE(((AG233+2)-56)/2+1,SUMIFS(Donnees_generations!$U$3:$U$113,Donnees_generations!$A$3:$A$113,MAX(1915,MIN(2025,E233))),SUMIFS(Donnees_generations!$V$3:$V$113,Donnees_generations!$A$3:$A$113,MAX(1915,MIN(2025,E233))),SUMIFS(Donnees_generations!$W$3:$W$113,Donnees_generations!$A$3:$A$113,MAX(1915,MIN(2025,E233))),SUMIFS(Donnees_generations!$X$3:$X$113,Donnees_generations!$A$3:$A$113,MAX(1915,MIN(2025,E233))),SUMIFS(Donnees_generations!$Y$3:$Y$113,Donnees_generations!$A$3:$A$113,MAX(1915,MIN(2025,E233))),SUMIFS(Donnees_generations!$Z$3:$Z$113,Donnees_generations!$A$3:$A$113,MAX(1915,MIN(2025,E233))),SUMIFS(Donnees_generations!$AA$3:$AA$113,Donnees_generations!$A$3:$A$113,MAX(1915,MIN(2025,E233))),SUMIFS(Donnees_generations!$AB$3:$AB$113,Donnees_generations!$A$3:$A$113,MAX(1915,MIN(2025,E233))))+CHOOSE(((AG233+2)-56)/2+1,SUMIFS(Donnees_generations!$AC$3:$AC$113,Donnees_generations!$A$3:$A$113,MAX(1915,MIN(2025,E233))),SUMIFS(Donnees_generations!$AD$3:$AD$113,Donnees_generations!$A$3:$A$113,MAX(1915,MIN(2025,E233))),SUMIFS(Donnees_generations!$AE$3:$AE$113,Donnees_generations!$A$3:$A$113,MAX(1915,MIN(2025,E233))),SUMIFS(Donnees_generations!$AF$3:$AF$113,Donnees_generations!$A$3:$A$113,MAX(1915,MIN(2025,E233))),SUMIFS(Donnees_generations!$AG$3:$AG$113,Donnees_generations!$A$3:$A$113,MAX(1915,MIN(2025,E233))),SUMIFS(Donnees_generations!$AH$3:$AH$113,Donnees_generations!$A$3:$A$113,MAX(1915,MIN(2025,E233))),SUMIFS(Donnees_generations!$AI$3:$AI$113,Donnees_generations!$A$3:$A$113,MAX(1915,MIN(2025,E233))),SUMIFS(Donnees_generations!$AJ$3:$AJ$113,Donnees_generations!$A$3:$A$113,MAX(1915,MIN(2025,E233)))))/2</f>
        <v/>
      </c>
      <c r="AJ233" s="8">
        <f>MAX(0,AH233+(AI233-AH233)*(K233-AG233)/2)</f>
        <v/>
      </c>
      <c r="AK233" s="8">
        <f>K233+AJ233</f>
        <v/>
      </c>
      <c r="AL233" s="14">
        <f>AE233*AJ233</f>
        <v/>
      </c>
      <c r="AM233" s="17">
        <f>V233/AL233</f>
        <v/>
      </c>
      <c r="AN233" s="17">
        <f>Z233/AL233</f>
        <v/>
      </c>
      <c r="AO233" s="33">
        <f>IF(V233+Z233=0,0,Z233/(V233+Z233))</f>
        <v/>
      </c>
      <c r="AP233" s="14">
        <f>AL233/V233*100</f>
        <v/>
      </c>
      <c r="AQ233" s="8">
        <f>P233/AL233*1000</f>
        <v/>
      </c>
      <c r="AR233" s="77">
        <f>MAX(N233,M233-1)</f>
        <v/>
      </c>
      <c r="AS233" s="14">
        <f>SUMIFS(Donnees_regimes!$R$3:$R$1118,Donnees_regimes!$A$3:$A$1118,C233,Donnees_regimes!$B$3:$B$1118,"&gt;="&amp;G233,Donnees_regimes!$B$3:$B$1118,"&lt;="&amp;N233)*L233/ROUNDUP(L233,0)*SUMIFS(Donnees_annuelles!$AG$3:$AG$188,Donnees_annuelles!$A$3:$A$188,AR233)*SUMIFS(Donnees_annuelles!$AA$3:$AA$188,Donnees_annuelles!$A$3:$A$188,AR233)</f>
        <v/>
      </c>
      <c r="AT233" s="36">
        <f>AS233/V233</f>
        <v/>
      </c>
      <c r="AU233" s="14">
        <f>AL233</f>
        <v/>
      </c>
      <c r="AV233" s="39">
        <f>AS233-AL233</f>
        <v/>
      </c>
      <c r="AW233" s="9">
        <f>AS233/AL233-1</f>
        <v/>
      </c>
      <c r="AX233" s="14">
        <f>AS233/AJ233/12</f>
        <v/>
      </c>
      <c r="AY233" s="14">
        <f>AF233</f>
        <v/>
      </c>
      <c r="AZ233" s="39">
        <f>AX233-AF233</f>
        <v/>
      </c>
      <c r="BA233" s="14">
        <f>SUMIFS(Donnees_regimes!$S$3:$S$1118,Donnees_regimes!$A$3:$A$1118,C233,Donnees_regimes!$B$3:$B$1118,"&gt;="&amp;G233,Donnees_regimes!$B$3:$B$1118,"&lt;="&amp;N233)*L233/ROUNDUP(L233,0)*SUMIFS(Donnees_annuelles!$AH$3:$AH$188,Donnees_annuelles!$A$3:$A$188,AR233)*SUMIFS(Donnees_annuelles!$AA$3:$AA$188,Donnees_annuelles!$A$3:$A$188,AR233)</f>
        <v/>
      </c>
      <c r="BB233" s="39">
        <f>BA233-AL233</f>
        <v/>
      </c>
      <c r="BC233" s="7">
        <f>IF(M233+AJ233&gt;2026,IF(G233&gt;2026,"entièrement projeté","en partie projeté"),"observé")</f>
        <v/>
      </c>
    </row>
    <row r="234">
      <c r="A234" s="7" t="inlineStr">
        <is>
          <t>Baby-boomers</t>
        </is>
      </c>
      <c r="B234" s="84" t="inlineStr">
        <is>
          <t>Fonction publique territoriale et hospitalière</t>
        </is>
      </c>
      <c r="C234" s="7">
        <f>IF(G234&gt;=SUMIFS(Regimes!$C$5:$C$10,Regimes!$A$5:$A$10,B234),"Privé",B234)</f>
        <v/>
      </c>
      <c r="D234" s="7">
        <f>INDEX(Regimes!$D$5:$D$10,MATCH(C234,Regimes!$A$5:$A$10,0))</f>
        <v/>
      </c>
      <c r="E234" s="88" t="n">
        <v>1963</v>
      </c>
      <c r="F234" s="8">
        <f>Donnees_generations!C51</f>
        <v/>
      </c>
      <c r="G234" s="77">
        <f>Donnees_generations!D51</f>
        <v/>
      </c>
      <c r="H234" s="8">
        <f>SUMIFS(Donnees_generations!$S$3:$S$113,Donnees_generations!$A$3:$A$113,MAX(1915,MIN(2025,E234)))</f>
        <v/>
      </c>
      <c r="I234" s="8">
        <f>SUMIFS(Donnees_generations!$T$3:$T$113,Donnees_generations!$A$3:$A$113,MAX(1915,MIN(2025,E234)))</f>
        <v/>
      </c>
      <c r="J234" s="8">
        <f>IF(G234&gt;=2000,MAX(I234,Parametres!$B$3),I234)</f>
        <v/>
      </c>
      <c r="K234" s="8">
        <f>IF(C234="Privé",J234,SUMIFS(Regles_regimes!$J$3:$J$2000,Regles_regimes!$A$3:$A$2000,C234,Regles_regimes!$B$3:$B$2000,D234,Regles_regimes!$C$3:$C$2000,MAX(1915,MIN(2025,E234))))</f>
        <v/>
      </c>
      <c r="L234" s="8">
        <f>IF(C234="Privé",H234,(K234-F234)*H234/(J234-F234))</f>
        <v/>
      </c>
      <c r="M234" s="77">
        <f>INT(E234+K234)</f>
        <v/>
      </c>
      <c r="N234" s="77">
        <f>G234+ROUNDUP(L234,0)-1</f>
        <v/>
      </c>
      <c r="O234" s="89">
        <f>SUMIFS(Regles_regimes!$K$3:$K$2000,Regles_regimes!$A$3:$A$2000,C234,Regles_regimes!$B$3:$B$2000,D234,Regles_regimes!$C$3:$C$2000,MAX(1915,MIN(2025,E234)))</f>
        <v/>
      </c>
      <c r="P234" s="13">
        <f>SUMIFS(Donnees_annuelles!$W$3:$W$188,Donnees_annuelles!$A$3:$A$188,"&gt;="&amp;G234,Donnees_annuelles!$A$3:$A$188,"&lt;="&amp;N234)*L234/ROUNDUP(L234,0)*O234</f>
        <v/>
      </c>
      <c r="Q234" s="13">
        <f>SUMIFS(Donnees_annuelles!$V$3:$V$188,Donnees_annuelles!$A$3:$A$188,"&gt;="&amp;G234,Donnees_annuelles!$A$3:$A$188,"&lt;="&amp;N234)*L234/ROUNDUP(L234,0)</f>
        <v/>
      </c>
      <c r="R234" s="13">
        <f>P234/L234</f>
        <v/>
      </c>
      <c r="S234" s="14">
        <f>SUMIFS(Donnees_annuelles!$D$3:$D$188,Donnees_annuelles!$A$3:$A$188,"&gt;="&amp;G234,Donnees_annuelles!$A$3:$A$188,"&lt;="&amp;N234)*L234/ROUNDUP(L234,0)</f>
        <v/>
      </c>
      <c r="T234" s="14">
        <f>SUMIFS(Donnees_regimes!$N$3:$N$1118,Donnees_regimes!$A$3:$A$1118,C234,Donnees_regimes!$B$3:$B$1118,"&gt;="&amp;G234,Donnees_regimes!$B$3:$B$1118,"&lt;="&amp;N234)*L234/ROUNDUP(L234,0)</f>
        <v/>
      </c>
      <c r="U234" s="14">
        <f>SUMIFS(Donnees_regimes!$O$3:$O$1118,Donnees_regimes!$A$3:$A$1118,C234,Donnees_regimes!$B$3:$B$1118,"&gt;="&amp;G234,Donnees_regimes!$B$3:$B$1118,"&lt;="&amp;N234)*L234/ROUNDUP(L234,0)</f>
        <v/>
      </c>
      <c r="V234" s="14">
        <f>T234+U234</f>
        <v/>
      </c>
      <c r="W234" s="33">
        <f>V234/S234</f>
        <v/>
      </c>
      <c r="X234" s="14">
        <f>S234+U234</f>
        <v/>
      </c>
      <c r="Y234" s="17">
        <f>V234/P234</f>
        <v/>
      </c>
      <c r="Z234" s="14">
        <f>SUMIFS(Donnees_regimes!$Q$3:$Q$1118,Donnees_regimes!$A$3:$A$1118,C234,Donnees_regimes!$B$3:$B$1118,"&gt;="&amp;G234,Donnees_regimes!$B$3:$B$1118,"&lt;="&amp;N234)*L234/ROUNDUP(L234,0)</f>
        <v/>
      </c>
      <c r="AA234" s="77">
        <f>SUMIFS(Regles_regimes!$F$3:$F$2000,Regles_regimes!$A$3:$A$2000,C234,Regles_regimes!$B$3:$B$2000,D234,Regles_regimes!$C$3:$C$2000,MAX(1915,MIN(2025,E234)))</f>
        <v/>
      </c>
      <c r="AB234" s="77">
        <f>IF(AND(SUMIFS(Regles_regimes!$L$3:$L$2000,Regles_regimes!$A$3:$A$2000,C234,Regles_regimes!$B$3:$B$2000,D234,Regles_regimes!$C$3:$C$2000,MAX(1915,MIN(2025,E234)))=1,G234&lt;2009,C234&lt;&gt;"Privé"),MIN(20,L234*4/5),0)</f>
        <v/>
      </c>
      <c r="AC234" s="89">
        <f>SUMIFS(Donnees_regimes!$M$3:$M$1118,Donnees_regimes!$A$3:$A$1118,C234,Donnees_regimes!$B$3:$B$1118,M234)</f>
        <v/>
      </c>
      <c r="AD234" s="14">
        <f>SUMIFS(Donnees_annuelles!$Y$3:$Y$188,Donnees_annuelles!$A$3:$A$188,M234)*SUMIFS(Donnees_generations!$I$3:$I$113,Donnees_generations!$A$3:$A$113,MAX(1915,MIN(2025,E234)))/H234</f>
        <v/>
      </c>
      <c r="AE234" s="14">
        <f>IF(C234="Privé",SUMIFS(Donnees_annuelles!$Y$3:$Y$188,Donnees_annuelles!$A$3:$A$188,M234)*MIN(L234,SUMIFS(Donnees_generations!$I$3:$I$113,Donnees_generations!$A$3:$A$113,MAX(1915,MIN(2025,E234))))/L234,AD234*AC234*MIN(IF(AB234&gt;0,0.8/0.75,1),(L234*4+AB234)/AA234))</f>
        <v/>
      </c>
      <c r="AF234" s="14">
        <f>AE234/12</f>
        <v/>
      </c>
      <c r="AG234" s="77">
        <f>MIN(68,MAX(56,2*INT(K234/2)))</f>
        <v/>
      </c>
      <c r="AH234" s="75">
        <f>(CHOOSE((AG234-56)/2+1,SUMIFS(Donnees_generations!$U$3:$U$113,Donnees_generations!$A$3:$A$113,MAX(1915,MIN(2025,E234))),SUMIFS(Donnees_generations!$V$3:$V$113,Donnees_generations!$A$3:$A$113,MAX(1915,MIN(2025,E234))),SUMIFS(Donnees_generations!$W$3:$W$113,Donnees_generations!$A$3:$A$113,MAX(1915,MIN(2025,E234))),SUMIFS(Donnees_generations!$X$3:$X$113,Donnees_generations!$A$3:$A$113,MAX(1915,MIN(2025,E234))),SUMIFS(Donnees_generations!$Y$3:$Y$113,Donnees_generations!$A$3:$A$113,MAX(1915,MIN(2025,E234))),SUMIFS(Donnees_generations!$Z$3:$Z$113,Donnees_generations!$A$3:$A$113,MAX(1915,MIN(2025,E234))),SUMIFS(Donnees_generations!$AA$3:$AA$113,Donnees_generations!$A$3:$A$113,MAX(1915,MIN(2025,E234))),SUMIFS(Donnees_generations!$AB$3:$AB$113,Donnees_generations!$A$3:$A$113,MAX(1915,MIN(2025,E234))))+CHOOSE((AG234-56)/2+1,SUMIFS(Donnees_generations!$AC$3:$AC$113,Donnees_generations!$A$3:$A$113,MAX(1915,MIN(2025,E234))),SUMIFS(Donnees_generations!$AD$3:$AD$113,Donnees_generations!$A$3:$A$113,MAX(1915,MIN(2025,E234))),SUMIFS(Donnees_generations!$AE$3:$AE$113,Donnees_generations!$A$3:$A$113,MAX(1915,MIN(2025,E234))),SUMIFS(Donnees_generations!$AF$3:$AF$113,Donnees_generations!$A$3:$A$113,MAX(1915,MIN(2025,E234))),SUMIFS(Donnees_generations!$AG$3:$AG$113,Donnees_generations!$A$3:$A$113,MAX(1915,MIN(2025,E234))),SUMIFS(Donnees_generations!$AH$3:$AH$113,Donnees_generations!$A$3:$A$113,MAX(1915,MIN(2025,E234))),SUMIFS(Donnees_generations!$AI$3:$AI$113,Donnees_generations!$A$3:$A$113,MAX(1915,MIN(2025,E234))),SUMIFS(Donnees_generations!$AJ$3:$AJ$113,Donnees_generations!$A$3:$A$113,MAX(1915,MIN(2025,E234)))))/2</f>
        <v/>
      </c>
      <c r="AI234" s="75">
        <f>(CHOOSE(((AG234+2)-56)/2+1,SUMIFS(Donnees_generations!$U$3:$U$113,Donnees_generations!$A$3:$A$113,MAX(1915,MIN(2025,E234))),SUMIFS(Donnees_generations!$V$3:$V$113,Donnees_generations!$A$3:$A$113,MAX(1915,MIN(2025,E234))),SUMIFS(Donnees_generations!$W$3:$W$113,Donnees_generations!$A$3:$A$113,MAX(1915,MIN(2025,E234))),SUMIFS(Donnees_generations!$X$3:$X$113,Donnees_generations!$A$3:$A$113,MAX(1915,MIN(2025,E234))),SUMIFS(Donnees_generations!$Y$3:$Y$113,Donnees_generations!$A$3:$A$113,MAX(1915,MIN(2025,E234))),SUMIFS(Donnees_generations!$Z$3:$Z$113,Donnees_generations!$A$3:$A$113,MAX(1915,MIN(2025,E234))),SUMIFS(Donnees_generations!$AA$3:$AA$113,Donnees_generations!$A$3:$A$113,MAX(1915,MIN(2025,E234))),SUMIFS(Donnees_generations!$AB$3:$AB$113,Donnees_generations!$A$3:$A$113,MAX(1915,MIN(2025,E234))))+CHOOSE(((AG234+2)-56)/2+1,SUMIFS(Donnees_generations!$AC$3:$AC$113,Donnees_generations!$A$3:$A$113,MAX(1915,MIN(2025,E234))),SUMIFS(Donnees_generations!$AD$3:$AD$113,Donnees_generations!$A$3:$A$113,MAX(1915,MIN(2025,E234))),SUMIFS(Donnees_generations!$AE$3:$AE$113,Donnees_generations!$A$3:$A$113,MAX(1915,MIN(2025,E234))),SUMIFS(Donnees_generations!$AF$3:$AF$113,Donnees_generations!$A$3:$A$113,MAX(1915,MIN(2025,E234))),SUMIFS(Donnees_generations!$AG$3:$AG$113,Donnees_generations!$A$3:$A$113,MAX(1915,MIN(2025,E234))),SUMIFS(Donnees_generations!$AH$3:$AH$113,Donnees_generations!$A$3:$A$113,MAX(1915,MIN(2025,E234))),SUMIFS(Donnees_generations!$AI$3:$AI$113,Donnees_generations!$A$3:$A$113,MAX(1915,MIN(2025,E234))),SUMIFS(Donnees_generations!$AJ$3:$AJ$113,Donnees_generations!$A$3:$A$113,MAX(1915,MIN(2025,E234)))))/2</f>
        <v/>
      </c>
      <c r="AJ234" s="8">
        <f>MAX(0,AH234+(AI234-AH234)*(K234-AG234)/2)</f>
        <v/>
      </c>
      <c r="AK234" s="8">
        <f>K234+AJ234</f>
        <v/>
      </c>
      <c r="AL234" s="14">
        <f>AE234*AJ234</f>
        <v/>
      </c>
      <c r="AM234" s="17">
        <f>V234/AL234</f>
        <v/>
      </c>
      <c r="AN234" s="17">
        <f>Z234/AL234</f>
        <v/>
      </c>
      <c r="AO234" s="33">
        <f>IF(V234+Z234=0,0,Z234/(V234+Z234))</f>
        <v/>
      </c>
      <c r="AP234" s="14">
        <f>AL234/V234*100</f>
        <v/>
      </c>
      <c r="AQ234" s="8">
        <f>P234/AL234*1000</f>
        <v/>
      </c>
      <c r="AR234" s="77">
        <f>MAX(N234,M234-1)</f>
        <v/>
      </c>
      <c r="AS234" s="14">
        <f>SUMIFS(Donnees_regimes!$R$3:$R$1118,Donnees_regimes!$A$3:$A$1118,C234,Donnees_regimes!$B$3:$B$1118,"&gt;="&amp;G234,Donnees_regimes!$B$3:$B$1118,"&lt;="&amp;N234)*L234/ROUNDUP(L234,0)*SUMIFS(Donnees_annuelles!$AG$3:$AG$188,Donnees_annuelles!$A$3:$A$188,AR234)*SUMIFS(Donnees_annuelles!$AA$3:$AA$188,Donnees_annuelles!$A$3:$A$188,AR234)</f>
        <v/>
      </c>
      <c r="AT234" s="36">
        <f>AS234/V234</f>
        <v/>
      </c>
      <c r="AU234" s="14">
        <f>AL234</f>
        <v/>
      </c>
      <c r="AV234" s="39">
        <f>AS234-AL234</f>
        <v/>
      </c>
      <c r="AW234" s="9">
        <f>AS234/AL234-1</f>
        <v/>
      </c>
      <c r="AX234" s="14">
        <f>AS234/AJ234/12</f>
        <v/>
      </c>
      <c r="AY234" s="14">
        <f>AF234</f>
        <v/>
      </c>
      <c r="AZ234" s="39">
        <f>AX234-AF234</f>
        <v/>
      </c>
      <c r="BA234" s="14">
        <f>SUMIFS(Donnees_regimes!$S$3:$S$1118,Donnees_regimes!$A$3:$A$1118,C234,Donnees_regimes!$B$3:$B$1118,"&gt;="&amp;G234,Donnees_regimes!$B$3:$B$1118,"&lt;="&amp;N234)*L234/ROUNDUP(L234,0)*SUMIFS(Donnees_annuelles!$AH$3:$AH$188,Donnees_annuelles!$A$3:$A$188,AR234)*SUMIFS(Donnees_annuelles!$AA$3:$AA$188,Donnees_annuelles!$A$3:$A$188,AR234)</f>
        <v/>
      </c>
      <c r="BB234" s="39">
        <f>BA234-AL234</f>
        <v/>
      </c>
      <c r="BC234" s="7">
        <f>IF(M234+AJ234&gt;2026,IF(G234&gt;2026,"entièrement projeté","en partie projeté"),"observé")</f>
        <v/>
      </c>
    </row>
    <row r="235">
      <c r="A235" s="7" t="inlineStr">
        <is>
          <t>Baby-boomers</t>
        </is>
      </c>
      <c r="B235" s="84" t="inlineStr">
        <is>
          <t>Fonction publique territoriale et hospitalière</t>
        </is>
      </c>
      <c r="C235" s="7">
        <f>IF(G235&gt;=SUMIFS(Regimes!$C$5:$C$10,Regimes!$A$5:$A$10,B235),"Privé",B235)</f>
        <v/>
      </c>
      <c r="D235" s="7">
        <f>INDEX(Regimes!$D$5:$D$10,MATCH(C235,Regimes!$A$5:$A$10,0))</f>
        <v/>
      </c>
      <c r="E235" s="88" t="n">
        <v>1964</v>
      </c>
      <c r="F235" s="8">
        <f>Donnees_generations!C52</f>
        <v/>
      </c>
      <c r="G235" s="77">
        <f>Donnees_generations!D52</f>
        <v/>
      </c>
      <c r="H235" s="8">
        <f>SUMIFS(Donnees_generations!$S$3:$S$113,Donnees_generations!$A$3:$A$113,MAX(1915,MIN(2025,E235)))</f>
        <v/>
      </c>
      <c r="I235" s="8">
        <f>SUMIFS(Donnees_generations!$T$3:$T$113,Donnees_generations!$A$3:$A$113,MAX(1915,MIN(2025,E235)))</f>
        <v/>
      </c>
      <c r="J235" s="8">
        <f>IF(G235&gt;=2000,MAX(I235,Parametres!$B$3),I235)</f>
        <v/>
      </c>
      <c r="K235" s="8">
        <f>IF(C235="Privé",J235,SUMIFS(Regles_regimes!$J$3:$J$2000,Regles_regimes!$A$3:$A$2000,C235,Regles_regimes!$B$3:$B$2000,D235,Regles_regimes!$C$3:$C$2000,MAX(1915,MIN(2025,E235))))</f>
        <v/>
      </c>
      <c r="L235" s="8">
        <f>IF(C235="Privé",H235,(K235-F235)*H235/(J235-F235))</f>
        <v/>
      </c>
      <c r="M235" s="77">
        <f>INT(E235+K235)</f>
        <v/>
      </c>
      <c r="N235" s="77">
        <f>G235+ROUNDUP(L235,0)-1</f>
        <v/>
      </c>
      <c r="O235" s="89">
        <f>SUMIFS(Regles_regimes!$K$3:$K$2000,Regles_regimes!$A$3:$A$2000,C235,Regles_regimes!$B$3:$B$2000,D235,Regles_regimes!$C$3:$C$2000,MAX(1915,MIN(2025,E235)))</f>
        <v/>
      </c>
      <c r="P235" s="13">
        <f>SUMIFS(Donnees_annuelles!$W$3:$W$188,Donnees_annuelles!$A$3:$A$188,"&gt;="&amp;G235,Donnees_annuelles!$A$3:$A$188,"&lt;="&amp;N235)*L235/ROUNDUP(L235,0)*O235</f>
        <v/>
      </c>
      <c r="Q235" s="13">
        <f>SUMIFS(Donnees_annuelles!$V$3:$V$188,Donnees_annuelles!$A$3:$A$188,"&gt;="&amp;G235,Donnees_annuelles!$A$3:$A$188,"&lt;="&amp;N235)*L235/ROUNDUP(L235,0)</f>
        <v/>
      </c>
      <c r="R235" s="13">
        <f>P235/L235</f>
        <v/>
      </c>
      <c r="S235" s="14">
        <f>SUMIFS(Donnees_annuelles!$D$3:$D$188,Donnees_annuelles!$A$3:$A$188,"&gt;="&amp;G235,Donnees_annuelles!$A$3:$A$188,"&lt;="&amp;N235)*L235/ROUNDUP(L235,0)</f>
        <v/>
      </c>
      <c r="T235" s="14">
        <f>SUMIFS(Donnees_regimes!$N$3:$N$1118,Donnees_regimes!$A$3:$A$1118,C235,Donnees_regimes!$B$3:$B$1118,"&gt;="&amp;G235,Donnees_regimes!$B$3:$B$1118,"&lt;="&amp;N235)*L235/ROUNDUP(L235,0)</f>
        <v/>
      </c>
      <c r="U235" s="14">
        <f>SUMIFS(Donnees_regimes!$O$3:$O$1118,Donnees_regimes!$A$3:$A$1118,C235,Donnees_regimes!$B$3:$B$1118,"&gt;="&amp;G235,Donnees_regimes!$B$3:$B$1118,"&lt;="&amp;N235)*L235/ROUNDUP(L235,0)</f>
        <v/>
      </c>
      <c r="V235" s="14">
        <f>T235+U235</f>
        <v/>
      </c>
      <c r="W235" s="33">
        <f>V235/S235</f>
        <v/>
      </c>
      <c r="X235" s="14">
        <f>S235+U235</f>
        <v/>
      </c>
      <c r="Y235" s="17">
        <f>V235/P235</f>
        <v/>
      </c>
      <c r="Z235" s="14">
        <f>SUMIFS(Donnees_regimes!$Q$3:$Q$1118,Donnees_regimes!$A$3:$A$1118,C235,Donnees_regimes!$B$3:$B$1118,"&gt;="&amp;G235,Donnees_regimes!$B$3:$B$1118,"&lt;="&amp;N235)*L235/ROUNDUP(L235,0)</f>
        <v/>
      </c>
      <c r="AA235" s="77">
        <f>SUMIFS(Regles_regimes!$F$3:$F$2000,Regles_regimes!$A$3:$A$2000,C235,Regles_regimes!$B$3:$B$2000,D235,Regles_regimes!$C$3:$C$2000,MAX(1915,MIN(2025,E235)))</f>
        <v/>
      </c>
      <c r="AB235" s="77">
        <f>IF(AND(SUMIFS(Regles_regimes!$L$3:$L$2000,Regles_regimes!$A$3:$A$2000,C235,Regles_regimes!$B$3:$B$2000,D235,Regles_regimes!$C$3:$C$2000,MAX(1915,MIN(2025,E235)))=1,G235&lt;2009,C235&lt;&gt;"Privé"),MIN(20,L235*4/5),0)</f>
        <v/>
      </c>
      <c r="AC235" s="89">
        <f>SUMIFS(Donnees_regimes!$M$3:$M$1118,Donnees_regimes!$A$3:$A$1118,C235,Donnees_regimes!$B$3:$B$1118,M235)</f>
        <v/>
      </c>
      <c r="AD235" s="14">
        <f>SUMIFS(Donnees_annuelles!$Y$3:$Y$188,Donnees_annuelles!$A$3:$A$188,M235)*SUMIFS(Donnees_generations!$I$3:$I$113,Donnees_generations!$A$3:$A$113,MAX(1915,MIN(2025,E235)))/H235</f>
        <v/>
      </c>
      <c r="AE235" s="14">
        <f>IF(C235="Privé",SUMIFS(Donnees_annuelles!$Y$3:$Y$188,Donnees_annuelles!$A$3:$A$188,M235)*MIN(L235,SUMIFS(Donnees_generations!$I$3:$I$113,Donnees_generations!$A$3:$A$113,MAX(1915,MIN(2025,E235))))/L235,AD235*AC235*MIN(IF(AB235&gt;0,0.8/0.75,1),(L235*4+AB235)/AA235))</f>
        <v/>
      </c>
      <c r="AF235" s="14">
        <f>AE235/12</f>
        <v/>
      </c>
      <c r="AG235" s="77">
        <f>MIN(68,MAX(56,2*INT(K235/2)))</f>
        <v/>
      </c>
      <c r="AH235" s="75">
        <f>(CHOOSE((AG235-56)/2+1,SUMIFS(Donnees_generations!$U$3:$U$113,Donnees_generations!$A$3:$A$113,MAX(1915,MIN(2025,E235))),SUMIFS(Donnees_generations!$V$3:$V$113,Donnees_generations!$A$3:$A$113,MAX(1915,MIN(2025,E235))),SUMIFS(Donnees_generations!$W$3:$W$113,Donnees_generations!$A$3:$A$113,MAX(1915,MIN(2025,E235))),SUMIFS(Donnees_generations!$X$3:$X$113,Donnees_generations!$A$3:$A$113,MAX(1915,MIN(2025,E235))),SUMIFS(Donnees_generations!$Y$3:$Y$113,Donnees_generations!$A$3:$A$113,MAX(1915,MIN(2025,E235))),SUMIFS(Donnees_generations!$Z$3:$Z$113,Donnees_generations!$A$3:$A$113,MAX(1915,MIN(2025,E235))),SUMIFS(Donnees_generations!$AA$3:$AA$113,Donnees_generations!$A$3:$A$113,MAX(1915,MIN(2025,E235))),SUMIFS(Donnees_generations!$AB$3:$AB$113,Donnees_generations!$A$3:$A$113,MAX(1915,MIN(2025,E235))))+CHOOSE((AG235-56)/2+1,SUMIFS(Donnees_generations!$AC$3:$AC$113,Donnees_generations!$A$3:$A$113,MAX(1915,MIN(2025,E235))),SUMIFS(Donnees_generations!$AD$3:$AD$113,Donnees_generations!$A$3:$A$113,MAX(1915,MIN(2025,E235))),SUMIFS(Donnees_generations!$AE$3:$AE$113,Donnees_generations!$A$3:$A$113,MAX(1915,MIN(2025,E235))),SUMIFS(Donnees_generations!$AF$3:$AF$113,Donnees_generations!$A$3:$A$113,MAX(1915,MIN(2025,E235))),SUMIFS(Donnees_generations!$AG$3:$AG$113,Donnees_generations!$A$3:$A$113,MAX(1915,MIN(2025,E235))),SUMIFS(Donnees_generations!$AH$3:$AH$113,Donnees_generations!$A$3:$A$113,MAX(1915,MIN(2025,E235))),SUMIFS(Donnees_generations!$AI$3:$AI$113,Donnees_generations!$A$3:$A$113,MAX(1915,MIN(2025,E235))),SUMIFS(Donnees_generations!$AJ$3:$AJ$113,Donnees_generations!$A$3:$A$113,MAX(1915,MIN(2025,E235)))))/2</f>
        <v/>
      </c>
      <c r="AI235" s="75">
        <f>(CHOOSE(((AG235+2)-56)/2+1,SUMIFS(Donnees_generations!$U$3:$U$113,Donnees_generations!$A$3:$A$113,MAX(1915,MIN(2025,E235))),SUMIFS(Donnees_generations!$V$3:$V$113,Donnees_generations!$A$3:$A$113,MAX(1915,MIN(2025,E235))),SUMIFS(Donnees_generations!$W$3:$W$113,Donnees_generations!$A$3:$A$113,MAX(1915,MIN(2025,E235))),SUMIFS(Donnees_generations!$X$3:$X$113,Donnees_generations!$A$3:$A$113,MAX(1915,MIN(2025,E235))),SUMIFS(Donnees_generations!$Y$3:$Y$113,Donnees_generations!$A$3:$A$113,MAX(1915,MIN(2025,E235))),SUMIFS(Donnees_generations!$Z$3:$Z$113,Donnees_generations!$A$3:$A$113,MAX(1915,MIN(2025,E235))),SUMIFS(Donnees_generations!$AA$3:$AA$113,Donnees_generations!$A$3:$A$113,MAX(1915,MIN(2025,E235))),SUMIFS(Donnees_generations!$AB$3:$AB$113,Donnees_generations!$A$3:$A$113,MAX(1915,MIN(2025,E235))))+CHOOSE(((AG235+2)-56)/2+1,SUMIFS(Donnees_generations!$AC$3:$AC$113,Donnees_generations!$A$3:$A$113,MAX(1915,MIN(2025,E235))),SUMIFS(Donnees_generations!$AD$3:$AD$113,Donnees_generations!$A$3:$A$113,MAX(1915,MIN(2025,E235))),SUMIFS(Donnees_generations!$AE$3:$AE$113,Donnees_generations!$A$3:$A$113,MAX(1915,MIN(2025,E235))),SUMIFS(Donnees_generations!$AF$3:$AF$113,Donnees_generations!$A$3:$A$113,MAX(1915,MIN(2025,E235))),SUMIFS(Donnees_generations!$AG$3:$AG$113,Donnees_generations!$A$3:$A$113,MAX(1915,MIN(2025,E235))),SUMIFS(Donnees_generations!$AH$3:$AH$113,Donnees_generations!$A$3:$A$113,MAX(1915,MIN(2025,E235))),SUMIFS(Donnees_generations!$AI$3:$AI$113,Donnees_generations!$A$3:$A$113,MAX(1915,MIN(2025,E235))),SUMIFS(Donnees_generations!$AJ$3:$AJ$113,Donnees_generations!$A$3:$A$113,MAX(1915,MIN(2025,E235)))))/2</f>
        <v/>
      </c>
      <c r="AJ235" s="8">
        <f>MAX(0,AH235+(AI235-AH235)*(K235-AG235)/2)</f>
        <v/>
      </c>
      <c r="AK235" s="8">
        <f>K235+AJ235</f>
        <v/>
      </c>
      <c r="AL235" s="14">
        <f>AE235*AJ235</f>
        <v/>
      </c>
      <c r="AM235" s="17">
        <f>V235/AL235</f>
        <v/>
      </c>
      <c r="AN235" s="17">
        <f>Z235/AL235</f>
        <v/>
      </c>
      <c r="AO235" s="33">
        <f>IF(V235+Z235=0,0,Z235/(V235+Z235))</f>
        <v/>
      </c>
      <c r="AP235" s="14">
        <f>AL235/V235*100</f>
        <v/>
      </c>
      <c r="AQ235" s="8">
        <f>P235/AL235*1000</f>
        <v/>
      </c>
      <c r="AR235" s="77">
        <f>MAX(N235,M235-1)</f>
        <v/>
      </c>
      <c r="AS235" s="14">
        <f>SUMIFS(Donnees_regimes!$R$3:$R$1118,Donnees_regimes!$A$3:$A$1118,C235,Donnees_regimes!$B$3:$B$1118,"&gt;="&amp;G235,Donnees_regimes!$B$3:$B$1118,"&lt;="&amp;N235)*L235/ROUNDUP(L235,0)*SUMIFS(Donnees_annuelles!$AG$3:$AG$188,Donnees_annuelles!$A$3:$A$188,AR235)*SUMIFS(Donnees_annuelles!$AA$3:$AA$188,Donnees_annuelles!$A$3:$A$188,AR235)</f>
        <v/>
      </c>
      <c r="AT235" s="36">
        <f>AS235/V235</f>
        <v/>
      </c>
      <c r="AU235" s="14">
        <f>AL235</f>
        <v/>
      </c>
      <c r="AV235" s="39">
        <f>AS235-AL235</f>
        <v/>
      </c>
      <c r="AW235" s="9">
        <f>AS235/AL235-1</f>
        <v/>
      </c>
      <c r="AX235" s="14">
        <f>AS235/AJ235/12</f>
        <v/>
      </c>
      <c r="AY235" s="14">
        <f>AF235</f>
        <v/>
      </c>
      <c r="AZ235" s="39">
        <f>AX235-AF235</f>
        <v/>
      </c>
      <c r="BA235" s="14">
        <f>SUMIFS(Donnees_regimes!$S$3:$S$1118,Donnees_regimes!$A$3:$A$1118,C235,Donnees_regimes!$B$3:$B$1118,"&gt;="&amp;G235,Donnees_regimes!$B$3:$B$1118,"&lt;="&amp;N235)*L235/ROUNDUP(L235,0)*SUMIFS(Donnees_annuelles!$AH$3:$AH$188,Donnees_annuelles!$A$3:$A$188,AR235)*SUMIFS(Donnees_annuelles!$AA$3:$AA$188,Donnees_annuelles!$A$3:$A$188,AR235)</f>
        <v/>
      </c>
      <c r="BB235" s="39">
        <f>BA235-AL235</f>
        <v/>
      </c>
      <c r="BC235" s="7">
        <f>IF(M235+AJ235&gt;2026,IF(G235&gt;2026,"entièrement projeté","en partie projeté"),"observé")</f>
        <v/>
      </c>
    </row>
    <row r="236">
      <c r="A236" s="7" t="inlineStr">
        <is>
          <t>Génération X</t>
        </is>
      </c>
      <c r="B236" s="84" t="inlineStr">
        <is>
          <t>Fonction publique territoriale et hospitalière</t>
        </is>
      </c>
      <c r="C236" s="7">
        <f>IF(G236&gt;=SUMIFS(Regimes!$C$5:$C$10,Regimes!$A$5:$A$10,B236),"Privé",B236)</f>
        <v/>
      </c>
      <c r="D236" s="7">
        <f>INDEX(Regimes!$D$5:$D$10,MATCH(C236,Regimes!$A$5:$A$10,0))</f>
        <v/>
      </c>
      <c r="E236" s="88" t="n">
        <v>1965</v>
      </c>
      <c r="F236" s="8">
        <f>Donnees_generations!C53</f>
        <v/>
      </c>
      <c r="G236" s="77">
        <f>Donnees_generations!D53</f>
        <v/>
      </c>
      <c r="H236" s="8">
        <f>SUMIFS(Donnees_generations!$S$3:$S$113,Donnees_generations!$A$3:$A$113,MAX(1915,MIN(2025,E236)))</f>
        <v/>
      </c>
      <c r="I236" s="8">
        <f>SUMIFS(Donnees_generations!$T$3:$T$113,Donnees_generations!$A$3:$A$113,MAX(1915,MIN(2025,E236)))</f>
        <v/>
      </c>
      <c r="J236" s="8">
        <f>IF(G236&gt;=2000,MAX(I236,Parametres!$B$3),I236)</f>
        <v/>
      </c>
      <c r="K236" s="8">
        <f>IF(C236="Privé",J236,SUMIFS(Regles_regimes!$J$3:$J$2000,Regles_regimes!$A$3:$A$2000,C236,Regles_regimes!$B$3:$B$2000,D236,Regles_regimes!$C$3:$C$2000,MAX(1915,MIN(2025,E236))))</f>
        <v/>
      </c>
      <c r="L236" s="8">
        <f>IF(C236="Privé",H236,(K236-F236)*H236/(J236-F236))</f>
        <v/>
      </c>
      <c r="M236" s="77">
        <f>INT(E236+K236)</f>
        <v/>
      </c>
      <c r="N236" s="77">
        <f>G236+ROUNDUP(L236,0)-1</f>
        <v/>
      </c>
      <c r="O236" s="89">
        <f>SUMIFS(Regles_regimes!$K$3:$K$2000,Regles_regimes!$A$3:$A$2000,C236,Regles_regimes!$B$3:$B$2000,D236,Regles_regimes!$C$3:$C$2000,MAX(1915,MIN(2025,E236)))</f>
        <v/>
      </c>
      <c r="P236" s="13">
        <f>SUMIFS(Donnees_annuelles!$W$3:$W$188,Donnees_annuelles!$A$3:$A$188,"&gt;="&amp;G236,Donnees_annuelles!$A$3:$A$188,"&lt;="&amp;N236)*L236/ROUNDUP(L236,0)*O236</f>
        <v/>
      </c>
      <c r="Q236" s="13">
        <f>SUMIFS(Donnees_annuelles!$V$3:$V$188,Donnees_annuelles!$A$3:$A$188,"&gt;="&amp;G236,Donnees_annuelles!$A$3:$A$188,"&lt;="&amp;N236)*L236/ROUNDUP(L236,0)</f>
        <v/>
      </c>
      <c r="R236" s="13">
        <f>P236/L236</f>
        <v/>
      </c>
      <c r="S236" s="14">
        <f>SUMIFS(Donnees_annuelles!$D$3:$D$188,Donnees_annuelles!$A$3:$A$188,"&gt;="&amp;G236,Donnees_annuelles!$A$3:$A$188,"&lt;="&amp;N236)*L236/ROUNDUP(L236,0)</f>
        <v/>
      </c>
      <c r="T236" s="14">
        <f>SUMIFS(Donnees_regimes!$N$3:$N$1118,Donnees_regimes!$A$3:$A$1118,C236,Donnees_regimes!$B$3:$B$1118,"&gt;="&amp;G236,Donnees_regimes!$B$3:$B$1118,"&lt;="&amp;N236)*L236/ROUNDUP(L236,0)</f>
        <v/>
      </c>
      <c r="U236" s="14">
        <f>SUMIFS(Donnees_regimes!$O$3:$O$1118,Donnees_regimes!$A$3:$A$1118,C236,Donnees_regimes!$B$3:$B$1118,"&gt;="&amp;G236,Donnees_regimes!$B$3:$B$1118,"&lt;="&amp;N236)*L236/ROUNDUP(L236,0)</f>
        <v/>
      </c>
      <c r="V236" s="14">
        <f>T236+U236</f>
        <v/>
      </c>
      <c r="W236" s="33">
        <f>V236/S236</f>
        <v/>
      </c>
      <c r="X236" s="14">
        <f>S236+U236</f>
        <v/>
      </c>
      <c r="Y236" s="17">
        <f>V236/P236</f>
        <v/>
      </c>
      <c r="Z236" s="14">
        <f>SUMIFS(Donnees_regimes!$Q$3:$Q$1118,Donnees_regimes!$A$3:$A$1118,C236,Donnees_regimes!$B$3:$B$1118,"&gt;="&amp;G236,Donnees_regimes!$B$3:$B$1118,"&lt;="&amp;N236)*L236/ROUNDUP(L236,0)</f>
        <v/>
      </c>
      <c r="AA236" s="77">
        <f>SUMIFS(Regles_regimes!$F$3:$F$2000,Regles_regimes!$A$3:$A$2000,C236,Regles_regimes!$B$3:$B$2000,D236,Regles_regimes!$C$3:$C$2000,MAX(1915,MIN(2025,E236)))</f>
        <v/>
      </c>
      <c r="AB236" s="77">
        <f>IF(AND(SUMIFS(Regles_regimes!$L$3:$L$2000,Regles_regimes!$A$3:$A$2000,C236,Regles_regimes!$B$3:$B$2000,D236,Regles_regimes!$C$3:$C$2000,MAX(1915,MIN(2025,E236)))=1,G236&lt;2009,C236&lt;&gt;"Privé"),MIN(20,L236*4/5),0)</f>
        <v/>
      </c>
      <c r="AC236" s="89">
        <f>SUMIFS(Donnees_regimes!$M$3:$M$1118,Donnees_regimes!$A$3:$A$1118,C236,Donnees_regimes!$B$3:$B$1118,M236)</f>
        <v/>
      </c>
      <c r="AD236" s="14">
        <f>SUMIFS(Donnees_annuelles!$Y$3:$Y$188,Donnees_annuelles!$A$3:$A$188,M236)*SUMIFS(Donnees_generations!$I$3:$I$113,Donnees_generations!$A$3:$A$113,MAX(1915,MIN(2025,E236)))/H236</f>
        <v/>
      </c>
      <c r="AE236" s="14">
        <f>IF(C236="Privé",SUMIFS(Donnees_annuelles!$Y$3:$Y$188,Donnees_annuelles!$A$3:$A$188,M236)*MIN(L236,SUMIFS(Donnees_generations!$I$3:$I$113,Donnees_generations!$A$3:$A$113,MAX(1915,MIN(2025,E236))))/L236,AD236*AC236*MIN(IF(AB236&gt;0,0.8/0.75,1),(L236*4+AB236)/AA236))</f>
        <v/>
      </c>
      <c r="AF236" s="14">
        <f>AE236/12</f>
        <v/>
      </c>
      <c r="AG236" s="77">
        <f>MIN(68,MAX(56,2*INT(K236/2)))</f>
        <v/>
      </c>
      <c r="AH236" s="75">
        <f>(CHOOSE((AG236-56)/2+1,SUMIFS(Donnees_generations!$U$3:$U$113,Donnees_generations!$A$3:$A$113,MAX(1915,MIN(2025,E236))),SUMIFS(Donnees_generations!$V$3:$V$113,Donnees_generations!$A$3:$A$113,MAX(1915,MIN(2025,E236))),SUMIFS(Donnees_generations!$W$3:$W$113,Donnees_generations!$A$3:$A$113,MAX(1915,MIN(2025,E236))),SUMIFS(Donnees_generations!$X$3:$X$113,Donnees_generations!$A$3:$A$113,MAX(1915,MIN(2025,E236))),SUMIFS(Donnees_generations!$Y$3:$Y$113,Donnees_generations!$A$3:$A$113,MAX(1915,MIN(2025,E236))),SUMIFS(Donnees_generations!$Z$3:$Z$113,Donnees_generations!$A$3:$A$113,MAX(1915,MIN(2025,E236))),SUMIFS(Donnees_generations!$AA$3:$AA$113,Donnees_generations!$A$3:$A$113,MAX(1915,MIN(2025,E236))),SUMIFS(Donnees_generations!$AB$3:$AB$113,Donnees_generations!$A$3:$A$113,MAX(1915,MIN(2025,E236))))+CHOOSE((AG236-56)/2+1,SUMIFS(Donnees_generations!$AC$3:$AC$113,Donnees_generations!$A$3:$A$113,MAX(1915,MIN(2025,E236))),SUMIFS(Donnees_generations!$AD$3:$AD$113,Donnees_generations!$A$3:$A$113,MAX(1915,MIN(2025,E236))),SUMIFS(Donnees_generations!$AE$3:$AE$113,Donnees_generations!$A$3:$A$113,MAX(1915,MIN(2025,E236))),SUMIFS(Donnees_generations!$AF$3:$AF$113,Donnees_generations!$A$3:$A$113,MAX(1915,MIN(2025,E236))),SUMIFS(Donnees_generations!$AG$3:$AG$113,Donnees_generations!$A$3:$A$113,MAX(1915,MIN(2025,E236))),SUMIFS(Donnees_generations!$AH$3:$AH$113,Donnees_generations!$A$3:$A$113,MAX(1915,MIN(2025,E236))),SUMIFS(Donnees_generations!$AI$3:$AI$113,Donnees_generations!$A$3:$A$113,MAX(1915,MIN(2025,E236))),SUMIFS(Donnees_generations!$AJ$3:$AJ$113,Donnees_generations!$A$3:$A$113,MAX(1915,MIN(2025,E236)))))/2</f>
        <v/>
      </c>
      <c r="AI236" s="75">
        <f>(CHOOSE(((AG236+2)-56)/2+1,SUMIFS(Donnees_generations!$U$3:$U$113,Donnees_generations!$A$3:$A$113,MAX(1915,MIN(2025,E236))),SUMIFS(Donnees_generations!$V$3:$V$113,Donnees_generations!$A$3:$A$113,MAX(1915,MIN(2025,E236))),SUMIFS(Donnees_generations!$W$3:$W$113,Donnees_generations!$A$3:$A$113,MAX(1915,MIN(2025,E236))),SUMIFS(Donnees_generations!$X$3:$X$113,Donnees_generations!$A$3:$A$113,MAX(1915,MIN(2025,E236))),SUMIFS(Donnees_generations!$Y$3:$Y$113,Donnees_generations!$A$3:$A$113,MAX(1915,MIN(2025,E236))),SUMIFS(Donnees_generations!$Z$3:$Z$113,Donnees_generations!$A$3:$A$113,MAX(1915,MIN(2025,E236))),SUMIFS(Donnees_generations!$AA$3:$AA$113,Donnees_generations!$A$3:$A$113,MAX(1915,MIN(2025,E236))),SUMIFS(Donnees_generations!$AB$3:$AB$113,Donnees_generations!$A$3:$A$113,MAX(1915,MIN(2025,E236))))+CHOOSE(((AG236+2)-56)/2+1,SUMIFS(Donnees_generations!$AC$3:$AC$113,Donnees_generations!$A$3:$A$113,MAX(1915,MIN(2025,E236))),SUMIFS(Donnees_generations!$AD$3:$AD$113,Donnees_generations!$A$3:$A$113,MAX(1915,MIN(2025,E236))),SUMIFS(Donnees_generations!$AE$3:$AE$113,Donnees_generations!$A$3:$A$113,MAX(1915,MIN(2025,E236))),SUMIFS(Donnees_generations!$AF$3:$AF$113,Donnees_generations!$A$3:$A$113,MAX(1915,MIN(2025,E236))),SUMIFS(Donnees_generations!$AG$3:$AG$113,Donnees_generations!$A$3:$A$113,MAX(1915,MIN(2025,E236))),SUMIFS(Donnees_generations!$AH$3:$AH$113,Donnees_generations!$A$3:$A$113,MAX(1915,MIN(2025,E236))),SUMIFS(Donnees_generations!$AI$3:$AI$113,Donnees_generations!$A$3:$A$113,MAX(1915,MIN(2025,E236))),SUMIFS(Donnees_generations!$AJ$3:$AJ$113,Donnees_generations!$A$3:$A$113,MAX(1915,MIN(2025,E236)))))/2</f>
        <v/>
      </c>
      <c r="AJ236" s="8">
        <f>MAX(0,AH236+(AI236-AH236)*(K236-AG236)/2)</f>
        <v/>
      </c>
      <c r="AK236" s="8">
        <f>K236+AJ236</f>
        <v/>
      </c>
      <c r="AL236" s="14">
        <f>AE236*AJ236</f>
        <v/>
      </c>
      <c r="AM236" s="17">
        <f>V236/AL236</f>
        <v/>
      </c>
      <c r="AN236" s="17">
        <f>Z236/AL236</f>
        <v/>
      </c>
      <c r="AO236" s="33">
        <f>IF(V236+Z236=0,0,Z236/(V236+Z236))</f>
        <v/>
      </c>
      <c r="AP236" s="14">
        <f>AL236/V236*100</f>
        <v/>
      </c>
      <c r="AQ236" s="8">
        <f>P236/AL236*1000</f>
        <v/>
      </c>
      <c r="AR236" s="77">
        <f>MAX(N236,M236-1)</f>
        <v/>
      </c>
      <c r="AS236" s="14">
        <f>SUMIFS(Donnees_regimes!$R$3:$R$1118,Donnees_regimes!$A$3:$A$1118,C236,Donnees_regimes!$B$3:$B$1118,"&gt;="&amp;G236,Donnees_regimes!$B$3:$B$1118,"&lt;="&amp;N236)*L236/ROUNDUP(L236,0)*SUMIFS(Donnees_annuelles!$AG$3:$AG$188,Donnees_annuelles!$A$3:$A$188,AR236)*SUMIFS(Donnees_annuelles!$AA$3:$AA$188,Donnees_annuelles!$A$3:$A$188,AR236)</f>
        <v/>
      </c>
      <c r="AT236" s="36">
        <f>AS236/V236</f>
        <v/>
      </c>
      <c r="AU236" s="14">
        <f>AL236</f>
        <v/>
      </c>
      <c r="AV236" s="39">
        <f>AS236-AL236</f>
        <v/>
      </c>
      <c r="AW236" s="9">
        <f>AS236/AL236-1</f>
        <v/>
      </c>
      <c r="AX236" s="14">
        <f>AS236/AJ236/12</f>
        <v/>
      </c>
      <c r="AY236" s="14">
        <f>AF236</f>
        <v/>
      </c>
      <c r="AZ236" s="39">
        <f>AX236-AF236</f>
        <v/>
      </c>
      <c r="BA236" s="14">
        <f>SUMIFS(Donnees_regimes!$S$3:$S$1118,Donnees_regimes!$A$3:$A$1118,C236,Donnees_regimes!$B$3:$B$1118,"&gt;="&amp;G236,Donnees_regimes!$B$3:$B$1118,"&lt;="&amp;N236)*L236/ROUNDUP(L236,0)*SUMIFS(Donnees_annuelles!$AH$3:$AH$188,Donnees_annuelles!$A$3:$A$188,AR236)*SUMIFS(Donnees_annuelles!$AA$3:$AA$188,Donnees_annuelles!$A$3:$A$188,AR236)</f>
        <v/>
      </c>
      <c r="BB236" s="39">
        <f>BA236-AL236</f>
        <v/>
      </c>
      <c r="BC236" s="7">
        <f>IF(M236+AJ236&gt;2026,IF(G236&gt;2026,"entièrement projeté","en partie projeté"),"observé")</f>
        <v/>
      </c>
    </row>
    <row r="237">
      <c r="A237" s="7" t="inlineStr">
        <is>
          <t>Génération X</t>
        </is>
      </c>
      <c r="B237" s="84" t="inlineStr">
        <is>
          <t>Fonction publique territoriale et hospitalière</t>
        </is>
      </c>
      <c r="C237" s="7">
        <f>IF(G237&gt;=SUMIFS(Regimes!$C$5:$C$10,Regimes!$A$5:$A$10,B237),"Privé",B237)</f>
        <v/>
      </c>
      <c r="D237" s="7">
        <f>INDEX(Regimes!$D$5:$D$10,MATCH(C237,Regimes!$A$5:$A$10,0))</f>
        <v/>
      </c>
      <c r="E237" s="88" t="n">
        <v>1966</v>
      </c>
      <c r="F237" s="8">
        <f>Donnees_generations!C54</f>
        <v/>
      </c>
      <c r="G237" s="77">
        <f>Donnees_generations!D54</f>
        <v/>
      </c>
      <c r="H237" s="8">
        <f>SUMIFS(Donnees_generations!$S$3:$S$113,Donnees_generations!$A$3:$A$113,MAX(1915,MIN(2025,E237)))</f>
        <v/>
      </c>
      <c r="I237" s="8">
        <f>SUMIFS(Donnees_generations!$T$3:$T$113,Donnees_generations!$A$3:$A$113,MAX(1915,MIN(2025,E237)))</f>
        <v/>
      </c>
      <c r="J237" s="8">
        <f>IF(G237&gt;=2000,MAX(I237,Parametres!$B$3),I237)</f>
        <v/>
      </c>
      <c r="K237" s="8">
        <f>IF(C237="Privé",J237,SUMIFS(Regles_regimes!$J$3:$J$2000,Regles_regimes!$A$3:$A$2000,C237,Regles_regimes!$B$3:$B$2000,D237,Regles_regimes!$C$3:$C$2000,MAX(1915,MIN(2025,E237))))</f>
        <v/>
      </c>
      <c r="L237" s="8">
        <f>IF(C237="Privé",H237,(K237-F237)*H237/(J237-F237))</f>
        <v/>
      </c>
      <c r="M237" s="77">
        <f>INT(E237+K237)</f>
        <v/>
      </c>
      <c r="N237" s="77">
        <f>G237+ROUNDUP(L237,0)-1</f>
        <v/>
      </c>
      <c r="O237" s="89">
        <f>SUMIFS(Regles_regimes!$K$3:$K$2000,Regles_regimes!$A$3:$A$2000,C237,Regles_regimes!$B$3:$B$2000,D237,Regles_regimes!$C$3:$C$2000,MAX(1915,MIN(2025,E237)))</f>
        <v/>
      </c>
      <c r="P237" s="13">
        <f>SUMIFS(Donnees_annuelles!$W$3:$W$188,Donnees_annuelles!$A$3:$A$188,"&gt;="&amp;G237,Donnees_annuelles!$A$3:$A$188,"&lt;="&amp;N237)*L237/ROUNDUP(L237,0)*O237</f>
        <v/>
      </c>
      <c r="Q237" s="13">
        <f>SUMIFS(Donnees_annuelles!$V$3:$V$188,Donnees_annuelles!$A$3:$A$188,"&gt;="&amp;G237,Donnees_annuelles!$A$3:$A$188,"&lt;="&amp;N237)*L237/ROUNDUP(L237,0)</f>
        <v/>
      </c>
      <c r="R237" s="13">
        <f>P237/L237</f>
        <v/>
      </c>
      <c r="S237" s="14">
        <f>SUMIFS(Donnees_annuelles!$D$3:$D$188,Donnees_annuelles!$A$3:$A$188,"&gt;="&amp;G237,Donnees_annuelles!$A$3:$A$188,"&lt;="&amp;N237)*L237/ROUNDUP(L237,0)</f>
        <v/>
      </c>
      <c r="T237" s="14">
        <f>SUMIFS(Donnees_regimes!$N$3:$N$1118,Donnees_regimes!$A$3:$A$1118,C237,Donnees_regimes!$B$3:$B$1118,"&gt;="&amp;G237,Donnees_regimes!$B$3:$B$1118,"&lt;="&amp;N237)*L237/ROUNDUP(L237,0)</f>
        <v/>
      </c>
      <c r="U237" s="14">
        <f>SUMIFS(Donnees_regimes!$O$3:$O$1118,Donnees_regimes!$A$3:$A$1118,C237,Donnees_regimes!$B$3:$B$1118,"&gt;="&amp;G237,Donnees_regimes!$B$3:$B$1118,"&lt;="&amp;N237)*L237/ROUNDUP(L237,0)</f>
        <v/>
      </c>
      <c r="V237" s="14">
        <f>T237+U237</f>
        <v/>
      </c>
      <c r="W237" s="33">
        <f>V237/S237</f>
        <v/>
      </c>
      <c r="X237" s="14">
        <f>S237+U237</f>
        <v/>
      </c>
      <c r="Y237" s="17">
        <f>V237/P237</f>
        <v/>
      </c>
      <c r="Z237" s="14">
        <f>SUMIFS(Donnees_regimes!$Q$3:$Q$1118,Donnees_regimes!$A$3:$A$1118,C237,Donnees_regimes!$B$3:$B$1118,"&gt;="&amp;G237,Donnees_regimes!$B$3:$B$1118,"&lt;="&amp;N237)*L237/ROUNDUP(L237,0)</f>
        <v/>
      </c>
      <c r="AA237" s="77">
        <f>SUMIFS(Regles_regimes!$F$3:$F$2000,Regles_regimes!$A$3:$A$2000,C237,Regles_regimes!$B$3:$B$2000,D237,Regles_regimes!$C$3:$C$2000,MAX(1915,MIN(2025,E237)))</f>
        <v/>
      </c>
      <c r="AB237" s="77">
        <f>IF(AND(SUMIFS(Regles_regimes!$L$3:$L$2000,Regles_regimes!$A$3:$A$2000,C237,Regles_regimes!$B$3:$B$2000,D237,Regles_regimes!$C$3:$C$2000,MAX(1915,MIN(2025,E237)))=1,G237&lt;2009,C237&lt;&gt;"Privé"),MIN(20,L237*4/5),0)</f>
        <v/>
      </c>
      <c r="AC237" s="89">
        <f>SUMIFS(Donnees_regimes!$M$3:$M$1118,Donnees_regimes!$A$3:$A$1118,C237,Donnees_regimes!$B$3:$B$1118,M237)</f>
        <v/>
      </c>
      <c r="AD237" s="14">
        <f>SUMIFS(Donnees_annuelles!$Y$3:$Y$188,Donnees_annuelles!$A$3:$A$188,M237)*SUMIFS(Donnees_generations!$I$3:$I$113,Donnees_generations!$A$3:$A$113,MAX(1915,MIN(2025,E237)))/H237</f>
        <v/>
      </c>
      <c r="AE237" s="14">
        <f>IF(C237="Privé",SUMIFS(Donnees_annuelles!$Y$3:$Y$188,Donnees_annuelles!$A$3:$A$188,M237)*MIN(L237,SUMIFS(Donnees_generations!$I$3:$I$113,Donnees_generations!$A$3:$A$113,MAX(1915,MIN(2025,E237))))/L237,AD237*AC237*MIN(IF(AB237&gt;0,0.8/0.75,1),(L237*4+AB237)/AA237))</f>
        <v/>
      </c>
      <c r="AF237" s="14">
        <f>AE237/12</f>
        <v/>
      </c>
      <c r="AG237" s="77">
        <f>MIN(68,MAX(56,2*INT(K237/2)))</f>
        <v/>
      </c>
      <c r="AH237" s="75">
        <f>(CHOOSE((AG237-56)/2+1,SUMIFS(Donnees_generations!$U$3:$U$113,Donnees_generations!$A$3:$A$113,MAX(1915,MIN(2025,E237))),SUMIFS(Donnees_generations!$V$3:$V$113,Donnees_generations!$A$3:$A$113,MAX(1915,MIN(2025,E237))),SUMIFS(Donnees_generations!$W$3:$W$113,Donnees_generations!$A$3:$A$113,MAX(1915,MIN(2025,E237))),SUMIFS(Donnees_generations!$X$3:$X$113,Donnees_generations!$A$3:$A$113,MAX(1915,MIN(2025,E237))),SUMIFS(Donnees_generations!$Y$3:$Y$113,Donnees_generations!$A$3:$A$113,MAX(1915,MIN(2025,E237))),SUMIFS(Donnees_generations!$Z$3:$Z$113,Donnees_generations!$A$3:$A$113,MAX(1915,MIN(2025,E237))),SUMIFS(Donnees_generations!$AA$3:$AA$113,Donnees_generations!$A$3:$A$113,MAX(1915,MIN(2025,E237))),SUMIFS(Donnees_generations!$AB$3:$AB$113,Donnees_generations!$A$3:$A$113,MAX(1915,MIN(2025,E237))))+CHOOSE((AG237-56)/2+1,SUMIFS(Donnees_generations!$AC$3:$AC$113,Donnees_generations!$A$3:$A$113,MAX(1915,MIN(2025,E237))),SUMIFS(Donnees_generations!$AD$3:$AD$113,Donnees_generations!$A$3:$A$113,MAX(1915,MIN(2025,E237))),SUMIFS(Donnees_generations!$AE$3:$AE$113,Donnees_generations!$A$3:$A$113,MAX(1915,MIN(2025,E237))),SUMIFS(Donnees_generations!$AF$3:$AF$113,Donnees_generations!$A$3:$A$113,MAX(1915,MIN(2025,E237))),SUMIFS(Donnees_generations!$AG$3:$AG$113,Donnees_generations!$A$3:$A$113,MAX(1915,MIN(2025,E237))),SUMIFS(Donnees_generations!$AH$3:$AH$113,Donnees_generations!$A$3:$A$113,MAX(1915,MIN(2025,E237))),SUMIFS(Donnees_generations!$AI$3:$AI$113,Donnees_generations!$A$3:$A$113,MAX(1915,MIN(2025,E237))),SUMIFS(Donnees_generations!$AJ$3:$AJ$113,Donnees_generations!$A$3:$A$113,MAX(1915,MIN(2025,E237)))))/2</f>
        <v/>
      </c>
      <c r="AI237" s="75">
        <f>(CHOOSE(((AG237+2)-56)/2+1,SUMIFS(Donnees_generations!$U$3:$U$113,Donnees_generations!$A$3:$A$113,MAX(1915,MIN(2025,E237))),SUMIFS(Donnees_generations!$V$3:$V$113,Donnees_generations!$A$3:$A$113,MAX(1915,MIN(2025,E237))),SUMIFS(Donnees_generations!$W$3:$W$113,Donnees_generations!$A$3:$A$113,MAX(1915,MIN(2025,E237))),SUMIFS(Donnees_generations!$X$3:$X$113,Donnees_generations!$A$3:$A$113,MAX(1915,MIN(2025,E237))),SUMIFS(Donnees_generations!$Y$3:$Y$113,Donnees_generations!$A$3:$A$113,MAX(1915,MIN(2025,E237))),SUMIFS(Donnees_generations!$Z$3:$Z$113,Donnees_generations!$A$3:$A$113,MAX(1915,MIN(2025,E237))),SUMIFS(Donnees_generations!$AA$3:$AA$113,Donnees_generations!$A$3:$A$113,MAX(1915,MIN(2025,E237))),SUMIFS(Donnees_generations!$AB$3:$AB$113,Donnees_generations!$A$3:$A$113,MAX(1915,MIN(2025,E237))))+CHOOSE(((AG237+2)-56)/2+1,SUMIFS(Donnees_generations!$AC$3:$AC$113,Donnees_generations!$A$3:$A$113,MAX(1915,MIN(2025,E237))),SUMIFS(Donnees_generations!$AD$3:$AD$113,Donnees_generations!$A$3:$A$113,MAX(1915,MIN(2025,E237))),SUMIFS(Donnees_generations!$AE$3:$AE$113,Donnees_generations!$A$3:$A$113,MAX(1915,MIN(2025,E237))),SUMIFS(Donnees_generations!$AF$3:$AF$113,Donnees_generations!$A$3:$A$113,MAX(1915,MIN(2025,E237))),SUMIFS(Donnees_generations!$AG$3:$AG$113,Donnees_generations!$A$3:$A$113,MAX(1915,MIN(2025,E237))),SUMIFS(Donnees_generations!$AH$3:$AH$113,Donnees_generations!$A$3:$A$113,MAX(1915,MIN(2025,E237))),SUMIFS(Donnees_generations!$AI$3:$AI$113,Donnees_generations!$A$3:$A$113,MAX(1915,MIN(2025,E237))),SUMIFS(Donnees_generations!$AJ$3:$AJ$113,Donnees_generations!$A$3:$A$113,MAX(1915,MIN(2025,E237)))))/2</f>
        <v/>
      </c>
      <c r="AJ237" s="8">
        <f>MAX(0,AH237+(AI237-AH237)*(K237-AG237)/2)</f>
        <v/>
      </c>
      <c r="AK237" s="8">
        <f>K237+AJ237</f>
        <v/>
      </c>
      <c r="AL237" s="14">
        <f>AE237*AJ237</f>
        <v/>
      </c>
      <c r="AM237" s="17">
        <f>V237/AL237</f>
        <v/>
      </c>
      <c r="AN237" s="17">
        <f>Z237/AL237</f>
        <v/>
      </c>
      <c r="AO237" s="33">
        <f>IF(V237+Z237=0,0,Z237/(V237+Z237))</f>
        <v/>
      </c>
      <c r="AP237" s="14">
        <f>AL237/V237*100</f>
        <v/>
      </c>
      <c r="AQ237" s="8">
        <f>P237/AL237*1000</f>
        <v/>
      </c>
      <c r="AR237" s="77">
        <f>MAX(N237,M237-1)</f>
        <v/>
      </c>
      <c r="AS237" s="14">
        <f>SUMIFS(Donnees_regimes!$R$3:$R$1118,Donnees_regimes!$A$3:$A$1118,C237,Donnees_regimes!$B$3:$B$1118,"&gt;="&amp;G237,Donnees_regimes!$B$3:$B$1118,"&lt;="&amp;N237)*L237/ROUNDUP(L237,0)*SUMIFS(Donnees_annuelles!$AG$3:$AG$188,Donnees_annuelles!$A$3:$A$188,AR237)*SUMIFS(Donnees_annuelles!$AA$3:$AA$188,Donnees_annuelles!$A$3:$A$188,AR237)</f>
        <v/>
      </c>
      <c r="AT237" s="36">
        <f>AS237/V237</f>
        <v/>
      </c>
      <c r="AU237" s="14">
        <f>AL237</f>
        <v/>
      </c>
      <c r="AV237" s="39">
        <f>AS237-AL237</f>
        <v/>
      </c>
      <c r="AW237" s="9">
        <f>AS237/AL237-1</f>
        <v/>
      </c>
      <c r="AX237" s="14">
        <f>AS237/AJ237/12</f>
        <v/>
      </c>
      <c r="AY237" s="14">
        <f>AF237</f>
        <v/>
      </c>
      <c r="AZ237" s="39">
        <f>AX237-AF237</f>
        <v/>
      </c>
      <c r="BA237" s="14">
        <f>SUMIFS(Donnees_regimes!$S$3:$S$1118,Donnees_regimes!$A$3:$A$1118,C237,Donnees_regimes!$B$3:$B$1118,"&gt;="&amp;G237,Donnees_regimes!$B$3:$B$1118,"&lt;="&amp;N237)*L237/ROUNDUP(L237,0)*SUMIFS(Donnees_annuelles!$AH$3:$AH$188,Donnees_annuelles!$A$3:$A$188,AR237)*SUMIFS(Donnees_annuelles!$AA$3:$AA$188,Donnees_annuelles!$A$3:$A$188,AR237)</f>
        <v/>
      </c>
      <c r="BB237" s="39">
        <f>BA237-AL237</f>
        <v/>
      </c>
      <c r="BC237" s="7">
        <f>IF(M237+AJ237&gt;2026,IF(G237&gt;2026,"entièrement projeté","en partie projeté"),"observé")</f>
        <v/>
      </c>
    </row>
    <row r="238">
      <c r="A238" s="7" t="inlineStr">
        <is>
          <t>Génération X</t>
        </is>
      </c>
      <c r="B238" s="84" t="inlineStr">
        <is>
          <t>Fonction publique territoriale et hospitalière</t>
        </is>
      </c>
      <c r="C238" s="7">
        <f>IF(G238&gt;=SUMIFS(Regimes!$C$5:$C$10,Regimes!$A$5:$A$10,B238),"Privé",B238)</f>
        <v/>
      </c>
      <c r="D238" s="7">
        <f>INDEX(Regimes!$D$5:$D$10,MATCH(C238,Regimes!$A$5:$A$10,0))</f>
        <v/>
      </c>
      <c r="E238" s="88" t="n">
        <v>1967</v>
      </c>
      <c r="F238" s="8">
        <f>Donnees_generations!C55</f>
        <v/>
      </c>
      <c r="G238" s="77">
        <f>Donnees_generations!D55</f>
        <v/>
      </c>
      <c r="H238" s="8">
        <f>SUMIFS(Donnees_generations!$S$3:$S$113,Donnees_generations!$A$3:$A$113,MAX(1915,MIN(2025,E238)))</f>
        <v/>
      </c>
      <c r="I238" s="8">
        <f>SUMIFS(Donnees_generations!$T$3:$T$113,Donnees_generations!$A$3:$A$113,MAX(1915,MIN(2025,E238)))</f>
        <v/>
      </c>
      <c r="J238" s="8">
        <f>IF(G238&gt;=2000,MAX(I238,Parametres!$B$3),I238)</f>
        <v/>
      </c>
      <c r="K238" s="8">
        <f>IF(C238="Privé",J238,SUMIFS(Regles_regimes!$J$3:$J$2000,Regles_regimes!$A$3:$A$2000,C238,Regles_regimes!$B$3:$B$2000,D238,Regles_regimes!$C$3:$C$2000,MAX(1915,MIN(2025,E238))))</f>
        <v/>
      </c>
      <c r="L238" s="8">
        <f>IF(C238="Privé",H238,(K238-F238)*H238/(J238-F238))</f>
        <v/>
      </c>
      <c r="M238" s="77">
        <f>INT(E238+K238)</f>
        <v/>
      </c>
      <c r="N238" s="77">
        <f>G238+ROUNDUP(L238,0)-1</f>
        <v/>
      </c>
      <c r="O238" s="89">
        <f>SUMIFS(Regles_regimes!$K$3:$K$2000,Regles_regimes!$A$3:$A$2000,C238,Regles_regimes!$B$3:$B$2000,D238,Regles_regimes!$C$3:$C$2000,MAX(1915,MIN(2025,E238)))</f>
        <v/>
      </c>
      <c r="P238" s="13">
        <f>SUMIFS(Donnees_annuelles!$W$3:$W$188,Donnees_annuelles!$A$3:$A$188,"&gt;="&amp;G238,Donnees_annuelles!$A$3:$A$188,"&lt;="&amp;N238)*L238/ROUNDUP(L238,0)*O238</f>
        <v/>
      </c>
      <c r="Q238" s="13">
        <f>SUMIFS(Donnees_annuelles!$V$3:$V$188,Donnees_annuelles!$A$3:$A$188,"&gt;="&amp;G238,Donnees_annuelles!$A$3:$A$188,"&lt;="&amp;N238)*L238/ROUNDUP(L238,0)</f>
        <v/>
      </c>
      <c r="R238" s="13">
        <f>P238/L238</f>
        <v/>
      </c>
      <c r="S238" s="14">
        <f>SUMIFS(Donnees_annuelles!$D$3:$D$188,Donnees_annuelles!$A$3:$A$188,"&gt;="&amp;G238,Donnees_annuelles!$A$3:$A$188,"&lt;="&amp;N238)*L238/ROUNDUP(L238,0)</f>
        <v/>
      </c>
      <c r="T238" s="14">
        <f>SUMIFS(Donnees_regimes!$N$3:$N$1118,Donnees_regimes!$A$3:$A$1118,C238,Donnees_regimes!$B$3:$B$1118,"&gt;="&amp;G238,Donnees_regimes!$B$3:$B$1118,"&lt;="&amp;N238)*L238/ROUNDUP(L238,0)</f>
        <v/>
      </c>
      <c r="U238" s="14">
        <f>SUMIFS(Donnees_regimes!$O$3:$O$1118,Donnees_regimes!$A$3:$A$1118,C238,Donnees_regimes!$B$3:$B$1118,"&gt;="&amp;G238,Donnees_regimes!$B$3:$B$1118,"&lt;="&amp;N238)*L238/ROUNDUP(L238,0)</f>
        <v/>
      </c>
      <c r="V238" s="14">
        <f>T238+U238</f>
        <v/>
      </c>
      <c r="W238" s="33">
        <f>V238/S238</f>
        <v/>
      </c>
      <c r="X238" s="14">
        <f>S238+U238</f>
        <v/>
      </c>
      <c r="Y238" s="17">
        <f>V238/P238</f>
        <v/>
      </c>
      <c r="Z238" s="14">
        <f>SUMIFS(Donnees_regimes!$Q$3:$Q$1118,Donnees_regimes!$A$3:$A$1118,C238,Donnees_regimes!$B$3:$B$1118,"&gt;="&amp;G238,Donnees_regimes!$B$3:$B$1118,"&lt;="&amp;N238)*L238/ROUNDUP(L238,0)</f>
        <v/>
      </c>
      <c r="AA238" s="77">
        <f>SUMIFS(Regles_regimes!$F$3:$F$2000,Regles_regimes!$A$3:$A$2000,C238,Regles_regimes!$B$3:$B$2000,D238,Regles_regimes!$C$3:$C$2000,MAX(1915,MIN(2025,E238)))</f>
        <v/>
      </c>
      <c r="AB238" s="77">
        <f>IF(AND(SUMIFS(Regles_regimes!$L$3:$L$2000,Regles_regimes!$A$3:$A$2000,C238,Regles_regimes!$B$3:$B$2000,D238,Regles_regimes!$C$3:$C$2000,MAX(1915,MIN(2025,E238)))=1,G238&lt;2009,C238&lt;&gt;"Privé"),MIN(20,L238*4/5),0)</f>
        <v/>
      </c>
      <c r="AC238" s="89">
        <f>SUMIFS(Donnees_regimes!$M$3:$M$1118,Donnees_regimes!$A$3:$A$1118,C238,Donnees_regimes!$B$3:$B$1118,M238)</f>
        <v/>
      </c>
      <c r="AD238" s="14">
        <f>SUMIFS(Donnees_annuelles!$Y$3:$Y$188,Donnees_annuelles!$A$3:$A$188,M238)*SUMIFS(Donnees_generations!$I$3:$I$113,Donnees_generations!$A$3:$A$113,MAX(1915,MIN(2025,E238)))/H238</f>
        <v/>
      </c>
      <c r="AE238" s="14">
        <f>IF(C238="Privé",SUMIFS(Donnees_annuelles!$Y$3:$Y$188,Donnees_annuelles!$A$3:$A$188,M238)*MIN(L238,SUMIFS(Donnees_generations!$I$3:$I$113,Donnees_generations!$A$3:$A$113,MAX(1915,MIN(2025,E238))))/L238,AD238*AC238*MIN(IF(AB238&gt;0,0.8/0.75,1),(L238*4+AB238)/AA238))</f>
        <v/>
      </c>
      <c r="AF238" s="14">
        <f>AE238/12</f>
        <v/>
      </c>
      <c r="AG238" s="77">
        <f>MIN(68,MAX(56,2*INT(K238/2)))</f>
        <v/>
      </c>
      <c r="AH238" s="75">
        <f>(CHOOSE((AG238-56)/2+1,SUMIFS(Donnees_generations!$U$3:$U$113,Donnees_generations!$A$3:$A$113,MAX(1915,MIN(2025,E238))),SUMIFS(Donnees_generations!$V$3:$V$113,Donnees_generations!$A$3:$A$113,MAX(1915,MIN(2025,E238))),SUMIFS(Donnees_generations!$W$3:$W$113,Donnees_generations!$A$3:$A$113,MAX(1915,MIN(2025,E238))),SUMIFS(Donnees_generations!$X$3:$X$113,Donnees_generations!$A$3:$A$113,MAX(1915,MIN(2025,E238))),SUMIFS(Donnees_generations!$Y$3:$Y$113,Donnees_generations!$A$3:$A$113,MAX(1915,MIN(2025,E238))),SUMIFS(Donnees_generations!$Z$3:$Z$113,Donnees_generations!$A$3:$A$113,MAX(1915,MIN(2025,E238))),SUMIFS(Donnees_generations!$AA$3:$AA$113,Donnees_generations!$A$3:$A$113,MAX(1915,MIN(2025,E238))),SUMIFS(Donnees_generations!$AB$3:$AB$113,Donnees_generations!$A$3:$A$113,MAX(1915,MIN(2025,E238))))+CHOOSE((AG238-56)/2+1,SUMIFS(Donnees_generations!$AC$3:$AC$113,Donnees_generations!$A$3:$A$113,MAX(1915,MIN(2025,E238))),SUMIFS(Donnees_generations!$AD$3:$AD$113,Donnees_generations!$A$3:$A$113,MAX(1915,MIN(2025,E238))),SUMIFS(Donnees_generations!$AE$3:$AE$113,Donnees_generations!$A$3:$A$113,MAX(1915,MIN(2025,E238))),SUMIFS(Donnees_generations!$AF$3:$AF$113,Donnees_generations!$A$3:$A$113,MAX(1915,MIN(2025,E238))),SUMIFS(Donnees_generations!$AG$3:$AG$113,Donnees_generations!$A$3:$A$113,MAX(1915,MIN(2025,E238))),SUMIFS(Donnees_generations!$AH$3:$AH$113,Donnees_generations!$A$3:$A$113,MAX(1915,MIN(2025,E238))),SUMIFS(Donnees_generations!$AI$3:$AI$113,Donnees_generations!$A$3:$A$113,MAX(1915,MIN(2025,E238))),SUMIFS(Donnees_generations!$AJ$3:$AJ$113,Donnees_generations!$A$3:$A$113,MAX(1915,MIN(2025,E238)))))/2</f>
        <v/>
      </c>
      <c r="AI238" s="75">
        <f>(CHOOSE(((AG238+2)-56)/2+1,SUMIFS(Donnees_generations!$U$3:$U$113,Donnees_generations!$A$3:$A$113,MAX(1915,MIN(2025,E238))),SUMIFS(Donnees_generations!$V$3:$V$113,Donnees_generations!$A$3:$A$113,MAX(1915,MIN(2025,E238))),SUMIFS(Donnees_generations!$W$3:$W$113,Donnees_generations!$A$3:$A$113,MAX(1915,MIN(2025,E238))),SUMIFS(Donnees_generations!$X$3:$X$113,Donnees_generations!$A$3:$A$113,MAX(1915,MIN(2025,E238))),SUMIFS(Donnees_generations!$Y$3:$Y$113,Donnees_generations!$A$3:$A$113,MAX(1915,MIN(2025,E238))),SUMIFS(Donnees_generations!$Z$3:$Z$113,Donnees_generations!$A$3:$A$113,MAX(1915,MIN(2025,E238))),SUMIFS(Donnees_generations!$AA$3:$AA$113,Donnees_generations!$A$3:$A$113,MAX(1915,MIN(2025,E238))),SUMIFS(Donnees_generations!$AB$3:$AB$113,Donnees_generations!$A$3:$A$113,MAX(1915,MIN(2025,E238))))+CHOOSE(((AG238+2)-56)/2+1,SUMIFS(Donnees_generations!$AC$3:$AC$113,Donnees_generations!$A$3:$A$113,MAX(1915,MIN(2025,E238))),SUMIFS(Donnees_generations!$AD$3:$AD$113,Donnees_generations!$A$3:$A$113,MAX(1915,MIN(2025,E238))),SUMIFS(Donnees_generations!$AE$3:$AE$113,Donnees_generations!$A$3:$A$113,MAX(1915,MIN(2025,E238))),SUMIFS(Donnees_generations!$AF$3:$AF$113,Donnees_generations!$A$3:$A$113,MAX(1915,MIN(2025,E238))),SUMIFS(Donnees_generations!$AG$3:$AG$113,Donnees_generations!$A$3:$A$113,MAX(1915,MIN(2025,E238))),SUMIFS(Donnees_generations!$AH$3:$AH$113,Donnees_generations!$A$3:$A$113,MAX(1915,MIN(2025,E238))),SUMIFS(Donnees_generations!$AI$3:$AI$113,Donnees_generations!$A$3:$A$113,MAX(1915,MIN(2025,E238))),SUMIFS(Donnees_generations!$AJ$3:$AJ$113,Donnees_generations!$A$3:$A$113,MAX(1915,MIN(2025,E238)))))/2</f>
        <v/>
      </c>
      <c r="AJ238" s="8">
        <f>MAX(0,AH238+(AI238-AH238)*(K238-AG238)/2)</f>
        <v/>
      </c>
      <c r="AK238" s="8">
        <f>K238+AJ238</f>
        <v/>
      </c>
      <c r="AL238" s="14">
        <f>AE238*AJ238</f>
        <v/>
      </c>
      <c r="AM238" s="17">
        <f>V238/AL238</f>
        <v/>
      </c>
      <c r="AN238" s="17">
        <f>Z238/AL238</f>
        <v/>
      </c>
      <c r="AO238" s="33">
        <f>IF(V238+Z238=0,0,Z238/(V238+Z238))</f>
        <v/>
      </c>
      <c r="AP238" s="14">
        <f>AL238/V238*100</f>
        <v/>
      </c>
      <c r="AQ238" s="8">
        <f>P238/AL238*1000</f>
        <v/>
      </c>
      <c r="AR238" s="77">
        <f>MAX(N238,M238-1)</f>
        <v/>
      </c>
      <c r="AS238" s="14">
        <f>SUMIFS(Donnees_regimes!$R$3:$R$1118,Donnees_regimes!$A$3:$A$1118,C238,Donnees_regimes!$B$3:$B$1118,"&gt;="&amp;G238,Donnees_regimes!$B$3:$B$1118,"&lt;="&amp;N238)*L238/ROUNDUP(L238,0)*SUMIFS(Donnees_annuelles!$AG$3:$AG$188,Donnees_annuelles!$A$3:$A$188,AR238)*SUMIFS(Donnees_annuelles!$AA$3:$AA$188,Donnees_annuelles!$A$3:$A$188,AR238)</f>
        <v/>
      </c>
      <c r="AT238" s="36">
        <f>AS238/V238</f>
        <v/>
      </c>
      <c r="AU238" s="14">
        <f>AL238</f>
        <v/>
      </c>
      <c r="AV238" s="39">
        <f>AS238-AL238</f>
        <v/>
      </c>
      <c r="AW238" s="9">
        <f>AS238/AL238-1</f>
        <v/>
      </c>
      <c r="AX238" s="14">
        <f>AS238/AJ238/12</f>
        <v/>
      </c>
      <c r="AY238" s="14">
        <f>AF238</f>
        <v/>
      </c>
      <c r="AZ238" s="39">
        <f>AX238-AF238</f>
        <v/>
      </c>
      <c r="BA238" s="14">
        <f>SUMIFS(Donnees_regimes!$S$3:$S$1118,Donnees_regimes!$A$3:$A$1118,C238,Donnees_regimes!$B$3:$B$1118,"&gt;="&amp;G238,Donnees_regimes!$B$3:$B$1118,"&lt;="&amp;N238)*L238/ROUNDUP(L238,0)*SUMIFS(Donnees_annuelles!$AH$3:$AH$188,Donnees_annuelles!$A$3:$A$188,AR238)*SUMIFS(Donnees_annuelles!$AA$3:$AA$188,Donnees_annuelles!$A$3:$A$188,AR238)</f>
        <v/>
      </c>
      <c r="BB238" s="39">
        <f>BA238-AL238</f>
        <v/>
      </c>
      <c r="BC238" s="7">
        <f>IF(M238+AJ238&gt;2026,IF(G238&gt;2026,"entièrement projeté","en partie projeté"),"observé")</f>
        <v/>
      </c>
    </row>
    <row r="239">
      <c r="A239" s="7" t="inlineStr">
        <is>
          <t>Génération X</t>
        </is>
      </c>
      <c r="B239" s="84" t="inlineStr">
        <is>
          <t>Fonction publique territoriale et hospitalière</t>
        </is>
      </c>
      <c r="C239" s="7">
        <f>IF(G239&gt;=SUMIFS(Regimes!$C$5:$C$10,Regimes!$A$5:$A$10,B239),"Privé",B239)</f>
        <v/>
      </c>
      <c r="D239" s="7">
        <f>INDEX(Regimes!$D$5:$D$10,MATCH(C239,Regimes!$A$5:$A$10,0))</f>
        <v/>
      </c>
      <c r="E239" s="88" t="n">
        <v>1968</v>
      </c>
      <c r="F239" s="8">
        <f>Donnees_generations!C56</f>
        <v/>
      </c>
      <c r="G239" s="77">
        <f>Donnees_generations!D56</f>
        <v/>
      </c>
      <c r="H239" s="8">
        <f>SUMIFS(Donnees_generations!$S$3:$S$113,Donnees_generations!$A$3:$A$113,MAX(1915,MIN(2025,E239)))</f>
        <v/>
      </c>
      <c r="I239" s="8">
        <f>SUMIFS(Donnees_generations!$T$3:$T$113,Donnees_generations!$A$3:$A$113,MAX(1915,MIN(2025,E239)))</f>
        <v/>
      </c>
      <c r="J239" s="8">
        <f>IF(G239&gt;=2000,MAX(I239,Parametres!$B$3),I239)</f>
        <v/>
      </c>
      <c r="K239" s="8">
        <f>IF(C239="Privé",J239,SUMIFS(Regles_regimes!$J$3:$J$2000,Regles_regimes!$A$3:$A$2000,C239,Regles_regimes!$B$3:$B$2000,D239,Regles_regimes!$C$3:$C$2000,MAX(1915,MIN(2025,E239))))</f>
        <v/>
      </c>
      <c r="L239" s="8">
        <f>IF(C239="Privé",H239,(K239-F239)*H239/(J239-F239))</f>
        <v/>
      </c>
      <c r="M239" s="77">
        <f>INT(E239+K239)</f>
        <v/>
      </c>
      <c r="N239" s="77">
        <f>G239+ROUNDUP(L239,0)-1</f>
        <v/>
      </c>
      <c r="O239" s="89">
        <f>SUMIFS(Regles_regimes!$K$3:$K$2000,Regles_regimes!$A$3:$A$2000,C239,Regles_regimes!$B$3:$B$2000,D239,Regles_regimes!$C$3:$C$2000,MAX(1915,MIN(2025,E239)))</f>
        <v/>
      </c>
      <c r="P239" s="13">
        <f>SUMIFS(Donnees_annuelles!$W$3:$W$188,Donnees_annuelles!$A$3:$A$188,"&gt;="&amp;G239,Donnees_annuelles!$A$3:$A$188,"&lt;="&amp;N239)*L239/ROUNDUP(L239,0)*O239</f>
        <v/>
      </c>
      <c r="Q239" s="13">
        <f>SUMIFS(Donnees_annuelles!$V$3:$V$188,Donnees_annuelles!$A$3:$A$188,"&gt;="&amp;G239,Donnees_annuelles!$A$3:$A$188,"&lt;="&amp;N239)*L239/ROUNDUP(L239,0)</f>
        <v/>
      </c>
      <c r="R239" s="13">
        <f>P239/L239</f>
        <v/>
      </c>
      <c r="S239" s="14">
        <f>SUMIFS(Donnees_annuelles!$D$3:$D$188,Donnees_annuelles!$A$3:$A$188,"&gt;="&amp;G239,Donnees_annuelles!$A$3:$A$188,"&lt;="&amp;N239)*L239/ROUNDUP(L239,0)</f>
        <v/>
      </c>
      <c r="T239" s="14">
        <f>SUMIFS(Donnees_regimes!$N$3:$N$1118,Donnees_regimes!$A$3:$A$1118,C239,Donnees_regimes!$B$3:$B$1118,"&gt;="&amp;G239,Donnees_regimes!$B$3:$B$1118,"&lt;="&amp;N239)*L239/ROUNDUP(L239,0)</f>
        <v/>
      </c>
      <c r="U239" s="14">
        <f>SUMIFS(Donnees_regimes!$O$3:$O$1118,Donnees_regimes!$A$3:$A$1118,C239,Donnees_regimes!$B$3:$B$1118,"&gt;="&amp;G239,Donnees_regimes!$B$3:$B$1118,"&lt;="&amp;N239)*L239/ROUNDUP(L239,0)</f>
        <v/>
      </c>
      <c r="V239" s="14">
        <f>T239+U239</f>
        <v/>
      </c>
      <c r="W239" s="33">
        <f>V239/S239</f>
        <v/>
      </c>
      <c r="X239" s="14">
        <f>S239+U239</f>
        <v/>
      </c>
      <c r="Y239" s="17">
        <f>V239/P239</f>
        <v/>
      </c>
      <c r="Z239" s="14">
        <f>SUMIFS(Donnees_regimes!$Q$3:$Q$1118,Donnees_regimes!$A$3:$A$1118,C239,Donnees_regimes!$B$3:$B$1118,"&gt;="&amp;G239,Donnees_regimes!$B$3:$B$1118,"&lt;="&amp;N239)*L239/ROUNDUP(L239,0)</f>
        <v/>
      </c>
      <c r="AA239" s="77">
        <f>SUMIFS(Regles_regimes!$F$3:$F$2000,Regles_regimes!$A$3:$A$2000,C239,Regles_regimes!$B$3:$B$2000,D239,Regles_regimes!$C$3:$C$2000,MAX(1915,MIN(2025,E239)))</f>
        <v/>
      </c>
      <c r="AB239" s="77">
        <f>IF(AND(SUMIFS(Regles_regimes!$L$3:$L$2000,Regles_regimes!$A$3:$A$2000,C239,Regles_regimes!$B$3:$B$2000,D239,Regles_regimes!$C$3:$C$2000,MAX(1915,MIN(2025,E239)))=1,G239&lt;2009,C239&lt;&gt;"Privé"),MIN(20,L239*4/5),0)</f>
        <v/>
      </c>
      <c r="AC239" s="89">
        <f>SUMIFS(Donnees_regimes!$M$3:$M$1118,Donnees_regimes!$A$3:$A$1118,C239,Donnees_regimes!$B$3:$B$1118,M239)</f>
        <v/>
      </c>
      <c r="AD239" s="14">
        <f>SUMIFS(Donnees_annuelles!$Y$3:$Y$188,Donnees_annuelles!$A$3:$A$188,M239)*SUMIFS(Donnees_generations!$I$3:$I$113,Donnees_generations!$A$3:$A$113,MAX(1915,MIN(2025,E239)))/H239</f>
        <v/>
      </c>
      <c r="AE239" s="14">
        <f>IF(C239="Privé",SUMIFS(Donnees_annuelles!$Y$3:$Y$188,Donnees_annuelles!$A$3:$A$188,M239)*MIN(L239,SUMIFS(Donnees_generations!$I$3:$I$113,Donnees_generations!$A$3:$A$113,MAX(1915,MIN(2025,E239))))/L239,AD239*AC239*MIN(IF(AB239&gt;0,0.8/0.75,1),(L239*4+AB239)/AA239))</f>
        <v/>
      </c>
      <c r="AF239" s="14">
        <f>AE239/12</f>
        <v/>
      </c>
      <c r="AG239" s="77">
        <f>MIN(68,MAX(56,2*INT(K239/2)))</f>
        <v/>
      </c>
      <c r="AH239" s="75">
        <f>(CHOOSE((AG239-56)/2+1,SUMIFS(Donnees_generations!$U$3:$U$113,Donnees_generations!$A$3:$A$113,MAX(1915,MIN(2025,E239))),SUMIFS(Donnees_generations!$V$3:$V$113,Donnees_generations!$A$3:$A$113,MAX(1915,MIN(2025,E239))),SUMIFS(Donnees_generations!$W$3:$W$113,Donnees_generations!$A$3:$A$113,MAX(1915,MIN(2025,E239))),SUMIFS(Donnees_generations!$X$3:$X$113,Donnees_generations!$A$3:$A$113,MAX(1915,MIN(2025,E239))),SUMIFS(Donnees_generations!$Y$3:$Y$113,Donnees_generations!$A$3:$A$113,MAX(1915,MIN(2025,E239))),SUMIFS(Donnees_generations!$Z$3:$Z$113,Donnees_generations!$A$3:$A$113,MAX(1915,MIN(2025,E239))),SUMIFS(Donnees_generations!$AA$3:$AA$113,Donnees_generations!$A$3:$A$113,MAX(1915,MIN(2025,E239))),SUMIFS(Donnees_generations!$AB$3:$AB$113,Donnees_generations!$A$3:$A$113,MAX(1915,MIN(2025,E239))))+CHOOSE((AG239-56)/2+1,SUMIFS(Donnees_generations!$AC$3:$AC$113,Donnees_generations!$A$3:$A$113,MAX(1915,MIN(2025,E239))),SUMIFS(Donnees_generations!$AD$3:$AD$113,Donnees_generations!$A$3:$A$113,MAX(1915,MIN(2025,E239))),SUMIFS(Donnees_generations!$AE$3:$AE$113,Donnees_generations!$A$3:$A$113,MAX(1915,MIN(2025,E239))),SUMIFS(Donnees_generations!$AF$3:$AF$113,Donnees_generations!$A$3:$A$113,MAX(1915,MIN(2025,E239))),SUMIFS(Donnees_generations!$AG$3:$AG$113,Donnees_generations!$A$3:$A$113,MAX(1915,MIN(2025,E239))),SUMIFS(Donnees_generations!$AH$3:$AH$113,Donnees_generations!$A$3:$A$113,MAX(1915,MIN(2025,E239))),SUMIFS(Donnees_generations!$AI$3:$AI$113,Donnees_generations!$A$3:$A$113,MAX(1915,MIN(2025,E239))),SUMIFS(Donnees_generations!$AJ$3:$AJ$113,Donnees_generations!$A$3:$A$113,MAX(1915,MIN(2025,E239)))))/2</f>
        <v/>
      </c>
      <c r="AI239" s="75">
        <f>(CHOOSE(((AG239+2)-56)/2+1,SUMIFS(Donnees_generations!$U$3:$U$113,Donnees_generations!$A$3:$A$113,MAX(1915,MIN(2025,E239))),SUMIFS(Donnees_generations!$V$3:$V$113,Donnees_generations!$A$3:$A$113,MAX(1915,MIN(2025,E239))),SUMIFS(Donnees_generations!$W$3:$W$113,Donnees_generations!$A$3:$A$113,MAX(1915,MIN(2025,E239))),SUMIFS(Donnees_generations!$X$3:$X$113,Donnees_generations!$A$3:$A$113,MAX(1915,MIN(2025,E239))),SUMIFS(Donnees_generations!$Y$3:$Y$113,Donnees_generations!$A$3:$A$113,MAX(1915,MIN(2025,E239))),SUMIFS(Donnees_generations!$Z$3:$Z$113,Donnees_generations!$A$3:$A$113,MAX(1915,MIN(2025,E239))),SUMIFS(Donnees_generations!$AA$3:$AA$113,Donnees_generations!$A$3:$A$113,MAX(1915,MIN(2025,E239))),SUMIFS(Donnees_generations!$AB$3:$AB$113,Donnees_generations!$A$3:$A$113,MAX(1915,MIN(2025,E239))))+CHOOSE(((AG239+2)-56)/2+1,SUMIFS(Donnees_generations!$AC$3:$AC$113,Donnees_generations!$A$3:$A$113,MAX(1915,MIN(2025,E239))),SUMIFS(Donnees_generations!$AD$3:$AD$113,Donnees_generations!$A$3:$A$113,MAX(1915,MIN(2025,E239))),SUMIFS(Donnees_generations!$AE$3:$AE$113,Donnees_generations!$A$3:$A$113,MAX(1915,MIN(2025,E239))),SUMIFS(Donnees_generations!$AF$3:$AF$113,Donnees_generations!$A$3:$A$113,MAX(1915,MIN(2025,E239))),SUMIFS(Donnees_generations!$AG$3:$AG$113,Donnees_generations!$A$3:$A$113,MAX(1915,MIN(2025,E239))),SUMIFS(Donnees_generations!$AH$3:$AH$113,Donnees_generations!$A$3:$A$113,MAX(1915,MIN(2025,E239))),SUMIFS(Donnees_generations!$AI$3:$AI$113,Donnees_generations!$A$3:$A$113,MAX(1915,MIN(2025,E239))),SUMIFS(Donnees_generations!$AJ$3:$AJ$113,Donnees_generations!$A$3:$A$113,MAX(1915,MIN(2025,E239)))))/2</f>
        <v/>
      </c>
      <c r="AJ239" s="8">
        <f>MAX(0,AH239+(AI239-AH239)*(K239-AG239)/2)</f>
        <v/>
      </c>
      <c r="AK239" s="8">
        <f>K239+AJ239</f>
        <v/>
      </c>
      <c r="AL239" s="14">
        <f>AE239*AJ239</f>
        <v/>
      </c>
      <c r="AM239" s="17">
        <f>V239/AL239</f>
        <v/>
      </c>
      <c r="AN239" s="17">
        <f>Z239/AL239</f>
        <v/>
      </c>
      <c r="AO239" s="33">
        <f>IF(V239+Z239=0,0,Z239/(V239+Z239))</f>
        <v/>
      </c>
      <c r="AP239" s="14">
        <f>AL239/V239*100</f>
        <v/>
      </c>
      <c r="AQ239" s="8">
        <f>P239/AL239*1000</f>
        <v/>
      </c>
      <c r="AR239" s="77">
        <f>MAX(N239,M239-1)</f>
        <v/>
      </c>
      <c r="AS239" s="14">
        <f>SUMIFS(Donnees_regimes!$R$3:$R$1118,Donnees_regimes!$A$3:$A$1118,C239,Donnees_regimes!$B$3:$B$1118,"&gt;="&amp;G239,Donnees_regimes!$B$3:$B$1118,"&lt;="&amp;N239)*L239/ROUNDUP(L239,0)*SUMIFS(Donnees_annuelles!$AG$3:$AG$188,Donnees_annuelles!$A$3:$A$188,AR239)*SUMIFS(Donnees_annuelles!$AA$3:$AA$188,Donnees_annuelles!$A$3:$A$188,AR239)</f>
        <v/>
      </c>
      <c r="AT239" s="36">
        <f>AS239/V239</f>
        <v/>
      </c>
      <c r="AU239" s="14">
        <f>AL239</f>
        <v/>
      </c>
      <c r="AV239" s="39">
        <f>AS239-AL239</f>
        <v/>
      </c>
      <c r="AW239" s="9">
        <f>AS239/AL239-1</f>
        <v/>
      </c>
      <c r="AX239" s="14">
        <f>AS239/AJ239/12</f>
        <v/>
      </c>
      <c r="AY239" s="14">
        <f>AF239</f>
        <v/>
      </c>
      <c r="AZ239" s="39">
        <f>AX239-AF239</f>
        <v/>
      </c>
      <c r="BA239" s="14">
        <f>SUMIFS(Donnees_regimes!$S$3:$S$1118,Donnees_regimes!$A$3:$A$1118,C239,Donnees_regimes!$B$3:$B$1118,"&gt;="&amp;G239,Donnees_regimes!$B$3:$B$1118,"&lt;="&amp;N239)*L239/ROUNDUP(L239,0)*SUMIFS(Donnees_annuelles!$AH$3:$AH$188,Donnees_annuelles!$A$3:$A$188,AR239)*SUMIFS(Donnees_annuelles!$AA$3:$AA$188,Donnees_annuelles!$A$3:$A$188,AR239)</f>
        <v/>
      </c>
      <c r="BB239" s="39">
        <f>BA239-AL239</f>
        <v/>
      </c>
      <c r="BC239" s="7">
        <f>IF(M239+AJ239&gt;2026,IF(G239&gt;2026,"entièrement projeté","en partie projeté"),"observé")</f>
        <v/>
      </c>
    </row>
    <row r="240">
      <c r="A240" s="7" t="inlineStr">
        <is>
          <t>Génération X</t>
        </is>
      </c>
      <c r="B240" s="84" t="inlineStr">
        <is>
          <t>Fonction publique territoriale et hospitalière</t>
        </is>
      </c>
      <c r="C240" s="7">
        <f>IF(G240&gt;=SUMIFS(Regimes!$C$5:$C$10,Regimes!$A$5:$A$10,B240),"Privé",B240)</f>
        <v/>
      </c>
      <c r="D240" s="7">
        <f>INDEX(Regimes!$D$5:$D$10,MATCH(C240,Regimes!$A$5:$A$10,0))</f>
        <v/>
      </c>
      <c r="E240" s="88" t="n">
        <v>1969</v>
      </c>
      <c r="F240" s="8">
        <f>Donnees_generations!C57</f>
        <v/>
      </c>
      <c r="G240" s="77">
        <f>Donnees_generations!D57</f>
        <v/>
      </c>
      <c r="H240" s="8">
        <f>SUMIFS(Donnees_generations!$S$3:$S$113,Donnees_generations!$A$3:$A$113,MAX(1915,MIN(2025,E240)))</f>
        <v/>
      </c>
      <c r="I240" s="8">
        <f>SUMIFS(Donnees_generations!$T$3:$T$113,Donnees_generations!$A$3:$A$113,MAX(1915,MIN(2025,E240)))</f>
        <v/>
      </c>
      <c r="J240" s="8">
        <f>IF(G240&gt;=2000,MAX(I240,Parametres!$B$3),I240)</f>
        <v/>
      </c>
      <c r="K240" s="8">
        <f>IF(C240="Privé",J240,SUMIFS(Regles_regimes!$J$3:$J$2000,Regles_regimes!$A$3:$A$2000,C240,Regles_regimes!$B$3:$B$2000,D240,Regles_regimes!$C$3:$C$2000,MAX(1915,MIN(2025,E240))))</f>
        <v/>
      </c>
      <c r="L240" s="8">
        <f>IF(C240="Privé",H240,(K240-F240)*H240/(J240-F240))</f>
        <v/>
      </c>
      <c r="M240" s="77">
        <f>INT(E240+K240)</f>
        <v/>
      </c>
      <c r="N240" s="77">
        <f>G240+ROUNDUP(L240,0)-1</f>
        <v/>
      </c>
      <c r="O240" s="89">
        <f>SUMIFS(Regles_regimes!$K$3:$K$2000,Regles_regimes!$A$3:$A$2000,C240,Regles_regimes!$B$3:$B$2000,D240,Regles_regimes!$C$3:$C$2000,MAX(1915,MIN(2025,E240)))</f>
        <v/>
      </c>
      <c r="P240" s="13">
        <f>SUMIFS(Donnees_annuelles!$W$3:$W$188,Donnees_annuelles!$A$3:$A$188,"&gt;="&amp;G240,Donnees_annuelles!$A$3:$A$188,"&lt;="&amp;N240)*L240/ROUNDUP(L240,0)*O240</f>
        <v/>
      </c>
      <c r="Q240" s="13">
        <f>SUMIFS(Donnees_annuelles!$V$3:$V$188,Donnees_annuelles!$A$3:$A$188,"&gt;="&amp;G240,Donnees_annuelles!$A$3:$A$188,"&lt;="&amp;N240)*L240/ROUNDUP(L240,0)</f>
        <v/>
      </c>
      <c r="R240" s="13">
        <f>P240/L240</f>
        <v/>
      </c>
      <c r="S240" s="14">
        <f>SUMIFS(Donnees_annuelles!$D$3:$D$188,Donnees_annuelles!$A$3:$A$188,"&gt;="&amp;G240,Donnees_annuelles!$A$3:$A$188,"&lt;="&amp;N240)*L240/ROUNDUP(L240,0)</f>
        <v/>
      </c>
      <c r="T240" s="14">
        <f>SUMIFS(Donnees_regimes!$N$3:$N$1118,Donnees_regimes!$A$3:$A$1118,C240,Donnees_regimes!$B$3:$B$1118,"&gt;="&amp;G240,Donnees_regimes!$B$3:$B$1118,"&lt;="&amp;N240)*L240/ROUNDUP(L240,0)</f>
        <v/>
      </c>
      <c r="U240" s="14">
        <f>SUMIFS(Donnees_regimes!$O$3:$O$1118,Donnees_regimes!$A$3:$A$1118,C240,Donnees_regimes!$B$3:$B$1118,"&gt;="&amp;G240,Donnees_regimes!$B$3:$B$1118,"&lt;="&amp;N240)*L240/ROUNDUP(L240,0)</f>
        <v/>
      </c>
      <c r="V240" s="14">
        <f>T240+U240</f>
        <v/>
      </c>
      <c r="W240" s="33">
        <f>V240/S240</f>
        <v/>
      </c>
      <c r="X240" s="14">
        <f>S240+U240</f>
        <v/>
      </c>
      <c r="Y240" s="17">
        <f>V240/P240</f>
        <v/>
      </c>
      <c r="Z240" s="14">
        <f>SUMIFS(Donnees_regimes!$Q$3:$Q$1118,Donnees_regimes!$A$3:$A$1118,C240,Donnees_regimes!$B$3:$B$1118,"&gt;="&amp;G240,Donnees_regimes!$B$3:$B$1118,"&lt;="&amp;N240)*L240/ROUNDUP(L240,0)</f>
        <v/>
      </c>
      <c r="AA240" s="77">
        <f>SUMIFS(Regles_regimes!$F$3:$F$2000,Regles_regimes!$A$3:$A$2000,C240,Regles_regimes!$B$3:$B$2000,D240,Regles_regimes!$C$3:$C$2000,MAX(1915,MIN(2025,E240)))</f>
        <v/>
      </c>
      <c r="AB240" s="77">
        <f>IF(AND(SUMIFS(Regles_regimes!$L$3:$L$2000,Regles_regimes!$A$3:$A$2000,C240,Regles_regimes!$B$3:$B$2000,D240,Regles_regimes!$C$3:$C$2000,MAX(1915,MIN(2025,E240)))=1,G240&lt;2009,C240&lt;&gt;"Privé"),MIN(20,L240*4/5),0)</f>
        <v/>
      </c>
      <c r="AC240" s="89">
        <f>SUMIFS(Donnees_regimes!$M$3:$M$1118,Donnees_regimes!$A$3:$A$1118,C240,Donnees_regimes!$B$3:$B$1118,M240)</f>
        <v/>
      </c>
      <c r="AD240" s="14">
        <f>SUMIFS(Donnees_annuelles!$Y$3:$Y$188,Donnees_annuelles!$A$3:$A$188,M240)*SUMIFS(Donnees_generations!$I$3:$I$113,Donnees_generations!$A$3:$A$113,MAX(1915,MIN(2025,E240)))/H240</f>
        <v/>
      </c>
      <c r="AE240" s="14">
        <f>IF(C240="Privé",SUMIFS(Donnees_annuelles!$Y$3:$Y$188,Donnees_annuelles!$A$3:$A$188,M240)*MIN(L240,SUMIFS(Donnees_generations!$I$3:$I$113,Donnees_generations!$A$3:$A$113,MAX(1915,MIN(2025,E240))))/L240,AD240*AC240*MIN(IF(AB240&gt;0,0.8/0.75,1),(L240*4+AB240)/AA240))</f>
        <v/>
      </c>
      <c r="AF240" s="14">
        <f>AE240/12</f>
        <v/>
      </c>
      <c r="AG240" s="77">
        <f>MIN(68,MAX(56,2*INT(K240/2)))</f>
        <v/>
      </c>
      <c r="AH240" s="75">
        <f>(CHOOSE((AG240-56)/2+1,SUMIFS(Donnees_generations!$U$3:$U$113,Donnees_generations!$A$3:$A$113,MAX(1915,MIN(2025,E240))),SUMIFS(Donnees_generations!$V$3:$V$113,Donnees_generations!$A$3:$A$113,MAX(1915,MIN(2025,E240))),SUMIFS(Donnees_generations!$W$3:$W$113,Donnees_generations!$A$3:$A$113,MAX(1915,MIN(2025,E240))),SUMIFS(Donnees_generations!$X$3:$X$113,Donnees_generations!$A$3:$A$113,MAX(1915,MIN(2025,E240))),SUMIFS(Donnees_generations!$Y$3:$Y$113,Donnees_generations!$A$3:$A$113,MAX(1915,MIN(2025,E240))),SUMIFS(Donnees_generations!$Z$3:$Z$113,Donnees_generations!$A$3:$A$113,MAX(1915,MIN(2025,E240))),SUMIFS(Donnees_generations!$AA$3:$AA$113,Donnees_generations!$A$3:$A$113,MAX(1915,MIN(2025,E240))),SUMIFS(Donnees_generations!$AB$3:$AB$113,Donnees_generations!$A$3:$A$113,MAX(1915,MIN(2025,E240))))+CHOOSE((AG240-56)/2+1,SUMIFS(Donnees_generations!$AC$3:$AC$113,Donnees_generations!$A$3:$A$113,MAX(1915,MIN(2025,E240))),SUMIFS(Donnees_generations!$AD$3:$AD$113,Donnees_generations!$A$3:$A$113,MAX(1915,MIN(2025,E240))),SUMIFS(Donnees_generations!$AE$3:$AE$113,Donnees_generations!$A$3:$A$113,MAX(1915,MIN(2025,E240))),SUMIFS(Donnees_generations!$AF$3:$AF$113,Donnees_generations!$A$3:$A$113,MAX(1915,MIN(2025,E240))),SUMIFS(Donnees_generations!$AG$3:$AG$113,Donnees_generations!$A$3:$A$113,MAX(1915,MIN(2025,E240))),SUMIFS(Donnees_generations!$AH$3:$AH$113,Donnees_generations!$A$3:$A$113,MAX(1915,MIN(2025,E240))),SUMIFS(Donnees_generations!$AI$3:$AI$113,Donnees_generations!$A$3:$A$113,MAX(1915,MIN(2025,E240))),SUMIFS(Donnees_generations!$AJ$3:$AJ$113,Donnees_generations!$A$3:$A$113,MAX(1915,MIN(2025,E240)))))/2</f>
        <v/>
      </c>
      <c r="AI240" s="75">
        <f>(CHOOSE(((AG240+2)-56)/2+1,SUMIFS(Donnees_generations!$U$3:$U$113,Donnees_generations!$A$3:$A$113,MAX(1915,MIN(2025,E240))),SUMIFS(Donnees_generations!$V$3:$V$113,Donnees_generations!$A$3:$A$113,MAX(1915,MIN(2025,E240))),SUMIFS(Donnees_generations!$W$3:$W$113,Donnees_generations!$A$3:$A$113,MAX(1915,MIN(2025,E240))),SUMIFS(Donnees_generations!$X$3:$X$113,Donnees_generations!$A$3:$A$113,MAX(1915,MIN(2025,E240))),SUMIFS(Donnees_generations!$Y$3:$Y$113,Donnees_generations!$A$3:$A$113,MAX(1915,MIN(2025,E240))),SUMIFS(Donnees_generations!$Z$3:$Z$113,Donnees_generations!$A$3:$A$113,MAX(1915,MIN(2025,E240))),SUMIFS(Donnees_generations!$AA$3:$AA$113,Donnees_generations!$A$3:$A$113,MAX(1915,MIN(2025,E240))),SUMIFS(Donnees_generations!$AB$3:$AB$113,Donnees_generations!$A$3:$A$113,MAX(1915,MIN(2025,E240))))+CHOOSE(((AG240+2)-56)/2+1,SUMIFS(Donnees_generations!$AC$3:$AC$113,Donnees_generations!$A$3:$A$113,MAX(1915,MIN(2025,E240))),SUMIFS(Donnees_generations!$AD$3:$AD$113,Donnees_generations!$A$3:$A$113,MAX(1915,MIN(2025,E240))),SUMIFS(Donnees_generations!$AE$3:$AE$113,Donnees_generations!$A$3:$A$113,MAX(1915,MIN(2025,E240))),SUMIFS(Donnees_generations!$AF$3:$AF$113,Donnees_generations!$A$3:$A$113,MAX(1915,MIN(2025,E240))),SUMIFS(Donnees_generations!$AG$3:$AG$113,Donnees_generations!$A$3:$A$113,MAX(1915,MIN(2025,E240))),SUMIFS(Donnees_generations!$AH$3:$AH$113,Donnees_generations!$A$3:$A$113,MAX(1915,MIN(2025,E240))),SUMIFS(Donnees_generations!$AI$3:$AI$113,Donnees_generations!$A$3:$A$113,MAX(1915,MIN(2025,E240))),SUMIFS(Donnees_generations!$AJ$3:$AJ$113,Donnees_generations!$A$3:$A$113,MAX(1915,MIN(2025,E240)))))/2</f>
        <v/>
      </c>
      <c r="AJ240" s="8">
        <f>MAX(0,AH240+(AI240-AH240)*(K240-AG240)/2)</f>
        <v/>
      </c>
      <c r="AK240" s="8">
        <f>K240+AJ240</f>
        <v/>
      </c>
      <c r="AL240" s="14">
        <f>AE240*AJ240</f>
        <v/>
      </c>
      <c r="AM240" s="17">
        <f>V240/AL240</f>
        <v/>
      </c>
      <c r="AN240" s="17">
        <f>Z240/AL240</f>
        <v/>
      </c>
      <c r="AO240" s="33">
        <f>IF(V240+Z240=0,0,Z240/(V240+Z240))</f>
        <v/>
      </c>
      <c r="AP240" s="14">
        <f>AL240/V240*100</f>
        <v/>
      </c>
      <c r="AQ240" s="8">
        <f>P240/AL240*1000</f>
        <v/>
      </c>
      <c r="AR240" s="77">
        <f>MAX(N240,M240-1)</f>
        <v/>
      </c>
      <c r="AS240" s="14">
        <f>SUMIFS(Donnees_regimes!$R$3:$R$1118,Donnees_regimes!$A$3:$A$1118,C240,Donnees_regimes!$B$3:$B$1118,"&gt;="&amp;G240,Donnees_regimes!$B$3:$B$1118,"&lt;="&amp;N240)*L240/ROUNDUP(L240,0)*SUMIFS(Donnees_annuelles!$AG$3:$AG$188,Donnees_annuelles!$A$3:$A$188,AR240)*SUMIFS(Donnees_annuelles!$AA$3:$AA$188,Donnees_annuelles!$A$3:$A$188,AR240)</f>
        <v/>
      </c>
      <c r="AT240" s="36">
        <f>AS240/V240</f>
        <v/>
      </c>
      <c r="AU240" s="14">
        <f>AL240</f>
        <v/>
      </c>
      <c r="AV240" s="39">
        <f>AS240-AL240</f>
        <v/>
      </c>
      <c r="AW240" s="9">
        <f>AS240/AL240-1</f>
        <v/>
      </c>
      <c r="AX240" s="14">
        <f>AS240/AJ240/12</f>
        <v/>
      </c>
      <c r="AY240" s="14">
        <f>AF240</f>
        <v/>
      </c>
      <c r="AZ240" s="39">
        <f>AX240-AF240</f>
        <v/>
      </c>
      <c r="BA240" s="14">
        <f>SUMIFS(Donnees_regimes!$S$3:$S$1118,Donnees_regimes!$A$3:$A$1118,C240,Donnees_regimes!$B$3:$B$1118,"&gt;="&amp;G240,Donnees_regimes!$B$3:$B$1118,"&lt;="&amp;N240)*L240/ROUNDUP(L240,0)*SUMIFS(Donnees_annuelles!$AH$3:$AH$188,Donnees_annuelles!$A$3:$A$188,AR240)*SUMIFS(Donnees_annuelles!$AA$3:$AA$188,Donnees_annuelles!$A$3:$A$188,AR240)</f>
        <v/>
      </c>
      <c r="BB240" s="39">
        <f>BA240-AL240</f>
        <v/>
      </c>
      <c r="BC240" s="7">
        <f>IF(M240+AJ240&gt;2026,IF(G240&gt;2026,"entièrement projeté","en partie projeté"),"observé")</f>
        <v/>
      </c>
    </row>
    <row r="241">
      <c r="A241" s="7" t="inlineStr">
        <is>
          <t>Génération X</t>
        </is>
      </c>
      <c r="B241" s="84" t="inlineStr">
        <is>
          <t>Fonction publique territoriale et hospitalière</t>
        </is>
      </c>
      <c r="C241" s="7">
        <f>IF(G241&gt;=SUMIFS(Regimes!$C$5:$C$10,Regimes!$A$5:$A$10,B241),"Privé",B241)</f>
        <v/>
      </c>
      <c r="D241" s="7">
        <f>INDEX(Regimes!$D$5:$D$10,MATCH(C241,Regimes!$A$5:$A$10,0))</f>
        <v/>
      </c>
      <c r="E241" s="88" t="n">
        <v>1970</v>
      </c>
      <c r="F241" s="8">
        <f>Donnees_generations!C58</f>
        <v/>
      </c>
      <c r="G241" s="77">
        <f>Donnees_generations!D58</f>
        <v/>
      </c>
      <c r="H241" s="8">
        <f>SUMIFS(Donnees_generations!$S$3:$S$113,Donnees_generations!$A$3:$A$113,MAX(1915,MIN(2025,E241)))</f>
        <v/>
      </c>
      <c r="I241" s="8">
        <f>SUMIFS(Donnees_generations!$T$3:$T$113,Donnees_generations!$A$3:$A$113,MAX(1915,MIN(2025,E241)))</f>
        <v/>
      </c>
      <c r="J241" s="8">
        <f>IF(G241&gt;=2000,MAX(I241,Parametres!$B$3),I241)</f>
        <v/>
      </c>
      <c r="K241" s="8">
        <f>IF(C241="Privé",J241,SUMIFS(Regles_regimes!$J$3:$J$2000,Regles_regimes!$A$3:$A$2000,C241,Regles_regimes!$B$3:$B$2000,D241,Regles_regimes!$C$3:$C$2000,MAX(1915,MIN(2025,E241))))</f>
        <v/>
      </c>
      <c r="L241" s="8">
        <f>IF(C241="Privé",H241,(K241-F241)*H241/(J241-F241))</f>
        <v/>
      </c>
      <c r="M241" s="77">
        <f>INT(E241+K241)</f>
        <v/>
      </c>
      <c r="N241" s="77">
        <f>G241+ROUNDUP(L241,0)-1</f>
        <v/>
      </c>
      <c r="O241" s="89">
        <f>SUMIFS(Regles_regimes!$K$3:$K$2000,Regles_regimes!$A$3:$A$2000,C241,Regles_regimes!$B$3:$B$2000,D241,Regles_regimes!$C$3:$C$2000,MAX(1915,MIN(2025,E241)))</f>
        <v/>
      </c>
      <c r="P241" s="13">
        <f>SUMIFS(Donnees_annuelles!$W$3:$W$188,Donnees_annuelles!$A$3:$A$188,"&gt;="&amp;G241,Donnees_annuelles!$A$3:$A$188,"&lt;="&amp;N241)*L241/ROUNDUP(L241,0)*O241</f>
        <v/>
      </c>
      <c r="Q241" s="13">
        <f>SUMIFS(Donnees_annuelles!$V$3:$V$188,Donnees_annuelles!$A$3:$A$188,"&gt;="&amp;G241,Donnees_annuelles!$A$3:$A$188,"&lt;="&amp;N241)*L241/ROUNDUP(L241,0)</f>
        <v/>
      </c>
      <c r="R241" s="13">
        <f>P241/L241</f>
        <v/>
      </c>
      <c r="S241" s="14">
        <f>SUMIFS(Donnees_annuelles!$D$3:$D$188,Donnees_annuelles!$A$3:$A$188,"&gt;="&amp;G241,Donnees_annuelles!$A$3:$A$188,"&lt;="&amp;N241)*L241/ROUNDUP(L241,0)</f>
        <v/>
      </c>
      <c r="T241" s="14">
        <f>SUMIFS(Donnees_regimes!$N$3:$N$1118,Donnees_regimes!$A$3:$A$1118,C241,Donnees_regimes!$B$3:$B$1118,"&gt;="&amp;G241,Donnees_regimes!$B$3:$B$1118,"&lt;="&amp;N241)*L241/ROUNDUP(L241,0)</f>
        <v/>
      </c>
      <c r="U241" s="14">
        <f>SUMIFS(Donnees_regimes!$O$3:$O$1118,Donnees_regimes!$A$3:$A$1118,C241,Donnees_regimes!$B$3:$B$1118,"&gt;="&amp;G241,Donnees_regimes!$B$3:$B$1118,"&lt;="&amp;N241)*L241/ROUNDUP(L241,0)</f>
        <v/>
      </c>
      <c r="V241" s="14">
        <f>T241+U241</f>
        <v/>
      </c>
      <c r="W241" s="33">
        <f>V241/S241</f>
        <v/>
      </c>
      <c r="X241" s="14">
        <f>S241+U241</f>
        <v/>
      </c>
      <c r="Y241" s="17">
        <f>V241/P241</f>
        <v/>
      </c>
      <c r="Z241" s="14">
        <f>SUMIFS(Donnees_regimes!$Q$3:$Q$1118,Donnees_regimes!$A$3:$A$1118,C241,Donnees_regimes!$B$3:$B$1118,"&gt;="&amp;G241,Donnees_regimes!$B$3:$B$1118,"&lt;="&amp;N241)*L241/ROUNDUP(L241,0)</f>
        <v/>
      </c>
      <c r="AA241" s="77">
        <f>SUMIFS(Regles_regimes!$F$3:$F$2000,Regles_regimes!$A$3:$A$2000,C241,Regles_regimes!$B$3:$B$2000,D241,Regles_regimes!$C$3:$C$2000,MAX(1915,MIN(2025,E241)))</f>
        <v/>
      </c>
      <c r="AB241" s="77">
        <f>IF(AND(SUMIFS(Regles_regimes!$L$3:$L$2000,Regles_regimes!$A$3:$A$2000,C241,Regles_regimes!$B$3:$B$2000,D241,Regles_regimes!$C$3:$C$2000,MAX(1915,MIN(2025,E241)))=1,G241&lt;2009,C241&lt;&gt;"Privé"),MIN(20,L241*4/5),0)</f>
        <v/>
      </c>
      <c r="AC241" s="89">
        <f>SUMIFS(Donnees_regimes!$M$3:$M$1118,Donnees_regimes!$A$3:$A$1118,C241,Donnees_regimes!$B$3:$B$1118,M241)</f>
        <v/>
      </c>
      <c r="AD241" s="14">
        <f>SUMIFS(Donnees_annuelles!$Y$3:$Y$188,Donnees_annuelles!$A$3:$A$188,M241)*SUMIFS(Donnees_generations!$I$3:$I$113,Donnees_generations!$A$3:$A$113,MAX(1915,MIN(2025,E241)))/H241</f>
        <v/>
      </c>
      <c r="AE241" s="14">
        <f>IF(C241="Privé",SUMIFS(Donnees_annuelles!$Y$3:$Y$188,Donnees_annuelles!$A$3:$A$188,M241)*MIN(L241,SUMIFS(Donnees_generations!$I$3:$I$113,Donnees_generations!$A$3:$A$113,MAX(1915,MIN(2025,E241))))/L241,AD241*AC241*MIN(IF(AB241&gt;0,0.8/0.75,1),(L241*4+AB241)/AA241))</f>
        <v/>
      </c>
      <c r="AF241" s="14">
        <f>AE241/12</f>
        <v/>
      </c>
      <c r="AG241" s="77">
        <f>MIN(68,MAX(56,2*INT(K241/2)))</f>
        <v/>
      </c>
      <c r="AH241" s="75">
        <f>(CHOOSE((AG241-56)/2+1,SUMIFS(Donnees_generations!$U$3:$U$113,Donnees_generations!$A$3:$A$113,MAX(1915,MIN(2025,E241))),SUMIFS(Donnees_generations!$V$3:$V$113,Donnees_generations!$A$3:$A$113,MAX(1915,MIN(2025,E241))),SUMIFS(Donnees_generations!$W$3:$W$113,Donnees_generations!$A$3:$A$113,MAX(1915,MIN(2025,E241))),SUMIFS(Donnees_generations!$X$3:$X$113,Donnees_generations!$A$3:$A$113,MAX(1915,MIN(2025,E241))),SUMIFS(Donnees_generations!$Y$3:$Y$113,Donnees_generations!$A$3:$A$113,MAX(1915,MIN(2025,E241))),SUMIFS(Donnees_generations!$Z$3:$Z$113,Donnees_generations!$A$3:$A$113,MAX(1915,MIN(2025,E241))),SUMIFS(Donnees_generations!$AA$3:$AA$113,Donnees_generations!$A$3:$A$113,MAX(1915,MIN(2025,E241))),SUMIFS(Donnees_generations!$AB$3:$AB$113,Donnees_generations!$A$3:$A$113,MAX(1915,MIN(2025,E241))))+CHOOSE((AG241-56)/2+1,SUMIFS(Donnees_generations!$AC$3:$AC$113,Donnees_generations!$A$3:$A$113,MAX(1915,MIN(2025,E241))),SUMIFS(Donnees_generations!$AD$3:$AD$113,Donnees_generations!$A$3:$A$113,MAX(1915,MIN(2025,E241))),SUMIFS(Donnees_generations!$AE$3:$AE$113,Donnees_generations!$A$3:$A$113,MAX(1915,MIN(2025,E241))),SUMIFS(Donnees_generations!$AF$3:$AF$113,Donnees_generations!$A$3:$A$113,MAX(1915,MIN(2025,E241))),SUMIFS(Donnees_generations!$AG$3:$AG$113,Donnees_generations!$A$3:$A$113,MAX(1915,MIN(2025,E241))),SUMIFS(Donnees_generations!$AH$3:$AH$113,Donnees_generations!$A$3:$A$113,MAX(1915,MIN(2025,E241))),SUMIFS(Donnees_generations!$AI$3:$AI$113,Donnees_generations!$A$3:$A$113,MAX(1915,MIN(2025,E241))),SUMIFS(Donnees_generations!$AJ$3:$AJ$113,Donnees_generations!$A$3:$A$113,MAX(1915,MIN(2025,E241)))))/2</f>
        <v/>
      </c>
      <c r="AI241" s="75">
        <f>(CHOOSE(((AG241+2)-56)/2+1,SUMIFS(Donnees_generations!$U$3:$U$113,Donnees_generations!$A$3:$A$113,MAX(1915,MIN(2025,E241))),SUMIFS(Donnees_generations!$V$3:$V$113,Donnees_generations!$A$3:$A$113,MAX(1915,MIN(2025,E241))),SUMIFS(Donnees_generations!$W$3:$W$113,Donnees_generations!$A$3:$A$113,MAX(1915,MIN(2025,E241))),SUMIFS(Donnees_generations!$X$3:$X$113,Donnees_generations!$A$3:$A$113,MAX(1915,MIN(2025,E241))),SUMIFS(Donnees_generations!$Y$3:$Y$113,Donnees_generations!$A$3:$A$113,MAX(1915,MIN(2025,E241))),SUMIFS(Donnees_generations!$Z$3:$Z$113,Donnees_generations!$A$3:$A$113,MAX(1915,MIN(2025,E241))),SUMIFS(Donnees_generations!$AA$3:$AA$113,Donnees_generations!$A$3:$A$113,MAX(1915,MIN(2025,E241))),SUMIFS(Donnees_generations!$AB$3:$AB$113,Donnees_generations!$A$3:$A$113,MAX(1915,MIN(2025,E241))))+CHOOSE(((AG241+2)-56)/2+1,SUMIFS(Donnees_generations!$AC$3:$AC$113,Donnees_generations!$A$3:$A$113,MAX(1915,MIN(2025,E241))),SUMIFS(Donnees_generations!$AD$3:$AD$113,Donnees_generations!$A$3:$A$113,MAX(1915,MIN(2025,E241))),SUMIFS(Donnees_generations!$AE$3:$AE$113,Donnees_generations!$A$3:$A$113,MAX(1915,MIN(2025,E241))),SUMIFS(Donnees_generations!$AF$3:$AF$113,Donnees_generations!$A$3:$A$113,MAX(1915,MIN(2025,E241))),SUMIFS(Donnees_generations!$AG$3:$AG$113,Donnees_generations!$A$3:$A$113,MAX(1915,MIN(2025,E241))),SUMIFS(Donnees_generations!$AH$3:$AH$113,Donnees_generations!$A$3:$A$113,MAX(1915,MIN(2025,E241))),SUMIFS(Donnees_generations!$AI$3:$AI$113,Donnees_generations!$A$3:$A$113,MAX(1915,MIN(2025,E241))),SUMIFS(Donnees_generations!$AJ$3:$AJ$113,Donnees_generations!$A$3:$A$113,MAX(1915,MIN(2025,E241)))))/2</f>
        <v/>
      </c>
      <c r="AJ241" s="8">
        <f>MAX(0,AH241+(AI241-AH241)*(K241-AG241)/2)</f>
        <v/>
      </c>
      <c r="AK241" s="8">
        <f>K241+AJ241</f>
        <v/>
      </c>
      <c r="AL241" s="14">
        <f>AE241*AJ241</f>
        <v/>
      </c>
      <c r="AM241" s="17">
        <f>V241/AL241</f>
        <v/>
      </c>
      <c r="AN241" s="17">
        <f>Z241/AL241</f>
        <v/>
      </c>
      <c r="AO241" s="33">
        <f>IF(V241+Z241=0,0,Z241/(V241+Z241))</f>
        <v/>
      </c>
      <c r="AP241" s="14">
        <f>AL241/V241*100</f>
        <v/>
      </c>
      <c r="AQ241" s="8">
        <f>P241/AL241*1000</f>
        <v/>
      </c>
      <c r="AR241" s="77">
        <f>MAX(N241,M241-1)</f>
        <v/>
      </c>
      <c r="AS241" s="14">
        <f>SUMIFS(Donnees_regimes!$R$3:$R$1118,Donnees_regimes!$A$3:$A$1118,C241,Donnees_regimes!$B$3:$B$1118,"&gt;="&amp;G241,Donnees_regimes!$B$3:$B$1118,"&lt;="&amp;N241)*L241/ROUNDUP(L241,0)*SUMIFS(Donnees_annuelles!$AG$3:$AG$188,Donnees_annuelles!$A$3:$A$188,AR241)*SUMIFS(Donnees_annuelles!$AA$3:$AA$188,Donnees_annuelles!$A$3:$A$188,AR241)</f>
        <v/>
      </c>
      <c r="AT241" s="36">
        <f>AS241/V241</f>
        <v/>
      </c>
      <c r="AU241" s="14">
        <f>AL241</f>
        <v/>
      </c>
      <c r="AV241" s="39">
        <f>AS241-AL241</f>
        <v/>
      </c>
      <c r="AW241" s="9">
        <f>AS241/AL241-1</f>
        <v/>
      </c>
      <c r="AX241" s="14">
        <f>AS241/AJ241/12</f>
        <v/>
      </c>
      <c r="AY241" s="14">
        <f>AF241</f>
        <v/>
      </c>
      <c r="AZ241" s="39">
        <f>AX241-AF241</f>
        <v/>
      </c>
      <c r="BA241" s="14">
        <f>SUMIFS(Donnees_regimes!$S$3:$S$1118,Donnees_regimes!$A$3:$A$1118,C241,Donnees_regimes!$B$3:$B$1118,"&gt;="&amp;G241,Donnees_regimes!$B$3:$B$1118,"&lt;="&amp;N241)*L241/ROUNDUP(L241,0)*SUMIFS(Donnees_annuelles!$AH$3:$AH$188,Donnees_annuelles!$A$3:$A$188,AR241)*SUMIFS(Donnees_annuelles!$AA$3:$AA$188,Donnees_annuelles!$A$3:$A$188,AR241)</f>
        <v/>
      </c>
      <c r="BB241" s="39">
        <f>BA241-AL241</f>
        <v/>
      </c>
      <c r="BC241" s="7">
        <f>IF(M241+AJ241&gt;2026,IF(G241&gt;2026,"entièrement projeté","en partie projeté"),"observé")</f>
        <v/>
      </c>
    </row>
    <row r="242">
      <c r="A242" s="7" t="inlineStr">
        <is>
          <t>Génération X</t>
        </is>
      </c>
      <c r="B242" s="84" t="inlineStr">
        <is>
          <t>Fonction publique territoriale et hospitalière</t>
        </is>
      </c>
      <c r="C242" s="7">
        <f>IF(G242&gt;=SUMIFS(Regimes!$C$5:$C$10,Regimes!$A$5:$A$10,B242),"Privé",B242)</f>
        <v/>
      </c>
      <c r="D242" s="7">
        <f>INDEX(Regimes!$D$5:$D$10,MATCH(C242,Regimes!$A$5:$A$10,0))</f>
        <v/>
      </c>
      <c r="E242" s="88" t="n">
        <v>1971</v>
      </c>
      <c r="F242" s="8">
        <f>Donnees_generations!C59</f>
        <v/>
      </c>
      <c r="G242" s="77">
        <f>Donnees_generations!D59</f>
        <v/>
      </c>
      <c r="H242" s="8">
        <f>SUMIFS(Donnees_generations!$S$3:$S$113,Donnees_generations!$A$3:$A$113,MAX(1915,MIN(2025,E242)))</f>
        <v/>
      </c>
      <c r="I242" s="8">
        <f>SUMIFS(Donnees_generations!$T$3:$T$113,Donnees_generations!$A$3:$A$113,MAX(1915,MIN(2025,E242)))</f>
        <v/>
      </c>
      <c r="J242" s="8">
        <f>IF(G242&gt;=2000,MAX(I242,Parametres!$B$3),I242)</f>
        <v/>
      </c>
      <c r="K242" s="8">
        <f>IF(C242="Privé",J242,SUMIFS(Regles_regimes!$J$3:$J$2000,Regles_regimes!$A$3:$A$2000,C242,Regles_regimes!$B$3:$B$2000,D242,Regles_regimes!$C$3:$C$2000,MAX(1915,MIN(2025,E242))))</f>
        <v/>
      </c>
      <c r="L242" s="8">
        <f>IF(C242="Privé",H242,(K242-F242)*H242/(J242-F242))</f>
        <v/>
      </c>
      <c r="M242" s="77">
        <f>INT(E242+K242)</f>
        <v/>
      </c>
      <c r="N242" s="77">
        <f>G242+ROUNDUP(L242,0)-1</f>
        <v/>
      </c>
      <c r="O242" s="89">
        <f>SUMIFS(Regles_regimes!$K$3:$K$2000,Regles_regimes!$A$3:$A$2000,C242,Regles_regimes!$B$3:$B$2000,D242,Regles_regimes!$C$3:$C$2000,MAX(1915,MIN(2025,E242)))</f>
        <v/>
      </c>
      <c r="P242" s="13">
        <f>SUMIFS(Donnees_annuelles!$W$3:$W$188,Donnees_annuelles!$A$3:$A$188,"&gt;="&amp;G242,Donnees_annuelles!$A$3:$A$188,"&lt;="&amp;N242)*L242/ROUNDUP(L242,0)*O242</f>
        <v/>
      </c>
      <c r="Q242" s="13">
        <f>SUMIFS(Donnees_annuelles!$V$3:$V$188,Donnees_annuelles!$A$3:$A$188,"&gt;="&amp;G242,Donnees_annuelles!$A$3:$A$188,"&lt;="&amp;N242)*L242/ROUNDUP(L242,0)</f>
        <v/>
      </c>
      <c r="R242" s="13">
        <f>P242/L242</f>
        <v/>
      </c>
      <c r="S242" s="14">
        <f>SUMIFS(Donnees_annuelles!$D$3:$D$188,Donnees_annuelles!$A$3:$A$188,"&gt;="&amp;G242,Donnees_annuelles!$A$3:$A$188,"&lt;="&amp;N242)*L242/ROUNDUP(L242,0)</f>
        <v/>
      </c>
      <c r="T242" s="14">
        <f>SUMIFS(Donnees_regimes!$N$3:$N$1118,Donnees_regimes!$A$3:$A$1118,C242,Donnees_regimes!$B$3:$B$1118,"&gt;="&amp;G242,Donnees_regimes!$B$3:$B$1118,"&lt;="&amp;N242)*L242/ROUNDUP(L242,0)</f>
        <v/>
      </c>
      <c r="U242" s="14">
        <f>SUMIFS(Donnees_regimes!$O$3:$O$1118,Donnees_regimes!$A$3:$A$1118,C242,Donnees_regimes!$B$3:$B$1118,"&gt;="&amp;G242,Donnees_regimes!$B$3:$B$1118,"&lt;="&amp;N242)*L242/ROUNDUP(L242,0)</f>
        <v/>
      </c>
      <c r="V242" s="14">
        <f>T242+U242</f>
        <v/>
      </c>
      <c r="W242" s="33">
        <f>V242/S242</f>
        <v/>
      </c>
      <c r="X242" s="14">
        <f>S242+U242</f>
        <v/>
      </c>
      <c r="Y242" s="17">
        <f>V242/P242</f>
        <v/>
      </c>
      <c r="Z242" s="14">
        <f>SUMIFS(Donnees_regimes!$Q$3:$Q$1118,Donnees_regimes!$A$3:$A$1118,C242,Donnees_regimes!$B$3:$B$1118,"&gt;="&amp;G242,Donnees_regimes!$B$3:$B$1118,"&lt;="&amp;N242)*L242/ROUNDUP(L242,0)</f>
        <v/>
      </c>
      <c r="AA242" s="77">
        <f>SUMIFS(Regles_regimes!$F$3:$F$2000,Regles_regimes!$A$3:$A$2000,C242,Regles_regimes!$B$3:$B$2000,D242,Regles_regimes!$C$3:$C$2000,MAX(1915,MIN(2025,E242)))</f>
        <v/>
      </c>
      <c r="AB242" s="77">
        <f>IF(AND(SUMIFS(Regles_regimes!$L$3:$L$2000,Regles_regimes!$A$3:$A$2000,C242,Regles_regimes!$B$3:$B$2000,D242,Regles_regimes!$C$3:$C$2000,MAX(1915,MIN(2025,E242)))=1,G242&lt;2009,C242&lt;&gt;"Privé"),MIN(20,L242*4/5),0)</f>
        <v/>
      </c>
      <c r="AC242" s="89">
        <f>SUMIFS(Donnees_regimes!$M$3:$M$1118,Donnees_regimes!$A$3:$A$1118,C242,Donnees_regimes!$B$3:$B$1118,M242)</f>
        <v/>
      </c>
      <c r="AD242" s="14">
        <f>SUMIFS(Donnees_annuelles!$Y$3:$Y$188,Donnees_annuelles!$A$3:$A$188,M242)*SUMIFS(Donnees_generations!$I$3:$I$113,Donnees_generations!$A$3:$A$113,MAX(1915,MIN(2025,E242)))/H242</f>
        <v/>
      </c>
      <c r="AE242" s="14">
        <f>IF(C242="Privé",SUMIFS(Donnees_annuelles!$Y$3:$Y$188,Donnees_annuelles!$A$3:$A$188,M242)*MIN(L242,SUMIFS(Donnees_generations!$I$3:$I$113,Donnees_generations!$A$3:$A$113,MAX(1915,MIN(2025,E242))))/L242,AD242*AC242*MIN(IF(AB242&gt;0,0.8/0.75,1),(L242*4+AB242)/AA242))</f>
        <v/>
      </c>
      <c r="AF242" s="14">
        <f>AE242/12</f>
        <v/>
      </c>
      <c r="AG242" s="77">
        <f>MIN(68,MAX(56,2*INT(K242/2)))</f>
        <v/>
      </c>
      <c r="AH242" s="75">
        <f>(CHOOSE((AG242-56)/2+1,SUMIFS(Donnees_generations!$U$3:$U$113,Donnees_generations!$A$3:$A$113,MAX(1915,MIN(2025,E242))),SUMIFS(Donnees_generations!$V$3:$V$113,Donnees_generations!$A$3:$A$113,MAX(1915,MIN(2025,E242))),SUMIFS(Donnees_generations!$W$3:$W$113,Donnees_generations!$A$3:$A$113,MAX(1915,MIN(2025,E242))),SUMIFS(Donnees_generations!$X$3:$X$113,Donnees_generations!$A$3:$A$113,MAX(1915,MIN(2025,E242))),SUMIFS(Donnees_generations!$Y$3:$Y$113,Donnees_generations!$A$3:$A$113,MAX(1915,MIN(2025,E242))),SUMIFS(Donnees_generations!$Z$3:$Z$113,Donnees_generations!$A$3:$A$113,MAX(1915,MIN(2025,E242))),SUMIFS(Donnees_generations!$AA$3:$AA$113,Donnees_generations!$A$3:$A$113,MAX(1915,MIN(2025,E242))),SUMIFS(Donnees_generations!$AB$3:$AB$113,Donnees_generations!$A$3:$A$113,MAX(1915,MIN(2025,E242))))+CHOOSE((AG242-56)/2+1,SUMIFS(Donnees_generations!$AC$3:$AC$113,Donnees_generations!$A$3:$A$113,MAX(1915,MIN(2025,E242))),SUMIFS(Donnees_generations!$AD$3:$AD$113,Donnees_generations!$A$3:$A$113,MAX(1915,MIN(2025,E242))),SUMIFS(Donnees_generations!$AE$3:$AE$113,Donnees_generations!$A$3:$A$113,MAX(1915,MIN(2025,E242))),SUMIFS(Donnees_generations!$AF$3:$AF$113,Donnees_generations!$A$3:$A$113,MAX(1915,MIN(2025,E242))),SUMIFS(Donnees_generations!$AG$3:$AG$113,Donnees_generations!$A$3:$A$113,MAX(1915,MIN(2025,E242))),SUMIFS(Donnees_generations!$AH$3:$AH$113,Donnees_generations!$A$3:$A$113,MAX(1915,MIN(2025,E242))),SUMIFS(Donnees_generations!$AI$3:$AI$113,Donnees_generations!$A$3:$A$113,MAX(1915,MIN(2025,E242))),SUMIFS(Donnees_generations!$AJ$3:$AJ$113,Donnees_generations!$A$3:$A$113,MAX(1915,MIN(2025,E242)))))/2</f>
        <v/>
      </c>
      <c r="AI242" s="75">
        <f>(CHOOSE(((AG242+2)-56)/2+1,SUMIFS(Donnees_generations!$U$3:$U$113,Donnees_generations!$A$3:$A$113,MAX(1915,MIN(2025,E242))),SUMIFS(Donnees_generations!$V$3:$V$113,Donnees_generations!$A$3:$A$113,MAX(1915,MIN(2025,E242))),SUMIFS(Donnees_generations!$W$3:$W$113,Donnees_generations!$A$3:$A$113,MAX(1915,MIN(2025,E242))),SUMIFS(Donnees_generations!$X$3:$X$113,Donnees_generations!$A$3:$A$113,MAX(1915,MIN(2025,E242))),SUMIFS(Donnees_generations!$Y$3:$Y$113,Donnees_generations!$A$3:$A$113,MAX(1915,MIN(2025,E242))),SUMIFS(Donnees_generations!$Z$3:$Z$113,Donnees_generations!$A$3:$A$113,MAX(1915,MIN(2025,E242))),SUMIFS(Donnees_generations!$AA$3:$AA$113,Donnees_generations!$A$3:$A$113,MAX(1915,MIN(2025,E242))),SUMIFS(Donnees_generations!$AB$3:$AB$113,Donnees_generations!$A$3:$A$113,MAX(1915,MIN(2025,E242))))+CHOOSE(((AG242+2)-56)/2+1,SUMIFS(Donnees_generations!$AC$3:$AC$113,Donnees_generations!$A$3:$A$113,MAX(1915,MIN(2025,E242))),SUMIFS(Donnees_generations!$AD$3:$AD$113,Donnees_generations!$A$3:$A$113,MAX(1915,MIN(2025,E242))),SUMIFS(Donnees_generations!$AE$3:$AE$113,Donnees_generations!$A$3:$A$113,MAX(1915,MIN(2025,E242))),SUMIFS(Donnees_generations!$AF$3:$AF$113,Donnees_generations!$A$3:$A$113,MAX(1915,MIN(2025,E242))),SUMIFS(Donnees_generations!$AG$3:$AG$113,Donnees_generations!$A$3:$A$113,MAX(1915,MIN(2025,E242))),SUMIFS(Donnees_generations!$AH$3:$AH$113,Donnees_generations!$A$3:$A$113,MAX(1915,MIN(2025,E242))),SUMIFS(Donnees_generations!$AI$3:$AI$113,Donnees_generations!$A$3:$A$113,MAX(1915,MIN(2025,E242))),SUMIFS(Donnees_generations!$AJ$3:$AJ$113,Donnees_generations!$A$3:$A$113,MAX(1915,MIN(2025,E242)))))/2</f>
        <v/>
      </c>
      <c r="AJ242" s="8">
        <f>MAX(0,AH242+(AI242-AH242)*(K242-AG242)/2)</f>
        <v/>
      </c>
      <c r="AK242" s="8">
        <f>K242+AJ242</f>
        <v/>
      </c>
      <c r="AL242" s="14">
        <f>AE242*AJ242</f>
        <v/>
      </c>
      <c r="AM242" s="17">
        <f>V242/AL242</f>
        <v/>
      </c>
      <c r="AN242" s="17">
        <f>Z242/AL242</f>
        <v/>
      </c>
      <c r="AO242" s="33">
        <f>IF(V242+Z242=0,0,Z242/(V242+Z242))</f>
        <v/>
      </c>
      <c r="AP242" s="14">
        <f>AL242/V242*100</f>
        <v/>
      </c>
      <c r="AQ242" s="8">
        <f>P242/AL242*1000</f>
        <v/>
      </c>
      <c r="AR242" s="77">
        <f>MAX(N242,M242-1)</f>
        <v/>
      </c>
      <c r="AS242" s="14">
        <f>SUMIFS(Donnees_regimes!$R$3:$R$1118,Donnees_regimes!$A$3:$A$1118,C242,Donnees_regimes!$B$3:$B$1118,"&gt;="&amp;G242,Donnees_regimes!$B$3:$B$1118,"&lt;="&amp;N242)*L242/ROUNDUP(L242,0)*SUMIFS(Donnees_annuelles!$AG$3:$AG$188,Donnees_annuelles!$A$3:$A$188,AR242)*SUMIFS(Donnees_annuelles!$AA$3:$AA$188,Donnees_annuelles!$A$3:$A$188,AR242)</f>
        <v/>
      </c>
      <c r="AT242" s="36">
        <f>AS242/V242</f>
        <v/>
      </c>
      <c r="AU242" s="14">
        <f>AL242</f>
        <v/>
      </c>
      <c r="AV242" s="39">
        <f>AS242-AL242</f>
        <v/>
      </c>
      <c r="AW242" s="9">
        <f>AS242/AL242-1</f>
        <v/>
      </c>
      <c r="AX242" s="14">
        <f>AS242/AJ242/12</f>
        <v/>
      </c>
      <c r="AY242" s="14">
        <f>AF242</f>
        <v/>
      </c>
      <c r="AZ242" s="39">
        <f>AX242-AF242</f>
        <v/>
      </c>
      <c r="BA242" s="14">
        <f>SUMIFS(Donnees_regimes!$S$3:$S$1118,Donnees_regimes!$A$3:$A$1118,C242,Donnees_regimes!$B$3:$B$1118,"&gt;="&amp;G242,Donnees_regimes!$B$3:$B$1118,"&lt;="&amp;N242)*L242/ROUNDUP(L242,0)*SUMIFS(Donnees_annuelles!$AH$3:$AH$188,Donnees_annuelles!$A$3:$A$188,AR242)*SUMIFS(Donnees_annuelles!$AA$3:$AA$188,Donnees_annuelles!$A$3:$A$188,AR242)</f>
        <v/>
      </c>
      <c r="BB242" s="39">
        <f>BA242-AL242</f>
        <v/>
      </c>
      <c r="BC242" s="7">
        <f>IF(M242+AJ242&gt;2026,IF(G242&gt;2026,"entièrement projeté","en partie projeté"),"observé")</f>
        <v/>
      </c>
    </row>
    <row r="243">
      <c r="A243" s="7" t="inlineStr">
        <is>
          <t>Génération X</t>
        </is>
      </c>
      <c r="B243" s="84" t="inlineStr">
        <is>
          <t>Fonction publique territoriale et hospitalière</t>
        </is>
      </c>
      <c r="C243" s="7">
        <f>IF(G243&gt;=SUMIFS(Regimes!$C$5:$C$10,Regimes!$A$5:$A$10,B243),"Privé",B243)</f>
        <v/>
      </c>
      <c r="D243" s="7">
        <f>INDEX(Regimes!$D$5:$D$10,MATCH(C243,Regimes!$A$5:$A$10,0))</f>
        <v/>
      </c>
      <c r="E243" s="88" t="n">
        <v>1972</v>
      </c>
      <c r="F243" s="8">
        <f>Donnees_generations!C60</f>
        <v/>
      </c>
      <c r="G243" s="77">
        <f>Donnees_generations!D60</f>
        <v/>
      </c>
      <c r="H243" s="8">
        <f>SUMIFS(Donnees_generations!$S$3:$S$113,Donnees_generations!$A$3:$A$113,MAX(1915,MIN(2025,E243)))</f>
        <v/>
      </c>
      <c r="I243" s="8">
        <f>SUMIFS(Donnees_generations!$T$3:$T$113,Donnees_generations!$A$3:$A$113,MAX(1915,MIN(2025,E243)))</f>
        <v/>
      </c>
      <c r="J243" s="8">
        <f>IF(G243&gt;=2000,MAX(I243,Parametres!$B$3),I243)</f>
        <v/>
      </c>
      <c r="K243" s="8">
        <f>IF(C243="Privé",J243,SUMIFS(Regles_regimes!$J$3:$J$2000,Regles_regimes!$A$3:$A$2000,C243,Regles_regimes!$B$3:$B$2000,D243,Regles_regimes!$C$3:$C$2000,MAX(1915,MIN(2025,E243))))</f>
        <v/>
      </c>
      <c r="L243" s="8">
        <f>IF(C243="Privé",H243,(K243-F243)*H243/(J243-F243))</f>
        <v/>
      </c>
      <c r="M243" s="77">
        <f>INT(E243+K243)</f>
        <v/>
      </c>
      <c r="N243" s="77">
        <f>G243+ROUNDUP(L243,0)-1</f>
        <v/>
      </c>
      <c r="O243" s="89">
        <f>SUMIFS(Regles_regimes!$K$3:$K$2000,Regles_regimes!$A$3:$A$2000,C243,Regles_regimes!$B$3:$B$2000,D243,Regles_regimes!$C$3:$C$2000,MAX(1915,MIN(2025,E243)))</f>
        <v/>
      </c>
      <c r="P243" s="13">
        <f>SUMIFS(Donnees_annuelles!$W$3:$W$188,Donnees_annuelles!$A$3:$A$188,"&gt;="&amp;G243,Donnees_annuelles!$A$3:$A$188,"&lt;="&amp;N243)*L243/ROUNDUP(L243,0)*O243</f>
        <v/>
      </c>
      <c r="Q243" s="13">
        <f>SUMIFS(Donnees_annuelles!$V$3:$V$188,Donnees_annuelles!$A$3:$A$188,"&gt;="&amp;G243,Donnees_annuelles!$A$3:$A$188,"&lt;="&amp;N243)*L243/ROUNDUP(L243,0)</f>
        <v/>
      </c>
      <c r="R243" s="13">
        <f>P243/L243</f>
        <v/>
      </c>
      <c r="S243" s="14">
        <f>SUMIFS(Donnees_annuelles!$D$3:$D$188,Donnees_annuelles!$A$3:$A$188,"&gt;="&amp;G243,Donnees_annuelles!$A$3:$A$188,"&lt;="&amp;N243)*L243/ROUNDUP(L243,0)</f>
        <v/>
      </c>
      <c r="T243" s="14">
        <f>SUMIFS(Donnees_regimes!$N$3:$N$1118,Donnees_regimes!$A$3:$A$1118,C243,Donnees_regimes!$B$3:$B$1118,"&gt;="&amp;G243,Donnees_regimes!$B$3:$B$1118,"&lt;="&amp;N243)*L243/ROUNDUP(L243,0)</f>
        <v/>
      </c>
      <c r="U243" s="14">
        <f>SUMIFS(Donnees_regimes!$O$3:$O$1118,Donnees_regimes!$A$3:$A$1118,C243,Donnees_regimes!$B$3:$B$1118,"&gt;="&amp;G243,Donnees_regimes!$B$3:$B$1118,"&lt;="&amp;N243)*L243/ROUNDUP(L243,0)</f>
        <v/>
      </c>
      <c r="V243" s="14">
        <f>T243+U243</f>
        <v/>
      </c>
      <c r="W243" s="33">
        <f>V243/S243</f>
        <v/>
      </c>
      <c r="X243" s="14">
        <f>S243+U243</f>
        <v/>
      </c>
      <c r="Y243" s="17">
        <f>V243/P243</f>
        <v/>
      </c>
      <c r="Z243" s="14">
        <f>SUMIFS(Donnees_regimes!$Q$3:$Q$1118,Donnees_regimes!$A$3:$A$1118,C243,Donnees_regimes!$B$3:$B$1118,"&gt;="&amp;G243,Donnees_regimes!$B$3:$B$1118,"&lt;="&amp;N243)*L243/ROUNDUP(L243,0)</f>
        <v/>
      </c>
      <c r="AA243" s="77">
        <f>SUMIFS(Regles_regimes!$F$3:$F$2000,Regles_regimes!$A$3:$A$2000,C243,Regles_regimes!$B$3:$B$2000,D243,Regles_regimes!$C$3:$C$2000,MAX(1915,MIN(2025,E243)))</f>
        <v/>
      </c>
      <c r="AB243" s="77">
        <f>IF(AND(SUMIFS(Regles_regimes!$L$3:$L$2000,Regles_regimes!$A$3:$A$2000,C243,Regles_regimes!$B$3:$B$2000,D243,Regles_regimes!$C$3:$C$2000,MAX(1915,MIN(2025,E243)))=1,G243&lt;2009,C243&lt;&gt;"Privé"),MIN(20,L243*4/5),0)</f>
        <v/>
      </c>
      <c r="AC243" s="89">
        <f>SUMIFS(Donnees_regimes!$M$3:$M$1118,Donnees_regimes!$A$3:$A$1118,C243,Donnees_regimes!$B$3:$B$1118,M243)</f>
        <v/>
      </c>
      <c r="AD243" s="14">
        <f>SUMIFS(Donnees_annuelles!$Y$3:$Y$188,Donnees_annuelles!$A$3:$A$188,M243)*SUMIFS(Donnees_generations!$I$3:$I$113,Donnees_generations!$A$3:$A$113,MAX(1915,MIN(2025,E243)))/H243</f>
        <v/>
      </c>
      <c r="AE243" s="14">
        <f>IF(C243="Privé",SUMIFS(Donnees_annuelles!$Y$3:$Y$188,Donnees_annuelles!$A$3:$A$188,M243)*MIN(L243,SUMIFS(Donnees_generations!$I$3:$I$113,Donnees_generations!$A$3:$A$113,MAX(1915,MIN(2025,E243))))/L243,AD243*AC243*MIN(IF(AB243&gt;0,0.8/0.75,1),(L243*4+AB243)/AA243))</f>
        <v/>
      </c>
      <c r="AF243" s="14">
        <f>AE243/12</f>
        <v/>
      </c>
      <c r="AG243" s="77">
        <f>MIN(68,MAX(56,2*INT(K243/2)))</f>
        <v/>
      </c>
      <c r="AH243" s="75">
        <f>(CHOOSE((AG243-56)/2+1,SUMIFS(Donnees_generations!$U$3:$U$113,Donnees_generations!$A$3:$A$113,MAX(1915,MIN(2025,E243))),SUMIFS(Donnees_generations!$V$3:$V$113,Donnees_generations!$A$3:$A$113,MAX(1915,MIN(2025,E243))),SUMIFS(Donnees_generations!$W$3:$W$113,Donnees_generations!$A$3:$A$113,MAX(1915,MIN(2025,E243))),SUMIFS(Donnees_generations!$X$3:$X$113,Donnees_generations!$A$3:$A$113,MAX(1915,MIN(2025,E243))),SUMIFS(Donnees_generations!$Y$3:$Y$113,Donnees_generations!$A$3:$A$113,MAX(1915,MIN(2025,E243))),SUMIFS(Donnees_generations!$Z$3:$Z$113,Donnees_generations!$A$3:$A$113,MAX(1915,MIN(2025,E243))),SUMIFS(Donnees_generations!$AA$3:$AA$113,Donnees_generations!$A$3:$A$113,MAX(1915,MIN(2025,E243))),SUMIFS(Donnees_generations!$AB$3:$AB$113,Donnees_generations!$A$3:$A$113,MAX(1915,MIN(2025,E243))))+CHOOSE((AG243-56)/2+1,SUMIFS(Donnees_generations!$AC$3:$AC$113,Donnees_generations!$A$3:$A$113,MAX(1915,MIN(2025,E243))),SUMIFS(Donnees_generations!$AD$3:$AD$113,Donnees_generations!$A$3:$A$113,MAX(1915,MIN(2025,E243))),SUMIFS(Donnees_generations!$AE$3:$AE$113,Donnees_generations!$A$3:$A$113,MAX(1915,MIN(2025,E243))),SUMIFS(Donnees_generations!$AF$3:$AF$113,Donnees_generations!$A$3:$A$113,MAX(1915,MIN(2025,E243))),SUMIFS(Donnees_generations!$AG$3:$AG$113,Donnees_generations!$A$3:$A$113,MAX(1915,MIN(2025,E243))),SUMIFS(Donnees_generations!$AH$3:$AH$113,Donnees_generations!$A$3:$A$113,MAX(1915,MIN(2025,E243))),SUMIFS(Donnees_generations!$AI$3:$AI$113,Donnees_generations!$A$3:$A$113,MAX(1915,MIN(2025,E243))),SUMIFS(Donnees_generations!$AJ$3:$AJ$113,Donnees_generations!$A$3:$A$113,MAX(1915,MIN(2025,E243)))))/2</f>
        <v/>
      </c>
      <c r="AI243" s="75">
        <f>(CHOOSE(((AG243+2)-56)/2+1,SUMIFS(Donnees_generations!$U$3:$U$113,Donnees_generations!$A$3:$A$113,MAX(1915,MIN(2025,E243))),SUMIFS(Donnees_generations!$V$3:$V$113,Donnees_generations!$A$3:$A$113,MAX(1915,MIN(2025,E243))),SUMIFS(Donnees_generations!$W$3:$W$113,Donnees_generations!$A$3:$A$113,MAX(1915,MIN(2025,E243))),SUMIFS(Donnees_generations!$X$3:$X$113,Donnees_generations!$A$3:$A$113,MAX(1915,MIN(2025,E243))),SUMIFS(Donnees_generations!$Y$3:$Y$113,Donnees_generations!$A$3:$A$113,MAX(1915,MIN(2025,E243))),SUMIFS(Donnees_generations!$Z$3:$Z$113,Donnees_generations!$A$3:$A$113,MAX(1915,MIN(2025,E243))),SUMIFS(Donnees_generations!$AA$3:$AA$113,Donnees_generations!$A$3:$A$113,MAX(1915,MIN(2025,E243))),SUMIFS(Donnees_generations!$AB$3:$AB$113,Donnees_generations!$A$3:$A$113,MAX(1915,MIN(2025,E243))))+CHOOSE(((AG243+2)-56)/2+1,SUMIFS(Donnees_generations!$AC$3:$AC$113,Donnees_generations!$A$3:$A$113,MAX(1915,MIN(2025,E243))),SUMIFS(Donnees_generations!$AD$3:$AD$113,Donnees_generations!$A$3:$A$113,MAX(1915,MIN(2025,E243))),SUMIFS(Donnees_generations!$AE$3:$AE$113,Donnees_generations!$A$3:$A$113,MAX(1915,MIN(2025,E243))),SUMIFS(Donnees_generations!$AF$3:$AF$113,Donnees_generations!$A$3:$A$113,MAX(1915,MIN(2025,E243))),SUMIFS(Donnees_generations!$AG$3:$AG$113,Donnees_generations!$A$3:$A$113,MAX(1915,MIN(2025,E243))),SUMIFS(Donnees_generations!$AH$3:$AH$113,Donnees_generations!$A$3:$A$113,MAX(1915,MIN(2025,E243))),SUMIFS(Donnees_generations!$AI$3:$AI$113,Donnees_generations!$A$3:$A$113,MAX(1915,MIN(2025,E243))),SUMIFS(Donnees_generations!$AJ$3:$AJ$113,Donnees_generations!$A$3:$A$113,MAX(1915,MIN(2025,E243)))))/2</f>
        <v/>
      </c>
      <c r="AJ243" s="8">
        <f>MAX(0,AH243+(AI243-AH243)*(K243-AG243)/2)</f>
        <v/>
      </c>
      <c r="AK243" s="8">
        <f>K243+AJ243</f>
        <v/>
      </c>
      <c r="AL243" s="14">
        <f>AE243*AJ243</f>
        <v/>
      </c>
      <c r="AM243" s="17">
        <f>V243/AL243</f>
        <v/>
      </c>
      <c r="AN243" s="17">
        <f>Z243/AL243</f>
        <v/>
      </c>
      <c r="AO243" s="33">
        <f>IF(V243+Z243=0,0,Z243/(V243+Z243))</f>
        <v/>
      </c>
      <c r="AP243" s="14">
        <f>AL243/V243*100</f>
        <v/>
      </c>
      <c r="AQ243" s="8">
        <f>P243/AL243*1000</f>
        <v/>
      </c>
      <c r="AR243" s="77">
        <f>MAX(N243,M243-1)</f>
        <v/>
      </c>
      <c r="AS243" s="14">
        <f>SUMIFS(Donnees_regimes!$R$3:$R$1118,Donnees_regimes!$A$3:$A$1118,C243,Donnees_regimes!$B$3:$B$1118,"&gt;="&amp;G243,Donnees_regimes!$B$3:$B$1118,"&lt;="&amp;N243)*L243/ROUNDUP(L243,0)*SUMIFS(Donnees_annuelles!$AG$3:$AG$188,Donnees_annuelles!$A$3:$A$188,AR243)*SUMIFS(Donnees_annuelles!$AA$3:$AA$188,Donnees_annuelles!$A$3:$A$188,AR243)</f>
        <v/>
      </c>
      <c r="AT243" s="36">
        <f>AS243/V243</f>
        <v/>
      </c>
      <c r="AU243" s="14">
        <f>AL243</f>
        <v/>
      </c>
      <c r="AV243" s="39">
        <f>AS243-AL243</f>
        <v/>
      </c>
      <c r="AW243" s="9">
        <f>AS243/AL243-1</f>
        <v/>
      </c>
      <c r="AX243" s="14">
        <f>AS243/AJ243/12</f>
        <v/>
      </c>
      <c r="AY243" s="14">
        <f>AF243</f>
        <v/>
      </c>
      <c r="AZ243" s="39">
        <f>AX243-AF243</f>
        <v/>
      </c>
      <c r="BA243" s="14">
        <f>SUMIFS(Donnees_regimes!$S$3:$S$1118,Donnees_regimes!$A$3:$A$1118,C243,Donnees_regimes!$B$3:$B$1118,"&gt;="&amp;G243,Donnees_regimes!$B$3:$B$1118,"&lt;="&amp;N243)*L243/ROUNDUP(L243,0)*SUMIFS(Donnees_annuelles!$AH$3:$AH$188,Donnees_annuelles!$A$3:$A$188,AR243)*SUMIFS(Donnees_annuelles!$AA$3:$AA$188,Donnees_annuelles!$A$3:$A$188,AR243)</f>
        <v/>
      </c>
      <c r="BB243" s="39">
        <f>BA243-AL243</f>
        <v/>
      </c>
      <c r="BC243" s="7">
        <f>IF(M243+AJ243&gt;2026,IF(G243&gt;2026,"entièrement projeté","en partie projeté"),"observé")</f>
        <v/>
      </c>
    </row>
    <row r="244">
      <c r="A244" s="7" t="inlineStr">
        <is>
          <t>Génération X</t>
        </is>
      </c>
      <c r="B244" s="84" t="inlineStr">
        <is>
          <t>Fonction publique territoriale et hospitalière</t>
        </is>
      </c>
      <c r="C244" s="7">
        <f>IF(G244&gt;=SUMIFS(Regimes!$C$5:$C$10,Regimes!$A$5:$A$10,B244),"Privé",B244)</f>
        <v/>
      </c>
      <c r="D244" s="7">
        <f>INDEX(Regimes!$D$5:$D$10,MATCH(C244,Regimes!$A$5:$A$10,0))</f>
        <v/>
      </c>
      <c r="E244" s="88" t="n">
        <v>1973</v>
      </c>
      <c r="F244" s="8">
        <f>Donnees_generations!C61</f>
        <v/>
      </c>
      <c r="G244" s="77">
        <f>Donnees_generations!D61</f>
        <v/>
      </c>
      <c r="H244" s="8">
        <f>SUMIFS(Donnees_generations!$S$3:$S$113,Donnees_generations!$A$3:$A$113,MAX(1915,MIN(2025,E244)))</f>
        <v/>
      </c>
      <c r="I244" s="8">
        <f>SUMIFS(Donnees_generations!$T$3:$T$113,Donnees_generations!$A$3:$A$113,MAX(1915,MIN(2025,E244)))</f>
        <v/>
      </c>
      <c r="J244" s="8">
        <f>IF(G244&gt;=2000,MAX(I244,Parametres!$B$3),I244)</f>
        <v/>
      </c>
      <c r="K244" s="8">
        <f>IF(C244="Privé",J244,SUMIFS(Regles_regimes!$J$3:$J$2000,Regles_regimes!$A$3:$A$2000,C244,Regles_regimes!$B$3:$B$2000,D244,Regles_regimes!$C$3:$C$2000,MAX(1915,MIN(2025,E244))))</f>
        <v/>
      </c>
      <c r="L244" s="8">
        <f>IF(C244="Privé",H244,(K244-F244)*H244/(J244-F244))</f>
        <v/>
      </c>
      <c r="M244" s="77">
        <f>INT(E244+K244)</f>
        <v/>
      </c>
      <c r="N244" s="77">
        <f>G244+ROUNDUP(L244,0)-1</f>
        <v/>
      </c>
      <c r="O244" s="89">
        <f>SUMIFS(Regles_regimes!$K$3:$K$2000,Regles_regimes!$A$3:$A$2000,C244,Regles_regimes!$B$3:$B$2000,D244,Regles_regimes!$C$3:$C$2000,MAX(1915,MIN(2025,E244)))</f>
        <v/>
      </c>
      <c r="P244" s="13">
        <f>SUMIFS(Donnees_annuelles!$W$3:$W$188,Donnees_annuelles!$A$3:$A$188,"&gt;="&amp;G244,Donnees_annuelles!$A$3:$A$188,"&lt;="&amp;N244)*L244/ROUNDUP(L244,0)*O244</f>
        <v/>
      </c>
      <c r="Q244" s="13">
        <f>SUMIFS(Donnees_annuelles!$V$3:$V$188,Donnees_annuelles!$A$3:$A$188,"&gt;="&amp;G244,Donnees_annuelles!$A$3:$A$188,"&lt;="&amp;N244)*L244/ROUNDUP(L244,0)</f>
        <v/>
      </c>
      <c r="R244" s="13">
        <f>P244/L244</f>
        <v/>
      </c>
      <c r="S244" s="14">
        <f>SUMIFS(Donnees_annuelles!$D$3:$D$188,Donnees_annuelles!$A$3:$A$188,"&gt;="&amp;G244,Donnees_annuelles!$A$3:$A$188,"&lt;="&amp;N244)*L244/ROUNDUP(L244,0)</f>
        <v/>
      </c>
      <c r="T244" s="14">
        <f>SUMIFS(Donnees_regimes!$N$3:$N$1118,Donnees_regimes!$A$3:$A$1118,C244,Donnees_regimes!$B$3:$B$1118,"&gt;="&amp;G244,Donnees_regimes!$B$3:$B$1118,"&lt;="&amp;N244)*L244/ROUNDUP(L244,0)</f>
        <v/>
      </c>
      <c r="U244" s="14">
        <f>SUMIFS(Donnees_regimes!$O$3:$O$1118,Donnees_regimes!$A$3:$A$1118,C244,Donnees_regimes!$B$3:$B$1118,"&gt;="&amp;G244,Donnees_regimes!$B$3:$B$1118,"&lt;="&amp;N244)*L244/ROUNDUP(L244,0)</f>
        <v/>
      </c>
      <c r="V244" s="14">
        <f>T244+U244</f>
        <v/>
      </c>
      <c r="W244" s="33">
        <f>V244/S244</f>
        <v/>
      </c>
      <c r="X244" s="14">
        <f>S244+U244</f>
        <v/>
      </c>
      <c r="Y244" s="17">
        <f>V244/P244</f>
        <v/>
      </c>
      <c r="Z244" s="14">
        <f>SUMIFS(Donnees_regimes!$Q$3:$Q$1118,Donnees_regimes!$A$3:$A$1118,C244,Donnees_regimes!$B$3:$B$1118,"&gt;="&amp;G244,Donnees_regimes!$B$3:$B$1118,"&lt;="&amp;N244)*L244/ROUNDUP(L244,0)</f>
        <v/>
      </c>
      <c r="AA244" s="77">
        <f>SUMIFS(Regles_regimes!$F$3:$F$2000,Regles_regimes!$A$3:$A$2000,C244,Regles_regimes!$B$3:$B$2000,D244,Regles_regimes!$C$3:$C$2000,MAX(1915,MIN(2025,E244)))</f>
        <v/>
      </c>
      <c r="AB244" s="77">
        <f>IF(AND(SUMIFS(Regles_regimes!$L$3:$L$2000,Regles_regimes!$A$3:$A$2000,C244,Regles_regimes!$B$3:$B$2000,D244,Regles_regimes!$C$3:$C$2000,MAX(1915,MIN(2025,E244)))=1,G244&lt;2009,C244&lt;&gt;"Privé"),MIN(20,L244*4/5),0)</f>
        <v/>
      </c>
      <c r="AC244" s="89">
        <f>SUMIFS(Donnees_regimes!$M$3:$M$1118,Donnees_regimes!$A$3:$A$1118,C244,Donnees_regimes!$B$3:$B$1118,M244)</f>
        <v/>
      </c>
      <c r="AD244" s="14">
        <f>SUMIFS(Donnees_annuelles!$Y$3:$Y$188,Donnees_annuelles!$A$3:$A$188,M244)*SUMIFS(Donnees_generations!$I$3:$I$113,Donnees_generations!$A$3:$A$113,MAX(1915,MIN(2025,E244)))/H244</f>
        <v/>
      </c>
      <c r="AE244" s="14">
        <f>IF(C244="Privé",SUMIFS(Donnees_annuelles!$Y$3:$Y$188,Donnees_annuelles!$A$3:$A$188,M244)*MIN(L244,SUMIFS(Donnees_generations!$I$3:$I$113,Donnees_generations!$A$3:$A$113,MAX(1915,MIN(2025,E244))))/L244,AD244*AC244*MIN(IF(AB244&gt;0,0.8/0.75,1),(L244*4+AB244)/AA244))</f>
        <v/>
      </c>
      <c r="AF244" s="14">
        <f>AE244/12</f>
        <v/>
      </c>
      <c r="AG244" s="77">
        <f>MIN(68,MAX(56,2*INT(K244/2)))</f>
        <v/>
      </c>
      <c r="AH244" s="75">
        <f>(CHOOSE((AG244-56)/2+1,SUMIFS(Donnees_generations!$U$3:$U$113,Donnees_generations!$A$3:$A$113,MAX(1915,MIN(2025,E244))),SUMIFS(Donnees_generations!$V$3:$V$113,Donnees_generations!$A$3:$A$113,MAX(1915,MIN(2025,E244))),SUMIFS(Donnees_generations!$W$3:$W$113,Donnees_generations!$A$3:$A$113,MAX(1915,MIN(2025,E244))),SUMIFS(Donnees_generations!$X$3:$X$113,Donnees_generations!$A$3:$A$113,MAX(1915,MIN(2025,E244))),SUMIFS(Donnees_generations!$Y$3:$Y$113,Donnees_generations!$A$3:$A$113,MAX(1915,MIN(2025,E244))),SUMIFS(Donnees_generations!$Z$3:$Z$113,Donnees_generations!$A$3:$A$113,MAX(1915,MIN(2025,E244))),SUMIFS(Donnees_generations!$AA$3:$AA$113,Donnees_generations!$A$3:$A$113,MAX(1915,MIN(2025,E244))),SUMIFS(Donnees_generations!$AB$3:$AB$113,Donnees_generations!$A$3:$A$113,MAX(1915,MIN(2025,E244))))+CHOOSE((AG244-56)/2+1,SUMIFS(Donnees_generations!$AC$3:$AC$113,Donnees_generations!$A$3:$A$113,MAX(1915,MIN(2025,E244))),SUMIFS(Donnees_generations!$AD$3:$AD$113,Donnees_generations!$A$3:$A$113,MAX(1915,MIN(2025,E244))),SUMIFS(Donnees_generations!$AE$3:$AE$113,Donnees_generations!$A$3:$A$113,MAX(1915,MIN(2025,E244))),SUMIFS(Donnees_generations!$AF$3:$AF$113,Donnees_generations!$A$3:$A$113,MAX(1915,MIN(2025,E244))),SUMIFS(Donnees_generations!$AG$3:$AG$113,Donnees_generations!$A$3:$A$113,MAX(1915,MIN(2025,E244))),SUMIFS(Donnees_generations!$AH$3:$AH$113,Donnees_generations!$A$3:$A$113,MAX(1915,MIN(2025,E244))),SUMIFS(Donnees_generations!$AI$3:$AI$113,Donnees_generations!$A$3:$A$113,MAX(1915,MIN(2025,E244))),SUMIFS(Donnees_generations!$AJ$3:$AJ$113,Donnees_generations!$A$3:$A$113,MAX(1915,MIN(2025,E244)))))/2</f>
        <v/>
      </c>
      <c r="AI244" s="75">
        <f>(CHOOSE(((AG244+2)-56)/2+1,SUMIFS(Donnees_generations!$U$3:$U$113,Donnees_generations!$A$3:$A$113,MAX(1915,MIN(2025,E244))),SUMIFS(Donnees_generations!$V$3:$V$113,Donnees_generations!$A$3:$A$113,MAX(1915,MIN(2025,E244))),SUMIFS(Donnees_generations!$W$3:$W$113,Donnees_generations!$A$3:$A$113,MAX(1915,MIN(2025,E244))),SUMIFS(Donnees_generations!$X$3:$X$113,Donnees_generations!$A$3:$A$113,MAX(1915,MIN(2025,E244))),SUMIFS(Donnees_generations!$Y$3:$Y$113,Donnees_generations!$A$3:$A$113,MAX(1915,MIN(2025,E244))),SUMIFS(Donnees_generations!$Z$3:$Z$113,Donnees_generations!$A$3:$A$113,MAX(1915,MIN(2025,E244))),SUMIFS(Donnees_generations!$AA$3:$AA$113,Donnees_generations!$A$3:$A$113,MAX(1915,MIN(2025,E244))),SUMIFS(Donnees_generations!$AB$3:$AB$113,Donnees_generations!$A$3:$A$113,MAX(1915,MIN(2025,E244))))+CHOOSE(((AG244+2)-56)/2+1,SUMIFS(Donnees_generations!$AC$3:$AC$113,Donnees_generations!$A$3:$A$113,MAX(1915,MIN(2025,E244))),SUMIFS(Donnees_generations!$AD$3:$AD$113,Donnees_generations!$A$3:$A$113,MAX(1915,MIN(2025,E244))),SUMIFS(Donnees_generations!$AE$3:$AE$113,Donnees_generations!$A$3:$A$113,MAX(1915,MIN(2025,E244))),SUMIFS(Donnees_generations!$AF$3:$AF$113,Donnees_generations!$A$3:$A$113,MAX(1915,MIN(2025,E244))),SUMIFS(Donnees_generations!$AG$3:$AG$113,Donnees_generations!$A$3:$A$113,MAX(1915,MIN(2025,E244))),SUMIFS(Donnees_generations!$AH$3:$AH$113,Donnees_generations!$A$3:$A$113,MAX(1915,MIN(2025,E244))),SUMIFS(Donnees_generations!$AI$3:$AI$113,Donnees_generations!$A$3:$A$113,MAX(1915,MIN(2025,E244))),SUMIFS(Donnees_generations!$AJ$3:$AJ$113,Donnees_generations!$A$3:$A$113,MAX(1915,MIN(2025,E244)))))/2</f>
        <v/>
      </c>
      <c r="AJ244" s="8">
        <f>MAX(0,AH244+(AI244-AH244)*(K244-AG244)/2)</f>
        <v/>
      </c>
      <c r="AK244" s="8">
        <f>K244+AJ244</f>
        <v/>
      </c>
      <c r="AL244" s="14">
        <f>AE244*AJ244</f>
        <v/>
      </c>
      <c r="AM244" s="17">
        <f>V244/AL244</f>
        <v/>
      </c>
      <c r="AN244" s="17">
        <f>Z244/AL244</f>
        <v/>
      </c>
      <c r="AO244" s="33">
        <f>IF(V244+Z244=0,0,Z244/(V244+Z244))</f>
        <v/>
      </c>
      <c r="AP244" s="14">
        <f>AL244/V244*100</f>
        <v/>
      </c>
      <c r="AQ244" s="8">
        <f>P244/AL244*1000</f>
        <v/>
      </c>
      <c r="AR244" s="77">
        <f>MAX(N244,M244-1)</f>
        <v/>
      </c>
      <c r="AS244" s="14">
        <f>SUMIFS(Donnees_regimes!$R$3:$R$1118,Donnees_regimes!$A$3:$A$1118,C244,Donnees_regimes!$B$3:$B$1118,"&gt;="&amp;G244,Donnees_regimes!$B$3:$B$1118,"&lt;="&amp;N244)*L244/ROUNDUP(L244,0)*SUMIFS(Donnees_annuelles!$AG$3:$AG$188,Donnees_annuelles!$A$3:$A$188,AR244)*SUMIFS(Donnees_annuelles!$AA$3:$AA$188,Donnees_annuelles!$A$3:$A$188,AR244)</f>
        <v/>
      </c>
      <c r="AT244" s="36">
        <f>AS244/V244</f>
        <v/>
      </c>
      <c r="AU244" s="14">
        <f>AL244</f>
        <v/>
      </c>
      <c r="AV244" s="39">
        <f>AS244-AL244</f>
        <v/>
      </c>
      <c r="AW244" s="9">
        <f>AS244/AL244-1</f>
        <v/>
      </c>
      <c r="AX244" s="14">
        <f>AS244/AJ244/12</f>
        <v/>
      </c>
      <c r="AY244" s="14">
        <f>AF244</f>
        <v/>
      </c>
      <c r="AZ244" s="39">
        <f>AX244-AF244</f>
        <v/>
      </c>
      <c r="BA244" s="14">
        <f>SUMIFS(Donnees_regimes!$S$3:$S$1118,Donnees_regimes!$A$3:$A$1118,C244,Donnees_regimes!$B$3:$B$1118,"&gt;="&amp;G244,Donnees_regimes!$B$3:$B$1118,"&lt;="&amp;N244)*L244/ROUNDUP(L244,0)*SUMIFS(Donnees_annuelles!$AH$3:$AH$188,Donnees_annuelles!$A$3:$A$188,AR244)*SUMIFS(Donnees_annuelles!$AA$3:$AA$188,Donnees_annuelles!$A$3:$A$188,AR244)</f>
        <v/>
      </c>
      <c r="BB244" s="39">
        <f>BA244-AL244</f>
        <v/>
      </c>
      <c r="BC244" s="7">
        <f>IF(M244+AJ244&gt;2026,IF(G244&gt;2026,"entièrement projeté","en partie projeté"),"observé")</f>
        <v/>
      </c>
    </row>
    <row r="245">
      <c r="A245" s="7" t="inlineStr">
        <is>
          <t>Génération X</t>
        </is>
      </c>
      <c r="B245" s="84" t="inlineStr">
        <is>
          <t>Fonction publique territoriale et hospitalière</t>
        </is>
      </c>
      <c r="C245" s="7">
        <f>IF(G245&gt;=SUMIFS(Regimes!$C$5:$C$10,Regimes!$A$5:$A$10,B245),"Privé",B245)</f>
        <v/>
      </c>
      <c r="D245" s="7">
        <f>INDEX(Regimes!$D$5:$D$10,MATCH(C245,Regimes!$A$5:$A$10,0))</f>
        <v/>
      </c>
      <c r="E245" s="88" t="n">
        <v>1974</v>
      </c>
      <c r="F245" s="8">
        <f>Donnees_generations!C62</f>
        <v/>
      </c>
      <c r="G245" s="77">
        <f>Donnees_generations!D62</f>
        <v/>
      </c>
      <c r="H245" s="8">
        <f>SUMIFS(Donnees_generations!$S$3:$S$113,Donnees_generations!$A$3:$A$113,MAX(1915,MIN(2025,E245)))</f>
        <v/>
      </c>
      <c r="I245" s="8">
        <f>SUMIFS(Donnees_generations!$T$3:$T$113,Donnees_generations!$A$3:$A$113,MAX(1915,MIN(2025,E245)))</f>
        <v/>
      </c>
      <c r="J245" s="8">
        <f>IF(G245&gt;=2000,MAX(I245,Parametres!$B$3),I245)</f>
        <v/>
      </c>
      <c r="K245" s="8">
        <f>IF(C245="Privé",J245,SUMIFS(Regles_regimes!$J$3:$J$2000,Regles_regimes!$A$3:$A$2000,C245,Regles_regimes!$B$3:$B$2000,D245,Regles_regimes!$C$3:$C$2000,MAX(1915,MIN(2025,E245))))</f>
        <v/>
      </c>
      <c r="L245" s="8">
        <f>IF(C245="Privé",H245,(K245-F245)*H245/(J245-F245))</f>
        <v/>
      </c>
      <c r="M245" s="77">
        <f>INT(E245+K245)</f>
        <v/>
      </c>
      <c r="N245" s="77">
        <f>G245+ROUNDUP(L245,0)-1</f>
        <v/>
      </c>
      <c r="O245" s="89">
        <f>SUMIFS(Regles_regimes!$K$3:$K$2000,Regles_regimes!$A$3:$A$2000,C245,Regles_regimes!$B$3:$B$2000,D245,Regles_regimes!$C$3:$C$2000,MAX(1915,MIN(2025,E245)))</f>
        <v/>
      </c>
      <c r="P245" s="13">
        <f>SUMIFS(Donnees_annuelles!$W$3:$W$188,Donnees_annuelles!$A$3:$A$188,"&gt;="&amp;G245,Donnees_annuelles!$A$3:$A$188,"&lt;="&amp;N245)*L245/ROUNDUP(L245,0)*O245</f>
        <v/>
      </c>
      <c r="Q245" s="13">
        <f>SUMIFS(Donnees_annuelles!$V$3:$V$188,Donnees_annuelles!$A$3:$A$188,"&gt;="&amp;G245,Donnees_annuelles!$A$3:$A$188,"&lt;="&amp;N245)*L245/ROUNDUP(L245,0)</f>
        <v/>
      </c>
      <c r="R245" s="13">
        <f>P245/L245</f>
        <v/>
      </c>
      <c r="S245" s="14">
        <f>SUMIFS(Donnees_annuelles!$D$3:$D$188,Donnees_annuelles!$A$3:$A$188,"&gt;="&amp;G245,Donnees_annuelles!$A$3:$A$188,"&lt;="&amp;N245)*L245/ROUNDUP(L245,0)</f>
        <v/>
      </c>
      <c r="T245" s="14">
        <f>SUMIFS(Donnees_regimes!$N$3:$N$1118,Donnees_regimes!$A$3:$A$1118,C245,Donnees_regimes!$B$3:$B$1118,"&gt;="&amp;G245,Donnees_regimes!$B$3:$B$1118,"&lt;="&amp;N245)*L245/ROUNDUP(L245,0)</f>
        <v/>
      </c>
      <c r="U245" s="14">
        <f>SUMIFS(Donnees_regimes!$O$3:$O$1118,Donnees_regimes!$A$3:$A$1118,C245,Donnees_regimes!$B$3:$B$1118,"&gt;="&amp;G245,Donnees_regimes!$B$3:$B$1118,"&lt;="&amp;N245)*L245/ROUNDUP(L245,0)</f>
        <v/>
      </c>
      <c r="V245" s="14">
        <f>T245+U245</f>
        <v/>
      </c>
      <c r="W245" s="33">
        <f>V245/S245</f>
        <v/>
      </c>
      <c r="X245" s="14">
        <f>S245+U245</f>
        <v/>
      </c>
      <c r="Y245" s="17">
        <f>V245/P245</f>
        <v/>
      </c>
      <c r="Z245" s="14">
        <f>SUMIFS(Donnees_regimes!$Q$3:$Q$1118,Donnees_regimes!$A$3:$A$1118,C245,Donnees_regimes!$B$3:$B$1118,"&gt;="&amp;G245,Donnees_regimes!$B$3:$B$1118,"&lt;="&amp;N245)*L245/ROUNDUP(L245,0)</f>
        <v/>
      </c>
      <c r="AA245" s="77">
        <f>SUMIFS(Regles_regimes!$F$3:$F$2000,Regles_regimes!$A$3:$A$2000,C245,Regles_regimes!$B$3:$B$2000,D245,Regles_regimes!$C$3:$C$2000,MAX(1915,MIN(2025,E245)))</f>
        <v/>
      </c>
      <c r="AB245" s="77">
        <f>IF(AND(SUMIFS(Regles_regimes!$L$3:$L$2000,Regles_regimes!$A$3:$A$2000,C245,Regles_regimes!$B$3:$B$2000,D245,Regles_regimes!$C$3:$C$2000,MAX(1915,MIN(2025,E245)))=1,G245&lt;2009,C245&lt;&gt;"Privé"),MIN(20,L245*4/5),0)</f>
        <v/>
      </c>
      <c r="AC245" s="89">
        <f>SUMIFS(Donnees_regimes!$M$3:$M$1118,Donnees_regimes!$A$3:$A$1118,C245,Donnees_regimes!$B$3:$B$1118,M245)</f>
        <v/>
      </c>
      <c r="AD245" s="14">
        <f>SUMIFS(Donnees_annuelles!$Y$3:$Y$188,Donnees_annuelles!$A$3:$A$188,M245)*SUMIFS(Donnees_generations!$I$3:$I$113,Donnees_generations!$A$3:$A$113,MAX(1915,MIN(2025,E245)))/H245</f>
        <v/>
      </c>
      <c r="AE245" s="14">
        <f>IF(C245="Privé",SUMIFS(Donnees_annuelles!$Y$3:$Y$188,Donnees_annuelles!$A$3:$A$188,M245)*MIN(L245,SUMIFS(Donnees_generations!$I$3:$I$113,Donnees_generations!$A$3:$A$113,MAX(1915,MIN(2025,E245))))/L245,AD245*AC245*MIN(IF(AB245&gt;0,0.8/0.75,1),(L245*4+AB245)/AA245))</f>
        <v/>
      </c>
      <c r="AF245" s="14">
        <f>AE245/12</f>
        <v/>
      </c>
      <c r="AG245" s="77">
        <f>MIN(68,MAX(56,2*INT(K245/2)))</f>
        <v/>
      </c>
      <c r="AH245" s="75">
        <f>(CHOOSE((AG245-56)/2+1,SUMIFS(Donnees_generations!$U$3:$U$113,Donnees_generations!$A$3:$A$113,MAX(1915,MIN(2025,E245))),SUMIFS(Donnees_generations!$V$3:$V$113,Donnees_generations!$A$3:$A$113,MAX(1915,MIN(2025,E245))),SUMIFS(Donnees_generations!$W$3:$W$113,Donnees_generations!$A$3:$A$113,MAX(1915,MIN(2025,E245))),SUMIFS(Donnees_generations!$X$3:$X$113,Donnees_generations!$A$3:$A$113,MAX(1915,MIN(2025,E245))),SUMIFS(Donnees_generations!$Y$3:$Y$113,Donnees_generations!$A$3:$A$113,MAX(1915,MIN(2025,E245))),SUMIFS(Donnees_generations!$Z$3:$Z$113,Donnees_generations!$A$3:$A$113,MAX(1915,MIN(2025,E245))),SUMIFS(Donnees_generations!$AA$3:$AA$113,Donnees_generations!$A$3:$A$113,MAX(1915,MIN(2025,E245))),SUMIFS(Donnees_generations!$AB$3:$AB$113,Donnees_generations!$A$3:$A$113,MAX(1915,MIN(2025,E245))))+CHOOSE((AG245-56)/2+1,SUMIFS(Donnees_generations!$AC$3:$AC$113,Donnees_generations!$A$3:$A$113,MAX(1915,MIN(2025,E245))),SUMIFS(Donnees_generations!$AD$3:$AD$113,Donnees_generations!$A$3:$A$113,MAX(1915,MIN(2025,E245))),SUMIFS(Donnees_generations!$AE$3:$AE$113,Donnees_generations!$A$3:$A$113,MAX(1915,MIN(2025,E245))),SUMIFS(Donnees_generations!$AF$3:$AF$113,Donnees_generations!$A$3:$A$113,MAX(1915,MIN(2025,E245))),SUMIFS(Donnees_generations!$AG$3:$AG$113,Donnees_generations!$A$3:$A$113,MAX(1915,MIN(2025,E245))),SUMIFS(Donnees_generations!$AH$3:$AH$113,Donnees_generations!$A$3:$A$113,MAX(1915,MIN(2025,E245))),SUMIFS(Donnees_generations!$AI$3:$AI$113,Donnees_generations!$A$3:$A$113,MAX(1915,MIN(2025,E245))),SUMIFS(Donnees_generations!$AJ$3:$AJ$113,Donnees_generations!$A$3:$A$113,MAX(1915,MIN(2025,E245)))))/2</f>
        <v/>
      </c>
      <c r="AI245" s="75">
        <f>(CHOOSE(((AG245+2)-56)/2+1,SUMIFS(Donnees_generations!$U$3:$U$113,Donnees_generations!$A$3:$A$113,MAX(1915,MIN(2025,E245))),SUMIFS(Donnees_generations!$V$3:$V$113,Donnees_generations!$A$3:$A$113,MAX(1915,MIN(2025,E245))),SUMIFS(Donnees_generations!$W$3:$W$113,Donnees_generations!$A$3:$A$113,MAX(1915,MIN(2025,E245))),SUMIFS(Donnees_generations!$X$3:$X$113,Donnees_generations!$A$3:$A$113,MAX(1915,MIN(2025,E245))),SUMIFS(Donnees_generations!$Y$3:$Y$113,Donnees_generations!$A$3:$A$113,MAX(1915,MIN(2025,E245))),SUMIFS(Donnees_generations!$Z$3:$Z$113,Donnees_generations!$A$3:$A$113,MAX(1915,MIN(2025,E245))),SUMIFS(Donnees_generations!$AA$3:$AA$113,Donnees_generations!$A$3:$A$113,MAX(1915,MIN(2025,E245))),SUMIFS(Donnees_generations!$AB$3:$AB$113,Donnees_generations!$A$3:$A$113,MAX(1915,MIN(2025,E245))))+CHOOSE(((AG245+2)-56)/2+1,SUMIFS(Donnees_generations!$AC$3:$AC$113,Donnees_generations!$A$3:$A$113,MAX(1915,MIN(2025,E245))),SUMIFS(Donnees_generations!$AD$3:$AD$113,Donnees_generations!$A$3:$A$113,MAX(1915,MIN(2025,E245))),SUMIFS(Donnees_generations!$AE$3:$AE$113,Donnees_generations!$A$3:$A$113,MAX(1915,MIN(2025,E245))),SUMIFS(Donnees_generations!$AF$3:$AF$113,Donnees_generations!$A$3:$A$113,MAX(1915,MIN(2025,E245))),SUMIFS(Donnees_generations!$AG$3:$AG$113,Donnees_generations!$A$3:$A$113,MAX(1915,MIN(2025,E245))),SUMIFS(Donnees_generations!$AH$3:$AH$113,Donnees_generations!$A$3:$A$113,MAX(1915,MIN(2025,E245))),SUMIFS(Donnees_generations!$AI$3:$AI$113,Donnees_generations!$A$3:$A$113,MAX(1915,MIN(2025,E245))),SUMIFS(Donnees_generations!$AJ$3:$AJ$113,Donnees_generations!$A$3:$A$113,MAX(1915,MIN(2025,E245)))))/2</f>
        <v/>
      </c>
      <c r="AJ245" s="8">
        <f>MAX(0,AH245+(AI245-AH245)*(K245-AG245)/2)</f>
        <v/>
      </c>
      <c r="AK245" s="8">
        <f>K245+AJ245</f>
        <v/>
      </c>
      <c r="AL245" s="14">
        <f>AE245*AJ245</f>
        <v/>
      </c>
      <c r="AM245" s="17">
        <f>V245/AL245</f>
        <v/>
      </c>
      <c r="AN245" s="17">
        <f>Z245/AL245</f>
        <v/>
      </c>
      <c r="AO245" s="33">
        <f>IF(V245+Z245=0,0,Z245/(V245+Z245))</f>
        <v/>
      </c>
      <c r="AP245" s="14">
        <f>AL245/V245*100</f>
        <v/>
      </c>
      <c r="AQ245" s="8">
        <f>P245/AL245*1000</f>
        <v/>
      </c>
      <c r="AR245" s="77">
        <f>MAX(N245,M245-1)</f>
        <v/>
      </c>
      <c r="AS245" s="14">
        <f>SUMIFS(Donnees_regimes!$R$3:$R$1118,Donnees_regimes!$A$3:$A$1118,C245,Donnees_regimes!$B$3:$B$1118,"&gt;="&amp;G245,Donnees_regimes!$B$3:$B$1118,"&lt;="&amp;N245)*L245/ROUNDUP(L245,0)*SUMIFS(Donnees_annuelles!$AG$3:$AG$188,Donnees_annuelles!$A$3:$A$188,AR245)*SUMIFS(Donnees_annuelles!$AA$3:$AA$188,Donnees_annuelles!$A$3:$A$188,AR245)</f>
        <v/>
      </c>
      <c r="AT245" s="36">
        <f>AS245/V245</f>
        <v/>
      </c>
      <c r="AU245" s="14">
        <f>AL245</f>
        <v/>
      </c>
      <c r="AV245" s="39">
        <f>AS245-AL245</f>
        <v/>
      </c>
      <c r="AW245" s="9">
        <f>AS245/AL245-1</f>
        <v/>
      </c>
      <c r="AX245" s="14">
        <f>AS245/AJ245/12</f>
        <v/>
      </c>
      <c r="AY245" s="14">
        <f>AF245</f>
        <v/>
      </c>
      <c r="AZ245" s="39">
        <f>AX245-AF245</f>
        <v/>
      </c>
      <c r="BA245" s="14">
        <f>SUMIFS(Donnees_regimes!$S$3:$S$1118,Donnees_regimes!$A$3:$A$1118,C245,Donnees_regimes!$B$3:$B$1118,"&gt;="&amp;G245,Donnees_regimes!$B$3:$B$1118,"&lt;="&amp;N245)*L245/ROUNDUP(L245,0)*SUMIFS(Donnees_annuelles!$AH$3:$AH$188,Donnees_annuelles!$A$3:$A$188,AR245)*SUMIFS(Donnees_annuelles!$AA$3:$AA$188,Donnees_annuelles!$A$3:$A$188,AR245)</f>
        <v/>
      </c>
      <c r="BB245" s="39">
        <f>BA245-AL245</f>
        <v/>
      </c>
      <c r="BC245" s="7">
        <f>IF(M245+AJ245&gt;2026,IF(G245&gt;2026,"entièrement projeté","en partie projeté"),"observé")</f>
        <v/>
      </c>
    </row>
    <row r="246">
      <c r="A246" s="7" t="inlineStr">
        <is>
          <t>Génération X</t>
        </is>
      </c>
      <c r="B246" s="84" t="inlineStr">
        <is>
          <t>Fonction publique territoriale et hospitalière</t>
        </is>
      </c>
      <c r="C246" s="7">
        <f>IF(G246&gt;=SUMIFS(Regimes!$C$5:$C$10,Regimes!$A$5:$A$10,B246),"Privé",B246)</f>
        <v/>
      </c>
      <c r="D246" s="7">
        <f>INDEX(Regimes!$D$5:$D$10,MATCH(C246,Regimes!$A$5:$A$10,0))</f>
        <v/>
      </c>
      <c r="E246" s="88" t="n">
        <v>1975</v>
      </c>
      <c r="F246" s="8">
        <f>Donnees_generations!C63</f>
        <v/>
      </c>
      <c r="G246" s="77">
        <f>Donnees_generations!D63</f>
        <v/>
      </c>
      <c r="H246" s="8">
        <f>SUMIFS(Donnees_generations!$S$3:$S$113,Donnees_generations!$A$3:$A$113,MAX(1915,MIN(2025,E246)))</f>
        <v/>
      </c>
      <c r="I246" s="8">
        <f>SUMIFS(Donnees_generations!$T$3:$T$113,Donnees_generations!$A$3:$A$113,MAX(1915,MIN(2025,E246)))</f>
        <v/>
      </c>
      <c r="J246" s="8">
        <f>IF(G246&gt;=2000,MAX(I246,Parametres!$B$3),I246)</f>
        <v/>
      </c>
      <c r="K246" s="8">
        <f>IF(C246="Privé",J246,SUMIFS(Regles_regimes!$J$3:$J$2000,Regles_regimes!$A$3:$A$2000,C246,Regles_regimes!$B$3:$B$2000,D246,Regles_regimes!$C$3:$C$2000,MAX(1915,MIN(2025,E246))))</f>
        <v/>
      </c>
      <c r="L246" s="8">
        <f>IF(C246="Privé",H246,(K246-F246)*H246/(J246-F246))</f>
        <v/>
      </c>
      <c r="M246" s="77">
        <f>INT(E246+K246)</f>
        <v/>
      </c>
      <c r="N246" s="77">
        <f>G246+ROUNDUP(L246,0)-1</f>
        <v/>
      </c>
      <c r="O246" s="89">
        <f>SUMIFS(Regles_regimes!$K$3:$K$2000,Regles_regimes!$A$3:$A$2000,C246,Regles_regimes!$B$3:$B$2000,D246,Regles_regimes!$C$3:$C$2000,MAX(1915,MIN(2025,E246)))</f>
        <v/>
      </c>
      <c r="P246" s="13">
        <f>SUMIFS(Donnees_annuelles!$W$3:$W$188,Donnees_annuelles!$A$3:$A$188,"&gt;="&amp;G246,Donnees_annuelles!$A$3:$A$188,"&lt;="&amp;N246)*L246/ROUNDUP(L246,0)*O246</f>
        <v/>
      </c>
      <c r="Q246" s="13">
        <f>SUMIFS(Donnees_annuelles!$V$3:$V$188,Donnees_annuelles!$A$3:$A$188,"&gt;="&amp;G246,Donnees_annuelles!$A$3:$A$188,"&lt;="&amp;N246)*L246/ROUNDUP(L246,0)</f>
        <v/>
      </c>
      <c r="R246" s="13">
        <f>P246/L246</f>
        <v/>
      </c>
      <c r="S246" s="14">
        <f>SUMIFS(Donnees_annuelles!$D$3:$D$188,Donnees_annuelles!$A$3:$A$188,"&gt;="&amp;G246,Donnees_annuelles!$A$3:$A$188,"&lt;="&amp;N246)*L246/ROUNDUP(L246,0)</f>
        <v/>
      </c>
      <c r="T246" s="14">
        <f>SUMIFS(Donnees_regimes!$N$3:$N$1118,Donnees_regimes!$A$3:$A$1118,C246,Donnees_regimes!$B$3:$B$1118,"&gt;="&amp;G246,Donnees_regimes!$B$3:$B$1118,"&lt;="&amp;N246)*L246/ROUNDUP(L246,0)</f>
        <v/>
      </c>
      <c r="U246" s="14">
        <f>SUMIFS(Donnees_regimes!$O$3:$O$1118,Donnees_regimes!$A$3:$A$1118,C246,Donnees_regimes!$B$3:$B$1118,"&gt;="&amp;G246,Donnees_regimes!$B$3:$B$1118,"&lt;="&amp;N246)*L246/ROUNDUP(L246,0)</f>
        <v/>
      </c>
      <c r="V246" s="14">
        <f>T246+U246</f>
        <v/>
      </c>
      <c r="W246" s="33">
        <f>V246/S246</f>
        <v/>
      </c>
      <c r="X246" s="14">
        <f>S246+U246</f>
        <v/>
      </c>
      <c r="Y246" s="17">
        <f>V246/P246</f>
        <v/>
      </c>
      <c r="Z246" s="14">
        <f>SUMIFS(Donnees_regimes!$Q$3:$Q$1118,Donnees_regimes!$A$3:$A$1118,C246,Donnees_regimes!$B$3:$B$1118,"&gt;="&amp;G246,Donnees_regimes!$B$3:$B$1118,"&lt;="&amp;N246)*L246/ROUNDUP(L246,0)</f>
        <v/>
      </c>
      <c r="AA246" s="77">
        <f>SUMIFS(Regles_regimes!$F$3:$F$2000,Regles_regimes!$A$3:$A$2000,C246,Regles_regimes!$B$3:$B$2000,D246,Regles_regimes!$C$3:$C$2000,MAX(1915,MIN(2025,E246)))</f>
        <v/>
      </c>
      <c r="AB246" s="77">
        <f>IF(AND(SUMIFS(Regles_regimes!$L$3:$L$2000,Regles_regimes!$A$3:$A$2000,C246,Regles_regimes!$B$3:$B$2000,D246,Regles_regimes!$C$3:$C$2000,MAX(1915,MIN(2025,E246)))=1,G246&lt;2009,C246&lt;&gt;"Privé"),MIN(20,L246*4/5),0)</f>
        <v/>
      </c>
      <c r="AC246" s="89">
        <f>SUMIFS(Donnees_regimes!$M$3:$M$1118,Donnees_regimes!$A$3:$A$1118,C246,Donnees_regimes!$B$3:$B$1118,M246)</f>
        <v/>
      </c>
      <c r="AD246" s="14">
        <f>SUMIFS(Donnees_annuelles!$Y$3:$Y$188,Donnees_annuelles!$A$3:$A$188,M246)*SUMIFS(Donnees_generations!$I$3:$I$113,Donnees_generations!$A$3:$A$113,MAX(1915,MIN(2025,E246)))/H246</f>
        <v/>
      </c>
      <c r="AE246" s="14">
        <f>IF(C246="Privé",SUMIFS(Donnees_annuelles!$Y$3:$Y$188,Donnees_annuelles!$A$3:$A$188,M246)*MIN(L246,SUMIFS(Donnees_generations!$I$3:$I$113,Donnees_generations!$A$3:$A$113,MAX(1915,MIN(2025,E246))))/L246,AD246*AC246*MIN(IF(AB246&gt;0,0.8/0.75,1),(L246*4+AB246)/AA246))</f>
        <v/>
      </c>
      <c r="AF246" s="14">
        <f>AE246/12</f>
        <v/>
      </c>
      <c r="AG246" s="77">
        <f>MIN(68,MAX(56,2*INT(K246/2)))</f>
        <v/>
      </c>
      <c r="AH246" s="75">
        <f>(CHOOSE((AG246-56)/2+1,SUMIFS(Donnees_generations!$U$3:$U$113,Donnees_generations!$A$3:$A$113,MAX(1915,MIN(2025,E246))),SUMIFS(Donnees_generations!$V$3:$V$113,Donnees_generations!$A$3:$A$113,MAX(1915,MIN(2025,E246))),SUMIFS(Donnees_generations!$W$3:$W$113,Donnees_generations!$A$3:$A$113,MAX(1915,MIN(2025,E246))),SUMIFS(Donnees_generations!$X$3:$X$113,Donnees_generations!$A$3:$A$113,MAX(1915,MIN(2025,E246))),SUMIFS(Donnees_generations!$Y$3:$Y$113,Donnees_generations!$A$3:$A$113,MAX(1915,MIN(2025,E246))),SUMIFS(Donnees_generations!$Z$3:$Z$113,Donnees_generations!$A$3:$A$113,MAX(1915,MIN(2025,E246))),SUMIFS(Donnees_generations!$AA$3:$AA$113,Donnees_generations!$A$3:$A$113,MAX(1915,MIN(2025,E246))),SUMIFS(Donnees_generations!$AB$3:$AB$113,Donnees_generations!$A$3:$A$113,MAX(1915,MIN(2025,E246))))+CHOOSE((AG246-56)/2+1,SUMIFS(Donnees_generations!$AC$3:$AC$113,Donnees_generations!$A$3:$A$113,MAX(1915,MIN(2025,E246))),SUMIFS(Donnees_generations!$AD$3:$AD$113,Donnees_generations!$A$3:$A$113,MAX(1915,MIN(2025,E246))),SUMIFS(Donnees_generations!$AE$3:$AE$113,Donnees_generations!$A$3:$A$113,MAX(1915,MIN(2025,E246))),SUMIFS(Donnees_generations!$AF$3:$AF$113,Donnees_generations!$A$3:$A$113,MAX(1915,MIN(2025,E246))),SUMIFS(Donnees_generations!$AG$3:$AG$113,Donnees_generations!$A$3:$A$113,MAX(1915,MIN(2025,E246))),SUMIFS(Donnees_generations!$AH$3:$AH$113,Donnees_generations!$A$3:$A$113,MAX(1915,MIN(2025,E246))),SUMIFS(Donnees_generations!$AI$3:$AI$113,Donnees_generations!$A$3:$A$113,MAX(1915,MIN(2025,E246))),SUMIFS(Donnees_generations!$AJ$3:$AJ$113,Donnees_generations!$A$3:$A$113,MAX(1915,MIN(2025,E246)))))/2</f>
        <v/>
      </c>
      <c r="AI246" s="75">
        <f>(CHOOSE(((AG246+2)-56)/2+1,SUMIFS(Donnees_generations!$U$3:$U$113,Donnees_generations!$A$3:$A$113,MAX(1915,MIN(2025,E246))),SUMIFS(Donnees_generations!$V$3:$V$113,Donnees_generations!$A$3:$A$113,MAX(1915,MIN(2025,E246))),SUMIFS(Donnees_generations!$W$3:$W$113,Donnees_generations!$A$3:$A$113,MAX(1915,MIN(2025,E246))),SUMIFS(Donnees_generations!$X$3:$X$113,Donnees_generations!$A$3:$A$113,MAX(1915,MIN(2025,E246))),SUMIFS(Donnees_generations!$Y$3:$Y$113,Donnees_generations!$A$3:$A$113,MAX(1915,MIN(2025,E246))),SUMIFS(Donnees_generations!$Z$3:$Z$113,Donnees_generations!$A$3:$A$113,MAX(1915,MIN(2025,E246))),SUMIFS(Donnees_generations!$AA$3:$AA$113,Donnees_generations!$A$3:$A$113,MAX(1915,MIN(2025,E246))),SUMIFS(Donnees_generations!$AB$3:$AB$113,Donnees_generations!$A$3:$A$113,MAX(1915,MIN(2025,E246))))+CHOOSE(((AG246+2)-56)/2+1,SUMIFS(Donnees_generations!$AC$3:$AC$113,Donnees_generations!$A$3:$A$113,MAX(1915,MIN(2025,E246))),SUMIFS(Donnees_generations!$AD$3:$AD$113,Donnees_generations!$A$3:$A$113,MAX(1915,MIN(2025,E246))),SUMIFS(Donnees_generations!$AE$3:$AE$113,Donnees_generations!$A$3:$A$113,MAX(1915,MIN(2025,E246))),SUMIFS(Donnees_generations!$AF$3:$AF$113,Donnees_generations!$A$3:$A$113,MAX(1915,MIN(2025,E246))),SUMIFS(Donnees_generations!$AG$3:$AG$113,Donnees_generations!$A$3:$A$113,MAX(1915,MIN(2025,E246))),SUMIFS(Donnees_generations!$AH$3:$AH$113,Donnees_generations!$A$3:$A$113,MAX(1915,MIN(2025,E246))),SUMIFS(Donnees_generations!$AI$3:$AI$113,Donnees_generations!$A$3:$A$113,MAX(1915,MIN(2025,E246))),SUMIFS(Donnees_generations!$AJ$3:$AJ$113,Donnees_generations!$A$3:$A$113,MAX(1915,MIN(2025,E246)))))/2</f>
        <v/>
      </c>
      <c r="AJ246" s="8">
        <f>MAX(0,AH246+(AI246-AH246)*(K246-AG246)/2)</f>
        <v/>
      </c>
      <c r="AK246" s="8">
        <f>K246+AJ246</f>
        <v/>
      </c>
      <c r="AL246" s="14">
        <f>AE246*AJ246</f>
        <v/>
      </c>
      <c r="AM246" s="17">
        <f>V246/AL246</f>
        <v/>
      </c>
      <c r="AN246" s="17">
        <f>Z246/AL246</f>
        <v/>
      </c>
      <c r="AO246" s="33">
        <f>IF(V246+Z246=0,0,Z246/(V246+Z246))</f>
        <v/>
      </c>
      <c r="AP246" s="14">
        <f>AL246/V246*100</f>
        <v/>
      </c>
      <c r="AQ246" s="8">
        <f>P246/AL246*1000</f>
        <v/>
      </c>
      <c r="AR246" s="77">
        <f>MAX(N246,M246-1)</f>
        <v/>
      </c>
      <c r="AS246" s="14">
        <f>SUMIFS(Donnees_regimes!$R$3:$R$1118,Donnees_regimes!$A$3:$A$1118,C246,Donnees_regimes!$B$3:$B$1118,"&gt;="&amp;G246,Donnees_regimes!$B$3:$B$1118,"&lt;="&amp;N246)*L246/ROUNDUP(L246,0)*SUMIFS(Donnees_annuelles!$AG$3:$AG$188,Donnees_annuelles!$A$3:$A$188,AR246)*SUMIFS(Donnees_annuelles!$AA$3:$AA$188,Donnees_annuelles!$A$3:$A$188,AR246)</f>
        <v/>
      </c>
      <c r="AT246" s="36">
        <f>AS246/V246</f>
        <v/>
      </c>
      <c r="AU246" s="14">
        <f>AL246</f>
        <v/>
      </c>
      <c r="AV246" s="39">
        <f>AS246-AL246</f>
        <v/>
      </c>
      <c r="AW246" s="9">
        <f>AS246/AL246-1</f>
        <v/>
      </c>
      <c r="AX246" s="14">
        <f>AS246/AJ246/12</f>
        <v/>
      </c>
      <c r="AY246" s="14">
        <f>AF246</f>
        <v/>
      </c>
      <c r="AZ246" s="39">
        <f>AX246-AF246</f>
        <v/>
      </c>
      <c r="BA246" s="14">
        <f>SUMIFS(Donnees_regimes!$S$3:$S$1118,Donnees_regimes!$A$3:$A$1118,C246,Donnees_regimes!$B$3:$B$1118,"&gt;="&amp;G246,Donnees_regimes!$B$3:$B$1118,"&lt;="&amp;N246)*L246/ROUNDUP(L246,0)*SUMIFS(Donnees_annuelles!$AH$3:$AH$188,Donnees_annuelles!$A$3:$A$188,AR246)*SUMIFS(Donnees_annuelles!$AA$3:$AA$188,Donnees_annuelles!$A$3:$A$188,AR246)</f>
        <v/>
      </c>
      <c r="BB246" s="39">
        <f>BA246-AL246</f>
        <v/>
      </c>
      <c r="BC246" s="7">
        <f>IF(M246+AJ246&gt;2026,IF(G246&gt;2026,"entièrement projeté","en partie projeté"),"observé")</f>
        <v/>
      </c>
    </row>
    <row r="247">
      <c r="A247" s="7" t="inlineStr">
        <is>
          <t>Génération X</t>
        </is>
      </c>
      <c r="B247" s="84" t="inlineStr">
        <is>
          <t>Fonction publique territoriale et hospitalière</t>
        </is>
      </c>
      <c r="C247" s="7">
        <f>IF(G247&gt;=SUMIFS(Regimes!$C$5:$C$10,Regimes!$A$5:$A$10,B247),"Privé",B247)</f>
        <v/>
      </c>
      <c r="D247" s="7">
        <f>INDEX(Regimes!$D$5:$D$10,MATCH(C247,Regimes!$A$5:$A$10,0))</f>
        <v/>
      </c>
      <c r="E247" s="88" t="n">
        <v>1976</v>
      </c>
      <c r="F247" s="8">
        <f>Donnees_generations!C64</f>
        <v/>
      </c>
      <c r="G247" s="77">
        <f>Donnees_generations!D64</f>
        <v/>
      </c>
      <c r="H247" s="8">
        <f>SUMIFS(Donnees_generations!$S$3:$S$113,Donnees_generations!$A$3:$A$113,MAX(1915,MIN(2025,E247)))</f>
        <v/>
      </c>
      <c r="I247" s="8">
        <f>SUMIFS(Donnees_generations!$T$3:$T$113,Donnees_generations!$A$3:$A$113,MAX(1915,MIN(2025,E247)))</f>
        <v/>
      </c>
      <c r="J247" s="8">
        <f>IF(G247&gt;=2000,MAX(I247,Parametres!$B$3),I247)</f>
        <v/>
      </c>
      <c r="K247" s="8">
        <f>IF(C247="Privé",J247,SUMIFS(Regles_regimes!$J$3:$J$2000,Regles_regimes!$A$3:$A$2000,C247,Regles_regimes!$B$3:$B$2000,D247,Regles_regimes!$C$3:$C$2000,MAX(1915,MIN(2025,E247))))</f>
        <v/>
      </c>
      <c r="L247" s="8">
        <f>IF(C247="Privé",H247,(K247-F247)*H247/(J247-F247))</f>
        <v/>
      </c>
      <c r="M247" s="77">
        <f>INT(E247+K247)</f>
        <v/>
      </c>
      <c r="N247" s="77">
        <f>G247+ROUNDUP(L247,0)-1</f>
        <v/>
      </c>
      <c r="O247" s="89">
        <f>SUMIFS(Regles_regimes!$K$3:$K$2000,Regles_regimes!$A$3:$A$2000,C247,Regles_regimes!$B$3:$B$2000,D247,Regles_regimes!$C$3:$C$2000,MAX(1915,MIN(2025,E247)))</f>
        <v/>
      </c>
      <c r="P247" s="13">
        <f>SUMIFS(Donnees_annuelles!$W$3:$W$188,Donnees_annuelles!$A$3:$A$188,"&gt;="&amp;G247,Donnees_annuelles!$A$3:$A$188,"&lt;="&amp;N247)*L247/ROUNDUP(L247,0)*O247</f>
        <v/>
      </c>
      <c r="Q247" s="13">
        <f>SUMIFS(Donnees_annuelles!$V$3:$V$188,Donnees_annuelles!$A$3:$A$188,"&gt;="&amp;G247,Donnees_annuelles!$A$3:$A$188,"&lt;="&amp;N247)*L247/ROUNDUP(L247,0)</f>
        <v/>
      </c>
      <c r="R247" s="13">
        <f>P247/L247</f>
        <v/>
      </c>
      <c r="S247" s="14">
        <f>SUMIFS(Donnees_annuelles!$D$3:$D$188,Donnees_annuelles!$A$3:$A$188,"&gt;="&amp;G247,Donnees_annuelles!$A$3:$A$188,"&lt;="&amp;N247)*L247/ROUNDUP(L247,0)</f>
        <v/>
      </c>
      <c r="T247" s="14">
        <f>SUMIFS(Donnees_regimes!$N$3:$N$1118,Donnees_regimes!$A$3:$A$1118,C247,Donnees_regimes!$B$3:$B$1118,"&gt;="&amp;G247,Donnees_regimes!$B$3:$B$1118,"&lt;="&amp;N247)*L247/ROUNDUP(L247,0)</f>
        <v/>
      </c>
      <c r="U247" s="14">
        <f>SUMIFS(Donnees_regimes!$O$3:$O$1118,Donnees_regimes!$A$3:$A$1118,C247,Donnees_regimes!$B$3:$B$1118,"&gt;="&amp;G247,Donnees_regimes!$B$3:$B$1118,"&lt;="&amp;N247)*L247/ROUNDUP(L247,0)</f>
        <v/>
      </c>
      <c r="V247" s="14">
        <f>T247+U247</f>
        <v/>
      </c>
      <c r="W247" s="33">
        <f>V247/S247</f>
        <v/>
      </c>
      <c r="X247" s="14">
        <f>S247+U247</f>
        <v/>
      </c>
      <c r="Y247" s="17">
        <f>V247/P247</f>
        <v/>
      </c>
      <c r="Z247" s="14">
        <f>SUMIFS(Donnees_regimes!$Q$3:$Q$1118,Donnees_regimes!$A$3:$A$1118,C247,Donnees_regimes!$B$3:$B$1118,"&gt;="&amp;G247,Donnees_regimes!$B$3:$B$1118,"&lt;="&amp;N247)*L247/ROUNDUP(L247,0)</f>
        <v/>
      </c>
      <c r="AA247" s="77">
        <f>SUMIFS(Regles_regimes!$F$3:$F$2000,Regles_regimes!$A$3:$A$2000,C247,Regles_regimes!$B$3:$B$2000,D247,Regles_regimes!$C$3:$C$2000,MAX(1915,MIN(2025,E247)))</f>
        <v/>
      </c>
      <c r="AB247" s="77">
        <f>IF(AND(SUMIFS(Regles_regimes!$L$3:$L$2000,Regles_regimes!$A$3:$A$2000,C247,Regles_regimes!$B$3:$B$2000,D247,Regles_regimes!$C$3:$C$2000,MAX(1915,MIN(2025,E247)))=1,G247&lt;2009,C247&lt;&gt;"Privé"),MIN(20,L247*4/5),0)</f>
        <v/>
      </c>
      <c r="AC247" s="89">
        <f>SUMIFS(Donnees_regimes!$M$3:$M$1118,Donnees_regimes!$A$3:$A$1118,C247,Donnees_regimes!$B$3:$B$1118,M247)</f>
        <v/>
      </c>
      <c r="AD247" s="14">
        <f>SUMIFS(Donnees_annuelles!$Y$3:$Y$188,Donnees_annuelles!$A$3:$A$188,M247)*SUMIFS(Donnees_generations!$I$3:$I$113,Donnees_generations!$A$3:$A$113,MAX(1915,MIN(2025,E247)))/H247</f>
        <v/>
      </c>
      <c r="AE247" s="14">
        <f>IF(C247="Privé",SUMIFS(Donnees_annuelles!$Y$3:$Y$188,Donnees_annuelles!$A$3:$A$188,M247)*MIN(L247,SUMIFS(Donnees_generations!$I$3:$I$113,Donnees_generations!$A$3:$A$113,MAX(1915,MIN(2025,E247))))/L247,AD247*AC247*MIN(IF(AB247&gt;0,0.8/0.75,1),(L247*4+AB247)/AA247))</f>
        <v/>
      </c>
      <c r="AF247" s="14">
        <f>AE247/12</f>
        <v/>
      </c>
      <c r="AG247" s="77">
        <f>MIN(68,MAX(56,2*INT(K247/2)))</f>
        <v/>
      </c>
      <c r="AH247" s="75">
        <f>(CHOOSE((AG247-56)/2+1,SUMIFS(Donnees_generations!$U$3:$U$113,Donnees_generations!$A$3:$A$113,MAX(1915,MIN(2025,E247))),SUMIFS(Donnees_generations!$V$3:$V$113,Donnees_generations!$A$3:$A$113,MAX(1915,MIN(2025,E247))),SUMIFS(Donnees_generations!$W$3:$W$113,Donnees_generations!$A$3:$A$113,MAX(1915,MIN(2025,E247))),SUMIFS(Donnees_generations!$X$3:$X$113,Donnees_generations!$A$3:$A$113,MAX(1915,MIN(2025,E247))),SUMIFS(Donnees_generations!$Y$3:$Y$113,Donnees_generations!$A$3:$A$113,MAX(1915,MIN(2025,E247))),SUMIFS(Donnees_generations!$Z$3:$Z$113,Donnees_generations!$A$3:$A$113,MAX(1915,MIN(2025,E247))),SUMIFS(Donnees_generations!$AA$3:$AA$113,Donnees_generations!$A$3:$A$113,MAX(1915,MIN(2025,E247))),SUMIFS(Donnees_generations!$AB$3:$AB$113,Donnees_generations!$A$3:$A$113,MAX(1915,MIN(2025,E247))))+CHOOSE((AG247-56)/2+1,SUMIFS(Donnees_generations!$AC$3:$AC$113,Donnees_generations!$A$3:$A$113,MAX(1915,MIN(2025,E247))),SUMIFS(Donnees_generations!$AD$3:$AD$113,Donnees_generations!$A$3:$A$113,MAX(1915,MIN(2025,E247))),SUMIFS(Donnees_generations!$AE$3:$AE$113,Donnees_generations!$A$3:$A$113,MAX(1915,MIN(2025,E247))),SUMIFS(Donnees_generations!$AF$3:$AF$113,Donnees_generations!$A$3:$A$113,MAX(1915,MIN(2025,E247))),SUMIFS(Donnees_generations!$AG$3:$AG$113,Donnees_generations!$A$3:$A$113,MAX(1915,MIN(2025,E247))),SUMIFS(Donnees_generations!$AH$3:$AH$113,Donnees_generations!$A$3:$A$113,MAX(1915,MIN(2025,E247))),SUMIFS(Donnees_generations!$AI$3:$AI$113,Donnees_generations!$A$3:$A$113,MAX(1915,MIN(2025,E247))),SUMIFS(Donnees_generations!$AJ$3:$AJ$113,Donnees_generations!$A$3:$A$113,MAX(1915,MIN(2025,E247)))))/2</f>
        <v/>
      </c>
      <c r="AI247" s="75">
        <f>(CHOOSE(((AG247+2)-56)/2+1,SUMIFS(Donnees_generations!$U$3:$U$113,Donnees_generations!$A$3:$A$113,MAX(1915,MIN(2025,E247))),SUMIFS(Donnees_generations!$V$3:$V$113,Donnees_generations!$A$3:$A$113,MAX(1915,MIN(2025,E247))),SUMIFS(Donnees_generations!$W$3:$W$113,Donnees_generations!$A$3:$A$113,MAX(1915,MIN(2025,E247))),SUMIFS(Donnees_generations!$X$3:$X$113,Donnees_generations!$A$3:$A$113,MAX(1915,MIN(2025,E247))),SUMIFS(Donnees_generations!$Y$3:$Y$113,Donnees_generations!$A$3:$A$113,MAX(1915,MIN(2025,E247))),SUMIFS(Donnees_generations!$Z$3:$Z$113,Donnees_generations!$A$3:$A$113,MAX(1915,MIN(2025,E247))),SUMIFS(Donnees_generations!$AA$3:$AA$113,Donnees_generations!$A$3:$A$113,MAX(1915,MIN(2025,E247))),SUMIFS(Donnees_generations!$AB$3:$AB$113,Donnees_generations!$A$3:$A$113,MAX(1915,MIN(2025,E247))))+CHOOSE(((AG247+2)-56)/2+1,SUMIFS(Donnees_generations!$AC$3:$AC$113,Donnees_generations!$A$3:$A$113,MAX(1915,MIN(2025,E247))),SUMIFS(Donnees_generations!$AD$3:$AD$113,Donnees_generations!$A$3:$A$113,MAX(1915,MIN(2025,E247))),SUMIFS(Donnees_generations!$AE$3:$AE$113,Donnees_generations!$A$3:$A$113,MAX(1915,MIN(2025,E247))),SUMIFS(Donnees_generations!$AF$3:$AF$113,Donnees_generations!$A$3:$A$113,MAX(1915,MIN(2025,E247))),SUMIFS(Donnees_generations!$AG$3:$AG$113,Donnees_generations!$A$3:$A$113,MAX(1915,MIN(2025,E247))),SUMIFS(Donnees_generations!$AH$3:$AH$113,Donnees_generations!$A$3:$A$113,MAX(1915,MIN(2025,E247))),SUMIFS(Donnees_generations!$AI$3:$AI$113,Donnees_generations!$A$3:$A$113,MAX(1915,MIN(2025,E247))),SUMIFS(Donnees_generations!$AJ$3:$AJ$113,Donnees_generations!$A$3:$A$113,MAX(1915,MIN(2025,E247)))))/2</f>
        <v/>
      </c>
      <c r="AJ247" s="8">
        <f>MAX(0,AH247+(AI247-AH247)*(K247-AG247)/2)</f>
        <v/>
      </c>
      <c r="AK247" s="8">
        <f>K247+AJ247</f>
        <v/>
      </c>
      <c r="AL247" s="14">
        <f>AE247*AJ247</f>
        <v/>
      </c>
      <c r="AM247" s="17">
        <f>V247/AL247</f>
        <v/>
      </c>
      <c r="AN247" s="17">
        <f>Z247/AL247</f>
        <v/>
      </c>
      <c r="AO247" s="33">
        <f>IF(V247+Z247=0,0,Z247/(V247+Z247))</f>
        <v/>
      </c>
      <c r="AP247" s="14">
        <f>AL247/V247*100</f>
        <v/>
      </c>
      <c r="AQ247" s="8">
        <f>P247/AL247*1000</f>
        <v/>
      </c>
      <c r="AR247" s="77">
        <f>MAX(N247,M247-1)</f>
        <v/>
      </c>
      <c r="AS247" s="14">
        <f>SUMIFS(Donnees_regimes!$R$3:$R$1118,Donnees_regimes!$A$3:$A$1118,C247,Donnees_regimes!$B$3:$B$1118,"&gt;="&amp;G247,Donnees_regimes!$B$3:$B$1118,"&lt;="&amp;N247)*L247/ROUNDUP(L247,0)*SUMIFS(Donnees_annuelles!$AG$3:$AG$188,Donnees_annuelles!$A$3:$A$188,AR247)*SUMIFS(Donnees_annuelles!$AA$3:$AA$188,Donnees_annuelles!$A$3:$A$188,AR247)</f>
        <v/>
      </c>
      <c r="AT247" s="36">
        <f>AS247/V247</f>
        <v/>
      </c>
      <c r="AU247" s="14">
        <f>AL247</f>
        <v/>
      </c>
      <c r="AV247" s="39">
        <f>AS247-AL247</f>
        <v/>
      </c>
      <c r="AW247" s="9">
        <f>AS247/AL247-1</f>
        <v/>
      </c>
      <c r="AX247" s="14">
        <f>AS247/AJ247/12</f>
        <v/>
      </c>
      <c r="AY247" s="14">
        <f>AF247</f>
        <v/>
      </c>
      <c r="AZ247" s="39">
        <f>AX247-AF247</f>
        <v/>
      </c>
      <c r="BA247" s="14">
        <f>SUMIFS(Donnees_regimes!$S$3:$S$1118,Donnees_regimes!$A$3:$A$1118,C247,Donnees_regimes!$B$3:$B$1118,"&gt;="&amp;G247,Donnees_regimes!$B$3:$B$1118,"&lt;="&amp;N247)*L247/ROUNDUP(L247,0)*SUMIFS(Donnees_annuelles!$AH$3:$AH$188,Donnees_annuelles!$A$3:$A$188,AR247)*SUMIFS(Donnees_annuelles!$AA$3:$AA$188,Donnees_annuelles!$A$3:$A$188,AR247)</f>
        <v/>
      </c>
      <c r="BB247" s="39">
        <f>BA247-AL247</f>
        <v/>
      </c>
      <c r="BC247" s="7">
        <f>IF(M247+AJ247&gt;2026,IF(G247&gt;2026,"entièrement projeté","en partie projeté"),"observé")</f>
        <v/>
      </c>
    </row>
    <row r="248">
      <c r="A248" s="7" t="inlineStr">
        <is>
          <t>Génération X</t>
        </is>
      </c>
      <c r="B248" s="84" t="inlineStr">
        <is>
          <t>Fonction publique territoriale et hospitalière</t>
        </is>
      </c>
      <c r="C248" s="7">
        <f>IF(G248&gt;=SUMIFS(Regimes!$C$5:$C$10,Regimes!$A$5:$A$10,B248),"Privé",B248)</f>
        <v/>
      </c>
      <c r="D248" s="7">
        <f>INDEX(Regimes!$D$5:$D$10,MATCH(C248,Regimes!$A$5:$A$10,0))</f>
        <v/>
      </c>
      <c r="E248" s="88" t="n">
        <v>1977</v>
      </c>
      <c r="F248" s="8">
        <f>Donnees_generations!C65</f>
        <v/>
      </c>
      <c r="G248" s="77">
        <f>Donnees_generations!D65</f>
        <v/>
      </c>
      <c r="H248" s="8">
        <f>SUMIFS(Donnees_generations!$S$3:$S$113,Donnees_generations!$A$3:$A$113,MAX(1915,MIN(2025,E248)))</f>
        <v/>
      </c>
      <c r="I248" s="8">
        <f>SUMIFS(Donnees_generations!$T$3:$T$113,Donnees_generations!$A$3:$A$113,MAX(1915,MIN(2025,E248)))</f>
        <v/>
      </c>
      <c r="J248" s="8">
        <f>IF(G248&gt;=2000,MAX(I248,Parametres!$B$3),I248)</f>
        <v/>
      </c>
      <c r="K248" s="8">
        <f>IF(C248="Privé",J248,SUMIFS(Regles_regimes!$J$3:$J$2000,Regles_regimes!$A$3:$A$2000,C248,Regles_regimes!$B$3:$B$2000,D248,Regles_regimes!$C$3:$C$2000,MAX(1915,MIN(2025,E248))))</f>
        <v/>
      </c>
      <c r="L248" s="8">
        <f>IF(C248="Privé",H248,(K248-F248)*H248/(J248-F248))</f>
        <v/>
      </c>
      <c r="M248" s="77">
        <f>INT(E248+K248)</f>
        <v/>
      </c>
      <c r="N248" s="77">
        <f>G248+ROUNDUP(L248,0)-1</f>
        <v/>
      </c>
      <c r="O248" s="89">
        <f>SUMIFS(Regles_regimes!$K$3:$K$2000,Regles_regimes!$A$3:$A$2000,C248,Regles_regimes!$B$3:$B$2000,D248,Regles_regimes!$C$3:$C$2000,MAX(1915,MIN(2025,E248)))</f>
        <v/>
      </c>
      <c r="P248" s="13">
        <f>SUMIFS(Donnees_annuelles!$W$3:$W$188,Donnees_annuelles!$A$3:$A$188,"&gt;="&amp;G248,Donnees_annuelles!$A$3:$A$188,"&lt;="&amp;N248)*L248/ROUNDUP(L248,0)*O248</f>
        <v/>
      </c>
      <c r="Q248" s="13">
        <f>SUMIFS(Donnees_annuelles!$V$3:$V$188,Donnees_annuelles!$A$3:$A$188,"&gt;="&amp;G248,Donnees_annuelles!$A$3:$A$188,"&lt;="&amp;N248)*L248/ROUNDUP(L248,0)</f>
        <v/>
      </c>
      <c r="R248" s="13">
        <f>P248/L248</f>
        <v/>
      </c>
      <c r="S248" s="14">
        <f>SUMIFS(Donnees_annuelles!$D$3:$D$188,Donnees_annuelles!$A$3:$A$188,"&gt;="&amp;G248,Donnees_annuelles!$A$3:$A$188,"&lt;="&amp;N248)*L248/ROUNDUP(L248,0)</f>
        <v/>
      </c>
      <c r="T248" s="14">
        <f>SUMIFS(Donnees_regimes!$N$3:$N$1118,Donnees_regimes!$A$3:$A$1118,C248,Donnees_regimes!$B$3:$B$1118,"&gt;="&amp;G248,Donnees_regimes!$B$3:$B$1118,"&lt;="&amp;N248)*L248/ROUNDUP(L248,0)</f>
        <v/>
      </c>
      <c r="U248" s="14">
        <f>SUMIFS(Donnees_regimes!$O$3:$O$1118,Donnees_regimes!$A$3:$A$1118,C248,Donnees_regimes!$B$3:$B$1118,"&gt;="&amp;G248,Donnees_regimes!$B$3:$B$1118,"&lt;="&amp;N248)*L248/ROUNDUP(L248,0)</f>
        <v/>
      </c>
      <c r="V248" s="14">
        <f>T248+U248</f>
        <v/>
      </c>
      <c r="W248" s="33">
        <f>V248/S248</f>
        <v/>
      </c>
      <c r="X248" s="14">
        <f>S248+U248</f>
        <v/>
      </c>
      <c r="Y248" s="17">
        <f>V248/P248</f>
        <v/>
      </c>
      <c r="Z248" s="14">
        <f>SUMIFS(Donnees_regimes!$Q$3:$Q$1118,Donnees_regimes!$A$3:$A$1118,C248,Donnees_regimes!$B$3:$B$1118,"&gt;="&amp;G248,Donnees_regimes!$B$3:$B$1118,"&lt;="&amp;N248)*L248/ROUNDUP(L248,0)</f>
        <v/>
      </c>
      <c r="AA248" s="77">
        <f>SUMIFS(Regles_regimes!$F$3:$F$2000,Regles_regimes!$A$3:$A$2000,C248,Regles_regimes!$B$3:$B$2000,D248,Regles_regimes!$C$3:$C$2000,MAX(1915,MIN(2025,E248)))</f>
        <v/>
      </c>
      <c r="AB248" s="77">
        <f>IF(AND(SUMIFS(Regles_regimes!$L$3:$L$2000,Regles_regimes!$A$3:$A$2000,C248,Regles_regimes!$B$3:$B$2000,D248,Regles_regimes!$C$3:$C$2000,MAX(1915,MIN(2025,E248)))=1,G248&lt;2009,C248&lt;&gt;"Privé"),MIN(20,L248*4/5),0)</f>
        <v/>
      </c>
      <c r="AC248" s="89">
        <f>SUMIFS(Donnees_regimes!$M$3:$M$1118,Donnees_regimes!$A$3:$A$1118,C248,Donnees_regimes!$B$3:$B$1118,M248)</f>
        <v/>
      </c>
      <c r="AD248" s="14">
        <f>SUMIFS(Donnees_annuelles!$Y$3:$Y$188,Donnees_annuelles!$A$3:$A$188,M248)*SUMIFS(Donnees_generations!$I$3:$I$113,Donnees_generations!$A$3:$A$113,MAX(1915,MIN(2025,E248)))/H248</f>
        <v/>
      </c>
      <c r="AE248" s="14">
        <f>IF(C248="Privé",SUMIFS(Donnees_annuelles!$Y$3:$Y$188,Donnees_annuelles!$A$3:$A$188,M248)*MIN(L248,SUMIFS(Donnees_generations!$I$3:$I$113,Donnees_generations!$A$3:$A$113,MAX(1915,MIN(2025,E248))))/L248,AD248*AC248*MIN(IF(AB248&gt;0,0.8/0.75,1),(L248*4+AB248)/AA248))</f>
        <v/>
      </c>
      <c r="AF248" s="14">
        <f>AE248/12</f>
        <v/>
      </c>
      <c r="AG248" s="77">
        <f>MIN(68,MAX(56,2*INT(K248/2)))</f>
        <v/>
      </c>
      <c r="AH248" s="75">
        <f>(CHOOSE((AG248-56)/2+1,SUMIFS(Donnees_generations!$U$3:$U$113,Donnees_generations!$A$3:$A$113,MAX(1915,MIN(2025,E248))),SUMIFS(Donnees_generations!$V$3:$V$113,Donnees_generations!$A$3:$A$113,MAX(1915,MIN(2025,E248))),SUMIFS(Donnees_generations!$W$3:$W$113,Donnees_generations!$A$3:$A$113,MAX(1915,MIN(2025,E248))),SUMIFS(Donnees_generations!$X$3:$X$113,Donnees_generations!$A$3:$A$113,MAX(1915,MIN(2025,E248))),SUMIFS(Donnees_generations!$Y$3:$Y$113,Donnees_generations!$A$3:$A$113,MAX(1915,MIN(2025,E248))),SUMIFS(Donnees_generations!$Z$3:$Z$113,Donnees_generations!$A$3:$A$113,MAX(1915,MIN(2025,E248))),SUMIFS(Donnees_generations!$AA$3:$AA$113,Donnees_generations!$A$3:$A$113,MAX(1915,MIN(2025,E248))),SUMIFS(Donnees_generations!$AB$3:$AB$113,Donnees_generations!$A$3:$A$113,MAX(1915,MIN(2025,E248))))+CHOOSE((AG248-56)/2+1,SUMIFS(Donnees_generations!$AC$3:$AC$113,Donnees_generations!$A$3:$A$113,MAX(1915,MIN(2025,E248))),SUMIFS(Donnees_generations!$AD$3:$AD$113,Donnees_generations!$A$3:$A$113,MAX(1915,MIN(2025,E248))),SUMIFS(Donnees_generations!$AE$3:$AE$113,Donnees_generations!$A$3:$A$113,MAX(1915,MIN(2025,E248))),SUMIFS(Donnees_generations!$AF$3:$AF$113,Donnees_generations!$A$3:$A$113,MAX(1915,MIN(2025,E248))),SUMIFS(Donnees_generations!$AG$3:$AG$113,Donnees_generations!$A$3:$A$113,MAX(1915,MIN(2025,E248))),SUMIFS(Donnees_generations!$AH$3:$AH$113,Donnees_generations!$A$3:$A$113,MAX(1915,MIN(2025,E248))),SUMIFS(Donnees_generations!$AI$3:$AI$113,Donnees_generations!$A$3:$A$113,MAX(1915,MIN(2025,E248))),SUMIFS(Donnees_generations!$AJ$3:$AJ$113,Donnees_generations!$A$3:$A$113,MAX(1915,MIN(2025,E248)))))/2</f>
        <v/>
      </c>
      <c r="AI248" s="75">
        <f>(CHOOSE(((AG248+2)-56)/2+1,SUMIFS(Donnees_generations!$U$3:$U$113,Donnees_generations!$A$3:$A$113,MAX(1915,MIN(2025,E248))),SUMIFS(Donnees_generations!$V$3:$V$113,Donnees_generations!$A$3:$A$113,MAX(1915,MIN(2025,E248))),SUMIFS(Donnees_generations!$W$3:$W$113,Donnees_generations!$A$3:$A$113,MAX(1915,MIN(2025,E248))),SUMIFS(Donnees_generations!$X$3:$X$113,Donnees_generations!$A$3:$A$113,MAX(1915,MIN(2025,E248))),SUMIFS(Donnees_generations!$Y$3:$Y$113,Donnees_generations!$A$3:$A$113,MAX(1915,MIN(2025,E248))),SUMIFS(Donnees_generations!$Z$3:$Z$113,Donnees_generations!$A$3:$A$113,MAX(1915,MIN(2025,E248))),SUMIFS(Donnees_generations!$AA$3:$AA$113,Donnees_generations!$A$3:$A$113,MAX(1915,MIN(2025,E248))),SUMIFS(Donnees_generations!$AB$3:$AB$113,Donnees_generations!$A$3:$A$113,MAX(1915,MIN(2025,E248))))+CHOOSE(((AG248+2)-56)/2+1,SUMIFS(Donnees_generations!$AC$3:$AC$113,Donnees_generations!$A$3:$A$113,MAX(1915,MIN(2025,E248))),SUMIFS(Donnees_generations!$AD$3:$AD$113,Donnees_generations!$A$3:$A$113,MAX(1915,MIN(2025,E248))),SUMIFS(Donnees_generations!$AE$3:$AE$113,Donnees_generations!$A$3:$A$113,MAX(1915,MIN(2025,E248))),SUMIFS(Donnees_generations!$AF$3:$AF$113,Donnees_generations!$A$3:$A$113,MAX(1915,MIN(2025,E248))),SUMIFS(Donnees_generations!$AG$3:$AG$113,Donnees_generations!$A$3:$A$113,MAX(1915,MIN(2025,E248))),SUMIFS(Donnees_generations!$AH$3:$AH$113,Donnees_generations!$A$3:$A$113,MAX(1915,MIN(2025,E248))),SUMIFS(Donnees_generations!$AI$3:$AI$113,Donnees_generations!$A$3:$A$113,MAX(1915,MIN(2025,E248))),SUMIFS(Donnees_generations!$AJ$3:$AJ$113,Donnees_generations!$A$3:$A$113,MAX(1915,MIN(2025,E248)))))/2</f>
        <v/>
      </c>
      <c r="AJ248" s="8">
        <f>MAX(0,AH248+(AI248-AH248)*(K248-AG248)/2)</f>
        <v/>
      </c>
      <c r="AK248" s="8">
        <f>K248+AJ248</f>
        <v/>
      </c>
      <c r="AL248" s="14">
        <f>AE248*AJ248</f>
        <v/>
      </c>
      <c r="AM248" s="17">
        <f>V248/AL248</f>
        <v/>
      </c>
      <c r="AN248" s="17">
        <f>Z248/AL248</f>
        <v/>
      </c>
      <c r="AO248" s="33">
        <f>IF(V248+Z248=0,0,Z248/(V248+Z248))</f>
        <v/>
      </c>
      <c r="AP248" s="14">
        <f>AL248/V248*100</f>
        <v/>
      </c>
      <c r="AQ248" s="8">
        <f>P248/AL248*1000</f>
        <v/>
      </c>
      <c r="AR248" s="77">
        <f>MAX(N248,M248-1)</f>
        <v/>
      </c>
      <c r="AS248" s="14">
        <f>SUMIFS(Donnees_regimes!$R$3:$R$1118,Donnees_regimes!$A$3:$A$1118,C248,Donnees_regimes!$B$3:$B$1118,"&gt;="&amp;G248,Donnees_regimes!$B$3:$B$1118,"&lt;="&amp;N248)*L248/ROUNDUP(L248,0)*SUMIFS(Donnees_annuelles!$AG$3:$AG$188,Donnees_annuelles!$A$3:$A$188,AR248)*SUMIFS(Donnees_annuelles!$AA$3:$AA$188,Donnees_annuelles!$A$3:$A$188,AR248)</f>
        <v/>
      </c>
      <c r="AT248" s="36">
        <f>AS248/V248</f>
        <v/>
      </c>
      <c r="AU248" s="14">
        <f>AL248</f>
        <v/>
      </c>
      <c r="AV248" s="39">
        <f>AS248-AL248</f>
        <v/>
      </c>
      <c r="AW248" s="9">
        <f>AS248/AL248-1</f>
        <v/>
      </c>
      <c r="AX248" s="14">
        <f>AS248/AJ248/12</f>
        <v/>
      </c>
      <c r="AY248" s="14">
        <f>AF248</f>
        <v/>
      </c>
      <c r="AZ248" s="39">
        <f>AX248-AF248</f>
        <v/>
      </c>
      <c r="BA248" s="14">
        <f>SUMIFS(Donnees_regimes!$S$3:$S$1118,Donnees_regimes!$A$3:$A$1118,C248,Donnees_regimes!$B$3:$B$1118,"&gt;="&amp;G248,Donnees_regimes!$B$3:$B$1118,"&lt;="&amp;N248)*L248/ROUNDUP(L248,0)*SUMIFS(Donnees_annuelles!$AH$3:$AH$188,Donnees_annuelles!$A$3:$A$188,AR248)*SUMIFS(Donnees_annuelles!$AA$3:$AA$188,Donnees_annuelles!$A$3:$A$188,AR248)</f>
        <v/>
      </c>
      <c r="BB248" s="39">
        <f>BA248-AL248</f>
        <v/>
      </c>
      <c r="BC248" s="7">
        <f>IF(M248+AJ248&gt;2026,IF(G248&gt;2026,"entièrement projeté","en partie projeté"),"observé")</f>
        <v/>
      </c>
    </row>
    <row r="249">
      <c r="A249" s="7" t="inlineStr">
        <is>
          <t>Génération X</t>
        </is>
      </c>
      <c r="B249" s="84" t="inlineStr">
        <is>
          <t>Fonction publique territoriale et hospitalière</t>
        </is>
      </c>
      <c r="C249" s="7">
        <f>IF(G249&gt;=SUMIFS(Regimes!$C$5:$C$10,Regimes!$A$5:$A$10,B249),"Privé",B249)</f>
        <v/>
      </c>
      <c r="D249" s="7">
        <f>INDEX(Regimes!$D$5:$D$10,MATCH(C249,Regimes!$A$5:$A$10,0))</f>
        <v/>
      </c>
      <c r="E249" s="88" t="n">
        <v>1978</v>
      </c>
      <c r="F249" s="8">
        <f>Donnees_generations!C66</f>
        <v/>
      </c>
      <c r="G249" s="77">
        <f>Donnees_generations!D66</f>
        <v/>
      </c>
      <c r="H249" s="8">
        <f>SUMIFS(Donnees_generations!$S$3:$S$113,Donnees_generations!$A$3:$A$113,MAX(1915,MIN(2025,E249)))</f>
        <v/>
      </c>
      <c r="I249" s="8">
        <f>SUMIFS(Donnees_generations!$T$3:$T$113,Donnees_generations!$A$3:$A$113,MAX(1915,MIN(2025,E249)))</f>
        <v/>
      </c>
      <c r="J249" s="8">
        <f>IF(G249&gt;=2000,MAX(I249,Parametres!$B$3),I249)</f>
        <v/>
      </c>
      <c r="K249" s="8">
        <f>IF(C249="Privé",J249,SUMIFS(Regles_regimes!$J$3:$J$2000,Regles_regimes!$A$3:$A$2000,C249,Regles_regimes!$B$3:$B$2000,D249,Regles_regimes!$C$3:$C$2000,MAX(1915,MIN(2025,E249))))</f>
        <v/>
      </c>
      <c r="L249" s="8">
        <f>IF(C249="Privé",H249,(K249-F249)*H249/(J249-F249))</f>
        <v/>
      </c>
      <c r="M249" s="77">
        <f>INT(E249+K249)</f>
        <v/>
      </c>
      <c r="N249" s="77">
        <f>G249+ROUNDUP(L249,0)-1</f>
        <v/>
      </c>
      <c r="O249" s="89">
        <f>SUMIFS(Regles_regimes!$K$3:$K$2000,Regles_regimes!$A$3:$A$2000,C249,Regles_regimes!$B$3:$B$2000,D249,Regles_regimes!$C$3:$C$2000,MAX(1915,MIN(2025,E249)))</f>
        <v/>
      </c>
      <c r="P249" s="13">
        <f>SUMIFS(Donnees_annuelles!$W$3:$W$188,Donnees_annuelles!$A$3:$A$188,"&gt;="&amp;G249,Donnees_annuelles!$A$3:$A$188,"&lt;="&amp;N249)*L249/ROUNDUP(L249,0)*O249</f>
        <v/>
      </c>
      <c r="Q249" s="13">
        <f>SUMIFS(Donnees_annuelles!$V$3:$V$188,Donnees_annuelles!$A$3:$A$188,"&gt;="&amp;G249,Donnees_annuelles!$A$3:$A$188,"&lt;="&amp;N249)*L249/ROUNDUP(L249,0)</f>
        <v/>
      </c>
      <c r="R249" s="13">
        <f>P249/L249</f>
        <v/>
      </c>
      <c r="S249" s="14">
        <f>SUMIFS(Donnees_annuelles!$D$3:$D$188,Donnees_annuelles!$A$3:$A$188,"&gt;="&amp;G249,Donnees_annuelles!$A$3:$A$188,"&lt;="&amp;N249)*L249/ROUNDUP(L249,0)</f>
        <v/>
      </c>
      <c r="T249" s="14">
        <f>SUMIFS(Donnees_regimes!$N$3:$N$1118,Donnees_regimes!$A$3:$A$1118,C249,Donnees_regimes!$B$3:$B$1118,"&gt;="&amp;G249,Donnees_regimes!$B$3:$B$1118,"&lt;="&amp;N249)*L249/ROUNDUP(L249,0)</f>
        <v/>
      </c>
      <c r="U249" s="14">
        <f>SUMIFS(Donnees_regimes!$O$3:$O$1118,Donnees_regimes!$A$3:$A$1118,C249,Donnees_regimes!$B$3:$B$1118,"&gt;="&amp;G249,Donnees_regimes!$B$3:$B$1118,"&lt;="&amp;N249)*L249/ROUNDUP(L249,0)</f>
        <v/>
      </c>
      <c r="V249" s="14">
        <f>T249+U249</f>
        <v/>
      </c>
      <c r="W249" s="33">
        <f>V249/S249</f>
        <v/>
      </c>
      <c r="X249" s="14">
        <f>S249+U249</f>
        <v/>
      </c>
      <c r="Y249" s="17">
        <f>V249/P249</f>
        <v/>
      </c>
      <c r="Z249" s="14">
        <f>SUMIFS(Donnees_regimes!$Q$3:$Q$1118,Donnees_regimes!$A$3:$A$1118,C249,Donnees_regimes!$B$3:$B$1118,"&gt;="&amp;G249,Donnees_regimes!$B$3:$B$1118,"&lt;="&amp;N249)*L249/ROUNDUP(L249,0)</f>
        <v/>
      </c>
      <c r="AA249" s="77">
        <f>SUMIFS(Regles_regimes!$F$3:$F$2000,Regles_regimes!$A$3:$A$2000,C249,Regles_regimes!$B$3:$B$2000,D249,Regles_regimes!$C$3:$C$2000,MAX(1915,MIN(2025,E249)))</f>
        <v/>
      </c>
      <c r="AB249" s="77">
        <f>IF(AND(SUMIFS(Regles_regimes!$L$3:$L$2000,Regles_regimes!$A$3:$A$2000,C249,Regles_regimes!$B$3:$B$2000,D249,Regles_regimes!$C$3:$C$2000,MAX(1915,MIN(2025,E249)))=1,G249&lt;2009,C249&lt;&gt;"Privé"),MIN(20,L249*4/5),0)</f>
        <v/>
      </c>
      <c r="AC249" s="89">
        <f>SUMIFS(Donnees_regimes!$M$3:$M$1118,Donnees_regimes!$A$3:$A$1118,C249,Donnees_regimes!$B$3:$B$1118,M249)</f>
        <v/>
      </c>
      <c r="AD249" s="14">
        <f>SUMIFS(Donnees_annuelles!$Y$3:$Y$188,Donnees_annuelles!$A$3:$A$188,M249)*SUMIFS(Donnees_generations!$I$3:$I$113,Donnees_generations!$A$3:$A$113,MAX(1915,MIN(2025,E249)))/H249</f>
        <v/>
      </c>
      <c r="AE249" s="14">
        <f>IF(C249="Privé",SUMIFS(Donnees_annuelles!$Y$3:$Y$188,Donnees_annuelles!$A$3:$A$188,M249)*MIN(L249,SUMIFS(Donnees_generations!$I$3:$I$113,Donnees_generations!$A$3:$A$113,MAX(1915,MIN(2025,E249))))/L249,AD249*AC249*MIN(IF(AB249&gt;0,0.8/0.75,1),(L249*4+AB249)/AA249))</f>
        <v/>
      </c>
      <c r="AF249" s="14">
        <f>AE249/12</f>
        <v/>
      </c>
      <c r="AG249" s="77">
        <f>MIN(68,MAX(56,2*INT(K249/2)))</f>
        <v/>
      </c>
      <c r="AH249" s="75">
        <f>(CHOOSE((AG249-56)/2+1,SUMIFS(Donnees_generations!$U$3:$U$113,Donnees_generations!$A$3:$A$113,MAX(1915,MIN(2025,E249))),SUMIFS(Donnees_generations!$V$3:$V$113,Donnees_generations!$A$3:$A$113,MAX(1915,MIN(2025,E249))),SUMIFS(Donnees_generations!$W$3:$W$113,Donnees_generations!$A$3:$A$113,MAX(1915,MIN(2025,E249))),SUMIFS(Donnees_generations!$X$3:$X$113,Donnees_generations!$A$3:$A$113,MAX(1915,MIN(2025,E249))),SUMIFS(Donnees_generations!$Y$3:$Y$113,Donnees_generations!$A$3:$A$113,MAX(1915,MIN(2025,E249))),SUMIFS(Donnees_generations!$Z$3:$Z$113,Donnees_generations!$A$3:$A$113,MAX(1915,MIN(2025,E249))),SUMIFS(Donnees_generations!$AA$3:$AA$113,Donnees_generations!$A$3:$A$113,MAX(1915,MIN(2025,E249))),SUMIFS(Donnees_generations!$AB$3:$AB$113,Donnees_generations!$A$3:$A$113,MAX(1915,MIN(2025,E249))))+CHOOSE((AG249-56)/2+1,SUMIFS(Donnees_generations!$AC$3:$AC$113,Donnees_generations!$A$3:$A$113,MAX(1915,MIN(2025,E249))),SUMIFS(Donnees_generations!$AD$3:$AD$113,Donnees_generations!$A$3:$A$113,MAX(1915,MIN(2025,E249))),SUMIFS(Donnees_generations!$AE$3:$AE$113,Donnees_generations!$A$3:$A$113,MAX(1915,MIN(2025,E249))),SUMIFS(Donnees_generations!$AF$3:$AF$113,Donnees_generations!$A$3:$A$113,MAX(1915,MIN(2025,E249))),SUMIFS(Donnees_generations!$AG$3:$AG$113,Donnees_generations!$A$3:$A$113,MAX(1915,MIN(2025,E249))),SUMIFS(Donnees_generations!$AH$3:$AH$113,Donnees_generations!$A$3:$A$113,MAX(1915,MIN(2025,E249))),SUMIFS(Donnees_generations!$AI$3:$AI$113,Donnees_generations!$A$3:$A$113,MAX(1915,MIN(2025,E249))),SUMIFS(Donnees_generations!$AJ$3:$AJ$113,Donnees_generations!$A$3:$A$113,MAX(1915,MIN(2025,E249)))))/2</f>
        <v/>
      </c>
      <c r="AI249" s="75">
        <f>(CHOOSE(((AG249+2)-56)/2+1,SUMIFS(Donnees_generations!$U$3:$U$113,Donnees_generations!$A$3:$A$113,MAX(1915,MIN(2025,E249))),SUMIFS(Donnees_generations!$V$3:$V$113,Donnees_generations!$A$3:$A$113,MAX(1915,MIN(2025,E249))),SUMIFS(Donnees_generations!$W$3:$W$113,Donnees_generations!$A$3:$A$113,MAX(1915,MIN(2025,E249))),SUMIFS(Donnees_generations!$X$3:$X$113,Donnees_generations!$A$3:$A$113,MAX(1915,MIN(2025,E249))),SUMIFS(Donnees_generations!$Y$3:$Y$113,Donnees_generations!$A$3:$A$113,MAX(1915,MIN(2025,E249))),SUMIFS(Donnees_generations!$Z$3:$Z$113,Donnees_generations!$A$3:$A$113,MAX(1915,MIN(2025,E249))),SUMIFS(Donnees_generations!$AA$3:$AA$113,Donnees_generations!$A$3:$A$113,MAX(1915,MIN(2025,E249))),SUMIFS(Donnees_generations!$AB$3:$AB$113,Donnees_generations!$A$3:$A$113,MAX(1915,MIN(2025,E249))))+CHOOSE(((AG249+2)-56)/2+1,SUMIFS(Donnees_generations!$AC$3:$AC$113,Donnees_generations!$A$3:$A$113,MAX(1915,MIN(2025,E249))),SUMIFS(Donnees_generations!$AD$3:$AD$113,Donnees_generations!$A$3:$A$113,MAX(1915,MIN(2025,E249))),SUMIFS(Donnees_generations!$AE$3:$AE$113,Donnees_generations!$A$3:$A$113,MAX(1915,MIN(2025,E249))),SUMIFS(Donnees_generations!$AF$3:$AF$113,Donnees_generations!$A$3:$A$113,MAX(1915,MIN(2025,E249))),SUMIFS(Donnees_generations!$AG$3:$AG$113,Donnees_generations!$A$3:$A$113,MAX(1915,MIN(2025,E249))),SUMIFS(Donnees_generations!$AH$3:$AH$113,Donnees_generations!$A$3:$A$113,MAX(1915,MIN(2025,E249))),SUMIFS(Donnees_generations!$AI$3:$AI$113,Donnees_generations!$A$3:$A$113,MAX(1915,MIN(2025,E249))),SUMIFS(Donnees_generations!$AJ$3:$AJ$113,Donnees_generations!$A$3:$A$113,MAX(1915,MIN(2025,E249)))))/2</f>
        <v/>
      </c>
      <c r="AJ249" s="8">
        <f>MAX(0,AH249+(AI249-AH249)*(K249-AG249)/2)</f>
        <v/>
      </c>
      <c r="AK249" s="8">
        <f>K249+AJ249</f>
        <v/>
      </c>
      <c r="AL249" s="14">
        <f>AE249*AJ249</f>
        <v/>
      </c>
      <c r="AM249" s="17">
        <f>V249/AL249</f>
        <v/>
      </c>
      <c r="AN249" s="17">
        <f>Z249/AL249</f>
        <v/>
      </c>
      <c r="AO249" s="33">
        <f>IF(V249+Z249=0,0,Z249/(V249+Z249))</f>
        <v/>
      </c>
      <c r="AP249" s="14">
        <f>AL249/V249*100</f>
        <v/>
      </c>
      <c r="AQ249" s="8">
        <f>P249/AL249*1000</f>
        <v/>
      </c>
      <c r="AR249" s="77">
        <f>MAX(N249,M249-1)</f>
        <v/>
      </c>
      <c r="AS249" s="14">
        <f>SUMIFS(Donnees_regimes!$R$3:$R$1118,Donnees_regimes!$A$3:$A$1118,C249,Donnees_regimes!$B$3:$B$1118,"&gt;="&amp;G249,Donnees_regimes!$B$3:$B$1118,"&lt;="&amp;N249)*L249/ROUNDUP(L249,0)*SUMIFS(Donnees_annuelles!$AG$3:$AG$188,Donnees_annuelles!$A$3:$A$188,AR249)*SUMIFS(Donnees_annuelles!$AA$3:$AA$188,Donnees_annuelles!$A$3:$A$188,AR249)</f>
        <v/>
      </c>
      <c r="AT249" s="36">
        <f>AS249/V249</f>
        <v/>
      </c>
      <c r="AU249" s="14">
        <f>AL249</f>
        <v/>
      </c>
      <c r="AV249" s="39">
        <f>AS249-AL249</f>
        <v/>
      </c>
      <c r="AW249" s="9">
        <f>AS249/AL249-1</f>
        <v/>
      </c>
      <c r="AX249" s="14">
        <f>AS249/AJ249/12</f>
        <v/>
      </c>
      <c r="AY249" s="14">
        <f>AF249</f>
        <v/>
      </c>
      <c r="AZ249" s="39">
        <f>AX249-AF249</f>
        <v/>
      </c>
      <c r="BA249" s="14">
        <f>SUMIFS(Donnees_regimes!$S$3:$S$1118,Donnees_regimes!$A$3:$A$1118,C249,Donnees_regimes!$B$3:$B$1118,"&gt;="&amp;G249,Donnees_regimes!$B$3:$B$1118,"&lt;="&amp;N249)*L249/ROUNDUP(L249,0)*SUMIFS(Donnees_annuelles!$AH$3:$AH$188,Donnees_annuelles!$A$3:$A$188,AR249)*SUMIFS(Donnees_annuelles!$AA$3:$AA$188,Donnees_annuelles!$A$3:$A$188,AR249)</f>
        <v/>
      </c>
      <c r="BB249" s="39">
        <f>BA249-AL249</f>
        <v/>
      </c>
      <c r="BC249" s="7">
        <f>IF(M249+AJ249&gt;2026,IF(G249&gt;2026,"entièrement projeté","en partie projeté"),"observé")</f>
        <v/>
      </c>
    </row>
    <row r="250">
      <c r="A250" s="7" t="inlineStr">
        <is>
          <t>Génération X</t>
        </is>
      </c>
      <c r="B250" s="84" t="inlineStr">
        <is>
          <t>Fonction publique territoriale et hospitalière</t>
        </is>
      </c>
      <c r="C250" s="7">
        <f>IF(G250&gt;=SUMIFS(Regimes!$C$5:$C$10,Regimes!$A$5:$A$10,B250),"Privé",B250)</f>
        <v/>
      </c>
      <c r="D250" s="7">
        <f>INDEX(Regimes!$D$5:$D$10,MATCH(C250,Regimes!$A$5:$A$10,0))</f>
        <v/>
      </c>
      <c r="E250" s="88" t="n">
        <v>1979</v>
      </c>
      <c r="F250" s="8">
        <f>Donnees_generations!C67</f>
        <v/>
      </c>
      <c r="G250" s="77">
        <f>Donnees_generations!D67</f>
        <v/>
      </c>
      <c r="H250" s="8">
        <f>SUMIFS(Donnees_generations!$S$3:$S$113,Donnees_generations!$A$3:$A$113,MAX(1915,MIN(2025,E250)))</f>
        <v/>
      </c>
      <c r="I250" s="8">
        <f>SUMIFS(Donnees_generations!$T$3:$T$113,Donnees_generations!$A$3:$A$113,MAX(1915,MIN(2025,E250)))</f>
        <v/>
      </c>
      <c r="J250" s="8">
        <f>IF(G250&gt;=2000,MAX(I250,Parametres!$B$3),I250)</f>
        <v/>
      </c>
      <c r="K250" s="8">
        <f>IF(C250="Privé",J250,SUMIFS(Regles_regimes!$J$3:$J$2000,Regles_regimes!$A$3:$A$2000,C250,Regles_regimes!$B$3:$B$2000,D250,Regles_regimes!$C$3:$C$2000,MAX(1915,MIN(2025,E250))))</f>
        <v/>
      </c>
      <c r="L250" s="8">
        <f>IF(C250="Privé",H250,(K250-F250)*H250/(J250-F250))</f>
        <v/>
      </c>
      <c r="M250" s="77">
        <f>INT(E250+K250)</f>
        <v/>
      </c>
      <c r="N250" s="77">
        <f>G250+ROUNDUP(L250,0)-1</f>
        <v/>
      </c>
      <c r="O250" s="89">
        <f>SUMIFS(Regles_regimes!$K$3:$K$2000,Regles_regimes!$A$3:$A$2000,C250,Regles_regimes!$B$3:$B$2000,D250,Regles_regimes!$C$3:$C$2000,MAX(1915,MIN(2025,E250)))</f>
        <v/>
      </c>
      <c r="P250" s="13">
        <f>SUMIFS(Donnees_annuelles!$W$3:$W$188,Donnees_annuelles!$A$3:$A$188,"&gt;="&amp;G250,Donnees_annuelles!$A$3:$A$188,"&lt;="&amp;N250)*L250/ROUNDUP(L250,0)*O250</f>
        <v/>
      </c>
      <c r="Q250" s="13">
        <f>SUMIFS(Donnees_annuelles!$V$3:$V$188,Donnees_annuelles!$A$3:$A$188,"&gt;="&amp;G250,Donnees_annuelles!$A$3:$A$188,"&lt;="&amp;N250)*L250/ROUNDUP(L250,0)</f>
        <v/>
      </c>
      <c r="R250" s="13">
        <f>P250/L250</f>
        <v/>
      </c>
      <c r="S250" s="14">
        <f>SUMIFS(Donnees_annuelles!$D$3:$D$188,Donnees_annuelles!$A$3:$A$188,"&gt;="&amp;G250,Donnees_annuelles!$A$3:$A$188,"&lt;="&amp;N250)*L250/ROUNDUP(L250,0)</f>
        <v/>
      </c>
      <c r="T250" s="14">
        <f>SUMIFS(Donnees_regimes!$N$3:$N$1118,Donnees_regimes!$A$3:$A$1118,C250,Donnees_regimes!$B$3:$B$1118,"&gt;="&amp;G250,Donnees_regimes!$B$3:$B$1118,"&lt;="&amp;N250)*L250/ROUNDUP(L250,0)</f>
        <v/>
      </c>
      <c r="U250" s="14">
        <f>SUMIFS(Donnees_regimes!$O$3:$O$1118,Donnees_regimes!$A$3:$A$1118,C250,Donnees_regimes!$B$3:$B$1118,"&gt;="&amp;G250,Donnees_regimes!$B$3:$B$1118,"&lt;="&amp;N250)*L250/ROUNDUP(L250,0)</f>
        <v/>
      </c>
      <c r="V250" s="14">
        <f>T250+U250</f>
        <v/>
      </c>
      <c r="W250" s="33">
        <f>V250/S250</f>
        <v/>
      </c>
      <c r="X250" s="14">
        <f>S250+U250</f>
        <v/>
      </c>
      <c r="Y250" s="17">
        <f>V250/P250</f>
        <v/>
      </c>
      <c r="Z250" s="14">
        <f>SUMIFS(Donnees_regimes!$Q$3:$Q$1118,Donnees_regimes!$A$3:$A$1118,C250,Donnees_regimes!$B$3:$B$1118,"&gt;="&amp;G250,Donnees_regimes!$B$3:$B$1118,"&lt;="&amp;N250)*L250/ROUNDUP(L250,0)</f>
        <v/>
      </c>
      <c r="AA250" s="77">
        <f>SUMIFS(Regles_regimes!$F$3:$F$2000,Regles_regimes!$A$3:$A$2000,C250,Regles_regimes!$B$3:$B$2000,D250,Regles_regimes!$C$3:$C$2000,MAX(1915,MIN(2025,E250)))</f>
        <v/>
      </c>
      <c r="AB250" s="77">
        <f>IF(AND(SUMIFS(Regles_regimes!$L$3:$L$2000,Regles_regimes!$A$3:$A$2000,C250,Regles_regimes!$B$3:$B$2000,D250,Regles_regimes!$C$3:$C$2000,MAX(1915,MIN(2025,E250)))=1,G250&lt;2009,C250&lt;&gt;"Privé"),MIN(20,L250*4/5),0)</f>
        <v/>
      </c>
      <c r="AC250" s="89">
        <f>SUMIFS(Donnees_regimes!$M$3:$M$1118,Donnees_regimes!$A$3:$A$1118,C250,Donnees_regimes!$B$3:$B$1118,M250)</f>
        <v/>
      </c>
      <c r="AD250" s="14">
        <f>SUMIFS(Donnees_annuelles!$Y$3:$Y$188,Donnees_annuelles!$A$3:$A$188,M250)*SUMIFS(Donnees_generations!$I$3:$I$113,Donnees_generations!$A$3:$A$113,MAX(1915,MIN(2025,E250)))/H250</f>
        <v/>
      </c>
      <c r="AE250" s="14">
        <f>IF(C250="Privé",SUMIFS(Donnees_annuelles!$Y$3:$Y$188,Donnees_annuelles!$A$3:$A$188,M250)*MIN(L250,SUMIFS(Donnees_generations!$I$3:$I$113,Donnees_generations!$A$3:$A$113,MAX(1915,MIN(2025,E250))))/L250,AD250*AC250*MIN(IF(AB250&gt;0,0.8/0.75,1),(L250*4+AB250)/AA250))</f>
        <v/>
      </c>
      <c r="AF250" s="14">
        <f>AE250/12</f>
        <v/>
      </c>
      <c r="AG250" s="77">
        <f>MIN(68,MAX(56,2*INT(K250/2)))</f>
        <v/>
      </c>
      <c r="AH250" s="75">
        <f>(CHOOSE((AG250-56)/2+1,SUMIFS(Donnees_generations!$U$3:$U$113,Donnees_generations!$A$3:$A$113,MAX(1915,MIN(2025,E250))),SUMIFS(Donnees_generations!$V$3:$V$113,Donnees_generations!$A$3:$A$113,MAX(1915,MIN(2025,E250))),SUMIFS(Donnees_generations!$W$3:$W$113,Donnees_generations!$A$3:$A$113,MAX(1915,MIN(2025,E250))),SUMIFS(Donnees_generations!$X$3:$X$113,Donnees_generations!$A$3:$A$113,MAX(1915,MIN(2025,E250))),SUMIFS(Donnees_generations!$Y$3:$Y$113,Donnees_generations!$A$3:$A$113,MAX(1915,MIN(2025,E250))),SUMIFS(Donnees_generations!$Z$3:$Z$113,Donnees_generations!$A$3:$A$113,MAX(1915,MIN(2025,E250))),SUMIFS(Donnees_generations!$AA$3:$AA$113,Donnees_generations!$A$3:$A$113,MAX(1915,MIN(2025,E250))),SUMIFS(Donnees_generations!$AB$3:$AB$113,Donnees_generations!$A$3:$A$113,MAX(1915,MIN(2025,E250))))+CHOOSE((AG250-56)/2+1,SUMIFS(Donnees_generations!$AC$3:$AC$113,Donnees_generations!$A$3:$A$113,MAX(1915,MIN(2025,E250))),SUMIFS(Donnees_generations!$AD$3:$AD$113,Donnees_generations!$A$3:$A$113,MAX(1915,MIN(2025,E250))),SUMIFS(Donnees_generations!$AE$3:$AE$113,Donnees_generations!$A$3:$A$113,MAX(1915,MIN(2025,E250))),SUMIFS(Donnees_generations!$AF$3:$AF$113,Donnees_generations!$A$3:$A$113,MAX(1915,MIN(2025,E250))),SUMIFS(Donnees_generations!$AG$3:$AG$113,Donnees_generations!$A$3:$A$113,MAX(1915,MIN(2025,E250))),SUMIFS(Donnees_generations!$AH$3:$AH$113,Donnees_generations!$A$3:$A$113,MAX(1915,MIN(2025,E250))),SUMIFS(Donnees_generations!$AI$3:$AI$113,Donnees_generations!$A$3:$A$113,MAX(1915,MIN(2025,E250))),SUMIFS(Donnees_generations!$AJ$3:$AJ$113,Donnees_generations!$A$3:$A$113,MAX(1915,MIN(2025,E250)))))/2</f>
        <v/>
      </c>
      <c r="AI250" s="75">
        <f>(CHOOSE(((AG250+2)-56)/2+1,SUMIFS(Donnees_generations!$U$3:$U$113,Donnees_generations!$A$3:$A$113,MAX(1915,MIN(2025,E250))),SUMIFS(Donnees_generations!$V$3:$V$113,Donnees_generations!$A$3:$A$113,MAX(1915,MIN(2025,E250))),SUMIFS(Donnees_generations!$W$3:$W$113,Donnees_generations!$A$3:$A$113,MAX(1915,MIN(2025,E250))),SUMIFS(Donnees_generations!$X$3:$X$113,Donnees_generations!$A$3:$A$113,MAX(1915,MIN(2025,E250))),SUMIFS(Donnees_generations!$Y$3:$Y$113,Donnees_generations!$A$3:$A$113,MAX(1915,MIN(2025,E250))),SUMIFS(Donnees_generations!$Z$3:$Z$113,Donnees_generations!$A$3:$A$113,MAX(1915,MIN(2025,E250))),SUMIFS(Donnees_generations!$AA$3:$AA$113,Donnees_generations!$A$3:$A$113,MAX(1915,MIN(2025,E250))),SUMIFS(Donnees_generations!$AB$3:$AB$113,Donnees_generations!$A$3:$A$113,MAX(1915,MIN(2025,E250))))+CHOOSE(((AG250+2)-56)/2+1,SUMIFS(Donnees_generations!$AC$3:$AC$113,Donnees_generations!$A$3:$A$113,MAX(1915,MIN(2025,E250))),SUMIFS(Donnees_generations!$AD$3:$AD$113,Donnees_generations!$A$3:$A$113,MAX(1915,MIN(2025,E250))),SUMIFS(Donnees_generations!$AE$3:$AE$113,Donnees_generations!$A$3:$A$113,MAX(1915,MIN(2025,E250))),SUMIFS(Donnees_generations!$AF$3:$AF$113,Donnees_generations!$A$3:$A$113,MAX(1915,MIN(2025,E250))),SUMIFS(Donnees_generations!$AG$3:$AG$113,Donnees_generations!$A$3:$A$113,MAX(1915,MIN(2025,E250))),SUMIFS(Donnees_generations!$AH$3:$AH$113,Donnees_generations!$A$3:$A$113,MAX(1915,MIN(2025,E250))),SUMIFS(Donnees_generations!$AI$3:$AI$113,Donnees_generations!$A$3:$A$113,MAX(1915,MIN(2025,E250))),SUMIFS(Donnees_generations!$AJ$3:$AJ$113,Donnees_generations!$A$3:$A$113,MAX(1915,MIN(2025,E250)))))/2</f>
        <v/>
      </c>
      <c r="AJ250" s="8">
        <f>MAX(0,AH250+(AI250-AH250)*(K250-AG250)/2)</f>
        <v/>
      </c>
      <c r="AK250" s="8">
        <f>K250+AJ250</f>
        <v/>
      </c>
      <c r="AL250" s="14">
        <f>AE250*AJ250</f>
        <v/>
      </c>
      <c r="AM250" s="17">
        <f>V250/AL250</f>
        <v/>
      </c>
      <c r="AN250" s="17">
        <f>Z250/AL250</f>
        <v/>
      </c>
      <c r="AO250" s="33">
        <f>IF(V250+Z250=0,0,Z250/(V250+Z250))</f>
        <v/>
      </c>
      <c r="AP250" s="14">
        <f>AL250/V250*100</f>
        <v/>
      </c>
      <c r="AQ250" s="8">
        <f>P250/AL250*1000</f>
        <v/>
      </c>
      <c r="AR250" s="77">
        <f>MAX(N250,M250-1)</f>
        <v/>
      </c>
      <c r="AS250" s="14">
        <f>SUMIFS(Donnees_regimes!$R$3:$R$1118,Donnees_regimes!$A$3:$A$1118,C250,Donnees_regimes!$B$3:$B$1118,"&gt;="&amp;G250,Donnees_regimes!$B$3:$B$1118,"&lt;="&amp;N250)*L250/ROUNDUP(L250,0)*SUMIFS(Donnees_annuelles!$AG$3:$AG$188,Donnees_annuelles!$A$3:$A$188,AR250)*SUMIFS(Donnees_annuelles!$AA$3:$AA$188,Donnees_annuelles!$A$3:$A$188,AR250)</f>
        <v/>
      </c>
      <c r="AT250" s="36">
        <f>AS250/V250</f>
        <v/>
      </c>
      <c r="AU250" s="14">
        <f>AL250</f>
        <v/>
      </c>
      <c r="AV250" s="39">
        <f>AS250-AL250</f>
        <v/>
      </c>
      <c r="AW250" s="9">
        <f>AS250/AL250-1</f>
        <v/>
      </c>
      <c r="AX250" s="14">
        <f>AS250/AJ250/12</f>
        <v/>
      </c>
      <c r="AY250" s="14">
        <f>AF250</f>
        <v/>
      </c>
      <c r="AZ250" s="39">
        <f>AX250-AF250</f>
        <v/>
      </c>
      <c r="BA250" s="14">
        <f>SUMIFS(Donnees_regimes!$S$3:$S$1118,Donnees_regimes!$A$3:$A$1118,C250,Donnees_regimes!$B$3:$B$1118,"&gt;="&amp;G250,Donnees_regimes!$B$3:$B$1118,"&lt;="&amp;N250)*L250/ROUNDUP(L250,0)*SUMIFS(Donnees_annuelles!$AH$3:$AH$188,Donnees_annuelles!$A$3:$A$188,AR250)*SUMIFS(Donnees_annuelles!$AA$3:$AA$188,Donnees_annuelles!$A$3:$A$188,AR250)</f>
        <v/>
      </c>
      <c r="BB250" s="39">
        <f>BA250-AL250</f>
        <v/>
      </c>
      <c r="BC250" s="7">
        <f>IF(M250+AJ250&gt;2026,IF(G250&gt;2026,"entièrement projeté","en partie projeté"),"observé")</f>
        <v/>
      </c>
    </row>
    <row r="251">
      <c r="A251" s="7" t="inlineStr">
        <is>
          <t>Génération X</t>
        </is>
      </c>
      <c r="B251" s="84" t="inlineStr">
        <is>
          <t>Fonction publique territoriale et hospitalière</t>
        </is>
      </c>
      <c r="C251" s="7">
        <f>IF(G251&gt;=SUMIFS(Regimes!$C$5:$C$10,Regimes!$A$5:$A$10,B251),"Privé",B251)</f>
        <v/>
      </c>
      <c r="D251" s="7">
        <f>INDEX(Regimes!$D$5:$D$10,MATCH(C251,Regimes!$A$5:$A$10,0))</f>
        <v/>
      </c>
      <c r="E251" s="88" t="n">
        <v>1980</v>
      </c>
      <c r="F251" s="8">
        <f>Donnees_generations!C68</f>
        <v/>
      </c>
      <c r="G251" s="77">
        <f>Donnees_generations!D68</f>
        <v/>
      </c>
      <c r="H251" s="8">
        <f>SUMIFS(Donnees_generations!$S$3:$S$113,Donnees_generations!$A$3:$A$113,MAX(1915,MIN(2025,E251)))</f>
        <v/>
      </c>
      <c r="I251" s="8">
        <f>SUMIFS(Donnees_generations!$T$3:$T$113,Donnees_generations!$A$3:$A$113,MAX(1915,MIN(2025,E251)))</f>
        <v/>
      </c>
      <c r="J251" s="8">
        <f>IF(G251&gt;=2000,MAX(I251,Parametres!$B$3),I251)</f>
        <v/>
      </c>
      <c r="K251" s="8">
        <f>IF(C251="Privé",J251,SUMIFS(Regles_regimes!$J$3:$J$2000,Regles_regimes!$A$3:$A$2000,C251,Regles_regimes!$B$3:$B$2000,D251,Regles_regimes!$C$3:$C$2000,MAX(1915,MIN(2025,E251))))</f>
        <v/>
      </c>
      <c r="L251" s="8">
        <f>IF(C251="Privé",H251,(K251-F251)*H251/(J251-F251))</f>
        <v/>
      </c>
      <c r="M251" s="77">
        <f>INT(E251+K251)</f>
        <v/>
      </c>
      <c r="N251" s="77">
        <f>G251+ROUNDUP(L251,0)-1</f>
        <v/>
      </c>
      <c r="O251" s="89">
        <f>SUMIFS(Regles_regimes!$K$3:$K$2000,Regles_regimes!$A$3:$A$2000,C251,Regles_regimes!$B$3:$B$2000,D251,Regles_regimes!$C$3:$C$2000,MAX(1915,MIN(2025,E251)))</f>
        <v/>
      </c>
      <c r="P251" s="13">
        <f>SUMIFS(Donnees_annuelles!$W$3:$W$188,Donnees_annuelles!$A$3:$A$188,"&gt;="&amp;G251,Donnees_annuelles!$A$3:$A$188,"&lt;="&amp;N251)*L251/ROUNDUP(L251,0)*O251</f>
        <v/>
      </c>
      <c r="Q251" s="13">
        <f>SUMIFS(Donnees_annuelles!$V$3:$V$188,Donnees_annuelles!$A$3:$A$188,"&gt;="&amp;G251,Donnees_annuelles!$A$3:$A$188,"&lt;="&amp;N251)*L251/ROUNDUP(L251,0)</f>
        <v/>
      </c>
      <c r="R251" s="13">
        <f>P251/L251</f>
        <v/>
      </c>
      <c r="S251" s="14">
        <f>SUMIFS(Donnees_annuelles!$D$3:$D$188,Donnees_annuelles!$A$3:$A$188,"&gt;="&amp;G251,Donnees_annuelles!$A$3:$A$188,"&lt;="&amp;N251)*L251/ROUNDUP(L251,0)</f>
        <v/>
      </c>
      <c r="T251" s="14">
        <f>SUMIFS(Donnees_regimes!$N$3:$N$1118,Donnees_regimes!$A$3:$A$1118,C251,Donnees_regimes!$B$3:$B$1118,"&gt;="&amp;G251,Donnees_regimes!$B$3:$B$1118,"&lt;="&amp;N251)*L251/ROUNDUP(L251,0)</f>
        <v/>
      </c>
      <c r="U251" s="14">
        <f>SUMIFS(Donnees_regimes!$O$3:$O$1118,Donnees_regimes!$A$3:$A$1118,C251,Donnees_regimes!$B$3:$B$1118,"&gt;="&amp;G251,Donnees_regimes!$B$3:$B$1118,"&lt;="&amp;N251)*L251/ROUNDUP(L251,0)</f>
        <v/>
      </c>
      <c r="V251" s="14">
        <f>T251+U251</f>
        <v/>
      </c>
      <c r="W251" s="33">
        <f>V251/S251</f>
        <v/>
      </c>
      <c r="X251" s="14">
        <f>S251+U251</f>
        <v/>
      </c>
      <c r="Y251" s="17">
        <f>V251/P251</f>
        <v/>
      </c>
      <c r="Z251" s="14">
        <f>SUMIFS(Donnees_regimes!$Q$3:$Q$1118,Donnees_regimes!$A$3:$A$1118,C251,Donnees_regimes!$B$3:$B$1118,"&gt;="&amp;G251,Donnees_regimes!$B$3:$B$1118,"&lt;="&amp;N251)*L251/ROUNDUP(L251,0)</f>
        <v/>
      </c>
      <c r="AA251" s="77">
        <f>SUMIFS(Regles_regimes!$F$3:$F$2000,Regles_regimes!$A$3:$A$2000,C251,Regles_regimes!$B$3:$B$2000,D251,Regles_regimes!$C$3:$C$2000,MAX(1915,MIN(2025,E251)))</f>
        <v/>
      </c>
      <c r="AB251" s="77">
        <f>IF(AND(SUMIFS(Regles_regimes!$L$3:$L$2000,Regles_regimes!$A$3:$A$2000,C251,Regles_regimes!$B$3:$B$2000,D251,Regles_regimes!$C$3:$C$2000,MAX(1915,MIN(2025,E251)))=1,G251&lt;2009,C251&lt;&gt;"Privé"),MIN(20,L251*4/5),0)</f>
        <v/>
      </c>
      <c r="AC251" s="89">
        <f>SUMIFS(Donnees_regimes!$M$3:$M$1118,Donnees_regimes!$A$3:$A$1118,C251,Donnees_regimes!$B$3:$B$1118,M251)</f>
        <v/>
      </c>
      <c r="AD251" s="14">
        <f>SUMIFS(Donnees_annuelles!$Y$3:$Y$188,Donnees_annuelles!$A$3:$A$188,M251)*SUMIFS(Donnees_generations!$I$3:$I$113,Donnees_generations!$A$3:$A$113,MAX(1915,MIN(2025,E251)))/H251</f>
        <v/>
      </c>
      <c r="AE251" s="14">
        <f>IF(C251="Privé",SUMIFS(Donnees_annuelles!$Y$3:$Y$188,Donnees_annuelles!$A$3:$A$188,M251)*MIN(L251,SUMIFS(Donnees_generations!$I$3:$I$113,Donnees_generations!$A$3:$A$113,MAX(1915,MIN(2025,E251))))/L251,AD251*AC251*MIN(IF(AB251&gt;0,0.8/0.75,1),(L251*4+AB251)/AA251))</f>
        <v/>
      </c>
      <c r="AF251" s="14">
        <f>AE251/12</f>
        <v/>
      </c>
      <c r="AG251" s="77">
        <f>MIN(68,MAX(56,2*INT(K251/2)))</f>
        <v/>
      </c>
      <c r="AH251" s="75">
        <f>(CHOOSE((AG251-56)/2+1,SUMIFS(Donnees_generations!$U$3:$U$113,Donnees_generations!$A$3:$A$113,MAX(1915,MIN(2025,E251))),SUMIFS(Donnees_generations!$V$3:$V$113,Donnees_generations!$A$3:$A$113,MAX(1915,MIN(2025,E251))),SUMIFS(Donnees_generations!$W$3:$W$113,Donnees_generations!$A$3:$A$113,MAX(1915,MIN(2025,E251))),SUMIFS(Donnees_generations!$X$3:$X$113,Donnees_generations!$A$3:$A$113,MAX(1915,MIN(2025,E251))),SUMIFS(Donnees_generations!$Y$3:$Y$113,Donnees_generations!$A$3:$A$113,MAX(1915,MIN(2025,E251))),SUMIFS(Donnees_generations!$Z$3:$Z$113,Donnees_generations!$A$3:$A$113,MAX(1915,MIN(2025,E251))),SUMIFS(Donnees_generations!$AA$3:$AA$113,Donnees_generations!$A$3:$A$113,MAX(1915,MIN(2025,E251))),SUMIFS(Donnees_generations!$AB$3:$AB$113,Donnees_generations!$A$3:$A$113,MAX(1915,MIN(2025,E251))))+CHOOSE((AG251-56)/2+1,SUMIFS(Donnees_generations!$AC$3:$AC$113,Donnees_generations!$A$3:$A$113,MAX(1915,MIN(2025,E251))),SUMIFS(Donnees_generations!$AD$3:$AD$113,Donnees_generations!$A$3:$A$113,MAX(1915,MIN(2025,E251))),SUMIFS(Donnees_generations!$AE$3:$AE$113,Donnees_generations!$A$3:$A$113,MAX(1915,MIN(2025,E251))),SUMIFS(Donnees_generations!$AF$3:$AF$113,Donnees_generations!$A$3:$A$113,MAX(1915,MIN(2025,E251))),SUMIFS(Donnees_generations!$AG$3:$AG$113,Donnees_generations!$A$3:$A$113,MAX(1915,MIN(2025,E251))),SUMIFS(Donnees_generations!$AH$3:$AH$113,Donnees_generations!$A$3:$A$113,MAX(1915,MIN(2025,E251))),SUMIFS(Donnees_generations!$AI$3:$AI$113,Donnees_generations!$A$3:$A$113,MAX(1915,MIN(2025,E251))),SUMIFS(Donnees_generations!$AJ$3:$AJ$113,Donnees_generations!$A$3:$A$113,MAX(1915,MIN(2025,E251)))))/2</f>
        <v/>
      </c>
      <c r="AI251" s="75">
        <f>(CHOOSE(((AG251+2)-56)/2+1,SUMIFS(Donnees_generations!$U$3:$U$113,Donnees_generations!$A$3:$A$113,MAX(1915,MIN(2025,E251))),SUMIFS(Donnees_generations!$V$3:$V$113,Donnees_generations!$A$3:$A$113,MAX(1915,MIN(2025,E251))),SUMIFS(Donnees_generations!$W$3:$W$113,Donnees_generations!$A$3:$A$113,MAX(1915,MIN(2025,E251))),SUMIFS(Donnees_generations!$X$3:$X$113,Donnees_generations!$A$3:$A$113,MAX(1915,MIN(2025,E251))),SUMIFS(Donnees_generations!$Y$3:$Y$113,Donnees_generations!$A$3:$A$113,MAX(1915,MIN(2025,E251))),SUMIFS(Donnees_generations!$Z$3:$Z$113,Donnees_generations!$A$3:$A$113,MAX(1915,MIN(2025,E251))),SUMIFS(Donnees_generations!$AA$3:$AA$113,Donnees_generations!$A$3:$A$113,MAX(1915,MIN(2025,E251))),SUMIFS(Donnees_generations!$AB$3:$AB$113,Donnees_generations!$A$3:$A$113,MAX(1915,MIN(2025,E251))))+CHOOSE(((AG251+2)-56)/2+1,SUMIFS(Donnees_generations!$AC$3:$AC$113,Donnees_generations!$A$3:$A$113,MAX(1915,MIN(2025,E251))),SUMIFS(Donnees_generations!$AD$3:$AD$113,Donnees_generations!$A$3:$A$113,MAX(1915,MIN(2025,E251))),SUMIFS(Donnees_generations!$AE$3:$AE$113,Donnees_generations!$A$3:$A$113,MAX(1915,MIN(2025,E251))),SUMIFS(Donnees_generations!$AF$3:$AF$113,Donnees_generations!$A$3:$A$113,MAX(1915,MIN(2025,E251))),SUMIFS(Donnees_generations!$AG$3:$AG$113,Donnees_generations!$A$3:$A$113,MAX(1915,MIN(2025,E251))),SUMIFS(Donnees_generations!$AH$3:$AH$113,Donnees_generations!$A$3:$A$113,MAX(1915,MIN(2025,E251))),SUMIFS(Donnees_generations!$AI$3:$AI$113,Donnees_generations!$A$3:$A$113,MAX(1915,MIN(2025,E251))),SUMIFS(Donnees_generations!$AJ$3:$AJ$113,Donnees_generations!$A$3:$A$113,MAX(1915,MIN(2025,E251)))))/2</f>
        <v/>
      </c>
      <c r="AJ251" s="8">
        <f>MAX(0,AH251+(AI251-AH251)*(K251-AG251)/2)</f>
        <v/>
      </c>
      <c r="AK251" s="8">
        <f>K251+AJ251</f>
        <v/>
      </c>
      <c r="AL251" s="14">
        <f>AE251*AJ251</f>
        <v/>
      </c>
      <c r="AM251" s="17">
        <f>V251/AL251</f>
        <v/>
      </c>
      <c r="AN251" s="17">
        <f>Z251/AL251</f>
        <v/>
      </c>
      <c r="AO251" s="33">
        <f>IF(V251+Z251=0,0,Z251/(V251+Z251))</f>
        <v/>
      </c>
      <c r="AP251" s="14">
        <f>AL251/V251*100</f>
        <v/>
      </c>
      <c r="AQ251" s="8">
        <f>P251/AL251*1000</f>
        <v/>
      </c>
      <c r="AR251" s="77">
        <f>MAX(N251,M251-1)</f>
        <v/>
      </c>
      <c r="AS251" s="14">
        <f>SUMIFS(Donnees_regimes!$R$3:$R$1118,Donnees_regimes!$A$3:$A$1118,C251,Donnees_regimes!$B$3:$B$1118,"&gt;="&amp;G251,Donnees_regimes!$B$3:$B$1118,"&lt;="&amp;N251)*L251/ROUNDUP(L251,0)*SUMIFS(Donnees_annuelles!$AG$3:$AG$188,Donnees_annuelles!$A$3:$A$188,AR251)*SUMIFS(Donnees_annuelles!$AA$3:$AA$188,Donnees_annuelles!$A$3:$A$188,AR251)</f>
        <v/>
      </c>
      <c r="AT251" s="36">
        <f>AS251/V251</f>
        <v/>
      </c>
      <c r="AU251" s="14">
        <f>AL251</f>
        <v/>
      </c>
      <c r="AV251" s="39">
        <f>AS251-AL251</f>
        <v/>
      </c>
      <c r="AW251" s="9">
        <f>AS251/AL251-1</f>
        <v/>
      </c>
      <c r="AX251" s="14">
        <f>AS251/AJ251/12</f>
        <v/>
      </c>
      <c r="AY251" s="14">
        <f>AF251</f>
        <v/>
      </c>
      <c r="AZ251" s="39">
        <f>AX251-AF251</f>
        <v/>
      </c>
      <c r="BA251" s="14">
        <f>SUMIFS(Donnees_regimes!$S$3:$S$1118,Donnees_regimes!$A$3:$A$1118,C251,Donnees_regimes!$B$3:$B$1118,"&gt;="&amp;G251,Donnees_regimes!$B$3:$B$1118,"&lt;="&amp;N251)*L251/ROUNDUP(L251,0)*SUMIFS(Donnees_annuelles!$AH$3:$AH$188,Donnees_annuelles!$A$3:$A$188,AR251)*SUMIFS(Donnees_annuelles!$AA$3:$AA$188,Donnees_annuelles!$A$3:$A$188,AR251)</f>
        <v/>
      </c>
      <c r="BB251" s="39">
        <f>BA251-AL251</f>
        <v/>
      </c>
      <c r="BC251" s="7">
        <f>IF(M251+AJ251&gt;2026,IF(G251&gt;2026,"entièrement projeté","en partie projeté"),"observé")</f>
        <v/>
      </c>
    </row>
    <row r="252">
      <c r="A252" s="7" t="inlineStr">
        <is>
          <t>Génération Y</t>
        </is>
      </c>
      <c r="B252" s="84" t="inlineStr">
        <is>
          <t>Fonction publique territoriale et hospitalière</t>
        </is>
      </c>
      <c r="C252" s="7">
        <f>IF(G252&gt;=SUMIFS(Regimes!$C$5:$C$10,Regimes!$A$5:$A$10,B252),"Privé",B252)</f>
        <v/>
      </c>
      <c r="D252" s="7">
        <f>INDEX(Regimes!$D$5:$D$10,MATCH(C252,Regimes!$A$5:$A$10,0))</f>
        <v/>
      </c>
      <c r="E252" s="88" t="n">
        <v>1981</v>
      </c>
      <c r="F252" s="8">
        <f>Donnees_generations!C69</f>
        <v/>
      </c>
      <c r="G252" s="77">
        <f>Donnees_generations!D69</f>
        <v/>
      </c>
      <c r="H252" s="8">
        <f>SUMIFS(Donnees_generations!$S$3:$S$113,Donnees_generations!$A$3:$A$113,MAX(1915,MIN(2025,E252)))</f>
        <v/>
      </c>
      <c r="I252" s="8">
        <f>SUMIFS(Donnees_generations!$T$3:$T$113,Donnees_generations!$A$3:$A$113,MAX(1915,MIN(2025,E252)))</f>
        <v/>
      </c>
      <c r="J252" s="8">
        <f>IF(G252&gt;=2000,MAX(I252,Parametres!$B$3),I252)</f>
        <v/>
      </c>
      <c r="K252" s="8">
        <f>IF(C252="Privé",J252,SUMIFS(Regles_regimes!$J$3:$J$2000,Regles_regimes!$A$3:$A$2000,C252,Regles_regimes!$B$3:$B$2000,D252,Regles_regimes!$C$3:$C$2000,MAX(1915,MIN(2025,E252))))</f>
        <v/>
      </c>
      <c r="L252" s="8">
        <f>IF(C252="Privé",H252,(K252-F252)*H252/(J252-F252))</f>
        <v/>
      </c>
      <c r="M252" s="77">
        <f>INT(E252+K252)</f>
        <v/>
      </c>
      <c r="N252" s="77">
        <f>G252+ROUNDUP(L252,0)-1</f>
        <v/>
      </c>
      <c r="O252" s="89">
        <f>SUMIFS(Regles_regimes!$K$3:$K$2000,Regles_regimes!$A$3:$A$2000,C252,Regles_regimes!$B$3:$B$2000,D252,Regles_regimes!$C$3:$C$2000,MAX(1915,MIN(2025,E252)))</f>
        <v/>
      </c>
      <c r="P252" s="13">
        <f>SUMIFS(Donnees_annuelles!$W$3:$W$188,Donnees_annuelles!$A$3:$A$188,"&gt;="&amp;G252,Donnees_annuelles!$A$3:$A$188,"&lt;="&amp;N252)*L252/ROUNDUP(L252,0)*O252</f>
        <v/>
      </c>
      <c r="Q252" s="13">
        <f>SUMIFS(Donnees_annuelles!$V$3:$V$188,Donnees_annuelles!$A$3:$A$188,"&gt;="&amp;G252,Donnees_annuelles!$A$3:$A$188,"&lt;="&amp;N252)*L252/ROUNDUP(L252,0)</f>
        <v/>
      </c>
      <c r="R252" s="13">
        <f>P252/L252</f>
        <v/>
      </c>
      <c r="S252" s="14">
        <f>SUMIFS(Donnees_annuelles!$D$3:$D$188,Donnees_annuelles!$A$3:$A$188,"&gt;="&amp;G252,Donnees_annuelles!$A$3:$A$188,"&lt;="&amp;N252)*L252/ROUNDUP(L252,0)</f>
        <v/>
      </c>
      <c r="T252" s="14">
        <f>SUMIFS(Donnees_regimes!$N$3:$N$1118,Donnees_regimes!$A$3:$A$1118,C252,Donnees_regimes!$B$3:$B$1118,"&gt;="&amp;G252,Donnees_regimes!$B$3:$B$1118,"&lt;="&amp;N252)*L252/ROUNDUP(L252,0)</f>
        <v/>
      </c>
      <c r="U252" s="14">
        <f>SUMIFS(Donnees_regimes!$O$3:$O$1118,Donnees_regimes!$A$3:$A$1118,C252,Donnees_regimes!$B$3:$B$1118,"&gt;="&amp;G252,Donnees_regimes!$B$3:$B$1118,"&lt;="&amp;N252)*L252/ROUNDUP(L252,0)</f>
        <v/>
      </c>
      <c r="V252" s="14">
        <f>T252+U252</f>
        <v/>
      </c>
      <c r="W252" s="33">
        <f>V252/S252</f>
        <v/>
      </c>
      <c r="X252" s="14">
        <f>S252+U252</f>
        <v/>
      </c>
      <c r="Y252" s="17">
        <f>V252/P252</f>
        <v/>
      </c>
      <c r="Z252" s="14">
        <f>SUMIFS(Donnees_regimes!$Q$3:$Q$1118,Donnees_regimes!$A$3:$A$1118,C252,Donnees_regimes!$B$3:$B$1118,"&gt;="&amp;G252,Donnees_regimes!$B$3:$B$1118,"&lt;="&amp;N252)*L252/ROUNDUP(L252,0)</f>
        <v/>
      </c>
      <c r="AA252" s="77">
        <f>SUMIFS(Regles_regimes!$F$3:$F$2000,Regles_regimes!$A$3:$A$2000,C252,Regles_regimes!$B$3:$B$2000,D252,Regles_regimes!$C$3:$C$2000,MAX(1915,MIN(2025,E252)))</f>
        <v/>
      </c>
      <c r="AB252" s="77">
        <f>IF(AND(SUMIFS(Regles_regimes!$L$3:$L$2000,Regles_regimes!$A$3:$A$2000,C252,Regles_regimes!$B$3:$B$2000,D252,Regles_regimes!$C$3:$C$2000,MAX(1915,MIN(2025,E252)))=1,G252&lt;2009,C252&lt;&gt;"Privé"),MIN(20,L252*4/5),0)</f>
        <v/>
      </c>
      <c r="AC252" s="89">
        <f>SUMIFS(Donnees_regimes!$M$3:$M$1118,Donnees_regimes!$A$3:$A$1118,C252,Donnees_regimes!$B$3:$B$1118,M252)</f>
        <v/>
      </c>
      <c r="AD252" s="14">
        <f>SUMIFS(Donnees_annuelles!$Y$3:$Y$188,Donnees_annuelles!$A$3:$A$188,M252)*SUMIFS(Donnees_generations!$I$3:$I$113,Donnees_generations!$A$3:$A$113,MAX(1915,MIN(2025,E252)))/H252</f>
        <v/>
      </c>
      <c r="AE252" s="14">
        <f>IF(C252="Privé",SUMIFS(Donnees_annuelles!$Y$3:$Y$188,Donnees_annuelles!$A$3:$A$188,M252)*MIN(L252,SUMIFS(Donnees_generations!$I$3:$I$113,Donnees_generations!$A$3:$A$113,MAX(1915,MIN(2025,E252))))/L252,AD252*AC252*MIN(IF(AB252&gt;0,0.8/0.75,1),(L252*4+AB252)/AA252))</f>
        <v/>
      </c>
      <c r="AF252" s="14">
        <f>AE252/12</f>
        <v/>
      </c>
      <c r="AG252" s="77">
        <f>MIN(68,MAX(56,2*INT(K252/2)))</f>
        <v/>
      </c>
      <c r="AH252" s="75">
        <f>(CHOOSE((AG252-56)/2+1,SUMIFS(Donnees_generations!$U$3:$U$113,Donnees_generations!$A$3:$A$113,MAX(1915,MIN(2025,E252))),SUMIFS(Donnees_generations!$V$3:$V$113,Donnees_generations!$A$3:$A$113,MAX(1915,MIN(2025,E252))),SUMIFS(Donnees_generations!$W$3:$W$113,Donnees_generations!$A$3:$A$113,MAX(1915,MIN(2025,E252))),SUMIFS(Donnees_generations!$X$3:$X$113,Donnees_generations!$A$3:$A$113,MAX(1915,MIN(2025,E252))),SUMIFS(Donnees_generations!$Y$3:$Y$113,Donnees_generations!$A$3:$A$113,MAX(1915,MIN(2025,E252))),SUMIFS(Donnees_generations!$Z$3:$Z$113,Donnees_generations!$A$3:$A$113,MAX(1915,MIN(2025,E252))),SUMIFS(Donnees_generations!$AA$3:$AA$113,Donnees_generations!$A$3:$A$113,MAX(1915,MIN(2025,E252))),SUMIFS(Donnees_generations!$AB$3:$AB$113,Donnees_generations!$A$3:$A$113,MAX(1915,MIN(2025,E252))))+CHOOSE((AG252-56)/2+1,SUMIFS(Donnees_generations!$AC$3:$AC$113,Donnees_generations!$A$3:$A$113,MAX(1915,MIN(2025,E252))),SUMIFS(Donnees_generations!$AD$3:$AD$113,Donnees_generations!$A$3:$A$113,MAX(1915,MIN(2025,E252))),SUMIFS(Donnees_generations!$AE$3:$AE$113,Donnees_generations!$A$3:$A$113,MAX(1915,MIN(2025,E252))),SUMIFS(Donnees_generations!$AF$3:$AF$113,Donnees_generations!$A$3:$A$113,MAX(1915,MIN(2025,E252))),SUMIFS(Donnees_generations!$AG$3:$AG$113,Donnees_generations!$A$3:$A$113,MAX(1915,MIN(2025,E252))),SUMIFS(Donnees_generations!$AH$3:$AH$113,Donnees_generations!$A$3:$A$113,MAX(1915,MIN(2025,E252))),SUMIFS(Donnees_generations!$AI$3:$AI$113,Donnees_generations!$A$3:$A$113,MAX(1915,MIN(2025,E252))),SUMIFS(Donnees_generations!$AJ$3:$AJ$113,Donnees_generations!$A$3:$A$113,MAX(1915,MIN(2025,E252)))))/2</f>
        <v/>
      </c>
      <c r="AI252" s="75">
        <f>(CHOOSE(((AG252+2)-56)/2+1,SUMIFS(Donnees_generations!$U$3:$U$113,Donnees_generations!$A$3:$A$113,MAX(1915,MIN(2025,E252))),SUMIFS(Donnees_generations!$V$3:$V$113,Donnees_generations!$A$3:$A$113,MAX(1915,MIN(2025,E252))),SUMIFS(Donnees_generations!$W$3:$W$113,Donnees_generations!$A$3:$A$113,MAX(1915,MIN(2025,E252))),SUMIFS(Donnees_generations!$X$3:$X$113,Donnees_generations!$A$3:$A$113,MAX(1915,MIN(2025,E252))),SUMIFS(Donnees_generations!$Y$3:$Y$113,Donnees_generations!$A$3:$A$113,MAX(1915,MIN(2025,E252))),SUMIFS(Donnees_generations!$Z$3:$Z$113,Donnees_generations!$A$3:$A$113,MAX(1915,MIN(2025,E252))),SUMIFS(Donnees_generations!$AA$3:$AA$113,Donnees_generations!$A$3:$A$113,MAX(1915,MIN(2025,E252))),SUMIFS(Donnees_generations!$AB$3:$AB$113,Donnees_generations!$A$3:$A$113,MAX(1915,MIN(2025,E252))))+CHOOSE(((AG252+2)-56)/2+1,SUMIFS(Donnees_generations!$AC$3:$AC$113,Donnees_generations!$A$3:$A$113,MAX(1915,MIN(2025,E252))),SUMIFS(Donnees_generations!$AD$3:$AD$113,Donnees_generations!$A$3:$A$113,MAX(1915,MIN(2025,E252))),SUMIFS(Donnees_generations!$AE$3:$AE$113,Donnees_generations!$A$3:$A$113,MAX(1915,MIN(2025,E252))),SUMIFS(Donnees_generations!$AF$3:$AF$113,Donnees_generations!$A$3:$A$113,MAX(1915,MIN(2025,E252))),SUMIFS(Donnees_generations!$AG$3:$AG$113,Donnees_generations!$A$3:$A$113,MAX(1915,MIN(2025,E252))),SUMIFS(Donnees_generations!$AH$3:$AH$113,Donnees_generations!$A$3:$A$113,MAX(1915,MIN(2025,E252))),SUMIFS(Donnees_generations!$AI$3:$AI$113,Donnees_generations!$A$3:$A$113,MAX(1915,MIN(2025,E252))),SUMIFS(Donnees_generations!$AJ$3:$AJ$113,Donnees_generations!$A$3:$A$113,MAX(1915,MIN(2025,E252)))))/2</f>
        <v/>
      </c>
      <c r="AJ252" s="8">
        <f>MAX(0,AH252+(AI252-AH252)*(K252-AG252)/2)</f>
        <v/>
      </c>
      <c r="AK252" s="8">
        <f>K252+AJ252</f>
        <v/>
      </c>
      <c r="AL252" s="14">
        <f>AE252*AJ252</f>
        <v/>
      </c>
      <c r="AM252" s="17">
        <f>V252/AL252</f>
        <v/>
      </c>
      <c r="AN252" s="17">
        <f>Z252/AL252</f>
        <v/>
      </c>
      <c r="AO252" s="33">
        <f>IF(V252+Z252=0,0,Z252/(V252+Z252))</f>
        <v/>
      </c>
      <c r="AP252" s="14">
        <f>AL252/V252*100</f>
        <v/>
      </c>
      <c r="AQ252" s="8">
        <f>P252/AL252*1000</f>
        <v/>
      </c>
      <c r="AR252" s="77">
        <f>MAX(N252,M252-1)</f>
        <v/>
      </c>
      <c r="AS252" s="14">
        <f>SUMIFS(Donnees_regimes!$R$3:$R$1118,Donnees_regimes!$A$3:$A$1118,C252,Donnees_regimes!$B$3:$B$1118,"&gt;="&amp;G252,Donnees_regimes!$B$3:$B$1118,"&lt;="&amp;N252)*L252/ROUNDUP(L252,0)*SUMIFS(Donnees_annuelles!$AG$3:$AG$188,Donnees_annuelles!$A$3:$A$188,AR252)*SUMIFS(Donnees_annuelles!$AA$3:$AA$188,Donnees_annuelles!$A$3:$A$188,AR252)</f>
        <v/>
      </c>
      <c r="AT252" s="36">
        <f>AS252/V252</f>
        <v/>
      </c>
      <c r="AU252" s="14">
        <f>AL252</f>
        <v/>
      </c>
      <c r="AV252" s="39">
        <f>AS252-AL252</f>
        <v/>
      </c>
      <c r="AW252" s="9">
        <f>AS252/AL252-1</f>
        <v/>
      </c>
      <c r="AX252" s="14">
        <f>AS252/AJ252/12</f>
        <v/>
      </c>
      <c r="AY252" s="14">
        <f>AF252</f>
        <v/>
      </c>
      <c r="AZ252" s="39">
        <f>AX252-AF252</f>
        <v/>
      </c>
      <c r="BA252" s="14">
        <f>SUMIFS(Donnees_regimes!$S$3:$S$1118,Donnees_regimes!$A$3:$A$1118,C252,Donnees_regimes!$B$3:$B$1118,"&gt;="&amp;G252,Donnees_regimes!$B$3:$B$1118,"&lt;="&amp;N252)*L252/ROUNDUP(L252,0)*SUMIFS(Donnees_annuelles!$AH$3:$AH$188,Donnees_annuelles!$A$3:$A$188,AR252)*SUMIFS(Donnees_annuelles!$AA$3:$AA$188,Donnees_annuelles!$A$3:$A$188,AR252)</f>
        <v/>
      </c>
      <c r="BB252" s="39">
        <f>BA252-AL252</f>
        <v/>
      </c>
      <c r="BC252" s="7">
        <f>IF(M252+AJ252&gt;2026,IF(G252&gt;2026,"entièrement projeté","en partie projeté"),"observé")</f>
        <v/>
      </c>
    </row>
    <row r="253">
      <c r="A253" s="7" t="inlineStr">
        <is>
          <t>Génération Y</t>
        </is>
      </c>
      <c r="B253" s="84" t="inlineStr">
        <is>
          <t>Fonction publique territoriale et hospitalière</t>
        </is>
      </c>
      <c r="C253" s="7">
        <f>IF(G253&gt;=SUMIFS(Regimes!$C$5:$C$10,Regimes!$A$5:$A$10,B253),"Privé",B253)</f>
        <v/>
      </c>
      <c r="D253" s="7">
        <f>INDEX(Regimes!$D$5:$D$10,MATCH(C253,Regimes!$A$5:$A$10,0))</f>
        <v/>
      </c>
      <c r="E253" s="88" t="n">
        <v>1982</v>
      </c>
      <c r="F253" s="8">
        <f>Donnees_generations!C70</f>
        <v/>
      </c>
      <c r="G253" s="77">
        <f>Donnees_generations!D70</f>
        <v/>
      </c>
      <c r="H253" s="8">
        <f>SUMIFS(Donnees_generations!$S$3:$S$113,Donnees_generations!$A$3:$A$113,MAX(1915,MIN(2025,E253)))</f>
        <v/>
      </c>
      <c r="I253" s="8">
        <f>SUMIFS(Donnees_generations!$T$3:$T$113,Donnees_generations!$A$3:$A$113,MAX(1915,MIN(2025,E253)))</f>
        <v/>
      </c>
      <c r="J253" s="8">
        <f>IF(G253&gt;=2000,MAX(I253,Parametres!$B$3),I253)</f>
        <v/>
      </c>
      <c r="K253" s="8">
        <f>IF(C253="Privé",J253,SUMIFS(Regles_regimes!$J$3:$J$2000,Regles_regimes!$A$3:$A$2000,C253,Regles_regimes!$B$3:$B$2000,D253,Regles_regimes!$C$3:$C$2000,MAX(1915,MIN(2025,E253))))</f>
        <v/>
      </c>
      <c r="L253" s="8">
        <f>IF(C253="Privé",H253,(K253-F253)*H253/(J253-F253))</f>
        <v/>
      </c>
      <c r="M253" s="77">
        <f>INT(E253+K253)</f>
        <v/>
      </c>
      <c r="N253" s="77">
        <f>G253+ROUNDUP(L253,0)-1</f>
        <v/>
      </c>
      <c r="O253" s="89">
        <f>SUMIFS(Regles_regimes!$K$3:$K$2000,Regles_regimes!$A$3:$A$2000,C253,Regles_regimes!$B$3:$B$2000,D253,Regles_regimes!$C$3:$C$2000,MAX(1915,MIN(2025,E253)))</f>
        <v/>
      </c>
      <c r="P253" s="13">
        <f>SUMIFS(Donnees_annuelles!$W$3:$W$188,Donnees_annuelles!$A$3:$A$188,"&gt;="&amp;G253,Donnees_annuelles!$A$3:$A$188,"&lt;="&amp;N253)*L253/ROUNDUP(L253,0)*O253</f>
        <v/>
      </c>
      <c r="Q253" s="13">
        <f>SUMIFS(Donnees_annuelles!$V$3:$V$188,Donnees_annuelles!$A$3:$A$188,"&gt;="&amp;G253,Donnees_annuelles!$A$3:$A$188,"&lt;="&amp;N253)*L253/ROUNDUP(L253,0)</f>
        <v/>
      </c>
      <c r="R253" s="13">
        <f>P253/L253</f>
        <v/>
      </c>
      <c r="S253" s="14">
        <f>SUMIFS(Donnees_annuelles!$D$3:$D$188,Donnees_annuelles!$A$3:$A$188,"&gt;="&amp;G253,Donnees_annuelles!$A$3:$A$188,"&lt;="&amp;N253)*L253/ROUNDUP(L253,0)</f>
        <v/>
      </c>
      <c r="T253" s="14">
        <f>SUMIFS(Donnees_regimes!$N$3:$N$1118,Donnees_regimes!$A$3:$A$1118,C253,Donnees_regimes!$B$3:$B$1118,"&gt;="&amp;G253,Donnees_regimes!$B$3:$B$1118,"&lt;="&amp;N253)*L253/ROUNDUP(L253,0)</f>
        <v/>
      </c>
      <c r="U253" s="14">
        <f>SUMIFS(Donnees_regimes!$O$3:$O$1118,Donnees_regimes!$A$3:$A$1118,C253,Donnees_regimes!$B$3:$B$1118,"&gt;="&amp;G253,Donnees_regimes!$B$3:$B$1118,"&lt;="&amp;N253)*L253/ROUNDUP(L253,0)</f>
        <v/>
      </c>
      <c r="V253" s="14">
        <f>T253+U253</f>
        <v/>
      </c>
      <c r="W253" s="33">
        <f>V253/S253</f>
        <v/>
      </c>
      <c r="X253" s="14">
        <f>S253+U253</f>
        <v/>
      </c>
      <c r="Y253" s="17">
        <f>V253/P253</f>
        <v/>
      </c>
      <c r="Z253" s="14">
        <f>SUMIFS(Donnees_regimes!$Q$3:$Q$1118,Donnees_regimes!$A$3:$A$1118,C253,Donnees_regimes!$B$3:$B$1118,"&gt;="&amp;G253,Donnees_regimes!$B$3:$B$1118,"&lt;="&amp;N253)*L253/ROUNDUP(L253,0)</f>
        <v/>
      </c>
      <c r="AA253" s="77">
        <f>SUMIFS(Regles_regimes!$F$3:$F$2000,Regles_regimes!$A$3:$A$2000,C253,Regles_regimes!$B$3:$B$2000,D253,Regles_regimes!$C$3:$C$2000,MAX(1915,MIN(2025,E253)))</f>
        <v/>
      </c>
      <c r="AB253" s="77">
        <f>IF(AND(SUMIFS(Regles_regimes!$L$3:$L$2000,Regles_regimes!$A$3:$A$2000,C253,Regles_regimes!$B$3:$B$2000,D253,Regles_regimes!$C$3:$C$2000,MAX(1915,MIN(2025,E253)))=1,G253&lt;2009,C253&lt;&gt;"Privé"),MIN(20,L253*4/5),0)</f>
        <v/>
      </c>
      <c r="AC253" s="89">
        <f>SUMIFS(Donnees_regimes!$M$3:$M$1118,Donnees_regimes!$A$3:$A$1118,C253,Donnees_regimes!$B$3:$B$1118,M253)</f>
        <v/>
      </c>
      <c r="AD253" s="14">
        <f>SUMIFS(Donnees_annuelles!$Y$3:$Y$188,Donnees_annuelles!$A$3:$A$188,M253)*SUMIFS(Donnees_generations!$I$3:$I$113,Donnees_generations!$A$3:$A$113,MAX(1915,MIN(2025,E253)))/H253</f>
        <v/>
      </c>
      <c r="AE253" s="14">
        <f>IF(C253="Privé",SUMIFS(Donnees_annuelles!$Y$3:$Y$188,Donnees_annuelles!$A$3:$A$188,M253)*MIN(L253,SUMIFS(Donnees_generations!$I$3:$I$113,Donnees_generations!$A$3:$A$113,MAX(1915,MIN(2025,E253))))/L253,AD253*AC253*MIN(IF(AB253&gt;0,0.8/0.75,1),(L253*4+AB253)/AA253))</f>
        <v/>
      </c>
      <c r="AF253" s="14">
        <f>AE253/12</f>
        <v/>
      </c>
      <c r="AG253" s="77">
        <f>MIN(68,MAX(56,2*INT(K253/2)))</f>
        <v/>
      </c>
      <c r="AH253" s="75">
        <f>(CHOOSE((AG253-56)/2+1,SUMIFS(Donnees_generations!$U$3:$U$113,Donnees_generations!$A$3:$A$113,MAX(1915,MIN(2025,E253))),SUMIFS(Donnees_generations!$V$3:$V$113,Donnees_generations!$A$3:$A$113,MAX(1915,MIN(2025,E253))),SUMIFS(Donnees_generations!$W$3:$W$113,Donnees_generations!$A$3:$A$113,MAX(1915,MIN(2025,E253))),SUMIFS(Donnees_generations!$X$3:$X$113,Donnees_generations!$A$3:$A$113,MAX(1915,MIN(2025,E253))),SUMIFS(Donnees_generations!$Y$3:$Y$113,Donnees_generations!$A$3:$A$113,MAX(1915,MIN(2025,E253))),SUMIFS(Donnees_generations!$Z$3:$Z$113,Donnees_generations!$A$3:$A$113,MAX(1915,MIN(2025,E253))),SUMIFS(Donnees_generations!$AA$3:$AA$113,Donnees_generations!$A$3:$A$113,MAX(1915,MIN(2025,E253))),SUMIFS(Donnees_generations!$AB$3:$AB$113,Donnees_generations!$A$3:$A$113,MAX(1915,MIN(2025,E253))))+CHOOSE((AG253-56)/2+1,SUMIFS(Donnees_generations!$AC$3:$AC$113,Donnees_generations!$A$3:$A$113,MAX(1915,MIN(2025,E253))),SUMIFS(Donnees_generations!$AD$3:$AD$113,Donnees_generations!$A$3:$A$113,MAX(1915,MIN(2025,E253))),SUMIFS(Donnees_generations!$AE$3:$AE$113,Donnees_generations!$A$3:$A$113,MAX(1915,MIN(2025,E253))),SUMIFS(Donnees_generations!$AF$3:$AF$113,Donnees_generations!$A$3:$A$113,MAX(1915,MIN(2025,E253))),SUMIFS(Donnees_generations!$AG$3:$AG$113,Donnees_generations!$A$3:$A$113,MAX(1915,MIN(2025,E253))),SUMIFS(Donnees_generations!$AH$3:$AH$113,Donnees_generations!$A$3:$A$113,MAX(1915,MIN(2025,E253))),SUMIFS(Donnees_generations!$AI$3:$AI$113,Donnees_generations!$A$3:$A$113,MAX(1915,MIN(2025,E253))),SUMIFS(Donnees_generations!$AJ$3:$AJ$113,Donnees_generations!$A$3:$A$113,MAX(1915,MIN(2025,E253)))))/2</f>
        <v/>
      </c>
      <c r="AI253" s="75">
        <f>(CHOOSE(((AG253+2)-56)/2+1,SUMIFS(Donnees_generations!$U$3:$U$113,Donnees_generations!$A$3:$A$113,MAX(1915,MIN(2025,E253))),SUMIFS(Donnees_generations!$V$3:$V$113,Donnees_generations!$A$3:$A$113,MAX(1915,MIN(2025,E253))),SUMIFS(Donnees_generations!$W$3:$W$113,Donnees_generations!$A$3:$A$113,MAX(1915,MIN(2025,E253))),SUMIFS(Donnees_generations!$X$3:$X$113,Donnees_generations!$A$3:$A$113,MAX(1915,MIN(2025,E253))),SUMIFS(Donnees_generations!$Y$3:$Y$113,Donnees_generations!$A$3:$A$113,MAX(1915,MIN(2025,E253))),SUMIFS(Donnees_generations!$Z$3:$Z$113,Donnees_generations!$A$3:$A$113,MAX(1915,MIN(2025,E253))),SUMIFS(Donnees_generations!$AA$3:$AA$113,Donnees_generations!$A$3:$A$113,MAX(1915,MIN(2025,E253))),SUMIFS(Donnees_generations!$AB$3:$AB$113,Donnees_generations!$A$3:$A$113,MAX(1915,MIN(2025,E253))))+CHOOSE(((AG253+2)-56)/2+1,SUMIFS(Donnees_generations!$AC$3:$AC$113,Donnees_generations!$A$3:$A$113,MAX(1915,MIN(2025,E253))),SUMIFS(Donnees_generations!$AD$3:$AD$113,Donnees_generations!$A$3:$A$113,MAX(1915,MIN(2025,E253))),SUMIFS(Donnees_generations!$AE$3:$AE$113,Donnees_generations!$A$3:$A$113,MAX(1915,MIN(2025,E253))),SUMIFS(Donnees_generations!$AF$3:$AF$113,Donnees_generations!$A$3:$A$113,MAX(1915,MIN(2025,E253))),SUMIFS(Donnees_generations!$AG$3:$AG$113,Donnees_generations!$A$3:$A$113,MAX(1915,MIN(2025,E253))),SUMIFS(Donnees_generations!$AH$3:$AH$113,Donnees_generations!$A$3:$A$113,MAX(1915,MIN(2025,E253))),SUMIFS(Donnees_generations!$AI$3:$AI$113,Donnees_generations!$A$3:$A$113,MAX(1915,MIN(2025,E253))),SUMIFS(Donnees_generations!$AJ$3:$AJ$113,Donnees_generations!$A$3:$A$113,MAX(1915,MIN(2025,E253)))))/2</f>
        <v/>
      </c>
      <c r="AJ253" s="8">
        <f>MAX(0,AH253+(AI253-AH253)*(K253-AG253)/2)</f>
        <v/>
      </c>
      <c r="AK253" s="8">
        <f>K253+AJ253</f>
        <v/>
      </c>
      <c r="AL253" s="14">
        <f>AE253*AJ253</f>
        <v/>
      </c>
      <c r="AM253" s="17">
        <f>V253/AL253</f>
        <v/>
      </c>
      <c r="AN253" s="17">
        <f>Z253/AL253</f>
        <v/>
      </c>
      <c r="AO253" s="33">
        <f>IF(V253+Z253=0,0,Z253/(V253+Z253))</f>
        <v/>
      </c>
      <c r="AP253" s="14">
        <f>AL253/V253*100</f>
        <v/>
      </c>
      <c r="AQ253" s="8">
        <f>P253/AL253*1000</f>
        <v/>
      </c>
      <c r="AR253" s="77">
        <f>MAX(N253,M253-1)</f>
        <v/>
      </c>
      <c r="AS253" s="14">
        <f>SUMIFS(Donnees_regimes!$R$3:$R$1118,Donnees_regimes!$A$3:$A$1118,C253,Donnees_regimes!$B$3:$B$1118,"&gt;="&amp;G253,Donnees_regimes!$B$3:$B$1118,"&lt;="&amp;N253)*L253/ROUNDUP(L253,0)*SUMIFS(Donnees_annuelles!$AG$3:$AG$188,Donnees_annuelles!$A$3:$A$188,AR253)*SUMIFS(Donnees_annuelles!$AA$3:$AA$188,Donnees_annuelles!$A$3:$A$188,AR253)</f>
        <v/>
      </c>
      <c r="AT253" s="36">
        <f>AS253/V253</f>
        <v/>
      </c>
      <c r="AU253" s="14">
        <f>AL253</f>
        <v/>
      </c>
      <c r="AV253" s="39">
        <f>AS253-AL253</f>
        <v/>
      </c>
      <c r="AW253" s="9">
        <f>AS253/AL253-1</f>
        <v/>
      </c>
      <c r="AX253" s="14">
        <f>AS253/AJ253/12</f>
        <v/>
      </c>
      <c r="AY253" s="14">
        <f>AF253</f>
        <v/>
      </c>
      <c r="AZ253" s="39">
        <f>AX253-AF253</f>
        <v/>
      </c>
      <c r="BA253" s="14">
        <f>SUMIFS(Donnees_regimes!$S$3:$S$1118,Donnees_regimes!$A$3:$A$1118,C253,Donnees_regimes!$B$3:$B$1118,"&gt;="&amp;G253,Donnees_regimes!$B$3:$B$1118,"&lt;="&amp;N253)*L253/ROUNDUP(L253,0)*SUMIFS(Donnees_annuelles!$AH$3:$AH$188,Donnees_annuelles!$A$3:$A$188,AR253)*SUMIFS(Donnees_annuelles!$AA$3:$AA$188,Donnees_annuelles!$A$3:$A$188,AR253)</f>
        <v/>
      </c>
      <c r="BB253" s="39">
        <f>BA253-AL253</f>
        <v/>
      </c>
      <c r="BC253" s="7">
        <f>IF(M253+AJ253&gt;2026,IF(G253&gt;2026,"entièrement projeté","en partie projeté"),"observé")</f>
        <v/>
      </c>
    </row>
    <row r="254">
      <c r="A254" s="7" t="inlineStr">
        <is>
          <t>Génération Y</t>
        </is>
      </c>
      <c r="B254" s="84" t="inlineStr">
        <is>
          <t>Fonction publique territoriale et hospitalière</t>
        </is>
      </c>
      <c r="C254" s="7">
        <f>IF(G254&gt;=SUMIFS(Regimes!$C$5:$C$10,Regimes!$A$5:$A$10,B254),"Privé",B254)</f>
        <v/>
      </c>
      <c r="D254" s="7">
        <f>INDEX(Regimes!$D$5:$D$10,MATCH(C254,Regimes!$A$5:$A$10,0))</f>
        <v/>
      </c>
      <c r="E254" s="88" t="n">
        <v>1983</v>
      </c>
      <c r="F254" s="8">
        <f>Donnees_generations!C71</f>
        <v/>
      </c>
      <c r="G254" s="77">
        <f>Donnees_generations!D71</f>
        <v/>
      </c>
      <c r="H254" s="8">
        <f>SUMIFS(Donnees_generations!$S$3:$S$113,Donnees_generations!$A$3:$A$113,MAX(1915,MIN(2025,E254)))</f>
        <v/>
      </c>
      <c r="I254" s="8">
        <f>SUMIFS(Donnees_generations!$T$3:$T$113,Donnees_generations!$A$3:$A$113,MAX(1915,MIN(2025,E254)))</f>
        <v/>
      </c>
      <c r="J254" s="8">
        <f>IF(G254&gt;=2000,MAX(I254,Parametres!$B$3),I254)</f>
        <v/>
      </c>
      <c r="K254" s="8">
        <f>IF(C254="Privé",J254,SUMIFS(Regles_regimes!$J$3:$J$2000,Regles_regimes!$A$3:$A$2000,C254,Regles_regimes!$B$3:$B$2000,D254,Regles_regimes!$C$3:$C$2000,MAX(1915,MIN(2025,E254))))</f>
        <v/>
      </c>
      <c r="L254" s="8">
        <f>IF(C254="Privé",H254,(K254-F254)*H254/(J254-F254))</f>
        <v/>
      </c>
      <c r="M254" s="77">
        <f>INT(E254+K254)</f>
        <v/>
      </c>
      <c r="N254" s="77">
        <f>G254+ROUNDUP(L254,0)-1</f>
        <v/>
      </c>
      <c r="O254" s="89">
        <f>SUMIFS(Regles_regimes!$K$3:$K$2000,Regles_regimes!$A$3:$A$2000,C254,Regles_regimes!$B$3:$B$2000,D254,Regles_regimes!$C$3:$C$2000,MAX(1915,MIN(2025,E254)))</f>
        <v/>
      </c>
      <c r="P254" s="13">
        <f>SUMIFS(Donnees_annuelles!$W$3:$W$188,Donnees_annuelles!$A$3:$A$188,"&gt;="&amp;G254,Donnees_annuelles!$A$3:$A$188,"&lt;="&amp;N254)*L254/ROUNDUP(L254,0)*O254</f>
        <v/>
      </c>
      <c r="Q254" s="13">
        <f>SUMIFS(Donnees_annuelles!$V$3:$V$188,Donnees_annuelles!$A$3:$A$188,"&gt;="&amp;G254,Donnees_annuelles!$A$3:$A$188,"&lt;="&amp;N254)*L254/ROUNDUP(L254,0)</f>
        <v/>
      </c>
      <c r="R254" s="13">
        <f>P254/L254</f>
        <v/>
      </c>
      <c r="S254" s="14">
        <f>SUMIFS(Donnees_annuelles!$D$3:$D$188,Donnees_annuelles!$A$3:$A$188,"&gt;="&amp;G254,Donnees_annuelles!$A$3:$A$188,"&lt;="&amp;N254)*L254/ROUNDUP(L254,0)</f>
        <v/>
      </c>
      <c r="T254" s="14">
        <f>SUMIFS(Donnees_regimes!$N$3:$N$1118,Donnees_regimes!$A$3:$A$1118,C254,Donnees_regimes!$B$3:$B$1118,"&gt;="&amp;G254,Donnees_regimes!$B$3:$B$1118,"&lt;="&amp;N254)*L254/ROUNDUP(L254,0)</f>
        <v/>
      </c>
      <c r="U254" s="14">
        <f>SUMIFS(Donnees_regimes!$O$3:$O$1118,Donnees_regimes!$A$3:$A$1118,C254,Donnees_regimes!$B$3:$B$1118,"&gt;="&amp;G254,Donnees_regimes!$B$3:$B$1118,"&lt;="&amp;N254)*L254/ROUNDUP(L254,0)</f>
        <v/>
      </c>
      <c r="V254" s="14">
        <f>T254+U254</f>
        <v/>
      </c>
      <c r="W254" s="33">
        <f>V254/S254</f>
        <v/>
      </c>
      <c r="X254" s="14">
        <f>S254+U254</f>
        <v/>
      </c>
      <c r="Y254" s="17">
        <f>V254/P254</f>
        <v/>
      </c>
      <c r="Z254" s="14">
        <f>SUMIFS(Donnees_regimes!$Q$3:$Q$1118,Donnees_regimes!$A$3:$A$1118,C254,Donnees_regimes!$B$3:$B$1118,"&gt;="&amp;G254,Donnees_regimes!$B$3:$B$1118,"&lt;="&amp;N254)*L254/ROUNDUP(L254,0)</f>
        <v/>
      </c>
      <c r="AA254" s="77">
        <f>SUMIFS(Regles_regimes!$F$3:$F$2000,Regles_regimes!$A$3:$A$2000,C254,Regles_regimes!$B$3:$B$2000,D254,Regles_regimes!$C$3:$C$2000,MAX(1915,MIN(2025,E254)))</f>
        <v/>
      </c>
      <c r="AB254" s="77">
        <f>IF(AND(SUMIFS(Regles_regimes!$L$3:$L$2000,Regles_regimes!$A$3:$A$2000,C254,Regles_regimes!$B$3:$B$2000,D254,Regles_regimes!$C$3:$C$2000,MAX(1915,MIN(2025,E254)))=1,G254&lt;2009,C254&lt;&gt;"Privé"),MIN(20,L254*4/5),0)</f>
        <v/>
      </c>
      <c r="AC254" s="89">
        <f>SUMIFS(Donnees_regimes!$M$3:$M$1118,Donnees_regimes!$A$3:$A$1118,C254,Donnees_regimes!$B$3:$B$1118,M254)</f>
        <v/>
      </c>
      <c r="AD254" s="14">
        <f>SUMIFS(Donnees_annuelles!$Y$3:$Y$188,Donnees_annuelles!$A$3:$A$188,M254)*SUMIFS(Donnees_generations!$I$3:$I$113,Donnees_generations!$A$3:$A$113,MAX(1915,MIN(2025,E254)))/H254</f>
        <v/>
      </c>
      <c r="AE254" s="14">
        <f>IF(C254="Privé",SUMIFS(Donnees_annuelles!$Y$3:$Y$188,Donnees_annuelles!$A$3:$A$188,M254)*MIN(L254,SUMIFS(Donnees_generations!$I$3:$I$113,Donnees_generations!$A$3:$A$113,MAX(1915,MIN(2025,E254))))/L254,AD254*AC254*MIN(IF(AB254&gt;0,0.8/0.75,1),(L254*4+AB254)/AA254))</f>
        <v/>
      </c>
      <c r="AF254" s="14">
        <f>AE254/12</f>
        <v/>
      </c>
      <c r="AG254" s="77">
        <f>MIN(68,MAX(56,2*INT(K254/2)))</f>
        <v/>
      </c>
      <c r="AH254" s="75">
        <f>(CHOOSE((AG254-56)/2+1,SUMIFS(Donnees_generations!$U$3:$U$113,Donnees_generations!$A$3:$A$113,MAX(1915,MIN(2025,E254))),SUMIFS(Donnees_generations!$V$3:$V$113,Donnees_generations!$A$3:$A$113,MAX(1915,MIN(2025,E254))),SUMIFS(Donnees_generations!$W$3:$W$113,Donnees_generations!$A$3:$A$113,MAX(1915,MIN(2025,E254))),SUMIFS(Donnees_generations!$X$3:$X$113,Donnees_generations!$A$3:$A$113,MAX(1915,MIN(2025,E254))),SUMIFS(Donnees_generations!$Y$3:$Y$113,Donnees_generations!$A$3:$A$113,MAX(1915,MIN(2025,E254))),SUMIFS(Donnees_generations!$Z$3:$Z$113,Donnees_generations!$A$3:$A$113,MAX(1915,MIN(2025,E254))),SUMIFS(Donnees_generations!$AA$3:$AA$113,Donnees_generations!$A$3:$A$113,MAX(1915,MIN(2025,E254))),SUMIFS(Donnees_generations!$AB$3:$AB$113,Donnees_generations!$A$3:$A$113,MAX(1915,MIN(2025,E254))))+CHOOSE((AG254-56)/2+1,SUMIFS(Donnees_generations!$AC$3:$AC$113,Donnees_generations!$A$3:$A$113,MAX(1915,MIN(2025,E254))),SUMIFS(Donnees_generations!$AD$3:$AD$113,Donnees_generations!$A$3:$A$113,MAX(1915,MIN(2025,E254))),SUMIFS(Donnees_generations!$AE$3:$AE$113,Donnees_generations!$A$3:$A$113,MAX(1915,MIN(2025,E254))),SUMIFS(Donnees_generations!$AF$3:$AF$113,Donnees_generations!$A$3:$A$113,MAX(1915,MIN(2025,E254))),SUMIFS(Donnees_generations!$AG$3:$AG$113,Donnees_generations!$A$3:$A$113,MAX(1915,MIN(2025,E254))),SUMIFS(Donnees_generations!$AH$3:$AH$113,Donnees_generations!$A$3:$A$113,MAX(1915,MIN(2025,E254))),SUMIFS(Donnees_generations!$AI$3:$AI$113,Donnees_generations!$A$3:$A$113,MAX(1915,MIN(2025,E254))),SUMIFS(Donnees_generations!$AJ$3:$AJ$113,Donnees_generations!$A$3:$A$113,MAX(1915,MIN(2025,E254)))))/2</f>
        <v/>
      </c>
      <c r="AI254" s="75">
        <f>(CHOOSE(((AG254+2)-56)/2+1,SUMIFS(Donnees_generations!$U$3:$U$113,Donnees_generations!$A$3:$A$113,MAX(1915,MIN(2025,E254))),SUMIFS(Donnees_generations!$V$3:$V$113,Donnees_generations!$A$3:$A$113,MAX(1915,MIN(2025,E254))),SUMIFS(Donnees_generations!$W$3:$W$113,Donnees_generations!$A$3:$A$113,MAX(1915,MIN(2025,E254))),SUMIFS(Donnees_generations!$X$3:$X$113,Donnees_generations!$A$3:$A$113,MAX(1915,MIN(2025,E254))),SUMIFS(Donnees_generations!$Y$3:$Y$113,Donnees_generations!$A$3:$A$113,MAX(1915,MIN(2025,E254))),SUMIFS(Donnees_generations!$Z$3:$Z$113,Donnees_generations!$A$3:$A$113,MAX(1915,MIN(2025,E254))),SUMIFS(Donnees_generations!$AA$3:$AA$113,Donnees_generations!$A$3:$A$113,MAX(1915,MIN(2025,E254))),SUMIFS(Donnees_generations!$AB$3:$AB$113,Donnees_generations!$A$3:$A$113,MAX(1915,MIN(2025,E254))))+CHOOSE(((AG254+2)-56)/2+1,SUMIFS(Donnees_generations!$AC$3:$AC$113,Donnees_generations!$A$3:$A$113,MAX(1915,MIN(2025,E254))),SUMIFS(Donnees_generations!$AD$3:$AD$113,Donnees_generations!$A$3:$A$113,MAX(1915,MIN(2025,E254))),SUMIFS(Donnees_generations!$AE$3:$AE$113,Donnees_generations!$A$3:$A$113,MAX(1915,MIN(2025,E254))),SUMIFS(Donnees_generations!$AF$3:$AF$113,Donnees_generations!$A$3:$A$113,MAX(1915,MIN(2025,E254))),SUMIFS(Donnees_generations!$AG$3:$AG$113,Donnees_generations!$A$3:$A$113,MAX(1915,MIN(2025,E254))),SUMIFS(Donnees_generations!$AH$3:$AH$113,Donnees_generations!$A$3:$A$113,MAX(1915,MIN(2025,E254))),SUMIFS(Donnees_generations!$AI$3:$AI$113,Donnees_generations!$A$3:$A$113,MAX(1915,MIN(2025,E254))),SUMIFS(Donnees_generations!$AJ$3:$AJ$113,Donnees_generations!$A$3:$A$113,MAX(1915,MIN(2025,E254)))))/2</f>
        <v/>
      </c>
      <c r="AJ254" s="8">
        <f>MAX(0,AH254+(AI254-AH254)*(K254-AG254)/2)</f>
        <v/>
      </c>
      <c r="AK254" s="8">
        <f>K254+AJ254</f>
        <v/>
      </c>
      <c r="AL254" s="14">
        <f>AE254*AJ254</f>
        <v/>
      </c>
      <c r="AM254" s="17">
        <f>V254/AL254</f>
        <v/>
      </c>
      <c r="AN254" s="17">
        <f>Z254/AL254</f>
        <v/>
      </c>
      <c r="AO254" s="33">
        <f>IF(V254+Z254=0,0,Z254/(V254+Z254))</f>
        <v/>
      </c>
      <c r="AP254" s="14">
        <f>AL254/V254*100</f>
        <v/>
      </c>
      <c r="AQ254" s="8">
        <f>P254/AL254*1000</f>
        <v/>
      </c>
      <c r="AR254" s="77">
        <f>MAX(N254,M254-1)</f>
        <v/>
      </c>
      <c r="AS254" s="14">
        <f>SUMIFS(Donnees_regimes!$R$3:$R$1118,Donnees_regimes!$A$3:$A$1118,C254,Donnees_regimes!$B$3:$B$1118,"&gt;="&amp;G254,Donnees_regimes!$B$3:$B$1118,"&lt;="&amp;N254)*L254/ROUNDUP(L254,0)*SUMIFS(Donnees_annuelles!$AG$3:$AG$188,Donnees_annuelles!$A$3:$A$188,AR254)*SUMIFS(Donnees_annuelles!$AA$3:$AA$188,Donnees_annuelles!$A$3:$A$188,AR254)</f>
        <v/>
      </c>
      <c r="AT254" s="36">
        <f>AS254/V254</f>
        <v/>
      </c>
      <c r="AU254" s="14">
        <f>AL254</f>
        <v/>
      </c>
      <c r="AV254" s="39">
        <f>AS254-AL254</f>
        <v/>
      </c>
      <c r="AW254" s="9">
        <f>AS254/AL254-1</f>
        <v/>
      </c>
      <c r="AX254" s="14">
        <f>AS254/AJ254/12</f>
        <v/>
      </c>
      <c r="AY254" s="14">
        <f>AF254</f>
        <v/>
      </c>
      <c r="AZ254" s="39">
        <f>AX254-AF254</f>
        <v/>
      </c>
      <c r="BA254" s="14">
        <f>SUMIFS(Donnees_regimes!$S$3:$S$1118,Donnees_regimes!$A$3:$A$1118,C254,Donnees_regimes!$B$3:$B$1118,"&gt;="&amp;G254,Donnees_regimes!$B$3:$B$1118,"&lt;="&amp;N254)*L254/ROUNDUP(L254,0)*SUMIFS(Donnees_annuelles!$AH$3:$AH$188,Donnees_annuelles!$A$3:$A$188,AR254)*SUMIFS(Donnees_annuelles!$AA$3:$AA$188,Donnees_annuelles!$A$3:$A$188,AR254)</f>
        <v/>
      </c>
      <c r="BB254" s="39">
        <f>BA254-AL254</f>
        <v/>
      </c>
      <c r="BC254" s="7">
        <f>IF(M254+AJ254&gt;2026,IF(G254&gt;2026,"entièrement projeté","en partie projeté"),"observé")</f>
        <v/>
      </c>
    </row>
    <row r="255">
      <c r="A255" s="7" t="inlineStr">
        <is>
          <t>Génération Y</t>
        </is>
      </c>
      <c r="B255" s="84" t="inlineStr">
        <is>
          <t>Fonction publique territoriale et hospitalière</t>
        </is>
      </c>
      <c r="C255" s="7">
        <f>IF(G255&gt;=SUMIFS(Regimes!$C$5:$C$10,Regimes!$A$5:$A$10,B255),"Privé",B255)</f>
        <v/>
      </c>
      <c r="D255" s="7">
        <f>INDEX(Regimes!$D$5:$D$10,MATCH(C255,Regimes!$A$5:$A$10,0))</f>
        <v/>
      </c>
      <c r="E255" s="88" t="n">
        <v>1984</v>
      </c>
      <c r="F255" s="8">
        <f>Donnees_generations!C72</f>
        <v/>
      </c>
      <c r="G255" s="77">
        <f>Donnees_generations!D72</f>
        <v/>
      </c>
      <c r="H255" s="8">
        <f>SUMIFS(Donnees_generations!$S$3:$S$113,Donnees_generations!$A$3:$A$113,MAX(1915,MIN(2025,E255)))</f>
        <v/>
      </c>
      <c r="I255" s="8">
        <f>SUMIFS(Donnees_generations!$T$3:$T$113,Donnees_generations!$A$3:$A$113,MAX(1915,MIN(2025,E255)))</f>
        <v/>
      </c>
      <c r="J255" s="8">
        <f>IF(G255&gt;=2000,MAX(I255,Parametres!$B$3),I255)</f>
        <v/>
      </c>
      <c r="K255" s="8">
        <f>IF(C255="Privé",J255,SUMIFS(Regles_regimes!$J$3:$J$2000,Regles_regimes!$A$3:$A$2000,C255,Regles_regimes!$B$3:$B$2000,D255,Regles_regimes!$C$3:$C$2000,MAX(1915,MIN(2025,E255))))</f>
        <v/>
      </c>
      <c r="L255" s="8">
        <f>IF(C255="Privé",H255,(K255-F255)*H255/(J255-F255))</f>
        <v/>
      </c>
      <c r="M255" s="77">
        <f>INT(E255+K255)</f>
        <v/>
      </c>
      <c r="N255" s="77">
        <f>G255+ROUNDUP(L255,0)-1</f>
        <v/>
      </c>
      <c r="O255" s="89">
        <f>SUMIFS(Regles_regimes!$K$3:$K$2000,Regles_regimes!$A$3:$A$2000,C255,Regles_regimes!$B$3:$B$2000,D255,Regles_regimes!$C$3:$C$2000,MAX(1915,MIN(2025,E255)))</f>
        <v/>
      </c>
      <c r="P255" s="13">
        <f>SUMIFS(Donnees_annuelles!$W$3:$W$188,Donnees_annuelles!$A$3:$A$188,"&gt;="&amp;G255,Donnees_annuelles!$A$3:$A$188,"&lt;="&amp;N255)*L255/ROUNDUP(L255,0)*O255</f>
        <v/>
      </c>
      <c r="Q255" s="13">
        <f>SUMIFS(Donnees_annuelles!$V$3:$V$188,Donnees_annuelles!$A$3:$A$188,"&gt;="&amp;G255,Donnees_annuelles!$A$3:$A$188,"&lt;="&amp;N255)*L255/ROUNDUP(L255,0)</f>
        <v/>
      </c>
      <c r="R255" s="13">
        <f>P255/L255</f>
        <v/>
      </c>
      <c r="S255" s="14">
        <f>SUMIFS(Donnees_annuelles!$D$3:$D$188,Donnees_annuelles!$A$3:$A$188,"&gt;="&amp;G255,Donnees_annuelles!$A$3:$A$188,"&lt;="&amp;N255)*L255/ROUNDUP(L255,0)</f>
        <v/>
      </c>
      <c r="T255" s="14">
        <f>SUMIFS(Donnees_regimes!$N$3:$N$1118,Donnees_regimes!$A$3:$A$1118,C255,Donnees_regimes!$B$3:$B$1118,"&gt;="&amp;G255,Donnees_regimes!$B$3:$B$1118,"&lt;="&amp;N255)*L255/ROUNDUP(L255,0)</f>
        <v/>
      </c>
      <c r="U255" s="14">
        <f>SUMIFS(Donnees_regimes!$O$3:$O$1118,Donnees_regimes!$A$3:$A$1118,C255,Donnees_regimes!$B$3:$B$1118,"&gt;="&amp;G255,Donnees_regimes!$B$3:$B$1118,"&lt;="&amp;N255)*L255/ROUNDUP(L255,0)</f>
        <v/>
      </c>
      <c r="V255" s="14">
        <f>T255+U255</f>
        <v/>
      </c>
      <c r="W255" s="33">
        <f>V255/S255</f>
        <v/>
      </c>
      <c r="X255" s="14">
        <f>S255+U255</f>
        <v/>
      </c>
      <c r="Y255" s="17">
        <f>V255/P255</f>
        <v/>
      </c>
      <c r="Z255" s="14">
        <f>SUMIFS(Donnees_regimes!$Q$3:$Q$1118,Donnees_regimes!$A$3:$A$1118,C255,Donnees_regimes!$B$3:$B$1118,"&gt;="&amp;G255,Donnees_regimes!$B$3:$B$1118,"&lt;="&amp;N255)*L255/ROUNDUP(L255,0)</f>
        <v/>
      </c>
      <c r="AA255" s="77">
        <f>SUMIFS(Regles_regimes!$F$3:$F$2000,Regles_regimes!$A$3:$A$2000,C255,Regles_regimes!$B$3:$B$2000,D255,Regles_regimes!$C$3:$C$2000,MAX(1915,MIN(2025,E255)))</f>
        <v/>
      </c>
      <c r="AB255" s="77">
        <f>IF(AND(SUMIFS(Regles_regimes!$L$3:$L$2000,Regles_regimes!$A$3:$A$2000,C255,Regles_regimes!$B$3:$B$2000,D255,Regles_regimes!$C$3:$C$2000,MAX(1915,MIN(2025,E255)))=1,G255&lt;2009,C255&lt;&gt;"Privé"),MIN(20,L255*4/5),0)</f>
        <v/>
      </c>
      <c r="AC255" s="89">
        <f>SUMIFS(Donnees_regimes!$M$3:$M$1118,Donnees_regimes!$A$3:$A$1118,C255,Donnees_regimes!$B$3:$B$1118,M255)</f>
        <v/>
      </c>
      <c r="AD255" s="14">
        <f>SUMIFS(Donnees_annuelles!$Y$3:$Y$188,Donnees_annuelles!$A$3:$A$188,M255)*SUMIFS(Donnees_generations!$I$3:$I$113,Donnees_generations!$A$3:$A$113,MAX(1915,MIN(2025,E255)))/H255</f>
        <v/>
      </c>
      <c r="AE255" s="14">
        <f>IF(C255="Privé",SUMIFS(Donnees_annuelles!$Y$3:$Y$188,Donnees_annuelles!$A$3:$A$188,M255)*MIN(L255,SUMIFS(Donnees_generations!$I$3:$I$113,Donnees_generations!$A$3:$A$113,MAX(1915,MIN(2025,E255))))/L255,AD255*AC255*MIN(IF(AB255&gt;0,0.8/0.75,1),(L255*4+AB255)/AA255))</f>
        <v/>
      </c>
      <c r="AF255" s="14">
        <f>AE255/12</f>
        <v/>
      </c>
      <c r="AG255" s="77">
        <f>MIN(68,MAX(56,2*INT(K255/2)))</f>
        <v/>
      </c>
      <c r="AH255" s="75">
        <f>(CHOOSE((AG255-56)/2+1,SUMIFS(Donnees_generations!$U$3:$U$113,Donnees_generations!$A$3:$A$113,MAX(1915,MIN(2025,E255))),SUMIFS(Donnees_generations!$V$3:$V$113,Donnees_generations!$A$3:$A$113,MAX(1915,MIN(2025,E255))),SUMIFS(Donnees_generations!$W$3:$W$113,Donnees_generations!$A$3:$A$113,MAX(1915,MIN(2025,E255))),SUMIFS(Donnees_generations!$X$3:$X$113,Donnees_generations!$A$3:$A$113,MAX(1915,MIN(2025,E255))),SUMIFS(Donnees_generations!$Y$3:$Y$113,Donnees_generations!$A$3:$A$113,MAX(1915,MIN(2025,E255))),SUMIFS(Donnees_generations!$Z$3:$Z$113,Donnees_generations!$A$3:$A$113,MAX(1915,MIN(2025,E255))),SUMIFS(Donnees_generations!$AA$3:$AA$113,Donnees_generations!$A$3:$A$113,MAX(1915,MIN(2025,E255))),SUMIFS(Donnees_generations!$AB$3:$AB$113,Donnees_generations!$A$3:$A$113,MAX(1915,MIN(2025,E255))))+CHOOSE((AG255-56)/2+1,SUMIFS(Donnees_generations!$AC$3:$AC$113,Donnees_generations!$A$3:$A$113,MAX(1915,MIN(2025,E255))),SUMIFS(Donnees_generations!$AD$3:$AD$113,Donnees_generations!$A$3:$A$113,MAX(1915,MIN(2025,E255))),SUMIFS(Donnees_generations!$AE$3:$AE$113,Donnees_generations!$A$3:$A$113,MAX(1915,MIN(2025,E255))),SUMIFS(Donnees_generations!$AF$3:$AF$113,Donnees_generations!$A$3:$A$113,MAX(1915,MIN(2025,E255))),SUMIFS(Donnees_generations!$AG$3:$AG$113,Donnees_generations!$A$3:$A$113,MAX(1915,MIN(2025,E255))),SUMIFS(Donnees_generations!$AH$3:$AH$113,Donnees_generations!$A$3:$A$113,MAX(1915,MIN(2025,E255))),SUMIFS(Donnees_generations!$AI$3:$AI$113,Donnees_generations!$A$3:$A$113,MAX(1915,MIN(2025,E255))),SUMIFS(Donnees_generations!$AJ$3:$AJ$113,Donnees_generations!$A$3:$A$113,MAX(1915,MIN(2025,E255)))))/2</f>
        <v/>
      </c>
      <c r="AI255" s="75">
        <f>(CHOOSE(((AG255+2)-56)/2+1,SUMIFS(Donnees_generations!$U$3:$U$113,Donnees_generations!$A$3:$A$113,MAX(1915,MIN(2025,E255))),SUMIFS(Donnees_generations!$V$3:$V$113,Donnees_generations!$A$3:$A$113,MAX(1915,MIN(2025,E255))),SUMIFS(Donnees_generations!$W$3:$W$113,Donnees_generations!$A$3:$A$113,MAX(1915,MIN(2025,E255))),SUMIFS(Donnees_generations!$X$3:$X$113,Donnees_generations!$A$3:$A$113,MAX(1915,MIN(2025,E255))),SUMIFS(Donnees_generations!$Y$3:$Y$113,Donnees_generations!$A$3:$A$113,MAX(1915,MIN(2025,E255))),SUMIFS(Donnees_generations!$Z$3:$Z$113,Donnees_generations!$A$3:$A$113,MAX(1915,MIN(2025,E255))),SUMIFS(Donnees_generations!$AA$3:$AA$113,Donnees_generations!$A$3:$A$113,MAX(1915,MIN(2025,E255))),SUMIFS(Donnees_generations!$AB$3:$AB$113,Donnees_generations!$A$3:$A$113,MAX(1915,MIN(2025,E255))))+CHOOSE(((AG255+2)-56)/2+1,SUMIFS(Donnees_generations!$AC$3:$AC$113,Donnees_generations!$A$3:$A$113,MAX(1915,MIN(2025,E255))),SUMIFS(Donnees_generations!$AD$3:$AD$113,Donnees_generations!$A$3:$A$113,MAX(1915,MIN(2025,E255))),SUMIFS(Donnees_generations!$AE$3:$AE$113,Donnees_generations!$A$3:$A$113,MAX(1915,MIN(2025,E255))),SUMIFS(Donnees_generations!$AF$3:$AF$113,Donnees_generations!$A$3:$A$113,MAX(1915,MIN(2025,E255))),SUMIFS(Donnees_generations!$AG$3:$AG$113,Donnees_generations!$A$3:$A$113,MAX(1915,MIN(2025,E255))),SUMIFS(Donnees_generations!$AH$3:$AH$113,Donnees_generations!$A$3:$A$113,MAX(1915,MIN(2025,E255))),SUMIFS(Donnees_generations!$AI$3:$AI$113,Donnees_generations!$A$3:$A$113,MAX(1915,MIN(2025,E255))),SUMIFS(Donnees_generations!$AJ$3:$AJ$113,Donnees_generations!$A$3:$A$113,MAX(1915,MIN(2025,E255)))))/2</f>
        <v/>
      </c>
      <c r="AJ255" s="8">
        <f>MAX(0,AH255+(AI255-AH255)*(K255-AG255)/2)</f>
        <v/>
      </c>
      <c r="AK255" s="8">
        <f>K255+AJ255</f>
        <v/>
      </c>
      <c r="AL255" s="14">
        <f>AE255*AJ255</f>
        <v/>
      </c>
      <c r="AM255" s="17">
        <f>V255/AL255</f>
        <v/>
      </c>
      <c r="AN255" s="17">
        <f>Z255/AL255</f>
        <v/>
      </c>
      <c r="AO255" s="33">
        <f>IF(V255+Z255=0,0,Z255/(V255+Z255))</f>
        <v/>
      </c>
      <c r="AP255" s="14">
        <f>AL255/V255*100</f>
        <v/>
      </c>
      <c r="AQ255" s="8">
        <f>P255/AL255*1000</f>
        <v/>
      </c>
      <c r="AR255" s="77">
        <f>MAX(N255,M255-1)</f>
        <v/>
      </c>
      <c r="AS255" s="14">
        <f>SUMIFS(Donnees_regimes!$R$3:$R$1118,Donnees_regimes!$A$3:$A$1118,C255,Donnees_regimes!$B$3:$B$1118,"&gt;="&amp;G255,Donnees_regimes!$B$3:$B$1118,"&lt;="&amp;N255)*L255/ROUNDUP(L255,0)*SUMIFS(Donnees_annuelles!$AG$3:$AG$188,Donnees_annuelles!$A$3:$A$188,AR255)*SUMIFS(Donnees_annuelles!$AA$3:$AA$188,Donnees_annuelles!$A$3:$A$188,AR255)</f>
        <v/>
      </c>
      <c r="AT255" s="36">
        <f>AS255/V255</f>
        <v/>
      </c>
      <c r="AU255" s="14">
        <f>AL255</f>
        <v/>
      </c>
      <c r="AV255" s="39">
        <f>AS255-AL255</f>
        <v/>
      </c>
      <c r="AW255" s="9">
        <f>AS255/AL255-1</f>
        <v/>
      </c>
      <c r="AX255" s="14">
        <f>AS255/AJ255/12</f>
        <v/>
      </c>
      <c r="AY255" s="14">
        <f>AF255</f>
        <v/>
      </c>
      <c r="AZ255" s="39">
        <f>AX255-AF255</f>
        <v/>
      </c>
      <c r="BA255" s="14">
        <f>SUMIFS(Donnees_regimes!$S$3:$S$1118,Donnees_regimes!$A$3:$A$1118,C255,Donnees_regimes!$B$3:$B$1118,"&gt;="&amp;G255,Donnees_regimes!$B$3:$B$1118,"&lt;="&amp;N255)*L255/ROUNDUP(L255,0)*SUMIFS(Donnees_annuelles!$AH$3:$AH$188,Donnees_annuelles!$A$3:$A$188,AR255)*SUMIFS(Donnees_annuelles!$AA$3:$AA$188,Donnees_annuelles!$A$3:$A$188,AR255)</f>
        <v/>
      </c>
      <c r="BB255" s="39">
        <f>BA255-AL255</f>
        <v/>
      </c>
      <c r="BC255" s="7">
        <f>IF(M255+AJ255&gt;2026,IF(G255&gt;2026,"entièrement projeté","en partie projeté"),"observé")</f>
        <v/>
      </c>
    </row>
    <row r="256">
      <c r="A256" s="7" t="inlineStr">
        <is>
          <t>Génération Y</t>
        </is>
      </c>
      <c r="B256" s="84" t="inlineStr">
        <is>
          <t>Fonction publique territoriale et hospitalière</t>
        </is>
      </c>
      <c r="C256" s="7">
        <f>IF(G256&gt;=SUMIFS(Regimes!$C$5:$C$10,Regimes!$A$5:$A$10,B256),"Privé",B256)</f>
        <v/>
      </c>
      <c r="D256" s="7">
        <f>INDEX(Regimes!$D$5:$D$10,MATCH(C256,Regimes!$A$5:$A$10,0))</f>
        <v/>
      </c>
      <c r="E256" s="88" t="n">
        <v>1985</v>
      </c>
      <c r="F256" s="8">
        <f>Donnees_generations!C73</f>
        <v/>
      </c>
      <c r="G256" s="77">
        <f>Donnees_generations!D73</f>
        <v/>
      </c>
      <c r="H256" s="8">
        <f>SUMIFS(Donnees_generations!$S$3:$S$113,Donnees_generations!$A$3:$A$113,MAX(1915,MIN(2025,E256)))</f>
        <v/>
      </c>
      <c r="I256" s="8">
        <f>SUMIFS(Donnees_generations!$T$3:$T$113,Donnees_generations!$A$3:$A$113,MAX(1915,MIN(2025,E256)))</f>
        <v/>
      </c>
      <c r="J256" s="8">
        <f>IF(G256&gt;=2000,MAX(I256,Parametres!$B$3),I256)</f>
        <v/>
      </c>
      <c r="K256" s="8">
        <f>IF(C256="Privé",J256,SUMIFS(Regles_regimes!$J$3:$J$2000,Regles_regimes!$A$3:$A$2000,C256,Regles_regimes!$B$3:$B$2000,D256,Regles_regimes!$C$3:$C$2000,MAX(1915,MIN(2025,E256))))</f>
        <v/>
      </c>
      <c r="L256" s="8">
        <f>IF(C256="Privé",H256,(K256-F256)*H256/(J256-F256))</f>
        <v/>
      </c>
      <c r="M256" s="77">
        <f>INT(E256+K256)</f>
        <v/>
      </c>
      <c r="N256" s="77">
        <f>G256+ROUNDUP(L256,0)-1</f>
        <v/>
      </c>
      <c r="O256" s="89">
        <f>SUMIFS(Regles_regimes!$K$3:$K$2000,Regles_regimes!$A$3:$A$2000,C256,Regles_regimes!$B$3:$B$2000,D256,Regles_regimes!$C$3:$C$2000,MAX(1915,MIN(2025,E256)))</f>
        <v/>
      </c>
      <c r="P256" s="13">
        <f>SUMIFS(Donnees_annuelles!$W$3:$W$188,Donnees_annuelles!$A$3:$A$188,"&gt;="&amp;G256,Donnees_annuelles!$A$3:$A$188,"&lt;="&amp;N256)*L256/ROUNDUP(L256,0)*O256</f>
        <v/>
      </c>
      <c r="Q256" s="13">
        <f>SUMIFS(Donnees_annuelles!$V$3:$V$188,Donnees_annuelles!$A$3:$A$188,"&gt;="&amp;G256,Donnees_annuelles!$A$3:$A$188,"&lt;="&amp;N256)*L256/ROUNDUP(L256,0)</f>
        <v/>
      </c>
      <c r="R256" s="13">
        <f>P256/L256</f>
        <v/>
      </c>
      <c r="S256" s="14">
        <f>SUMIFS(Donnees_annuelles!$D$3:$D$188,Donnees_annuelles!$A$3:$A$188,"&gt;="&amp;G256,Donnees_annuelles!$A$3:$A$188,"&lt;="&amp;N256)*L256/ROUNDUP(L256,0)</f>
        <v/>
      </c>
      <c r="T256" s="14">
        <f>SUMIFS(Donnees_regimes!$N$3:$N$1118,Donnees_regimes!$A$3:$A$1118,C256,Donnees_regimes!$B$3:$B$1118,"&gt;="&amp;G256,Donnees_regimes!$B$3:$B$1118,"&lt;="&amp;N256)*L256/ROUNDUP(L256,0)</f>
        <v/>
      </c>
      <c r="U256" s="14">
        <f>SUMIFS(Donnees_regimes!$O$3:$O$1118,Donnees_regimes!$A$3:$A$1118,C256,Donnees_regimes!$B$3:$B$1118,"&gt;="&amp;G256,Donnees_regimes!$B$3:$B$1118,"&lt;="&amp;N256)*L256/ROUNDUP(L256,0)</f>
        <v/>
      </c>
      <c r="V256" s="14">
        <f>T256+U256</f>
        <v/>
      </c>
      <c r="W256" s="33">
        <f>V256/S256</f>
        <v/>
      </c>
      <c r="X256" s="14">
        <f>S256+U256</f>
        <v/>
      </c>
      <c r="Y256" s="17">
        <f>V256/P256</f>
        <v/>
      </c>
      <c r="Z256" s="14">
        <f>SUMIFS(Donnees_regimes!$Q$3:$Q$1118,Donnees_regimes!$A$3:$A$1118,C256,Donnees_regimes!$B$3:$B$1118,"&gt;="&amp;G256,Donnees_regimes!$B$3:$B$1118,"&lt;="&amp;N256)*L256/ROUNDUP(L256,0)</f>
        <v/>
      </c>
      <c r="AA256" s="77">
        <f>SUMIFS(Regles_regimes!$F$3:$F$2000,Regles_regimes!$A$3:$A$2000,C256,Regles_regimes!$B$3:$B$2000,D256,Regles_regimes!$C$3:$C$2000,MAX(1915,MIN(2025,E256)))</f>
        <v/>
      </c>
      <c r="AB256" s="77">
        <f>IF(AND(SUMIFS(Regles_regimes!$L$3:$L$2000,Regles_regimes!$A$3:$A$2000,C256,Regles_regimes!$B$3:$B$2000,D256,Regles_regimes!$C$3:$C$2000,MAX(1915,MIN(2025,E256)))=1,G256&lt;2009,C256&lt;&gt;"Privé"),MIN(20,L256*4/5),0)</f>
        <v/>
      </c>
      <c r="AC256" s="89">
        <f>SUMIFS(Donnees_regimes!$M$3:$M$1118,Donnees_regimes!$A$3:$A$1118,C256,Donnees_regimes!$B$3:$B$1118,M256)</f>
        <v/>
      </c>
      <c r="AD256" s="14">
        <f>SUMIFS(Donnees_annuelles!$Y$3:$Y$188,Donnees_annuelles!$A$3:$A$188,M256)*SUMIFS(Donnees_generations!$I$3:$I$113,Donnees_generations!$A$3:$A$113,MAX(1915,MIN(2025,E256)))/H256</f>
        <v/>
      </c>
      <c r="AE256" s="14">
        <f>IF(C256="Privé",SUMIFS(Donnees_annuelles!$Y$3:$Y$188,Donnees_annuelles!$A$3:$A$188,M256)*MIN(L256,SUMIFS(Donnees_generations!$I$3:$I$113,Donnees_generations!$A$3:$A$113,MAX(1915,MIN(2025,E256))))/L256,AD256*AC256*MIN(IF(AB256&gt;0,0.8/0.75,1),(L256*4+AB256)/AA256))</f>
        <v/>
      </c>
      <c r="AF256" s="14">
        <f>AE256/12</f>
        <v/>
      </c>
      <c r="AG256" s="77">
        <f>MIN(68,MAX(56,2*INT(K256/2)))</f>
        <v/>
      </c>
      <c r="AH256" s="75">
        <f>(CHOOSE((AG256-56)/2+1,SUMIFS(Donnees_generations!$U$3:$U$113,Donnees_generations!$A$3:$A$113,MAX(1915,MIN(2025,E256))),SUMIFS(Donnees_generations!$V$3:$V$113,Donnees_generations!$A$3:$A$113,MAX(1915,MIN(2025,E256))),SUMIFS(Donnees_generations!$W$3:$W$113,Donnees_generations!$A$3:$A$113,MAX(1915,MIN(2025,E256))),SUMIFS(Donnees_generations!$X$3:$X$113,Donnees_generations!$A$3:$A$113,MAX(1915,MIN(2025,E256))),SUMIFS(Donnees_generations!$Y$3:$Y$113,Donnees_generations!$A$3:$A$113,MAX(1915,MIN(2025,E256))),SUMIFS(Donnees_generations!$Z$3:$Z$113,Donnees_generations!$A$3:$A$113,MAX(1915,MIN(2025,E256))),SUMIFS(Donnees_generations!$AA$3:$AA$113,Donnees_generations!$A$3:$A$113,MAX(1915,MIN(2025,E256))),SUMIFS(Donnees_generations!$AB$3:$AB$113,Donnees_generations!$A$3:$A$113,MAX(1915,MIN(2025,E256))))+CHOOSE((AG256-56)/2+1,SUMIFS(Donnees_generations!$AC$3:$AC$113,Donnees_generations!$A$3:$A$113,MAX(1915,MIN(2025,E256))),SUMIFS(Donnees_generations!$AD$3:$AD$113,Donnees_generations!$A$3:$A$113,MAX(1915,MIN(2025,E256))),SUMIFS(Donnees_generations!$AE$3:$AE$113,Donnees_generations!$A$3:$A$113,MAX(1915,MIN(2025,E256))),SUMIFS(Donnees_generations!$AF$3:$AF$113,Donnees_generations!$A$3:$A$113,MAX(1915,MIN(2025,E256))),SUMIFS(Donnees_generations!$AG$3:$AG$113,Donnees_generations!$A$3:$A$113,MAX(1915,MIN(2025,E256))),SUMIFS(Donnees_generations!$AH$3:$AH$113,Donnees_generations!$A$3:$A$113,MAX(1915,MIN(2025,E256))),SUMIFS(Donnees_generations!$AI$3:$AI$113,Donnees_generations!$A$3:$A$113,MAX(1915,MIN(2025,E256))),SUMIFS(Donnees_generations!$AJ$3:$AJ$113,Donnees_generations!$A$3:$A$113,MAX(1915,MIN(2025,E256)))))/2</f>
        <v/>
      </c>
      <c r="AI256" s="75">
        <f>(CHOOSE(((AG256+2)-56)/2+1,SUMIFS(Donnees_generations!$U$3:$U$113,Donnees_generations!$A$3:$A$113,MAX(1915,MIN(2025,E256))),SUMIFS(Donnees_generations!$V$3:$V$113,Donnees_generations!$A$3:$A$113,MAX(1915,MIN(2025,E256))),SUMIFS(Donnees_generations!$W$3:$W$113,Donnees_generations!$A$3:$A$113,MAX(1915,MIN(2025,E256))),SUMIFS(Donnees_generations!$X$3:$X$113,Donnees_generations!$A$3:$A$113,MAX(1915,MIN(2025,E256))),SUMIFS(Donnees_generations!$Y$3:$Y$113,Donnees_generations!$A$3:$A$113,MAX(1915,MIN(2025,E256))),SUMIFS(Donnees_generations!$Z$3:$Z$113,Donnees_generations!$A$3:$A$113,MAX(1915,MIN(2025,E256))),SUMIFS(Donnees_generations!$AA$3:$AA$113,Donnees_generations!$A$3:$A$113,MAX(1915,MIN(2025,E256))),SUMIFS(Donnees_generations!$AB$3:$AB$113,Donnees_generations!$A$3:$A$113,MAX(1915,MIN(2025,E256))))+CHOOSE(((AG256+2)-56)/2+1,SUMIFS(Donnees_generations!$AC$3:$AC$113,Donnees_generations!$A$3:$A$113,MAX(1915,MIN(2025,E256))),SUMIFS(Donnees_generations!$AD$3:$AD$113,Donnees_generations!$A$3:$A$113,MAX(1915,MIN(2025,E256))),SUMIFS(Donnees_generations!$AE$3:$AE$113,Donnees_generations!$A$3:$A$113,MAX(1915,MIN(2025,E256))),SUMIFS(Donnees_generations!$AF$3:$AF$113,Donnees_generations!$A$3:$A$113,MAX(1915,MIN(2025,E256))),SUMIFS(Donnees_generations!$AG$3:$AG$113,Donnees_generations!$A$3:$A$113,MAX(1915,MIN(2025,E256))),SUMIFS(Donnees_generations!$AH$3:$AH$113,Donnees_generations!$A$3:$A$113,MAX(1915,MIN(2025,E256))),SUMIFS(Donnees_generations!$AI$3:$AI$113,Donnees_generations!$A$3:$A$113,MAX(1915,MIN(2025,E256))),SUMIFS(Donnees_generations!$AJ$3:$AJ$113,Donnees_generations!$A$3:$A$113,MAX(1915,MIN(2025,E256)))))/2</f>
        <v/>
      </c>
      <c r="AJ256" s="8">
        <f>MAX(0,AH256+(AI256-AH256)*(K256-AG256)/2)</f>
        <v/>
      </c>
      <c r="AK256" s="8">
        <f>K256+AJ256</f>
        <v/>
      </c>
      <c r="AL256" s="14">
        <f>AE256*AJ256</f>
        <v/>
      </c>
      <c r="AM256" s="17">
        <f>V256/AL256</f>
        <v/>
      </c>
      <c r="AN256" s="17">
        <f>Z256/AL256</f>
        <v/>
      </c>
      <c r="AO256" s="33">
        <f>IF(V256+Z256=0,0,Z256/(V256+Z256))</f>
        <v/>
      </c>
      <c r="AP256" s="14">
        <f>AL256/V256*100</f>
        <v/>
      </c>
      <c r="AQ256" s="8">
        <f>P256/AL256*1000</f>
        <v/>
      </c>
      <c r="AR256" s="77">
        <f>MAX(N256,M256-1)</f>
        <v/>
      </c>
      <c r="AS256" s="14">
        <f>SUMIFS(Donnees_regimes!$R$3:$R$1118,Donnees_regimes!$A$3:$A$1118,C256,Donnees_regimes!$B$3:$B$1118,"&gt;="&amp;G256,Donnees_regimes!$B$3:$B$1118,"&lt;="&amp;N256)*L256/ROUNDUP(L256,0)*SUMIFS(Donnees_annuelles!$AG$3:$AG$188,Donnees_annuelles!$A$3:$A$188,AR256)*SUMIFS(Donnees_annuelles!$AA$3:$AA$188,Donnees_annuelles!$A$3:$A$188,AR256)</f>
        <v/>
      </c>
      <c r="AT256" s="36">
        <f>AS256/V256</f>
        <v/>
      </c>
      <c r="AU256" s="14">
        <f>AL256</f>
        <v/>
      </c>
      <c r="AV256" s="39">
        <f>AS256-AL256</f>
        <v/>
      </c>
      <c r="AW256" s="9">
        <f>AS256/AL256-1</f>
        <v/>
      </c>
      <c r="AX256" s="14">
        <f>AS256/AJ256/12</f>
        <v/>
      </c>
      <c r="AY256" s="14">
        <f>AF256</f>
        <v/>
      </c>
      <c r="AZ256" s="39">
        <f>AX256-AF256</f>
        <v/>
      </c>
      <c r="BA256" s="14">
        <f>SUMIFS(Donnees_regimes!$S$3:$S$1118,Donnees_regimes!$A$3:$A$1118,C256,Donnees_regimes!$B$3:$B$1118,"&gt;="&amp;G256,Donnees_regimes!$B$3:$B$1118,"&lt;="&amp;N256)*L256/ROUNDUP(L256,0)*SUMIFS(Donnees_annuelles!$AH$3:$AH$188,Donnees_annuelles!$A$3:$A$188,AR256)*SUMIFS(Donnees_annuelles!$AA$3:$AA$188,Donnees_annuelles!$A$3:$A$188,AR256)</f>
        <v/>
      </c>
      <c r="BB256" s="39">
        <f>BA256-AL256</f>
        <v/>
      </c>
      <c r="BC256" s="7">
        <f>IF(M256+AJ256&gt;2026,IF(G256&gt;2026,"entièrement projeté","en partie projeté"),"observé")</f>
        <v/>
      </c>
    </row>
    <row r="257">
      <c r="A257" s="7" t="inlineStr">
        <is>
          <t>Génération Y</t>
        </is>
      </c>
      <c r="B257" s="84" t="inlineStr">
        <is>
          <t>Fonction publique territoriale et hospitalière</t>
        </is>
      </c>
      <c r="C257" s="7">
        <f>IF(G257&gt;=SUMIFS(Regimes!$C$5:$C$10,Regimes!$A$5:$A$10,B257),"Privé",B257)</f>
        <v/>
      </c>
      <c r="D257" s="7">
        <f>INDEX(Regimes!$D$5:$D$10,MATCH(C257,Regimes!$A$5:$A$10,0))</f>
        <v/>
      </c>
      <c r="E257" s="88" t="n">
        <v>1986</v>
      </c>
      <c r="F257" s="8">
        <f>Donnees_generations!C74</f>
        <v/>
      </c>
      <c r="G257" s="77">
        <f>Donnees_generations!D74</f>
        <v/>
      </c>
      <c r="H257" s="8">
        <f>SUMIFS(Donnees_generations!$S$3:$S$113,Donnees_generations!$A$3:$A$113,MAX(1915,MIN(2025,E257)))</f>
        <v/>
      </c>
      <c r="I257" s="8">
        <f>SUMIFS(Donnees_generations!$T$3:$T$113,Donnees_generations!$A$3:$A$113,MAX(1915,MIN(2025,E257)))</f>
        <v/>
      </c>
      <c r="J257" s="8">
        <f>IF(G257&gt;=2000,MAX(I257,Parametres!$B$3),I257)</f>
        <v/>
      </c>
      <c r="K257" s="8">
        <f>IF(C257="Privé",J257,SUMIFS(Regles_regimes!$J$3:$J$2000,Regles_regimes!$A$3:$A$2000,C257,Regles_regimes!$B$3:$B$2000,D257,Regles_regimes!$C$3:$C$2000,MAX(1915,MIN(2025,E257))))</f>
        <v/>
      </c>
      <c r="L257" s="8">
        <f>IF(C257="Privé",H257,(K257-F257)*H257/(J257-F257))</f>
        <v/>
      </c>
      <c r="M257" s="77">
        <f>INT(E257+K257)</f>
        <v/>
      </c>
      <c r="N257" s="77">
        <f>G257+ROUNDUP(L257,0)-1</f>
        <v/>
      </c>
      <c r="O257" s="89">
        <f>SUMIFS(Regles_regimes!$K$3:$K$2000,Regles_regimes!$A$3:$A$2000,C257,Regles_regimes!$B$3:$B$2000,D257,Regles_regimes!$C$3:$C$2000,MAX(1915,MIN(2025,E257)))</f>
        <v/>
      </c>
      <c r="P257" s="13">
        <f>SUMIFS(Donnees_annuelles!$W$3:$W$188,Donnees_annuelles!$A$3:$A$188,"&gt;="&amp;G257,Donnees_annuelles!$A$3:$A$188,"&lt;="&amp;N257)*L257/ROUNDUP(L257,0)*O257</f>
        <v/>
      </c>
      <c r="Q257" s="13">
        <f>SUMIFS(Donnees_annuelles!$V$3:$V$188,Donnees_annuelles!$A$3:$A$188,"&gt;="&amp;G257,Donnees_annuelles!$A$3:$A$188,"&lt;="&amp;N257)*L257/ROUNDUP(L257,0)</f>
        <v/>
      </c>
      <c r="R257" s="13">
        <f>P257/L257</f>
        <v/>
      </c>
      <c r="S257" s="14">
        <f>SUMIFS(Donnees_annuelles!$D$3:$D$188,Donnees_annuelles!$A$3:$A$188,"&gt;="&amp;G257,Donnees_annuelles!$A$3:$A$188,"&lt;="&amp;N257)*L257/ROUNDUP(L257,0)</f>
        <v/>
      </c>
      <c r="T257" s="14">
        <f>SUMIFS(Donnees_regimes!$N$3:$N$1118,Donnees_regimes!$A$3:$A$1118,C257,Donnees_regimes!$B$3:$B$1118,"&gt;="&amp;G257,Donnees_regimes!$B$3:$B$1118,"&lt;="&amp;N257)*L257/ROUNDUP(L257,0)</f>
        <v/>
      </c>
      <c r="U257" s="14">
        <f>SUMIFS(Donnees_regimes!$O$3:$O$1118,Donnees_regimes!$A$3:$A$1118,C257,Donnees_regimes!$B$3:$B$1118,"&gt;="&amp;G257,Donnees_regimes!$B$3:$B$1118,"&lt;="&amp;N257)*L257/ROUNDUP(L257,0)</f>
        <v/>
      </c>
      <c r="V257" s="14">
        <f>T257+U257</f>
        <v/>
      </c>
      <c r="W257" s="33">
        <f>V257/S257</f>
        <v/>
      </c>
      <c r="X257" s="14">
        <f>S257+U257</f>
        <v/>
      </c>
      <c r="Y257" s="17">
        <f>V257/P257</f>
        <v/>
      </c>
      <c r="Z257" s="14">
        <f>SUMIFS(Donnees_regimes!$Q$3:$Q$1118,Donnees_regimes!$A$3:$A$1118,C257,Donnees_regimes!$B$3:$B$1118,"&gt;="&amp;G257,Donnees_regimes!$B$3:$B$1118,"&lt;="&amp;N257)*L257/ROUNDUP(L257,0)</f>
        <v/>
      </c>
      <c r="AA257" s="77">
        <f>SUMIFS(Regles_regimes!$F$3:$F$2000,Regles_regimes!$A$3:$A$2000,C257,Regles_regimes!$B$3:$B$2000,D257,Regles_regimes!$C$3:$C$2000,MAX(1915,MIN(2025,E257)))</f>
        <v/>
      </c>
      <c r="AB257" s="77">
        <f>IF(AND(SUMIFS(Regles_regimes!$L$3:$L$2000,Regles_regimes!$A$3:$A$2000,C257,Regles_regimes!$B$3:$B$2000,D257,Regles_regimes!$C$3:$C$2000,MAX(1915,MIN(2025,E257)))=1,G257&lt;2009,C257&lt;&gt;"Privé"),MIN(20,L257*4/5),0)</f>
        <v/>
      </c>
      <c r="AC257" s="89">
        <f>SUMIFS(Donnees_regimes!$M$3:$M$1118,Donnees_regimes!$A$3:$A$1118,C257,Donnees_regimes!$B$3:$B$1118,M257)</f>
        <v/>
      </c>
      <c r="AD257" s="14">
        <f>SUMIFS(Donnees_annuelles!$Y$3:$Y$188,Donnees_annuelles!$A$3:$A$188,M257)*SUMIFS(Donnees_generations!$I$3:$I$113,Donnees_generations!$A$3:$A$113,MAX(1915,MIN(2025,E257)))/H257</f>
        <v/>
      </c>
      <c r="AE257" s="14">
        <f>IF(C257="Privé",SUMIFS(Donnees_annuelles!$Y$3:$Y$188,Donnees_annuelles!$A$3:$A$188,M257)*MIN(L257,SUMIFS(Donnees_generations!$I$3:$I$113,Donnees_generations!$A$3:$A$113,MAX(1915,MIN(2025,E257))))/L257,AD257*AC257*MIN(IF(AB257&gt;0,0.8/0.75,1),(L257*4+AB257)/AA257))</f>
        <v/>
      </c>
      <c r="AF257" s="14">
        <f>AE257/12</f>
        <v/>
      </c>
      <c r="AG257" s="77">
        <f>MIN(68,MAX(56,2*INT(K257/2)))</f>
        <v/>
      </c>
      <c r="AH257" s="75">
        <f>(CHOOSE((AG257-56)/2+1,SUMIFS(Donnees_generations!$U$3:$U$113,Donnees_generations!$A$3:$A$113,MAX(1915,MIN(2025,E257))),SUMIFS(Donnees_generations!$V$3:$V$113,Donnees_generations!$A$3:$A$113,MAX(1915,MIN(2025,E257))),SUMIFS(Donnees_generations!$W$3:$W$113,Donnees_generations!$A$3:$A$113,MAX(1915,MIN(2025,E257))),SUMIFS(Donnees_generations!$X$3:$X$113,Donnees_generations!$A$3:$A$113,MAX(1915,MIN(2025,E257))),SUMIFS(Donnees_generations!$Y$3:$Y$113,Donnees_generations!$A$3:$A$113,MAX(1915,MIN(2025,E257))),SUMIFS(Donnees_generations!$Z$3:$Z$113,Donnees_generations!$A$3:$A$113,MAX(1915,MIN(2025,E257))),SUMIFS(Donnees_generations!$AA$3:$AA$113,Donnees_generations!$A$3:$A$113,MAX(1915,MIN(2025,E257))),SUMIFS(Donnees_generations!$AB$3:$AB$113,Donnees_generations!$A$3:$A$113,MAX(1915,MIN(2025,E257))))+CHOOSE((AG257-56)/2+1,SUMIFS(Donnees_generations!$AC$3:$AC$113,Donnees_generations!$A$3:$A$113,MAX(1915,MIN(2025,E257))),SUMIFS(Donnees_generations!$AD$3:$AD$113,Donnees_generations!$A$3:$A$113,MAX(1915,MIN(2025,E257))),SUMIFS(Donnees_generations!$AE$3:$AE$113,Donnees_generations!$A$3:$A$113,MAX(1915,MIN(2025,E257))),SUMIFS(Donnees_generations!$AF$3:$AF$113,Donnees_generations!$A$3:$A$113,MAX(1915,MIN(2025,E257))),SUMIFS(Donnees_generations!$AG$3:$AG$113,Donnees_generations!$A$3:$A$113,MAX(1915,MIN(2025,E257))),SUMIFS(Donnees_generations!$AH$3:$AH$113,Donnees_generations!$A$3:$A$113,MAX(1915,MIN(2025,E257))),SUMIFS(Donnees_generations!$AI$3:$AI$113,Donnees_generations!$A$3:$A$113,MAX(1915,MIN(2025,E257))),SUMIFS(Donnees_generations!$AJ$3:$AJ$113,Donnees_generations!$A$3:$A$113,MAX(1915,MIN(2025,E257)))))/2</f>
        <v/>
      </c>
      <c r="AI257" s="75">
        <f>(CHOOSE(((AG257+2)-56)/2+1,SUMIFS(Donnees_generations!$U$3:$U$113,Donnees_generations!$A$3:$A$113,MAX(1915,MIN(2025,E257))),SUMIFS(Donnees_generations!$V$3:$V$113,Donnees_generations!$A$3:$A$113,MAX(1915,MIN(2025,E257))),SUMIFS(Donnees_generations!$W$3:$W$113,Donnees_generations!$A$3:$A$113,MAX(1915,MIN(2025,E257))),SUMIFS(Donnees_generations!$X$3:$X$113,Donnees_generations!$A$3:$A$113,MAX(1915,MIN(2025,E257))),SUMIFS(Donnees_generations!$Y$3:$Y$113,Donnees_generations!$A$3:$A$113,MAX(1915,MIN(2025,E257))),SUMIFS(Donnees_generations!$Z$3:$Z$113,Donnees_generations!$A$3:$A$113,MAX(1915,MIN(2025,E257))),SUMIFS(Donnees_generations!$AA$3:$AA$113,Donnees_generations!$A$3:$A$113,MAX(1915,MIN(2025,E257))),SUMIFS(Donnees_generations!$AB$3:$AB$113,Donnees_generations!$A$3:$A$113,MAX(1915,MIN(2025,E257))))+CHOOSE(((AG257+2)-56)/2+1,SUMIFS(Donnees_generations!$AC$3:$AC$113,Donnees_generations!$A$3:$A$113,MAX(1915,MIN(2025,E257))),SUMIFS(Donnees_generations!$AD$3:$AD$113,Donnees_generations!$A$3:$A$113,MAX(1915,MIN(2025,E257))),SUMIFS(Donnees_generations!$AE$3:$AE$113,Donnees_generations!$A$3:$A$113,MAX(1915,MIN(2025,E257))),SUMIFS(Donnees_generations!$AF$3:$AF$113,Donnees_generations!$A$3:$A$113,MAX(1915,MIN(2025,E257))),SUMIFS(Donnees_generations!$AG$3:$AG$113,Donnees_generations!$A$3:$A$113,MAX(1915,MIN(2025,E257))),SUMIFS(Donnees_generations!$AH$3:$AH$113,Donnees_generations!$A$3:$A$113,MAX(1915,MIN(2025,E257))),SUMIFS(Donnees_generations!$AI$3:$AI$113,Donnees_generations!$A$3:$A$113,MAX(1915,MIN(2025,E257))),SUMIFS(Donnees_generations!$AJ$3:$AJ$113,Donnees_generations!$A$3:$A$113,MAX(1915,MIN(2025,E257)))))/2</f>
        <v/>
      </c>
      <c r="AJ257" s="8">
        <f>MAX(0,AH257+(AI257-AH257)*(K257-AG257)/2)</f>
        <v/>
      </c>
      <c r="AK257" s="8">
        <f>K257+AJ257</f>
        <v/>
      </c>
      <c r="AL257" s="14">
        <f>AE257*AJ257</f>
        <v/>
      </c>
      <c r="AM257" s="17">
        <f>V257/AL257</f>
        <v/>
      </c>
      <c r="AN257" s="17">
        <f>Z257/AL257</f>
        <v/>
      </c>
      <c r="AO257" s="33">
        <f>IF(V257+Z257=0,0,Z257/(V257+Z257))</f>
        <v/>
      </c>
      <c r="AP257" s="14">
        <f>AL257/V257*100</f>
        <v/>
      </c>
      <c r="AQ257" s="8">
        <f>P257/AL257*1000</f>
        <v/>
      </c>
      <c r="AR257" s="77">
        <f>MAX(N257,M257-1)</f>
        <v/>
      </c>
      <c r="AS257" s="14">
        <f>SUMIFS(Donnees_regimes!$R$3:$R$1118,Donnees_regimes!$A$3:$A$1118,C257,Donnees_regimes!$B$3:$B$1118,"&gt;="&amp;G257,Donnees_regimes!$B$3:$B$1118,"&lt;="&amp;N257)*L257/ROUNDUP(L257,0)*SUMIFS(Donnees_annuelles!$AG$3:$AG$188,Donnees_annuelles!$A$3:$A$188,AR257)*SUMIFS(Donnees_annuelles!$AA$3:$AA$188,Donnees_annuelles!$A$3:$A$188,AR257)</f>
        <v/>
      </c>
      <c r="AT257" s="36">
        <f>AS257/V257</f>
        <v/>
      </c>
      <c r="AU257" s="14">
        <f>AL257</f>
        <v/>
      </c>
      <c r="AV257" s="39">
        <f>AS257-AL257</f>
        <v/>
      </c>
      <c r="AW257" s="9">
        <f>AS257/AL257-1</f>
        <v/>
      </c>
      <c r="AX257" s="14">
        <f>AS257/AJ257/12</f>
        <v/>
      </c>
      <c r="AY257" s="14">
        <f>AF257</f>
        <v/>
      </c>
      <c r="AZ257" s="39">
        <f>AX257-AF257</f>
        <v/>
      </c>
      <c r="BA257" s="14">
        <f>SUMIFS(Donnees_regimes!$S$3:$S$1118,Donnees_regimes!$A$3:$A$1118,C257,Donnees_regimes!$B$3:$B$1118,"&gt;="&amp;G257,Donnees_regimes!$B$3:$B$1118,"&lt;="&amp;N257)*L257/ROUNDUP(L257,0)*SUMIFS(Donnees_annuelles!$AH$3:$AH$188,Donnees_annuelles!$A$3:$A$188,AR257)*SUMIFS(Donnees_annuelles!$AA$3:$AA$188,Donnees_annuelles!$A$3:$A$188,AR257)</f>
        <v/>
      </c>
      <c r="BB257" s="39">
        <f>BA257-AL257</f>
        <v/>
      </c>
      <c r="BC257" s="7">
        <f>IF(M257+AJ257&gt;2026,IF(G257&gt;2026,"entièrement projeté","en partie projeté"),"observé")</f>
        <v/>
      </c>
    </row>
    <row r="258">
      <c r="A258" s="7" t="inlineStr">
        <is>
          <t>Génération Y</t>
        </is>
      </c>
      <c r="B258" s="84" t="inlineStr">
        <is>
          <t>Fonction publique territoriale et hospitalière</t>
        </is>
      </c>
      <c r="C258" s="7">
        <f>IF(G258&gt;=SUMIFS(Regimes!$C$5:$C$10,Regimes!$A$5:$A$10,B258),"Privé",B258)</f>
        <v/>
      </c>
      <c r="D258" s="7">
        <f>INDEX(Regimes!$D$5:$D$10,MATCH(C258,Regimes!$A$5:$A$10,0))</f>
        <v/>
      </c>
      <c r="E258" s="88" t="n">
        <v>1987</v>
      </c>
      <c r="F258" s="8">
        <f>Donnees_generations!C75</f>
        <v/>
      </c>
      <c r="G258" s="77">
        <f>Donnees_generations!D75</f>
        <v/>
      </c>
      <c r="H258" s="8">
        <f>SUMIFS(Donnees_generations!$S$3:$S$113,Donnees_generations!$A$3:$A$113,MAX(1915,MIN(2025,E258)))</f>
        <v/>
      </c>
      <c r="I258" s="8">
        <f>SUMIFS(Donnees_generations!$T$3:$T$113,Donnees_generations!$A$3:$A$113,MAX(1915,MIN(2025,E258)))</f>
        <v/>
      </c>
      <c r="J258" s="8">
        <f>IF(G258&gt;=2000,MAX(I258,Parametres!$B$3),I258)</f>
        <v/>
      </c>
      <c r="K258" s="8">
        <f>IF(C258="Privé",J258,SUMIFS(Regles_regimes!$J$3:$J$2000,Regles_regimes!$A$3:$A$2000,C258,Regles_regimes!$B$3:$B$2000,D258,Regles_regimes!$C$3:$C$2000,MAX(1915,MIN(2025,E258))))</f>
        <v/>
      </c>
      <c r="L258" s="8">
        <f>IF(C258="Privé",H258,(K258-F258)*H258/(J258-F258))</f>
        <v/>
      </c>
      <c r="M258" s="77">
        <f>INT(E258+K258)</f>
        <v/>
      </c>
      <c r="N258" s="77">
        <f>G258+ROUNDUP(L258,0)-1</f>
        <v/>
      </c>
      <c r="O258" s="89">
        <f>SUMIFS(Regles_regimes!$K$3:$K$2000,Regles_regimes!$A$3:$A$2000,C258,Regles_regimes!$B$3:$B$2000,D258,Regles_regimes!$C$3:$C$2000,MAX(1915,MIN(2025,E258)))</f>
        <v/>
      </c>
      <c r="P258" s="13">
        <f>SUMIFS(Donnees_annuelles!$W$3:$W$188,Donnees_annuelles!$A$3:$A$188,"&gt;="&amp;G258,Donnees_annuelles!$A$3:$A$188,"&lt;="&amp;N258)*L258/ROUNDUP(L258,0)*O258</f>
        <v/>
      </c>
      <c r="Q258" s="13">
        <f>SUMIFS(Donnees_annuelles!$V$3:$V$188,Donnees_annuelles!$A$3:$A$188,"&gt;="&amp;G258,Donnees_annuelles!$A$3:$A$188,"&lt;="&amp;N258)*L258/ROUNDUP(L258,0)</f>
        <v/>
      </c>
      <c r="R258" s="13">
        <f>P258/L258</f>
        <v/>
      </c>
      <c r="S258" s="14">
        <f>SUMIFS(Donnees_annuelles!$D$3:$D$188,Donnees_annuelles!$A$3:$A$188,"&gt;="&amp;G258,Donnees_annuelles!$A$3:$A$188,"&lt;="&amp;N258)*L258/ROUNDUP(L258,0)</f>
        <v/>
      </c>
      <c r="T258" s="14">
        <f>SUMIFS(Donnees_regimes!$N$3:$N$1118,Donnees_regimes!$A$3:$A$1118,C258,Donnees_regimes!$B$3:$B$1118,"&gt;="&amp;G258,Donnees_regimes!$B$3:$B$1118,"&lt;="&amp;N258)*L258/ROUNDUP(L258,0)</f>
        <v/>
      </c>
      <c r="U258" s="14">
        <f>SUMIFS(Donnees_regimes!$O$3:$O$1118,Donnees_regimes!$A$3:$A$1118,C258,Donnees_regimes!$B$3:$B$1118,"&gt;="&amp;G258,Donnees_regimes!$B$3:$B$1118,"&lt;="&amp;N258)*L258/ROUNDUP(L258,0)</f>
        <v/>
      </c>
      <c r="V258" s="14">
        <f>T258+U258</f>
        <v/>
      </c>
      <c r="W258" s="33">
        <f>V258/S258</f>
        <v/>
      </c>
      <c r="X258" s="14">
        <f>S258+U258</f>
        <v/>
      </c>
      <c r="Y258" s="17">
        <f>V258/P258</f>
        <v/>
      </c>
      <c r="Z258" s="14">
        <f>SUMIFS(Donnees_regimes!$Q$3:$Q$1118,Donnees_regimes!$A$3:$A$1118,C258,Donnees_regimes!$B$3:$B$1118,"&gt;="&amp;G258,Donnees_regimes!$B$3:$B$1118,"&lt;="&amp;N258)*L258/ROUNDUP(L258,0)</f>
        <v/>
      </c>
      <c r="AA258" s="77">
        <f>SUMIFS(Regles_regimes!$F$3:$F$2000,Regles_regimes!$A$3:$A$2000,C258,Regles_regimes!$B$3:$B$2000,D258,Regles_regimes!$C$3:$C$2000,MAX(1915,MIN(2025,E258)))</f>
        <v/>
      </c>
      <c r="AB258" s="77">
        <f>IF(AND(SUMIFS(Regles_regimes!$L$3:$L$2000,Regles_regimes!$A$3:$A$2000,C258,Regles_regimes!$B$3:$B$2000,D258,Regles_regimes!$C$3:$C$2000,MAX(1915,MIN(2025,E258)))=1,G258&lt;2009,C258&lt;&gt;"Privé"),MIN(20,L258*4/5),0)</f>
        <v/>
      </c>
      <c r="AC258" s="89">
        <f>SUMIFS(Donnees_regimes!$M$3:$M$1118,Donnees_regimes!$A$3:$A$1118,C258,Donnees_regimes!$B$3:$B$1118,M258)</f>
        <v/>
      </c>
      <c r="AD258" s="14">
        <f>SUMIFS(Donnees_annuelles!$Y$3:$Y$188,Donnees_annuelles!$A$3:$A$188,M258)*SUMIFS(Donnees_generations!$I$3:$I$113,Donnees_generations!$A$3:$A$113,MAX(1915,MIN(2025,E258)))/H258</f>
        <v/>
      </c>
      <c r="AE258" s="14">
        <f>IF(C258="Privé",SUMIFS(Donnees_annuelles!$Y$3:$Y$188,Donnees_annuelles!$A$3:$A$188,M258)*MIN(L258,SUMIFS(Donnees_generations!$I$3:$I$113,Donnees_generations!$A$3:$A$113,MAX(1915,MIN(2025,E258))))/L258,AD258*AC258*MIN(IF(AB258&gt;0,0.8/0.75,1),(L258*4+AB258)/AA258))</f>
        <v/>
      </c>
      <c r="AF258" s="14">
        <f>AE258/12</f>
        <v/>
      </c>
      <c r="AG258" s="77">
        <f>MIN(68,MAX(56,2*INT(K258/2)))</f>
        <v/>
      </c>
      <c r="AH258" s="75">
        <f>(CHOOSE((AG258-56)/2+1,SUMIFS(Donnees_generations!$U$3:$U$113,Donnees_generations!$A$3:$A$113,MAX(1915,MIN(2025,E258))),SUMIFS(Donnees_generations!$V$3:$V$113,Donnees_generations!$A$3:$A$113,MAX(1915,MIN(2025,E258))),SUMIFS(Donnees_generations!$W$3:$W$113,Donnees_generations!$A$3:$A$113,MAX(1915,MIN(2025,E258))),SUMIFS(Donnees_generations!$X$3:$X$113,Donnees_generations!$A$3:$A$113,MAX(1915,MIN(2025,E258))),SUMIFS(Donnees_generations!$Y$3:$Y$113,Donnees_generations!$A$3:$A$113,MAX(1915,MIN(2025,E258))),SUMIFS(Donnees_generations!$Z$3:$Z$113,Donnees_generations!$A$3:$A$113,MAX(1915,MIN(2025,E258))),SUMIFS(Donnees_generations!$AA$3:$AA$113,Donnees_generations!$A$3:$A$113,MAX(1915,MIN(2025,E258))),SUMIFS(Donnees_generations!$AB$3:$AB$113,Donnees_generations!$A$3:$A$113,MAX(1915,MIN(2025,E258))))+CHOOSE((AG258-56)/2+1,SUMIFS(Donnees_generations!$AC$3:$AC$113,Donnees_generations!$A$3:$A$113,MAX(1915,MIN(2025,E258))),SUMIFS(Donnees_generations!$AD$3:$AD$113,Donnees_generations!$A$3:$A$113,MAX(1915,MIN(2025,E258))),SUMIFS(Donnees_generations!$AE$3:$AE$113,Donnees_generations!$A$3:$A$113,MAX(1915,MIN(2025,E258))),SUMIFS(Donnees_generations!$AF$3:$AF$113,Donnees_generations!$A$3:$A$113,MAX(1915,MIN(2025,E258))),SUMIFS(Donnees_generations!$AG$3:$AG$113,Donnees_generations!$A$3:$A$113,MAX(1915,MIN(2025,E258))),SUMIFS(Donnees_generations!$AH$3:$AH$113,Donnees_generations!$A$3:$A$113,MAX(1915,MIN(2025,E258))),SUMIFS(Donnees_generations!$AI$3:$AI$113,Donnees_generations!$A$3:$A$113,MAX(1915,MIN(2025,E258))),SUMIFS(Donnees_generations!$AJ$3:$AJ$113,Donnees_generations!$A$3:$A$113,MAX(1915,MIN(2025,E258)))))/2</f>
        <v/>
      </c>
      <c r="AI258" s="75">
        <f>(CHOOSE(((AG258+2)-56)/2+1,SUMIFS(Donnees_generations!$U$3:$U$113,Donnees_generations!$A$3:$A$113,MAX(1915,MIN(2025,E258))),SUMIFS(Donnees_generations!$V$3:$V$113,Donnees_generations!$A$3:$A$113,MAX(1915,MIN(2025,E258))),SUMIFS(Donnees_generations!$W$3:$W$113,Donnees_generations!$A$3:$A$113,MAX(1915,MIN(2025,E258))),SUMIFS(Donnees_generations!$X$3:$X$113,Donnees_generations!$A$3:$A$113,MAX(1915,MIN(2025,E258))),SUMIFS(Donnees_generations!$Y$3:$Y$113,Donnees_generations!$A$3:$A$113,MAX(1915,MIN(2025,E258))),SUMIFS(Donnees_generations!$Z$3:$Z$113,Donnees_generations!$A$3:$A$113,MAX(1915,MIN(2025,E258))),SUMIFS(Donnees_generations!$AA$3:$AA$113,Donnees_generations!$A$3:$A$113,MAX(1915,MIN(2025,E258))),SUMIFS(Donnees_generations!$AB$3:$AB$113,Donnees_generations!$A$3:$A$113,MAX(1915,MIN(2025,E258))))+CHOOSE(((AG258+2)-56)/2+1,SUMIFS(Donnees_generations!$AC$3:$AC$113,Donnees_generations!$A$3:$A$113,MAX(1915,MIN(2025,E258))),SUMIFS(Donnees_generations!$AD$3:$AD$113,Donnees_generations!$A$3:$A$113,MAX(1915,MIN(2025,E258))),SUMIFS(Donnees_generations!$AE$3:$AE$113,Donnees_generations!$A$3:$A$113,MAX(1915,MIN(2025,E258))),SUMIFS(Donnees_generations!$AF$3:$AF$113,Donnees_generations!$A$3:$A$113,MAX(1915,MIN(2025,E258))),SUMIFS(Donnees_generations!$AG$3:$AG$113,Donnees_generations!$A$3:$A$113,MAX(1915,MIN(2025,E258))),SUMIFS(Donnees_generations!$AH$3:$AH$113,Donnees_generations!$A$3:$A$113,MAX(1915,MIN(2025,E258))),SUMIFS(Donnees_generations!$AI$3:$AI$113,Donnees_generations!$A$3:$A$113,MAX(1915,MIN(2025,E258))),SUMIFS(Donnees_generations!$AJ$3:$AJ$113,Donnees_generations!$A$3:$A$113,MAX(1915,MIN(2025,E258)))))/2</f>
        <v/>
      </c>
      <c r="AJ258" s="8">
        <f>MAX(0,AH258+(AI258-AH258)*(K258-AG258)/2)</f>
        <v/>
      </c>
      <c r="AK258" s="8">
        <f>K258+AJ258</f>
        <v/>
      </c>
      <c r="AL258" s="14">
        <f>AE258*AJ258</f>
        <v/>
      </c>
      <c r="AM258" s="17">
        <f>V258/AL258</f>
        <v/>
      </c>
      <c r="AN258" s="17">
        <f>Z258/AL258</f>
        <v/>
      </c>
      <c r="AO258" s="33">
        <f>IF(V258+Z258=0,0,Z258/(V258+Z258))</f>
        <v/>
      </c>
      <c r="AP258" s="14">
        <f>AL258/V258*100</f>
        <v/>
      </c>
      <c r="AQ258" s="8">
        <f>P258/AL258*1000</f>
        <v/>
      </c>
      <c r="AR258" s="77">
        <f>MAX(N258,M258-1)</f>
        <v/>
      </c>
      <c r="AS258" s="14">
        <f>SUMIFS(Donnees_regimes!$R$3:$R$1118,Donnees_regimes!$A$3:$A$1118,C258,Donnees_regimes!$B$3:$B$1118,"&gt;="&amp;G258,Donnees_regimes!$B$3:$B$1118,"&lt;="&amp;N258)*L258/ROUNDUP(L258,0)*SUMIFS(Donnees_annuelles!$AG$3:$AG$188,Donnees_annuelles!$A$3:$A$188,AR258)*SUMIFS(Donnees_annuelles!$AA$3:$AA$188,Donnees_annuelles!$A$3:$A$188,AR258)</f>
        <v/>
      </c>
      <c r="AT258" s="36">
        <f>AS258/V258</f>
        <v/>
      </c>
      <c r="AU258" s="14">
        <f>AL258</f>
        <v/>
      </c>
      <c r="AV258" s="39">
        <f>AS258-AL258</f>
        <v/>
      </c>
      <c r="AW258" s="9">
        <f>AS258/AL258-1</f>
        <v/>
      </c>
      <c r="AX258" s="14">
        <f>AS258/AJ258/12</f>
        <v/>
      </c>
      <c r="AY258" s="14">
        <f>AF258</f>
        <v/>
      </c>
      <c r="AZ258" s="39">
        <f>AX258-AF258</f>
        <v/>
      </c>
      <c r="BA258" s="14">
        <f>SUMIFS(Donnees_regimes!$S$3:$S$1118,Donnees_regimes!$A$3:$A$1118,C258,Donnees_regimes!$B$3:$B$1118,"&gt;="&amp;G258,Donnees_regimes!$B$3:$B$1118,"&lt;="&amp;N258)*L258/ROUNDUP(L258,0)*SUMIFS(Donnees_annuelles!$AH$3:$AH$188,Donnees_annuelles!$A$3:$A$188,AR258)*SUMIFS(Donnees_annuelles!$AA$3:$AA$188,Donnees_annuelles!$A$3:$A$188,AR258)</f>
        <v/>
      </c>
      <c r="BB258" s="39">
        <f>BA258-AL258</f>
        <v/>
      </c>
      <c r="BC258" s="7">
        <f>IF(M258+AJ258&gt;2026,IF(G258&gt;2026,"entièrement projeté","en partie projeté"),"observé")</f>
        <v/>
      </c>
    </row>
    <row r="259">
      <c r="A259" s="7" t="inlineStr">
        <is>
          <t>Génération Y</t>
        </is>
      </c>
      <c r="B259" s="84" t="inlineStr">
        <is>
          <t>Fonction publique territoriale et hospitalière</t>
        </is>
      </c>
      <c r="C259" s="7">
        <f>IF(G259&gt;=SUMIFS(Regimes!$C$5:$C$10,Regimes!$A$5:$A$10,B259),"Privé",B259)</f>
        <v/>
      </c>
      <c r="D259" s="7">
        <f>INDEX(Regimes!$D$5:$D$10,MATCH(C259,Regimes!$A$5:$A$10,0))</f>
        <v/>
      </c>
      <c r="E259" s="88" t="n">
        <v>1988</v>
      </c>
      <c r="F259" s="8">
        <f>Donnees_generations!C76</f>
        <v/>
      </c>
      <c r="G259" s="77">
        <f>Donnees_generations!D76</f>
        <v/>
      </c>
      <c r="H259" s="8">
        <f>SUMIFS(Donnees_generations!$S$3:$S$113,Donnees_generations!$A$3:$A$113,MAX(1915,MIN(2025,E259)))</f>
        <v/>
      </c>
      <c r="I259" s="8">
        <f>SUMIFS(Donnees_generations!$T$3:$T$113,Donnees_generations!$A$3:$A$113,MAX(1915,MIN(2025,E259)))</f>
        <v/>
      </c>
      <c r="J259" s="8">
        <f>IF(G259&gt;=2000,MAX(I259,Parametres!$B$3),I259)</f>
        <v/>
      </c>
      <c r="K259" s="8">
        <f>IF(C259="Privé",J259,SUMIFS(Regles_regimes!$J$3:$J$2000,Regles_regimes!$A$3:$A$2000,C259,Regles_regimes!$B$3:$B$2000,D259,Regles_regimes!$C$3:$C$2000,MAX(1915,MIN(2025,E259))))</f>
        <v/>
      </c>
      <c r="L259" s="8">
        <f>IF(C259="Privé",H259,(K259-F259)*H259/(J259-F259))</f>
        <v/>
      </c>
      <c r="M259" s="77">
        <f>INT(E259+K259)</f>
        <v/>
      </c>
      <c r="N259" s="77">
        <f>G259+ROUNDUP(L259,0)-1</f>
        <v/>
      </c>
      <c r="O259" s="89">
        <f>SUMIFS(Regles_regimes!$K$3:$K$2000,Regles_regimes!$A$3:$A$2000,C259,Regles_regimes!$B$3:$B$2000,D259,Regles_regimes!$C$3:$C$2000,MAX(1915,MIN(2025,E259)))</f>
        <v/>
      </c>
      <c r="P259" s="13">
        <f>SUMIFS(Donnees_annuelles!$W$3:$W$188,Donnees_annuelles!$A$3:$A$188,"&gt;="&amp;G259,Donnees_annuelles!$A$3:$A$188,"&lt;="&amp;N259)*L259/ROUNDUP(L259,0)*O259</f>
        <v/>
      </c>
      <c r="Q259" s="13">
        <f>SUMIFS(Donnees_annuelles!$V$3:$V$188,Donnees_annuelles!$A$3:$A$188,"&gt;="&amp;G259,Donnees_annuelles!$A$3:$A$188,"&lt;="&amp;N259)*L259/ROUNDUP(L259,0)</f>
        <v/>
      </c>
      <c r="R259" s="13">
        <f>P259/L259</f>
        <v/>
      </c>
      <c r="S259" s="14">
        <f>SUMIFS(Donnees_annuelles!$D$3:$D$188,Donnees_annuelles!$A$3:$A$188,"&gt;="&amp;G259,Donnees_annuelles!$A$3:$A$188,"&lt;="&amp;N259)*L259/ROUNDUP(L259,0)</f>
        <v/>
      </c>
      <c r="T259" s="14">
        <f>SUMIFS(Donnees_regimes!$N$3:$N$1118,Donnees_regimes!$A$3:$A$1118,C259,Donnees_regimes!$B$3:$B$1118,"&gt;="&amp;G259,Donnees_regimes!$B$3:$B$1118,"&lt;="&amp;N259)*L259/ROUNDUP(L259,0)</f>
        <v/>
      </c>
      <c r="U259" s="14">
        <f>SUMIFS(Donnees_regimes!$O$3:$O$1118,Donnees_regimes!$A$3:$A$1118,C259,Donnees_regimes!$B$3:$B$1118,"&gt;="&amp;G259,Donnees_regimes!$B$3:$B$1118,"&lt;="&amp;N259)*L259/ROUNDUP(L259,0)</f>
        <v/>
      </c>
      <c r="V259" s="14">
        <f>T259+U259</f>
        <v/>
      </c>
      <c r="W259" s="33">
        <f>V259/S259</f>
        <v/>
      </c>
      <c r="X259" s="14">
        <f>S259+U259</f>
        <v/>
      </c>
      <c r="Y259" s="17">
        <f>V259/P259</f>
        <v/>
      </c>
      <c r="Z259" s="14">
        <f>SUMIFS(Donnees_regimes!$Q$3:$Q$1118,Donnees_regimes!$A$3:$A$1118,C259,Donnees_regimes!$B$3:$B$1118,"&gt;="&amp;G259,Donnees_regimes!$B$3:$B$1118,"&lt;="&amp;N259)*L259/ROUNDUP(L259,0)</f>
        <v/>
      </c>
      <c r="AA259" s="77">
        <f>SUMIFS(Regles_regimes!$F$3:$F$2000,Regles_regimes!$A$3:$A$2000,C259,Regles_regimes!$B$3:$B$2000,D259,Regles_regimes!$C$3:$C$2000,MAX(1915,MIN(2025,E259)))</f>
        <v/>
      </c>
      <c r="AB259" s="77">
        <f>IF(AND(SUMIFS(Regles_regimes!$L$3:$L$2000,Regles_regimes!$A$3:$A$2000,C259,Regles_regimes!$B$3:$B$2000,D259,Regles_regimes!$C$3:$C$2000,MAX(1915,MIN(2025,E259)))=1,G259&lt;2009,C259&lt;&gt;"Privé"),MIN(20,L259*4/5),0)</f>
        <v/>
      </c>
      <c r="AC259" s="89">
        <f>SUMIFS(Donnees_regimes!$M$3:$M$1118,Donnees_regimes!$A$3:$A$1118,C259,Donnees_regimes!$B$3:$B$1118,M259)</f>
        <v/>
      </c>
      <c r="AD259" s="14">
        <f>SUMIFS(Donnees_annuelles!$Y$3:$Y$188,Donnees_annuelles!$A$3:$A$188,M259)*SUMIFS(Donnees_generations!$I$3:$I$113,Donnees_generations!$A$3:$A$113,MAX(1915,MIN(2025,E259)))/H259</f>
        <v/>
      </c>
      <c r="AE259" s="14">
        <f>IF(C259="Privé",SUMIFS(Donnees_annuelles!$Y$3:$Y$188,Donnees_annuelles!$A$3:$A$188,M259)*MIN(L259,SUMIFS(Donnees_generations!$I$3:$I$113,Donnees_generations!$A$3:$A$113,MAX(1915,MIN(2025,E259))))/L259,AD259*AC259*MIN(IF(AB259&gt;0,0.8/0.75,1),(L259*4+AB259)/AA259))</f>
        <v/>
      </c>
      <c r="AF259" s="14">
        <f>AE259/12</f>
        <v/>
      </c>
      <c r="AG259" s="77">
        <f>MIN(68,MAX(56,2*INT(K259/2)))</f>
        <v/>
      </c>
      <c r="AH259" s="75">
        <f>(CHOOSE((AG259-56)/2+1,SUMIFS(Donnees_generations!$U$3:$U$113,Donnees_generations!$A$3:$A$113,MAX(1915,MIN(2025,E259))),SUMIFS(Donnees_generations!$V$3:$V$113,Donnees_generations!$A$3:$A$113,MAX(1915,MIN(2025,E259))),SUMIFS(Donnees_generations!$W$3:$W$113,Donnees_generations!$A$3:$A$113,MAX(1915,MIN(2025,E259))),SUMIFS(Donnees_generations!$X$3:$X$113,Donnees_generations!$A$3:$A$113,MAX(1915,MIN(2025,E259))),SUMIFS(Donnees_generations!$Y$3:$Y$113,Donnees_generations!$A$3:$A$113,MAX(1915,MIN(2025,E259))),SUMIFS(Donnees_generations!$Z$3:$Z$113,Donnees_generations!$A$3:$A$113,MAX(1915,MIN(2025,E259))),SUMIFS(Donnees_generations!$AA$3:$AA$113,Donnees_generations!$A$3:$A$113,MAX(1915,MIN(2025,E259))),SUMIFS(Donnees_generations!$AB$3:$AB$113,Donnees_generations!$A$3:$A$113,MAX(1915,MIN(2025,E259))))+CHOOSE((AG259-56)/2+1,SUMIFS(Donnees_generations!$AC$3:$AC$113,Donnees_generations!$A$3:$A$113,MAX(1915,MIN(2025,E259))),SUMIFS(Donnees_generations!$AD$3:$AD$113,Donnees_generations!$A$3:$A$113,MAX(1915,MIN(2025,E259))),SUMIFS(Donnees_generations!$AE$3:$AE$113,Donnees_generations!$A$3:$A$113,MAX(1915,MIN(2025,E259))),SUMIFS(Donnees_generations!$AF$3:$AF$113,Donnees_generations!$A$3:$A$113,MAX(1915,MIN(2025,E259))),SUMIFS(Donnees_generations!$AG$3:$AG$113,Donnees_generations!$A$3:$A$113,MAX(1915,MIN(2025,E259))),SUMIFS(Donnees_generations!$AH$3:$AH$113,Donnees_generations!$A$3:$A$113,MAX(1915,MIN(2025,E259))),SUMIFS(Donnees_generations!$AI$3:$AI$113,Donnees_generations!$A$3:$A$113,MAX(1915,MIN(2025,E259))),SUMIFS(Donnees_generations!$AJ$3:$AJ$113,Donnees_generations!$A$3:$A$113,MAX(1915,MIN(2025,E259)))))/2</f>
        <v/>
      </c>
      <c r="AI259" s="75">
        <f>(CHOOSE(((AG259+2)-56)/2+1,SUMIFS(Donnees_generations!$U$3:$U$113,Donnees_generations!$A$3:$A$113,MAX(1915,MIN(2025,E259))),SUMIFS(Donnees_generations!$V$3:$V$113,Donnees_generations!$A$3:$A$113,MAX(1915,MIN(2025,E259))),SUMIFS(Donnees_generations!$W$3:$W$113,Donnees_generations!$A$3:$A$113,MAX(1915,MIN(2025,E259))),SUMIFS(Donnees_generations!$X$3:$X$113,Donnees_generations!$A$3:$A$113,MAX(1915,MIN(2025,E259))),SUMIFS(Donnees_generations!$Y$3:$Y$113,Donnees_generations!$A$3:$A$113,MAX(1915,MIN(2025,E259))),SUMIFS(Donnees_generations!$Z$3:$Z$113,Donnees_generations!$A$3:$A$113,MAX(1915,MIN(2025,E259))),SUMIFS(Donnees_generations!$AA$3:$AA$113,Donnees_generations!$A$3:$A$113,MAX(1915,MIN(2025,E259))),SUMIFS(Donnees_generations!$AB$3:$AB$113,Donnees_generations!$A$3:$A$113,MAX(1915,MIN(2025,E259))))+CHOOSE(((AG259+2)-56)/2+1,SUMIFS(Donnees_generations!$AC$3:$AC$113,Donnees_generations!$A$3:$A$113,MAX(1915,MIN(2025,E259))),SUMIFS(Donnees_generations!$AD$3:$AD$113,Donnees_generations!$A$3:$A$113,MAX(1915,MIN(2025,E259))),SUMIFS(Donnees_generations!$AE$3:$AE$113,Donnees_generations!$A$3:$A$113,MAX(1915,MIN(2025,E259))),SUMIFS(Donnees_generations!$AF$3:$AF$113,Donnees_generations!$A$3:$A$113,MAX(1915,MIN(2025,E259))),SUMIFS(Donnees_generations!$AG$3:$AG$113,Donnees_generations!$A$3:$A$113,MAX(1915,MIN(2025,E259))),SUMIFS(Donnees_generations!$AH$3:$AH$113,Donnees_generations!$A$3:$A$113,MAX(1915,MIN(2025,E259))),SUMIFS(Donnees_generations!$AI$3:$AI$113,Donnees_generations!$A$3:$A$113,MAX(1915,MIN(2025,E259))),SUMIFS(Donnees_generations!$AJ$3:$AJ$113,Donnees_generations!$A$3:$A$113,MAX(1915,MIN(2025,E259)))))/2</f>
        <v/>
      </c>
      <c r="AJ259" s="8">
        <f>MAX(0,AH259+(AI259-AH259)*(K259-AG259)/2)</f>
        <v/>
      </c>
      <c r="AK259" s="8">
        <f>K259+AJ259</f>
        <v/>
      </c>
      <c r="AL259" s="14">
        <f>AE259*AJ259</f>
        <v/>
      </c>
      <c r="AM259" s="17">
        <f>V259/AL259</f>
        <v/>
      </c>
      <c r="AN259" s="17">
        <f>Z259/AL259</f>
        <v/>
      </c>
      <c r="AO259" s="33">
        <f>IF(V259+Z259=0,0,Z259/(V259+Z259))</f>
        <v/>
      </c>
      <c r="AP259" s="14">
        <f>AL259/V259*100</f>
        <v/>
      </c>
      <c r="AQ259" s="8">
        <f>P259/AL259*1000</f>
        <v/>
      </c>
      <c r="AR259" s="77">
        <f>MAX(N259,M259-1)</f>
        <v/>
      </c>
      <c r="AS259" s="14">
        <f>SUMIFS(Donnees_regimes!$R$3:$R$1118,Donnees_regimes!$A$3:$A$1118,C259,Donnees_regimes!$B$3:$B$1118,"&gt;="&amp;G259,Donnees_regimes!$B$3:$B$1118,"&lt;="&amp;N259)*L259/ROUNDUP(L259,0)*SUMIFS(Donnees_annuelles!$AG$3:$AG$188,Donnees_annuelles!$A$3:$A$188,AR259)*SUMIFS(Donnees_annuelles!$AA$3:$AA$188,Donnees_annuelles!$A$3:$A$188,AR259)</f>
        <v/>
      </c>
      <c r="AT259" s="36">
        <f>AS259/V259</f>
        <v/>
      </c>
      <c r="AU259" s="14">
        <f>AL259</f>
        <v/>
      </c>
      <c r="AV259" s="39">
        <f>AS259-AL259</f>
        <v/>
      </c>
      <c r="AW259" s="9">
        <f>AS259/AL259-1</f>
        <v/>
      </c>
      <c r="AX259" s="14">
        <f>AS259/AJ259/12</f>
        <v/>
      </c>
      <c r="AY259" s="14">
        <f>AF259</f>
        <v/>
      </c>
      <c r="AZ259" s="39">
        <f>AX259-AF259</f>
        <v/>
      </c>
      <c r="BA259" s="14">
        <f>SUMIFS(Donnees_regimes!$S$3:$S$1118,Donnees_regimes!$A$3:$A$1118,C259,Donnees_regimes!$B$3:$B$1118,"&gt;="&amp;G259,Donnees_regimes!$B$3:$B$1118,"&lt;="&amp;N259)*L259/ROUNDUP(L259,0)*SUMIFS(Donnees_annuelles!$AH$3:$AH$188,Donnees_annuelles!$A$3:$A$188,AR259)*SUMIFS(Donnees_annuelles!$AA$3:$AA$188,Donnees_annuelles!$A$3:$A$188,AR259)</f>
        <v/>
      </c>
      <c r="BB259" s="39">
        <f>BA259-AL259</f>
        <v/>
      </c>
      <c r="BC259" s="7">
        <f>IF(M259+AJ259&gt;2026,IF(G259&gt;2026,"entièrement projeté","en partie projeté"),"observé")</f>
        <v/>
      </c>
    </row>
    <row r="260">
      <c r="A260" s="7" t="inlineStr">
        <is>
          <t>Génération Y</t>
        </is>
      </c>
      <c r="B260" s="84" t="inlineStr">
        <is>
          <t>Fonction publique territoriale et hospitalière</t>
        </is>
      </c>
      <c r="C260" s="7">
        <f>IF(G260&gt;=SUMIFS(Regimes!$C$5:$C$10,Regimes!$A$5:$A$10,B260),"Privé",B260)</f>
        <v/>
      </c>
      <c r="D260" s="7">
        <f>INDEX(Regimes!$D$5:$D$10,MATCH(C260,Regimes!$A$5:$A$10,0))</f>
        <v/>
      </c>
      <c r="E260" s="88" t="n">
        <v>1989</v>
      </c>
      <c r="F260" s="8">
        <f>Donnees_generations!C77</f>
        <v/>
      </c>
      <c r="G260" s="77">
        <f>Donnees_generations!D77</f>
        <v/>
      </c>
      <c r="H260" s="8">
        <f>SUMIFS(Donnees_generations!$S$3:$S$113,Donnees_generations!$A$3:$A$113,MAX(1915,MIN(2025,E260)))</f>
        <v/>
      </c>
      <c r="I260" s="8">
        <f>SUMIFS(Donnees_generations!$T$3:$T$113,Donnees_generations!$A$3:$A$113,MAX(1915,MIN(2025,E260)))</f>
        <v/>
      </c>
      <c r="J260" s="8">
        <f>IF(G260&gt;=2000,MAX(I260,Parametres!$B$3),I260)</f>
        <v/>
      </c>
      <c r="K260" s="8">
        <f>IF(C260="Privé",J260,SUMIFS(Regles_regimes!$J$3:$J$2000,Regles_regimes!$A$3:$A$2000,C260,Regles_regimes!$B$3:$B$2000,D260,Regles_regimes!$C$3:$C$2000,MAX(1915,MIN(2025,E260))))</f>
        <v/>
      </c>
      <c r="L260" s="8">
        <f>IF(C260="Privé",H260,(K260-F260)*H260/(J260-F260))</f>
        <v/>
      </c>
      <c r="M260" s="77">
        <f>INT(E260+K260)</f>
        <v/>
      </c>
      <c r="N260" s="77">
        <f>G260+ROUNDUP(L260,0)-1</f>
        <v/>
      </c>
      <c r="O260" s="89">
        <f>SUMIFS(Regles_regimes!$K$3:$K$2000,Regles_regimes!$A$3:$A$2000,C260,Regles_regimes!$B$3:$B$2000,D260,Regles_regimes!$C$3:$C$2000,MAX(1915,MIN(2025,E260)))</f>
        <v/>
      </c>
      <c r="P260" s="13">
        <f>SUMIFS(Donnees_annuelles!$W$3:$W$188,Donnees_annuelles!$A$3:$A$188,"&gt;="&amp;G260,Donnees_annuelles!$A$3:$A$188,"&lt;="&amp;N260)*L260/ROUNDUP(L260,0)*O260</f>
        <v/>
      </c>
      <c r="Q260" s="13">
        <f>SUMIFS(Donnees_annuelles!$V$3:$V$188,Donnees_annuelles!$A$3:$A$188,"&gt;="&amp;G260,Donnees_annuelles!$A$3:$A$188,"&lt;="&amp;N260)*L260/ROUNDUP(L260,0)</f>
        <v/>
      </c>
      <c r="R260" s="13">
        <f>P260/L260</f>
        <v/>
      </c>
      <c r="S260" s="14">
        <f>SUMIFS(Donnees_annuelles!$D$3:$D$188,Donnees_annuelles!$A$3:$A$188,"&gt;="&amp;G260,Donnees_annuelles!$A$3:$A$188,"&lt;="&amp;N260)*L260/ROUNDUP(L260,0)</f>
        <v/>
      </c>
      <c r="T260" s="14">
        <f>SUMIFS(Donnees_regimes!$N$3:$N$1118,Donnees_regimes!$A$3:$A$1118,C260,Donnees_regimes!$B$3:$B$1118,"&gt;="&amp;G260,Donnees_regimes!$B$3:$B$1118,"&lt;="&amp;N260)*L260/ROUNDUP(L260,0)</f>
        <v/>
      </c>
      <c r="U260" s="14">
        <f>SUMIFS(Donnees_regimes!$O$3:$O$1118,Donnees_regimes!$A$3:$A$1118,C260,Donnees_regimes!$B$3:$B$1118,"&gt;="&amp;G260,Donnees_regimes!$B$3:$B$1118,"&lt;="&amp;N260)*L260/ROUNDUP(L260,0)</f>
        <v/>
      </c>
      <c r="V260" s="14">
        <f>T260+U260</f>
        <v/>
      </c>
      <c r="W260" s="33">
        <f>V260/S260</f>
        <v/>
      </c>
      <c r="X260" s="14">
        <f>S260+U260</f>
        <v/>
      </c>
      <c r="Y260" s="17">
        <f>V260/P260</f>
        <v/>
      </c>
      <c r="Z260" s="14">
        <f>SUMIFS(Donnees_regimes!$Q$3:$Q$1118,Donnees_regimes!$A$3:$A$1118,C260,Donnees_regimes!$B$3:$B$1118,"&gt;="&amp;G260,Donnees_regimes!$B$3:$B$1118,"&lt;="&amp;N260)*L260/ROUNDUP(L260,0)</f>
        <v/>
      </c>
      <c r="AA260" s="77">
        <f>SUMIFS(Regles_regimes!$F$3:$F$2000,Regles_regimes!$A$3:$A$2000,C260,Regles_regimes!$B$3:$B$2000,D260,Regles_regimes!$C$3:$C$2000,MAX(1915,MIN(2025,E260)))</f>
        <v/>
      </c>
      <c r="AB260" s="77">
        <f>IF(AND(SUMIFS(Regles_regimes!$L$3:$L$2000,Regles_regimes!$A$3:$A$2000,C260,Regles_regimes!$B$3:$B$2000,D260,Regles_regimes!$C$3:$C$2000,MAX(1915,MIN(2025,E260)))=1,G260&lt;2009,C260&lt;&gt;"Privé"),MIN(20,L260*4/5),0)</f>
        <v/>
      </c>
      <c r="AC260" s="89">
        <f>SUMIFS(Donnees_regimes!$M$3:$M$1118,Donnees_regimes!$A$3:$A$1118,C260,Donnees_regimes!$B$3:$B$1118,M260)</f>
        <v/>
      </c>
      <c r="AD260" s="14">
        <f>SUMIFS(Donnees_annuelles!$Y$3:$Y$188,Donnees_annuelles!$A$3:$A$188,M260)*SUMIFS(Donnees_generations!$I$3:$I$113,Donnees_generations!$A$3:$A$113,MAX(1915,MIN(2025,E260)))/H260</f>
        <v/>
      </c>
      <c r="AE260" s="14">
        <f>IF(C260="Privé",SUMIFS(Donnees_annuelles!$Y$3:$Y$188,Donnees_annuelles!$A$3:$A$188,M260)*MIN(L260,SUMIFS(Donnees_generations!$I$3:$I$113,Donnees_generations!$A$3:$A$113,MAX(1915,MIN(2025,E260))))/L260,AD260*AC260*MIN(IF(AB260&gt;0,0.8/0.75,1),(L260*4+AB260)/AA260))</f>
        <v/>
      </c>
      <c r="AF260" s="14">
        <f>AE260/12</f>
        <v/>
      </c>
      <c r="AG260" s="77">
        <f>MIN(68,MAX(56,2*INT(K260/2)))</f>
        <v/>
      </c>
      <c r="AH260" s="75">
        <f>(CHOOSE((AG260-56)/2+1,SUMIFS(Donnees_generations!$U$3:$U$113,Donnees_generations!$A$3:$A$113,MAX(1915,MIN(2025,E260))),SUMIFS(Donnees_generations!$V$3:$V$113,Donnees_generations!$A$3:$A$113,MAX(1915,MIN(2025,E260))),SUMIFS(Donnees_generations!$W$3:$W$113,Donnees_generations!$A$3:$A$113,MAX(1915,MIN(2025,E260))),SUMIFS(Donnees_generations!$X$3:$X$113,Donnees_generations!$A$3:$A$113,MAX(1915,MIN(2025,E260))),SUMIFS(Donnees_generations!$Y$3:$Y$113,Donnees_generations!$A$3:$A$113,MAX(1915,MIN(2025,E260))),SUMIFS(Donnees_generations!$Z$3:$Z$113,Donnees_generations!$A$3:$A$113,MAX(1915,MIN(2025,E260))),SUMIFS(Donnees_generations!$AA$3:$AA$113,Donnees_generations!$A$3:$A$113,MAX(1915,MIN(2025,E260))),SUMIFS(Donnees_generations!$AB$3:$AB$113,Donnees_generations!$A$3:$A$113,MAX(1915,MIN(2025,E260))))+CHOOSE((AG260-56)/2+1,SUMIFS(Donnees_generations!$AC$3:$AC$113,Donnees_generations!$A$3:$A$113,MAX(1915,MIN(2025,E260))),SUMIFS(Donnees_generations!$AD$3:$AD$113,Donnees_generations!$A$3:$A$113,MAX(1915,MIN(2025,E260))),SUMIFS(Donnees_generations!$AE$3:$AE$113,Donnees_generations!$A$3:$A$113,MAX(1915,MIN(2025,E260))),SUMIFS(Donnees_generations!$AF$3:$AF$113,Donnees_generations!$A$3:$A$113,MAX(1915,MIN(2025,E260))),SUMIFS(Donnees_generations!$AG$3:$AG$113,Donnees_generations!$A$3:$A$113,MAX(1915,MIN(2025,E260))),SUMIFS(Donnees_generations!$AH$3:$AH$113,Donnees_generations!$A$3:$A$113,MAX(1915,MIN(2025,E260))),SUMIFS(Donnees_generations!$AI$3:$AI$113,Donnees_generations!$A$3:$A$113,MAX(1915,MIN(2025,E260))),SUMIFS(Donnees_generations!$AJ$3:$AJ$113,Donnees_generations!$A$3:$A$113,MAX(1915,MIN(2025,E260)))))/2</f>
        <v/>
      </c>
      <c r="AI260" s="75">
        <f>(CHOOSE(((AG260+2)-56)/2+1,SUMIFS(Donnees_generations!$U$3:$U$113,Donnees_generations!$A$3:$A$113,MAX(1915,MIN(2025,E260))),SUMIFS(Donnees_generations!$V$3:$V$113,Donnees_generations!$A$3:$A$113,MAX(1915,MIN(2025,E260))),SUMIFS(Donnees_generations!$W$3:$W$113,Donnees_generations!$A$3:$A$113,MAX(1915,MIN(2025,E260))),SUMIFS(Donnees_generations!$X$3:$X$113,Donnees_generations!$A$3:$A$113,MAX(1915,MIN(2025,E260))),SUMIFS(Donnees_generations!$Y$3:$Y$113,Donnees_generations!$A$3:$A$113,MAX(1915,MIN(2025,E260))),SUMIFS(Donnees_generations!$Z$3:$Z$113,Donnees_generations!$A$3:$A$113,MAX(1915,MIN(2025,E260))),SUMIFS(Donnees_generations!$AA$3:$AA$113,Donnees_generations!$A$3:$A$113,MAX(1915,MIN(2025,E260))),SUMIFS(Donnees_generations!$AB$3:$AB$113,Donnees_generations!$A$3:$A$113,MAX(1915,MIN(2025,E260))))+CHOOSE(((AG260+2)-56)/2+1,SUMIFS(Donnees_generations!$AC$3:$AC$113,Donnees_generations!$A$3:$A$113,MAX(1915,MIN(2025,E260))),SUMIFS(Donnees_generations!$AD$3:$AD$113,Donnees_generations!$A$3:$A$113,MAX(1915,MIN(2025,E260))),SUMIFS(Donnees_generations!$AE$3:$AE$113,Donnees_generations!$A$3:$A$113,MAX(1915,MIN(2025,E260))),SUMIFS(Donnees_generations!$AF$3:$AF$113,Donnees_generations!$A$3:$A$113,MAX(1915,MIN(2025,E260))),SUMIFS(Donnees_generations!$AG$3:$AG$113,Donnees_generations!$A$3:$A$113,MAX(1915,MIN(2025,E260))),SUMIFS(Donnees_generations!$AH$3:$AH$113,Donnees_generations!$A$3:$A$113,MAX(1915,MIN(2025,E260))),SUMIFS(Donnees_generations!$AI$3:$AI$113,Donnees_generations!$A$3:$A$113,MAX(1915,MIN(2025,E260))),SUMIFS(Donnees_generations!$AJ$3:$AJ$113,Donnees_generations!$A$3:$A$113,MAX(1915,MIN(2025,E260)))))/2</f>
        <v/>
      </c>
      <c r="AJ260" s="8">
        <f>MAX(0,AH260+(AI260-AH260)*(K260-AG260)/2)</f>
        <v/>
      </c>
      <c r="AK260" s="8">
        <f>K260+AJ260</f>
        <v/>
      </c>
      <c r="AL260" s="14">
        <f>AE260*AJ260</f>
        <v/>
      </c>
      <c r="AM260" s="17">
        <f>V260/AL260</f>
        <v/>
      </c>
      <c r="AN260" s="17">
        <f>Z260/AL260</f>
        <v/>
      </c>
      <c r="AO260" s="33">
        <f>IF(V260+Z260=0,0,Z260/(V260+Z260))</f>
        <v/>
      </c>
      <c r="AP260" s="14">
        <f>AL260/V260*100</f>
        <v/>
      </c>
      <c r="AQ260" s="8">
        <f>P260/AL260*1000</f>
        <v/>
      </c>
      <c r="AR260" s="77">
        <f>MAX(N260,M260-1)</f>
        <v/>
      </c>
      <c r="AS260" s="14">
        <f>SUMIFS(Donnees_regimes!$R$3:$R$1118,Donnees_regimes!$A$3:$A$1118,C260,Donnees_regimes!$B$3:$B$1118,"&gt;="&amp;G260,Donnees_regimes!$B$3:$B$1118,"&lt;="&amp;N260)*L260/ROUNDUP(L260,0)*SUMIFS(Donnees_annuelles!$AG$3:$AG$188,Donnees_annuelles!$A$3:$A$188,AR260)*SUMIFS(Donnees_annuelles!$AA$3:$AA$188,Donnees_annuelles!$A$3:$A$188,AR260)</f>
        <v/>
      </c>
      <c r="AT260" s="36">
        <f>AS260/V260</f>
        <v/>
      </c>
      <c r="AU260" s="14">
        <f>AL260</f>
        <v/>
      </c>
      <c r="AV260" s="39">
        <f>AS260-AL260</f>
        <v/>
      </c>
      <c r="AW260" s="9">
        <f>AS260/AL260-1</f>
        <v/>
      </c>
      <c r="AX260" s="14">
        <f>AS260/AJ260/12</f>
        <v/>
      </c>
      <c r="AY260" s="14">
        <f>AF260</f>
        <v/>
      </c>
      <c r="AZ260" s="39">
        <f>AX260-AF260</f>
        <v/>
      </c>
      <c r="BA260" s="14">
        <f>SUMIFS(Donnees_regimes!$S$3:$S$1118,Donnees_regimes!$A$3:$A$1118,C260,Donnees_regimes!$B$3:$B$1118,"&gt;="&amp;G260,Donnees_regimes!$B$3:$B$1118,"&lt;="&amp;N260)*L260/ROUNDUP(L260,0)*SUMIFS(Donnees_annuelles!$AH$3:$AH$188,Donnees_annuelles!$A$3:$A$188,AR260)*SUMIFS(Donnees_annuelles!$AA$3:$AA$188,Donnees_annuelles!$A$3:$A$188,AR260)</f>
        <v/>
      </c>
      <c r="BB260" s="39">
        <f>BA260-AL260</f>
        <v/>
      </c>
      <c r="BC260" s="7">
        <f>IF(M260+AJ260&gt;2026,IF(G260&gt;2026,"entièrement projeté","en partie projeté"),"observé")</f>
        <v/>
      </c>
    </row>
    <row r="261">
      <c r="A261" s="7" t="inlineStr">
        <is>
          <t>Génération Y</t>
        </is>
      </c>
      <c r="B261" s="84" t="inlineStr">
        <is>
          <t>Fonction publique territoriale et hospitalière</t>
        </is>
      </c>
      <c r="C261" s="7">
        <f>IF(G261&gt;=SUMIFS(Regimes!$C$5:$C$10,Regimes!$A$5:$A$10,B261),"Privé",B261)</f>
        <v/>
      </c>
      <c r="D261" s="7">
        <f>INDEX(Regimes!$D$5:$D$10,MATCH(C261,Regimes!$A$5:$A$10,0))</f>
        <v/>
      </c>
      <c r="E261" s="88" t="n">
        <v>1990</v>
      </c>
      <c r="F261" s="8">
        <f>Donnees_generations!C78</f>
        <v/>
      </c>
      <c r="G261" s="77">
        <f>Donnees_generations!D78</f>
        <v/>
      </c>
      <c r="H261" s="8">
        <f>SUMIFS(Donnees_generations!$S$3:$S$113,Donnees_generations!$A$3:$A$113,MAX(1915,MIN(2025,E261)))</f>
        <v/>
      </c>
      <c r="I261" s="8">
        <f>SUMIFS(Donnees_generations!$T$3:$T$113,Donnees_generations!$A$3:$A$113,MAX(1915,MIN(2025,E261)))</f>
        <v/>
      </c>
      <c r="J261" s="8">
        <f>IF(G261&gt;=2000,MAX(I261,Parametres!$B$3),I261)</f>
        <v/>
      </c>
      <c r="K261" s="8">
        <f>IF(C261="Privé",J261,SUMIFS(Regles_regimes!$J$3:$J$2000,Regles_regimes!$A$3:$A$2000,C261,Regles_regimes!$B$3:$B$2000,D261,Regles_regimes!$C$3:$C$2000,MAX(1915,MIN(2025,E261))))</f>
        <v/>
      </c>
      <c r="L261" s="8">
        <f>IF(C261="Privé",H261,(K261-F261)*H261/(J261-F261))</f>
        <v/>
      </c>
      <c r="M261" s="77">
        <f>INT(E261+K261)</f>
        <v/>
      </c>
      <c r="N261" s="77">
        <f>G261+ROUNDUP(L261,0)-1</f>
        <v/>
      </c>
      <c r="O261" s="89">
        <f>SUMIFS(Regles_regimes!$K$3:$K$2000,Regles_regimes!$A$3:$A$2000,C261,Regles_regimes!$B$3:$B$2000,D261,Regles_regimes!$C$3:$C$2000,MAX(1915,MIN(2025,E261)))</f>
        <v/>
      </c>
      <c r="P261" s="13">
        <f>SUMIFS(Donnees_annuelles!$W$3:$W$188,Donnees_annuelles!$A$3:$A$188,"&gt;="&amp;G261,Donnees_annuelles!$A$3:$A$188,"&lt;="&amp;N261)*L261/ROUNDUP(L261,0)*O261</f>
        <v/>
      </c>
      <c r="Q261" s="13">
        <f>SUMIFS(Donnees_annuelles!$V$3:$V$188,Donnees_annuelles!$A$3:$A$188,"&gt;="&amp;G261,Donnees_annuelles!$A$3:$A$188,"&lt;="&amp;N261)*L261/ROUNDUP(L261,0)</f>
        <v/>
      </c>
      <c r="R261" s="13">
        <f>P261/L261</f>
        <v/>
      </c>
      <c r="S261" s="14">
        <f>SUMIFS(Donnees_annuelles!$D$3:$D$188,Donnees_annuelles!$A$3:$A$188,"&gt;="&amp;G261,Donnees_annuelles!$A$3:$A$188,"&lt;="&amp;N261)*L261/ROUNDUP(L261,0)</f>
        <v/>
      </c>
      <c r="T261" s="14">
        <f>SUMIFS(Donnees_regimes!$N$3:$N$1118,Donnees_regimes!$A$3:$A$1118,C261,Donnees_regimes!$B$3:$B$1118,"&gt;="&amp;G261,Donnees_regimes!$B$3:$B$1118,"&lt;="&amp;N261)*L261/ROUNDUP(L261,0)</f>
        <v/>
      </c>
      <c r="U261" s="14">
        <f>SUMIFS(Donnees_regimes!$O$3:$O$1118,Donnees_regimes!$A$3:$A$1118,C261,Donnees_regimes!$B$3:$B$1118,"&gt;="&amp;G261,Donnees_regimes!$B$3:$B$1118,"&lt;="&amp;N261)*L261/ROUNDUP(L261,0)</f>
        <v/>
      </c>
      <c r="V261" s="14">
        <f>T261+U261</f>
        <v/>
      </c>
      <c r="W261" s="33">
        <f>V261/S261</f>
        <v/>
      </c>
      <c r="X261" s="14">
        <f>S261+U261</f>
        <v/>
      </c>
      <c r="Y261" s="17">
        <f>V261/P261</f>
        <v/>
      </c>
      <c r="Z261" s="14">
        <f>SUMIFS(Donnees_regimes!$Q$3:$Q$1118,Donnees_regimes!$A$3:$A$1118,C261,Donnees_regimes!$B$3:$B$1118,"&gt;="&amp;G261,Donnees_regimes!$B$3:$B$1118,"&lt;="&amp;N261)*L261/ROUNDUP(L261,0)</f>
        <v/>
      </c>
      <c r="AA261" s="77">
        <f>SUMIFS(Regles_regimes!$F$3:$F$2000,Regles_regimes!$A$3:$A$2000,C261,Regles_regimes!$B$3:$B$2000,D261,Regles_regimes!$C$3:$C$2000,MAX(1915,MIN(2025,E261)))</f>
        <v/>
      </c>
      <c r="AB261" s="77">
        <f>IF(AND(SUMIFS(Regles_regimes!$L$3:$L$2000,Regles_regimes!$A$3:$A$2000,C261,Regles_regimes!$B$3:$B$2000,D261,Regles_regimes!$C$3:$C$2000,MAX(1915,MIN(2025,E261)))=1,G261&lt;2009,C261&lt;&gt;"Privé"),MIN(20,L261*4/5),0)</f>
        <v/>
      </c>
      <c r="AC261" s="89">
        <f>SUMIFS(Donnees_regimes!$M$3:$M$1118,Donnees_regimes!$A$3:$A$1118,C261,Donnees_regimes!$B$3:$B$1118,M261)</f>
        <v/>
      </c>
      <c r="AD261" s="14">
        <f>SUMIFS(Donnees_annuelles!$Y$3:$Y$188,Donnees_annuelles!$A$3:$A$188,M261)*SUMIFS(Donnees_generations!$I$3:$I$113,Donnees_generations!$A$3:$A$113,MAX(1915,MIN(2025,E261)))/H261</f>
        <v/>
      </c>
      <c r="AE261" s="14">
        <f>IF(C261="Privé",SUMIFS(Donnees_annuelles!$Y$3:$Y$188,Donnees_annuelles!$A$3:$A$188,M261)*MIN(L261,SUMIFS(Donnees_generations!$I$3:$I$113,Donnees_generations!$A$3:$A$113,MAX(1915,MIN(2025,E261))))/L261,AD261*AC261*MIN(IF(AB261&gt;0,0.8/0.75,1),(L261*4+AB261)/AA261))</f>
        <v/>
      </c>
      <c r="AF261" s="14">
        <f>AE261/12</f>
        <v/>
      </c>
      <c r="AG261" s="77">
        <f>MIN(68,MAX(56,2*INT(K261/2)))</f>
        <v/>
      </c>
      <c r="AH261" s="75">
        <f>(CHOOSE((AG261-56)/2+1,SUMIFS(Donnees_generations!$U$3:$U$113,Donnees_generations!$A$3:$A$113,MAX(1915,MIN(2025,E261))),SUMIFS(Donnees_generations!$V$3:$V$113,Donnees_generations!$A$3:$A$113,MAX(1915,MIN(2025,E261))),SUMIFS(Donnees_generations!$W$3:$W$113,Donnees_generations!$A$3:$A$113,MAX(1915,MIN(2025,E261))),SUMIFS(Donnees_generations!$X$3:$X$113,Donnees_generations!$A$3:$A$113,MAX(1915,MIN(2025,E261))),SUMIFS(Donnees_generations!$Y$3:$Y$113,Donnees_generations!$A$3:$A$113,MAX(1915,MIN(2025,E261))),SUMIFS(Donnees_generations!$Z$3:$Z$113,Donnees_generations!$A$3:$A$113,MAX(1915,MIN(2025,E261))),SUMIFS(Donnees_generations!$AA$3:$AA$113,Donnees_generations!$A$3:$A$113,MAX(1915,MIN(2025,E261))),SUMIFS(Donnees_generations!$AB$3:$AB$113,Donnees_generations!$A$3:$A$113,MAX(1915,MIN(2025,E261))))+CHOOSE((AG261-56)/2+1,SUMIFS(Donnees_generations!$AC$3:$AC$113,Donnees_generations!$A$3:$A$113,MAX(1915,MIN(2025,E261))),SUMIFS(Donnees_generations!$AD$3:$AD$113,Donnees_generations!$A$3:$A$113,MAX(1915,MIN(2025,E261))),SUMIFS(Donnees_generations!$AE$3:$AE$113,Donnees_generations!$A$3:$A$113,MAX(1915,MIN(2025,E261))),SUMIFS(Donnees_generations!$AF$3:$AF$113,Donnees_generations!$A$3:$A$113,MAX(1915,MIN(2025,E261))),SUMIFS(Donnees_generations!$AG$3:$AG$113,Donnees_generations!$A$3:$A$113,MAX(1915,MIN(2025,E261))),SUMIFS(Donnees_generations!$AH$3:$AH$113,Donnees_generations!$A$3:$A$113,MAX(1915,MIN(2025,E261))),SUMIFS(Donnees_generations!$AI$3:$AI$113,Donnees_generations!$A$3:$A$113,MAX(1915,MIN(2025,E261))),SUMIFS(Donnees_generations!$AJ$3:$AJ$113,Donnees_generations!$A$3:$A$113,MAX(1915,MIN(2025,E261)))))/2</f>
        <v/>
      </c>
      <c r="AI261" s="75">
        <f>(CHOOSE(((AG261+2)-56)/2+1,SUMIFS(Donnees_generations!$U$3:$U$113,Donnees_generations!$A$3:$A$113,MAX(1915,MIN(2025,E261))),SUMIFS(Donnees_generations!$V$3:$V$113,Donnees_generations!$A$3:$A$113,MAX(1915,MIN(2025,E261))),SUMIFS(Donnees_generations!$W$3:$W$113,Donnees_generations!$A$3:$A$113,MAX(1915,MIN(2025,E261))),SUMIFS(Donnees_generations!$X$3:$X$113,Donnees_generations!$A$3:$A$113,MAX(1915,MIN(2025,E261))),SUMIFS(Donnees_generations!$Y$3:$Y$113,Donnees_generations!$A$3:$A$113,MAX(1915,MIN(2025,E261))),SUMIFS(Donnees_generations!$Z$3:$Z$113,Donnees_generations!$A$3:$A$113,MAX(1915,MIN(2025,E261))),SUMIFS(Donnees_generations!$AA$3:$AA$113,Donnees_generations!$A$3:$A$113,MAX(1915,MIN(2025,E261))),SUMIFS(Donnees_generations!$AB$3:$AB$113,Donnees_generations!$A$3:$A$113,MAX(1915,MIN(2025,E261))))+CHOOSE(((AG261+2)-56)/2+1,SUMIFS(Donnees_generations!$AC$3:$AC$113,Donnees_generations!$A$3:$A$113,MAX(1915,MIN(2025,E261))),SUMIFS(Donnees_generations!$AD$3:$AD$113,Donnees_generations!$A$3:$A$113,MAX(1915,MIN(2025,E261))),SUMIFS(Donnees_generations!$AE$3:$AE$113,Donnees_generations!$A$3:$A$113,MAX(1915,MIN(2025,E261))),SUMIFS(Donnees_generations!$AF$3:$AF$113,Donnees_generations!$A$3:$A$113,MAX(1915,MIN(2025,E261))),SUMIFS(Donnees_generations!$AG$3:$AG$113,Donnees_generations!$A$3:$A$113,MAX(1915,MIN(2025,E261))),SUMIFS(Donnees_generations!$AH$3:$AH$113,Donnees_generations!$A$3:$A$113,MAX(1915,MIN(2025,E261))),SUMIFS(Donnees_generations!$AI$3:$AI$113,Donnees_generations!$A$3:$A$113,MAX(1915,MIN(2025,E261))),SUMIFS(Donnees_generations!$AJ$3:$AJ$113,Donnees_generations!$A$3:$A$113,MAX(1915,MIN(2025,E261)))))/2</f>
        <v/>
      </c>
      <c r="AJ261" s="8">
        <f>MAX(0,AH261+(AI261-AH261)*(K261-AG261)/2)</f>
        <v/>
      </c>
      <c r="AK261" s="8">
        <f>K261+AJ261</f>
        <v/>
      </c>
      <c r="AL261" s="14">
        <f>AE261*AJ261</f>
        <v/>
      </c>
      <c r="AM261" s="17">
        <f>V261/AL261</f>
        <v/>
      </c>
      <c r="AN261" s="17">
        <f>Z261/AL261</f>
        <v/>
      </c>
      <c r="AO261" s="33">
        <f>IF(V261+Z261=0,0,Z261/(V261+Z261))</f>
        <v/>
      </c>
      <c r="AP261" s="14">
        <f>AL261/V261*100</f>
        <v/>
      </c>
      <c r="AQ261" s="8">
        <f>P261/AL261*1000</f>
        <v/>
      </c>
      <c r="AR261" s="77">
        <f>MAX(N261,M261-1)</f>
        <v/>
      </c>
      <c r="AS261" s="14">
        <f>SUMIFS(Donnees_regimes!$R$3:$R$1118,Donnees_regimes!$A$3:$A$1118,C261,Donnees_regimes!$B$3:$B$1118,"&gt;="&amp;G261,Donnees_regimes!$B$3:$B$1118,"&lt;="&amp;N261)*L261/ROUNDUP(L261,0)*SUMIFS(Donnees_annuelles!$AG$3:$AG$188,Donnees_annuelles!$A$3:$A$188,AR261)*SUMIFS(Donnees_annuelles!$AA$3:$AA$188,Donnees_annuelles!$A$3:$A$188,AR261)</f>
        <v/>
      </c>
      <c r="AT261" s="36">
        <f>AS261/V261</f>
        <v/>
      </c>
      <c r="AU261" s="14">
        <f>AL261</f>
        <v/>
      </c>
      <c r="AV261" s="39">
        <f>AS261-AL261</f>
        <v/>
      </c>
      <c r="AW261" s="9">
        <f>AS261/AL261-1</f>
        <v/>
      </c>
      <c r="AX261" s="14">
        <f>AS261/AJ261/12</f>
        <v/>
      </c>
      <c r="AY261" s="14">
        <f>AF261</f>
        <v/>
      </c>
      <c r="AZ261" s="39">
        <f>AX261-AF261</f>
        <v/>
      </c>
      <c r="BA261" s="14">
        <f>SUMIFS(Donnees_regimes!$S$3:$S$1118,Donnees_regimes!$A$3:$A$1118,C261,Donnees_regimes!$B$3:$B$1118,"&gt;="&amp;G261,Donnees_regimes!$B$3:$B$1118,"&lt;="&amp;N261)*L261/ROUNDUP(L261,0)*SUMIFS(Donnees_annuelles!$AH$3:$AH$188,Donnees_annuelles!$A$3:$A$188,AR261)*SUMIFS(Donnees_annuelles!$AA$3:$AA$188,Donnees_annuelles!$A$3:$A$188,AR261)</f>
        <v/>
      </c>
      <c r="BB261" s="39">
        <f>BA261-AL261</f>
        <v/>
      </c>
      <c r="BC261" s="7">
        <f>IF(M261+AJ261&gt;2026,IF(G261&gt;2026,"entièrement projeté","en partie projeté"),"observé")</f>
        <v/>
      </c>
    </row>
    <row r="262">
      <c r="A262" s="7" t="inlineStr">
        <is>
          <t>Génération Y</t>
        </is>
      </c>
      <c r="B262" s="84" t="inlineStr">
        <is>
          <t>Fonction publique territoriale et hospitalière</t>
        </is>
      </c>
      <c r="C262" s="7">
        <f>IF(G262&gt;=SUMIFS(Regimes!$C$5:$C$10,Regimes!$A$5:$A$10,B262),"Privé",B262)</f>
        <v/>
      </c>
      <c r="D262" s="7">
        <f>INDEX(Regimes!$D$5:$D$10,MATCH(C262,Regimes!$A$5:$A$10,0))</f>
        <v/>
      </c>
      <c r="E262" s="88" t="n">
        <v>1991</v>
      </c>
      <c r="F262" s="8">
        <f>Donnees_generations!C79</f>
        <v/>
      </c>
      <c r="G262" s="77">
        <f>Donnees_generations!D79</f>
        <v/>
      </c>
      <c r="H262" s="8">
        <f>SUMIFS(Donnees_generations!$S$3:$S$113,Donnees_generations!$A$3:$A$113,MAX(1915,MIN(2025,E262)))</f>
        <v/>
      </c>
      <c r="I262" s="8">
        <f>SUMIFS(Donnees_generations!$T$3:$T$113,Donnees_generations!$A$3:$A$113,MAX(1915,MIN(2025,E262)))</f>
        <v/>
      </c>
      <c r="J262" s="8">
        <f>IF(G262&gt;=2000,MAX(I262,Parametres!$B$3),I262)</f>
        <v/>
      </c>
      <c r="K262" s="8">
        <f>IF(C262="Privé",J262,SUMIFS(Regles_regimes!$J$3:$J$2000,Regles_regimes!$A$3:$A$2000,C262,Regles_regimes!$B$3:$B$2000,D262,Regles_regimes!$C$3:$C$2000,MAX(1915,MIN(2025,E262))))</f>
        <v/>
      </c>
      <c r="L262" s="8">
        <f>IF(C262="Privé",H262,(K262-F262)*H262/(J262-F262))</f>
        <v/>
      </c>
      <c r="M262" s="77">
        <f>INT(E262+K262)</f>
        <v/>
      </c>
      <c r="N262" s="77">
        <f>G262+ROUNDUP(L262,0)-1</f>
        <v/>
      </c>
      <c r="O262" s="89">
        <f>SUMIFS(Regles_regimes!$K$3:$K$2000,Regles_regimes!$A$3:$A$2000,C262,Regles_regimes!$B$3:$B$2000,D262,Regles_regimes!$C$3:$C$2000,MAX(1915,MIN(2025,E262)))</f>
        <v/>
      </c>
      <c r="P262" s="13">
        <f>SUMIFS(Donnees_annuelles!$W$3:$W$188,Donnees_annuelles!$A$3:$A$188,"&gt;="&amp;G262,Donnees_annuelles!$A$3:$A$188,"&lt;="&amp;N262)*L262/ROUNDUP(L262,0)*O262</f>
        <v/>
      </c>
      <c r="Q262" s="13">
        <f>SUMIFS(Donnees_annuelles!$V$3:$V$188,Donnees_annuelles!$A$3:$A$188,"&gt;="&amp;G262,Donnees_annuelles!$A$3:$A$188,"&lt;="&amp;N262)*L262/ROUNDUP(L262,0)</f>
        <v/>
      </c>
      <c r="R262" s="13">
        <f>P262/L262</f>
        <v/>
      </c>
      <c r="S262" s="14">
        <f>SUMIFS(Donnees_annuelles!$D$3:$D$188,Donnees_annuelles!$A$3:$A$188,"&gt;="&amp;G262,Donnees_annuelles!$A$3:$A$188,"&lt;="&amp;N262)*L262/ROUNDUP(L262,0)</f>
        <v/>
      </c>
      <c r="T262" s="14">
        <f>SUMIFS(Donnees_regimes!$N$3:$N$1118,Donnees_regimes!$A$3:$A$1118,C262,Donnees_regimes!$B$3:$B$1118,"&gt;="&amp;G262,Donnees_regimes!$B$3:$B$1118,"&lt;="&amp;N262)*L262/ROUNDUP(L262,0)</f>
        <v/>
      </c>
      <c r="U262" s="14">
        <f>SUMIFS(Donnees_regimes!$O$3:$O$1118,Donnees_regimes!$A$3:$A$1118,C262,Donnees_regimes!$B$3:$B$1118,"&gt;="&amp;G262,Donnees_regimes!$B$3:$B$1118,"&lt;="&amp;N262)*L262/ROUNDUP(L262,0)</f>
        <v/>
      </c>
      <c r="V262" s="14">
        <f>T262+U262</f>
        <v/>
      </c>
      <c r="W262" s="33">
        <f>V262/S262</f>
        <v/>
      </c>
      <c r="X262" s="14">
        <f>S262+U262</f>
        <v/>
      </c>
      <c r="Y262" s="17">
        <f>V262/P262</f>
        <v/>
      </c>
      <c r="Z262" s="14">
        <f>SUMIFS(Donnees_regimes!$Q$3:$Q$1118,Donnees_regimes!$A$3:$A$1118,C262,Donnees_regimes!$B$3:$B$1118,"&gt;="&amp;G262,Donnees_regimes!$B$3:$B$1118,"&lt;="&amp;N262)*L262/ROUNDUP(L262,0)</f>
        <v/>
      </c>
      <c r="AA262" s="77">
        <f>SUMIFS(Regles_regimes!$F$3:$F$2000,Regles_regimes!$A$3:$A$2000,C262,Regles_regimes!$B$3:$B$2000,D262,Regles_regimes!$C$3:$C$2000,MAX(1915,MIN(2025,E262)))</f>
        <v/>
      </c>
      <c r="AB262" s="77">
        <f>IF(AND(SUMIFS(Regles_regimes!$L$3:$L$2000,Regles_regimes!$A$3:$A$2000,C262,Regles_regimes!$B$3:$B$2000,D262,Regles_regimes!$C$3:$C$2000,MAX(1915,MIN(2025,E262)))=1,G262&lt;2009,C262&lt;&gt;"Privé"),MIN(20,L262*4/5),0)</f>
        <v/>
      </c>
      <c r="AC262" s="89">
        <f>SUMIFS(Donnees_regimes!$M$3:$M$1118,Donnees_regimes!$A$3:$A$1118,C262,Donnees_regimes!$B$3:$B$1118,M262)</f>
        <v/>
      </c>
      <c r="AD262" s="14">
        <f>SUMIFS(Donnees_annuelles!$Y$3:$Y$188,Donnees_annuelles!$A$3:$A$188,M262)*SUMIFS(Donnees_generations!$I$3:$I$113,Donnees_generations!$A$3:$A$113,MAX(1915,MIN(2025,E262)))/H262</f>
        <v/>
      </c>
      <c r="AE262" s="14">
        <f>IF(C262="Privé",SUMIFS(Donnees_annuelles!$Y$3:$Y$188,Donnees_annuelles!$A$3:$A$188,M262)*MIN(L262,SUMIFS(Donnees_generations!$I$3:$I$113,Donnees_generations!$A$3:$A$113,MAX(1915,MIN(2025,E262))))/L262,AD262*AC262*MIN(IF(AB262&gt;0,0.8/0.75,1),(L262*4+AB262)/AA262))</f>
        <v/>
      </c>
      <c r="AF262" s="14">
        <f>AE262/12</f>
        <v/>
      </c>
      <c r="AG262" s="77">
        <f>MIN(68,MAX(56,2*INT(K262/2)))</f>
        <v/>
      </c>
      <c r="AH262" s="75">
        <f>(CHOOSE((AG262-56)/2+1,SUMIFS(Donnees_generations!$U$3:$U$113,Donnees_generations!$A$3:$A$113,MAX(1915,MIN(2025,E262))),SUMIFS(Donnees_generations!$V$3:$V$113,Donnees_generations!$A$3:$A$113,MAX(1915,MIN(2025,E262))),SUMIFS(Donnees_generations!$W$3:$W$113,Donnees_generations!$A$3:$A$113,MAX(1915,MIN(2025,E262))),SUMIFS(Donnees_generations!$X$3:$X$113,Donnees_generations!$A$3:$A$113,MAX(1915,MIN(2025,E262))),SUMIFS(Donnees_generations!$Y$3:$Y$113,Donnees_generations!$A$3:$A$113,MAX(1915,MIN(2025,E262))),SUMIFS(Donnees_generations!$Z$3:$Z$113,Donnees_generations!$A$3:$A$113,MAX(1915,MIN(2025,E262))),SUMIFS(Donnees_generations!$AA$3:$AA$113,Donnees_generations!$A$3:$A$113,MAX(1915,MIN(2025,E262))),SUMIFS(Donnees_generations!$AB$3:$AB$113,Donnees_generations!$A$3:$A$113,MAX(1915,MIN(2025,E262))))+CHOOSE((AG262-56)/2+1,SUMIFS(Donnees_generations!$AC$3:$AC$113,Donnees_generations!$A$3:$A$113,MAX(1915,MIN(2025,E262))),SUMIFS(Donnees_generations!$AD$3:$AD$113,Donnees_generations!$A$3:$A$113,MAX(1915,MIN(2025,E262))),SUMIFS(Donnees_generations!$AE$3:$AE$113,Donnees_generations!$A$3:$A$113,MAX(1915,MIN(2025,E262))),SUMIFS(Donnees_generations!$AF$3:$AF$113,Donnees_generations!$A$3:$A$113,MAX(1915,MIN(2025,E262))),SUMIFS(Donnees_generations!$AG$3:$AG$113,Donnees_generations!$A$3:$A$113,MAX(1915,MIN(2025,E262))),SUMIFS(Donnees_generations!$AH$3:$AH$113,Donnees_generations!$A$3:$A$113,MAX(1915,MIN(2025,E262))),SUMIFS(Donnees_generations!$AI$3:$AI$113,Donnees_generations!$A$3:$A$113,MAX(1915,MIN(2025,E262))),SUMIFS(Donnees_generations!$AJ$3:$AJ$113,Donnees_generations!$A$3:$A$113,MAX(1915,MIN(2025,E262)))))/2</f>
        <v/>
      </c>
      <c r="AI262" s="75">
        <f>(CHOOSE(((AG262+2)-56)/2+1,SUMIFS(Donnees_generations!$U$3:$U$113,Donnees_generations!$A$3:$A$113,MAX(1915,MIN(2025,E262))),SUMIFS(Donnees_generations!$V$3:$V$113,Donnees_generations!$A$3:$A$113,MAX(1915,MIN(2025,E262))),SUMIFS(Donnees_generations!$W$3:$W$113,Donnees_generations!$A$3:$A$113,MAX(1915,MIN(2025,E262))),SUMIFS(Donnees_generations!$X$3:$X$113,Donnees_generations!$A$3:$A$113,MAX(1915,MIN(2025,E262))),SUMIFS(Donnees_generations!$Y$3:$Y$113,Donnees_generations!$A$3:$A$113,MAX(1915,MIN(2025,E262))),SUMIFS(Donnees_generations!$Z$3:$Z$113,Donnees_generations!$A$3:$A$113,MAX(1915,MIN(2025,E262))),SUMIFS(Donnees_generations!$AA$3:$AA$113,Donnees_generations!$A$3:$A$113,MAX(1915,MIN(2025,E262))),SUMIFS(Donnees_generations!$AB$3:$AB$113,Donnees_generations!$A$3:$A$113,MAX(1915,MIN(2025,E262))))+CHOOSE(((AG262+2)-56)/2+1,SUMIFS(Donnees_generations!$AC$3:$AC$113,Donnees_generations!$A$3:$A$113,MAX(1915,MIN(2025,E262))),SUMIFS(Donnees_generations!$AD$3:$AD$113,Donnees_generations!$A$3:$A$113,MAX(1915,MIN(2025,E262))),SUMIFS(Donnees_generations!$AE$3:$AE$113,Donnees_generations!$A$3:$A$113,MAX(1915,MIN(2025,E262))),SUMIFS(Donnees_generations!$AF$3:$AF$113,Donnees_generations!$A$3:$A$113,MAX(1915,MIN(2025,E262))),SUMIFS(Donnees_generations!$AG$3:$AG$113,Donnees_generations!$A$3:$A$113,MAX(1915,MIN(2025,E262))),SUMIFS(Donnees_generations!$AH$3:$AH$113,Donnees_generations!$A$3:$A$113,MAX(1915,MIN(2025,E262))),SUMIFS(Donnees_generations!$AI$3:$AI$113,Donnees_generations!$A$3:$A$113,MAX(1915,MIN(2025,E262))),SUMIFS(Donnees_generations!$AJ$3:$AJ$113,Donnees_generations!$A$3:$A$113,MAX(1915,MIN(2025,E262)))))/2</f>
        <v/>
      </c>
      <c r="AJ262" s="8">
        <f>MAX(0,AH262+(AI262-AH262)*(K262-AG262)/2)</f>
        <v/>
      </c>
      <c r="AK262" s="8">
        <f>K262+AJ262</f>
        <v/>
      </c>
      <c r="AL262" s="14">
        <f>AE262*AJ262</f>
        <v/>
      </c>
      <c r="AM262" s="17">
        <f>V262/AL262</f>
        <v/>
      </c>
      <c r="AN262" s="17">
        <f>Z262/AL262</f>
        <v/>
      </c>
      <c r="AO262" s="33">
        <f>IF(V262+Z262=0,0,Z262/(V262+Z262))</f>
        <v/>
      </c>
      <c r="AP262" s="14">
        <f>AL262/V262*100</f>
        <v/>
      </c>
      <c r="AQ262" s="8">
        <f>P262/AL262*1000</f>
        <v/>
      </c>
      <c r="AR262" s="77">
        <f>MAX(N262,M262-1)</f>
        <v/>
      </c>
      <c r="AS262" s="14">
        <f>SUMIFS(Donnees_regimes!$R$3:$R$1118,Donnees_regimes!$A$3:$A$1118,C262,Donnees_regimes!$B$3:$B$1118,"&gt;="&amp;G262,Donnees_regimes!$B$3:$B$1118,"&lt;="&amp;N262)*L262/ROUNDUP(L262,0)*SUMIFS(Donnees_annuelles!$AG$3:$AG$188,Donnees_annuelles!$A$3:$A$188,AR262)*SUMIFS(Donnees_annuelles!$AA$3:$AA$188,Donnees_annuelles!$A$3:$A$188,AR262)</f>
        <v/>
      </c>
      <c r="AT262" s="36">
        <f>AS262/V262</f>
        <v/>
      </c>
      <c r="AU262" s="14">
        <f>AL262</f>
        <v/>
      </c>
      <c r="AV262" s="39">
        <f>AS262-AL262</f>
        <v/>
      </c>
      <c r="AW262" s="9">
        <f>AS262/AL262-1</f>
        <v/>
      </c>
      <c r="AX262" s="14">
        <f>AS262/AJ262/12</f>
        <v/>
      </c>
      <c r="AY262" s="14">
        <f>AF262</f>
        <v/>
      </c>
      <c r="AZ262" s="39">
        <f>AX262-AF262</f>
        <v/>
      </c>
      <c r="BA262" s="14">
        <f>SUMIFS(Donnees_regimes!$S$3:$S$1118,Donnees_regimes!$A$3:$A$1118,C262,Donnees_regimes!$B$3:$B$1118,"&gt;="&amp;G262,Donnees_regimes!$B$3:$B$1118,"&lt;="&amp;N262)*L262/ROUNDUP(L262,0)*SUMIFS(Donnees_annuelles!$AH$3:$AH$188,Donnees_annuelles!$A$3:$A$188,AR262)*SUMIFS(Donnees_annuelles!$AA$3:$AA$188,Donnees_annuelles!$A$3:$A$188,AR262)</f>
        <v/>
      </c>
      <c r="BB262" s="39">
        <f>BA262-AL262</f>
        <v/>
      </c>
      <c r="BC262" s="7">
        <f>IF(M262+AJ262&gt;2026,IF(G262&gt;2026,"entièrement projeté","en partie projeté"),"observé")</f>
        <v/>
      </c>
    </row>
    <row r="263">
      <c r="A263" s="7" t="inlineStr">
        <is>
          <t>Génération Y</t>
        </is>
      </c>
      <c r="B263" s="84" t="inlineStr">
        <is>
          <t>Fonction publique territoriale et hospitalière</t>
        </is>
      </c>
      <c r="C263" s="7">
        <f>IF(G263&gt;=SUMIFS(Regimes!$C$5:$C$10,Regimes!$A$5:$A$10,B263),"Privé",B263)</f>
        <v/>
      </c>
      <c r="D263" s="7">
        <f>INDEX(Regimes!$D$5:$D$10,MATCH(C263,Regimes!$A$5:$A$10,0))</f>
        <v/>
      </c>
      <c r="E263" s="88" t="n">
        <v>1992</v>
      </c>
      <c r="F263" s="8">
        <f>Donnees_generations!C80</f>
        <v/>
      </c>
      <c r="G263" s="77">
        <f>Donnees_generations!D80</f>
        <v/>
      </c>
      <c r="H263" s="8">
        <f>SUMIFS(Donnees_generations!$S$3:$S$113,Donnees_generations!$A$3:$A$113,MAX(1915,MIN(2025,E263)))</f>
        <v/>
      </c>
      <c r="I263" s="8">
        <f>SUMIFS(Donnees_generations!$T$3:$T$113,Donnees_generations!$A$3:$A$113,MAX(1915,MIN(2025,E263)))</f>
        <v/>
      </c>
      <c r="J263" s="8">
        <f>IF(G263&gt;=2000,MAX(I263,Parametres!$B$3),I263)</f>
        <v/>
      </c>
      <c r="K263" s="8">
        <f>IF(C263="Privé",J263,SUMIFS(Regles_regimes!$J$3:$J$2000,Regles_regimes!$A$3:$A$2000,C263,Regles_regimes!$B$3:$B$2000,D263,Regles_regimes!$C$3:$C$2000,MAX(1915,MIN(2025,E263))))</f>
        <v/>
      </c>
      <c r="L263" s="8">
        <f>IF(C263="Privé",H263,(K263-F263)*H263/(J263-F263))</f>
        <v/>
      </c>
      <c r="M263" s="77">
        <f>INT(E263+K263)</f>
        <v/>
      </c>
      <c r="N263" s="77">
        <f>G263+ROUNDUP(L263,0)-1</f>
        <v/>
      </c>
      <c r="O263" s="89">
        <f>SUMIFS(Regles_regimes!$K$3:$K$2000,Regles_regimes!$A$3:$A$2000,C263,Regles_regimes!$B$3:$B$2000,D263,Regles_regimes!$C$3:$C$2000,MAX(1915,MIN(2025,E263)))</f>
        <v/>
      </c>
      <c r="P263" s="13">
        <f>SUMIFS(Donnees_annuelles!$W$3:$W$188,Donnees_annuelles!$A$3:$A$188,"&gt;="&amp;G263,Donnees_annuelles!$A$3:$A$188,"&lt;="&amp;N263)*L263/ROUNDUP(L263,0)*O263</f>
        <v/>
      </c>
      <c r="Q263" s="13">
        <f>SUMIFS(Donnees_annuelles!$V$3:$V$188,Donnees_annuelles!$A$3:$A$188,"&gt;="&amp;G263,Donnees_annuelles!$A$3:$A$188,"&lt;="&amp;N263)*L263/ROUNDUP(L263,0)</f>
        <v/>
      </c>
      <c r="R263" s="13">
        <f>P263/L263</f>
        <v/>
      </c>
      <c r="S263" s="14">
        <f>SUMIFS(Donnees_annuelles!$D$3:$D$188,Donnees_annuelles!$A$3:$A$188,"&gt;="&amp;G263,Donnees_annuelles!$A$3:$A$188,"&lt;="&amp;N263)*L263/ROUNDUP(L263,0)</f>
        <v/>
      </c>
      <c r="T263" s="14">
        <f>SUMIFS(Donnees_regimes!$N$3:$N$1118,Donnees_regimes!$A$3:$A$1118,C263,Donnees_regimes!$B$3:$B$1118,"&gt;="&amp;G263,Donnees_regimes!$B$3:$B$1118,"&lt;="&amp;N263)*L263/ROUNDUP(L263,0)</f>
        <v/>
      </c>
      <c r="U263" s="14">
        <f>SUMIFS(Donnees_regimes!$O$3:$O$1118,Donnees_regimes!$A$3:$A$1118,C263,Donnees_regimes!$B$3:$B$1118,"&gt;="&amp;G263,Donnees_regimes!$B$3:$B$1118,"&lt;="&amp;N263)*L263/ROUNDUP(L263,0)</f>
        <v/>
      </c>
      <c r="V263" s="14">
        <f>T263+U263</f>
        <v/>
      </c>
      <c r="W263" s="33">
        <f>V263/S263</f>
        <v/>
      </c>
      <c r="X263" s="14">
        <f>S263+U263</f>
        <v/>
      </c>
      <c r="Y263" s="17">
        <f>V263/P263</f>
        <v/>
      </c>
      <c r="Z263" s="14">
        <f>SUMIFS(Donnees_regimes!$Q$3:$Q$1118,Donnees_regimes!$A$3:$A$1118,C263,Donnees_regimes!$B$3:$B$1118,"&gt;="&amp;G263,Donnees_regimes!$B$3:$B$1118,"&lt;="&amp;N263)*L263/ROUNDUP(L263,0)</f>
        <v/>
      </c>
      <c r="AA263" s="77">
        <f>SUMIFS(Regles_regimes!$F$3:$F$2000,Regles_regimes!$A$3:$A$2000,C263,Regles_regimes!$B$3:$B$2000,D263,Regles_regimes!$C$3:$C$2000,MAX(1915,MIN(2025,E263)))</f>
        <v/>
      </c>
      <c r="AB263" s="77">
        <f>IF(AND(SUMIFS(Regles_regimes!$L$3:$L$2000,Regles_regimes!$A$3:$A$2000,C263,Regles_regimes!$B$3:$B$2000,D263,Regles_regimes!$C$3:$C$2000,MAX(1915,MIN(2025,E263)))=1,G263&lt;2009,C263&lt;&gt;"Privé"),MIN(20,L263*4/5),0)</f>
        <v/>
      </c>
      <c r="AC263" s="89">
        <f>SUMIFS(Donnees_regimes!$M$3:$M$1118,Donnees_regimes!$A$3:$A$1118,C263,Donnees_regimes!$B$3:$B$1118,M263)</f>
        <v/>
      </c>
      <c r="AD263" s="14">
        <f>SUMIFS(Donnees_annuelles!$Y$3:$Y$188,Donnees_annuelles!$A$3:$A$188,M263)*SUMIFS(Donnees_generations!$I$3:$I$113,Donnees_generations!$A$3:$A$113,MAX(1915,MIN(2025,E263)))/H263</f>
        <v/>
      </c>
      <c r="AE263" s="14">
        <f>IF(C263="Privé",SUMIFS(Donnees_annuelles!$Y$3:$Y$188,Donnees_annuelles!$A$3:$A$188,M263)*MIN(L263,SUMIFS(Donnees_generations!$I$3:$I$113,Donnees_generations!$A$3:$A$113,MAX(1915,MIN(2025,E263))))/L263,AD263*AC263*MIN(IF(AB263&gt;0,0.8/0.75,1),(L263*4+AB263)/AA263))</f>
        <v/>
      </c>
      <c r="AF263" s="14">
        <f>AE263/12</f>
        <v/>
      </c>
      <c r="AG263" s="77">
        <f>MIN(68,MAX(56,2*INT(K263/2)))</f>
        <v/>
      </c>
      <c r="AH263" s="75">
        <f>(CHOOSE((AG263-56)/2+1,SUMIFS(Donnees_generations!$U$3:$U$113,Donnees_generations!$A$3:$A$113,MAX(1915,MIN(2025,E263))),SUMIFS(Donnees_generations!$V$3:$V$113,Donnees_generations!$A$3:$A$113,MAX(1915,MIN(2025,E263))),SUMIFS(Donnees_generations!$W$3:$W$113,Donnees_generations!$A$3:$A$113,MAX(1915,MIN(2025,E263))),SUMIFS(Donnees_generations!$X$3:$X$113,Donnees_generations!$A$3:$A$113,MAX(1915,MIN(2025,E263))),SUMIFS(Donnees_generations!$Y$3:$Y$113,Donnees_generations!$A$3:$A$113,MAX(1915,MIN(2025,E263))),SUMIFS(Donnees_generations!$Z$3:$Z$113,Donnees_generations!$A$3:$A$113,MAX(1915,MIN(2025,E263))),SUMIFS(Donnees_generations!$AA$3:$AA$113,Donnees_generations!$A$3:$A$113,MAX(1915,MIN(2025,E263))),SUMIFS(Donnees_generations!$AB$3:$AB$113,Donnees_generations!$A$3:$A$113,MAX(1915,MIN(2025,E263))))+CHOOSE((AG263-56)/2+1,SUMIFS(Donnees_generations!$AC$3:$AC$113,Donnees_generations!$A$3:$A$113,MAX(1915,MIN(2025,E263))),SUMIFS(Donnees_generations!$AD$3:$AD$113,Donnees_generations!$A$3:$A$113,MAX(1915,MIN(2025,E263))),SUMIFS(Donnees_generations!$AE$3:$AE$113,Donnees_generations!$A$3:$A$113,MAX(1915,MIN(2025,E263))),SUMIFS(Donnees_generations!$AF$3:$AF$113,Donnees_generations!$A$3:$A$113,MAX(1915,MIN(2025,E263))),SUMIFS(Donnees_generations!$AG$3:$AG$113,Donnees_generations!$A$3:$A$113,MAX(1915,MIN(2025,E263))),SUMIFS(Donnees_generations!$AH$3:$AH$113,Donnees_generations!$A$3:$A$113,MAX(1915,MIN(2025,E263))),SUMIFS(Donnees_generations!$AI$3:$AI$113,Donnees_generations!$A$3:$A$113,MAX(1915,MIN(2025,E263))),SUMIFS(Donnees_generations!$AJ$3:$AJ$113,Donnees_generations!$A$3:$A$113,MAX(1915,MIN(2025,E263)))))/2</f>
        <v/>
      </c>
      <c r="AI263" s="75">
        <f>(CHOOSE(((AG263+2)-56)/2+1,SUMIFS(Donnees_generations!$U$3:$U$113,Donnees_generations!$A$3:$A$113,MAX(1915,MIN(2025,E263))),SUMIFS(Donnees_generations!$V$3:$V$113,Donnees_generations!$A$3:$A$113,MAX(1915,MIN(2025,E263))),SUMIFS(Donnees_generations!$W$3:$W$113,Donnees_generations!$A$3:$A$113,MAX(1915,MIN(2025,E263))),SUMIFS(Donnees_generations!$X$3:$X$113,Donnees_generations!$A$3:$A$113,MAX(1915,MIN(2025,E263))),SUMIFS(Donnees_generations!$Y$3:$Y$113,Donnees_generations!$A$3:$A$113,MAX(1915,MIN(2025,E263))),SUMIFS(Donnees_generations!$Z$3:$Z$113,Donnees_generations!$A$3:$A$113,MAX(1915,MIN(2025,E263))),SUMIFS(Donnees_generations!$AA$3:$AA$113,Donnees_generations!$A$3:$A$113,MAX(1915,MIN(2025,E263))),SUMIFS(Donnees_generations!$AB$3:$AB$113,Donnees_generations!$A$3:$A$113,MAX(1915,MIN(2025,E263))))+CHOOSE(((AG263+2)-56)/2+1,SUMIFS(Donnees_generations!$AC$3:$AC$113,Donnees_generations!$A$3:$A$113,MAX(1915,MIN(2025,E263))),SUMIFS(Donnees_generations!$AD$3:$AD$113,Donnees_generations!$A$3:$A$113,MAX(1915,MIN(2025,E263))),SUMIFS(Donnees_generations!$AE$3:$AE$113,Donnees_generations!$A$3:$A$113,MAX(1915,MIN(2025,E263))),SUMIFS(Donnees_generations!$AF$3:$AF$113,Donnees_generations!$A$3:$A$113,MAX(1915,MIN(2025,E263))),SUMIFS(Donnees_generations!$AG$3:$AG$113,Donnees_generations!$A$3:$A$113,MAX(1915,MIN(2025,E263))),SUMIFS(Donnees_generations!$AH$3:$AH$113,Donnees_generations!$A$3:$A$113,MAX(1915,MIN(2025,E263))),SUMIFS(Donnees_generations!$AI$3:$AI$113,Donnees_generations!$A$3:$A$113,MAX(1915,MIN(2025,E263))),SUMIFS(Donnees_generations!$AJ$3:$AJ$113,Donnees_generations!$A$3:$A$113,MAX(1915,MIN(2025,E263)))))/2</f>
        <v/>
      </c>
      <c r="AJ263" s="8">
        <f>MAX(0,AH263+(AI263-AH263)*(K263-AG263)/2)</f>
        <v/>
      </c>
      <c r="AK263" s="8">
        <f>K263+AJ263</f>
        <v/>
      </c>
      <c r="AL263" s="14">
        <f>AE263*AJ263</f>
        <v/>
      </c>
      <c r="AM263" s="17">
        <f>V263/AL263</f>
        <v/>
      </c>
      <c r="AN263" s="17">
        <f>Z263/AL263</f>
        <v/>
      </c>
      <c r="AO263" s="33">
        <f>IF(V263+Z263=0,0,Z263/(V263+Z263))</f>
        <v/>
      </c>
      <c r="AP263" s="14">
        <f>AL263/V263*100</f>
        <v/>
      </c>
      <c r="AQ263" s="8">
        <f>P263/AL263*1000</f>
        <v/>
      </c>
      <c r="AR263" s="77">
        <f>MAX(N263,M263-1)</f>
        <v/>
      </c>
      <c r="AS263" s="14">
        <f>SUMIFS(Donnees_regimes!$R$3:$R$1118,Donnees_regimes!$A$3:$A$1118,C263,Donnees_regimes!$B$3:$B$1118,"&gt;="&amp;G263,Donnees_regimes!$B$3:$B$1118,"&lt;="&amp;N263)*L263/ROUNDUP(L263,0)*SUMIFS(Donnees_annuelles!$AG$3:$AG$188,Donnees_annuelles!$A$3:$A$188,AR263)*SUMIFS(Donnees_annuelles!$AA$3:$AA$188,Donnees_annuelles!$A$3:$A$188,AR263)</f>
        <v/>
      </c>
      <c r="AT263" s="36">
        <f>AS263/V263</f>
        <v/>
      </c>
      <c r="AU263" s="14">
        <f>AL263</f>
        <v/>
      </c>
      <c r="AV263" s="39">
        <f>AS263-AL263</f>
        <v/>
      </c>
      <c r="AW263" s="9">
        <f>AS263/AL263-1</f>
        <v/>
      </c>
      <c r="AX263" s="14">
        <f>AS263/AJ263/12</f>
        <v/>
      </c>
      <c r="AY263" s="14">
        <f>AF263</f>
        <v/>
      </c>
      <c r="AZ263" s="39">
        <f>AX263-AF263</f>
        <v/>
      </c>
      <c r="BA263" s="14">
        <f>SUMIFS(Donnees_regimes!$S$3:$S$1118,Donnees_regimes!$A$3:$A$1118,C263,Donnees_regimes!$B$3:$B$1118,"&gt;="&amp;G263,Donnees_regimes!$B$3:$B$1118,"&lt;="&amp;N263)*L263/ROUNDUP(L263,0)*SUMIFS(Donnees_annuelles!$AH$3:$AH$188,Donnees_annuelles!$A$3:$A$188,AR263)*SUMIFS(Donnees_annuelles!$AA$3:$AA$188,Donnees_annuelles!$A$3:$A$188,AR263)</f>
        <v/>
      </c>
      <c r="BB263" s="39">
        <f>BA263-AL263</f>
        <v/>
      </c>
      <c r="BC263" s="7">
        <f>IF(M263+AJ263&gt;2026,IF(G263&gt;2026,"entièrement projeté","en partie projeté"),"observé")</f>
        <v/>
      </c>
    </row>
    <row r="264">
      <c r="A264" s="7" t="inlineStr">
        <is>
          <t>Génération Y</t>
        </is>
      </c>
      <c r="B264" s="84" t="inlineStr">
        <is>
          <t>Fonction publique territoriale et hospitalière</t>
        </is>
      </c>
      <c r="C264" s="7">
        <f>IF(G264&gt;=SUMIFS(Regimes!$C$5:$C$10,Regimes!$A$5:$A$10,B264),"Privé",B264)</f>
        <v/>
      </c>
      <c r="D264" s="7">
        <f>INDEX(Regimes!$D$5:$D$10,MATCH(C264,Regimes!$A$5:$A$10,0))</f>
        <v/>
      </c>
      <c r="E264" s="88" t="n">
        <v>1993</v>
      </c>
      <c r="F264" s="8">
        <f>Donnees_generations!C81</f>
        <v/>
      </c>
      <c r="G264" s="77">
        <f>Donnees_generations!D81</f>
        <v/>
      </c>
      <c r="H264" s="8">
        <f>SUMIFS(Donnees_generations!$S$3:$S$113,Donnees_generations!$A$3:$A$113,MAX(1915,MIN(2025,E264)))</f>
        <v/>
      </c>
      <c r="I264" s="8">
        <f>SUMIFS(Donnees_generations!$T$3:$T$113,Donnees_generations!$A$3:$A$113,MAX(1915,MIN(2025,E264)))</f>
        <v/>
      </c>
      <c r="J264" s="8">
        <f>IF(G264&gt;=2000,MAX(I264,Parametres!$B$3),I264)</f>
        <v/>
      </c>
      <c r="K264" s="8">
        <f>IF(C264="Privé",J264,SUMIFS(Regles_regimes!$J$3:$J$2000,Regles_regimes!$A$3:$A$2000,C264,Regles_regimes!$B$3:$B$2000,D264,Regles_regimes!$C$3:$C$2000,MAX(1915,MIN(2025,E264))))</f>
        <v/>
      </c>
      <c r="L264" s="8">
        <f>IF(C264="Privé",H264,(K264-F264)*H264/(J264-F264))</f>
        <v/>
      </c>
      <c r="M264" s="77">
        <f>INT(E264+K264)</f>
        <v/>
      </c>
      <c r="N264" s="77">
        <f>G264+ROUNDUP(L264,0)-1</f>
        <v/>
      </c>
      <c r="O264" s="89">
        <f>SUMIFS(Regles_regimes!$K$3:$K$2000,Regles_regimes!$A$3:$A$2000,C264,Regles_regimes!$B$3:$B$2000,D264,Regles_regimes!$C$3:$C$2000,MAX(1915,MIN(2025,E264)))</f>
        <v/>
      </c>
      <c r="P264" s="13">
        <f>SUMIFS(Donnees_annuelles!$W$3:$W$188,Donnees_annuelles!$A$3:$A$188,"&gt;="&amp;G264,Donnees_annuelles!$A$3:$A$188,"&lt;="&amp;N264)*L264/ROUNDUP(L264,0)*O264</f>
        <v/>
      </c>
      <c r="Q264" s="13">
        <f>SUMIFS(Donnees_annuelles!$V$3:$V$188,Donnees_annuelles!$A$3:$A$188,"&gt;="&amp;G264,Donnees_annuelles!$A$3:$A$188,"&lt;="&amp;N264)*L264/ROUNDUP(L264,0)</f>
        <v/>
      </c>
      <c r="R264" s="13">
        <f>P264/L264</f>
        <v/>
      </c>
      <c r="S264" s="14">
        <f>SUMIFS(Donnees_annuelles!$D$3:$D$188,Donnees_annuelles!$A$3:$A$188,"&gt;="&amp;G264,Donnees_annuelles!$A$3:$A$188,"&lt;="&amp;N264)*L264/ROUNDUP(L264,0)</f>
        <v/>
      </c>
      <c r="T264" s="14">
        <f>SUMIFS(Donnees_regimes!$N$3:$N$1118,Donnees_regimes!$A$3:$A$1118,C264,Donnees_regimes!$B$3:$B$1118,"&gt;="&amp;G264,Donnees_regimes!$B$3:$B$1118,"&lt;="&amp;N264)*L264/ROUNDUP(L264,0)</f>
        <v/>
      </c>
      <c r="U264" s="14">
        <f>SUMIFS(Donnees_regimes!$O$3:$O$1118,Donnees_regimes!$A$3:$A$1118,C264,Donnees_regimes!$B$3:$B$1118,"&gt;="&amp;G264,Donnees_regimes!$B$3:$B$1118,"&lt;="&amp;N264)*L264/ROUNDUP(L264,0)</f>
        <v/>
      </c>
      <c r="V264" s="14">
        <f>T264+U264</f>
        <v/>
      </c>
      <c r="W264" s="33">
        <f>V264/S264</f>
        <v/>
      </c>
      <c r="X264" s="14">
        <f>S264+U264</f>
        <v/>
      </c>
      <c r="Y264" s="17">
        <f>V264/P264</f>
        <v/>
      </c>
      <c r="Z264" s="14">
        <f>SUMIFS(Donnees_regimes!$Q$3:$Q$1118,Donnees_regimes!$A$3:$A$1118,C264,Donnees_regimes!$B$3:$B$1118,"&gt;="&amp;G264,Donnees_regimes!$B$3:$B$1118,"&lt;="&amp;N264)*L264/ROUNDUP(L264,0)</f>
        <v/>
      </c>
      <c r="AA264" s="77">
        <f>SUMIFS(Regles_regimes!$F$3:$F$2000,Regles_regimes!$A$3:$A$2000,C264,Regles_regimes!$B$3:$B$2000,D264,Regles_regimes!$C$3:$C$2000,MAX(1915,MIN(2025,E264)))</f>
        <v/>
      </c>
      <c r="AB264" s="77">
        <f>IF(AND(SUMIFS(Regles_regimes!$L$3:$L$2000,Regles_regimes!$A$3:$A$2000,C264,Regles_regimes!$B$3:$B$2000,D264,Regles_regimes!$C$3:$C$2000,MAX(1915,MIN(2025,E264)))=1,G264&lt;2009,C264&lt;&gt;"Privé"),MIN(20,L264*4/5),0)</f>
        <v/>
      </c>
      <c r="AC264" s="89">
        <f>SUMIFS(Donnees_regimes!$M$3:$M$1118,Donnees_regimes!$A$3:$A$1118,C264,Donnees_regimes!$B$3:$B$1118,M264)</f>
        <v/>
      </c>
      <c r="AD264" s="14">
        <f>SUMIFS(Donnees_annuelles!$Y$3:$Y$188,Donnees_annuelles!$A$3:$A$188,M264)*SUMIFS(Donnees_generations!$I$3:$I$113,Donnees_generations!$A$3:$A$113,MAX(1915,MIN(2025,E264)))/H264</f>
        <v/>
      </c>
      <c r="AE264" s="14">
        <f>IF(C264="Privé",SUMIFS(Donnees_annuelles!$Y$3:$Y$188,Donnees_annuelles!$A$3:$A$188,M264)*MIN(L264,SUMIFS(Donnees_generations!$I$3:$I$113,Donnees_generations!$A$3:$A$113,MAX(1915,MIN(2025,E264))))/L264,AD264*AC264*MIN(IF(AB264&gt;0,0.8/0.75,1),(L264*4+AB264)/AA264))</f>
        <v/>
      </c>
      <c r="AF264" s="14">
        <f>AE264/12</f>
        <v/>
      </c>
      <c r="AG264" s="77">
        <f>MIN(68,MAX(56,2*INT(K264/2)))</f>
        <v/>
      </c>
      <c r="AH264" s="75">
        <f>(CHOOSE((AG264-56)/2+1,SUMIFS(Donnees_generations!$U$3:$U$113,Donnees_generations!$A$3:$A$113,MAX(1915,MIN(2025,E264))),SUMIFS(Donnees_generations!$V$3:$V$113,Donnees_generations!$A$3:$A$113,MAX(1915,MIN(2025,E264))),SUMIFS(Donnees_generations!$W$3:$W$113,Donnees_generations!$A$3:$A$113,MAX(1915,MIN(2025,E264))),SUMIFS(Donnees_generations!$X$3:$X$113,Donnees_generations!$A$3:$A$113,MAX(1915,MIN(2025,E264))),SUMIFS(Donnees_generations!$Y$3:$Y$113,Donnees_generations!$A$3:$A$113,MAX(1915,MIN(2025,E264))),SUMIFS(Donnees_generations!$Z$3:$Z$113,Donnees_generations!$A$3:$A$113,MAX(1915,MIN(2025,E264))),SUMIFS(Donnees_generations!$AA$3:$AA$113,Donnees_generations!$A$3:$A$113,MAX(1915,MIN(2025,E264))),SUMIFS(Donnees_generations!$AB$3:$AB$113,Donnees_generations!$A$3:$A$113,MAX(1915,MIN(2025,E264))))+CHOOSE((AG264-56)/2+1,SUMIFS(Donnees_generations!$AC$3:$AC$113,Donnees_generations!$A$3:$A$113,MAX(1915,MIN(2025,E264))),SUMIFS(Donnees_generations!$AD$3:$AD$113,Donnees_generations!$A$3:$A$113,MAX(1915,MIN(2025,E264))),SUMIFS(Donnees_generations!$AE$3:$AE$113,Donnees_generations!$A$3:$A$113,MAX(1915,MIN(2025,E264))),SUMIFS(Donnees_generations!$AF$3:$AF$113,Donnees_generations!$A$3:$A$113,MAX(1915,MIN(2025,E264))),SUMIFS(Donnees_generations!$AG$3:$AG$113,Donnees_generations!$A$3:$A$113,MAX(1915,MIN(2025,E264))),SUMIFS(Donnees_generations!$AH$3:$AH$113,Donnees_generations!$A$3:$A$113,MAX(1915,MIN(2025,E264))),SUMIFS(Donnees_generations!$AI$3:$AI$113,Donnees_generations!$A$3:$A$113,MAX(1915,MIN(2025,E264))),SUMIFS(Donnees_generations!$AJ$3:$AJ$113,Donnees_generations!$A$3:$A$113,MAX(1915,MIN(2025,E264)))))/2</f>
        <v/>
      </c>
      <c r="AI264" s="75">
        <f>(CHOOSE(((AG264+2)-56)/2+1,SUMIFS(Donnees_generations!$U$3:$U$113,Donnees_generations!$A$3:$A$113,MAX(1915,MIN(2025,E264))),SUMIFS(Donnees_generations!$V$3:$V$113,Donnees_generations!$A$3:$A$113,MAX(1915,MIN(2025,E264))),SUMIFS(Donnees_generations!$W$3:$W$113,Donnees_generations!$A$3:$A$113,MAX(1915,MIN(2025,E264))),SUMIFS(Donnees_generations!$X$3:$X$113,Donnees_generations!$A$3:$A$113,MAX(1915,MIN(2025,E264))),SUMIFS(Donnees_generations!$Y$3:$Y$113,Donnees_generations!$A$3:$A$113,MAX(1915,MIN(2025,E264))),SUMIFS(Donnees_generations!$Z$3:$Z$113,Donnees_generations!$A$3:$A$113,MAX(1915,MIN(2025,E264))),SUMIFS(Donnees_generations!$AA$3:$AA$113,Donnees_generations!$A$3:$A$113,MAX(1915,MIN(2025,E264))),SUMIFS(Donnees_generations!$AB$3:$AB$113,Donnees_generations!$A$3:$A$113,MAX(1915,MIN(2025,E264))))+CHOOSE(((AG264+2)-56)/2+1,SUMIFS(Donnees_generations!$AC$3:$AC$113,Donnees_generations!$A$3:$A$113,MAX(1915,MIN(2025,E264))),SUMIFS(Donnees_generations!$AD$3:$AD$113,Donnees_generations!$A$3:$A$113,MAX(1915,MIN(2025,E264))),SUMIFS(Donnees_generations!$AE$3:$AE$113,Donnees_generations!$A$3:$A$113,MAX(1915,MIN(2025,E264))),SUMIFS(Donnees_generations!$AF$3:$AF$113,Donnees_generations!$A$3:$A$113,MAX(1915,MIN(2025,E264))),SUMIFS(Donnees_generations!$AG$3:$AG$113,Donnees_generations!$A$3:$A$113,MAX(1915,MIN(2025,E264))),SUMIFS(Donnees_generations!$AH$3:$AH$113,Donnees_generations!$A$3:$A$113,MAX(1915,MIN(2025,E264))),SUMIFS(Donnees_generations!$AI$3:$AI$113,Donnees_generations!$A$3:$A$113,MAX(1915,MIN(2025,E264))),SUMIFS(Donnees_generations!$AJ$3:$AJ$113,Donnees_generations!$A$3:$A$113,MAX(1915,MIN(2025,E264)))))/2</f>
        <v/>
      </c>
      <c r="AJ264" s="8">
        <f>MAX(0,AH264+(AI264-AH264)*(K264-AG264)/2)</f>
        <v/>
      </c>
      <c r="AK264" s="8">
        <f>K264+AJ264</f>
        <v/>
      </c>
      <c r="AL264" s="14">
        <f>AE264*AJ264</f>
        <v/>
      </c>
      <c r="AM264" s="17">
        <f>V264/AL264</f>
        <v/>
      </c>
      <c r="AN264" s="17">
        <f>Z264/AL264</f>
        <v/>
      </c>
      <c r="AO264" s="33">
        <f>IF(V264+Z264=0,0,Z264/(V264+Z264))</f>
        <v/>
      </c>
      <c r="AP264" s="14">
        <f>AL264/V264*100</f>
        <v/>
      </c>
      <c r="AQ264" s="8">
        <f>P264/AL264*1000</f>
        <v/>
      </c>
      <c r="AR264" s="77">
        <f>MAX(N264,M264-1)</f>
        <v/>
      </c>
      <c r="AS264" s="14">
        <f>SUMIFS(Donnees_regimes!$R$3:$R$1118,Donnees_regimes!$A$3:$A$1118,C264,Donnees_regimes!$B$3:$B$1118,"&gt;="&amp;G264,Donnees_regimes!$B$3:$B$1118,"&lt;="&amp;N264)*L264/ROUNDUP(L264,0)*SUMIFS(Donnees_annuelles!$AG$3:$AG$188,Donnees_annuelles!$A$3:$A$188,AR264)*SUMIFS(Donnees_annuelles!$AA$3:$AA$188,Donnees_annuelles!$A$3:$A$188,AR264)</f>
        <v/>
      </c>
      <c r="AT264" s="36">
        <f>AS264/V264</f>
        <v/>
      </c>
      <c r="AU264" s="14">
        <f>AL264</f>
        <v/>
      </c>
      <c r="AV264" s="39">
        <f>AS264-AL264</f>
        <v/>
      </c>
      <c r="AW264" s="9">
        <f>AS264/AL264-1</f>
        <v/>
      </c>
      <c r="AX264" s="14">
        <f>AS264/AJ264/12</f>
        <v/>
      </c>
      <c r="AY264" s="14">
        <f>AF264</f>
        <v/>
      </c>
      <c r="AZ264" s="39">
        <f>AX264-AF264</f>
        <v/>
      </c>
      <c r="BA264" s="14">
        <f>SUMIFS(Donnees_regimes!$S$3:$S$1118,Donnees_regimes!$A$3:$A$1118,C264,Donnees_regimes!$B$3:$B$1118,"&gt;="&amp;G264,Donnees_regimes!$B$3:$B$1118,"&lt;="&amp;N264)*L264/ROUNDUP(L264,0)*SUMIFS(Donnees_annuelles!$AH$3:$AH$188,Donnees_annuelles!$A$3:$A$188,AR264)*SUMIFS(Donnees_annuelles!$AA$3:$AA$188,Donnees_annuelles!$A$3:$A$188,AR264)</f>
        <v/>
      </c>
      <c r="BB264" s="39">
        <f>BA264-AL264</f>
        <v/>
      </c>
      <c r="BC264" s="7">
        <f>IF(M264+AJ264&gt;2026,IF(G264&gt;2026,"entièrement projeté","en partie projeté"),"observé")</f>
        <v/>
      </c>
    </row>
    <row r="265">
      <c r="A265" s="7" t="inlineStr">
        <is>
          <t>Génération Y</t>
        </is>
      </c>
      <c r="B265" s="84" t="inlineStr">
        <is>
          <t>Fonction publique territoriale et hospitalière</t>
        </is>
      </c>
      <c r="C265" s="7">
        <f>IF(G265&gt;=SUMIFS(Regimes!$C$5:$C$10,Regimes!$A$5:$A$10,B265),"Privé",B265)</f>
        <v/>
      </c>
      <c r="D265" s="7">
        <f>INDEX(Regimes!$D$5:$D$10,MATCH(C265,Regimes!$A$5:$A$10,0))</f>
        <v/>
      </c>
      <c r="E265" s="88" t="n">
        <v>1994</v>
      </c>
      <c r="F265" s="8">
        <f>Donnees_generations!C82</f>
        <v/>
      </c>
      <c r="G265" s="77">
        <f>Donnees_generations!D82</f>
        <v/>
      </c>
      <c r="H265" s="8">
        <f>SUMIFS(Donnees_generations!$S$3:$S$113,Donnees_generations!$A$3:$A$113,MAX(1915,MIN(2025,E265)))</f>
        <v/>
      </c>
      <c r="I265" s="8">
        <f>SUMIFS(Donnees_generations!$T$3:$T$113,Donnees_generations!$A$3:$A$113,MAX(1915,MIN(2025,E265)))</f>
        <v/>
      </c>
      <c r="J265" s="8">
        <f>IF(G265&gt;=2000,MAX(I265,Parametres!$B$3),I265)</f>
        <v/>
      </c>
      <c r="K265" s="8">
        <f>IF(C265="Privé",J265,SUMIFS(Regles_regimes!$J$3:$J$2000,Regles_regimes!$A$3:$A$2000,C265,Regles_regimes!$B$3:$B$2000,D265,Regles_regimes!$C$3:$C$2000,MAX(1915,MIN(2025,E265))))</f>
        <v/>
      </c>
      <c r="L265" s="8">
        <f>IF(C265="Privé",H265,(K265-F265)*H265/(J265-F265))</f>
        <v/>
      </c>
      <c r="M265" s="77">
        <f>INT(E265+K265)</f>
        <v/>
      </c>
      <c r="N265" s="77">
        <f>G265+ROUNDUP(L265,0)-1</f>
        <v/>
      </c>
      <c r="O265" s="89">
        <f>SUMIFS(Regles_regimes!$K$3:$K$2000,Regles_regimes!$A$3:$A$2000,C265,Regles_regimes!$B$3:$B$2000,D265,Regles_regimes!$C$3:$C$2000,MAX(1915,MIN(2025,E265)))</f>
        <v/>
      </c>
      <c r="P265" s="13">
        <f>SUMIFS(Donnees_annuelles!$W$3:$W$188,Donnees_annuelles!$A$3:$A$188,"&gt;="&amp;G265,Donnees_annuelles!$A$3:$A$188,"&lt;="&amp;N265)*L265/ROUNDUP(L265,0)*O265</f>
        <v/>
      </c>
      <c r="Q265" s="13">
        <f>SUMIFS(Donnees_annuelles!$V$3:$V$188,Donnees_annuelles!$A$3:$A$188,"&gt;="&amp;G265,Donnees_annuelles!$A$3:$A$188,"&lt;="&amp;N265)*L265/ROUNDUP(L265,0)</f>
        <v/>
      </c>
      <c r="R265" s="13">
        <f>P265/L265</f>
        <v/>
      </c>
      <c r="S265" s="14">
        <f>SUMIFS(Donnees_annuelles!$D$3:$D$188,Donnees_annuelles!$A$3:$A$188,"&gt;="&amp;G265,Donnees_annuelles!$A$3:$A$188,"&lt;="&amp;N265)*L265/ROUNDUP(L265,0)</f>
        <v/>
      </c>
      <c r="T265" s="14">
        <f>SUMIFS(Donnees_regimes!$N$3:$N$1118,Donnees_regimes!$A$3:$A$1118,C265,Donnees_regimes!$B$3:$B$1118,"&gt;="&amp;G265,Donnees_regimes!$B$3:$B$1118,"&lt;="&amp;N265)*L265/ROUNDUP(L265,0)</f>
        <v/>
      </c>
      <c r="U265" s="14">
        <f>SUMIFS(Donnees_regimes!$O$3:$O$1118,Donnees_regimes!$A$3:$A$1118,C265,Donnees_regimes!$B$3:$B$1118,"&gt;="&amp;G265,Donnees_regimes!$B$3:$B$1118,"&lt;="&amp;N265)*L265/ROUNDUP(L265,0)</f>
        <v/>
      </c>
      <c r="V265" s="14">
        <f>T265+U265</f>
        <v/>
      </c>
      <c r="W265" s="33">
        <f>V265/S265</f>
        <v/>
      </c>
      <c r="X265" s="14">
        <f>S265+U265</f>
        <v/>
      </c>
      <c r="Y265" s="17">
        <f>V265/P265</f>
        <v/>
      </c>
      <c r="Z265" s="14">
        <f>SUMIFS(Donnees_regimes!$Q$3:$Q$1118,Donnees_regimes!$A$3:$A$1118,C265,Donnees_regimes!$B$3:$B$1118,"&gt;="&amp;G265,Donnees_regimes!$B$3:$B$1118,"&lt;="&amp;N265)*L265/ROUNDUP(L265,0)</f>
        <v/>
      </c>
      <c r="AA265" s="77">
        <f>SUMIFS(Regles_regimes!$F$3:$F$2000,Regles_regimes!$A$3:$A$2000,C265,Regles_regimes!$B$3:$B$2000,D265,Regles_regimes!$C$3:$C$2000,MAX(1915,MIN(2025,E265)))</f>
        <v/>
      </c>
      <c r="AB265" s="77">
        <f>IF(AND(SUMIFS(Regles_regimes!$L$3:$L$2000,Regles_regimes!$A$3:$A$2000,C265,Regles_regimes!$B$3:$B$2000,D265,Regles_regimes!$C$3:$C$2000,MAX(1915,MIN(2025,E265)))=1,G265&lt;2009,C265&lt;&gt;"Privé"),MIN(20,L265*4/5),0)</f>
        <v/>
      </c>
      <c r="AC265" s="89">
        <f>SUMIFS(Donnees_regimes!$M$3:$M$1118,Donnees_regimes!$A$3:$A$1118,C265,Donnees_regimes!$B$3:$B$1118,M265)</f>
        <v/>
      </c>
      <c r="AD265" s="14">
        <f>SUMIFS(Donnees_annuelles!$Y$3:$Y$188,Donnees_annuelles!$A$3:$A$188,M265)*SUMIFS(Donnees_generations!$I$3:$I$113,Donnees_generations!$A$3:$A$113,MAX(1915,MIN(2025,E265)))/H265</f>
        <v/>
      </c>
      <c r="AE265" s="14">
        <f>IF(C265="Privé",SUMIFS(Donnees_annuelles!$Y$3:$Y$188,Donnees_annuelles!$A$3:$A$188,M265)*MIN(L265,SUMIFS(Donnees_generations!$I$3:$I$113,Donnees_generations!$A$3:$A$113,MAX(1915,MIN(2025,E265))))/L265,AD265*AC265*MIN(IF(AB265&gt;0,0.8/0.75,1),(L265*4+AB265)/AA265))</f>
        <v/>
      </c>
      <c r="AF265" s="14">
        <f>AE265/12</f>
        <v/>
      </c>
      <c r="AG265" s="77">
        <f>MIN(68,MAX(56,2*INT(K265/2)))</f>
        <v/>
      </c>
      <c r="AH265" s="75">
        <f>(CHOOSE((AG265-56)/2+1,SUMIFS(Donnees_generations!$U$3:$U$113,Donnees_generations!$A$3:$A$113,MAX(1915,MIN(2025,E265))),SUMIFS(Donnees_generations!$V$3:$V$113,Donnees_generations!$A$3:$A$113,MAX(1915,MIN(2025,E265))),SUMIFS(Donnees_generations!$W$3:$W$113,Donnees_generations!$A$3:$A$113,MAX(1915,MIN(2025,E265))),SUMIFS(Donnees_generations!$X$3:$X$113,Donnees_generations!$A$3:$A$113,MAX(1915,MIN(2025,E265))),SUMIFS(Donnees_generations!$Y$3:$Y$113,Donnees_generations!$A$3:$A$113,MAX(1915,MIN(2025,E265))),SUMIFS(Donnees_generations!$Z$3:$Z$113,Donnees_generations!$A$3:$A$113,MAX(1915,MIN(2025,E265))),SUMIFS(Donnees_generations!$AA$3:$AA$113,Donnees_generations!$A$3:$A$113,MAX(1915,MIN(2025,E265))),SUMIFS(Donnees_generations!$AB$3:$AB$113,Donnees_generations!$A$3:$A$113,MAX(1915,MIN(2025,E265))))+CHOOSE((AG265-56)/2+1,SUMIFS(Donnees_generations!$AC$3:$AC$113,Donnees_generations!$A$3:$A$113,MAX(1915,MIN(2025,E265))),SUMIFS(Donnees_generations!$AD$3:$AD$113,Donnees_generations!$A$3:$A$113,MAX(1915,MIN(2025,E265))),SUMIFS(Donnees_generations!$AE$3:$AE$113,Donnees_generations!$A$3:$A$113,MAX(1915,MIN(2025,E265))),SUMIFS(Donnees_generations!$AF$3:$AF$113,Donnees_generations!$A$3:$A$113,MAX(1915,MIN(2025,E265))),SUMIFS(Donnees_generations!$AG$3:$AG$113,Donnees_generations!$A$3:$A$113,MAX(1915,MIN(2025,E265))),SUMIFS(Donnees_generations!$AH$3:$AH$113,Donnees_generations!$A$3:$A$113,MAX(1915,MIN(2025,E265))),SUMIFS(Donnees_generations!$AI$3:$AI$113,Donnees_generations!$A$3:$A$113,MAX(1915,MIN(2025,E265))),SUMIFS(Donnees_generations!$AJ$3:$AJ$113,Donnees_generations!$A$3:$A$113,MAX(1915,MIN(2025,E265)))))/2</f>
        <v/>
      </c>
      <c r="AI265" s="75">
        <f>(CHOOSE(((AG265+2)-56)/2+1,SUMIFS(Donnees_generations!$U$3:$U$113,Donnees_generations!$A$3:$A$113,MAX(1915,MIN(2025,E265))),SUMIFS(Donnees_generations!$V$3:$V$113,Donnees_generations!$A$3:$A$113,MAX(1915,MIN(2025,E265))),SUMIFS(Donnees_generations!$W$3:$W$113,Donnees_generations!$A$3:$A$113,MAX(1915,MIN(2025,E265))),SUMIFS(Donnees_generations!$X$3:$X$113,Donnees_generations!$A$3:$A$113,MAX(1915,MIN(2025,E265))),SUMIFS(Donnees_generations!$Y$3:$Y$113,Donnees_generations!$A$3:$A$113,MAX(1915,MIN(2025,E265))),SUMIFS(Donnees_generations!$Z$3:$Z$113,Donnees_generations!$A$3:$A$113,MAX(1915,MIN(2025,E265))),SUMIFS(Donnees_generations!$AA$3:$AA$113,Donnees_generations!$A$3:$A$113,MAX(1915,MIN(2025,E265))),SUMIFS(Donnees_generations!$AB$3:$AB$113,Donnees_generations!$A$3:$A$113,MAX(1915,MIN(2025,E265))))+CHOOSE(((AG265+2)-56)/2+1,SUMIFS(Donnees_generations!$AC$3:$AC$113,Donnees_generations!$A$3:$A$113,MAX(1915,MIN(2025,E265))),SUMIFS(Donnees_generations!$AD$3:$AD$113,Donnees_generations!$A$3:$A$113,MAX(1915,MIN(2025,E265))),SUMIFS(Donnees_generations!$AE$3:$AE$113,Donnees_generations!$A$3:$A$113,MAX(1915,MIN(2025,E265))),SUMIFS(Donnees_generations!$AF$3:$AF$113,Donnees_generations!$A$3:$A$113,MAX(1915,MIN(2025,E265))),SUMIFS(Donnees_generations!$AG$3:$AG$113,Donnees_generations!$A$3:$A$113,MAX(1915,MIN(2025,E265))),SUMIFS(Donnees_generations!$AH$3:$AH$113,Donnees_generations!$A$3:$A$113,MAX(1915,MIN(2025,E265))),SUMIFS(Donnees_generations!$AI$3:$AI$113,Donnees_generations!$A$3:$A$113,MAX(1915,MIN(2025,E265))),SUMIFS(Donnees_generations!$AJ$3:$AJ$113,Donnees_generations!$A$3:$A$113,MAX(1915,MIN(2025,E265)))))/2</f>
        <v/>
      </c>
      <c r="AJ265" s="8">
        <f>MAX(0,AH265+(AI265-AH265)*(K265-AG265)/2)</f>
        <v/>
      </c>
      <c r="AK265" s="8">
        <f>K265+AJ265</f>
        <v/>
      </c>
      <c r="AL265" s="14">
        <f>AE265*AJ265</f>
        <v/>
      </c>
      <c r="AM265" s="17">
        <f>V265/AL265</f>
        <v/>
      </c>
      <c r="AN265" s="17">
        <f>Z265/AL265</f>
        <v/>
      </c>
      <c r="AO265" s="33">
        <f>IF(V265+Z265=0,0,Z265/(V265+Z265))</f>
        <v/>
      </c>
      <c r="AP265" s="14">
        <f>AL265/V265*100</f>
        <v/>
      </c>
      <c r="AQ265" s="8">
        <f>P265/AL265*1000</f>
        <v/>
      </c>
      <c r="AR265" s="77">
        <f>MAX(N265,M265-1)</f>
        <v/>
      </c>
      <c r="AS265" s="14">
        <f>SUMIFS(Donnees_regimes!$R$3:$R$1118,Donnees_regimes!$A$3:$A$1118,C265,Donnees_regimes!$B$3:$B$1118,"&gt;="&amp;G265,Donnees_regimes!$B$3:$B$1118,"&lt;="&amp;N265)*L265/ROUNDUP(L265,0)*SUMIFS(Donnees_annuelles!$AG$3:$AG$188,Donnees_annuelles!$A$3:$A$188,AR265)*SUMIFS(Donnees_annuelles!$AA$3:$AA$188,Donnees_annuelles!$A$3:$A$188,AR265)</f>
        <v/>
      </c>
      <c r="AT265" s="36">
        <f>AS265/V265</f>
        <v/>
      </c>
      <c r="AU265" s="14">
        <f>AL265</f>
        <v/>
      </c>
      <c r="AV265" s="39">
        <f>AS265-AL265</f>
        <v/>
      </c>
      <c r="AW265" s="9">
        <f>AS265/AL265-1</f>
        <v/>
      </c>
      <c r="AX265" s="14">
        <f>AS265/AJ265/12</f>
        <v/>
      </c>
      <c r="AY265" s="14">
        <f>AF265</f>
        <v/>
      </c>
      <c r="AZ265" s="39">
        <f>AX265-AF265</f>
        <v/>
      </c>
      <c r="BA265" s="14">
        <f>SUMIFS(Donnees_regimes!$S$3:$S$1118,Donnees_regimes!$A$3:$A$1118,C265,Donnees_regimes!$B$3:$B$1118,"&gt;="&amp;G265,Donnees_regimes!$B$3:$B$1118,"&lt;="&amp;N265)*L265/ROUNDUP(L265,0)*SUMIFS(Donnees_annuelles!$AH$3:$AH$188,Donnees_annuelles!$A$3:$A$188,AR265)*SUMIFS(Donnees_annuelles!$AA$3:$AA$188,Donnees_annuelles!$A$3:$A$188,AR265)</f>
        <v/>
      </c>
      <c r="BB265" s="39">
        <f>BA265-AL265</f>
        <v/>
      </c>
      <c r="BC265" s="7">
        <f>IF(M265+AJ265&gt;2026,IF(G265&gt;2026,"entièrement projeté","en partie projeté"),"observé")</f>
        <v/>
      </c>
    </row>
    <row r="266">
      <c r="A266" s="7" t="inlineStr">
        <is>
          <t>Génération Y</t>
        </is>
      </c>
      <c r="B266" s="84" t="inlineStr">
        <is>
          <t>Fonction publique territoriale et hospitalière</t>
        </is>
      </c>
      <c r="C266" s="7">
        <f>IF(G266&gt;=SUMIFS(Regimes!$C$5:$C$10,Regimes!$A$5:$A$10,B266),"Privé",B266)</f>
        <v/>
      </c>
      <c r="D266" s="7">
        <f>INDEX(Regimes!$D$5:$D$10,MATCH(C266,Regimes!$A$5:$A$10,0))</f>
        <v/>
      </c>
      <c r="E266" s="88" t="n">
        <v>1995</v>
      </c>
      <c r="F266" s="8">
        <f>Donnees_generations!C83</f>
        <v/>
      </c>
      <c r="G266" s="77">
        <f>Donnees_generations!D83</f>
        <v/>
      </c>
      <c r="H266" s="8">
        <f>SUMIFS(Donnees_generations!$S$3:$S$113,Donnees_generations!$A$3:$A$113,MAX(1915,MIN(2025,E266)))</f>
        <v/>
      </c>
      <c r="I266" s="8">
        <f>SUMIFS(Donnees_generations!$T$3:$T$113,Donnees_generations!$A$3:$A$113,MAX(1915,MIN(2025,E266)))</f>
        <v/>
      </c>
      <c r="J266" s="8">
        <f>IF(G266&gt;=2000,MAX(I266,Parametres!$B$3),I266)</f>
        <v/>
      </c>
      <c r="K266" s="8">
        <f>IF(C266="Privé",J266,SUMIFS(Regles_regimes!$J$3:$J$2000,Regles_regimes!$A$3:$A$2000,C266,Regles_regimes!$B$3:$B$2000,D266,Regles_regimes!$C$3:$C$2000,MAX(1915,MIN(2025,E266))))</f>
        <v/>
      </c>
      <c r="L266" s="8">
        <f>IF(C266="Privé",H266,(K266-F266)*H266/(J266-F266))</f>
        <v/>
      </c>
      <c r="M266" s="77">
        <f>INT(E266+K266)</f>
        <v/>
      </c>
      <c r="N266" s="77">
        <f>G266+ROUNDUP(L266,0)-1</f>
        <v/>
      </c>
      <c r="O266" s="89">
        <f>SUMIFS(Regles_regimes!$K$3:$K$2000,Regles_regimes!$A$3:$A$2000,C266,Regles_regimes!$B$3:$B$2000,D266,Regles_regimes!$C$3:$C$2000,MAX(1915,MIN(2025,E266)))</f>
        <v/>
      </c>
      <c r="P266" s="13">
        <f>SUMIFS(Donnees_annuelles!$W$3:$W$188,Donnees_annuelles!$A$3:$A$188,"&gt;="&amp;G266,Donnees_annuelles!$A$3:$A$188,"&lt;="&amp;N266)*L266/ROUNDUP(L266,0)*O266</f>
        <v/>
      </c>
      <c r="Q266" s="13">
        <f>SUMIFS(Donnees_annuelles!$V$3:$V$188,Donnees_annuelles!$A$3:$A$188,"&gt;="&amp;G266,Donnees_annuelles!$A$3:$A$188,"&lt;="&amp;N266)*L266/ROUNDUP(L266,0)</f>
        <v/>
      </c>
      <c r="R266" s="13">
        <f>P266/L266</f>
        <v/>
      </c>
      <c r="S266" s="14">
        <f>SUMIFS(Donnees_annuelles!$D$3:$D$188,Donnees_annuelles!$A$3:$A$188,"&gt;="&amp;G266,Donnees_annuelles!$A$3:$A$188,"&lt;="&amp;N266)*L266/ROUNDUP(L266,0)</f>
        <v/>
      </c>
      <c r="T266" s="14">
        <f>SUMIFS(Donnees_regimes!$N$3:$N$1118,Donnees_regimes!$A$3:$A$1118,C266,Donnees_regimes!$B$3:$B$1118,"&gt;="&amp;G266,Donnees_regimes!$B$3:$B$1118,"&lt;="&amp;N266)*L266/ROUNDUP(L266,0)</f>
        <v/>
      </c>
      <c r="U266" s="14">
        <f>SUMIFS(Donnees_regimes!$O$3:$O$1118,Donnees_regimes!$A$3:$A$1118,C266,Donnees_regimes!$B$3:$B$1118,"&gt;="&amp;G266,Donnees_regimes!$B$3:$B$1118,"&lt;="&amp;N266)*L266/ROUNDUP(L266,0)</f>
        <v/>
      </c>
      <c r="V266" s="14">
        <f>T266+U266</f>
        <v/>
      </c>
      <c r="W266" s="33">
        <f>V266/S266</f>
        <v/>
      </c>
      <c r="X266" s="14">
        <f>S266+U266</f>
        <v/>
      </c>
      <c r="Y266" s="17">
        <f>V266/P266</f>
        <v/>
      </c>
      <c r="Z266" s="14">
        <f>SUMIFS(Donnees_regimes!$Q$3:$Q$1118,Donnees_regimes!$A$3:$A$1118,C266,Donnees_regimes!$B$3:$B$1118,"&gt;="&amp;G266,Donnees_regimes!$B$3:$B$1118,"&lt;="&amp;N266)*L266/ROUNDUP(L266,0)</f>
        <v/>
      </c>
      <c r="AA266" s="77">
        <f>SUMIFS(Regles_regimes!$F$3:$F$2000,Regles_regimes!$A$3:$A$2000,C266,Regles_regimes!$B$3:$B$2000,D266,Regles_regimes!$C$3:$C$2000,MAX(1915,MIN(2025,E266)))</f>
        <v/>
      </c>
      <c r="AB266" s="77">
        <f>IF(AND(SUMIFS(Regles_regimes!$L$3:$L$2000,Regles_regimes!$A$3:$A$2000,C266,Regles_regimes!$B$3:$B$2000,D266,Regles_regimes!$C$3:$C$2000,MAX(1915,MIN(2025,E266)))=1,G266&lt;2009,C266&lt;&gt;"Privé"),MIN(20,L266*4/5),0)</f>
        <v/>
      </c>
      <c r="AC266" s="89">
        <f>SUMIFS(Donnees_regimes!$M$3:$M$1118,Donnees_regimes!$A$3:$A$1118,C266,Donnees_regimes!$B$3:$B$1118,M266)</f>
        <v/>
      </c>
      <c r="AD266" s="14">
        <f>SUMIFS(Donnees_annuelles!$Y$3:$Y$188,Donnees_annuelles!$A$3:$A$188,M266)*SUMIFS(Donnees_generations!$I$3:$I$113,Donnees_generations!$A$3:$A$113,MAX(1915,MIN(2025,E266)))/H266</f>
        <v/>
      </c>
      <c r="AE266" s="14">
        <f>IF(C266="Privé",SUMIFS(Donnees_annuelles!$Y$3:$Y$188,Donnees_annuelles!$A$3:$A$188,M266)*MIN(L266,SUMIFS(Donnees_generations!$I$3:$I$113,Donnees_generations!$A$3:$A$113,MAX(1915,MIN(2025,E266))))/L266,AD266*AC266*MIN(IF(AB266&gt;0,0.8/0.75,1),(L266*4+AB266)/AA266))</f>
        <v/>
      </c>
      <c r="AF266" s="14">
        <f>AE266/12</f>
        <v/>
      </c>
      <c r="AG266" s="77">
        <f>MIN(68,MAX(56,2*INT(K266/2)))</f>
        <v/>
      </c>
      <c r="AH266" s="75">
        <f>(CHOOSE((AG266-56)/2+1,SUMIFS(Donnees_generations!$U$3:$U$113,Donnees_generations!$A$3:$A$113,MAX(1915,MIN(2025,E266))),SUMIFS(Donnees_generations!$V$3:$V$113,Donnees_generations!$A$3:$A$113,MAX(1915,MIN(2025,E266))),SUMIFS(Donnees_generations!$W$3:$W$113,Donnees_generations!$A$3:$A$113,MAX(1915,MIN(2025,E266))),SUMIFS(Donnees_generations!$X$3:$X$113,Donnees_generations!$A$3:$A$113,MAX(1915,MIN(2025,E266))),SUMIFS(Donnees_generations!$Y$3:$Y$113,Donnees_generations!$A$3:$A$113,MAX(1915,MIN(2025,E266))),SUMIFS(Donnees_generations!$Z$3:$Z$113,Donnees_generations!$A$3:$A$113,MAX(1915,MIN(2025,E266))),SUMIFS(Donnees_generations!$AA$3:$AA$113,Donnees_generations!$A$3:$A$113,MAX(1915,MIN(2025,E266))),SUMIFS(Donnees_generations!$AB$3:$AB$113,Donnees_generations!$A$3:$A$113,MAX(1915,MIN(2025,E266))))+CHOOSE((AG266-56)/2+1,SUMIFS(Donnees_generations!$AC$3:$AC$113,Donnees_generations!$A$3:$A$113,MAX(1915,MIN(2025,E266))),SUMIFS(Donnees_generations!$AD$3:$AD$113,Donnees_generations!$A$3:$A$113,MAX(1915,MIN(2025,E266))),SUMIFS(Donnees_generations!$AE$3:$AE$113,Donnees_generations!$A$3:$A$113,MAX(1915,MIN(2025,E266))),SUMIFS(Donnees_generations!$AF$3:$AF$113,Donnees_generations!$A$3:$A$113,MAX(1915,MIN(2025,E266))),SUMIFS(Donnees_generations!$AG$3:$AG$113,Donnees_generations!$A$3:$A$113,MAX(1915,MIN(2025,E266))),SUMIFS(Donnees_generations!$AH$3:$AH$113,Donnees_generations!$A$3:$A$113,MAX(1915,MIN(2025,E266))),SUMIFS(Donnees_generations!$AI$3:$AI$113,Donnees_generations!$A$3:$A$113,MAX(1915,MIN(2025,E266))),SUMIFS(Donnees_generations!$AJ$3:$AJ$113,Donnees_generations!$A$3:$A$113,MAX(1915,MIN(2025,E266)))))/2</f>
        <v/>
      </c>
      <c r="AI266" s="75">
        <f>(CHOOSE(((AG266+2)-56)/2+1,SUMIFS(Donnees_generations!$U$3:$U$113,Donnees_generations!$A$3:$A$113,MAX(1915,MIN(2025,E266))),SUMIFS(Donnees_generations!$V$3:$V$113,Donnees_generations!$A$3:$A$113,MAX(1915,MIN(2025,E266))),SUMIFS(Donnees_generations!$W$3:$W$113,Donnees_generations!$A$3:$A$113,MAX(1915,MIN(2025,E266))),SUMIFS(Donnees_generations!$X$3:$X$113,Donnees_generations!$A$3:$A$113,MAX(1915,MIN(2025,E266))),SUMIFS(Donnees_generations!$Y$3:$Y$113,Donnees_generations!$A$3:$A$113,MAX(1915,MIN(2025,E266))),SUMIFS(Donnees_generations!$Z$3:$Z$113,Donnees_generations!$A$3:$A$113,MAX(1915,MIN(2025,E266))),SUMIFS(Donnees_generations!$AA$3:$AA$113,Donnees_generations!$A$3:$A$113,MAX(1915,MIN(2025,E266))),SUMIFS(Donnees_generations!$AB$3:$AB$113,Donnees_generations!$A$3:$A$113,MAX(1915,MIN(2025,E266))))+CHOOSE(((AG266+2)-56)/2+1,SUMIFS(Donnees_generations!$AC$3:$AC$113,Donnees_generations!$A$3:$A$113,MAX(1915,MIN(2025,E266))),SUMIFS(Donnees_generations!$AD$3:$AD$113,Donnees_generations!$A$3:$A$113,MAX(1915,MIN(2025,E266))),SUMIFS(Donnees_generations!$AE$3:$AE$113,Donnees_generations!$A$3:$A$113,MAX(1915,MIN(2025,E266))),SUMIFS(Donnees_generations!$AF$3:$AF$113,Donnees_generations!$A$3:$A$113,MAX(1915,MIN(2025,E266))),SUMIFS(Donnees_generations!$AG$3:$AG$113,Donnees_generations!$A$3:$A$113,MAX(1915,MIN(2025,E266))),SUMIFS(Donnees_generations!$AH$3:$AH$113,Donnees_generations!$A$3:$A$113,MAX(1915,MIN(2025,E266))),SUMIFS(Donnees_generations!$AI$3:$AI$113,Donnees_generations!$A$3:$A$113,MAX(1915,MIN(2025,E266))),SUMIFS(Donnees_generations!$AJ$3:$AJ$113,Donnees_generations!$A$3:$A$113,MAX(1915,MIN(2025,E266)))))/2</f>
        <v/>
      </c>
      <c r="AJ266" s="8">
        <f>MAX(0,AH266+(AI266-AH266)*(K266-AG266)/2)</f>
        <v/>
      </c>
      <c r="AK266" s="8">
        <f>K266+AJ266</f>
        <v/>
      </c>
      <c r="AL266" s="14">
        <f>AE266*AJ266</f>
        <v/>
      </c>
      <c r="AM266" s="17">
        <f>V266/AL266</f>
        <v/>
      </c>
      <c r="AN266" s="17">
        <f>Z266/AL266</f>
        <v/>
      </c>
      <c r="AO266" s="33">
        <f>IF(V266+Z266=0,0,Z266/(V266+Z266))</f>
        <v/>
      </c>
      <c r="AP266" s="14">
        <f>AL266/V266*100</f>
        <v/>
      </c>
      <c r="AQ266" s="8">
        <f>P266/AL266*1000</f>
        <v/>
      </c>
      <c r="AR266" s="77">
        <f>MAX(N266,M266-1)</f>
        <v/>
      </c>
      <c r="AS266" s="14">
        <f>SUMIFS(Donnees_regimes!$R$3:$R$1118,Donnees_regimes!$A$3:$A$1118,C266,Donnees_regimes!$B$3:$B$1118,"&gt;="&amp;G266,Donnees_regimes!$B$3:$B$1118,"&lt;="&amp;N266)*L266/ROUNDUP(L266,0)*SUMIFS(Donnees_annuelles!$AG$3:$AG$188,Donnees_annuelles!$A$3:$A$188,AR266)*SUMIFS(Donnees_annuelles!$AA$3:$AA$188,Donnees_annuelles!$A$3:$A$188,AR266)</f>
        <v/>
      </c>
      <c r="AT266" s="36">
        <f>AS266/V266</f>
        <v/>
      </c>
      <c r="AU266" s="14">
        <f>AL266</f>
        <v/>
      </c>
      <c r="AV266" s="39">
        <f>AS266-AL266</f>
        <v/>
      </c>
      <c r="AW266" s="9">
        <f>AS266/AL266-1</f>
        <v/>
      </c>
      <c r="AX266" s="14">
        <f>AS266/AJ266/12</f>
        <v/>
      </c>
      <c r="AY266" s="14">
        <f>AF266</f>
        <v/>
      </c>
      <c r="AZ266" s="39">
        <f>AX266-AF266</f>
        <v/>
      </c>
      <c r="BA266" s="14">
        <f>SUMIFS(Donnees_regimes!$S$3:$S$1118,Donnees_regimes!$A$3:$A$1118,C266,Donnees_regimes!$B$3:$B$1118,"&gt;="&amp;G266,Donnees_regimes!$B$3:$B$1118,"&lt;="&amp;N266)*L266/ROUNDUP(L266,0)*SUMIFS(Donnees_annuelles!$AH$3:$AH$188,Donnees_annuelles!$A$3:$A$188,AR266)*SUMIFS(Donnees_annuelles!$AA$3:$AA$188,Donnees_annuelles!$A$3:$A$188,AR266)</f>
        <v/>
      </c>
      <c r="BB266" s="39">
        <f>BA266-AL266</f>
        <v/>
      </c>
      <c r="BC266" s="7">
        <f>IF(M266+AJ266&gt;2026,IF(G266&gt;2026,"entièrement projeté","en partie projeté"),"observé")</f>
        <v/>
      </c>
    </row>
    <row r="267">
      <c r="A267" s="7" t="inlineStr">
        <is>
          <t>Génération Y</t>
        </is>
      </c>
      <c r="B267" s="84" t="inlineStr">
        <is>
          <t>Fonction publique territoriale et hospitalière</t>
        </is>
      </c>
      <c r="C267" s="7">
        <f>IF(G267&gt;=SUMIFS(Regimes!$C$5:$C$10,Regimes!$A$5:$A$10,B267),"Privé",B267)</f>
        <v/>
      </c>
      <c r="D267" s="7">
        <f>INDEX(Regimes!$D$5:$D$10,MATCH(C267,Regimes!$A$5:$A$10,0))</f>
        <v/>
      </c>
      <c r="E267" s="88" t="n">
        <v>1996</v>
      </c>
      <c r="F267" s="8">
        <f>Donnees_generations!C84</f>
        <v/>
      </c>
      <c r="G267" s="77">
        <f>Donnees_generations!D84</f>
        <v/>
      </c>
      <c r="H267" s="8">
        <f>SUMIFS(Donnees_generations!$S$3:$S$113,Donnees_generations!$A$3:$A$113,MAX(1915,MIN(2025,E267)))</f>
        <v/>
      </c>
      <c r="I267" s="8">
        <f>SUMIFS(Donnees_generations!$T$3:$T$113,Donnees_generations!$A$3:$A$113,MAX(1915,MIN(2025,E267)))</f>
        <v/>
      </c>
      <c r="J267" s="8">
        <f>IF(G267&gt;=2000,MAX(I267,Parametres!$B$3),I267)</f>
        <v/>
      </c>
      <c r="K267" s="8">
        <f>IF(C267="Privé",J267,SUMIFS(Regles_regimes!$J$3:$J$2000,Regles_regimes!$A$3:$A$2000,C267,Regles_regimes!$B$3:$B$2000,D267,Regles_regimes!$C$3:$C$2000,MAX(1915,MIN(2025,E267))))</f>
        <v/>
      </c>
      <c r="L267" s="8">
        <f>IF(C267="Privé",H267,(K267-F267)*H267/(J267-F267))</f>
        <v/>
      </c>
      <c r="M267" s="77">
        <f>INT(E267+K267)</f>
        <v/>
      </c>
      <c r="N267" s="77">
        <f>G267+ROUNDUP(L267,0)-1</f>
        <v/>
      </c>
      <c r="O267" s="89">
        <f>SUMIFS(Regles_regimes!$K$3:$K$2000,Regles_regimes!$A$3:$A$2000,C267,Regles_regimes!$B$3:$B$2000,D267,Regles_regimes!$C$3:$C$2000,MAX(1915,MIN(2025,E267)))</f>
        <v/>
      </c>
      <c r="P267" s="13">
        <f>SUMIFS(Donnees_annuelles!$W$3:$W$188,Donnees_annuelles!$A$3:$A$188,"&gt;="&amp;G267,Donnees_annuelles!$A$3:$A$188,"&lt;="&amp;N267)*L267/ROUNDUP(L267,0)*O267</f>
        <v/>
      </c>
      <c r="Q267" s="13">
        <f>SUMIFS(Donnees_annuelles!$V$3:$V$188,Donnees_annuelles!$A$3:$A$188,"&gt;="&amp;G267,Donnees_annuelles!$A$3:$A$188,"&lt;="&amp;N267)*L267/ROUNDUP(L267,0)</f>
        <v/>
      </c>
      <c r="R267" s="13">
        <f>P267/L267</f>
        <v/>
      </c>
      <c r="S267" s="14">
        <f>SUMIFS(Donnees_annuelles!$D$3:$D$188,Donnees_annuelles!$A$3:$A$188,"&gt;="&amp;G267,Donnees_annuelles!$A$3:$A$188,"&lt;="&amp;N267)*L267/ROUNDUP(L267,0)</f>
        <v/>
      </c>
      <c r="T267" s="14">
        <f>SUMIFS(Donnees_regimes!$N$3:$N$1118,Donnees_regimes!$A$3:$A$1118,C267,Donnees_regimes!$B$3:$B$1118,"&gt;="&amp;G267,Donnees_regimes!$B$3:$B$1118,"&lt;="&amp;N267)*L267/ROUNDUP(L267,0)</f>
        <v/>
      </c>
      <c r="U267" s="14">
        <f>SUMIFS(Donnees_regimes!$O$3:$O$1118,Donnees_regimes!$A$3:$A$1118,C267,Donnees_regimes!$B$3:$B$1118,"&gt;="&amp;G267,Donnees_regimes!$B$3:$B$1118,"&lt;="&amp;N267)*L267/ROUNDUP(L267,0)</f>
        <v/>
      </c>
      <c r="V267" s="14">
        <f>T267+U267</f>
        <v/>
      </c>
      <c r="W267" s="33">
        <f>V267/S267</f>
        <v/>
      </c>
      <c r="X267" s="14">
        <f>S267+U267</f>
        <v/>
      </c>
      <c r="Y267" s="17">
        <f>V267/P267</f>
        <v/>
      </c>
      <c r="Z267" s="14">
        <f>SUMIFS(Donnees_regimes!$Q$3:$Q$1118,Donnees_regimes!$A$3:$A$1118,C267,Donnees_regimes!$B$3:$B$1118,"&gt;="&amp;G267,Donnees_regimes!$B$3:$B$1118,"&lt;="&amp;N267)*L267/ROUNDUP(L267,0)</f>
        <v/>
      </c>
      <c r="AA267" s="77">
        <f>SUMIFS(Regles_regimes!$F$3:$F$2000,Regles_regimes!$A$3:$A$2000,C267,Regles_regimes!$B$3:$B$2000,D267,Regles_regimes!$C$3:$C$2000,MAX(1915,MIN(2025,E267)))</f>
        <v/>
      </c>
      <c r="AB267" s="77">
        <f>IF(AND(SUMIFS(Regles_regimes!$L$3:$L$2000,Regles_regimes!$A$3:$A$2000,C267,Regles_regimes!$B$3:$B$2000,D267,Regles_regimes!$C$3:$C$2000,MAX(1915,MIN(2025,E267)))=1,G267&lt;2009,C267&lt;&gt;"Privé"),MIN(20,L267*4/5),0)</f>
        <v/>
      </c>
      <c r="AC267" s="89">
        <f>SUMIFS(Donnees_regimes!$M$3:$M$1118,Donnees_regimes!$A$3:$A$1118,C267,Donnees_regimes!$B$3:$B$1118,M267)</f>
        <v/>
      </c>
      <c r="AD267" s="14">
        <f>SUMIFS(Donnees_annuelles!$Y$3:$Y$188,Donnees_annuelles!$A$3:$A$188,M267)*SUMIFS(Donnees_generations!$I$3:$I$113,Donnees_generations!$A$3:$A$113,MAX(1915,MIN(2025,E267)))/H267</f>
        <v/>
      </c>
      <c r="AE267" s="14">
        <f>IF(C267="Privé",SUMIFS(Donnees_annuelles!$Y$3:$Y$188,Donnees_annuelles!$A$3:$A$188,M267)*MIN(L267,SUMIFS(Donnees_generations!$I$3:$I$113,Donnees_generations!$A$3:$A$113,MAX(1915,MIN(2025,E267))))/L267,AD267*AC267*MIN(IF(AB267&gt;0,0.8/0.75,1),(L267*4+AB267)/AA267))</f>
        <v/>
      </c>
      <c r="AF267" s="14">
        <f>AE267/12</f>
        <v/>
      </c>
      <c r="AG267" s="77">
        <f>MIN(68,MAX(56,2*INT(K267/2)))</f>
        <v/>
      </c>
      <c r="AH267" s="75">
        <f>(CHOOSE((AG267-56)/2+1,SUMIFS(Donnees_generations!$U$3:$U$113,Donnees_generations!$A$3:$A$113,MAX(1915,MIN(2025,E267))),SUMIFS(Donnees_generations!$V$3:$V$113,Donnees_generations!$A$3:$A$113,MAX(1915,MIN(2025,E267))),SUMIFS(Donnees_generations!$W$3:$W$113,Donnees_generations!$A$3:$A$113,MAX(1915,MIN(2025,E267))),SUMIFS(Donnees_generations!$X$3:$X$113,Donnees_generations!$A$3:$A$113,MAX(1915,MIN(2025,E267))),SUMIFS(Donnees_generations!$Y$3:$Y$113,Donnees_generations!$A$3:$A$113,MAX(1915,MIN(2025,E267))),SUMIFS(Donnees_generations!$Z$3:$Z$113,Donnees_generations!$A$3:$A$113,MAX(1915,MIN(2025,E267))),SUMIFS(Donnees_generations!$AA$3:$AA$113,Donnees_generations!$A$3:$A$113,MAX(1915,MIN(2025,E267))),SUMIFS(Donnees_generations!$AB$3:$AB$113,Donnees_generations!$A$3:$A$113,MAX(1915,MIN(2025,E267))))+CHOOSE((AG267-56)/2+1,SUMIFS(Donnees_generations!$AC$3:$AC$113,Donnees_generations!$A$3:$A$113,MAX(1915,MIN(2025,E267))),SUMIFS(Donnees_generations!$AD$3:$AD$113,Donnees_generations!$A$3:$A$113,MAX(1915,MIN(2025,E267))),SUMIFS(Donnees_generations!$AE$3:$AE$113,Donnees_generations!$A$3:$A$113,MAX(1915,MIN(2025,E267))),SUMIFS(Donnees_generations!$AF$3:$AF$113,Donnees_generations!$A$3:$A$113,MAX(1915,MIN(2025,E267))),SUMIFS(Donnees_generations!$AG$3:$AG$113,Donnees_generations!$A$3:$A$113,MAX(1915,MIN(2025,E267))),SUMIFS(Donnees_generations!$AH$3:$AH$113,Donnees_generations!$A$3:$A$113,MAX(1915,MIN(2025,E267))),SUMIFS(Donnees_generations!$AI$3:$AI$113,Donnees_generations!$A$3:$A$113,MAX(1915,MIN(2025,E267))),SUMIFS(Donnees_generations!$AJ$3:$AJ$113,Donnees_generations!$A$3:$A$113,MAX(1915,MIN(2025,E267)))))/2</f>
        <v/>
      </c>
      <c r="AI267" s="75">
        <f>(CHOOSE(((AG267+2)-56)/2+1,SUMIFS(Donnees_generations!$U$3:$U$113,Donnees_generations!$A$3:$A$113,MAX(1915,MIN(2025,E267))),SUMIFS(Donnees_generations!$V$3:$V$113,Donnees_generations!$A$3:$A$113,MAX(1915,MIN(2025,E267))),SUMIFS(Donnees_generations!$W$3:$W$113,Donnees_generations!$A$3:$A$113,MAX(1915,MIN(2025,E267))),SUMIFS(Donnees_generations!$X$3:$X$113,Donnees_generations!$A$3:$A$113,MAX(1915,MIN(2025,E267))),SUMIFS(Donnees_generations!$Y$3:$Y$113,Donnees_generations!$A$3:$A$113,MAX(1915,MIN(2025,E267))),SUMIFS(Donnees_generations!$Z$3:$Z$113,Donnees_generations!$A$3:$A$113,MAX(1915,MIN(2025,E267))),SUMIFS(Donnees_generations!$AA$3:$AA$113,Donnees_generations!$A$3:$A$113,MAX(1915,MIN(2025,E267))),SUMIFS(Donnees_generations!$AB$3:$AB$113,Donnees_generations!$A$3:$A$113,MAX(1915,MIN(2025,E267))))+CHOOSE(((AG267+2)-56)/2+1,SUMIFS(Donnees_generations!$AC$3:$AC$113,Donnees_generations!$A$3:$A$113,MAX(1915,MIN(2025,E267))),SUMIFS(Donnees_generations!$AD$3:$AD$113,Donnees_generations!$A$3:$A$113,MAX(1915,MIN(2025,E267))),SUMIFS(Donnees_generations!$AE$3:$AE$113,Donnees_generations!$A$3:$A$113,MAX(1915,MIN(2025,E267))),SUMIFS(Donnees_generations!$AF$3:$AF$113,Donnees_generations!$A$3:$A$113,MAX(1915,MIN(2025,E267))),SUMIFS(Donnees_generations!$AG$3:$AG$113,Donnees_generations!$A$3:$A$113,MAX(1915,MIN(2025,E267))),SUMIFS(Donnees_generations!$AH$3:$AH$113,Donnees_generations!$A$3:$A$113,MAX(1915,MIN(2025,E267))),SUMIFS(Donnees_generations!$AI$3:$AI$113,Donnees_generations!$A$3:$A$113,MAX(1915,MIN(2025,E267))),SUMIFS(Donnees_generations!$AJ$3:$AJ$113,Donnees_generations!$A$3:$A$113,MAX(1915,MIN(2025,E267)))))/2</f>
        <v/>
      </c>
      <c r="AJ267" s="8">
        <f>MAX(0,AH267+(AI267-AH267)*(K267-AG267)/2)</f>
        <v/>
      </c>
      <c r="AK267" s="8">
        <f>K267+AJ267</f>
        <v/>
      </c>
      <c r="AL267" s="14">
        <f>AE267*AJ267</f>
        <v/>
      </c>
      <c r="AM267" s="17">
        <f>V267/AL267</f>
        <v/>
      </c>
      <c r="AN267" s="17">
        <f>Z267/AL267</f>
        <v/>
      </c>
      <c r="AO267" s="33">
        <f>IF(V267+Z267=0,0,Z267/(V267+Z267))</f>
        <v/>
      </c>
      <c r="AP267" s="14">
        <f>AL267/V267*100</f>
        <v/>
      </c>
      <c r="AQ267" s="8">
        <f>P267/AL267*1000</f>
        <v/>
      </c>
      <c r="AR267" s="77">
        <f>MAX(N267,M267-1)</f>
        <v/>
      </c>
      <c r="AS267" s="14">
        <f>SUMIFS(Donnees_regimes!$R$3:$R$1118,Donnees_regimes!$A$3:$A$1118,C267,Donnees_regimes!$B$3:$B$1118,"&gt;="&amp;G267,Donnees_regimes!$B$3:$B$1118,"&lt;="&amp;N267)*L267/ROUNDUP(L267,0)*SUMIFS(Donnees_annuelles!$AG$3:$AG$188,Donnees_annuelles!$A$3:$A$188,AR267)*SUMIFS(Donnees_annuelles!$AA$3:$AA$188,Donnees_annuelles!$A$3:$A$188,AR267)</f>
        <v/>
      </c>
      <c r="AT267" s="36">
        <f>AS267/V267</f>
        <v/>
      </c>
      <c r="AU267" s="14">
        <f>AL267</f>
        <v/>
      </c>
      <c r="AV267" s="39">
        <f>AS267-AL267</f>
        <v/>
      </c>
      <c r="AW267" s="9">
        <f>AS267/AL267-1</f>
        <v/>
      </c>
      <c r="AX267" s="14">
        <f>AS267/AJ267/12</f>
        <v/>
      </c>
      <c r="AY267" s="14">
        <f>AF267</f>
        <v/>
      </c>
      <c r="AZ267" s="39">
        <f>AX267-AF267</f>
        <v/>
      </c>
      <c r="BA267" s="14">
        <f>SUMIFS(Donnees_regimes!$S$3:$S$1118,Donnees_regimes!$A$3:$A$1118,C267,Donnees_regimes!$B$3:$B$1118,"&gt;="&amp;G267,Donnees_regimes!$B$3:$B$1118,"&lt;="&amp;N267)*L267/ROUNDUP(L267,0)*SUMIFS(Donnees_annuelles!$AH$3:$AH$188,Donnees_annuelles!$A$3:$A$188,AR267)*SUMIFS(Donnees_annuelles!$AA$3:$AA$188,Donnees_annuelles!$A$3:$A$188,AR267)</f>
        <v/>
      </c>
      <c r="BB267" s="39">
        <f>BA267-AL267</f>
        <v/>
      </c>
      <c r="BC267" s="7">
        <f>IF(M267+AJ267&gt;2026,IF(G267&gt;2026,"entièrement projeté","en partie projeté"),"observé")</f>
        <v/>
      </c>
    </row>
    <row r="268">
      <c r="A268" s="7" t="inlineStr">
        <is>
          <t>Génération Z</t>
        </is>
      </c>
      <c r="B268" s="84" t="inlineStr">
        <is>
          <t>Fonction publique territoriale et hospitalière</t>
        </is>
      </c>
      <c r="C268" s="7">
        <f>IF(G268&gt;=SUMIFS(Regimes!$C$5:$C$10,Regimes!$A$5:$A$10,B268),"Privé",B268)</f>
        <v/>
      </c>
      <c r="D268" s="7">
        <f>INDEX(Regimes!$D$5:$D$10,MATCH(C268,Regimes!$A$5:$A$10,0))</f>
        <v/>
      </c>
      <c r="E268" s="88" t="n">
        <v>1997</v>
      </c>
      <c r="F268" s="8">
        <f>Donnees_generations!C85</f>
        <v/>
      </c>
      <c r="G268" s="77">
        <f>Donnees_generations!D85</f>
        <v/>
      </c>
      <c r="H268" s="8">
        <f>SUMIFS(Donnees_generations!$S$3:$S$113,Donnees_generations!$A$3:$A$113,MAX(1915,MIN(2025,E268)))</f>
        <v/>
      </c>
      <c r="I268" s="8">
        <f>SUMIFS(Donnees_generations!$T$3:$T$113,Donnees_generations!$A$3:$A$113,MAX(1915,MIN(2025,E268)))</f>
        <v/>
      </c>
      <c r="J268" s="8">
        <f>IF(G268&gt;=2000,MAX(I268,Parametres!$B$3),I268)</f>
        <v/>
      </c>
      <c r="K268" s="8">
        <f>IF(C268="Privé",J268,SUMIFS(Regles_regimes!$J$3:$J$2000,Regles_regimes!$A$3:$A$2000,C268,Regles_regimes!$B$3:$B$2000,D268,Regles_regimes!$C$3:$C$2000,MAX(1915,MIN(2025,E268))))</f>
        <v/>
      </c>
      <c r="L268" s="8">
        <f>IF(C268="Privé",H268,(K268-F268)*H268/(J268-F268))</f>
        <v/>
      </c>
      <c r="M268" s="77">
        <f>INT(E268+K268)</f>
        <v/>
      </c>
      <c r="N268" s="77">
        <f>G268+ROUNDUP(L268,0)-1</f>
        <v/>
      </c>
      <c r="O268" s="89">
        <f>SUMIFS(Regles_regimes!$K$3:$K$2000,Regles_regimes!$A$3:$A$2000,C268,Regles_regimes!$B$3:$B$2000,D268,Regles_regimes!$C$3:$C$2000,MAX(1915,MIN(2025,E268)))</f>
        <v/>
      </c>
      <c r="P268" s="13">
        <f>SUMIFS(Donnees_annuelles!$W$3:$W$188,Donnees_annuelles!$A$3:$A$188,"&gt;="&amp;G268,Donnees_annuelles!$A$3:$A$188,"&lt;="&amp;N268)*L268/ROUNDUP(L268,0)*O268</f>
        <v/>
      </c>
      <c r="Q268" s="13">
        <f>SUMIFS(Donnees_annuelles!$V$3:$V$188,Donnees_annuelles!$A$3:$A$188,"&gt;="&amp;G268,Donnees_annuelles!$A$3:$A$188,"&lt;="&amp;N268)*L268/ROUNDUP(L268,0)</f>
        <v/>
      </c>
      <c r="R268" s="13">
        <f>P268/L268</f>
        <v/>
      </c>
      <c r="S268" s="14">
        <f>SUMIFS(Donnees_annuelles!$D$3:$D$188,Donnees_annuelles!$A$3:$A$188,"&gt;="&amp;G268,Donnees_annuelles!$A$3:$A$188,"&lt;="&amp;N268)*L268/ROUNDUP(L268,0)</f>
        <v/>
      </c>
      <c r="T268" s="14">
        <f>SUMIFS(Donnees_regimes!$N$3:$N$1118,Donnees_regimes!$A$3:$A$1118,C268,Donnees_regimes!$B$3:$B$1118,"&gt;="&amp;G268,Donnees_regimes!$B$3:$B$1118,"&lt;="&amp;N268)*L268/ROUNDUP(L268,0)</f>
        <v/>
      </c>
      <c r="U268" s="14">
        <f>SUMIFS(Donnees_regimes!$O$3:$O$1118,Donnees_regimes!$A$3:$A$1118,C268,Donnees_regimes!$B$3:$B$1118,"&gt;="&amp;G268,Donnees_regimes!$B$3:$B$1118,"&lt;="&amp;N268)*L268/ROUNDUP(L268,0)</f>
        <v/>
      </c>
      <c r="V268" s="14">
        <f>T268+U268</f>
        <v/>
      </c>
      <c r="W268" s="33">
        <f>V268/S268</f>
        <v/>
      </c>
      <c r="X268" s="14">
        <f>S268+U268</f>
        <v/>
      </c>
      <c r="Y268" s="17">
        <f>V268/P268</f>
        <v/>
      </c>
      <c r="Z268" s="14">
        <f>SUMIFS(Donnees_regimes!$Q$3:$Q$1118,Donnees_regimes!$A$3:$A$1118,C268,Donnees_regimes!$B$3:$B$1118,"&gt;="&amp;G268,Donnees_regimes!$B$3:$B$1118,"&lt;="&amp;N268)*L268/ROUNDUP(L268,0)</f>
        <v/>
      </c>
      <c r="AA268" s="77">
        <f>SUMIFS(Regles_regimes!$F$3:$F$2000,Regles_regimes!$A$3:$A$2000,C268,Regles_regimes!$B$3:$B$2000,D268,Regles_regimes!$C$3:$C$2000,MAX(1915,MIN(2025,E268)))</f>
        <v/>
      </c>
      <c r="AB268" s="77">
        <f>IF(AND(SUMIFS(Regles_regimes!$L$3:$L$2000,Regles_regimes!$A$3:$A$2000,C268,Regles_regimes!$B$3:$B$2000,D268,Regles_regimes!$C$3:$C$2000,MAX(1915,MIN(2025,E268)))=1,G268&lt;2009,C268&lt;&gt;"Privé"),MIN(20,L268*4/5),0)</f>
        <v/>
      </c>
      <c r="AC268" s="89">
        <f>SUMIFS(Donnees_regimes!$M$3:$M$1118,Donnees_regimes!$A$3:$A$1118,C268,Donnees_regimes!$B$3:$B$1118,M268)</f>
        <v/>
      </c>
      <c r="AD268" s="14">
        <f>SUMIFS(Donnees_annuelles!$Y$3:$Y$188,Donnees_annuelles!$A$3:$A$188,M268)*SUMIFS(Donnees_generations!$I$3:$I$113,Donnees_generations!$A$3:$A$113,MAX(1915,MIN(2025,E268)))/H268</f>
        <v/>
      </c>
      <c r="AE268" s="14">
        <f>IF(C268="Privé",SUMIFS(Donnees_annuelles!$Y$3:$Y$188,Donnees_annuelles!$A$3:$A$188,M268)*MIN(L268,SUMIFS(Donnees_generations!$I$3:$I$113,Donnees_generations!$A$3:$A$113,MAX(1915,MIN(2025,E268))))/L268,AD268*AC268*MIN(IF(AB268&gt;0,0.8/0.75,1),(L268*4+AB268)/AA268))</f>
        <v/>
      </c>
      <c r="AF268" s="14">
        <f>AE268/12</f>
        <v/>
      </c>
      <c r="AG268" s="77">
        <f>MIN(68,MAX(56,2*INT(K268/2)))</f>
        <v/>
      </c>
      <c r="AH268" s="75">
        <f>(CHOOSE((AG268-56)/2+1,SUMIFS(Donnees_generations!$U$3:$U$113,Donnees_generations!$A$3:$A$113,MAX(1915,MIN(2025,E268))),SUMIFS(Donnees_generations!$V$3:$V$113,Donnees_generations!$A$3:$A$113,MAX(1915,MIN(2025,E268))),SUMIFS(Donnees_generations!$W$3:$W$113,Donnees_generations!$A$3:$A$113,MAX(1915,MIN(2025,E268))),SUMIFS(Donnees_generations!$X$3:$X$113,Donnees_generations!$A$3:$A$113,MAX(1915,MIN(2025,E268))),SUMIFS(Donnees_generations!$Y$3:$Y$113,Donnees_generations!$A$3:$A$113,MAX(1915,MIN(2025,E268))),SUMIFS(Donnees_generations!$Z$3:$Z$113,Donnees_generations!$A$3:$A$113,MAX(1915,MIN(2025,E268))),SUMIFS(Donnees_generations!$AA$3:$AA$113,Donnees_generations!$A$3:$A$113,MAX(1915,MIN(2025,E268))),SUMIFS(Donnees_generations!$AB$3:$AB$113,Donnees_generations!$A$3:$A$113,MAX(1915,MIN(2025,E268))))+CHOOSE((AG268-56)/2+1,SUMIFS(Donnees_generations!$AC$3:$AC$113,Donnees_generations!$A$3:$A$113,MAX(1915,MIN(2025,E268))),SUMIFS(Donnees_generations!$AD$3:$AD$113,Donnees_generations!$A$3:$A$113,MAX(1915,MIN(2025,E268))),SUMIFS(Donnees_generations!$AE$3:$AE$113,Donnees_generations!$A$3:$A$113,MAX(1915,MIN(2025,E268))),SUMIFS(Donnees_generations!$AF$3:$AF$113,Donnees_generations!$A$3:$A$113,MAX(1915,MIN(2025,E268))),SUMIFS(Donnees_generations!$AG$3:$AG$113,Donnees_generations!$A$3:$A$113,MAX(1915,MIN(2025,E268))),SUMIFS(Donnees_generations!$AH$3:$AH$113,Donnees_generations!$A$3:$A$113,MAX(1915,MIN(2025,E268))),SUMIFS(Donnees_generations!$AI$3:$AI$113,Donnees_generations!$A$3:$A$113,MAX(1915,MIN(2025,E268))),SUMIFS(Donnees_generations!$AJ$3:$AJ$113,Donnees_generations!$A$3:$A$113,MAX(1915,MIN(2025,E268)))))/2</f>
        <v/>
      </c>
      <c r="AI268" s="75">
        <f>(CHOOSE(((AG268+2)-56)/2+1,SUMIFS(Donnees_generations!$U$3:$U$113,Donnees_generations!$A$3:$A$113,MAX(1915,MIN(2025,E268))),SUMIFS(Donnees_generations!$V$3:$V$113,Donnees_generations!$A$3:$A$113,MAX(1915,MIN(2025,E268))),SUMIFS(Donnees_generations!$W$3:$W$113,Donnees_generations!$A$3:$A$113,MAX(1915,MIN(2025,E268))),SUMIFS(Donnees_generations!$X$3:$X$113,Donnees_generations!$A$3:$A$113,MAX(1915,MIN(2025,E268))),SUMIFS(Donnees_generations!$Y$3:$Y$113,Donnees_generations!$A$3:$A$113,MAX(1915,MIN(2025,E268))),SUMIFS(Donnees_generations!$Z$3:$Z$113,Donnees_generations!$A$3:$A$113,MAX(1915,MIN(2025,E268))),SUMIFS(Donnees_generations!$AA$3:$AA$113,Donnees_generations!$A$3:$A$113,MAX(1915,MIN(2025,E268))),SUMIFS(Donnees_generations!$AB$3:$AB$113,Donnees_generations!$A$3:$A$113,MAX(1915,MIN(2025,E268))))+CHOOSE(((AG268+2)-56)/2+1,SUMIFS(Donnees_generations!$AC$3:$AC$113,Donnees_generations!$A$3:$A$113,MAX(1915,MIN(2025,E268))),SUMIFS(Donnees_generations!$AD$3:$AD$113,Donnees_generations!$A$3:$A$113,MAX(1915,MIN(2025,E268))),SUMIFS(Donnees_generations!$AE$3:$AE$113,Donnees_generations!$A$3:$A$113,MAX(1915,MIN(2025,E268))),SUMIFS(Donnees_generations!$AF$3:$AF$113,Donnees_generations!$A$3:$A$113,MAX(1915,MIN(2025,E268))),SUMIFS(Donnees_generations!$AG$3:$AG$113,Donnees_generations!$A$3:$A$113,MAX(1915,MIN(2025,E268))),SUMIFS(Donnees_generations!$AH$3:$AH$113,Donnees_generations!$A$3:$A$113,MAX(1915,MIN(2025,E268))),SUMIFS(Donnees_generations!$AI$3:$AI$113,Donnees_generations!$A$3:$A$113,MAX(1915,MIN(2025,E268))),SUMIFS(Donnees_generations!$AJ$3:$AJ$113,Donnees_generations!$A$3:$A$113,MAX(1915,MIN(2025,E268)))))/2</f>
        <v/>
      </c>
      <c r="AJ268" s="8">
        <f>MAX(0,AH268+(AI268-AH268)*(K268-AG268)/2)</f>
        <v/>
      </c>
      <c r="AK268" s="8">
        <f>K268+AJ268</f>
        <v/>
      </c>
      <c r="AL268" s="14">
        <f>AE268*AJ268</f>
        <v/>
      </c>
      <c r="AM268" s="17">
        <f>V268/AL268</f>
        <v/>
      </c>
      <c r="AN268" s="17">
        <f>Z268/AL268</f>
        <v/>
      </c>
      <c r="AO268" s="33">
        <f>IF(V268+Z268=0,0,Z268/(V268+Z268))</f>
        <v/>
      </c>
      <c r="AP268" s="14">
        <f>AL268/V268*100</f>
        <v/>
      </c>
      <c r="AQ268" s="8">
        <f>P268/AL268*1000</f>
        <v/>
      </c>
      <c r="AR268" s="77">
        <f>MAX(N268,M268-1)</f>
        <v/>
      </c>
      <c r="AS268" s="14">
        <f>SUMIFS(Donnees_regimes!$R$3:$R$1118,Donnees_regimes!$A$3:$A$1118,C268,Donnees_regimes!$B$3:$B$1118,"&gt;="&amp;G268,Donnees_regimes!$B$3:$B$1118,"&lt;="&amp;N268)*L268/ROUNDUP(L268,0)*SUMIFS(Donnees_annuelles!$AG$3:$AG$188,Donnees_annuelles!$A$3:$A$188,AR268)*SUMIFS(Donnees_annuelles!$AA$3:$AA$188,Donnees_annuelles!$A$3:$A$188,AR268)</f>
        <v/>
      </c>
      <c r="AT268" s="36">
        <f>AS268/V268</f>
        <v/>
      </c>
      <c r="AU268" s="14">
        <f>AL268</f>
        <v/>
      </c>
      <c r="AV268" s="39">
        <f>AS268-AL268</f>
        <v/>
      </c>
      <c r="AW268" s="9">
        <f>AS268/AL268-1</f>
        <v/>
      </c>
      <c r="AX268" s="14">
        <f>AS268/AJ268/12</f>
        <v/>
      </c>
      <c r="AY268" s="14">
        <f>AF268</f>
        <v/>
      </c>
      <c r="AZ268" s="39">
        <f>AX268-AF268</f>
        <v/>
      </c>
      <c r="BA268" s="14">
        <f>SUMIFS(Donnees_regimes!$S$3:$S$1118,Donnees_regimes!$A$3:$A$1118,C268,Donnees_regimes!$B$3:$B$1118,"&gt;="&amp;G268,Donnees_regimes!$B$3:$B$1118,"&lt;="&amp;N268)*L268/ROUNDUP(L268,0)*SUMIFS(Donnees_annuelles!$AH$3:$AH$188,Donnees_annuelles!$A$3:$A$188,AR268)*SUMIFS(Donnees_annuelles!$AA$3:$AA$188,Donnees_annuelles!$A$3:$A$188,AR268)</f>
        <v/>
      </c>
      <c r="BB268" s="39">
        <f>BA268-AL268</f>
        <v/>
      </c>
      <c r="BC268" s="7">
        <f>IF(M268+AJ268&gt;2026,IF(G268&gt;2026,"entièrement projeté","en partie projeté"),"observé")</f>
        <v/>
      </c>
    </row>
    <row r="269">
      <c r="A269" s="7" t="inlineStr">
        <is>
          <t>Génération Z</t>
        </is>
      </c>
      <c r="B269" s="84" t="inlineStr">
        <is>
          <t>Fonction publique territoriale et hospitalière</t>
        </is>
      </c>
      <c r="C269" s="7">
        <f>IF(G269&gt;=SUMIFS(Regimes!$C$5:$C$10,Regimes!$A$5:$A$10,B269),"Privé",B269)</f>
        <v/>
      </c>
      <c r="D269" s="7">
        <f>INDEX(Regimes!$D$5:$D$10,MATCH(C269,Regimes!$A$5:$A$10,0))</f>
        <v/>
      </c>
      <c r="E269" s="88" t="n">
        <v>1998</v>
      </c>
      <c r="F269" s="8">
        <f>Donnees_generations!C86</f>
        <v/>
      </c>
      <c r="G269" s="77">
        <f>Donnees_generations!D86</f>
        <v/>
      </c>
      <c r="H269" s="8">
        <f>SUMIFS(Donnees_generations!$S$3:$S$113,Donnees_generations!$A$3:$A$113,MAX(1915,MIN(2025,E269)))</f>
        <v/>
      </c>
      <c r="I269" s="8">
        <f>SUMIFS(Donnees_generations!$T$3:$T$113,Donnees_generations!$A$3:$A$113,MAX(1915,MIN(2025,E269)))</f>
        <v/>
      </c>
      <c r="J269" s="8">
        <f>IF(G269&gt;=2000,MAX(I269,Parametres!$B$3),I269)</f>
        <v/>
      </c>
      <c r="K269" s="8">
        <f>IF(C269="Privé",J269,SUMIFS(Regles_regimes!$J$3:$J$2000,Regles_regimes!$A$3:$A$2000,C269,Regles_regimes!$B$3:$B$2000,D269,Regles_regimes!$C$3:$C$2000,MAX(1915,MIN(2025,E269))))</f>
        <v/>
      </c>
      <c r="L269" s="8">
        <f>IF(C269="Privé",H269,(K269-F269)*H269/(J269-F269))</f>
        <v/>
      </c>
      <c r="M269" s="77">
        <f>INT(E269+K269)</f>
        <v/>
      </c>
      <c r="N269" s="77">
        <f>G269+ROUNDUP(L269,0)-1</f>
        <v/>
      </c>
      <c r="O269" s="89">
        <f>SUMIFS(Regles_regimes!$K$3:$K$2000,Regles_regimes!$A$3:$A$2000,C269,Regles_regimes!$B$3:$B$2000,D269,Regles_regimes!$C$3:$C$2000,MAX(1915,MIN(2025,E269)))</f>
        <v/>
      </c>
      <c r="P269" s="13">
        <f>SUMIFS(Donnees_annuelles!$W$3:$W$188,Donnees_annuelles!$A$3:$A$188,"&gt;="&amp;G269,Donnees_annuelles!$A$3:$A$188,"&lt;="&amp;N269)*L269/ROUNDUP(L269,0)*O269</f>
        <v/>
      </c>
      <c r="Q269" s="13">
        <f>SUMIFS(Donnees_annuelles!$V$3:$V$188,Donnees_annuelles!$A$3:$A$188,"&gt;="&amp;G269,Donnees_annuelles!$A$3:$A$188,"&lt;="&amp;N269)*L269/ROUNDUP(L269,0)</f>
        <v/>
      </c>
      <c r="R269" s="13">
        <f>P269/L269</f>
        <v/>
      </c>
      <c r="S269" s="14">
        <f>SUMIFS(Donnees_annuelles!$D$3:$D$188,Donnees_annuelles!$A$3:$A$188,"&gt;="&amp;G269,Donnees_annuelles!$A$3:$A$188,"&lt;="&amp;N269)*L269/ROUNDUP(L269,0)</f>
        <v/>
      </c>
      <c r="T269" s="14">
        <f>SUMIFS(Donnees_regimes!$N$3:$N$1118,Donnees_regimes!$A$3:$A$1118,C269,Donnees_regimes!$B$3:$B$1118,"&gt;="&amp;G269,Donnees_regimes!$B$3:$B$1118,"&lt;="&amp;N269)*L269/ROUNDUP(L269,0)</f>
        <v/>
      </c>
      <c r="U269" s="14">
        <f>SUMIFS(Donnees_regimes!$O$3:$O$1118,Donnees_regimes!$A$3:$A$1118,C269,Donnees_regimes!$B$3:$B$1118,"&gt;="&amp;G269,Donnees_regimes!$B$3:$B$1118,"&lt;="&amp;N269)*L269/ROUNDUP(L269,0)</f>
        <v/>
      </c>
      <c r="V269" s="14">
        <f>T269+U269</f>
        <v/>
      </c>
      <c r="W269" s="33">
        <f>V269/S269</f>
        <v/>
      </c>
      <c r="X269" s="14">
        <f>S269+U269</f>
        <v/>
      </c>
      <c r="Y269" s="17">
        <f>V269/P269</f>
        <v/>
      </c>
      <c r="Z269" s="14">
        <f>SUMIFS(Donnees_regimes!$Q$3:$Q$1118,Donnees_regimes!$A$3:$A$1118,C269,Donnees_regimes!$B$3:$B$1118,"&gt;="&amp;G269,Donnees_regimes!$B$3:$B$1118,"&lt;="&amp;N269)*L269/ROUNDUP(L269,0)</f>
        <v/>
      </c>
      <c r="AA269" s="77">
        <f>SUMIFS(Regles_regimes!$F$3:$F$2000,Regles_regimes!$A$3:$A$2000,C269,Regles_regimes!$B$3:$B$2000,D269,Regles_regimes!$C$3:$C$2000,MAX(1915,MIN(2025,E269)))</f>
        <v/>
      </c>
      <c r="AB269" s="77">
        <f>IF(AND(SUMIFS(Regles_regimes!$L$3:$L$2000,Regles_regimes!$A$3:$A$2000,C269,Regles_regimes!$B$3:$B$2000,D269,Regles_regimes!$C$3:$C$2000,MAX(1915,MIN(2025,E269)))=1,G269&lt;2009,C269&lt;&gt;"Privé"),MIN(20,L269*4/5),0)</f>
        <v/>
      </c>
      <c r="AC269" s="89">
        <f>SUMIFS(Donnees_regimes!$M$3:$M$1118,Donnees_regimes!$A$3:$A$1118,C269,Donnees_regimes!$B$3:$B$1118,M269)</f>
        <v/>
      </c>
      <c r="AD269" s="14">
        <f>SUMIFS(Donnees_annuelles!$Y$3:$Y$188,Donnees_annuelles!$A$3:$A$188,M269)*SUMIFS(Donnees_generations!$I$3:$I$113,Donnees_generations!$A$3:$A$113,MAX(1915,MIN(2025,E269)))/H269</f>
        <v/>
      </c>
      <c r="AE269" s="14">
        <f>IF(C269="Privé",SUMIFS(Donnees_annuelles!$Y$3:$Y$188,Donnees_annuelles!$A$3:$A$188,M269)*MIN(L269,SUMIFS(Donnees_generations!$I$3:$I$113,Donnees_generations!$A$3:$A$113,MAX(1915,MIN(2025,E269))))/L269,AD269*AC269*MIN(IF(AB269&gt;0,0.8/0.75,1),(L269*4+AB269)/AA269))</f>
        <v/>
      </c>
      <c r="AF269" s="14">
        <f>AE269/12</f>
        <v/>
      </c>
      <c r="AG269" s="77">
        <f>MIN(68,MAX(56,2*INT(K269/2)))</f>
        <v/>
      </c>
      <c r="AH269" s="75">
        <f>(CHOOSE((AG269-56)/2+1,SUMIFS(Donnees_generations!$U$3:$U$113,Donnees_generations!$A$3:$A$113,MAX(1915,MIN(2025,E269))),SUMIFS(Donnees_generations!$V$3:$V$113,Donnees_generations!$A$3:$A$113,MAX(1915,MIN(2025,E269))),SUMIFS(Donnees_generations!$W$3:$W$113,Donnees_generations!$A$3:$A$113,MAX(1915,MIN(2025,E269))),SUMIFS(Donnees_generations!$X$3:$X$113,Donnees_generations!$A$3:$A$113,MAX(1915,MIN(2025,E269))),SUMIFS(Donnees_generations!$Y$3:$Y$113,Donnees_generations!$A$3:$A$113,MAX(1915,MIN(2025,E269))),SUMIFS(Donnees_generations!$Z$3:$Z$113,Donnees_generations!$A$3:$A$113,MAX(1915,MIN(2025,E269))),SUMIFS(Donnees_generations!$AA$3:$AA$113,Donnees_generations!$A$3:$A$113,MAX(1915,MIN(2025,E269))),SUMIFS(Donnees_generations!$AB$3:$AB$113,Donnees_generations!$A$3:$A$113,MAX(1915,MIN(2025,E269))))+CHOOSE((AG269-56)/2+1,SUMIFS(Donnees_generations!$AC$3:$AC$113,Donnees_generations!$A$3:$A$113,MAX(1915,MIN(2025,E269))),SUMIFS(Donnees_generations!$AD$3:$AD$113,Donnees_generations!$A$3:$A$113,MAX(1915,MIN(2025,E269))),SUMIFS(Donnees_generations!$AE$3:$AE$113,Donnees_generations!$A$3:$A$113,MAX(1915,MIN(2025,E269))),SUMIFS(Donnees_generations!$AF$3:$AF$113,Donnees_generations!$A$3:$A$113,MAX(1915,MIN(2025,E269))),SUMIFS(Donnees_generations!$AG$3:$AG$113,Donnees_generations!$A$3:$A$113,MAX(1915,MIN(2025,E269))),SUMIFS(Donnees_generations!$AH$3:$AH$113,Donnees_generations!$A$3:$A$113,MAX(1915,MIN(2025,E269))),SUMIFS(Donnees_generations!$AI$3:$AI$113,Donnees_generations!$A$3:$A$113,MAX(1915,MIN(2025,E269))),SUMIFS(Donnees_generations!$AJ$3:$AJ$113,Donnees_generations!$A$3:$A$113,MAX(1915,MIN(2025,E269)))))/2</f>
        <v/>
      </c>
      <c r="AI269" s="75">
        <f>(CHOOSE(((AG269+2)-56)/2+1,SUMIFS(Donnees_generations!$U$3:$U$113,Donnees_generations!$A$3:$A$113,MAX(1915,MIN(2025,E269))),SUMIFS(Donnees_generations!$V$3:$V$113,Donnees_generations!$A$3:$A$113,MAX(1915,MIN(2025,E269))),SUMIFS(Donnees_generations!$W$3:$W$113,Donnees_generations!$A$3:$A$113,MAX(1915,MIN(2025,E269))),SUMIFS(Donnees_generations!$X$3:$X$113,Donnees_generations!$A$3:$A$113,MAX(1915,MIN(2025,E269))),SUMIFS(Donnees_generations!$Y$3:$Y$113,Donnees_generations!$A$3:$A$113,MAX(1915,MIN(2025,E269))),SUMIFS(Donnees_generations!$Z$3:$Z$113,Donnees_generations!$A$3:$A$113,MAX(1915,MIN(2025,E269))),SUMIFS(Donnees_generations!$AA$3:$AA$113,Donnees_generations!$A$3:$A$113,MAX(1915,MIN(2025,E269))),SUMIFS(Donnees_generations!$AB$3:$AB$113,Donnees_generations!$A$3:$A$113,MAX(1915,MIN(2025,E269))))+CHOOSE(((AG269+2)-56)/2+1,SUMIFS(Donnees_generations!$AC$3:$AC$113,Donnees_generations!$A$3:$A$113,MAX(1915,MIN(2025,E269))),SUMIFS(Donnees_generations!$AD$3:$AD$113,Donnees_generations!$A$3:$A$113,MAX(1915,MIN(2025,E269))),SUMIFS(Donnees_generations!$AE$3:$AE$113,Donnees_generations!$A$3:$A$113,MAX(1915,MIN(2025,E269))),SUMIFS(Donnees_generations!$AF$3:$AF$113,Donnees_generations!$A$3:$A$113,MAX(1915,MIN(2025,E269))),SUMIFS(Donnees_generations!$AG$3:$AG$113,Donnees_generations!$A$3:$A$113,MAX(1915,MIN(2025,E269))),SUMIFS(Donnees_generations!$AH$3:$AH$113,Donnees_generations!$A$3:$A$113,MAX(1915,MIN(2025,E269))),SUMIFS(Donnees_generations!$AI$3:$AI$113,Donnees_generations!$A$3:$A$113,MAX(1915,MIN(2025,E269))),SUMIFS(Donnees_generations!$AJ$3:$AJ$113,Donnees_generations!$A$3:$A$113,MAX(1915,MIN(2025,E269)))))/2</f>
        <v/>
      </c>
      <c r="AJ269" s="8">
        <f>MAX(0,AH269+(AI269-AH269)*(K269-AG269)/2)</f>
        <v/>
      </c>
      <c r="AK269" s="8">
        <f>K269+AJ269</f>
        <v/>
      </c>
      <c r="AL269" s="14">
        <f>AE269*AJ269</f>
        <v/>
      </c>
      <c r="AM269" s="17">
        <f>V269/AL269</f>
        <v/>
      </c>
      <c r="AN269" s="17">
        <f>Z269/AL269</f>
        <v/>
      </c>
      <c r="AO269" s="33">
        <f>IF(V269+Z269=0,0,Z269/(V269+Z269))</f>
        <v/>
      </c>
      <c r="AP269" s="14">
        <f>AL269/V269*100</f>
        <v/>
      </c>
      <c r="AQ269" s="8">
        <f>P269/AL269*1000</f>
        <v/>
      </c>
      <c r="AR269" s="77">
        <f>MAX(N269,M269-1)</f>
        <v/>
      </c>
      <c r="AS269" s="14">
        <f>SUMIFS(Donnees_regimes!$R$3:$R$1118,Donnees_regimes!$A$3:$A$1118,C269,Donnees_regimes!$B$3:$B$1118,"&gt;="&amp;G269,Donnees_regimes!$B$3:$B$1118,"&lt;="&amp;N269)*L269/ROUNDUP(L269,0)*SUMIFS(Donnees_annuelles!$AG$3:$AG$188,Donnees_annuelles!$A$3:$A$188,AR269)*SUMIFS(Donnees_annuelles!$AA$3:$AA$188,Donnees_annuelles!$A$3:$A$188,AR269)</f>
        <v/>
      </c>
      <c r="AT269" s="36">
        <f>AS269/V269</f>
        <v/>
      </c>
      <c r="AU269" s="14">
        <f>AL269</f>
        <v/>
      </c>
      <c r="AV269" s="39">
        <f>AS269-AL269</f>
        <v/>
      </c>
      <c r="AW269" s="9">
        <f>AS269/AL269-1</f>
        <v/>
      </c>
      <c r="AX269" s="14">
        <f>AS269/AJ269/12</f>
        <v/>
      </c>
      <c r="AY269" s="14">
        <f>AF269</f>
        <v/>
      </c>
      <c r="AZ269" s="39">
        <f>AX269-AF269</f>
        <v/>
      </c>
      <c r="BA269" s="14">
        <f>SUMIFS(Donnees_regimes!$S$3:$S$1118,Donnees_regimes!$A$3:$A$1118,C269,Donnees_regimes!$B$3:$B$1118,"&gt;="&amp;G269,Donnees_regimes!$B$3:$B$1118,"&lt;="&amp;N269)*L269/ROUNDUP(L269,0)*SUMIFS(Donnees_annuelles!$AH$3:$AH$188,Donnees_annuelles!$A$3:$A$188,AR269)*SUMIFS(Donnees_annuelles!$AA$3:$AA$188,Donnees_annuelles!$A$3:$A$188,AR269)</f>
        <v/>
      </c>
      <c r="BB269" s="39">
        <f>BA269-AL269</f>
        <v/>
      </c>
      <c r="BC269" s="7">
        <f>IF(M269+AJ269&gt;2026,IF(G269&gt;2026,"entièrement projeté","en partie projeté"),"observé")</f>
        <v/>
      </c>
    </row>
    <row r="270">
      <c r="A270" s="7" t="inlineStr">
        <is>
          <t>Génération Z</t>
        </is>
      </c>
      <c r="B270" s="84" t="inlineStr">
        <is>
          <t>Fonction publique territoriale et hospitalière</t>
        </is>
      </c>
      <c r="C270" s="7">
        <f>IF(G270&gt;=SUMIFS(Regimes!$C$5:$C$10,Regimes!$A$5:$A$10,B270),"Privé",B270)</f>
        <v/>
      </c>
      <c r="D270" s="7">
        <f>INDEX(Regimes!$D$5:$D$10,MATCH(C270,Regimes!$A$5:$A$10,0))</f>
        <v/>
      </c>
      <c r="E270" s="88" t="n">
        <v>1999</v>
      </c>
      <c r="F270" s="8">
        <f>Donnees_generations!C87</f>
        <v/>
      </c>
      <c r="G270" s="77">
        <f>Donnees_generations!D87</f>
        <v/>
      </c>
      <c r="H270" s="8">
        <f>SUMIFS(Donnees_generations!$S$3:$S$113,Donnees_generations!$A$3:$A$113,MAX(1915,MIN(2025,E270)))</f>
        <v/>
      </c>
      <c r="I270" s="8">
        <f>SUMIFS(Donnees_generations!$T$3:$T$113,Donnees_generations!$A$3:$A$113,MAX(1915,MIN(2025,E270)))</f>
        <v/>
      </c>
      <c r="J270" s="8">
        <f>IF(G270&gt;=2000,MAX(I270,Parametres!$B$3),I270)</f>
        <v/>
      </c>
      <c r="K270" s="8">
        <f>IF(C270="Privé",J270,SUMIFS(Regles_regimes!$J$3:$J$2000,Regles_regimes!$A$3:$A$2000,C270,Regles_regimes!$B$3:$B$2000,D270,Regles_regimes!$C$3:$C$2000,MAX(1915,MIN(2025,E270))))</f>
        <v/>
      </c>
      <c r="L270" s="8">
        <f>IF(C270="Privé",H270,(K270-F270)*H270/(J270-F270))</f>
        <v/>
      </c>
      <c r="M270" s="77">
        <f>INT(E270+K270)</f>
        <v/>
      </c>
      <c r="N270" s="77">
        <f>G270+ROUNDUP(L270,0)-1</f>
        <v/>
      </c>
      <c r="O270" s="89">
        <f>SUMIFS(Regles_regimes!$K$3:$K$2000,Regles_regimes!$A$3:$A$2000,C270,Regles_regimes!$B$3:$B$2000,D270,Regles_regimes!$C$3:$C$2000,MAX(1915,MIN(2025,E270)))</f>
        <v/>
      </c>
      <c r="P270" s="13">
        <f>SUMIFS(Donnees_annuelles!$W$3:$W$188,Donnees_annuelles!$A$3:$A$188,"&gt;="&amp;G270,Donnees_annuelles!$A$3:$A$188,"&lt;="&amp;N270)*L270/ROUNDUP(L270,0)*O270</f>
        <v/>
      </c>
      <c r="Q270" s="13">
        <f>SUMIFS(Donnees_annuelles!$V$3:$V$188,Donnees_annuelles!$A$3:$A$188,"&gt;="&amp;G270,Donnees_annuelles!$A$3:$A$188,"&lt;="&amp;N270)*L270/ROUNDUP(L270,0)</f>
        <v/>
      </c>
      <c r="R270" s="13">
        <f>P270/L270</f>
        <v/>
      </c>
      <c r="S270" s="14">
        <f>SUMIFS(Donnees_annuelles!$D$3:$D$188,Donnees_annuelles!$A$3:$A$188,"&gt;="&amp;G270,Donnees_annuelles!$A$3:$A$188,"&lt;="&amp;N270)*L270/ROUNDUP(L270,0)</f>
        <v/>
      </c>
      <c r="T270" s="14">
        <f>SUMIFS(Donnees_regimes!$N$3:$N$1118,Donnees_regimes!$A$3:$A$1118,C270,Donnees_regimes!$B$3:$B$1118,"&gt;="&amp;G270,Donnees_regimes!$B$3:$B$1118,"&lt;="&amp;N270)*L270/ROUNDUP(L270,0)</f>
        <v/>
      </c>
      <c r="U270" s="14">
        <f>SUMIFS(Donnees_regimes!$O$3:$O$1118,Donnees_regimes!$A$3:$A$1118,C270,Donnees_regimes!$B$3:$B$1118,"&gt;="&amp;G270,Donnees_regimes!$B$3:$B$1118,"&lt;="&amp;N270)*L270/ROUNDUP(L270,0)</f>
        <v/>
      </c>
      <c r="V270" s="14">
        <f>T270+U270</f>
        <v/>
      </c>
      <c r="W270" s="33">
        <f>V270/S270</f>
        <v/>
      </c>
      <c r="X270" s="14">
        <f>S270+U270</f>
        <v/>
      </c>
      <c r="Y270" s="17">
        <f>V270/P270</f>
        <v/>
      </c>
      <c r="Z270" s="14">
        <f>SUMIFS(Donnees_regimes!$Q$3:$Q$1118,Donnees_regimes!$A$3:$A$1118,C270,Donnees_regimes!$B$3:$B$1118,"&gt;="&amp;G270,Donnees_regimes!$B$3:$B$1118,"&lt;="&amp;N270)*L270/ROUNDUP(L270,0)</f>
        <v/>
      </c>
      <c r="AA270" s="77">
        <f>SUMIFS(Regles_regimes!$F$3:$F$2000,Regles_regimes!$A$3:$A$2000,C270,Regles_regimes!$B$3:$B$2000,D270,Regles_regimes!$C$3:$C$2000,MAX(1915,MIN(2025,E270)))</f>
        <v/>
      </c>
      <c r="AB270" s="77">
        <f>IF(AND(SUMIFS(Regles_regimes!$L$3:$L$2000,Regles_regimes!$A$3:$A$2000,C270,Regles_regimes!$B$3:$B$2000,D270,Regles_regimes!$C$3:$C$2000,MAX(1915,MIN(2025,E270)))=1,G270&lt;2009,C270&lt;&gt;"Privé"),MIN(20,L270*4/5),0)</f>
        <v/>
      </c>
      <c r="AC270" s="89">
        <f>SUMIFS(Donnees_regimes!$M$3:$M$1118,Donnees_regimes!$A$3:$A$1118,C270,Donnees_regimes!$B$3:$B$1118,M270)</f>
        <v/>
      </c>
      <c r="AD270" s="14">
        <f>SUMIFS(Donnees_annuelles!$Y$3:$Y$188,Donnees_annuelles!$A$3:$A$188,M270)*SUMIFS(Donnees_generations!$I$3:$I$113,Donnees_generations!$A$3:$A$113,MAX(1915,MIN(2025,E270)))/H270</f>
        <v/>
      </c>
      <c r="AE270" s="14">
        <f>IF(C270="Privé",SUMIFS(Donnees_annuelles!$Y$3:$Y$188,Donnees_annuelles!$A$3:$A$188,M270)*MIN(L270,SUMIFS(Donnees_generations!$I$3:$I$113,Donnees_generations!$A$3:$A$113,MAX(1915,MIN(2025,E270))))/L270,AD270*AC270*MIN(IF(AB270&gt;0,0.8/0.75,1),(L270*4+AB270)/AA270))</f>
        <v/>
      </c>
      <c r="AF270" s="14">
        <f>AE270/12</f>
        <v/>
      </c>
      <c r="AG270" s="77">
        <f>MIN(68,MAX(56,2*INT(K270/2)))</f>
        <v/>
      </c>
      <c r="AH270" s="75">
        <f>(CHOOSE((AG270-56)/2+1,SUMIFS(Donnees_generations!$U$3:$U$113,Donnees_generations!$A$3:$A$113,MAX(1915,MIN(2025,E270))),SUMIFS(Donnees_generations!$V$3:$V$113,Donnees_generations!$A$3:$A$113,MAX(1915,MIN(2025,E270))),SUMIFS(Donnees_generations!$W$3:$W$113,Donnees_generations!$A$3:$A$113,MAX(1915,MIN(2025,E270))),SUMIFS(Donnees_generations!$X$3:$X$113,Donnees_generations!$A$3:$A$113,MAX(1915,MIN(2025,E270))),SUMIFS(Donnees_generations!$Y$3:$Y$113,Donnees_generations!$A$3:$A$113,MAX(1915,MIN(2025,E270))),SUMIFS(Donnees_generations!$Z$3:$Z$113,Donnees_generations!$A$3:$A$113,MAX(1915,MIN(2025,E270))),SUMIFS(Donnees_generations!$AA$3:$AA$113,Donnees_generations!$A$3:$A$113,MAX(1915,MIN(2025,E270))),SUMIFS(Donnees_generations!$AB$3:$AB$113,Donnees_generations!$A$3:$A$113,MAX(1915,MIN(2025,E270))))+CHOOSE((AG270-56)/2+1,SUMIFS(Donnees_generations!$AC$3:$AC$113,Donnees_generations!$A$3:$A$113,MAX(1915,MIN(2025,E270))),SUMIFS(Donnees_generations!$AD$3:$AD$113,Donnees_generations!$A$3:$A$113,MAX(1915,MIN(2025,E270))),SUMIFS(Donnees_generations!$AE$3:$AE$113,Donnees_generations!$A$3:$A$113,MAX(1915,MIN(2025,E270))),SUMIFS(Donnees_generations!$AF$3:$AF$113,Donnees_generations!$A$3:$A$113,MAX(1915,MIN(2025,E270))),SUMIFS(Donnees_generations!$AG$3:$AG$113,Donnees_generations!$A$3:$A$113,MAX(1915,MIN(2025,E270))),SUMIFS(Donnees_generations!$AH$3:$AH$113,Donnees_generations!$A$3:$A$113,MAX(1915,MIN(2025,E270))),SUMIFS(Donnees_generations!$AI$3:$AI$113,Donnees_generations!$A$3:$A$113,MAX(1915,MIN(2025,E270))),SUMIFS(Donnees_generations!$AJ$3:$AJ$113,Donnees_generations!$A$3:$A$113,MAX(1915,MIN(2025,E270)))))/2</f>
        <v/>
      </c>
      <c r="AI270" s="75">
        <f>(CHOOSE(((AG270+2)-56)/2+1,SUMIFS(Donnees_generations!$U$3:$U$113,Donnees_generations!$A$3:$A$113,MAX(1915,MIN(2025,E270))),SUMIFS(Donnees_generations!$V$3:$V$113,Donnees_generations!$A$3:$A$113,MAX(1915,MIN(2025,E270))),SUMIFS(Donnees_generations!$W$3:$W$113,Donnees_generations!$A$3:$A$113,MAX(1915,MIN(2025,E270))),SUMIFS(Donnees_generations!$X$3:$X$113,Donnees_generations!$A$3:$A$113,MAX(1915,MIN(2025,E270))),SUMIFS(Donnees_generations!$Y$3:$Y$113,Donnees_generations!$A$3:$A$113,MAX(1915,MIN(2025,E270))),SUMIFS(Donnees_generations!$Z$3:$Z$113,Donnees_generations!$A$3:$A$113,MAX(1915,MIN(2025,E270))),SUMIFS(Donnees_generations!$AA$3:$AA$113,Donnees_generations!$A$3:$A$113,MAX(1915,MIN(2025,E270))),SUMIFS(Donnees_generations!$AB$3:$AB$113,Donnees_generations!$A$3:$A$113,MAX(1915,MIN(2025,E270))))+CHOOSE(((AG270+2)-56)/2+1,SUMIFS(Donnees_generations!$AC$3:$AC$113,Donnees_generations!$A$3:$A$113,MAX(1915,MIN(2025,E270))),SUMIFS(Donnees_generations!$AD$3:$AD$113,Donnees_generations!$A$3:$A$113,MAX(1915,MIN(2025,E270))),SUMIFS(Donnees_generations!$AE$3:$AE$113,Donnees_generations!$A$3:$A$113,MAX(1915,MIN(2025,E270))),SUMIFS(Donnees_generations!$AF$3:$AF$113,Donnees_generations!$A$3:$A$113,MAX(1915,MIN(2025,E270))),SUMIFS(Donnees_generations!$AG$3:$AG$113,Donnees_generations!$A$3:$A$113,MAX(1915,MIN(2025,E270))),SUMIFS(Donnees_generations!$AH$3:$AH$113,Donnees_generations!$A$3:$A$113,MAX(1915,MIN(2025,E270))),SUMIFS(Donnees_generations!$AI$3:$AI$113,Donnees_generations!$A$3:$A$113,MAX(1915,MIN(2025,E270))),SUMIFS(Donnees_generations!$AJ$3:$AJ$113,Donnees_generations!$A$3:$A$113,MAX(1915,MIN(2025,E270)))))/2</f>
        <v/>
      </c>
      <c r="AJ270" s="8">
        <f>MAX(0,AH270+(AI270-AH270)*(K270-AG270)/2)</f>
        <v/>
      </c>
      <c r="AK270" s="8">
        <f>K270+AJ270</f>
        <v/>
      </c>
      <c r="AL270" s="14">
        <f>AE270*AJ270</f>
        <v/>
      </c>
      <c r="AM270" s="17">
        <f>V270/AL270</f>
        <v/>
      </c>
      <c r="AN270" s="17">
        <f>Z270/AL270</f>
        <v/>
      </c>
      <c r="AO270" s="33">
        <f>IF(V270+Z270=0,0,Z270/(V270+Z270))</f>
        <v/>
      </c>
      <c r="AP270" s="14">
        <f>AL270/V270*100</f>
        <v/>
      </c>
      <c r="AQ270" s="8">
        <f>P270/AL270*1000</f>
        <v/>
      </c>
      <c r="AR270" s="77">
        <f>MAX(N270,M270-1)</f>
        <v/>
      </c>
      <c r="AS270" s="14">
        <f>SUMIFS(Donnees_regimes!$R$3:$R$1118,Donnees_regimes!$A$3:$A$1118,C270,Donnees_regimes!$B$3:$B$1118,"&gt;="&amp;G270,Donnees_regimes!$B$3:$B$1118,"&lt;="&amp;N270)*L270/ROUNDUP(L270,0)*SUMIFS(Donnees_annuelles!$AG$3:$AG$188,Donnees_annuelles!$A$3:$A$188,AR270)*SUMIFS(Donnees_annuelles!$AA$3:$AA$188,Donnees_annuelles!$A$3:$A$188,AR270)</f>
        <v/>
      </c>
      <c r="AT270" s="36">
        <f>AS270/V270</f>
        <v/>
      </c>
      <c r="AU270" s="14">
        <f>AL270</f>
        <v/>
      </c>
      <c r="AV270" s="39">
        <f>AS270-AL270</f>
        <v/>
      </c>
      <c r="AW270" s="9">
        <f>AS270/AL270-1</f>
        <v/>
      </c>
      <c r="AX270" s="14">
        <f>AS270/AJ270/12</f>
        <v/>
      </c>
      <c r="AY270" s="14">
        <f>AF270</f>
        <v/>
      </c>
      <c r="AZ270" s="39">
        <f>AX270-AF270</f>
        <v/>
      </c>
      <c r="BA270" s="14">
        <f>SUMIFS(Donnees_regimes!$S$3:$S$1118,Donnees_regimes!$A$3:$A$1118,C270,Donnees_regimes!$B$3:$B$1118,"&gt;="&amp;G270,Donnees_regimes!$B$3:$B$1118,"&lt;="&amp;N270)*L270/ROUNDUP(L270,0)*SUMIFS(Donnees_annuelles!$AH$3:$AH$188,Donnees_annuelles!$A$3:$A$188,AR270)*SUMIFS(Donnees_annuelles!$AA$3:$AA$188,Donnees_annuelles!$A$3:$A$188,AR270)</f>
        <v/>
      </c>
      <c r="BB270" s="39">
        <f>BA270-AL270</f>
        <v/>
      </c>
      <c r="BC270" s="7">
        <f>IF(M270+AJ270&gt;2026,IF(G270&gt;2026,"entièrement projeté","en partie projeté"),"observé")</f>
        <v/>
      </c>
    </row>
    <row r="271">
      <c r="A271" s="7" t="inlineStr">
        <is>
          <t>Génération Z</t>
        </is>
      </c>
      <c r="B271" s="84" t="inlineStr">
        <is>
          <t>Fonction publique territoriale et hospitalière</t>
        </is>
      </c>
      <c r="C271" s="7">
        <f>IF(G271&gt;=SUMIFS(Regimes!$C$5:$C$10,Regimes!$A$5:$A$10,B271),"Privé",B271)</f>
        <v/>
      </c>
      <c r="D271" s="7">
        <f>INDEX(Regimes!$D$5:$D$10,MATCH(C271,Regimes!$A$5:$A$10,0))</f>
        <v/>
      </c>
      <c r="E271" s="88" t="n">
        <v>2000</v>
      </c>
      <c r="F271" s="8">
        <f>Donnees_generations!C88</f>
        <v/>
      </c>
      <c r="G271" s="77">
        <f>Donnees_generations!D88</f>
        <v/>
      </c>
      <c r="H271" s="8">
        <f>SUMIFS(Donnees_generations!$S$3:$S$113,Donnees_generations!$A$3:$A$113,MAX(1915,MIN(2025,E271)))</f>
        <v/>
      </c>
      <c r="I271" s="8">
        <f>SUMIFS(Donnees_generations!$T$3:$T$113,Donnees_generations!$A$3:$A$113,MAX(1915,MIN(2025,E271)))</f>
        <v/>
      </c>
      <c r="J271" s="8">
        <f>IF(G271&gt;=2000,MAX(I271,Parametres!$B$3),I271)</f>
        <v/>
      </c>
      <c r="K271" s="8">
        <f>IF(C271="Privé",J271,SUMIFS(Regles_regimes!$J$3:$J$2000,Regles_regimes!$A$3:$A$2000,C271,Regles_regimes!$B$3:$B$2000,D271,Regles_regimes!$C$3:$C$2000,MAX(1915,MIN(2025,E271))))</f>
        <v/>
      </c>
      <c r="L271" s="8">
        <f>IF(C271="Privé",H271,(K271-F271)*H271/(J271-F271))</f>
        <v/>
      </c>
      <c r="M271" s="77">
        <f>INT(E271+K271)</f>
        <v/>
      </c>
      <c r="N271" s="77">
        <f>G271+ROUNDUP(L271,0)-1</f>
        <v/>
      </c>
      <c r="O271" s="89">
        <f>SUMIFS(Regles_regimes!$K$3:$K$2000,Regles_regimes!$A$3:$A$2000,C271,Regles_regimes!$B$3:$B$2000,D271,Regles_regimes!$C$3:$C$2000,MAX(1915,MIN(2025,E271)))</f>
        <v/>
      </c>
      <c r="P271" s="13">
        <f>SUMIFS(Donnees_annuelles!$W$3:$W$188,Donnees_annuelles!$A$3:$A$188,"&gt;="&amp;G271,Donnees_annuelles!$A$3:$A$188,"&lt;="&amp;N271)*L271/ROUNDUP(L271,0)*O271</f>
        <v/>
      </c>
      <c r="Q271" s="13">
        <f>SUMIFS(Donnees_annuelles!$V$3:$V$188,Donnees_annuelles!$A$3:$A$188,"&gt;="&amp;G271,Donnees_annuelles!$A$3:$A$188,"&lt;="&amp;N271)*L271/ROUNDUP(L271,0)</f>
        <v/>
      </c>
      <c r="R271" s="13">
        <f>P271/L271</f>
        <v/>
      </c>
      <c r="S271" s="14">
        <f>SUMIFS(Donnees_annuelles!$D$3:$D$188,Donnees_annuelles!$A$3:$A$188,"&gt;="&amp;G271,Donnees_annuelles!$A$3:$A$188,"&lt;="&amp;N271)*L271/ROUNDUP(L271,0)</f>
        <v/>
      </c>
      <c r="T271" s="14">
        <f>SUMIFS(Donnees_regimes!$N$3:$N$1118,Donnees_regimes!$A$3:$A$1118,C271,Donnees_regimes!$B$3:$B$1118,"&gt;="&amp;G271,Donnees_regimes!$B$3:$B$1118,"&lt;="&amp;N271)*L271/ROUNDUP(L271,0)</f>
        <v/>
      </c>
      <c r="U271" s="14">
        <f>SUMIFS(Donnees_regimes!$O$3:$O$1118,Donnees_regimes!$A$3:$A$1118,C271,Donnees_regimes!$B$3:$B$1118,"&gt;="&amp;G271,Donnees_regimes!$B$3:$B$1118,"&lt;="&amp;N271)*L271/ROUNDUP(L271,0)</f>
        <v/>
      </c>
      <c r="V271" s="14">
        <f>T271+U271</f>
        <v/>
      </c>
      <c r="W271" s="33">
        <f>V271/S271</f>
        <v/>
      </c>
      <c r="X271" s="14">
        <f>S271+U271</f>
        <v/>
      </c>
      <c r="Y271" s="17">
        <f>V271/P271</f>
        <v/>
      </c>
      <c r="Z271" s="14">
        <f>SUMIFS(Donnees_regimes!$Q$3:$Q$1118,Donnees_regimes!$A$3:$A$1118,C271,Donnees_regimes!$B$3:$B$1118,"&gt;="&amp;G271,Donnees_regimes!$B$3:$B$1118,"&lt;="&amp;N271)*L271/ROUNDUP(L271,0)</f>
        <v/>
      </c>
      <c r="AA271" s="77">
        <f>SUMIFS(Regles_regimes!$F$3:$F$2000,Regles_regimes!$A$3:$A$2000,C271,Regles_regimes!$B$3:$B$2000,D271,Regles_regimes!$C$3:$C$2000,MAX(1915,MIN(2025,E271)))</f>
        <v/>
      </c>
      <c r="AB271" s="77">
        <f>IF(AND(SUMIFS(Regles_regimes!$L$3:$L$2000,Regles_regimes!$A$3:$A$2000,C271,Regles_regimes!$B$3:$B$2000,D271,Regles_regimes!$C$3:$C$2000,MAX(1915,MIN(2025,E271)))=1,G271&lt;2009,C271&lt;&gt;"Privé"),MIN(20,L271*4/5),0)</f>
        <v/>
      </c>
      <c r="AC271" s="89">
        <f>SUMIFS(Donnees_regimes!$M$3:$M$1118,Donnees_regimes!$A$3:$A$1118,C271,Donnees_regimes!$B$3:$B$1118,M271)</f>
        <v/>
      </c>
      <c r="AD271" s="14">
        <f>SUMIFS(Donnees_annuelles!$Y$3:$Y$188,Donnees_annuelles!$A$3:$A$188,M271)*SUMIFS(Donnees_generations!$I$3:$I$113,Donnees_generations!$A$3:$A$113,MAX(1915,MIN(2025,E271)))/H271</f>
        <v/>
      </c>
      <c r="AE271" s="14">
        <f>IF(C271="Privé",SUMIFS(Donnees_annuelles!$Y$3:$Y$188,Donnees_annuelles!$A$3:$A$188,M271)*MIN(L271,SUMIFS(Donnees_generations!$I$3:$I$113,Donnees_generations!$A$3:$A$113,MAX(1915,MIN(2025,E271))))/L271,AD271*AC271*MIN(IF(AB271&gt;0,0.8/0.75,1),(L271*4+AB271)/AA271))</f>
        <v/>
      </c>
      <c r="AF271" s="14">
        <f>AE271/12</f>
        <v/>
      </c>
      <c r="AG271" s="77">
        <f>MIN(68,MAX(56,2*INT(K271/2)))</f>
        <v/>
      </c>
      <c r="AH271" s="75">
        <f>(CHOOSE((AG271-56)/2+1,SUMIFS(Donnees_generations!$U$3:$U$113,Donnees_generations!$A$3:$A$113,MAX(1915,MIN(2025,E271))),SUMIFS(Donnees_generations!$V$3:$V$113,Donnees_generations!$A$3:$A$113,MAX(1915,MIN(2025,E271))),SUMIFS(Donnees_generations!$W$3:$W$113,Donnees_generations!$A$3:$A$113,MAX(1915,MIN(2025,E271))),SUMIFS(Donnees_generations!$X$3:$X$113,Donnees_generations!$A$3:$A$113,MAX(1915,MIN(2025,E271))),SUMIFS(Donnees_generations!$Y$3:$Y$113,Donnees_generations!$A$3:$A$113,MAX(1915,MIN(2025,E271))),SUMIFS(Donnees_generations!$Z$3:$Z$113,Donnees_generations!$A$3:$A$113,MAX(1915,MIN(2025,E271))),SUMIFS(Donnees_generations!$AA$3:$AA$113,Donnees_generations!$A$3:$A$113,MAX(1915,MIN(2025,E271))),SUMIFS(Donnees_generations!$AB$3:$AB$113,Donnees_generations!$A$3:$A$113,MAX(1915,MIN(2025,E271))))+CHOOSE((AG271-56)/2+1,SUMIFS(Donnees_generations!$AC$3:$AC$113,Donnees_generations!$A$3:$A$113,MAX(1915,MIN(2025,E271))),SUMIFS(Donnees_generations!$AD$3:$AD$113,Donnees_generations!$A$3:$A$113,MAX(1915,MIN(2025,E271))),SUMIFS(Donnees_generations!$AE$3:$AE$113,Donnees_generations!$A$3:$A$113,MAX(1915,MIN(2025,E271))),SUMIFS(Donnees_generations!$AF$3:$AF$113,Donnees_generations!$A$3:$A$113,MAX(1915,MIN(2025,E271))),SUMIFS(Donnees_generations!$AG$3:$AG$113,Donnees_generations!$A$3:$A$113,MAX(1915,MIN(2025,E271))),SUMIFS(Donnees_generations!$AH$3:$AH$113,Donnees_generations!$A$3:$A$113,MAX(1915,MIN(2025,E271))),SUMIFS(Donnees_generations!$AI$3:$AI$113,Donnees_generations!$A$3:$A$113,MAX(1915,MIN(2025,E271))),SUMIFS(Donnees_generations!$AJ$3:$AJ$113,Donnees_generations!$A$3:$A$113,MAX(1915,MIN(2025,E271)))))/2</f>
        <v/>
      </c>
      <c r="AI271" s="75">
        <f>(CHOOSE(((AG271+2)-56)/2+1,SUMIFS(Donnees_generations!$U$3:$U$113,Donnees_generations!$A$3:$A$113,MAX(1915,MIN(2025,E271))),SUMIFS(Donnees_generations!$V$3:$V$113,Donnees_generations!$A$3:$A$113,MAX(1915,MIN(2025,E271))),SUMIFS(Donnees_generations!$W$3:$W$113,Donnees_generations!$A$3:$A$113,MAX(1915,MIN(2025,E271))),SUMIFS(Donnees_generations!$X$3:$X$113,Donnees_generations!$A$3:$A$113,MAX(1915,MIN(2025,E271))),SUMIFS(Donnees_generations!$Y$3:$Y$113,Donnees_generations!$A$3:$A$113,MAX(1915,MIN(2025,E271))),SUMIFS(Donnees_generations!$Z$3:$Z$113,Donnees_generations!$A$3:$A$113,MAX(1915,MIN(2025,E271))),SUMIFS(Donnees_generations!$AA$3:$AA$113,Donnees_generations!$A$3:$A$113,MAX(1915,MIN(2025,E271))),SUMIFS(Donnees_generations!$AB$3:$AB$113,Donnees_generations!$A$3:$A$113,MAX(1915,MIN(2025,E271))))+CHOOSE(((AG271+2)-56)/2+1,SUMIFS(Donnees_generations!$AC$3:$AC$113,Donnees_generations!$A$3:$A$113,MAX(1915,MIN(2025,E271))),SUMIFS(Donnees_generations!$AD$3:$AD$113,Donnees_generations!$A$3:$A$113,MAX(1915,MIN(2025,E271))),SUMIFS(Donnees_generations!$AE$3:$AE$113,Donnees_generations!$A$3:$A$113,MAX(1915,MIN(2025,E271))),SUMIFS(Donnees_generations!$AF$3:$AF$113,Donnees_generations!$A$3:$A$113,MAX(1915,MIN(2025,E271))),SUMIFS(Donnees_generations!$AG$3:$AG$113,Donnees_generations!$A$3:$A$113,MAX(1915,MIN(2025,E271))),SUMIFS(Donnees_generations!$AH$3:$AH$113,Donnees_generations!$A$3:$A$113,MAX(1915,MIN(2025,E271))),SUMIFS(Donnees_generations!$AI$3:$AI$113,Donnees_generations!$A$3:$A$113,MAX(1915,MIN(2025,E271))),SUMIFS(Donnees_generations!$AJ$3:$AJ$113,Donnees_generations!$A$3:$A$113,MAX(1915,MIN(2025,E271)))))/2</f>
        <v/>
      </c>
      <c r="AJ271" s="8">
        <f>MAX(0,AH271+(AI271-AH271)*(K271-AG271)/2)</f>
        <v/>
      </c>
      <c r="AK271" s="8">
        <f>K271+AJ271</f>
        <v/>
      </c>
      <c r="AL271" s="14">
        <f>AE271*AJ271</f>
        <v/>
      </c>
      <c r="AM271" s="17">
        <f>V271/AL271</f>
        <v/>
      </c>
      <c r="AN271" s="17">
        <f>Z271/AL271</f>
        <v/>
      </c>
      <c r="AO271" s="33">
        <f>IF(V271+Z271=0,0,Z271/(V271+Z271))</f>
        <v/>
      </c>
      <c r="AP271" s="14">
        <f>AL271/V271*100</f>
        <v/>
      </c>
      <c r="AQ271" s="8">
        <f>P271/AL271*1000</f>
        <v/>
      </c>
      <c r="AR271" s="77">
        <f>MAX(N271,M271-1)</f>
        <v/>
      </c>
      <c r="AS271" s="14">
        <f>SUMIFS(Donnees_regimes!$R$3:$R$1118,Donnees_regimes!$A$3:$A$1118,C271,Donnees_regimes!$B$3:$B$1118,"&gt;="&amp;G271,Donnees_regimes!$B$3:$B$1118,"&lt;="&amp;N271)*L271/ROUNDUP(L271,0)*SUMIFS(Donnees_annuelles!$AG$3:$AG$188,Donnees_annuelles!$A$3:$A$188,AR271)*SUMIFS(Donnees_annuelles!$AA$3:$AA$188,Donnees_annuelles!$A$3:$A$188,AR271)</f>
        <v/>
      </c>
      <c r="AT271" s="36">
        <f>AS271/V271</f>
        <v/>
      </c>
      <c r="AU271" s="14">
        <f>AL271</f>
        <v/>
      </c>
      <c r="AV271" s="39">
        <f>AS271-AL271</f>
        <v/>
      </c>
      <c r="AW271" s="9">
        <f>AS271/AL271-1</f>
        <v/>
      </c>
      <c r="AX271" s="14">
        <f>AS271/AJ271/12</f>
        <v/>
      </c>
      <c r="AY271" s="14">
        <f>AF271</f>
        <v/>
      </c>
      <c r="AZ271" s="39">
        <f>AX271-AF271</f>
        <v/>
      </c>
      <c r="BA271" s="14">
        <f>SUMIFS(Donnees_regimes!$S$3:$S$1118,Donnees_regimes!$A$3:$A$1118,C271,Donnees_regimes!$B$3:$B$1118,"&gt;="&amp;G271,Donnees_regimes!$B$3:$B$1118,"&lt;="&amp;N271)*L271/ROUNDUP(L271,0)*SUMIFS(Donnees_annuelles!$AH$3:$AH$188,Donnees_annuelles!$A$3:$A$188,AR271)*SUMIFS(Donnees_annuelles!$AA$3:$AA$188,Donnees_annuelles!$A$3:$A$188,AR271)</f>
        <v/>
      </c>
      <c r="BB271" s="39">
        <f>BA271-AL271</f>
        <v/>
      </c>
      <c r="BC271" s="7">
        <f>IF(M271+AJ271&gt;2026,IF(G271&gt;2026,"entièrement projeté","en partie projeté"),"observé")</f>
        <v/>
      </c>
    </row>
    <row r="272">
      <c r="A272" s="7" t="inlineStr">
        <is>
          <t>Génération Z</t>
        </is>
      </c>
      <c r="B272" s="84" t="inlineStr">
        <is>
          <t>Fonction publique territoriale et hospitalière</t>
        </is>
      </c>
      <c r="C272" s="7">
        <f>IF(G272&gt;=SUMIFS(Regimes!$C$5:$C$10,Regimes!$A$5:$A$10,B272),"Privé",B272)</f>
        <v/>
      </c>
      <c r="D272" s="7">
        <f>INDEX(Regimes!$D$5:$D$10,MATCH(C272,Regimes!$A$5:$A$10,0))</f>
        <v/>
      </c>
      <c r="E272" s="88" t="n">
        <v>2001</v>
      </c>
      <c r="F272" s="8">
        <f>Donnees_generations!C89</f>
        <v/>
      </c>
      <c r="G272" s="77">
        <f>Donnees_generations!D89</f>
        <v/>
      </c>
      <c r="H272" s="8">
        <f>SUMIFS(Donnees_generations!$S$3:$S$113,Donnees_generations!$A$3:$A$113,MAX(1915,MIN(2025,E272)))</f>
        <v/>
      </c>
      <c r="I272" s="8">
        <f>SUMIFS(Donnees_generations!$T$3:$T$113,Donnees_generations!$A$3:$A$113,MAX(1915,MIN(2025,E272)))</f>
        <v/>
      </c>
      <c r="J272" s="8">
        <f>IF(G272&gt;=2000,MAX(I272,Parametres!$B$3),I272)</f>
        <v/>
      </c>
      <c r="K272" s="8">
        <f>IF(C272="Privé",J272,SUMIFS(Regles_regimes!$J$3:$J$2000,Regles_regimes!$A$3:$A$2000,C272,Regles_regimes!$B$3:$B$2000,D272,Regles_regimes!$C$3:$C$2000,MAX(1915,MIN(2025,E272))))</f>
        <v/>
      </c>
      <c r="L272" s="8">
        <f>IF(C272="Privé",H272,(K272-F272)*H272/(J272-F272))</f>
        <v/>
      </c>
      <c r="M272" s="77">
        <f>INT(E272+K272)</f>
        <v/>
      </c>
      <c r="N272" s="77">
        <f>G272+ROUNDUP(L272,0)-1</f>
        <v/>
      </c>
      <c r="O272" s="89">
        <f>SUMIFS(Regles_regimes!$K$3:$K$2000,Regles_regimes!$A$3:$A$2000,C272,Regles_regimes!$B$3:$B$2000,D272,Regles_regimes!$C$3:$C$2000,MAX(1915,MIN(2025,E272)))</f>
        <v/>
      </c>
      <c r="P272" s="13">
        <f>SUMIFS(Donnees_annuelles!$W$3:$W$188,Donnees_annuelles!$A$3:$A$188,"&gt;="&amp;G272,Donnees_annuelles!$A$3:$A$188,"&lt;="&amp;N272)*L272/ROUNDUP(L272,0)*O272</f>
        <v/>
      </c>
      <c r="Q272" s="13">
        <f>SUMIFS(Donnees_annuelles!$V$3:$V$188,Donnees_annuelles!$A$3:$A$188,"&gt;="&amp;G272,Donnees_annuelles!$A$3:$A$188,"&lt;="&amp;N272)*L272/ROUNDUP(L272,0)</f>
        <v/>
      </c>
      <c r="R272" s="13">
        <f>P272/L272</f>
        <v/>
      </c>
      <c r="S272" s="14">
        <f>SUMIFS(Donnees_annuelles!$D$3:$D$188,Donnees_annuelles!$A$3:$A$188,"&gt;="&amp;G272,Donnees_annuelles!$A$3:$A$188,"&lt;="&amp;N272)*L272/ROUNDUP(L272,0)</f>
        <v/>
      </c>
      <c r="T272" s="14">
        <f>SUMIFS(Donnees_regimes!$N$3:$N$1118,Donnees_regimes!$A$3:$A$1118,C272,Donnees_regimes!$B$3:$B$1118,"&gt;="&amp;G272,Donnees_regimes!$B$3:$B$1118,"&lt;="&amp;N272)*L272/ROUNDUP(L272,0)</f>
        <v/>
      </c>
      <c r="U272" s="14">
        <f>SUMIFS(Donnees_regimes!$O$3:$O$1118,Donnees_regimes!$A$3:$A$1118,C272,Donnees_regimes!$B$3:$B$1118,"&gt;="&amp;G272,Donnees_regimes!$B$3:$B$1118,"&lt;="&amp;N272)*L272/ROUNDUP(L272,0)</f>
        <v/>
      </c>
      <c r="V272" s="14">
        <f>T272+U272</f>
        <v/>
      </c>
      <c r="W272" s="33">
        <f>V272/S272</f>
        <v/>
      </c>
      <c r="X272" s="14">
        <f>S272+U272</f>
        <v/>
      </c>
      <c r="Y272" s="17">
        <f>V272/P272</f>
        <v/>
      </c>
      <c r="Z272" s="14">
        <f>SUMIFS(Donnees_regimes!$Q$3:$Q$1118,Donnees_regimes!$A$3:$A$1118,C272,Donnees_regimes!$B$3:$B$1118,"&gt;="&amp;G272,Donnees_regimes!$B$3:$B$1118,"&lt;="&amp;N272)*L272/ROUNDUP(L272,0)</f>
        <v/>
      </c>
      <c r="AA272" s="77">
        <f>SUMIFS(Regles_regimes!$F$3:$F$2000,Regles_regimes!$A$3:$A$2000,C272,Regles_regimes!$B$3:$B$2000,D272,Regles_regimes!$C$3:$C$2000,MAX(1915,MIN(2025,E272)))</f>
        <v/>
      </c>
      <c r="AB272" s="77">
        <f>IF(AND(SUMIFS(Regles_regimes!$L$3:$L$2000,Regles_regimes!$A$3:$A$2000,C272,Regles_regimes!$B$3:$B$2000,D272,Regles_regimes!$C$3:$C$2000,MAX(1915,MIN(2025,E272)))=1,G272&lt;2009,C272&lt;&gt;"Privé"),MIN(20,L272*4/5),0)</f>
        <v/>
      </c>
      <c r="AC272" s="89">
        <f>SUMIFS(Donnees_regimes!$M$3:$M$1118,Donnees_regimes!$A$3:$A$1118,C272,Donnees_regimes!$B$3:$B$1118,M272)</f>
        <v/>
      </c>
      <c r="AD272" s="14">
        <f>SUMIFS(Donnees_annuelles!$Y$3:$Y$188,Donnees_annuelles!$A$3:$A$188,M272)*SUMIFS(Donnees_generations!$I$3:$I$113,Donnees_generations!$A$3:$A$113,MAX(1915,MIN(2025,E272)))/H272</f>
        <v/>
      </c>
      <c r="AE272" s="14">
        <f>IF(C272="Privé",SUMIFS(Donnees_annuelles!$Y$3:$Y$188,Donnees_annuelles!$A$3:$A$188,M272)*MIN(L272,SUMIFS(Donnees_generations!$I$3:$I$113,Donnees_generations!$A$3:$A$113,MAX(1915,MIN(2025,E272))))/L272,AD272*AC272*MIN(IF(AB272&gt;0,0.8/0.75,1),(L272*4+AB272)/AA272))</f>
        <v/>
      </c>
      <c r="AF272" s="14">
        <f>AE272/12</f>
        <v/>
      </c>
      <c r="AG272" s="77">
        <f>MIN(68,MAX(56,2*INT(K272/2)))</f>
        <v/>
      </c>
      <c r="AH272" s="75">
        <f>(CHOOSE((AG272-56)/2+1,SUMIFS(Donnees_generations!$U$3:$U$113,Donnees_generations!$A$3:$A$113,MAX(1915,MIN(2025,E272))),SUMIFS(Donnees_generations!$V$3:$V$113,Donnees_generations!$A$3:$A$113,MAX(1915,MIN(2025,E272))),SUMIFS(Donnees_generations!$W$3:$W$113,Donnees_generations!$A$3:$A$113,MAX(1915,MIN(2025,E272))),SUMIFS(Donnees_generations!$X$3:$X$113,Donnees_generations!$A$3:$A$113,MAX(1915,MIN(2025,E272))),SUMIFS(Donnees_generations!$Y$3:$Y$113,Donnees_generations!$A$3:$A$113,MAX(1915,MIN(2025,E272))),SUMIFS(Donnees_generations!$Z$3:$Z$113,Donnees_generations!$A$3:$A$113,MAX(1915,MIN(2025,E272))),SUMIFS(Donnees_generations!$AA$3:$AA$113,Donnees_generations!$A$3:$A$113,MAX(1915,MIN(2025,E272))),SUMIFS(Donnees_generations!$AB$3:$AB$113,Donnees_generations!$A$3:$A$113,MAX(1915,MIN(2025,E272))))+CHOOSE((AG272-56)/2+1,SUMIFS(Donnees_generations!$AC$3:$AC$113,Donnees_generations!$A$3:$A$113,MAX(1915,MIN(2025,E272))),SUMIFS(Donnees_generations!$AD$3:$AD$113,Donnees_generations!$A$3:$A$113,MAX(1915,MIN(2025,E272))),SUMIFS(Donnees_generations!$AE$3:$AE$113,Donnees_generations!$A$3:$A$113,MAX(1915,MIN(2025,E272))),SUMIFS(Donnees_generations!$AF$3:$AF$113,Donnees_generations!$A$3:$A$113,MAX(1915,MIN(2025,E272))),SUMIFS(Donnees_generations!$AG$3:$AG$113,Donnees_generations!$A$3:$A$113,MAX(1915,MIN(2025,E272))),SUMIFS(Donnees_generations!$AH$3:$AH$113,Donnees_generations!$A$3:$A$113,MAX(1915,MIN(2025,E272))),SUMIFS(Donnees_generations!$AI$3:$AI$113,Donnees_generations!$A$3:$A$113,MAX(1915,MIN(2025,E272))),SUMIFS(Donnees_generations!$AJ$3:$AJ$113,Donnees_generations!$A$3:$A$113,MAX(1915,MIN(2025,E272)))))/2</f>
        <v/>
      </c>
      <c r="AI272" s="75">
        <f>(CHOOSE(((AG272+2)-56)/2+1,SUMIFS(Donnees_generations!$U$3:$U$113,Donnees_generations!$A$3:$A$113,MAX(1915,MIN(2025,E272))),SUMIFS(Donnees_generations!$V$3:$V$113,Donnees_generations!$A$3:$A$113,MAX(1915,MIN(2025,E272))),SUMIFS(Donnees_generations!$W$3:$W$113,Donnees_generations!$A$3:$A$113,MAX(1915,MIN(2025,E272))),SUMIFS(Donnees_generations!$X$3:$X$113,Donnees_generations!$A$3:$A$113,MAX(1915,MIN(2025,E272))),SUMIFS(Donnees_generations!$Y$3:$Y$113,Donnees_generations!$A$3:$A$113,MAX(1915,MIN(2025,E272))),SUMIFS(Donnees_generations!$Z$3:$Z$113,Donnees_generations!$A$3:$A$113,MAX(1915,MIN(2025,E272))),SUMIFS(Donnees_generations!$AA$3:$AA$113,Donnees_generations!$A$3:$A$113,MAX(1915,MIN(2025,E272))),SUMIFS(Donnees_generations!$AB$3:$AB$113,Donnees_generations!$A$3:$A$113,MAX(1915,MIN(2025,E272))))+CHOOSE(((AG272+2)-56)/2+1,SUMIFS(Donnees_generations!$AC$3:$AC$113,Donnees_generations!$A$3:$A$113,MAX(1915,MIN(2025,E272))),SUMIFS(Donnees_generations!$AD$3:$AD$113,Donnees_generations!$A$3:$A$113,MAX(1915,MIN(2025,E272))),SUMIFS(Donnees_generations!$AE$3:$AE$113,Donnees_generations!$A$3:$A$113,MAX(1915,MIN(2025,E272))),SUMIFS(Donnees_generations!$AF$3:$AF$113,Donnees_generations!$A$3:$A$113,MAX(1915,MIN(2025,E272))),SUMIFS(Donnees_generations!$AG$3:$AG$113,Donnees_generations!$A$3:$A$113,MAX(1915,MIN(2025,E272))),SUMIFS(Donnees_generations!$AH$3:$AH$113,Donnees_generations!$A$3:$A$113,MAX(1915,MIN(2025,E272))),SUMIFS(Donnees_generations!$AI$3:$AI$113,Donnees_generations!$A$3:$A$113,MAX(1915,MIN(2025,E272))),SUMIFS(Donnees_generations!$AJ$3:$AJ$113,Donnees_generations!$A$3:$A$113,MAX(1915,MIN(2025,E272)))))/2</f>
        <v/>
      </c>
      <c r="AJ272" s="8">
        <f>MAX(0,AH272+(AI272-AH272)*(K272-AG272)/2)</f>
        <v/>
      </c>
      <c r="AK272" s="8">
        <f>K272+AJ272</f>
        <v/>
      </c>
      <c r="AL272" s="14">
        <f>AE272*AJ272</f>
        <v/>
      </c>
      <c r="AM272" s="17">
        <f>V272/AL272</f>
        <v/>
      </c>
      <c r="AN272" s="17">
        <f>Z272/AL272</f>
        <v/>
      </c>
      <c r="AO272" s="33">
        <f>IF(V272+Z272=0,0,Z272/(V272+Z272))</f>
        <v/>
      </c>
      <c r="AP272" s="14">
        <f>AL272/V272*100</f>
        <v/>
      </c>
      <c r="AQ272" s="8">
        <f>P272/AL272*1000</f>
        <v/>
      </c>
      <c r="AR272" s="77">
        <f>MAX(N272,M272-1)</f>
        <v/>
      </c>
      <c r="AS272" s="14">
        <f>SUMIFS(Donnees_regimes!$R$3:$R$1118,Donnees_regimes!$A$3:$A$1118,C272,Donnees_regimes!$B$3:$B$1118,"&gt;="&amp;G272,Donnees_regimes!$B$3:$B$1118,"&lt;="&amp;N272)*L272/ROUNDUP(L272,0)*SUMIFS(Donnees_annuelles!$AG$3:$AG$188,Donnees_annuelles!$A$3:$A$188,AR272)*SUMIFS(Donnees_annuelles!$AA$3:$AA$188,Donnees_annuelles!$A$3:$A$188,AR272)</f>
        <v/>
      </c>
      <c r="AT272" s="36">
        <f>AS272/V272</f>
        <v/>
      </c>
      <c r="AU272" s="14">
        <f>AL272</f>
        <v/>
      </c>
      <c r="AV272" s="39">
        <f>AS272-AL272</f>
        <v/>
      </c>
      <c r="AW272" s="9">
        <f>AS272/AL272-1</f>
        <v/>
      </c>
      <c r="AX272" s="14">
        <f>AS272/AJ272/12</f>
        <v/>
      </c>
      <c r="AY272" s="14">
        <f>AF272</f>
        <v/>
      </c>
      <c r="AZ272" s="39">
        <f>AX272-AF272</f>
        <v/>
      </c>
      <c r="BA272" s="14">
        <f>SUMIFS(Donnees_regimes!$S$3:$S$1118,Donnees_regimes!$A$3:$A$1118,C272,Donnees_regimes!$B$3:$B$1118,"&gt;="&amp;G272,Donnees_regimes!$B$3:$B$1118,"&lt;="&amp;N272)*L272/ROUNDUP(L272,0)*SUMIFS(Donnees_annuelles!$AH$3:$AH$188,Donnees_annuelles!$A$3:$A$188,AR272)*SUMIFS(Donnees_annuelles!$AA$3:$AA$188,Donnees_annuelles!$A$3:$A$188,AR272)</f>
        <v/>
      </c>
      <c r="BB272" s="39">
        <f>BA272-AL272</f>
        <v/>
      </c>
      <c r="BC272" s="7">
        <f>IF(M272+AJ272&gt;2026,IF(G272&gt;2026,"entièrement projeté","en partie projeté"),"observé")</f>
        <v/>
      </c>
    </row>
    <row r="273">
      <c r="A273" s="7" t="inlineStr">
        <is>
          <t>Génération Z</t>
        </is>
      </c>
      <c r="B273" s="84" t="inlineStr">
        <is>
          <t>Fonction publique territoriale et hospitalière</t>
        </is>
      </c>
      <c r="C273" s="7">
        <f>IF(G273&gt;=SUMIFS(Regimes!$C$5:$C$10,Regimes!$A$5:$A$10,B273),"Privé",B273)</f>
        <v/>
      </c>
      <c r="D273" s="7">
        <f>INDEX(Regimes!$D$5:$D$10,MATCH(C273,Regimes!$A$5:$A$10,0))</f>
        <v/>
      </c>
      <c r="E273" s="88" t="n">
        <v>2002</v>
      </c>
      <c r="F273" s="8">
        <f>Donnees_generations!C90</f>
        <v/>
      </c>
      <c r="G273" s="77">
        <f>Donnees_generations!D90</f>
        <v/>
      </c>
      <c r="H273" s="8">
        <f>SUMIFS(Donnees_generations!$S$3:$S$113,Donnees_generations!$A$3:$A$113,MAX(1915,MIN(2025,E273)))</f>
        <v/>
      </c>
      <c r="I273" s="8">
        <f>SUMIFS(Donnees_generations!$T$3:$T$113,Donnees_generations!$A$3:$A$113,MAX(1915,MIN(2025,E273)))</f>
        <v/>
      </c>
      <c r="J273" s="8">
        <f>IF(G273&gt;=2000,MAX(I273,Parametres!$B$3),I273)</f>
        <v/>
      </c>
      <c r="K273" s="8">
        <f>IF(C273="Privé",J273,SUMIFS(Regles_regimes!$J$3:$J$2000,Regles_regimes!$A$3:$A$2000,C273,Regles_regimes!$B$3:$B$2000,D273,Regles_regimes!$C$3:$C$2000,MAX(1915,MIN(2025,E273))))</f>
        <v/>
      </c>
      <c r="L273" s="8">
        <f>IF(C273="Privé",H273,(K273-F273)*H273/(J273-F273))</f>
        <v/>
      </c>
      <c r="M273" s="77">
        <f>INT(E273+K273)</f>
        <v/>
      </c>
      <c r="N273" s="77">
        <f>G273+ROUNDUP(L273,0)-1</f>
        <v/>
      </c>
      <c r="O273" s="89">
        <f>SUMIFS(Regles_regimes!$K$3:$K$2000,Regles_regimes!$A$3:$A$2000,C273,Regles_regimes!$B$3:$B$2000,D273,Regles_regimes!$C$3:$C$2000,MAX(1915,MIN(2025,E273)))</f>
        <v/>
      </c>
      <c r="P273" s="13">
        <f>SUMIFS(Donnees_annuelles!$W$3:$W$188,Donnees_annuelles!$A$3:$A$188,"&gt;="&amp;G273,Donnees_annuelles!$A$3:$A$188,"&lt;="&amp;N273)*L273/ROUNDUP(L273,0)*O273</f>
        <v/>
      </c>
      <c r="Q273" s="13">
        <f>SUMIFS(Donnees_annuelles!$V$3:$V$188,Donnees_annuelles!$A$3:$A$188,"&gt;="&amp;G273,Donnees_annuelles!$A$3:$A$188,"&lt;="&amp;N273)*L273/ROUNDUP(L273,0)</f>
        <v/>
      </c>
      <c r="R273" s="13">
        <f>P273/L273</f>
        <v/>
      </c>
      <c r="S273" s="14">
        <f>SUMIFS(Donnees_annuelles!$D$3:$D$188,Donnees_annuelles!$A$3:$A$188,"&gt;="&amp;G273,Donnees_annuelles!$A$3:$A$188,"&lt;="&amp;N273)*L273/ROUNDUP(L273,0)</f>
        <v/>
      </c>
      <c r="T273" s="14">
        <f>SUMIFS(Donnees_regimes!$N$3:$N$1118,Donnees_regimes!$A$3:$A$1118,C273,Donnees_regimes!$B$3:$B$1118,"&gt;="&amp;G273,Donnees_regimes!$B$3:$B$1118,"&lt;="&amp;N273)*L273/ROUNDUP(L273,0)</f>
        <v/>
      </c>
      <c r="U273" s="14">
        <f>SUMIFS(Donnees_regimes!$O$3:$O$1118,Donnees_regimes!$A$3:$A$1118,C273,Donnees_regimes!$B$3:$B$1118,"&gt;="&amp;G273,Donnees_regimes!$B$3:$B$1118,"&lt;="&amp;N273)*L273/ROUNDUP(L273,0)</f>
        <v/>
      </c>
      <c r="V273" s="14">
        <f>T273+U273</f>
        <v/>
      </c>
      <c r="W273" s="33">
        <f>V273/S273</f>
        <v/>
      </c>
      <c r="X273" s="14">
        <f>S273+U273</f>
        <v/>
      </c>
      <c r="Y273" s="17">
        <f>V273/P273</f>
        <v/>
      </c>
      <c r="Z273" s="14">
        <f>SUMIFS(Donnees_regimes!$Q$3:$Q$1118,Donnees_regimes!$A$3:$A$1118,C273,Donnees_regimes!$B$3:$B$1118,"&gt;="&amp;G273,Donnees_regimes!$B$3:$B$1118,"&lt;="&amp;N273)*L273/ROUNDUP(L273,0)</f>
        <v/>
      </c>
      <c r="AA273" s="77">
        <f>SUMIFS(Regles_regimes!$F$3:$F$2000,Regles_regimes!$A$3:$A$2000,C273,Regles_regimes!$B$3:$B$2000,D273,Regles_regimes!$C$3:$C$2000,MAX(1915,MIN(2025,E273)))</f>
        <v/>
      </c>
      <c r="AB273" s="77">
        <f>IF(AND(SUMIFS(Regles_regimes!$L$3:$L$2000,Regles_regimes!$A$3:$A$2000,C273,Regles_regimes!$B$3:$B$2000,D273,Regles_regimes!$C$3:$C$2000,MAX(1915,MIN(2025,E273)))=1,G273&lt;2009,C273&lt;&gt;"Privé"),MIN(20,L273*4/5),0)</f>
        <v/>
      </c>
      <c r="AC273" s="89">
        <f>SUMIFS(Donnees_regimes!$M$3:$M$1118,Donnees_regimes!$A$3:$A$1118,C273,Donnees_regimes!$B$3:$B$1118,M273)</f>
        <v/>
      </c>
      <c r="AD273" s="14">
        <f>SUMIFS(Donnees_annuelles!$Y$3:$Y$188,Donnees_annuelles!$A$3:$A$188,M273)*SUMIFS(Donnees_generations!$I$3:$I$113,Donnees_generations!$A$3:$A$113,MAX(1915,MIN(2025,E273)))/H273</f>
        <v/>
      </c>
      <c r="AE273" s="14">
        <f>IF(C273="Privé",SUMIFS(Donnees_annuelles!$Y$3:$Y$188,Donnees_annuelles!$A$3:$A$188,M273)*MIN(L273,SUMIFS(Donnees_generations!$I$3:$I$113,Donnees_generations!$A$3:$A$113,MAX(1915,MIN(2025,E273))))/L273,AD273*AC273*MIN(IF(AB273&gt;0,0.8/0.75,1),(L273*4+AB273)/AA273))</f>
        <v/>
      </c>
      <c r="AF273" s="14">
        <f>AE273/12</f>
        <v/>
      </c>
      <c r="AG273" s="77">
        <f>MIN(68,MAX(56,2*INT(K273/2)))</f>
        <v/>
      </c>
      <c r="AH273" s="75">
        <f>(CHOOSE((AG273-56)/2+1,SUMIFS(Donnees_generations!$U$3:$U$113,Donnees_generations!$A$3:$A$113,MAX(1915,MIN(2025,E273))),SUMIFS(Donnees_generations!$V$3:$V$113,Donnees_generations!$A$3:$A$113,MAX(1915,MIN(2025,E273))),SUMIFS(Donnees_generations!$W$3:$W$113,Donnees_generations!$A$3:$A$113,MAX(1915,MIN(2025,E273))),SUMIFS(Donnees_generations!$X$3:$X$113,Donnees_generations!$A$3:$A$113,MAX(1915,MIN(2025,E273))),SUMIFS(Donnees_generations!$Y$3:$Y$113,Donnees_generations!$A$3:$A$113,MAX(1915,MIN(2025,E273))),SUMIFS(Donnees_generations!$Z$3:$Z$113,Donnees_generations!$A$3:$A$113,MAX(1915,MIN(2025,E273))),SUMIFS(Donnees_generations!$AA$3:$AA$113,Donnees_generations!$A$3:$A$113,MAX(1915,MIN(2025,E273))),SUMIFS(Donnees_generations!$AB$3:$AB$113,Donnees_generations!$A$3:$A$113,MAX(1915,MIN(2025,E273))))+CHOOSE((AG273-56)/2+1,SUMIFS(Donnees_generations!$AC$3:$AC$113,Donnees_generations!$A$3:$A$113,MAX(1915,MIN(2025,E273))),SUMIFS(Donnees_generations!$AD$3:$AD$113,Donnees_generations!$A$3:$A$113,MAX(1915,MIN(2025,E273))),SUMIFS(Donnees_generations!$AE$3:$AE$113,Donnees_generations!$A$3:$A$113,MAX(1915,MIN(2025,E273))),SUMIFS(Donnees_generations!$AF$3:$AF$113,Donnees_generations!$A$3:$A$113,MAX(1915,MIN(2025,E273))),SUMIFS(Donnees_generations!$AG$3:$AG$113,Donnees_generations!$A$3:$A$113,MAX(1915,MIN(2025,E273))),SUMIFS(Donnees_generations!$AH$3:$AH$113,Donnees_generations!$A$3:$A$113,MAX(1915,MIN(2025,E273))),SUMIFS(Donnees_generations!$AI$3:$AI$113,Donnees_generations!$A$3:$A$113,MAX(1915,MIN(2025,E273))),SUMIFS(Donnees_generations!$AJ$3:$AJ$113,Donnees_generations!$A$3:$A$113,MAX(1915,MIN(2025,E273)))))/2</f>
        <v/>
      </c>
      <c r="AI273" s="75">
        <f>(CHOOSE(((AG273+2)-56)/2+1,SUMIFS(Donnees_generations!$U$3:$U$113,Donnees_generations!$A$3:$A$113,MAX(1915,MIN(2025,E273))),SUMIFS(Donnees_generations!$V$3:$V$113,Donnees_generations!$A$3:$A$113,MAX(1915,MIN(2025,E273))),SUMIFS(Donnees_generations!$W$3:$W$113,Donnees_generations!$A$3:$A$113,MAX(1915,MIN(2025,E273))),SUMIFS(Donnees_generations!$X$3:$X$113,Donnees_generations!$A$3:$A$113,MAX(1915,MIN(2025,E273))),SUMIFS(Donnees_generations!$Y$3:$Y$113,Donnees_generations!$A$3:$A$113,MAX(1915,MIN(2025,E273))),SUMIFS(Donnees_generations!$Z$3:$Z$113,Donnees_generations!$A$3:$A$113,MAX(1915,MIN(2025,E273))),SUMIFS(Donnees_generations!$AA$3:$AA$113,Donnees_generations!$A$3:$A$113,MAX(1915,MIN(2025,E273))),SUMIFS(Donnees_generations!$AB$3:$AB$113,Donnees_generations!$A$3:$A$113,MAX(1915,MIN(2025,E273))))+CHOOSE(((AG273+2)-56)/2+1,SUMIFS(Donnees_generations!$AC$3:$AC$113,Donnees_generations!$A$3:$A$113,MAX(1915,MIN(2025,E273))),SUMIFS(Donnees_generations!$AD$3:$AD$113,Donnees_generations!$A$3:$A$113,MAX(1915,MIN(2025,E273))),SUMIFS(Donnees_generations!$AE$3:$AE$113,Donnees_generations!$A$3:$A$113,MAX(1915,MIN(2025,E273))),SUMIFS(Donnees_generations!$AF$3:$AF$113,Donnees_generations!$A$3:$A$113,MAX(1915,MIN(2025,E273))),SUMIFS(Donnees_generations!$AG$3:$AG$113,Donnees_generations!$A$3:$A$113,MAX(1915,MIN(2025,E273))),SUMIFS(Donnees_generations!$AH$3:$AH$113,Donnees_generations!$A$3:$A$113,MAX(1915,MIN(2025,E273))),SUMIFS(Donnees_generations!$AI$3:$AI$113,Donnees_generations!$A$3:$A$113,MAX(1915,MIN(2025,E273))),SUMIFS(Donnees_generations!$AJ$3:$AJ$113,Donnees_generations!$A$3:$A$113,MAX(1915,MIN(2025,E273)))))/2</f>
        <v/>
      </c>
      <c r="AJ273" s="8">
        <f>MAX(0,AH273+(AI273-AH273)*(K273-AG273)/2)</f>
        <v/>
      </c>
      <c r="AK273" s="8">
        <f>K273+AJ273</f>
        <v/>
      </c>
      <c r="AL273" s="14">
        <f>AE273*AJ273</f>
        <v/>
      </c>
      <c r="AM273" s="17">
        <f>V273/AL273</f>
        <v/>
      </c>
      <c r="AN273" s="17">
        <f>Z273/AL273</f>
        <v/>
      </c>
      <c r="AO273" s="33">
        <f>IF(V273+Z273=0,0,Z273/(V273+Z273))</f>
        <v/>
      </c>
      <c r="AP273" s="14">
        <f>AL273/V273*100</f>
        <v/>
      </c>
      <c r="AQ273" s="8">
        <f>P273/AL273*1000</f>
        <v/>
      </c>
      <c r="AR273" s="77">
        <f>MAX(N273,M273-1)</f>
        <v/>
      </c>
      <c r="AS273" s="14">
        <f>SUMIFS(Donnees_regimes!$R$3:$R$1118,Donnees_regimes!$A$3:$A$1118,C273,Donnees_regimes!$B$3:$B$1118,"&gt;="&amp;G273,Donnees_regimes!$B$3:$B$1118,"&lt;="&amp;N273)*L273/ROUNDUP(L273,0)*SUMIFS(Donnees_annuelles!$AG$3:$AG$188,Donnees_annuelles!$A$3:$A$188,AR273)*SUMIFS(Donnees_annuelles!$AA$3:$AA$188,Donnees_annuelles!$A$3:$A$188,AR273)</f>
        <v/>
      </c>
      <c r="AT273" s="36">
        <f>AS273/V273</f>
        <v/>
      </c>
      <c r="AU273" s="14">
        <f>AL273</f>
        <v/>
      </c>
      <c r="AV273" s="39">
        <f>AS273-AL273</f>
        <v/>
      </c>
      <c r="AW273" s="9">
        <f>AS273/AL273-1</f>
        <v/>
      </c>
      <c r="AX273" s="14">
        <f>AS273/AJ273/12</f>
        <v/>
      </c>
      <c r="AY273" s="14">
        <f>AF273</f>
        <v/>
      </c>
      <c r="AZ273" s="39">
        <f>AX273-AF273</f>
        <v/>
      </c>
      <c r="BA273" s="14">
        <f>SUMIFS(Donnees_regimes!$S$3:$S$1118,Donnees_regimes!$A$3:$A$1118,C273,Donnees_regimes!$B$3:$B$1118,"&gt;="&amp;G273,Donnees_regimes!$B$3:$B$1118,"&lt;="&amp;N273)*L273/ROUNDUP(L273,0)*SUMIFS(Donnees_annuelles!$AH$3:$AH$188,Donnees_annuelles!$A$3:$A$188,AR273)*SUMIFS(Donnees_annuelles!$AA$3:$AA$188,Donnees_annuelles!$A$3:$A$188,AR273)</f>
        <v/>
      </c>
      <c r="BB273" s="39">
        <f>BA273-AL273</f>
        <v/>
      </c>
      <c r="BC273" s="7">
        <f>IF(M273+AJ273&gt;2026,IF(G273&gt;2026,"entièrement projeté","en partie projeté"),"observé")</f>
        <v/>
      </c>
    </row>
    <row r="274">
      <c r="A274" s="7" t="inlineStr">
        <is>
          <t>Génération Z</t>
        </is>
      </c>
      <c r="B274" s="84" t="inlineStr">
        <is>
          <t>Fonction publique territoriale et hospitalière</t>
        </is>
      </c>
      <c r="C274" s="7">
        <f>IF(G274&gt;=SUMIFS(Regimes!$C$5:$C$10,Regimes!$A$5:$A$10,B274),"Privé",B274)</f>
        <v/>
      </c>
      <c r="D274" s="7">
        <f>INDEX(Regimes!$D$5:$D$10,MATCH(C274,Regimes!$A$5:$A$10,0))</f>
        <v/>
      </c>
      <c r="E274" s="88" t="n">
        <v>2003</v>
      </c>
      <c r="F274" s="8">
        <f>Donnees_generations!C91</f>
        <v/>
      </c>
      <c r="G274" s="77">
        <f>Donnees_generations!D91</f>
        <v/>
      </c>
      <c r="H274" s="8">
        <f>SUMIFS(Donnees_generations!$S$3:$S$113,Donnees_generations!$A$3:$A$113,MAX(1915,MIN(2025,E274)))</f>
        <v/>
      </c>
      <c r="I274" s="8">
        <f>SUMIFS(Donnees_generations!$T$3:$T$113,Donnees_generations!$A$3:$A$113,MAX(1915,MIN(2025,E274)))</f>
        <v/>
      </c>
      <c r="J274" s="8">
        <f>IF(G274&gt;=2000,MAX(I274,Parametres!$B$3),I274)</f>
        <v/>
      </c>
      <c r="K274" s="8">
        <f>IF(C274="Privé",J274,SUMIFS(Regles_regimes!$J$3:$J$2000,Regles_regimes!$A$3:$A$2000,C274,Regles_regimes!$B$3:$B$2000,D274,Regles_regimes!$C$3:$C$2000,MAX(1915,MIN(2025,E274))))</f>
        <v/>
      </c>
      <c r="L274" s="8">
        <f>IF(C274="Privé",H274,(K274-F274)*H274/(J274-F274))</f>
        <v/>
      </c>
      <c r="M274" s="77">
        <f>INT(E274+K274)</f>
        <v/>
      </c>
      <c r="N274" s="77">
        <f>G274+ROUNDUP(L274,0)-1</f>
        <v/>
      </c>
      <c r="O274" s="89">
        <f>SUMIFS(Regles_regimes!$K$3:$K$2000,Regles_regimes!$A$3:$A$2000,C274,Regles_regimes!$B$3:$B$2000,D274,Regles_regimes!$C$3:$C$2000,MAX(1915,MIN(2025,E274)))</f>
        <v/>
      </c>
      <c r="P274" s="13">
        <f>SUMIFS(Donnees_annuelles!$W$3:$W$188,Donnees_annuelles!$A$3:$A$188,"&gt;="&amp;G274,Donnees_annuelles!$A$3:$A$188,"&lt;="&amp;N274)*L274/ROUNDUP(L274,0)*O274</f>
        <v/>
      </c>
      <c r="Q274" s="13">
        <f>SUMIFS(Donnees_annuelles!$V$3:$V$188,Donnees_annuelles!$A$3:$A$188,"&gt;="&amp;G274,Donnees_annuelles!$A$3:$A$188,"&lt;="&amp;N274)*L274/ROUNDUP(L274,0)</f>
        <v/>
      </c>
      <c r="R274" s="13">
        <f>P274/L274</f>
        <v/>
      </c>
      <c r="S274" s="14">
        <f>SUMIFS(Donnees_annuelles!$D$3:$D$188,Donnees_annuelles!$A$3:$A$188,"&gt;="&amp;G274,Donnees_annuelles!$A$3:$A$188,"&lt;="&amp;N274)*L274/ROUNDUP(L274,0)</f>
        <v/>
      </c>
      <c r="T274" s="14">
        <f>SUMIFS(Donnees_regimes!$N$3:$N$1118,Donnees_regimes!$A$3:$A$1118,C274,Donnees_regimes!$B$3:$B$1118,"&gt;="&amp;G274,Donnees_regimes!$B$3:$B$1118,"&lt;="&amp;N274)*L274/ROUNDUP(L274,0)</f>
        <v/>
      </c>
      <c r="U274" s="14">
        <f>SUMIFS(Donnees_regimes!$O$3:$O$1118,Donnees_regimes!$A$3:$A$1118,C274,Donnees_regimes!$B$3:$B$1118,"&gt;="&amp;G274,Donnees_regimes!$B$3:$B$1118,"&lt;="&amp;N274)*L274/ROUNDUP(L274,0)</f>
        <v/>
      </c>
      <c r="V274" s="14">
        <f>T274+U274</f>
        <v/>
      </c>
      <c r="W274" s="33">
        <f>V274/S274</f>
        <v/>
      </c>
      <c r="X274" s="14">
        <f>S274+U274</f>
        <v/>
      </c>
      <c r="Y274" s="17">
        <f>V274/P274</f>
        <v/>
      </c>
      <c r="Z274" s="14">
        <f>SUMIFS(Donnees_regimes!$Q$3:$Q$1118,Donnees_regimes!$A$3:$A$1118,C274,Donnees_regimes!$B$3:$B$1118,"&gt;="&amp;G274,Donnees_regimes!$B$3:$B$1118,"&lt;="&amp;N274)*L274/ROUNDUP(L274,0)</f>
        <v/>
      </c>
      <c r="AA274" s="77">
        <f>SUMIFS(Regles_regimes!$F$3:$F$2000,Regles_regimes!$A$3:$A$2000,C274,Regles_regimes!$B$3:$B$2000,D274,Regles_regimes!$C$3:$C$2000,MAX(1915,MIN(2025,E274)))</f>
        <v/>
      </c>
      <c r="AB274" s="77">
        <f>IF(AND(SUMIFS(Regles_regimes!$L$3:$L$2000,Regles_regimes!$A$3:$A$2000,C274,Regles_regimes!$B$3:$B$2000,D274,Regles_regimes!$C$3:$C$2000,MAX(1915,MIN(2025,E274)))=1,G274&lt;2009,C274&lt;&gt;"Privé"),MIN(20,L274*4/5),0)</f>
        <v/>
      </c>
      <c r="AC274" s="89">
        <f>SUMIFS(Donnees_regimes!$M$3:$M$1118,Donnees_regimes!$A$3:$A$1118,C274,Donnees_regimes!$B$3:$B$1118,M274)</f>
        <v/>
      </c>
      <c r="AD274" s="14">
        <f>SUMIFS(Donnees_annuelles!$Y$3:$Y$188,Donnees_annuelles!$A$3:$A$188,M274)*SUMIFS(Donnees_generations!$I$3:$I$113,Donnees_generations!$A$3:$A$113,MAX(1915,MIN(2025,E274)))/H274</f>
        <v/>
      </c>
      <c r="AE274" s="14">
        <f>IF(C274="Privé",SUMIFS(Donnees_annuelles!$Y$3:$Y$188,Donnees_annuelles!$A$3:$A$188,M274)*MIN(L274,SUMIFS(Donnees_generations!$I$3:$I$113,Donnees_generations!$A$3:$A$113,MAX(1915,MIN(2025,E274))))/L274,AD274*AC274*MIN(IF(AB274&gt;0,0.8/0.75,1),(L274*4+AB274)/AA274))</f>
        <v/>
      </c>
      <c r="AF274" s="14">
        <f>AE274/12</f>
        <v/>
      </c>
      <c r="AG274" s="77">
        <f>MIN(68,MAX(56,2*INT(K274/2)))</f>
        <v/>
      </c>
      <c r="AH274" s="75">
        <f>(CHOOSE((AG274-56)/2+1,SUMIFS(Donnees_generations!$U$3:$U$113,Donnees_generations!$A$3:$A$113,MAX(1915,MIN(2025,E274))),SUMIFS(Donnees_generations!$V$3:$V$113,Donnees_generations!$A$3:$A$113,MAX(1915,MIN(2025,E274))),SUMIFS(Donnees_generations!$W$3:$W$113,Donnees_generations!$A$3:$A$113,MAX(1915,MIN(2025,E274))),SUMIFS(Donnees_generations!$X$3:$X$113,Donnees_generations!$A$3:$A$113,MAX(1915,MIN(2025,E274))),SUMIFS(Donnees_generations!$Y$3:$Y$113,Donnees_generations!$A$3:$A$113,MAX(1915,MIN(2025,E274))),SUMIFS(Donnees_generations!$Z$3:$Z$113,Donnees_generations!$A$3:$A$113,MAX(1915,MIN(2025,E274))),SUMIFS(Donnees_generations!$AA$3:$AA$113,Donnees_generations!$A$3:$A$113,MAX(1915,MIN(2025,E274))),SUMIFS(Donnees_generations!$AB$3:$AB$113,Donnees_generations!$A$3:$A$113,MAX(1915,MIN(2025,E274))))+CHOOSE((AG274-56)/2+1,SUMIFS(Donnees_generations!$AC$3:$AC$113,Donnees_generations!$A$3:$A$113,MAX(1915,MIN(2025,E274))),SUMIFS(Donnees_generations!$AD$3:$AD$113,Donnees_generations!$A$3:$A$113,MAX(1915,MIN(2025,E274))),SUMIFS(Donnees_generations!$AE$3:$AE$113,Donnees_generations!$A$3:$A$113,MAX(1915,MIN(2025,E274))),SUMIFS(Donnees_generations!$AF$3:$AF$113,Donnees_generations!$A$3:$A$113,MAX(1915,MIN(2025,E274))),SUMIFS(Donnees_generations!$AG$3:$AG$113,Donnees_generations!$A$3:$A$113,MAX(1915,MIN(2025,E274))),SUMIFS(Donnees_generations!$AH$3:$AH$113,Donnees_generations!$A$3:$A$113,MAX(1915,MIN(2025,E274))),SUMIFS(Donnees_generations!$AI$3:$AI$113,Donnees_generations!$A$3:$A$113,MAX(1915,MIN(2025,E274))),SUMIFS(Donnees_generations!$AJ$3:$AJ$113,Donnees_generations!$A$3:$A$113,MAX(1915,MIN(2025,E274)))))/2</f>
        <v/>
      </c>
      <c r="AI274" s="75">
        <f>(CHOOSE(((AG274+2)-56)/2+1,SUMIFS(Donnees_generations!$U$3:$U$113,Donnees_generations!$A$3:$A$113,MAX(1915,MIN(2025,E274))),SUMIFS(Donnees_generations!$V$3:$V$113,Donnees_generations!$A$3:$A$113,MAX(1915,MIN(2025,E274))),SUMIFS(Donnees_generations!$W$3:$W$113,Donnees_generations!$A$3:$A$113,MAX(1915,MIN(2025,E274))),SUMIFS(Donnees_generations!$X$3:$X$113,Donnees_generations!$A$3:$A$113,MAX(1915,MIN(2025,E274))),SUMIFS(Donnees_generations!$Y$3:$Y$113,Donnees_generations!$A$3:$A$113,MAX(1915,MIN(2025,E274))),SUMIFS(Donnees_generations!$Z$3:$Z$113,Donnees_generations!$A$3:$A$113,MAX(1915,MIN(2025,E274))),SUMIFS(Donnees_generations!$AA$3:$AA$113,Donnees_generations!$A$3:$A$113,MAX(1915,MIN(2025,E274))),SUMIFS(Donnees_generations!$AB$3:$AB$113,Donnees_generations!$A$3:$A$113,MAX(1915,MIN(2025,E274))))+CHOOSE(((AG274+2)-56)/2+1,SUMIFS(Donnees_generations!$AC$3:$AC$113,Donnees_generations!$A$3:$A$113,MAX(1915,MIN(2025,E274))),SUMIFS(Donnees_generations!$AD$3:$AD$113,Donnees_generations!$A$3:$A$113,MAX(1915,MIN(2025,E274))),SUMIFS(Donnees_generations!$AE$3:$AE$113,Donnees_generations!$A$3:$A$113,MAX(1915,MIN(2025,E274))),SUMIFS(Donnees_generations!$AF$3:$AF$113,Donnees_generations!$A$3:$A$113,MAX(1915,MIN(2025,E274))),SUMIFS(Donnees_generations!$AG$3:$AG$113,Donnees_generations!$A$3:$A$113,MAX(1915,MIN(2025,E274))),SUMIFS(Donnees_generations!$AH$3:$AH$113,Donnees_generations!$A$3:$A$113,MAX(1915,MIN(2025,E274))),SUMIFS(Donnees_generations!$AI$3:$AI$113,Donnees_generations!$A$3:$A$113,MAX(1915,MIN(2025,E274))),SUMIFS(Donnees_generations!$AJ$3:$AJ$113,Donnees_generations!$A$3:$A$113,MAX(1915,MIN(2025,E274)))))/2</f>
        <v/>
      </c>
      <c r="AJ274" s="8">
        <f>MAX(0,AH274+(AI274-AH274)*(K274-AG274)/2)</f>
        <v/>
      </c>
      <c r="AK274" s="8">
        <f>K274+AJ274</f>
        <v/>
      </c>
      <c r="AL274" s="14">
        <f>AE274*AJ274</f>
        <v/>
      </c>
      <c r="AM274" s="17">
        <f>V274/AL274</f>
        <v/>
      </c>
      <c r="AN274" s="17">
        <f>Z274/AL274</f>
        <v/>
      </c>
      <c r="AO274" s="33">
        <f>IF(V274+Z274=0,0,Z274/(V274+Z274))</f>
        <v/>
      </c>
      <c r="AP274" s="14">
        <f>AL274/V274*100</f>
        <v/>
      </c>
      <c r="AQ274" s="8">
        <f>P274/AL274*1000</f>
        <v/>
      </c>
      <c r="AR274" s="77">
        <f>MAX(N274,M274-1)</f>
        <v/>
      </c>
      <c r="AS274" s="14">
        <f>SUMIFS(Donnees_regimes!$R$3:$R$1118,Donnees_regimes!$A$3:$A$1118,C274,Donnees_regimes!$B$3:$B$1118,"&gt;="&amp;G274,Donnees_regimes!$B$3:$B$1118,"&lt;="&amp;N274)*L274/ROUNDUP(L274,0)*SUMIFS(Donnees_annuelles!$AG$3:$AG$188,Donnees_annuelles!$A$3:$A$188,AR274)*SUMIFS(Donnees_annuelles!$AA$3:$AA$188,Donnees_annuelles!$A$3:$A$188,AR274)</f>
        <v/>
      </c>
      <c r="AT274" s="36">
        <f>AS274/V274</f>
        <v/>
      </c>
      <c r="AU274" s="14">
        <f>AL274</f>
        <v/>
      </c>
      <c r="AV274" s="39">
        <f>AS274-AL274</f>
        <v/>
      </c>
      <c r="AW274" s="9">
        <f>AS274/AL274-1</f>
        <v/>
      </c>
      <c r="AX274" s="14">
        <f>AS274/AJ274/12</f>
        <v/>
      </c>
      <c r="AY274" s="14">
        <f>AF274</f>
        <v/>
      </c>
      <c r="AZ274" s="39">
        <f>AX274-AF274</f>
        <v/>
      </c>
      <c r="BA274" s="14">
        <f>SUMIFS(Donnees_regimes!$S$3:$S$1118,Donnees_regimes!$A$3:$A$1118,C274,Donnees_regimes!$B$3:$B$1118,"&gt;="&amp;G274,Donnees_regimes!$B$3:$B$1118,"&lt;="&amp;N274)*L274/ROUNDUP(L274,0)*SUMIFS(Donnees_annuelles!$AH$3:$AH$188,Donnees_annuelles!$A$3:$A$188,AR274)*SUMIFS(Donnees_annuelles!$AA$3:$AA$188,Donnees_annuelles!$A$3:$A$188,AR274)</f>
        <v/>
      </c>
      <c r="BB274" s="39">
        <f>BA274-AL274</f>
        <v/>
      </c>
      <c r="BC274" s="7">
        <f>IF(M274+AJ274&gt;2026,IF(G274&gt;2026,"entièrement projeté","en partie projeté"),"observé")</f>
        <v/>
      </c>
    </row>
    <row r="275">
      <c r="A275" s="7" t="inlineStr">
        <is>
          <t>Génération Z</t>
        </is>
      </c>
      <c r="B275" s="84" t="inlineStr">
        <is>
          <t>Fonction publique territoriale et hospitalière</t>
        </is>
      </c>
      <c r="C275" s="7">
        <f>IF(G275&gt;=SUMIFS(Regimes!$C$5:$C$10,Regimes!$A$5:$A$10,B275),"Privé",B275)</f>
        <v/>
      </c>
      <c r="D275" s="7">
        <f>INDEX(Regimes!$D$5:$D$10,MATCH(C275,Regimes!$A$5:$A$10,0))</f>
        <v/>
      </c>
      <c r="E275" s="88" t="n">
        <v>2004</v>
      </c>
      <c r="F275" s="8">
        <f>Donnees_generations!C92</f>
        <v/>
      </c>
      <c r="G275" s="77">
        <f>Donnees_generations!D92</f>
        <v/>
      </c>
      <c r="H275" s="8">
        <f>SUMIFS(Donnees_generations!$S$3:$S$113,Donnees_generations!$A$3:$A$113,MAX(1915,MIN(2025,E275)))</f>
        <v/>
      </c>
      <c r="I275" s="8">
        <f>SUMIFS(Donnees_generations!$T$3:$T$113,Donnees_generations!$A$3:$A$113,MAX(1915,MIN(2025,E275)))</f>
        <v/>
      </c>
      <c r="J275" s="8">
        <f>IF(G275&gt;=2000,MAX(I275,Parametres!$B$3),I275)</f>
        <v/>
      </c>
      <c r="K275" s="8">
        <f>IF(C275="Privé",J275,SUMIFS(Regles_regimes!$J$3:$J$2000,Regles_regimes!$A$3:$A$2000,C275,Regles_regimes!$B$3:$B$2000,D275,Regles_regimes!$C$3:$C$2000,MAX(1915,MIN(2025,E275))))</f>
        <v/>
      </c>
      <c r="L275" s="8">
        <f>IF(C275="Privé",H275,(K275-F275)*H275/(J275-F275))</f>
        <v/>
      </c>
      <c r="M275" s="77">
        <f>INT(E275+K275)</f>
        <v/>
      </c>
      <c r="N275" s="77">
        <f>G275+ROUNDUP(L275,0)-1</f>
        <v/>
      </c>
      <c r="O275" s="89">
        <f>SUMIFS(Regles_regimes!$K$3:$K$2000,Regles_regimes!$A$3:$A$2000,C275,Regles_regimes!$B$3:$B$2000,D275,Regles_regimes!$C$3:$C$2000,MAX(1915,MIN(2025,E275)))</f>
        <v/>
      </c>
      <c r="P275" s="13">
        <f>SUMIFS(Donnees_annuelles!$W$3:$W$188,Donnees_annuelles!$A$3:$A$188,"&gt;="&amp;G275,Donnees_annuelles!$A$3:$A$188,"&lt;="&amp;N275)*L275/ROUNDUP(L275,0)*O275</f>
        <v/>
      </c>
      <c r="Q275" s="13">
        <f>SUMIFS(Donnees_annuelles!$V$3:$V$188,Donnees_annuelles!$A$3:$A$188,"&gt;="&amp;G275,Donnees_annuelles!$A$3:$A$188,"&lt;="&amp;N275)*L275/ROUNDUP(L275,0)</f>
        <v/>
      </c>
      <c r="R275" s="13">
        <f>P275/L275</f>
        <v/>
      </c>
      <c r="S275" s="14">
        <f>SUMIFS(Donnees_annuelles!$D$3:$D$188,Donnees_annuelles!$A$3:$A$188,"&gt;="&amp;G275,Donnees_annuelles!$A$3:$A$188,"&lt;="&amp;N275)*L275/ROUNDUP(L275,0)</f>
        <v/>
      </c>
      <c r="T275" s="14">
        <f>SUMIFS(Donnees_regimes!$N$3:$N$1118,Donnees_regimes!$A$3:$A$1118,C275,Donnees_regimes!$B$3:$B$1118,"&gt;="&amp;G275,Donnees_regimes!$B$3:$B$1118,"&lt;="&amp;N275)*L275/ROUNDUP(L275,0)</f>
        <v/>
      </c>
      <c r="U275" s="14">
        <f>SUMIFS(Donnees_regimes!$O$3:$O$1118,Donnees_regimes!$A$3:$A$1118,C275,Donnees_regimes!$B$3:$B$1118,"&gt;="&amp;G275,Donnees_regimes!$B$3:$B$1118,"&lt;="&amp;N275)*L275/ROUNDUP(L275,0)</f>
        <v/>
      </c>
      <c r="V275" s="14">
        <f>T275+U275</f>
        <v/>
      </c>
      <c r="W275" s="33">
        <f>V275/S275</f>
        <v/>
      </c>
      <c r="X275" s="14">
        <f>S275+U275</f>
        <v/>
      </c>
      <c r="Y275" s="17">
        <f>V275/P275</f>
        <v/>
      </c>
      <c r="Z275" s="14">
        <f>SUMIFS(Donnees_regimes!$Q$3:$Q$1118,Donnees_regimes!$A$3:$A$1118,C275,Donnees_regimes!$B$3:$B$1118,"&gt;="&amp;G275,Donnees_regimes!$B$3:$B$1118,"&lt;="&amp;N275)*L275/ROUNDUP(L275,0)</f>
        <v/>
      </c>
      <c r="AA275" s="77">
        <f>SUMIFS(Regles_regimes!$F$3:$F$2000,Regles_regimes!$A$3:$A$2000,C275,Regles_regimes!$B$3:$B$2000,D275,Regles_regimes!$C$3:$C$2000,MAX(1915,MIN(2025,E275)))</f>
        <v/>
      </c>
      <c r="AB275" s="77">
        <f>IF(AND(SUMIFS(Regles_regimes!$L$3:$L$2000,Regles_regimes!$A$3:$A$2000,C275,Regles_regimes!$B$3:$B$2000,D275,Regles_regimes!$C$3:$C$2000,MAX(1915,MIN(2025,E275)))=1,G275&lt;2009,C275&lt;&gt;"Privé"),MIN(20,L275*4/5),0)</f>
        <v/>
      </c>
      <c r="AC275" s="89">
        <f>SUMIFS(Donnees_regimes!$M$3:$M$1118,Donnees_regimes!$A$3:$A$1118,C275,Donnees_regimes!$B$3:$B$1118,M275)</f>
        <v/>
      </c>
      <c r="AD275" s="14">
        <f>SUMIFS(Donnees_annuelles!$Y$3:$Y$188,Donnees_annuelles!$A$3:$A$188,M275)*SUMIFS(Donnees_generations!$I$3:$I$113,Donnees_generations!$A$3:$A$113,MAX(1915,MIN(2025,E275)))/H275</f>
        <v/>
      </c>
      <c r="AE275" s="14">
        <f>IF(C275="Privé",SUMIFS(Donnees_annuelles!$Y$3:$Y$188,Donnees_annuelles!$A$3:$A$188,M275)*MIN(L275,SUMIFS(Donnees_generations!$I$3:$I$113,Donnees_generations!$A$3:$A$113,MAX(1915,MIN(2025,E275))))/L275,AD275*AC275*MIN(IF(AB275&gt;0,0.8/0.75,1),(L275*4+AB275)/AA275))</f>
        <v/>
      </c>
      <c r="AF275" s="14">
        <f>AE275/12</f>
        <v/>
      </c>
      <c r="AG275" s="77">
        <f>MIN(68,MAX(56,2*INT(K275/2)))</f>
        <v/>
      </c>
      <c r="AH275" s="75">
        <f>(CHOOSE((AG275-56)/2+1,SUMIFS(Donnees_generations!$U$3:$U$113,Donnees_generations!$A$3:$A$113,MAX(1915,MIN(2025,E275))),SUMIFS(Donnees_generations!$V$3:$V$113,Donnees_generations!$A$3:$A$113,MAX(1915,MIN(2025,E275))),SUMIFS(Donnees_generations!$W$3:$W$113,Donnees_generations!$A$3:$A$113,MAX(1915,MIN(2025,E275))),SUMIFS(Donnees_generations!$X$3:$X$113,Donnees_generations!$A$3:$A$113,MAX(1915,MIN(2025,E275))),SUMIFS(Donnees_generations!$Y$3:$Y$113,Donnees_generations!$A$3:$A$113,MAX(1915,MIN(2025,E275))),SUMIFS(Donnees_generations!$Z$3:$Z$113,Donnees_generations!$A$3:$A$113,MAX(1915,MIN(2025,E275))),SUMIFS(Donnees_generations!$AA$3:$AA$113,Donnees_generations!$A$3:$A$113,MAX(1915,MIN(2025,E275))),SUMIFS(Donnees_generations!$AB$3:$AB$113,Donnees_generations!$A$3:$A$113,MAX(1915,MIN(2025,E275))))+CHOOSE((AG275-56)/2+1,SUMIFS(Donnees_generations!$AC$3:$AC$113,Donnees_generations!$A$3:$A$113,MAX(1915,MIN(2025,E275))),SUMIFS(Donnees_generations!$AD$3:$AD$113,Donnees_generations!$A$3:$A$113,MAX(1915,MIN(2025,E275))),SUMIFS(Donnees_generations!$AE$3:$AE$113,Donnees_generations!$A$3:$A$113,MAX(1915,MIN(2025,E275))),SUMIFS(Donnees_generations!$AF$3:$AF$113,Donnees_generations!$A$3:$A$113,MAX(1915,MIN(2025,E275))),SUMIFS(Donnees_generations!$AG$3:$AG$113,Donnees_generations!$A$3:$A$113,MAX(1915,MIN(2025,E275))),SUMIFS(Donnees_generations!$AH$3:$AH$113,Donnees_generations!$A$3:$A$113,MAX(1915,MIN(2025,E275))),SUMIFS(Donnees_generations!$AI$3:$AI$113,Donnees_generations!$A$3:$A$113,MAX(1915,MIN(2025,E275))),SUMIFS(Donnees_generations!$AJ$3:$AJ$113,Donnees_generations!$A$3:$A$113,MAX(1915,MIN(2025,E275)))))/2</f>
        <v/>
      </c>
      <c r="AI275" s="75">
        <f>(CHOOSE(((AG275+2)-56)/2+1,SUMIFS(Donnees_generations!$U$3:$U$113,Donnees_generations!$A$3:$A$113,MAX(1915,MIN(2025,E275))),SUMIFS(Donnees_generations!$V$3:$V$113,Donnees_generations!$A$3:$A$113,MAX(1915,MIN(2025,E275))),SUMIFS(Donnees_generations!$W$3:$W$113,Donnees_generations!$A$3:$A$113,MAX(1915,MIN(2025,E275))),SUMIFS(Donnees_generations!$X$3:$X$113,Donnees_generations!$A$3:$A$113,MAX(1915,MIN(2025,E275))),SUMIFS(Donnees_generations!$Y$3:$Y$113,Donnees_generations!$A$3:$A$113,MAX(1915,MIN(2025,E275))),SUMIFS(Donnees_generations!$Z$3:$Z$113,Donnees_generations!$A$3:$A$113,MAX(1915,MIN(2025,E275))),SUMIFS(Donnees_generations!$AA$3:$AA$113,Donnees_generations!$A$3:$A$113,MAX(1915,MIN(2025,E275))),SUMIFS(Donnees_generations!$AB$3:$AB$113,Donnees_generations!$A$3:$A$113,MAX(1915,MIN(2025,E275))))+CHOOSE(((AG275+2)-56)/2+1,SUMIFS(Donnees_generations!$AC$3:$AC$113,Donnees_generations!$A$3:$A$113,MAX(1915,MIN(2025,E275))),SUMIFS(Donnees_generations!$AD$3:$AD$113,Donnees_generations!$A$3:$A$113,MAX(1915,MIN(2025,E275))),SUMIFS(Donnees_generations!$AE$3:$AE$113,Donnees_generations!$A$3:$A$113,MAX(1915,MIN(2025,E275))),SUMIFS(Donnees_generations!$AF$3:$AF$113,Donnees_generations!$A$3:$A$113,MAX(1915,MIN(2025,E275))),SUMIFS(Donnees_generations!$AG$3:$AG$113,Donnees_generations!$A$3:$A$113,MAX(1915,MIN(2025,E275))),SUMIFS(Donnees_generations!$AH$3:$AH$113,Donnees_generations!$A$3:$A$113,MAX(1915,MIN(2025,E275))),SUMIFS(Donnees_generations!$AI$3:$AI$113,Donnees_generations!$A$3:$A$113,MAX(1915,MIN(2025,E275))),SUMIFS(Donnees_generations!$AJ$3:$AJ$113,Donnees_generations!$A$3:$A$113,MAX(1915,MIN(2025,E275)))))/2</f>
        <v/>
      </c>
      <c r="AJ275" s="8">
        <f>MAX(0,AH275+(AI275-AH275)*(K275-AG275)/2)</f>
        <v/>
      </c>
      <c r="AK275" s="8">
        <f>K275+AJ275</f>
        <v/>
      </c>
      <c r="AL275" s="14">
        <f>AE275*AJ275</f>
        <v/>
      </c>
      <c r="AM275" s="17">
        <f>V275/AL275</f>
        <v/>
      </c>
      <c r="AN275" s="17">
        <f>Z275/AL275</f>
        <v/>
      </c>
      <c r="AO275" s="33">
        <f>IF(V275+Z275=0,0,Z275/(V275+Z275))</f>
        <v/>
      </c>
      <c r="AP275" s="14">
        <f>AL275/V275*100</f>
        <v/>
      </c>
      <c r="AQ275" s="8">
        <f>P275/AL275*1000</f>
        <v/>
      </c>
      <c r="AR275" s="77">
        <f>MAX(N275,M275-1)</f>
        <v/>
      </c>
      <c r="AS275" s="14">
        <f>SUMIFS(Donnees_regimes!$R$3:$R$1118,Donnees_regimes!$A$3:$A$1118,C275,Donnees_regimes!$B$3:$B$1118,"&gt;="&amp;G275,Donnees_regimes!$B$3:$B$1118,"&lt;="&amp;N275)*L275/ROUNDUP(L275,0)*SUMIFS(Donnees_annuelles!$AG$3:$AG$188,Donnees_annuelles!$A$3:$A$188,AR275)*SUMIFS(Donnees_annuelles!$AA$3:$AA$188,Donnees_annuelles!$A$3:$A$188,AR275)</f>
        <v/>
      </c>
      <c r="AT275" s="36">
        <f>AS275/V275</f>
        <v/>
      </c>
      <c r="AU275" s="14">
        <f>AL275</f>
        <v/>
      </c>
      <c r="AV275" s="39">
        <f>AS275-AL275</f>
        <v/>
      </c>
      <c r="AW275" s="9">
        <f>AS275/AL275-1</f>
        <v/>
      </c>
      <c r="AX275" s="14">
        <f>AS275/AJ275/12</f>
        <v/>
      </c>
      <c r="AY275" s="14">
        <f>AF275</f>
        <v/>
      </c>
      <c r="AZ275" s="39">
        <f>AX275-AF275</f>
        <v/>
      </c>
      <c r="BA275" s="14">
        <f>SUMIFS(Donnees_regimes!$S$3:$S$1118,Donnees_regimes!$A$3:$A$1118,C275,Donnees_regimes!$B$3:$B$1118,"&gt;="&amp;G275,Donnees_regimes!$B$3:$B$1118,"&lt;="&amp;N275)*L275/ROUNDUP(L275,0)*SUMIFS(Donnees_annuelles!$AH$3:$AH$188,Donnees_annuelles!$A$3:$A$188,AR275)*SUMIFS(Donnees_annuelles!$AA$3:$AA$188,Donnees_annuelles!$A$3:$A$188,AR275)</f>
        <v/>
      </c>
      <c r="BB275" s="39">
        <f>BA275-AL275</f>
        <v/>
      </c>
      <c r="BC275" s="7">
        <f>IF(M275+AJ275&gt;2026,IF(G275&gt;2026,"entièrement projeté","en partie projeté"),"observé")</f>
        <v/>
      </c>
    </row>
    <row r="276">
      <c r="A276" s="7" t="inlineStr">
        <is>
          <t>Génération Z</t>
        </is>
      </c>
      <c r="B276" s="84" t="inlineStr">
        <is>
          <t>Fonction publique territoriale et hospitalière</t>
        </is>
      </c>
      <c r="C276" s="7">
        <f>IF(G276&gt;=SUMIFS(Regimes!$C$5:$C$10,Regimes!$A$5:$A$10,B276),"Privé",B276)</f>
        <v/>
      </c>
      <c r="D276" s="7">
        <f>INDEX(Regimes!$D$5:$D$10,MATCH(C276,Regimes!$A$5:$A$10,0))</f>
        <v/>
      </c>
      <c r="E276" s="88" t="n">
        <v>2005</v>
      </c>
      <c r="F276" s="8">
        <f>Donnees_generations!C93</f>
        <v/>
      </c>
      <c r="G276" s="77">
        <f>Donnees_generations!D93</f>
        <v/>
      </c>
      <c r="H276" s="8">
        <f>SUMIFS(Donnees_generations!$S$3:$S$113,Donnees_generations!$A$3:$A$113,MAX(1915,MIN(2025,E276)))</f>
        <v/>
      </c>
      <c r="I276" s="8">
        <f>SUMIFS(Donnees_generations!$T$3:$T$113,Donnees_generations!$A$3:$A$113,MAX(1915,MIN(2025,E276)))</f>
        <v/>
      </c>
      <c r="J276" s="8">
        <f>IF(G276&gt;=2000,MAX(I276,Parametres!$B$3),I276)</f>
        <v/>
      </c>
      <c r="K276" s="8">
        <f>IF(C276="Privé",J276,SUMIFS(Regles_regimes!$J$3:$J$2000,Regles_regimes!$A$3:$A$2000,C276,Regles_regimes!$B$3:$B$2000,D276,Regles_regimes!$C$3:$C$2000,MAX(1915,MIN(2025,E276))))</f>
        <v/>
      </c>
      <c r="L276" s="8">
        <f>IF(C276="Privé",H276,(K276-F276)*H276/(J276-F276))</f>
        <v/>
      </c>
      <c r="M276" s="77">
        <f>INT(E276+K276)</f>
        <v/>
      </c>
      <c r="N276" s="77">
        <f>G276+ROUNDUP(L276,0)-1</f>
        <v/>
      </c>
      <c r="O276" s="89">
        <f>SUMIFS(Regles_regimes!$K$3:$K$2000,Regles_regimes!$A$3:$A$2000,C276,Regles_regimes!$B$3:$B$2000,D276,Regles_regimes!$C$3:$C$2000,MAX(1915,MIN(2025,E276)))</f>
        <v/>
      </c>
      <c r="P276" s="13">
        <f>SUMIFS(Donnees_annuelles!$W$3:$W$188,Donnees_annuelles!$A$3:$A$188,"&gt;="&amp;G276,Donnees_annuelles!$A$3:$A$188,"&lt;="&amp;N276)*L276/ROUNDUP(L276,0)*O276</f>
        <v/>
      </c>
      <c r="Q276" s="13">
        <f>SUMIFS(Donnees_annuelles!$V$3:$V$188,Donnees_annuelles!$A$3:$A$188,"&gt;="&amp;G276,Donnees_annuelles!$A$3:$A$188,"&lt;="&amp;N276)*L276/ROUNDUP(L276,0)</f>
        <v/>
      </c>
      <c r="R276" s="13">
        <f>P276/L276</f>
        <v/>
      </c>
      <c r="S276" s="14">
        <f>SUMIFS(Donnees_annuelles!$D$3:$D$188,Donnees_annuelles!$A$3:$A$188,"&gt;="&amp;G276,Donnees_annuelles!$A$3:$A$188,"&lt;="&amp;N276)*L276/ROUNDUP(L276,0)</f>
        <v/>
      </c>
      <c r="T276" s="14">
        <f>SUMIFS(Donnees_regimes!$N$3:$N$1118,Donnees_regimes!$A$3:$A$1118,C276,Donnees_regimes!$B$3:$B$1118,"&gt;="&amp;G276,Donnees_regimes!$B$3:$B$1118,"&lt;="&amp;N276)*L276/ROUNDUP(L276,0)</f>
        <v/>
      </c>
      <c r="U276" s="14">
        <f>SUMIFS(Donnees_regimes!$O$3:$O$1118,Donnees_regimes!$A$3:$A$1118,C276,Donnees_regimes!$B$3:$B$1118,"&gt;="&amp;G276,Donnees_regimes!$B$3:$B$1118,"&lt;="&amp;N276)*L276/ROUNDUP(L276,0)</f>
        <v/>
      </c>
      <c r="V276" s="14">
        <f>T276+U276</f>
        <v/>
      </c>
      <c r="W276" s="33">
        <f>V276/S276</f>
        <v/>
      </c>
      <c r="X276" s="14">
        <f>S276+U276</f>
        <v/>
      </c>
      <c r="Y276" s="17">
        <f>V276/P276</f>
        <v/>
      </c>
      <c r="Z276" s="14">
        <f>SUMIFS(Donnees_regimes!$Q$3:$Q$1118,Donnees_regimes!$A$3:$A$1118,C276,Donnees_regimes!$B$3:$B$1118,"&gt;="&amp;G276,Donnees_regimes!$B$3:$B$1118,"&lt;="&amp;N276)*L276/ROUNDUP(L276,0)</f>
        <v/>
      </c>
      <c r="AA276" s="77">
        <f>SUMIFS(Regles_regimes!$F$3:$F$2000,Regles_regimes!$A$3:$A$2000,C276,Regles_regimes!$B$3:$B$2000,D276,Regles_regimes!$C$3:$C$2000,MAX(1915,MIN(2025,E276)))</f>
        <v/>
      </c>
      <c r="AB276" s="77">
        <f>IF(AND(SUMIFS(Regles_regimes!$L$3:$L$2000,Regles_regimes!$A$3:$A$2000,C276,Regles_regimes!$B$3:$B$2000,D276,Regles_regimes!$C$3:$C$2000,MAX(1915,MIN(2025,E276)))=1,G276&lt;2009,C276&lt;&gt;"Privé"),MIN(20,L276*4/5),0)</f>
        <v/>
      </c>
      <c r="AC276" s="89">
        <f>SUMIFS(Donnees_regimes!$M$3:$M$1118,Donnees_regimes!$A$3:$A$1118,C276,Donnees_regimes!$B$3:$B$1118,M276)</f>
        <v/>
      </c>
      <c r="AD276" s="14">
        <f>SUMIFS(Donnees_annuelles!$Y$3:$Y$188,Donnees_annuelles!$A$3:$A$188,M276)*SUMIFS(Donnees_generations!$I$3:$I$113,Donnees_generations!$A$3:$A$113,MAX(1915,MIN(2025,E276)))/H276</f>
        <v/>
      </c>
      <c r="AE276" s="14">
        <f>IF(C276="Privé",SUMIFS(Donnees_annuelles!$Y$3:$Y$188,Donnees_annuelles!$A$3:$A$188,M276)*MIN(L276,SUMIFS(Donnees_generations!$I$3:$I$113,Donnees_generations!$A$3:$A$113,MAX(1915,MIN(2025,E276))))/L276,AD276*AC276*MIN(IF(AB276&gt;0,0.8/0.75,1),(L276*4+AB276)/AA276))</f>
        <v/>
      </c>
      <c r="AF276" s="14">
        <f>AE276/12</f>
        <v/>
      </c>
      <c r="AG276" s="77">
        <f>MIN(68,MAX(56,2*INT(K276/2)))</f>
        <v/>
      </c>
      <c r="AH276" s="75">
        <f>(CHOOSE((AG276-56)/2+1,SUMIFS(Donnees_generations!$U$3:$U$113,Donnees_generations!$A$3:$A$113,MAX(1915,MIN(2025,E276))),SUMIFS(Donnees_generations!$V$3:$V$113,Donnees_generations!$A$3:$A$113,MAX(1915,MIN(2025,E276))),SUMIFS(Donnees_generations!$W$3:$W$113,Donnees_generations!$A$3:$A$113,MAX(1915,MIN(2025,E276))),SUMIFS(Donnees_generations!$X$3:$X$113,Donnees_generations!$A$3:$A$113,MAX(1915,MIN(2025,E276))),SUMIFS(Donnees_generations!$Y$3:$Y$113,Donnees_generations!$A$3:$A$113,MAX(1915,MIN(2025,E276))),SUMIFS(Donnees_generations!$Z$3:$Z$113,Donnees_generations!$A$3:$A$113,MAX(1915,MIN(2025,E276))),SUMIFS(Donnees_generations!$AA$3:$AA$113,Donnees_generations!$A$3:$A$113,MAX(1915,MIN(2025,E276))),SUMIFS(Donnees_generations!$AB$3:$AB$113,Donnees_generations!$A$3:$A$113,MAX(1915,MIN(2025,E276))))+CHOOSE((AG276-56)/2+1,SUMIFS(Donnees_generations!$AC$3:$AC$113,Donnees_generations!$A$3:$A$113,MAX(1915,MIN(2025,E276))),SUMIFS(Donnees_generations!$AD$3:$AD$113,Donnees_generations!$A$3:$A$113,MAX(1915,MIN(2025,E276))),SUMIFS(Donnees_generations!$AE$3:$AE$113,Donnees_generations!$A$3:$A$113,MAX(1915,MIN(2025,E276))),SUMIFS(Donnees_generations!$AF$3:$AF$113,Donnees_generations!$A$3:$A$113,MAX(1915,MIN(2025,E276))),SUMIFS(Donnees_generations!$AG$3:$AG$113,Donnees_generations!$A$3:$A$113,MAX(1915,MIN(2025,E276))),SUMIFS(Donnees_generations!$AH$3:$AH$113,Donnees_generations!$A$3:$A$113,MAX(1915,MIN(2025,E276))),SUMIFS(Donnees_generations!$AI$3:$AI$113,Donnees_generations!$A$3:$A$113,MAX(1915,MIN(2025,E276))),SUMIFS(Donnees_generations!$AJ$3:$AJ$113,Donnees_generations!$A$3:$A$113,MAX(1915,MIN(2025,E276)))))/2</f>
        <v/>
      </c>
      <c r="AI276" s="75">
        <f>(CHOOSE(((AG276+2)-56)/2+1,SUMIFS(Donnees_generations!$U$3:$U$113,Donnees_generations!$A$3:$A$113,MAX(1915,MIN(2025,E276))),SUMIFS(Donnees_generations!$V$3:$V$113,Donnees_generations!$A$3:$A$113,MAX(1915,MIN(2025,E276))),SUMIFS(Donnees_generations!$W$3:$W$113,Donnees_generations!$A$3:$A$113,MAX(1915,MIN(2025,E276))),SUMIFS(Donnees_generations!$X$3:$X$113,Donnees_generations!$A$3:$A$113,MAX(1915,MIN(2025,E276))),SUMIFS(Donnees_generations!$Y$3:$Y$113,Donnees_generations!$A$3:$A$113,MAX(1915,MIN(2025,E276))),SUMIFS(Donnees_generations!$Z$3:$Z$113,Donnees_generations!$A$3:$A$113,MAX(1915,MIN(2025,E276))),SUMIFS(Donnees_generations!$AA$3:$AA$113,Donnees_generations!$A$3:$A$113,MAX(1915,MIN(2025,E276))),SUMIFS(Donnees_generations!$AB$3:$AB$113,Donnees_generations!$A$3:$A$113,MAX(1915,MIN(2025,E276))))+CHOOSE(((AG276+2)-56)/2+1,SUMIFS(Donnees_generations!$AC$3:$AC$113,Donnees_generations!$A$3:$A$113,MAX(1915,MIN(2025,E276))),SUMIFS(Donnees_generations!$AD$3:$AD$113,Donnees_generations!$A$3:$A$113,MAX(1915,MIN(2025,E276))),SUMIFS(Donnees_generations!$AE$3:$AE$113,Donnees_generations!$A$3:$A$113,MAX(1915,MIN(2025,E276))),SUMIFS(Donnees_generations!$AF$3:$AF$113,Donnees_generations!$A$3:$A$113,MAX(1915,MIN(2025,E276))),SUMIFS(Donnees_generations!$AG$3:$AG$113,Donnees_generations!$A$3:$A$113,MAX(1915,MIN(2025,E276))),SUMIFS(Donnees_generations!$AH$3:$AH$113,Donnees_generations!$A$3:$A$113,MAX(1915,MIN(2025,E276))),SUMIFS(Donnees_generations!$AI$3:$AI$113,Donnees_generations!$A$3:$A$113,MAX(1915,MIN(2025,E276))),SUMIFS(Donnees_generations!$AJ$3:$AJ$113,Donnees_generations!$A$3:$A$113,MAX(1915,MIN(2025,E276)))))/2</f>
        <v/>
      </c>
      <c r="AJ276" s="8">
        <f>MAX(0,AH276+(AI276-AH276)*(K276-AG276)/2)</f>
        <v/>
      </c>
      <c r="AK276" s="8">
        <f>K276+AJ276</f>
        <v/>
      </c>
      <c r="AL276" s="14">
        <f>AE276*AJ276</f>
        <v/>
      </c>
      <c r="AM276" s="17">
        <f>V276/AL276</f>
        <v/>
      </c>
      <c r="AN276" s="17">
        <f>Z276/AL276</f>
        <v/>
      </c>
      <c r="AO276" s="33">
        <f>IF(V276+Z276=0,0,Z276/(V276+Z276))</f>
        <v/>
      </c>
      <c r="AP276" s="14">
        <f>AL276/V276*100</f>
        <v/>
      </c>
      <c r="AQ276" s="8">
        <f>P276/AL276*1000</f>
        <v/>
      </c>
      <c r="AR276" s="77">
        <f>MAX(N276,M276-1)</f>
        <v/>
      </c>
      <c r="AS276" s="14">
        <f>SUMIFS(Donnees_regimes!$R$3:$R$1118,Donnees_regimes!$A$3:$A$1118,C276,Donnees_regimes!$B$3:$B$1118,"&gt;="&amp;G276,Donnees_regimes!$B$3:$B$1118,"&lt;="&amp;N276)*L276/ROUNDUP(L276,0)*SUMIFS(Donnees_annuelles!$AG$3:$AG$188,Donnees_annuelles!$A$3:$A$188,AR276)*SUMIFS(Donnees_annuelles!$AA$3:$AA$188,Donnees_annuelles!$A$3:$A$188,AR276)</f>
        <v/>
      </c>
      <c r="AT276" s="36">
        <f>AS276/V276</f>
        <v/>
      </c>
      <c r="AU276" s="14">
        <f>AL276</f>
        <v/>
      </c>
      <c r="AV276" s="39">
        <f>AS276-AL276</f>
        <v/>
      </c>
      <c r="AW276" s="9">
        <f>AS276/AL276-1</f>
        <v/>
      </c>
      <c r="AX276" s="14">
        <f>AS276/AJ276/12</f>
        <v/>
      </c>
      <c r="AY276" s="14">
        <f>AF276</f>
        <v/>
      </c>
      <c r="AZ276" s="39">
        <f>AX276-AF276</f>
        <v/>
      </c>
      <c r="BA276" s="14">
        <f>SUMIFS(Donnees_regimes!$S$3:$S$1118,Donnees_regimes!$A$3:$A$1118,C276,Donnees_regimes!$B$3:$B$1118,"&gt;="&amp;G276,Donnees_regimes!$B$3:$B$1118,"&lt;="&amp;N276)*L276/ROUNDUP(L276,0)*SUMIFS(Donnees_annuelles!$AH$3:$AH$188,Donnees_annuelles!$A$3:$A$188,AR276)*SUMIFS(Donnees_annuelles!$AA$3:$AA$188,Donnees_annuelles!$A$3:$A$188,AR276)</f>
        <v/>
      </c>
      <c r="BB276" s="39">
        <f>BA276-AL276</f>
        <v/>
      </c>
      <c r="BC276" s="7">
        <f>IF(M276+AJ276&gt;2026,IF(G276&gt;2026,"entièrement projeté","en partie projeté"),"observé")</f>
        <v/>
      </c>
    </row>
    <row r="277">
      <c r="A277" s="7" t="inlineStr">
        <is>
          <t>Génération Z</t>
        </is>
      </c>
      <c r="B277" s="84" t="inlineStr">
        <is>
          <t>Fonction publique territoriale et hospitalière</t>
        </is>
      </c>
      <c r="C277" s="7">
        <f>IF(G277&gt;=SUMIFS(Regimes!$C$5:$C$10,Regimes!$A$5:$A$10,B277),"Privé",B277)</f>
        <v/>
      </c>
      <c r="D277" s="7">
        <f>INDEX(Regimes!$D$5:$D$10,MATCH(C277,Regimes!$A$5:$A$10,0))</f>
        <v/>
      </c>
      <c r="E277" s="88" t="n">
        <v>2006</v>
      </c>
      <c r="F277" s="8">
        <f>Donnees_generations!C94</f>
        <v/>
      </c>
      <c r="G277" s="77">
        <f>Donnees_generations!D94</f>
        <v/>
      </c>
      <c r="H277" s="8">
        <f>SUMIFS(Donnees_generations!$S$3:$S$113,Donnees_generations!$A$3:$A$113,MAX(1915,MIN(2025,E277)))</f>
        <v/>
      </c>
      <c r="I277" s="8">
        <f>SUMIFS(Donnees_generations!$T$3:$T$113,Donnees_generations!$A$3:$A$113,MAX(1915,MIN(2025,E277)))</f>
        <v/>
      </c>
      <c r="J277" s="8">
        <f>IF(G277&gt;=2000,MAX(I277,Parametres!$B$3),I277)</f>
        <v/>
      </c>
      <c r="K277" s="8">
        <f>IF(C277="Privé",J277,SUMIFS(Regles_regimes!$J$3:$J$2000,Regles_regimes!$A$3:$A$2000,C277,Regles_regimes!$B$3:$B$2000,D277,Regles_regimes!$C$3:$C$2000,MAX(1915,MIN(2025,E277))))</f>
        <v/>
      </c>
      <c r="L277" s="8">
        <f>IF(C277="Privé",H277,(K277-F277)*H277/(J277-F277))</f>
        <v/>
      </c>
      <c r="M277" s="77">
        <f>INT(E277+K277)</f>
        <v/>
      </c>
      <c r="N277" s="77">
        <f>G277+ROUNDUP(L277,0)-1</f>
        <v/>
      </c>
      <c r="O277" s="89">
        <f>SUMIFS(Regles_regimes!$K$3:$K$2000,Regles_regimes!$A$3:$A$2000,C277,Regles_regimes!$B$3:$B$2000,D277,Regles_regimes!$C$3:$C$2000,MAX(1915,MIN(2025,E277)))</f>
        <v/>
      </c>
      <c r="P277" s="13">
        <f>SUMIFS(Donnees_annuelles!$W$3:$W$188,Donnees_annuelles!$A$3:$A$188,"&gt;="&amp;G277,Donnees_annuelles!$A$3:$A$188,"&lt;="&amp;N277)*L277/ROUNDUP(L277,0)*O277</f>
        <v/>
      </c>
      <c r="Q277" s="13">
        <f>SUMIFS(Donnees_annuelles!$V$3:$V$188,Donnees_annuelles!$A$3:$A$188,"&gt;="&amp;G277,Donnees_annuelles!$A$3:$A$188,"&lt;="&amp;N277)*L277/ROUNDUP(L277,0)</f>
        <v/>
      </c>
      <c r="R277" s="13">
        <f>P277/L277</f>
        <v/>
      </c>
      <c r="S277" s="14">
        <f>SUMIFS(Donnees_annuelles!$D$3:$D$188,Donnees_annuelles!$A$3:$A$188,"&gt;="&amp;G277,Donnees_annuelles!$A$3:$A$188,"&lt;="&amp;N277)*L277/ROUNDUP(L277,0)</f>
        <v/>
      </c>
      <c r="T277" s="14">
        <f>SUMIFS(Donnees_regimes!$N$3:$N$1118,Donnees_regimes!$A$3:$A$1118,C277,Donnees_regimes!$B$3:$B$1118,"&gt;="&amp;G277,Donnees_regimes!$B$3:$B$1118,"&lt;="&amp;N277)*L277/ROUNDUP(L277,0)</f>
        <v/>
      </c>
      <c r="U277" s="14">
        <f>SUMIFS(Donnees_regimes!$O$3:$O$1118,Donnees_regimes!$A$3:$A$1118,C277,Donnees_regimes!$B$3:$B$1118,"&gt;="&amp;G277,Donnees_regimes!$B$3:$B$1118,"&lt;="&amp;N277)*L277/ROUNDUP(L277,0)</f>
        <v/>
      </c>
      <c r="V277" s="14">
        <f>T277+U277</f>
        <v/>
      </c>
      <c r="W277" s="33">
        <f>V277/S277</f>
        <v/>
      </c>
      <c r="X277" s="14">
        <f>S277+U277</f>
        <v/>
      </c>
      <c r="Y277" s="17">
        <f>V277/P277</f>
        <v/>
      </c>
      <c r="Z277" s="14">
        <f>SUMIFS(Donnees_regimes!$Q$3:$Q$1118,Donnees_regimes!$A$3:$A$1118,C277,Donnees_regimes!$B$3:$B$1118,"&gt;="&amp;G277,Donnees_regimes!$B$3:$B$1118,"&lt;="&amp;N277)*L277/ROUNDUP(L277,0)</f>
        <v/>
      </c>
      <c r="AA277" s="77">
        <f>SUMIFS(Regles_regimes!$F$3:$F$2000,Regles_regimes!$A$3:$A$2000,C277,Regles_regimes!$B$3:$B$2000,D277,Regles_regimes!$C$3:$C$2000,MAX(1915,MIN(2025,E277)))</f>
        <v/>
      </c>
      <c r="AB277" s="77">
        <f>IF(AND(SUMIFS(Regles_regimes!$L$3:$L$2000,Regles_regimes!$A$3:$A$2000,C277,Regles_regimes!$B$3:$B$2000,D277,Regles_regimes!$C$3:$C$2000,MAX(1915,MIN(2025,E277)))=1,G277&lt;2009,C277&lt;&gt;"Privé"),MIN(20,L277*4/5),0)</f>
        <v/>
      </c>
      <c r="AC277" s="89">
        <f>SUMIFS(Donnees_regimes!$M$3:$M$1118,Donnees_regimes!$A$3:$A$1118,C277,Donnees_regimes!$B$3:$B$1118,M277)</f>
        <v/>
      </c>
      <c r="AD277" s="14">
        <f>SUMIFS(Donnees_annuelles!$Y$3:$Y$188,Donnees_annuelles!$A$3:$A$188,M277)*SUMIFS(Donnees_generations!$I$3:$I$113,Donnees_generations!$A$3:$A$113,MAX(1915,MIN(2025,E277)))/H277</f>
        <v/>
      </c>
      <c r="AE277" s="14">
        <f>IF(C277="Privé",SUMIFS(Donnees_annuelles!$Y$3:$Y$188,Donnees_annuelles!$A$3:$A$188,M277)*MIN(L277,SUMIFS(Donnees_generations!$I$3:$I$113,Donnees_generations!$A$3:$A$113,MAX(1915,MIN(2025,E277))))/L277,AD277*AC277*MIN(IF(AB277&gt;0,0.8/0.75,1),(L277*4+AB277)/AA277))</f>
        <v/>
      </c>
      <c r="AF277" s="14">
        <f>AE277/12</f>
        <v/>
      </c>
      <c r="AG277" s="77">
        <f>MIN(68,MAX(56,2*INT(K277/2)))</f>
        <v/>
      </c>
      <c r="AH277" s="75">
        <f>(CHOOSE((AG277-56)/2+1,SUMIFS(Donnees_generations!$U$3:$U$113,Donnees_generations!$A$3:$A$113,MAX(1915,MIN(2025,E277))),SUMIFS(Donnees_generations!$V$3:$V$113,Donnees_generations!$A$3:$A$113,MAX(1915,MIN(2025,E277))),SUMIFS(Donnees_generations!$W$3:$W$113,Donnees_generations!$A$3:$A$113,MAX(1915,MIN(2025,E277))),SUMIFS(Donnees_generations!$X$3:$X$113,Donnees_generations!$A$3:$A$113,MAX(1915,MIN(2025,E277))),SUMIFS(Donnees_generations!$Y$3:$Y$113,Donnees_generations!$A$3:$A$113,MAX(1915,MIN(2025,E277))),SUMIFS(Donnees_generations!$Z$3:$Z$113,Donnees_generations!$A$3:$A$113,MAX(1915,MIN(2025,E277))),SUMIFS(Donnees_generations!$AA$3:$AA$113,Donnees_generations!$A$3:$A$113,MAX(1915,MIN(2025,E277))),SUMIFS(Donnees_generations!$AB$3:$AB$113,Donnees_generations!$A$3:$A$113,MAX(1915,MIN(2025,E277))))+CHOOSE((AG277-56)/2+1,SUMIFS(Donnees_generations!$AC$3:$AC$113,Donnees_generations!$A$3:$A$113,MAX(1915,MIN(2025,E277))),SUMIFS(Donnees_generations!$AD$3:$AD$113,Donnees_generations!$A$3:$A$113,MAX(1915,MIN(2025,E277))),SUMIFS(Donnees_generations!$AE$3:$AE$113,Donnees_generations!$A$3:$A$113,MAX(1915,MIN(2025,E277))),SUMIFS(Donnees_generations!$AF$3:$AF$113,Donnees_generations!$A$3:$A$113,MAX(1915,MIN(2025,E277))),SUMIFS(Donnees_generations!$AG$3:$AG$113,Donnees_generations!$A$3:$A$113,MAX(1915,MIN(2025,E277))),SUMIFS(Donnees_generations!$AH$3:$AH$113,Donnees_generations!$A$3:$A$113,MAX(1915,MIN(2025,E277))),SUMIFS(Donnees_generations!$AI$3:$AI$113,Donnees_generations!$A$3:$A$113,MAX(1915,MIN(2025,E277))),SUMIFS(Donnees_generations!$AJ$3:$AJ$113,Donnees_generations!$A$3:$A$113,MAX(1915,MIN(2025,E277)))))/2</f>
        <v/>
      </c>
      <c r="AI277" s="75">
        <f>(CHOOSE(((AG277+2)-56)/2+1,SUMIFS(Donnees_generations!$U$3:$U$113,Donnees_generations!$A$3:$A$113,MAX(1915,MIN(2025,E277))),SUMIFS(Donnees_generations!$V$3:$V$113,Donnees_generations!$A$3:$A$113,MAX(1915,MIN(2025,E277))),SUMIFS(Donnees_generations!$W$3:$W$113,Donnees_generations!$A$3:$A$113,MAX(1915,MIN(2025,E277))),SUMIFS(Donnees_generations!$X$3:$X$113,Donnees_generations!$A$3:$A$113,MAX(1915,MIN(2025,E277))),SUMIFS(Donnees_generations!$Y$3:$Y$113,Donnees_generations!$A$3:$A$113,MAX(1915,MIN(2025,E277))),SUMIFS(Donnees_generations!$Z$3:$Z$113,Donnees_generations!$A$3:$A$113,MAX(1915,MIN(2025,E277))),SUMIFS(Donnees_generations!$AA$3:$AA$113,Donnees_generations!$A$3:$A$113,MAX(1915,MIN(2025,E277))),SUMIFS(Donnees_generations!$AB$3:$AB$113,Donnees_generations!$A$3:$A$113,MAX(1915,MIN(2025,E277))))+CHOOSE(((AG277+2)-56)/2+1,SUMIFS(Donnees_generations!$AC$3:$AC$113,Donnees_generations!$A$3:$A$113,MAX(1915,MIN(2025,E277))),SUMIFS(Donnees_generations!$AD$3:$AD$113,Donnees_generations!$A$3:$A$113,MAX(1915,MIN(2025,E277))),SUMIFS(Donnees_generations!$AE$3:$AE$113,Donnees_generations!$A$3:$A$113,MAX(1915,MIN(2025,E277))),SUMIFS(Donnees_generations!$AF$3:$AF$113,Donnees_generations!$A$3:$A$113,MAX(1915,MIN(2025,E277))),SUMIFS(Donnees_generations!$AG$3:$AG$113,Donnees_generations!$A$3:$A$113,MAX(1915,MIN(2025,E277))),SUMIFS(Donnees_generations!$AH$3:$AH$113,Donnees_generations!$A$3:$A$113,MAX(1915,MIN(2025,E277))),SUMIFS(Donnees_generations!$AI$3:$AI$113,Donnees_generations!$A$3:$A$113,MAX(1915,MIN(2025,E277))),SUMIFS(Donnees_generations!$AJ$3:$AJ$113,Donnees_generations!$A$3:$A$113,MAX(1915,MIN(2025,E277)))))/2</f>
        <v/>
      </c>
      <c r="AJ277" s="8">
        <f>MAX(0,AH277+(AI277-AH277)*(K277-AG277)/2)</f>
        <v/>
      </c>
      <c r="AK277" s="8">
        <f>K277+AJ277</f>
        <v/>
      </c>
      <c r="AL277" s="14">
        <f>AE277*AJ277</f>
        <v/>
      </c>
      <c r="AM277" s="17">
        <f>V277/AL277</f>
        <v/>
      </c>
      <c r="AN277" s="17">
        <f>Z277/AL277</f>
        <v/>
      </c>
      <c r="AO277" s="33">
        <f>IF(V277+Z277=0,0,Z277/(V277+Z277))</f>
        <v/>
      </c>
      <c r="AP277" s="14">
        <f>AL277/V277*100</f>
        <v/>
      </c>
      <c r="AQ277" s="8">
        <f>P277/AL277*1000</f>
        <v/>
      </c>
      <c r="AR277" s="77">
        <f>MAX(N277,M277-1)</f>
        <v/>
      </c>
      <c r="AS277" s="14">
        <f>SUMIFS(Donnees_regimes!$R$3:$R$1118,Donnees_regimes!$A$3:$A$1118,C277,Donnees_regimes!$B$3:$B$1118,"&gt;="&amp;G277,Donnees_regimes!$B$3:$B$1118,"&lt;="&amp;N277)*L277/ROUNDUP(L277,0)*SUMIFS(Donnees_annuelles!$AG$3:$AG$188,Donnees_annuelles!$A$3:$A$188,AR277)*SUMIFS(Donnees_annuelles!$AA$3:$AA$188,Donnees_annuelles!$A$3:$A$188,AR277)</f>
        <v/>
      </c>
      <c r="AT277" s="36">
        <f>AS277/V277</f>
        <v/>
      </c>
      <c r="AU277" s="14">
        <f>AL277</f>
        <v/>
      </c>
      <c r="AV277" s="39">
        <f>AS277-AL277</f>
        <v/>
      </c>
      <c r="AW277" s="9">
        <f>AS277/AL277-1</f>
        <v/>
      </c>
      <c r="AX277" s="14">
        <f>AS277/AJ277/12</f>
        <v/>
      </c>
      <c r="AY277" s="14">
        <f>AF277</f>
        <v/>
      </c>
      <c r="AZ277" s="39">
        <f>AX277-AF277</f>
        <v/>
      </c>
      <c r="BA277" s="14">
        <f>SUMIFS(Donnees_regimes!$S$3:$S$1118,Donnees_regimes!$A$3:$A$1118,C277,Donnees_regimes!$B$3:$B$1118,"&gt;="&amp;G277,Donnees_regimes!$B$3:$B$1118,"&lt;="&amp;N277)*L277/ROUNDUP(L277,0)*SUMIFS(Donnees_annuelles!$AH$3:$AH$188,Donnees_annuelles!$A$3:$A$188,AR277)*SUMIFS(Donnees_annuelles!$AA$3:$AA$188,Donnees_annuelles!$A$3:$A$188,AR277)</f>
        <v/>
      </c>
      <c r="BB277" s="39">
        <f>BA277-AL277</f>
        <v/>
      </c>
      <c r="BC277" s="7">
        <f>IF(M277+AJ277&gt;2026,IF(G277&gt;2026,"entièrement projeté","en partie projeté"),"observé")</f>
        <v/>
      </c>
    </row>
    <row r="278">
      <c r="A278" s="7" t="inlineStr">
        <is>
          <t>Génération Z</t>
        </is>
      </c>
      <c r="B278" s="84" t="inlineStr">
        <is>
          <t>Fonction publique territoriale et hospitalière</t>
        </is>
      </c>
      <c r="C278" s="7">
        <f>IF(G278&gt;=SUMIFS(Regimes!$C$5:$C$10,Regimes!$A$5:$A$10,B278),"Privé",B278)</f>
        <v/>
      </c>
      <c r="D278" s="7">
        <f>INDEX(Regimes!$D$5:$D$10,MATCH(C278,Regimes!$A$5:$A$10,0))</f>
        <v/>
      </c>
      <c r="E278" s="88" t="n">
        <v>2007</v>
      </c>
      <c r="F278" s="8">
        <f>Donnees_generations!C95</f>
        <v/>
      </c>
      <c r="G278" s="77">
        <f>Donnees_generations!D95</f>
        <v/>
      </c>
      <c r="H278" s="8">
        <f>SUMIFS(Donnees_generations!$S$3:$S$113,Donnees_generations!$A$3:$A$113,MAX(1915,MIN(2025,E278)))</f>
        <v/>
      </c>
      <c r="I278" s="8">
        <f>SUMIFS(Donnees_generations!$T$3:$T$113,Donnees_generations!$A$3:$A$113,MAX(1915,MIN(2025,E278)))</f>
        <v/>
      </c>
      <c r="J278" s="8">
        <f>IF(G278&gt;=2000,MAX(I278,Parametres!$B$3),I278)</f>
        <v/>
      </c>
      <c r="K278" s="8">
        <f>IF(C278="Privé",J278,SUMIFS(Regles_regimes!$J$3:$J$2000,Regles_regimes!$A$3:$A$2000,C278,Regles_regimes!$B$3:$B$2000,D278,Regles_regimes!$C$3:$C$2000,MAX(1915,MIN(2025,E278))))</f>
        <v/>
      </c>
      <c r="L278" s="8">
        <f>IF(C278="Privé",H278,(K278-F278)*H278/(J278-F278))</f>
        <v/>
      </c>
      <c r="M278" s="77">
        <f>INT(E278+K278)</f>
        <v/>
      </c>
      <c r="N278" s="77">
        <f>G278+ROUNDUP(L278,0)-1</f>
        <v/>
      </c>
      <c r="O278" s="89">
        <f>SUMIFS(Regles_regimes!$K$3:$K$2000,Regles_regimes!$A$3:$A$2000,C278,Regles_regimes!$B$3:$B$2000,D278,Regles_regimes!$C$3:$C$2000,MAX(1915,MIN(2025,E278)))</f>
        <v/>
      </c>
      <c r="P278" s="13">
        <f>SUMIFS(Donnees_annuelles!$W$3:$W$188,Donnees_annuelles!$A$3:$A$188,"&gt;="&amp;G278,Donnees_annuelles!$A$3:$A$188,"&lt;="&amp;N278)*L278/ROUNDUP(L278,0)*O278</f>
        <v/>
      </c>
      <c r="Q278" s="13">
        <f>SUMIFS(Donnees_annuelles!$V$3:$V$188,Donnees_annuelles!$A$3:$A$188,"&gt;="&amp;G278,Donnees_annuelles!$A$3:$A$188,"&lt;="&amp;N278)*L278/ROUNDUP(L278,0)</f>
        <v/>
      </c>
      <c r="R278" s="13">
        <f>P278/L278</f>
        <v/>
      </c>
      <c r="S278" s="14">
        <f>SUMIFS(Donnees_annuelles!$D$3:$D$188,Donnees_annuelles!$A$3:$A$188,"&gt;="&amp;G278,Donnees_annuelles!$A$3:$A$188,"&lt;="&amp;N278)*L278/ROUNDUP(L278,0)</f>
        <v/>
      </c>
      <c r="T278" s="14">
        <f>SUMIFS(Donnees_regimes!$N$3:$N$1118,Donnees_regimes!$A$3:$A$1118,C278,Donnees_regimes!$B$3:$B$1118,"&gt;="&amp;G278,Donnees_regimes!$B$3:$B$1118,"&lt;="&amp;N278)*L278/ROUNDUP(L278,0)</f>
        <v/>
      </c>
      <c r="U278" s="14">
        <f>SUMIFS(Donnees_regimes!$O$3:$O$1118,Donnees_regimes!$A$3:$A$1118,C278,Donnees_regimes!$B$3:$B$1118,"&gt;="&amp;G278,Donnees_regimes!$B$3:$B$1118,"&lt;="&amp;N278)*L278/ROUNDUP(L278,0)</f>
        <v/>
      </c>
      <c r="V278" s="14">
        <f>T278+U278</f>
        <v/>
      </c>
      <c r="W278" s="33">
        <f>V278/S278</f>
        <v/>
      </c>
      <c r="X278" s="14">
        <f>S278+U278</f>
        <v/>
      </c>
      <c r="Y278" s="17">
        <f>V278/P278</f>
        <v/>
      </c>
      <c r="Z278" s="14">
        <f>SUMIFS(Donnees_regimes!$Q$3:$Q$1118,Donnees_regimes!$A$3:$A$1118,C278,Donnees_regimes!$B$3:$B$1118,"&gt;="&amp;G278,Donnees_regimes!$B$3:$B$1118,"&lt;="&amp;N278)*L278/ROUNDUP(L278,0)</f>
        <v/>
      </c>
      <c r="AA278" s="77">
        <f>SUMIFS(Regles_regimes!$F$3:$F$2000,Regles_regimes!$A$3:$A$2000,C278,Regles_regimes!$B$3:$B$2000,D278,Regles_regimes!$C$3:$C$2000,MAX(1915,MIN(2025,E278)))</f>
        <v/>
      </c>
      <c r="AB278" s="77">
        <f>IF(AND(SUMIFS(Regles_regimes!$L$3:$L$2000,Regles_regimes!$A$3:$A$2000,C278,Regles_regimes!$B$3:$B$2000,D278,Regles_regimes!$C$3:$C$2000,MAX(1915,MIN(2025,E278)))=1,G278&lt;2009,C278&lt;&gt;"Privé"),MIN(20,L278*4/5),0)</f>
        <v/>
      </c>
      <c r="AC278" s="89">
        <f>SUMIFS(Donnees_regimes!$M$3:$M$1118,Donnees_regimes!$A$3:$A$1118,C278,Donnees_regimes!$B$3:$B$1118,M278)</f>
        <v/>
      </c>
      <c r="AD278" s="14">
        <f>SUMIFS(Donnees_annuelles!$Y$3:$Y$188,Donnees_annuelles!$A$3:$A$188,M278)*SUMIFS(Donnees_generations!$I$3:$I$113,Donnees_generations!$A$3:$A$113,MAX(1915,MIN(2025,E278)))/H278</f>
        <v/>
      </c>
      <c r="AE278" s="14">
        <f>IF(C278="Privé",SUMIFS(Donnees_annuelles!$Y$3:$Y$188,Donnees_annuelles!$A$3:$A$188,M278)*MIN(L278,SUMIFS(Donnees_generations!$I$3:$I$113,Donnees_generations!$A$3:$A$113,MAX(1915,MIN(2025,E278))))/L278,AD278*AC278*MIN(IF(AB278&gt;0,0.8/0.75,1),(L278*4+AB278)/AA278))</f>
        <v/>
      </c>
      <c r="AF278" s="14">
        <f>AE278/12</f>
        <v/>
      </c>
      <c r="AG278" s="77">
        <f>MIN(68,MAX(56,2*INT(K278/2)))</f>
        <v/>
      </c>
      <c r="AH278" s="75">
        <f>(CHOOSE((AG278-56)/2+1,SUMIFS(Donnees_generations!$U$3:$U$113,Donnees_generations!$A$3:$A$113,MAX(1915,MIN(2025,E278))),SUMIFS(Donnees_generations!$V$3:$V$113,Donnees_generations!$A$3:$A$113,MAX(1915,MIN(2025,E278))),SUMIFS(Donnees_generations!$W$3:$W$113,Donnees_generations!$A$3:$A$113,MAX(1915,MIN(2025,E278))),SUMIFS(Donnees_generations!$X$3:$X$113,Donnees_generations!$A$3:$A$113,MAX(1915,MIN(2025,E278))),SUMIFS(Donnees_generations!$Y$3:$Y$113,Donnees_generations!$A$3:$A$113,MAX(1915,MIN(2025,E278))),SUMIFS(Donnees_generations!$Z$3:$Z$113,Donnees_generations!$A$3:$A$113,MAX(1915,MIN(2025,E278))),SUMIFS(Donnees_generations!$AA$3:$AA$113,Donnees_generations!$A$3:$A$113,MAX(1915,MIN(2025,E278))),SUMIFS(Donnees_generations!$AB$3:$AB$113,Donnees_generations!$A$3:$A$113,MAX(1915,MIN(2025,E278))))+CHOOSE((AG278-56)/2+1,SUMIFS(Donnees_generations!$AC$3:$AC$113,Donnees_generations!$A$3:$A$113,MAX(1915,MIN(2025,E278))),SUMIFS(Donnees_generations!$AD$3:$AD$113,Donnees_generations!$A$3:$A$113,MAX(1915,MIN(2025,E278))),SUMIFS(Donnees_generations!$AE$3:$AE$113,Donnees_generations!$A$3:$A$113,MAX(1915,MIN(2025,E278))),SUMIFS(Donnees_generations!$AF$3:$AF$113,Donnees_generations!$A$3:$A$113,MAX(1915,MIN(2025,E278))),SUMIFS(Donnees_generations!$AG$3:$AG$113,Donnees_generations!$A$3:$A$113,MAX(1915,MIN(2025,E278))),SUMIFS(Donnees_generations!$AH$3:$AH$113,Donnees_generations!$A$3:$A$113,MAX(1915,MIN(2025,E278))),SUMIFS(Donnees_generations!$AI$3:$AI$113,Donnees_generations!$A$3:$A$113,MAX(1915,MIN(2025,E278))),SUMIFS(Donnees_generations!$AJ$3:$AJ$113,Donnees_generations!$A$3:$A$113,MAX(1915,MIN(2025,E278)))))/2</f>
        <v/>
      </c>
      <c r="AI278" s="75">
        <f>(CHOOSE(((AG278+2)-56)/2+1,SUMIFS(Donnees_generations!$U$3:$U$113,Donnees_generations!$A$3:$A$113,MAX(1915,MIN(2025,E278))),SUMIFS(Donnees_generations!$V$3:$V$113,Donnees_generations!$A$3:$A$113,MAX(1915,MIN(2025,E278))),SUMIFS(Donnees_generations!$W$3:$W$113,Donnees_generations!$A$3:$A$113,MAX(1915,MIN(2025,E278))),SUMIFS(Donnees_generations!$X$3:$X$113,Donnees_generations!$A$3:$A$113,MAX(1915,MIN(2025,E278))),SUMIFS(Donnees_generations!$Y$3:$Y$113,Donnees_generations!$A$3:$A$113,MAX(1915,MIN(2025,E278))),SUMIFS(Donnees_generations!$Z$3:$Z$113,Donnees_generations!$A$3:$A$113,MAX(1915,MIN(2025,E278))),SUMIFS(Donnees_generations!$AA$3:$AA$113,Donnees_generations!$A$3:$A$113,MAX(1915,MIN(2025,E278))),SUMIFS(Donnees_generations!$AB$3:$AB$113,Donnees_generations!$A$3:$A$113,MAX(1915,MIN(2025,E278))))+CHOOSE(((AG278+2)-56)/2+1,SUMIFS(Donnees_generations!$AC$3:$AC$113,Donnees_generations!$A$3:$A$113,MAX(1915,MIN(2025,E278))),SUMIFS(Donnees_generations!$AD$3:$AD$113,Donnees_generations!$A$3:$A$113,MAX(1915,MIN(2025,E278))),SUMIFS(Donnees_generations!$AE$3:$AE$113,Donnees_generations!$A$3:$A$113,MAX(1915,MIN(2025,E278))),SUMIFS(Donnees_generations!$AF$3:$AF$113,Donnees_generations!$A$3:$A$113,MAX(1915,MIN(2025,E278))),SUMIFS(Donnees_generations!$AG$3:$AG$113,Donnees_generations!$A$3:$A$113,MAX(1915,MIN(2025,E278))),SUMIFS(Donnees_generations!$AH$3:$AH$113,Donnees_generations!$A$3:$A$113,MAX(1915,MIN(2025,E278))),SUMIFS(Donnees_generations!$AI$3:$AI$113,Donnees_generations!$A$3:$A$113,MAX(1915,MIN(2025,E278))),SUMIFS(Donnees_generations!$AJ$3:$AJ$113,Donnees_generations!$A$3:$A$113,MAX(1915,MIN(2025,E278)))))/2</f>
        <v/>
      </c>
      <c r="AJ278" s="8">
        <f>MAX(0,AH278+(AI278-AH278)*(K278-AG278)/2)</f>
        <v/>
      </c>
      <c r="AK278" s="8">
        <f>K278+AJ278</f>
        <v/>
      </c>
      <c r="AL278" s="14">
        <f>AE278*AJ278</f>
        <v/>
      </c>
      <c r="AM278" s="17">
        <f>V278/AL278</f>
        <v/>
      </c>
      <c r="AN278" s="17">
        <f>Z278/AL278</f>
        <v/>
      </c>
      <c r="AO278" s="33">
        <f>IF(V278+Z278=0,0,Z278/(V278+Z278))</f>
        <v/>
      </c>
      <c r="AP278" s="14">
        <f>AL278/V278*100</f>
        <v/>
      </c>
      <c r="AQ278" s="8">
        <f>P278/AL278*1000</f>
        <v/>
      </c>
      <c r="AR278" s="77">
        <f>MAX(N278,M278-1)</f>
        <v/>
      </c>
      <c r="AS278" s="14">
        <f>SUMIFS(Donnees_regimes!$R$3:$R$1118,Donnees_regimes!$A$3:$A$1118,C278,Donnees_regimes!$B$3:$B$1118,"&gt;="&amp;G278,Donnees_regimes!$B$3:$B$1118,"&lt;="&amp;N278)*L278/ROUNDUP(L278,0)*SUMIFS(Donnees_annuelles!$AG$3:$AG$188,Donnees_annuelles!$A$3:$A$188,AR278)*SUMIFS(Donnees_annuelles!$AA$3:$AA$188,Donnees_annuelles!$A$3:$A$188,AR278)</f>
        <v/>
      </c>
      <c r="AT278" s="36">
        <f>AS278/V278</f>
        <v/>
      </c>
      <c r="AU278" s="14">
        <f>AL278</f>
        <v/>
      </c>
      <c r="AV278" s="39">
        <f>AS278-AL278</f>
        <v/>
      </c>
      <c r="AW278" s="9">
        <f>AS278/AL278-1</f>
        <v/>
      </c>
      <c r="AX278" s="14">
        <f>AS278/AJ278/12</f>
        <v/>
      </c>
      <c r="AY278" s="14">
        <f>AF278</f>
        <v/>
      </c>
      <c r="AZ278" s="39">
        <f>AX278-AF278</f>
        <v/>
      </c>
      <c r="BA278" s="14">
        <f>SUMIFS(Donnees_regimes!$S$3:$S$1118,Donnees_regimes!$A$3:$A$1118,C278,Donnees_regimes!$B$3:$B$1118,"&gt;="&amp;G278,Donnees_regimes!$B$3:$B$1118,"&lt;="&amp;N278)*L278/ROUNDUP(L278,0)*SUMIFS(Donnees_annuelles!$AH$3:$AH$188,Donnees_annuelles!$A$3:$A$188,AR278)*SUMIFS(Donnees_annuelles!$AA$3:$AA$188,Donnees_annuelles!$A$3:$A$188,AR278)</f>
        <v/>
      </c>
      <c r="BB278" s="39">
        <f>BA278-AL278</f>
        <v/>
      </c>
      <c r="BC278" s="7">
        <f>IF(M278+AJ278&gt;2026,IF(G278&gt;2026,"entièrement projeté","en partie projeté"),"observé")</f>
        <v/>
      </c>
    </row>
    <row r="279">
      <c r="A279" s="7" t="inlineStr">
        <is>
          <t>Génération Z</t>
        </is>
      </c>
      <c r="B279" s="84" t="inlineStr">
        <is>
          <t>Fonction publique territoriale et hospitalière</t>
        </is>
      </c>
      <c r="C279" s="7">
        <f>IF(G279&gt;=SUMIFS(Regimes!$C$5:$C$10,Regimes!$A$5:$A$10,B279),"Privé",B279)</f>
        <v/>
      </c>
      <c r="D279" s="7">
        <f>INDEX(Regimes!$D$5:$D$10,MATCH(C279,Regimes!$A$5:$A$10,0))</f>
        <v/>
      </c>
      <c r="E279" s="88" t="n">
        <v>2008</v>
      </c>
      <c r="F279" s="8">
        <f>Donnees_generations!C96</f>
        <v/>
      </c>
      <c r="G279" s="77">
        <f>Donnees_generations!D96</f>
        <v/>
      </c>
      <c r="H279" s="8">
        <f>SUMIFS(Donnees_generations!$S$3:$S$113,Donnees_generations!$A$3:$A$113,MAX(1915,MIN(2025,E279)))</f>
        <v/>
      </c>
      <c r="I279" s="8">
        <f>SUMIFS(Donnees_generations!$T$3:$T$113,Donnees_generations!$A$3:$A$113,MAX(1915,MIN(2025,E279)))</f>
        <v/>
      </c>
      <c r="J279" s="8">
        <f>IF(G279&gt;=2000,MAX(I279,Parametres!$B$3),I279)</f>
        <v/>
      </c>
      <c r="K279" s="8">
        <f>IF(C279="Privé",J279,SUMIFS(Regles_regimes!$J$3:$J$2000,Regles_regimes!$A$3:$A$2000,C279,Regles_regimes!$B$3:$B$2000,D279,Regles_regimes!$C$3:$C$2000,MAX(1915,MIN(2025,E279))))</f>
        <v/>
      </c>
      <c r="L279" s="8">
        <f>IF(C279="Privé",H279,(K279-F279)*H279/(J279-F279))</f>
        <v/>
      </c>
      <c r="M279" s="77">
        <f>INT(E279+K279)</f>
        <v/>
      </c>
      <c r="N279" s="77">
        <f>G279+ROUNDUP(L279,0)-1</f>
        <v/>
      </c>
      <c r="O279" s="89">
        <f>SUMIFS(Regles_regimes!$K$3:$K$2000,Regles_regimes!$A$3:$A$2000,C279,Regles_regimes!$B$3:$B$2000,D279,Regles_regimes!$C$3:$C$2000,MAX(1915,MIN(2025,E279)))</f>
        <v/>
      </c>
      <c r="P279" s="13">
        <f>SUMIFS(Donnees_annuelles!$W$3:$W$188,Donnees_annuelles!$A$3:$A$188,"&gt;="&amp;G279,Donnees_annuelles!$A$3:$A$188,"&lt;="&amp;N279)*L279/ROUNDUP(L279,0)*O279</f>
        <v/>
      </c>
      <c r="Q279" s="13">
        <f>SUMIFS(Donnees_annuelles!$V$3:$V$188,Donnees_annuelles!$A$3:$A$188,"&gt;="&amp;G279,Donnees_annuelles!$A$3:$A$188,"&lt;="&amp;N279)*L279/ROUNDUP(L279,0)</f>
        <v/>
      </c>
      <c r="R279" s="13">
        <f>P279/L279</f>
        <v/>
      </c>
      <c r="S279" s="14">
        <f>SUMIFS(Donnees_annuelles!$D$3:$D$188,Donnees_annuelles!$A$3:$A$188,"&gt;="&amp;G279,Donnees_annuelles!$A$3:$A$188,"&lt;="&amp;N279)*L279/ROUNDUP(L279,0)</f>
        <v/>
      </c>
      <c r="T279" s="14">
        <f>SUMIFS(Donnees_regimes!$N$3:$N$1118,Donnees_regimes!$A$3:$A$1118,C279,Donnees_regimes!$B$3:$B$1118,"&gt;="&amp;G279,Donnees_regimes!$B$3:$B$1118,"&lt;="&amp;N279)*L279/ROUNDUP(L279,0)</f>
        <v/>
      </c>
      <c r="U279" s="14">
        <f>SUMIFS(Donnees_regimes!$O$3:$O$1118,Donnees_regimes!$A$3:$A$1118,C279,Donnees_regimes!$B$3:$B$1118,"&gt;="&amp;G279,Donnees_regimes!$B$3:$B$1118,"&lt;="&amp;N279)*L279/ROUNDUP(L279,0)</f>
        <v/>
      </c>
      <c r="V279" s="14">
        <f>T279+U279</f>
        <v/>
      </c>
      <c r="W279" s="33">
        <f>V279/S279</f>
        <v/>
      </c>
      <c r="X279" s="14">
        <f>S279+U279</f>
        <v/>
      </c>
      <c r="Y279" s="17">
        <f>V279/P279</f>
        <v/>
      </c>
      <c r="Z279" s="14">
        <f>SUMIFS(Donnees_regimes!$Q$3:$Q$1118,Donnees_regimes!$A$3:$A$1118,C279,Donnees_regimes!$B$3:$B$1118,"&gt;="&amp;G279,Donnees_regimes!$B$3:$B$1118,"&lt;="&amp;N279)*L279/ROUNDUP(L279,0)</f>
        <v/>
      </c>
      <c r="AA279" s="77">
        <f>SUMIFS(Regles_regimes!$F$3:$F$2000,Regles_regimes!$A$3:$A$2000,C279,Regles_regimes!$B$3:$B$2000,D279,Regles_regimes!$C$3:$C$2000,MAX(1915,MIN(2025,E279)))</f>
        <v/>
      </c>
      <c r="AB279" s="77">
        <f>IF(AND(SUMIFS(Regles_regimes!$L$3:$L$2000,Regles_regimes!$A$3:$A$2000,C279,Regles_regimes!$B$3:$B$2000,D279,Regles_regimes!$C$3:$C$2000,MAX(1915,MIN(2025,E279)))=1,G279&lt;2009,C279&lt;&gt;"Privé"),MIN(20,L279*4/5),0)</f>
        <v/>
      </c>
      <c r="AC279" s="89">
        <f>SUMIFS(Donnees_regimes!$M$3:$M$1118,Donnees_regimes!$A$3:$A$1118,C279,Donnees_regimes!$B$3:$B$1118,M279)</f>
        <v/>
      </c>
      <c r="AD279" s="14">
        <f>SUMIFS(Donnees_annuelles!$Y$3:$Y$188,Donnees_annuelles!$A$3:$A$188,M279)*SUMIFS(Donnees_generations!$I$3:$I$113,Donnees_generations!$A$3:$A$113,MAX(1915,MIN(2025,E279)))/H279</f>
        <v/>
      </c>
      <c r="AE279" s="14">
        <f>IF(C279="Privé",SUMIFS(Donnees_annuelles!$Y$3:$Y$188,Donnees_annuelles!$A$3:$A$188,M279)*MIN(L279,SUMIFS(Donnees_generations!$I$3:$I$113,Donnees_generations!$A$3:$A$113,MAX(1915,MIN(2025,E279))))/L279,AD279*AC279*MIN(IF(AB279&gt;0,0.8/0.75,1),(L279*4+AB279)/AA279))</f>
        <v/>
      </c>
      <c r="AF279" s="14">
        <f>AE279/12</f>
        <v/>
      </c>
      <c r="AG279" s="77">
        <f>MIN(68,MAX(56,2*INT(K279/2)))</f>
        <v/>
      </c>
      <c r="AH279" s="75">
        <f>(CHOOSE((AG279-56)/2+1,SUMIFS(Donnees_generations!$U$3:$U$113,Donnees_generations!$A$3:$A$113,MAX(1915,MIN(2025,E279))),SUMIFS(Donnees_generations!$V$3:$V$113,Donnees_generations!$A$3:$A$113,MAX(1915,MIN(2025,E279))),SUMIFS(Donnees_generations!$W$3:$W$113,Donnees_generations!$A$3:$A$113,MAX(1915,MIN(2025,E279))),SUMIFS(Donnees_generations!$X$3:$X$113,Donnees_generations!$A$3:$A$113,MAX(1915,MIN(2025,E279))),SUMIFS(Donnees_generations!$Y$3:$Y$113,Donnees_generations!$A$3:$A$113,MAX(1915,MIN(2025,E279))),SUMIFS(Donnees_generations!$Z$3:$Z$113,Donnees_generations!$A$3:$A$113,MAX(1915,MIN(2025,E279))),SUMIFS(Donnees_generations!$AA$3:$AA$113,Donnees_generations!$A$3:$A$113,MAX(1915,MIN(2025,E279))),SUMIFS(Donnees_generations!$AB$3:$AB$113,Donnees_generations!$A$3:$A$113,MAX(1915,MIN(2025,E279))))+CHOOSE((AG279-56)/2+1,SUMIFS(Donnees_generations!$AC$3:$AC$113,Donnees_generations!$A$3:$A$113,MAX(1915,MIN(2025,E279))),SUMIFS(Donnees_generations!$AD$3:$AD$113,Donnees_generations!$A$3:$A$113,MAX(1915,MIN(2025,E279))),SUMIFS(Donnees_generations!$AE$3:$AE$113,Donnees_generations!$A$3:$A$113,MAX(1915,MIN(2025,E279))),SUMIFS(Donnees_generations!$AF$3:$AF$113,Donnees_generations!$A$3:$A$113,MAX(1915,MIN(2025,E279))),SUMIFS(Donnees_generations!$AG$3:$AG$113,Donnees_generations!$A$3:$A$113,MAX(1915,MIN(2025,E279))),SUMIFS(Donnees_generations!$AH$3:$AH$113,Donnees_generations!$A$3:$A$113,MAX(1915,MIN(2025,E279))),SUMIFS(Donnees_generations!$AI$3:$AI$113,Donnees_generations!$A$3:$A$113,MAX(1915,MIN(2025,E279))),SUMIFS(Donnees_generations!$AJ$3:$AJ$113,Donnees_generations!$A$3:$A$113,MAX(1915,MIN(2025,E279)))))/2</f>
        <v/>
      </c>
      <c r="AI279" s="75">
        <f>(CHOOSE(((AG279+2)-56)/2+1,SUMIFS(Donnees_generations!$U$3:$U$113,Donnees_generations!$A$3:$A$113,MAX(1915,MIN(2025,E279))),SUMIFS(Donnees_generations!$V$3:$V$113,Donnees_generations!$A$3:$A$113,MAX(1915,MIN(2025,E279))),SUMIFS(Donnees_generations!$W$3:$W$113,Donnees_generations!$A$3:$A$113,MAX(1915,MIN(2025,E279))),SUMIFS(Donnees_generations!$X$3:$X$113,Donnees_generations!$A$3:$A$113,MAX(1915,MIN(2025,E279))),SUMIFS(Donnees_generations!$Y$3:$Y$113,Donnees_generations!$A$3:$A$113,MAX(1915,MIN(2025,E279))),SUMIFS(Donnees_generations!$Z$3:$Z$113,Donnees_generations!$A$3:$A$113,MAX(1915,MIN(2025,E279))),SUMIFS(Donnees_generations!$AA$3:$AA$113,Donnees_generations!$A$3:$A$113,MAX(1915,MIN(2025,E279))),SUMIFS(Donnees_generations!$AB$3:$AB$113,Donnees_generations!$A$3:$A$113,MAX(1915,MIN(2025,E279))))+CHOOSE(((AG279+2)-56)/2+1,SUMIFS(Donnees_generations!$AC$3:$AC$113,Donnees_generations!$A$3:$A$113,MAX(1915,MIN(2025,E279))),SUMIFS(Donnees_generations!$AD$3:$AD$113,Donnees_generations!$A$3:$A$113,MAX(1915,MIN(2025,E279))),SUMIFS(Donnees_generations!$AE$3:$AE$113,Donnees_generations!$A$3:$A$113,MAX(1915,MIN(2025,E279))),SUMIFS(Donnees_generations!$AF$3:$AF$113,Donnees_generations!$A$3:$A$113,MAX(1915,MIN(2025,E279))),SUMIFS(Donnees_generations!$AG$3:$AG$113,Donnees_generations!$A$3:$A$113,MAX(1915,MIN(2025,E279))),SUMIFS(Donnees_generations!$AH$3:$AH$113,Donnees_generations!$A$3:$A$113,MAX(1915,MIN(2025,E279))),SUMIFS(Donnees_generations!$AI$3:$AI$113,Donnees_generations!$A$3:$A$113,MAX(1915,MIN(2025,E279))),SUMIFS(Donnees_generations!$AJ$3:$AJ$113,Donnees_generations!$A$3:$A$113,MAX(1915,MIN(2025,E279)))))/2</f>
        <v/>
      </c>
      <c r="AJ279" s="8">
        <f>MAX(0,AH279+(AI279-AH279)*(K279-AG279)/2)</f>
        <v/>
      </c>
      <c r="AK279" s="8">
        <f>K279+AJ279</f>
        <v/>
      </c>
      <c r="AL279" s="14">
        <f>AE279*AJ279</f>
        <v/>
      </c>
      <c r="AM279" s="17">
        <f>V279/AL279</f>
        <v/>
      </c>
      <c r="AN279" s="17">
        <f>Z279/AL279</f>
        <v/>
      </c>
      <c r="AO279" s="33">
        <f>IF(V279+Z279=0,0,Z279/(V279+Z279))</f>
        <v/>
      </c>
      <c r="AP279" s="14">
        <f>AL279/V279*100</f>
        <v/>
      </c>
      <c r="AQ279" s="8">
        <f>P279/AL279*1000</f>
        <v/>
      </c>
      <c r="AR279" s="77">
        <f>MAX(N279,M279-1)</f>
        <v/>
      </c>
      <c r="AS279" s="14">
        <f>SUMIFS(Donnees_regimes!$R$3:$R$1118,Donnees_regimes!$A$3:$A$1118,C279,Donnees_regimes!$B$3:$B$1118,"&gt;="&amp;G279,Donnees_regimes!$B$3:$B$1118,"&lt;="&amp;N279)*L279/ROUNDUP(L279,0)*SUMIFS(Donnees_annuelles!$AG$3:$AG$188,Donnees_annuelles!$A$3:$A$188,AR279)*SUMIFS(Donnees_annuelles!$AA$3:$AA$188,Donnees_annuelles!$A$3:$A$188,AR279)</f>
        <v/>
      </c>
      <c r="AT279" s="36">
        <f>AS279/V279</f>
        <v/>
      </c>
      <c r="AU279" s="14">
        <f>AL279</f>
        <v/>
      </c>
      <c r="AV279" s="39">
        <f>AS279-AL279</f>
        <v/>
      </c>
      <c r="AW279" s="9">
        <f>AS279/AL279-1</f>
        <v/>
      </c>
      <c r="AX279" s="14">
        <f>AS279/AJ279/12</f>
        <v/>
      </c>
      <c r="AY279" s="14">
        <f>AF279</f>
        <v/>
      </c>
      <c r="AZ279" s="39">
        <f>AX279-AF279</f>
        <v/>
      </c>
      <c r="BA279" s="14">
        <f>SUMIFS(Donnees_regimes!$S$3:$S$1118,Donnees_regimes!$A$3:$A$1118,C279,Donnees_regimes!$B$3:$B$1118,"&gt;="&amp;G279,Donnees_regimes!$B$3:$B$1118,"&lt;="&amp;N279)*L279/ROUNDUP(L279,0)*SUMIFS(Donnees_annuelles!$AH$3:$AH$188,Donnees_annuelles!$A$3:$A$188,AR279)*SUMIFS(Donnees_annuelles!$AA$3:$AA$188,Donnees_annuelles!$A$3:$A$188,AR279)</f>
        <v/>
      </c>
      <c r="BB279" s="39">
        <f>BA279-AL279</f>
        <v/>
      </c>
      <c r="BC279" s="7">
        <f>IF(M279+AJ279&gt;2026,IF(G279&gt;2026,"entièrement projeté","en partie projeté"),"observé")</f>
        <v/>
      </c>
    </row>
    <row r="280">
      <c r="A280" s="7" t="inlineStr">
        <is>
          <t>Génération Z</t>
        </is>
      </c>
      <c r="B280" s="84" t="inlineStr">
        <is>
          <t>Fonction publique territoriale et hospitalière</t>
        </is>
      </c>
      <c r="C280" s="7">
        <f>IF(G280&gt;=SUMIFS(Regimes!$C$5:$C$10,Regimes!$A$5:$A$10,B280),"Privé",B280)</f>
        <v/>
      </c>
      <c r="D280" s="7">
        <f>INDEX(Regimes!$D$5:$D$10,MATCH(C280,Regimes!$A$5:$A$10,0))</f>
        <v/>
      </c>
      <c r="E280" s="88" t="n">
        <v>2009</v>
      </c>
      <c r="F280" s="8">
        <f>Donnees_generations!C97</f>
        <v/>
      </c>
      <c r="G280" s="77">
        <f>Donnees_generations!D97</f>
        <v/>
      </c>
      <c r="H280" s="8">
        <f>SUMIFS(Donnees_generations!$S$3:$S$113,Donnees_generations!$A$3:$A$113,MAX(1915,MIN(2025,E280)))</f>
        <v/>
      </c>
      <c r="I280" s="8">
        <f>SUMIFS(Donnees_generations!$T$3:$T$113,Donnees_generations!$A$3:$A$113,MAX(1915,MIN(2025,E280)))</f>
        <v/>
      </c>
      <c r="J280" s="8">
        <f>IF(G280&gt;=2000,MAX(I280,Parametres!$B$3),I280)</f>
        <v/>
      </c>
      <c r="K280" s="8">
        <f>IF(C280="Privé",J280,SUMIFS(Regles_regimes!$J$3:$J$2000,Regles_regimes!$A$3:$A$2000,C280,Regles_regimes!$B$3:$B$2000,D280,Regles_regimes!$C$3:$C$2000,MAX(1915,MIN(2025,E280))))</f>
        <v/>
      </c>
      <c r="L280" s="8">
        <f>IF(C280="Privé",H280,(K280-F280)*H280/(J280-F280))</f>
        <v/>
      </c>
      <c r="M280" s="77">
        <f>INT(E280+K280)</f>
        <v/>
      </c>
      <c r="N280" s="77">
        <f>G280+ROUNDUP(L280,0)-1</f>
        <v/>
      </c>
      <c r="O280" s="89">
        <f>SUMIFS(Regles_regimes!$K$3:$K$2000,Regles_regimes!$A$3:$A$2000,C280,Regles_regimes!$B$3:$B$2000,D280,Regles_regimes!$C$3:$C$2000,MAX(1915,MIN(2025,E280)))</f>
        <v/>
      </c>
      <c r="P280" s="13">
        <f>SUMIFS(Donnees_annuelles!$W$3:$W$188,Donnees_annuelles!$A$3:$A$188,"&gt;="&amp;G280,Donnees_annuelles!$A$3:$A$188,"&lt;="&amp;N280)*L280/ROUNDUP(L280,0)*O280</f>
        <v/>
      </c>
      <c r="Q280" s="13">
        <f>SUMIFS(Donnees_annuelles!$V$3:$V$188,Donnees_annuelles!$A$3:$A$188,"&gt;="&amp;G280,Donnees_annuelles!$A$3:$A$188,"&lt;="&amp;N280)*L280/ROUNDUP(L280,0)</f>
        <v/>
      </c>
      <c r="R280" s="13">
        <f>P280/L280</f>
        <v/>
      </c>
      <c r="S280" s="14">
        <f>SUMIFS(Donnees_annuelles!$D$3:$D$188,Donnees_annuelles!$A$3:$A$188,"&gt;="&amp;G280,Donnees_annuelles!$A$3:$A$188,"&lt;="&amp;N280)*L280/ROUNDUP(L280,0)</f>
        <v/>
      </c>
      <c r="T280" s="14">
        <f>SUMIFS(Donnees_regimes!$N$3:$N$1118,Donnees_regimes!$A$3:$A$1118,C280,Donnees_regimes!$B$3:$B$1118,"&gt;="&amp;G280,Donnees_regimes!$B$3:$B$1118,"&lt;="&amp;N280)*L280/ROUNDUP(L280,0)</f>
        <v/>
      </c>
      <c r="U280" s="14">
        <f>SUMIFS(Donnees_regimes!$O$3:$O$1118,Donnees_regimes!$A$3:$A$1118,C280,Donnees_regimes!$B$3:$B$1118,"&gt;="&amp;G280,Donnees_regimes!$B$3:$B$1118,"&lt;="&amp;N280)*L280/ROUNDUP(L280,0)</f>
        <v/>
      </c>
      <c r="V280" s="14">
        <f>T280+U280</f>
        <v/>
      </c>
      <c r="W280" s="33">
        <f>V280/S280</f>
        <v/>
      </c>
      <c r="X280" s="14">
        <f>S280+U280</f>
        <v/>
      </c>
      <c r="Y280" s="17">
        <f>V280/P280</f>
        <v/>
      </c>
      <c r="Z280" s="14">
        <f>SUMIFS(Donnees_regimes!$Q$3:$Q$1118,Donnees_regimes!$A$3:$A$1118,C280,Donnees_regimes!$B$3:$B$1118,"&gt;="&amp;G280,Donnees_regimes!$B$3:$B$1118,"&lt;="&amp;N280)*L280/ROUNDUP(L280,0)</f>
        <v/>
      </c>
      <c r="AA280" s="77">
        <f>SUMIFS(Regles_regimes!$F$3:$F$2000,Regles_regimes!$A$3:$A$2000,C280,Regles_regimes!$B$3:$B$2000,D280,Regles_regimes!$C$3:$C$2000,MAX(1915,MIN(2025,E280)))</f>
        <v/>
      </c>
      <c r="AB280" s="77">
        <f>IF(AND(SUMIFS(Regles_regimes!$L$3:$L$2000,Regles_regimes!$A$3:$A$2000,C280,Regles_regimes!$B$3:$B$2000,D280,Regles_regimes!$C$3:$C$2000,MAX(1915,MIN(2025,E280)))=1,G280&lt;2009,C280&lt;&gt;"Privé"),MIN(20,L280*4/5),0)</f>
        <v/>
      </c>
      <c r="AC280" s="89">
        <f>SUMIFS(Donnees_regimes!$M$3:$M$1118,Donnees_regimes!$A$3:$A$1118,C280,Donnees_regimes!$B$3:$B$1118,M280)</f>
        <v/>
      </c>
      <c r="AD280" s="14">
        <f>SUMIFS(Donnees_annuelles!$Y$3:$Y$188,Donnees_annuelles!$A$3:$A$188,M280)*SUMIFS(Donnees_generations!$I$3:$I$113,Donnees_generations!$A$3:$A$113,MAX(1915,MIN(2025,E280)))/H280</f>
        <v/>
      </c>
      <c r="AE280" s="14">
        <f>IF(C280="Privé",SUMIFS(Donnees_annuelles!$Y$3:$Y$188,Donnees_annuelles!$A$3:$A$188,M280)*MIN(L280,SUMIFS(Donnees_generations!$I$3:$I$113,Donnees_generations!$A$3:$A$113,MAX(1915,MIN(2025,E280))))/L280,AD280*AC280*MIN(IF(AB280&gt;0,0.8/0.75,1),(L280*4+AB280)/AA280))</f>
        <v/>
      </c>
      <c r="AF280" s="14">
        <f>AE280/12</f>
        <v/>
      </c>
      <c r="AG280" s="77">
        <f>MIN(68,MAX(56,2*INT(K280/2)))</f>
        <v/>
      </c>
      <c r="AH280" s="75">
        <f>(CHOOSE((AG280-56)/2+1,SUMIFS(Donnees_generations!$U$3:$U$113,Donnees_generations!$A$3:$A$113,MAX(1915,MIN(2025,E280))),SUMIFS(Donnees_generations!$V$3:$V$113,Donnees_generations!$A$3:$A$113,MAX(1915,MIN(2025,E280))),SUMIFS(Donnees_generations!$W$3:$W$113,Donnees_generations!$A$3:$A$113,MAX(1915,MIN(2025,E280))),SUMIFS(Donnees_generations!$X$3:$X$113,Donnees_generations!$A$3:$A$113,MAX(1915,MIN(2025,E280))),SUMIFS(Donnees_generations!$Y$3:$Y$113,Donnees_generations!$A$3:$A$113,MAX(1915,MIN(2025,E280))),SUMIFS(Donnees_generations!$Z$3:$Z$113,Donnees_generations!$A$3:$A$113,MAX(1915,MIN(2025,E280))),SUMIFS(Donnees_generations!$AA$3:$AA$113,Donnees_generations!$A$3:$A$113,MAX(1915,MIN(2025,E280))),SUMIFS(Donnees_generations!$AB$3:$AB$113,Donnees_generations!$A$3:$A$113,MAX(1915,MIN(2025,E280))))+CHOOSE((AG280-56)/2+1,SUMIFS(Donnees_generations!$AC$3:$AC$113,Donnees_generations!$A$3:$A$113,MAX(1915,MIN(2025,E280))),SUMIFS(Donnees_generations!$AD$3:$AD$113,Donnees_generations!$A$3:$A$113,MAX(1915,MIN(2025,E280))),SUMIFS(Donnees_generations!$AE$3:$AE$113,Donnees_generations!$A$3:$A$113,MAX(1915,MIN(2025,E280))),SUMIFS(Donnees_generations!$AF$3:$AF$113,Donnees_generations!$A$3:$A$113,MAX(1915,MIN(2025,E280))),SUMIFS(Donnees_generations!$AG$3:$AG$113,Donnees_generations!$A$3:$A$113,MAX(1915,MIN(2025,E280))),SUMIFS(Donnees_generations!$AH$3:$AH$113,Donnees_generations!$A$3:$A$113,MAX(1915,MIN(2025,E280))),SUMIFS(Donnees_generations!$AI$3:$AI$113,Donnees_generations!$A$3:$A$113,MAX(1915,MIN(2025,E280))),SUMIFS(Donnees_generations!$AJ$3:$AJ$113,Donnees_generations!$A$3:$A$113,MAX(1915,MIN(2025,E280)))))/2</f>
        <v/>
      </c>
      <c r="AI280" s="75">
        <f>(CHOOSE(((AG280+2)-56)/2+1,SUMIFS(Donnees_generations!$U$3:$U$113,Donnees_generations!$A$3:$A$113,MAX(1915,MIN(2025,E280))),SUMIFS(Donnees_generations!$V$3:$V$113,Donnees_generations!$A$3:$A$113,MAX(1915,MIN(2025,E280))),SUMIFS(Donnees_generations!$W$3:$W$113,Donnees_generations!$A$3:$A$113,MAX(1915,MIN(2025,E280))),SUMIFS(Donnees_generations!$X$3:$X$113,Donnees_generations!$A$3:$A$113,MAX(1915,MIN(2025,E280))),SUMIFS(Donnees_generations!$Y$3:$Y$113,Donnees_generations!$A$3:$A$113,MAX(1915,MIN(2025,E280))),SUMIFS(Donnees_generations!$Z$3:$Z$113,Donnees_generations!$A$3:$A$113,MAX(1915,MIN(2025,E280))),SUMIFS(Donnees_generations!$AA$3:$AA$113,Donnees_generations!$A$3:$A$113,MAX(1915,MIN(2025,E280))),SUMIFS(Donnees_generations!$AB$3:$AB$113,Donnees_generations!$A$3:$A$113,MAX(1915,MIN(2025,E280))))+CHOOSE(((AG280+2)-56)/2+1,SUMIFS(Donnees_generations!$AC$3:$AC$113,Donnees_generations!$A$3:$A$113,MAX(1915,MIN(2025,E280))),SUMIFS(Donnees_generations!$AD$3:$AD$113,Donnees_generations!$A$3:$A$113,MAX(1915,MIN(2025,E280))),SUMIFS(Donnees_generations!$AE$3:$AE$113,Donnees_generations!$A$3:$A$113,MAX(1915,MIN(2025,E280))),SUMIFS(Donnees_generations!$AF$3:$AF$113,Donnees_generations!$A$3:$A$113,MAX(1915,MIN(2025,E280))),SUMIFS(Donnees_generations!$AG$3:$AG$113,Donnees_generations!$A$3:$A$113,MAX(1915,MIN(2025,E280))),SUMIFS(Donnees_generations!$AH$3:$AH$113,Donnees_generations!$A$3:$A$113,MAX(1915,MIN(2025,E280))),SUMIFS(Donnees_generations!$AI$3:$AI$113,Donnees_generations!$A$3:$A$113,MAX(1915,MIN(2025,E280))),SUMIFS(Donnees_generations!$AJ$3:$AJ$113,Donnees_generations!$A$3:$A$113,MAX(1915,MIN(2025,E280)))))/2</f>
        <v/>
      </c>
      <c r="AJ280" s="8">
        <f>MAX(0,AH280+(AI280-AH280)*(K280-AG280)/2)</f>
        <v/>
      </c>
      <c r="AK280" s="8">
        <f>K280+AJ280</f>
        <v/>
      </c>
      <c r="AL280" s="14">
        <f>AE280*AJ280</f>
        <v/>
      </c>
      <c r="AM280" s="17">
        <f>V280/AL280</f>
        <v/>
      </c>
      <c r="AN280" s="17">
        <f>Z280/AL280</f>
        <v/>
      </c>
      <c r="AO280" s="33">
        <f>IF(V280+Z280=0,0,Z280/(V280+Z280))</f>
        <v/>
      </c>
      <c r="AP280" s="14">
        <f>AL280/V280*100</f>
        <v/>
      </c>
      <c r="AQ280" s="8">
        <f>P280/AL280*1000</f>
        <v/>
      </c>
      <c r="AR280" s="77">
        <f>MAX(N280,M280-1)</f>
        <v/>
      </c>
      <c r="AS280" s="14">
        <f>SUMIFS(Donnees_regimes!$R$3:$R$1118,Donnees_regimes!$A$3:$A$1118,C280,Donnees_regimes!$B$3:$B$1118,"&gt;="&amp;G280,Donnees_regimes!$B$3:$B$1118,"&lt;="&amp;N280)*L280/ROUNDUP(L280,0)*SUMIFS(Donnees_annuelles!$AG$3:$AG$188,Donnees_annuelles!$A$3:$A$188,AR280)*SUMIFS(Donnees_annuelles!$AA$3:$AA$188,Donnees_annuelles!$A$3:$A$188,AR280)</f>
        <v/>
      </c>
      <c r="AT280" s="36">
        <f>AS280/V280</f>
        <v/>
      </c>
      <c r="AU280" s="14">
        <f>AL280</f>
        <v/>
      </c>
      <c r="AV280" s="39">
        <f>AS280-AL280</f>
        <v/>
      </c>
      <c r="AW280" s="9">
        <f>AS280/AL280-1</f>
        <v/>
      </c>
      <c r="AX280" s="14">
        <f>AS280/AJ280/12</f>
        <v/>
      </c>
      <c r="AY280" s="14">
        <f>AF280</f>
        <v/>
      </c>
      <c r="AZ280" s="39">
        <f>AX280-AF280</f>
        <v/>
      </c>
      <c r="BA280" s="14">
        <f>SUMIFS(Donnees_regimes!$S$3:$S$1118,Donnees_regimes!$A$3:$A$1118,C280,Donnees_regimes!$B$3:$B$1118,"&gt;="&amp;G280,Donnees_regimes!$B$3:$B$1118,"&lt;="&amp;N280)*L280/ROUNDUP(L280,0)*SUMIFS(Donnees_annuelles!$AH$3:$AH$188,Donnees_annuelles!$A$3:$A$188,AR280)*SUMIFS(Donnees_annuelles!$AA$3:$AA$188,Donnees_annuelles!$A$3:$A$188,AR280)</f>
        <v/>
      </c>
      <c r="BB280" s="39">
        <f>BA280-AL280</f>
        <v/>
      </c>
      <c r="BC280" s="7">
        <f>IF(M280+AJ280&gt;2026,IF(G280&gt;2026,"entièrement projeté","en partie projeté"),"observé")</f>
        <v/>
      </c>
    </row>
    <row r="281">
      <c r="A281" s="7" t="inlineStr">
        <is>
          <t>Génération Z</t>
        </is>
      </c>
      <c r="B281" s="84" t="inlineStr">
        <is>
          <t>Fonction publique territoriale et hospitalière</t>
        </is>
      </c>
      <c r="C281" s="7">
        <f>IF(G281&gt;=SUMIFS(Regimes!$C$5:$C$10,Regimes!$A$5:$A$10,B281),"Privé",B281)</f>
        <v/>
      </c>
      <c r="D281" s="7">
        <f>INDEX(Regimes!$D$5:$D$10,MATCH(C281,Regimes!$A$5:$A$10,0))</f>
        <v/>
      </c>
      <c r="E281" s="88" t="n">
        <v>2010</v>
      </c>
      <c r="F281" s="8">
        <f>Donnees_generations!C98</f>
        <v/>
      </c>
      <c r="G281" s="77">
        <f>Donnees_generations!D98</f>
        <v/>
      </c>
      <c r="H281" s="8">
        <f>SUMIFS(Donnees_generations!$S$3:$S$113,Donnees_generations!$A$3:$A$113,MAX(1915,MIN(2025,E281)))</f>
        <v/>
      </c>
      <c r="I281" s="8">
        <f>SUMIFS(Donnees_generations!$T$3:$T$113,Donnees_generations!$A$3:$A$113,MAX(1915,MIN(2025,E281)))</f>
        <v/>
      </c>
      <c r="J281" s="8">
        <f>IF(G281&gt;=2000,MAX(I281,Parametres!$B$3),I281)</f>
        <v/>
      </c>
      <c r="K281" s="8">
        <f>IF(C281="Privé",J281,SUMIFS(Regles_regimes!$J$3:$J$2000,Regles_regimes!$A$3:$A$2000,C281,Regles_regimes!$B$3:$B$2000,D281,Regles_regimes!$C$3:$C$2000,MAX(1915,MIN(2025,E281))))</f>
        <v/>
      </c>
      <c r="L281" s="8">
        <f>IF(C281="Privé",H281,(K281-F281)*H281/(J281-F281))</f>
        <v/>
      </c>
      <c r="M281" s="77">
        <f>INT(E281+K281)</f>
        <v/>
      </c>
      <c r="N281" s="77">
        <f>G281+ROUNDUP(L281,0)-1</f>
        <v/>
      </c>
      <c r="O281" s="89">
        <f>SUMIFS(Regles_regimes!$K$3:$K$2000,Regles_regimes!$A$3:$A$2000,C281,Regles_regimes!$B$3:$B$2000,D281,Regles_regimes!$C$3:$C$2000,MAX(1915,MIN(2025,E281)))</f>
        <v/>
      </c>
      <c r="P281" s="13">
        <f>SUMIFS(Donnees_annuelles!$W$3:$W$188,Donnees_annuelles!$A$3:$A$188,"&gt;="&amp;G281,Donnees_annuelles!$A$3:$A$188,"&lt;="&amp;N281)*L281/ROUNDUP(L281,0)*O281</f>
        <v/>
      </c>
      <c r="Q281" s="13">
        <f>SUMIFS(Donnees_annuelles!$V$3:$V$188,Donnees_annuelles!$A$3:$A$188,"&gt;="&amp;G281,Donnees_annuelles!$A$3:$A$188,"&lt;="&amp;N281)*L281/ROUNDUP(L281,0)</f>
        <v/>
      </c>
      <c r="R281" s="13">
        <f>P281/L281</f>
        <v/>
      </c>
      <c r="S281" s="14">
        <f>SUMIFS(Donnees_annuelles!$D$3:$D$188,Donnees_annuelles!$A$3:$A$188,"&gt;="&amp;G281,Donnees_annuelles!$A$3:$A$188,"&lt;="&amp;N281)*L281/ROUNDUP(L281,0)</f>
        <v/>
      </c>
      <c r="T281" s="14">
        <f>SUMIFS(Donnees_regimes!$N$3:$N$1118,Donnees_regimes!$A$3:$A$1118,C281,Donnees_regimes!$B$3:$B$1118,"&gt;="&amp;G281,Donnees_regimes!$B$3:$B$1118,"&lt;="&amp;N281)*L281/ROUNDUP(L281,0)</f>
        <v/>
      </c>
      <c r="U281" s="14">
        <f>SUMIFS(Donnees_regimes!$O$3:$O$1118,Donnees_regimes!$A$3:$A$1118,C281,Donnees_regimes!$B$3:$B$1118,"&gt;="&amp;G281,Donnees_regimes!$B$3:$B$1118,"&lt;="&amp;N281)*L281/ROUNDUP(L281,0)</f>
        <v/>
      </c>
      <c r="V281" s="14">
        <f>T281+U281</f>
        <v/>
      </c>
      <c r="W281" s="33">
        <f>V281/S281</f>
        <v/>
      </c>
      <c r="X281" s="14">
        <f>S281+U281</f>
        <v/>
      </c>
      <c r="Y281" s="17">
        <f>V281/P281</f>
        <v/>
      </c>
      <c r="Z281" s="14">
        <f>SUMIFS(Donnees_regimes!$Q$3:$Q$1118,Donnees_regimes!$A$3:$A$1118,C281,Donnees_regimes!$B$3:$B$1118,"&gt;="&amp;G281,Donnees_regimes!$B$3:$B$1118,"&lt;="&amp;N281)*L281/ROUNDUP(L281,0)</f>
        <v/>
      </c>
      <c r="AA281" s="77">
        <f>SUMIFS(Regles_regimes!$F$3:$F$2000,Regles_regimes!$A$3:$A$2000,C281,Regles_regimes!$B$3:$B$2000,D281,Regles_regimes!$C$3:$C$2000,MAX(1915,MIN(2025,E281)))</f>
        <v/>
      </c>
      <c r="AB281" s="77">
        <f>IF(AND(SUMIFS(Regles_regimes!$L$3:$L$2000,Regles_regimes!$A$3:$A$2000,C281,Regles_regimes!$B$3:$B$2000,D281,Regles_regimes!$C$3:$C$2000,MAX(1915,MIN(2025,E281)))=1,G281&lt;2009,C281&lt;&gt;"Privé"),MIN(20,L281*4/5),0)</f>
        <v/>
      </c>
      <c r="AC281" s="89">
        <f>SUMIFS(Donnees_regimes!$M$3:$M$1118,Donnees_regimes!$A$3:$A$1118,C281,Donnees_regimes!$B$3:$B$1118,M281)</f>
        <v/>
      </c>
      <c r="AD281" s="14">
        <f>SUMIFS(Donnees_annuelles!$Y$3:$Y$188,Donnees_annuelles!$A$3:$A$188,M281)*SUMIFS(Donnees_generations!$I$3:$I$113,Donnees_generations!$A$3:$A$113,MAX(1915,MIN(2025,E281)))/H281</f>
        <v/>
      </c>
      <c r="AE281" s="14">
        <f>IF(C281="Privé",SUMIFS(Donnees_annuelles!$Y$3:$Y$188,Donnees_annuelles!$A$3:$A$188,M281)*MIN(L281,SUMIFS(Donnees_generations!$I$3:$I$113,Donnees_generations!$A$3:$A$113,MAX(1915,MIN(2025,E281))))/L281,AD281*AC281*MIN(IF(AB281&gt;0,0.8/0.75,1),(L281*4+AB281)/AA281))</f>
        <v/>
      </c>
      <c r="AF281" s="14">
        <f>AE281/12</f>
        <v/>
      </c>
      <c r="AG281" s="77">
        <f>MIN(68,MAX(56,2*INT(K281/2)))</f>
        <v/>
      </c>
      <c r="AH281" s="75">
        <f>(CHOOSE((AG281-56)/2+1,SUMIFS(Donnees_generations!$U$3:$U$113,Donnees_generations!$A$3:$A$113,MAX(1915,MIN(2025,E281))),SUMIFS(Donnees_generations!$V$3:$V$113,Donnees_generations!$A$3:$A$113,MAX(1915,MIN(2025,E281))),SUMIFS(Donnees_generations!$W$3:$W$113,Donnees_generations!$A$3:$A$113,MAX(1915,MIN(2025,E281))),SUMIFS(Donnees_generations!$X$3:$X$113,Donnees_generations!$A$3:$A$113,MAX(1915,MIN(2025,E281))),SUMIFS(Donnees_generations!$Y$3:$Y$113,Donnees_generations!$A$3:$A$113,MAX(1915,MIN(2025,E281))),SUMIFS(Donnees_generations!$Z$3:$Z$113,Donnees_generations!$A$3:$A$113,MAX(1915,MIN(2025,E281))),SUMIFS(Donnees_generations!$AA$3:$AA$113,Donnees_generations!$A$3:$A$113,MAX(1915,MIN(2025,E281))),SUMIFS(Donnees_generations!$AB$3:$AB$113,Donnees_generations!$A$3:$A$113,MAX(1915,MIN(2025,E281))))+CHOOSE((AG281-56)/2+1,SUMIFS(Donnees_generations!$AC$3:$AC$113,Donnees_generations!$A$3:$A$113,MAX(1915,MIN(2025,E281))),SUMIFS(Donnees_generations!$AD$3:$AD$113,Donnees_generations!$A$3:$A$113,MAX(1915,MIN(2025,E281))),SUMIFS(Donnees_generations!$AE$3:$AE$113,Donnees_generations!$A$3:$A$113,MAX(1915,MIN(2025,E281))),SUMIFS(Donnees_generations!$AF$3:$AF$113,Donnees_generations!$A$3:$A$113,MAX(1915,MIN(2025,E281))),SUMIFS(Donnees_generations!$AG$3:$AG$113,Donnees_generations!$A$3:$A$113,MAX(1915,MIN(2025,E281))),SUMIFS(Donnees_generations!$AH$3:$AH$113,Donnees_generations!$A$3:$A$113,MAX(1915,MIN(2025,E281))),SUMIFS(Donnees_generations!$AI$3:$AI$113,Donnees_generations!$A$3:$A$113,MAX(1915,MIN(2025,E281))),SUMIFS(Donnees_generations!$AJ$3:$AJ$113,Donnees_generations!$A$3:$A$113,MAX(1915,MIN(2025,E281)))))/2</f>
        <v/>
      </c>
      <c r="AI281" s="75">
        <f>(CHOOSE(((AG281+2)-56)/2+1,SUMIFS(Donnees_generations!$U$3:$U$113,Donnees_generations!$A$3:$A$113,MAX(1915,MIN(2025,E281))),SUMIFS(Donnees_generations!$V$3:$V$113,Donnees_generations!$A$3:$A$113,MAX(1915,MIN(2025,E281))),SUMIFS(Donnees_generations!$W$3:$W$113,Donnees_generations!$A$3:$A$113,MAX(1915,MIN(2025,E281))),SUMIFS(Donnees_generations!$X$3:$X$113,Donnees_generations!$A$3:$A$113,MAX(1915,MIN(2025,E281))),SUMIFS(Donnees_generations!$Y$3:$Y$113,Donnees_generations!$A$3:$A$113,MAX(1915,MIN(2025,E281))),SUMIFS(Donnees_generations!$Z$3:$Z$113,Donnees_generations!$A$3:$A$113,MAX(1915,MIN(2025,E281))),SUMIFS(Donnees_generations!$AA$3:$AA$113,Donnees_generations!$A$3:$A$113,MAX(1915,MIN(2025,E281))),SUMIFS(Donnees_generations!$AB$3:$AB$113,Donnees_generations!$A$3:$A$113,MAX(1915,MIN(2025,E281))))+CHOOSE(((AG281+2)-56)/2+1,SUMIFS(Donnees_generations!$AC$3:$AC$113,Donnees_generations!$A$3:$A$113,MAX(1915,MIN(2025,E281))),SUMIFS(Donnees_generations!$AD$3:$AD$113,Donnees_generations!$A$3:$A$113,MAX(1915,MIN(2025,E281))),SUMIFS(Donnees_generations!$AE$3:$AE$113,Donnees_generations!$A$3:$A$113,MAX(1915,MIN(2025,E281))),SUMIFS(Donnees_generations!$AF$3:$AF$113,Donnees_generations!$A$3:$A$113,MAX(1915,MIN(2025,E281))),SUMIFS(Donnees_generations!$AG$3:$AG$113,Donnees_generations!$A$3:$A$113,MAX(1915,MIN(2025,E281))),SUMIFS(Donnees_generations!$AH$3:$AH$113,Donnees_generations!$A$3:$A$113,MAX(1915,MIN(2025,E281))),SUMIFS(Donnees_generations!$AI$3:$AI$113,Donnees_generations!$A$3:$A$113,MAX(1915,MIN(2025,E281))),SUMIFS(Donnees_generations!$AJ$3:$AJ$113,Donnees_generations!$A$3:$A$113,MAX(1915,MIN(2025,E281)))))/2</f>
        <v/>
      </c>
      <c r="AJ281" s="8">
        <f>MAX(0,AH281+(AI281-AH281)*(K281-AG281)/2)</f>
        <v/>
      </c>
      <c r="AK281" s="8">
        <f>K281+AJ281</f>
        <v/>
      </c>
      <c r="AL281" s="14">
        <f>AE281*AJ281</f>
        <v/>
      </c>
      <c r="AM281" s="17">
        <f>V281/AL281</f>
        <v/>
      </c>
      <c r="AN281" s="17">
        <f>Z281/AL281</f>
        <v/>
      </c>
      <c r="AO281" s="33">
        <f>IF(V281+Z281=0,0,Z281/(V281+Z281))</f>
        <v/>
      </c>
      <c r="AP281" s="14">
        <f>AL281/V281*100</f>
        <v/>
      </c>
      <c r="AQ281" s="8">
        <f>P281/AL281*1000</f>
        <v/>
      </c>
      <c r="AR281" s="77">
        <f>MAX(N281,M281-1)</f>
        <v/>
      </c>
      <c r="AS281" s="14">
        <f>SUMIFS(Donnees_regimes!$R$3:$R$1118,Donnees_regimes!$A$3:$A$1118,C281,Donnees_regimes!$B$3:$B$1118,"&gt;="&amp;G281,Donnees_regimes!$B$3:$B$1118,"&lt;="&amp;N281)*L281/ROUNDUP(L281,0)*SUMIFS(Donnees_annuelles!$AG$3:$AG$188,Donnees_annuelles!$A$3:$A$188,AR281)*SUMIFS(Donnees_annuelles!$AA$3:$AA$188,Donnees_annuelles!$A$3:$A$188,AR281)</f>
        <v/>
      </c>
      <c r="AT281" s="36">
        <f>AS281/V281</f>
        <v/>
      </c>
      <c r="AU281" s="14">
        <f>AL281</f>
        <v/>
      </c>
      <c r="AV281" s="39">
        <f>AS281-AL281</f>
        <v/>
      </c>
      <c r="AW281" s="9">
        <f>AS281/AL281-1</f>
        <v/>
      </c>
      <c r="AX281" s="14">
        <f>AS281/AJ281/12</f>
        <v/>
      </c>
      <c r="AY281" s="14">
        <f>AF281</f>
        <v/>
      </c>
      <c r="AZ281" s="39">
        <f>AX281-AF281</f>
        <v/>
      </c>
      <c r="BA281" s="14">
        <f>SUMIFS(Donnees_regimes!$S$3:$S$1118,Donnees_regimes!$A$3:$A$1118,C281,Donnees_regimes!$B$3:$B$1118,"&gt;="&amp;G281,Donnees_regimes!$B$3:$B$1118,"&lt;="&amp;N281)*L281/ROUNDUP(L281,0)*SUMIFS(Donnees_annuelles!$AH$3:$AH$188,Donnees_annuelles!$A$3:$A$188,AR281)*SUMIFS(Donnees_annuelles!$AA$3:$AA$188,Donnees_annuelles!$A$3:$A$188,AR281)</f>
        <v/>
      </c>
      <c r="BB281" s="39">
        <f>BA281-AL281</f>
        <v/>
      </c>
      <c r="BC281" s="7">
        <f>IF(M281+AJ281&gt;2026,IF(G281&gt;2026,"entièrement projeté","en partie projeté"),"observé")</f>
        <v/>
      </c>
    </row>
    <row r="282">
      <c r="A282" s="7" t="inlineStr">
        <is>
          <t>Génération Z</t>
        </is>
      </c>
      <c r="B282" s="84" t="inlineStr">
        <is>
          <t>Fonction publique territoriale et hospitalière</t>
        </is>
      </c>
      <c r="C282" s="7">
        <f>IF(G282&gt;=SUMIFS(Regimes!$C$5:$C$10,Regimes!$A$5:$A$10,B282),"Privé",B282)</f>
        <v/>
      </c>
      <c r="D282" s="7">
        <f>INDEX(Regimes!$D$5:$D$10,MATCH(C282,Regimes!$A$5:$A$10,0))</f>
        <v/>
      </c>
      <c r="E282" s="88" t="n">
        <v>2011</v>
      </c>
      <c r="F282" s="8">
        <f>Donnees_generations!C99</f>
        <v/>
      </c>
      <c r="G282" s="77">
        <f>Donnees_generations!D99</f>
        <v/>
      </c>
      <c r="H282" s="8">
        <f>SUMIFS(Donnees_generations!$S$3:$S$113,Donnees_generations!$A$3:$A$113,MAX(1915,MIN(2025,E282)))</f>
        <v/>
      </c>
      <c r="I282" s="8">
        <f>SUMIFS(Donnees_generations!$T$3:$T$113,Donnees_generations!$A$3:$A$113,MAX(1915,MIN(2025,E282)))</f>
        <v/>
      </c>
      <c r="J282" s="8">
        <f>IF(G282&gt;=2000,MAX(I282,Parametres!$B$3),I282)</f>
        <v/>
      </c>
      <c r="K282" s="8">
        <f>IF(C282="Privé",J282,SUMIFS(Regles_regimes!$J$3:$J$2000,Regles_regimes!$A$3:$A$2000,C282,Regles_regimes!$B$3:$B$2000,D282,Regles_regimes!$C$3:$C$2000,MAX(1915,MIN(2025,E282))))</f>
        <v/>
      </c>
      <c r="L282" s="8">
        <f>IF(C282="Privé",H282,(K282-F282)*H282/(J282-F282))</f>
        <v/>
      </c>
      <c r="M282" s="77">
        <f>INT(E282+K282)</f>
        <v/>
      </c>
      <c r="N282" s="77">
        <f>G282+ROUNDUP(L282,0)-1</f>
        <v/>
      </c>
      <c r="O282" s="89">
        <f>SUMIFS(Regles_regimes!$K$3:$K$2000,Regles_regimes!$A$3:$A$2000,C282,Regles_regimes!$B$3:$B$2000,D282,Regles_regimes!$C$3:$C$2000,MAX(1915,MIN(2025,E282)))</f>
        <v/>
      </c>
      <c r="P282" s="13">
        <f>SUMIFS(Donnees_annuelles!$W$3:$W$188,Donnees_annuelles!$A$3:$A$188,"&gt;="&amp;G282,Donnees_annuelles!$A$3:$A$188,"&lt;="&amp;N282)*L282/ROUNDUP(L282,0)*O282</f>
        <v/>
      </c>
      <c r="Q282" s="13">
        <f>SUMIFS(Donnees_annuelles!$V$3:$V$188,Donnees_annuelles!$A$3:$A$188,"&gt;="&amp;G282,Donnees_annuelles!$A$3:$A$188,"&lt;="&amp;N282)*L282/ROUNDUP(L282,0)</f>
        <v/>
      </c>
      <c r="R282" s="13">
        <f>P282/L282</f>
        <v/>
      </c>
      <c r="S282" s="14">
        <f>SUMIFS(Donnees_annuelles!$D$3:$D$188,Donnees_annuelles!$A$3:$A$188,"&gt;="&amp;G282,Donnees_annuelles!$A$3:$A$188,"&lt;="&amp;N282)*L282/ROUNDUP(L282,0)</f>
        <v/>
      </c>
      <c r="T282" s="14">
        <f>SUMIFS(Donnees_regimes!$N$3:$N$1118,Donnees_regimes!$A$3:$A$1118,C282,Donnees_regimes!$B$3:$B$1118,"&gt;="&amp;G282,Donnees_regimes!$B$3:$B$1118,"&lt;="&amp;N282)*L282/ROUNDUP(L282,0)</f>
        <v/>
      </c>
      <c r="U282" s="14">
        <f>SUMIFS(Donnees_regimes!$O$3:$O$1118,Donnees_regimes!$A$3:$A$1118,C282,Donnees_regimes!$B$3:$B$1118,"&gt;="&amp;G282,Donnees_regimes!$B$3:$B$1118,"&lt;="&amp;N282)*L282/ROUNDUP(L282,0)</f>
        <v/>
      </c>
      <c r="V282" s="14">
        <f>T282+U282</f>
        <v/>
      </c>
      <c r="W282" s="33">
        <f>V282/S282</f>
        <v/>
      </c>
      <c r="X282" s="14">
        <f>S282+U282</f>
        <v/>
      </c>
      <c r="Y282" s="17">
        <f>V282/P282</f>
        <v/>
      </c>
      <c r="Z282" s="14">
        <f>SUMIFS(Donnees_regimes!$Q$3:$Q$1118,Donnees_regimes!$A$3:$A$1118,C282,Donnees_regimes!$B$3:$B$1118,"&gt;="&amp;G282,Donnees_regimes!$B$3:$B$1118,"&lt;="&amp;N282)*L282/ROUNDUP(L282,0)</f>
        <v/>
      </c>
      <c r="AA282" s="77">
        <f>SUMIFS(Regles_regimes!$F$3:$F$2000,Regles_regimes!$A$3:$A$2000,C282,Regles_regimes!$B$3:$B$2000,D282,Regles_regimes!$C$3:$C$2000,MAX(1915,MIN(2025,E282)))</f>
        <v/>
      </c>
      <c r="AB282" s="77">
        <f>IF(AND(SUMIFS(Regles_regimes!$L$3:$L$2000,Regles_regimes!$A$3:$A$2000,C282,Regles_regimes!$B$3:$B$2000,D282,Regles_regimes!$C$3:$C$2000,MAX(1915,MIN(2025,E282)))=1,G282&lt;2009,C282&lt;&gt;"Privé"),MIN(20,L282*4/5),0)</f>
        <v/>
      </c>
      <c r="AC282" s="89">
        <f>SUMIFS(Donnees_regimes!$M$3:$M$1118,Donnees_regimes!$A$3:$A$1118,C282,Donnees_regimes!$B$3:$B$1118,M282)</f>
        <v/>
      </c>
      <c r="AD282" s="14">
        <f>SUMIFS(Donnees_annuelles!$Y$3:$Y$188,Donnees_annuelles!$A$3:$A$188,M282)*SUMIFS(Donnees_generations!$I$3:$I$113,Donnees_generations!$A$3:$A$113,MAX(1915,MIN(2025,E282)))/H282</f>
        <v/>
      </c>
      <c r="AE282" s="14">
        <f>IF(C282="Privé",SUMIFS(Donnees_annuelles!$Y$3:$Y$188,Donnees_annuelles!$A$3:$A$188,M282)*MIN(L282,SUMIFS(Donnees_generations!$I$3:$I$113,Donnees_generations!$A$3:$A$113,MAX(1915,MIN(2025,E282))))/L282,AD282*AC282*MIN(IF(AB282&gt;0,0.8/0.75,1),(L282*4+AB282)/AA282))</f>
        <v/>
      </c>
      <c r="AF282" s="14">
        <f>AE282/12</f>
        <v/>
      </c>
      <c r="AG282" s="77">
        <f>MIN(68,MAX(56,2*INT(K282/2)))</f>
        <v/>
      </c>
      <c r="AH282" s="75">
        <f>(CHOOSE((AG282-56)/2+1,SUMIFS(Donnees_generations!$U$3:$U$113,Donnees_generations!$A$3:$A$113,MAX(1915,MIN(2025,E282))),SUMIFS(Donnees_generations!$V$3:$V$113,Donnees_generations!$A$3:$A$113,MAX(1915,MIN(2025,E282))),SUMIFS(Donnees_generations!$W$3:$W$113,Donnees_generations!$A$3:$A$113,MAX(1915,MIN(2025,E282))),SUMIFS(Donnees_generations!$X$3:$X$113,Donnees_generations!$A$3:$A$113,MAX(1915,MIN(2025,E282))),SUMIFS(Donnees_generations!$Y$3:$Y$113,Donnees_generations!$A$3:$A$113,MAX(1915,MIN(2025,E282))),SUMIFS(Donnees_generations!$Z$3:$Z$113,Donnees_generations!$A$3:$A$113,MAX(1915,MIN(2025,E282))),SUMIFS(Donnees_generations!$AA$3:$AA$113,Donnees_generations!$A$3:$A$113,MAX(1915,MIN(2025,E282))),SUMIFS(Donnees_generations!$AB$3:$AB$113,Donnees_generations!$A$3:$A$113,MAX(1915,MIN(2025,E282))))+CHOOSE((AG282-56)/2+1,SUMIFS(Donnees_generations!$AC$3:$AC$113,Donnees_generations!$A$3:$A$113,MAX(1915,MIN(2025,E282))),SUMIFS(Donnees_generations!$AD$3:$AD$113,Donnees_generations!$A$3:$A$113,MAX(1915,MIN(2025,E282))),SUMIFS(Donnees_generations!$AE$3:$AE$113,Donnees_generations!$A$3:$A$113,MAX(1915,MIN(2025,E282))),SUMIFS(Donnees_generations!$AF$3:$AF$113,Donnees_generations!$A$3:$A$113,MAX(1915,MIN(2025,E282))),SUMIFS(Donnees_generations!$AG$3:$AG$113,Donnees_generations!$A$3:$A$113,MAX(1915,MIN(2025,E282))),SUMIFS(Donnees_generations!$AH$3:$AH$113,Donnees_generations!$A$3:$A$113,MAX(1915,MIN(2025,E282))),SUMIFS(Donnees_generations!$AI$3:$AI$113,Donnees_generations!$A$3:$A$113,MAX(1915,MIN(2025,E282))),SUMIFS(Donnees_generations!$AJ$3:$AJ$113,Donnees_generations!$A$3:$A$113,MAX(1915,MIN(2025,E282)))))/2</f>
        <v/>
      </c>
      <c r="AI282" s="75">
        <f>(CHOOSE(((AG282+2)-56)/2+1,SUMIFS(Donnees_generations!$U$3:$U$113,Donnees_generations!$A$3:$A$113,MAX(1915,MIN(2025,E282))),SUMIFS(Donnees_generations!$V$3:$V$113,Donnees_generations!$A$3:$A$113,MAX(1915,MIN(2025,E282))),SUMIFS(Donnees_generations!$W$3:$W$113,Donnees_generations!$A$3:$A$113,MAX(1915,MIN(2025,E282))),SUMIFS(Donnees_generations!$X$3:$X$113,Donnees_generations!$A$3:$A$113,MAX(1915,MIN(2025,E282))),SUMIFS(Donnees_generations!$Y$3:$Y$113,Donnees_generations!$A$3:$A$113,MAX(1915,MIN(2025,E282))),SUMIFS(Donnees_generations!$Z$3:$Z$113,Donnees_generations!$A$3:$A$113,MAX(1915,MIN(2025,E282))),SUMIFS(Donnees_generations!$AA$3:$AA$113,Donnees_generations!$A$3:$A$113,MAX(1915,MIN(2025,E282))),SUMIFS(Donnees_generations!$AB$3:$AB$113,Donnees_generations!$A$3:$A$113,MAX(1915,MIN(2025,E282))))+CHOOSE(((AG282+2)-56)/2+1,SUMIFS(Donnees_generations!$AC$3:$AC$113,Donnees_generations!$A$3:$A$113,MAX(1915,MIN(2025,E282))),SUMIFS(Donnees_generations!$AD$3:$AD$113,Donnees_generations!$A$3:$A$113,MAX(1915,MIN(2025,E282))),SUMIFS(Donnees_generations!$AE$3:$AE$113,Donnees_generations!$A$3:$A$113,MAX(1915,MIN(2025,E282))),SUMIFS(Donnees_generations!$AF$3:$AF$113,Donnees_generations!$A$3:$A$113,MAX(1915,MIN(2025,E282))),SUMIFS(Donnees_generations!$AG$3:$AG$113,Donnees_generations!$A$3:$A$113,MAX(1915,MIN(2025,E282))),SUMIFS(Donnees_generations!$AH$3:$AH$113,Donnees_generations!$A$3:$A$113,MAX(1915,MIN(2025,E282))),SUMIFS(Donnees_generations!$AI$3:$AI$113,Donnees_generations!$A$3:$A$113,MAX(1915,MIN(2025,E282))),SUMIFS(Donnees_generations!$AJ$3:$AJ$113,Donnees_generations!$A$3:$A$113,MAX(1915,MIN(2025,E282)))))/2</f>
        <v/>
      </c>
      <c r="AJ282" s="8">
        <f>MAX(0,AH282+(AI282-AH282)*(K282-AG282)/2)</f>
        <v/>
      </c>
      <c r="AK282" s="8">
        <f>K282+AJ282</f>
        <v/>
      </c>
      <c r="AL282" s="14">
        <f>AE282*AJ282</f>
        <v/>
      </c>
      <c r="AM282" s="17">
        <f>V282/AL282</f>
        <v/>
      </c>
      <c r="AN282" s="17">
        <f>Z282/AL282</f>
        <v/>
      </c>
      <c r="AO282" s="33">
        <f>IF(V282+Z282=0,0,Z282/(V282+Z282))</f>
        <v/>
      </c>
      <c r="AP282" s="14">
        <f>AL282/V282*100</f>
        <v/>
      </c>
      <c r="AQ282" s="8">
        <f>P282/AL282*1000</f>
        <v/>
      </c>
      <c r="AR282" s="77">
        <f>MAX(N282,M282-1)</f>
        <v/>
      </c>
      <c r="AS282" s="14">
        <f>SUMIFS(Donnees_regimes!$R$3:$R$1118,Donnees_regimes!$A$3:$A$1118,C282,Donnees_regimes!$B$3:$B$1118,"&gt;="&amp;G282,Donnees_regimes!$B$3:$B$1118,"&lt;="&amp;N282)*L282/ROUNDUP(L282,0)*SUMIFS(Donnees_annuelles!$AG$3:$AG$188,Donnees_annuelles!$A$3:$A$188,AR282)*SUMIFS(Donnees_annuelles!$AA$3:$AA$188,Donnees_annuelles!$A$3:$A$188,AR282)</f>
        <v/>
      </c>
      <c r="AT282" s="36">
        <f>AS282/V282</f>
        <v/>
      </c>
      <c r="AU282" s="14">
        <f>AL282</f>
        <v/>
      </c>
      <c r="AV282" s="39">
        <f>AS282-AL282</f>
        <v/>
      </c>
      <c r="AW282" s="9">
        <f>AS282/AL282-1</f>
        <v/>
      </c>
      <c r="AX282" s="14">
        <f>AS282/AJ282/12</f>
        <v/>
      </c>
      <c r="AY282" s="14">
        <f>AF282</f>
        <v/>
      </c>
      <c r="AZ282" s="39">
        <f>AX282-AF282</f>
        <v/>
      </c>
      <c r="BA282" s="14">
        <f>SUMIFS(Donnees_regimes!$S$3:$S$1118,Donnees_regimes!$A$3:$A$1118,C282,Donnees_regimes!$B$3:$B$1118,"&gt;="&amp;G282,Donnees_regimes!$B$3:$B$1118,"&lt;="&amp;N282)*L282/ROUNDUP(L282,0)*SUMIFS(Donnees_annuelles!$AH$3:$AH$188,Donnees_annuelles!$A$3:$A$188,AR282)*SUMIFS(Donnees_annuelles!$AA$3:$AA$188,Donnees_annuelles!$A$3:$A$188,AR282)</f>
        <v/>
      </c>
      <c r="BB282" s="39">
        <f>BA282-AL282</f>
        <v/>
      </c>
      <c r="BC282" s="7">
        <f>IF(M282+AJ282&gt;2026,IF(G282&gt;2026,"entièrement projeté","en partie projeté"),"observé")</f>
        <v/>
      </c>
    </row>
    <row r="283">
      <c r="A283" s="7" t="inlineStr">
        <is>
          <t>Génération Z</t>
        </is>
      </c>
      <c r="B283" s="84" t="inlineStr">
        <is>
          <t>Fonction publique territoriale et hospitalière</t>
        </is>
      </c>
      <c r="C283" s="7">
        <f>IF(G283&gt;=SUMIFS(Regimes!$C$5:$C$10,Regimes!$A$5:$A$10,B283),"Privé",B283)</f>
        <v/>
      </c>
      <c r="D283" s="7">
        <f>INDEX(Regimes!$D$5:$D$10,MATCH(C283,Regimes!$A$5:$A$10,0))</f>
        <v/>
      </c>
      <c r="E283" s="88" t="n">
        <v>2012</v>
      </c>
      <c r="F283" s="8">
        <f>Donnees_generations!C100</f>
        <v/>
      </c>
      <c r="G283" s="77">
        <f>Donnees_generations!D100</f>
        <v/>
      </c>
      <c r="H283" s="8">
        <f>SUMIFS(Donnees_generations!$S$3:$S$113,Donnees_generations!$A$3:$A$113,MAX(1915,MIN(2025,E283)))</f>
        <v/>
      </c>
      <c r="I283" s="8">
        <f>SUMIFS(Donnees_generations!$T$3:$T$113,Donnees_generations!$A$3:$A$113,MAX(1915,MIN(2025,E283)))</f>
        <v/>
      </c>
      <c r="J283" s="8">
        <f>IF(G283&gt;=2000,MAX(I283,Parametres!$B$3),I283)</f>
        <v/>
      </c>
      <c r="K283" s="8">
        <f>IF(C283="Privé",J283,SUMIFS(Regles_regimes!$J$3:$J$2000,Regles_regimes!$A$3:$A$2000,C283,Regles_regimes!$B$3:$B$2000,D283,Regles_regimes!$C$3:$C$2000,MAX(1915,MIN(2025,E283))))</f>
        <v/>
      </c>
      <c r="L283" s="8">
        <f>IF(C283="Privé",H283,(K283-F283)*H283/(J283-F283))</f>
        <v/>
      </c>
      <c r="M283" s="77">
        <f>INT(E283+K283)</f>
        <v/>
      </c>
      <c r="N283" s="77">
        <f>G283+ROUNDUP(L283,0)-1</f>
        <v/>
      </c>
      <c r="O283" s="89">
        <f>SUMIFS(Regles_regimes!$K$3:$K$2000,Regles_regimes!$A$3:$A$2000,C283,Regles_regimes!$B$3:$B$2000,D283,Regles_regimes!$C$3:$C$2000,MAX(1915,MIN(2025,E283)))</f>
        <v/>
      </c>
      <c r="P283" s="13">
        <f>SUMIFS(Donnees_annuelles!$W$3:$W$188,Donnees_annuelles!$A$3:$A$188,"&gt;="&amp;G283,Donnees_annuelles!$A$3:$A$188,"&lt;="&amp;N283)*L283/ROUNDUP(L283,0)*O283</f>
        <v/>
      </c>
      <c r="Q283" s="13">
        <f>SUMIFS(Donnees_annuelles!$V$3:$V$188,Donnees_annuelles!$A$3:$A$188,"&gt;="&amp;G283,Donnees_annuelles!$A$3:$A$188,"&lt;="&amp;N283)*L283/ROUNDUP(L283,0)</f>
        <v/>
      </c>
      <c r="R283" s="13">
        <f>P283/L283</f>
        <v/>
      </c>
      <c r="S283" s="14">
        <f>SUMIFS(Donnees_annuelles!$D$3:$D$188,Donnees_annuelles!$A$3:$A$188,"&gt;="&amp;G283,Donnees_annuelles!$A$3:$A$188,"&lt;="&amp;N283)*L283/ROUNDUP(L283,0)</f>
        <v/>
      </c>
      <c r="T283" s="14">
        <f>SUMIFS(Donnees_regimes!$N$3:$N$1118,Donnees_regimes!$A$3:$A$1118,C283,Donnees_regimes!$B$3:$B$1118,"&gt;="&amp;G283,Donnees_regimes!$B$3:$B$1118,"&lt;="&amp;N283)*L283/ROUNDUP(L283,0)</f>
        <v/>
      </c>
      <c r="U283" s="14">
        <f>SUMIFS(Donnees_regimes!$O$3:$O$1118,Donnees_regimes!$A$3:$A$1118,C283,Donnees_regimes!$B$3:$B$1118,"&gt;="&amp;G283,Donnees_regimes!$B$3:$B$1118,"&lt;="&amp;N283)*L283/ROUNDUP(L283,0)</f>
        <v/>
      </c>
      <c r="V283" s="14">
        <f>T283+U283</f>
        <v/>
      </c>
      <c r="W283" s="33">
        <f>V283/S283</f>
        <v/>
      </c>
      <c r="X283" s="14">
        <f>S283+U283</f>
        <v/>
      </c>
      <c r="Y283" s="17">
        <f>V283/P283</f>
        <v/>
      </c>
      <c r="Z283" s="14">
        <f>SUMIFS(Donnees_regimes!$Q$3:$Q$1118,Donnees_regimes!$A$3:$A$1118,C283,Donnees_regimes!$B$3:$B$1118,"&gt;="&amp;G283,Donnees_regimes!$B$3:$B$1118,"&lt;="&amp;N283)*L283/ROUNDUP(L283,0)</f>
        <v/>
      </c>
      <c r="AA283" s="77">
        <f>SUMIFS(Regles_regimes!$F$3:$F$2000,Regles_regimes!$A$3:$A$2000,C283,Regles_regimes!$B$3:$B$2000,D283,Regles_regimes!$C$3:$C$2000,MAX(1915,MIN(2025,E283)))</f>
        <v/>
      </c>
      <c r="AB283" s="77">
        <f>IF(AND(SUMIFS(Regles_regimes!$L$3:$L$2000,Regles_regimes!$A$3:$A$2000,C283,Regles_regimes!$B$3:$B$2000,D283,Regles_regimes!$C$3:$C$2000,MAX(1915,MIN(2025,E283)))=1,G283&lt;2009,C283&lt;&gt;"Privé"),MIN(20,L283*4/5),0)</f>
        <v/>
      </c>
      <c r="AC283" s="89">
        <f>SUMIFS(Donnees_regimes!$M$3:$M$1118,Donnees_regimes!$A$3:$A$1118,C283,Donnees_regimes!$B$3:$B$1118,M283)</f>
        <v/>
      </c>
      <c r="AD283" s="14">
        <f>SUMIFS(Donnees_annuelles!$Y$3:$Y$188,Donnees_annuelles!$A$3:$A$188,M283)*SUMIFS(Donnees_generations!$I$3:$I$113,Donnees_generations!$A$3:$A$113,MAX(1915,MIN(2025,E283)))/H283</f>
        <v/>
      </c>
      <c r="AE283" s="14">
        <f>IF(C283="Privé",SUMIFS(Donnees_annuelles!$Y$3:$Y$188,Donnees_annuelles!$A$3:$A$188,M283)*MIN(L283,SUMIFS(Donnees_generations!$I$3:$I$113,Donnees_generations!$A$3:$A$113,MAX(1915,MIN(2025,E283))))/L283,AD283*AC283*MIN(IF(AB283&gt;0,0.8/0.75,1),(L283*4+AB283)/AA283))</f>
        <v/>
      </c>
      <c r="AF283" s="14">
        <f>AE283/12</f>
        <v/>
      </c>
      <c r="AG283" s="77">
        <f>MIN(68,MAX(56,2*INT(K283/2)))</f>
        <v/>
      </c>
      <c r="AH283" s="75">
        <f>(CHOOSE((AG283-56)/2+1,SUMIFS(Donnees_generations!$U$3:$U$113,Donnees_generations!$A$3:$A$113,MAX(1915,MIN(2025,E283))),SUMIFS(Donnees_generations!$V$3:$V$113,Donnees_generations!$A$3:$A$113,MAX(1915,MIN(2025,E283))),SUMIFS(Donnees_generations!$W$3:$W$113,Donnees_generations!$A$3:$A$113,MAX(1915,MIN(2025,E283))),SUMIFS(Donnees_generations!$X$3:$X$113,Donnees_generations!$A$3:$A$113,MAX(1915,MIN(2025,E283))),SUMIFS(Donnees_generations!$Y$3:$Y$113,Donnees_generations!$A$3:$A$113,MAX(1915,MIN(2025,E283))),SUMIFS(Donnees_generations!$Z$3:$Z$113,Donnees_generations!$A$3:$A$113,MAX(1915,MIN(2025,E283))),SUMIFS(Donnees_generations!$AA$3:$AA$113,Donnees_generations!$A$3:$A$113,MAX(1915,MIN(2025,E283))),SUMIFS(Donnees_generations!$AB$3:$AB$113,Donnees_generations!$A$3:$A$113,MAX(1915,MIN(2025,E283))))+CHOOSE((AG283-56)/2+1,SUMIFS(Donnees_generations!$AC$3:$AC$113,Donnees_generations!$A$3:$A$113,MAX(1915,MIN(2025,E283))),SUMIFS(Donnees_generations!$AD$3:$AD$113,Donnees_generations!$A$3:$A$113,MAX(1915,MIN(2025,E283))),SUMIFS(Donnees_generations!$AE$3:$AE$113,Donnees_generations!$A$3:$A$113,MAX(1915,MIN(2025,E283))),SUMIFS(Donnees_generations!$AF$3:$AF$113,Donnees_generations!$A$3:$A$113,MAX(1915,MIN(2025,E283))),SUMIFS(Donnees_generations!$AG$3:$AG$113,Donnees_generations!$A$3:$A$113,MAX(1915,MIN(2025,E283))),SUMIFS(Donnees_generations!$AH$3:$AH$113,Donnees_generations!$A$3:$A$113,MAX(1915,MIN(2025,E283))),SUMIFS(Donnees_generations!$AI$3:$AI$113,Donnees_generations!$A$3:$A$113,MAX(1915,MIN(2025,E283))),SUMIFS(Donnees_generations!$AJ$3:$AJ$113,Donnees_generations!$A$3:$A$113,MAX(1915,MIN(2025,E283)))))/2</f>
        <v/>
      </c>
      <c r="AI283" s="75">
        <f>(CHOOSE(((AG283+2)-56)/2+1,SUMIFS(Donnees_generations!$U$3:$U$113,Donnees_generations!$A$3:$A$113,MAX(1915,MIN(2025,E283))),SUMIFS(Donnees_generations!$V$3:$V$113,Donnees_generations!$A$3:$A$113,MAX(1915,MIN(2025,E283))),SUMIFS(Donnees_generations!$W$3:$W$113,Donnees_generations!$A$3:$A$113,MAX(1915,MIN(2025,E283))),SUMIFS(Donnees_generations!$X$3:$X$113,Donnees_generations!$A$3:$A$113,MAX(1915,MIN(2025,E283))),SUMIFS(Donnees_generations!$Y$3:$Y$113,Donnees_generations!$A$3:$A$113,MAX(1915,MIN(2025,E283))),SUMIFS(Donnees_generations!$Z$3:$Z$113,Donnees_generations!$A$3:$A$113,MAX(1915,MIN(2025,E283))),SUMIFS(Donnees_generations!$AA$3:$AA$113,Donnees_generations!$A$3:$A$113,MAX(1915,MIN(2025,E283))),SUMIFS(Donnees_generations!$AB$3:$AB$113,Donnees_generations!$A$3:$A$113,MAX(1915,MIN(2025,E283))))+CHOOSE(((AG283+2)-56)/2+1,SUMIFS(Donnees_generations!$AC$3:$AC$113,Donnees_generations!$A$3:$A$113,MAX(1915,MIN(2025,E283))),SUMIFS(Donnees_generations!$AD$3:$AD$113,Donnees_generations!$A$3:$A$113,MAX(1915,MIN(2025,E283))),SUMIFS(Donnees_generations!$AE$3:$AE$113,Donnees_generations!$A$3:$A$113,MAX(1915,MIN(2025,E283))),SUMIFS(Donnees_generations!$AF$3:$AF$113,Donnees_generations!$A$3:$A$113,MAX(1915,MIN(2025,E283))),SUMIFS(Donnees_generations!$AG$3:$AG$113,Donnees_generations!$A$3:$A$113,MAX(1915,MIN(2025,E283))),SUMIFS(Donnees_generations!$AH$3:$AH$113,Donnees_generations!$A$3:$A$113,MAX(1915,MIN(2025,E283))),SUMIFS(Donnees_generations!$AI$3:$AI$113,Donnees_generations!$A$3:$A$113,MAX(1915,MIN(2025,E283))),SUMIFS(Donnees_generations!$AJ$3:$AJ$113,Donnees_generations!$A$3:$A$113,MAX(1915,MIN(2025,E283)))))/2</f>
        <v/>
      </c>
      <c r="AJ283" s="8">
        <f>MAX(0,AH283+(AI283-AH283)*(K283-AG283)/2)</f>
        <v/>
      </c>
      <c r="AK283" s="8">
        <f>K283+AJ283</f>
        <v/>
      </c>
      <c r="AL283" s="14">
        <f>AE283*AJ283</f>
        <v/>
      </c>
      <c r="AM283" s="17">
        <f>V283/AL283</f>
        <v/>
      </c>
      <c r="AN283" s="17">
        <f>Z283/AL283</f>
        <v/>
      </c>
      <c r="AO283" s="33">
        <f>IF(V283+Z283=0,0,Z283/(V283+Z283))</f>
        <v/>
      </c>
      <c r="AP283" s="14">
        <f>AL283/V283*100</f>
        <v/>
      </c>
      <c r="AQ283" s="8">
        <f>P283/AL283*1000</f>
        <v/>
      </c>
      <c r="AR283" s="77">
        <f>MAX(N283,M283-1)</f>
        <v/>
      </c>
      <c r="AS283" s="14">
        <f>SUMIFS(Donnees_regimes!$R$3:$R$1118,Donnees_regimes!$A$3:$A$1118,C283,Donnees_regimes!$B$3:$B$1118,"&gt;="&amp;G283,Donnees_regimes!$B$3:$B$1118,"&lt;="&amp;N283)*L283/ROUNDUP(L283,0)*SUMIFS(Donnees_annuelles!$AG$3:$AG$188,Donnees_annuelles!$A$3:$A$188,AR283)*SUMIFS(Donnees_annuelles!$AA$3:$AA$188,Donnees_annuelles!$A$3:$A$188,AR283)</f>
        <v/>
      </c>
      <c r="AT283" s="36">
        <f>AS283/V283</f>
        <v/>
      </c>
      <c r="AU283" s="14">
        <f>AL283</f>
        <v/>
      </c>
      <c r="AV283" s="39">
        <f>AS283-AL283</f>
        <v/>
      </c>
      <c r="AW283" s="9">
        <f>AS283/AL283-1</f>
        <v/>
      </c>
      <c r="AX283" s="14">
        <f>AS283/AJ283/12</f>
        <v/>
      </c>
      <c r="AY283" s="14">
        <f>AF283</f>
        <v/>
      </c>
      <c r="AZ283" s="39">
        <f>AX283-AF283</f>
        <v/>
      </c>
      <c r="BA283" s="14">
        <f>SUMIFS(Donnees_regimes!$S$3:$S$1118,Donnees_regimes!$A$3:$A$1118,C283,Donnees_regimes!$B$3:$B$1118,"&gt;="&amp;G283,Donnees_regimes!$B$3:$B$1118,"&lt;="&amp;N283)*L283/ROUNDUP(L283,0)*SUMIFS(Donnees_annuelles!$AH$3:$AH$188,Donnees_annuelles!$A$3:$A$188,AR283)*SUMIFS(Donnees_annuelles!$AA$3:$AA$188,Donnees_annuelles!$A$3:$A$188,AR283)</f>
        <v/>
      </c>
      <c r="BB283" s="39">
        <f>BA283-AL283</f>
        <v/>
      </c>
      <c r="BC283" s="7">
        <f>IF(M283+AJ283&gt;2026,IF(G283&gt;2026,"entièrement projeté","en partie projeté"),"observé")</f>
        <v/>
      </c>
    </row>
    <row r="284">
      <c r="A284" s="7" t="inlineStr">
        <is>
          <t>Génération Alpha</t>
        </is>
      </c>
      <c r="B284" s="84" t="inlineStr">
        <is>
          <t>Fonction publique territoriale et hospitalière</t>
        </is>
      </c>
      <c r="C284" s="7">
        <f>IF(G284&gt;=SUMIFS(Regimes!$C$5:$C$10,Regimes!$A$5:$A$10,B284),"Privé",B284)</f>
        <v/>
      </c>
      <c r="D284" s="7">
        <f>INDEX(Regimes!$D$5:$D$10,MATCH(C284,Regimes!$A$5:$A$10,0))</f>
        <v/>
      </c>
      <c r="E284" s="88" t="n">
        <v>2013</v>
      </c>
      <c r="F284" s="8">
        <f>Donnees_generations!C101</f>
        <v/>
      </c>
      <c r="G284" s="77">
        <f>Donnees_generations!D101</f>
        <v/>
      </c>
      <c r="H284" s="8">
        <f>SUMIFS(Donnees_generations!$S$3:$S$113,Donnees_generations!$A$3:$A$113,MAX(1915,MIN(2025,E284)))</f>
        <v/>
      </c>
      <c r="I284" s="8">
        <f>SUMIFS(Donnees_generations!$T$3:$T$113,Donnees_generations!$A$3:$A$113,MAX(1915,MIN(2025,E284)))</f>
        <v/>
      </c>
      <c r="J284" s="8">
        <f>IF(G284&gt;=2000,MAX(I284,Parametres!$B$3),I284)</f>
        <v/>
      </c>
      <c r="K284" s="8">
        <f>IF(C284="Privé",J284,SUMIFS(Regles_regimes!$J$3:$J$2000,Regles_regimes!$A$3:$A$2000,C284,Regles_regimes!$B$3:$B$2000,D284,Regles_regimes!$C$3:$C$2000,MAX(1915,MIN(2025,E284))))</f>
        <v/>
      </c>
      <c r="L284" s="8">
        <f>IF(C284="Privé",H284,(K284-F284)*H284/(J284-F284))</f>
        <v/>
      </c>
      <c r="M284" s="77">
        <f>INT(E284+K284)</f>
        <v/>
      </c>
      <c r="N284" s="77">
        <f>G284+ROUNDUP(L284,0)-1</f>
        <v/>
      </c>
      <c r="O284" s="89">
        <f>SUMIFS(Regles_regimes!$K$3:$K$2000,Regles_regimes!$A$3:$A$2000,C284,Regles_regimes!$B$3:$B$2000,D284,Regles_regimes!$C$3:$C$2000,MAX(1915,MIN(2025,E284)))</f>
        <v/>
      </c>
      <c r="P284" s="13">
        <f>SUMIFS(Donnees_annuelles!$W$3:$W$188,Donnees_annuelles!$A$3:$A$188,"&gt;="&amp;G284,Donnees_annuelles!$A$3:$A$188,"&lt;="&amp;N284)*L284/ROUNDUP(L284,0)*O284</f>
        <v/>
      </c>
      <c r="Q284" s="13">
        <f>SUMIFS(Donnees_annuelles!$V$3:$V$188,Donnees_annuelles!$A$3:$A$188,"&gt;="&amp;G284,Donnees_annuelles!$A$3:$A$188,"&lt;="&amp;N284)*L284/ROUNDUP(L284,0)</f>
        <v/>
      </c>
      <c r="R284" s="13">
        <f>P284/L284</f>
        <v/>
      </c>
      <c r="S284" s="14">
        <f>SUMIFS(Donnees_annuelles!$D$3:$D$188,Donnees_annuelles!$A$3:$A$188,"&gt;="&amp;G284,Donnees_annuelles!$A$3:$A$188,"&lt;="&amp;N284)*L284/ROUNDUP(L284,0)</f>
        <v/>
      </c>
      <c r="T284" s="14">
        <f>SUMIFS(Donnees_regimes!$N$3:$N$1118,Donnees_regimes!$A$3:$A$1118,C284,Donnees_regimes!$B$3:$B$1118,"&gt;="&amp;G284,Donnees_regimes!$B$3:$B$1118,"&lt;="&amp;N284)*L284/ROUNDUP(L284,0)</f>
        <v/>
      </c>
      <c r="U284" s="14">
        <f>SUMIFS(Donnees_regimes!$O$3:$O$1118,Donnees_regimes!$A$3:$A$1118,C284,Donnees_regimes!$B$3:$B$1118,"&gt;="&amp;G284,Donnees_regimes!$B$3:$B$1118,"&lt;="&amp;N284)*L284/ROUNDUP(L284,0)</f>
        <v/>
      </c>
      <c r="V284" s="14">
        <f>T284+U284</f>
        <v/>
      </c>
      <c r="W284" s="33">
        <f>V284/S284</f>
        <v/>
      </c>
      <c r="X284" s="14">
        <f>S284+U284</f>
        <v/>
      </c>
      <c r="Y284" s="17">
        <f>V284/P284</f>
        <v/>
      </c>
      <c r="Z284" s="14">
        <f>SUMIFS(Donnees_regimes!$Q$3:$Q$1118,Donnees_regimes!$A$3:$A$1118,C284,Donnees_regimes!$B$3:$B$1118,"&gt;="&amp;G284,Donnees_regimes!$B$3:$B$1118,"&lt;="&amp;N284)*L284/ROUNDUP(L284,0)</f>
        <v/>
      </c>
      <c r="AA284" s="77">
        <f>SUMIFS(Regles_regimes!$F$3:$F$2000,Regles_regimes!$A$3:$A$2000,C284,Regles_regimes!$B$3:$B$2000,D284,Regles_regimes!$C$3:$C$2000,MAX(1915,MIN(2025,E284)))</f>
        <v/>
      </c>
      <c r="AB284" s="77">
        <f>IF(AND(SUMIFS(Regles_regimes!$L$3:$L$2000,Regles_regimes!$A$3:$A$2000,C284,Regles_regimes!$B$3:$B$2000,D284,Regles_regimes!$C$3:$C$2000,MAX(1915,MIN(2025,E284)))=1,G284&lt;2009,C284&lt;&gt;"Privé"),MIN(20,L284*4/5),0)</f>
        <v/>
      </c>
      <c r="AC284" s="89">
        <f>SUMIFS(Donnees_regimes!$M$3:$M$1118,Donnees_regimes!$A$3:$A$1118,C284,Donnees_regimes!$B$3:$B$1118,M284)</f>
        <v/>
      </c>
      <c r="AD284" s="14">
        <f>SUMIFS(Donnees_annuelles!$Y$3:$Y$188,Donnees_annuelles!$A$3:$A$188,M284)*SUMIFS(Donnees_generations!$I$3:$I$113,Donnees_generations!$A$3:$A$113,MAX(1915,MIN(2025,E284)))/H284</f>
        <v/>
      </c>
      <c r="AE284" s="14">
        <f>IF(C284="Privé",SUMIFS(Donnees_annuelles!$Y$3:$Y$188,Donnees_annuelles!$A$3:$A$188,M284)*MIN(L284,SUMIFS(Donnees_generations!$I$3:$I$113,Donnees_generations!$A$3:$A$113,MAX(1915,MIN(2025,E284))))/L284,AD284*AC284*MIN(IF(AB284&gt;0,0.8/0.75,1),(L284*4+AB284)/AA284))</f>
        <v/>
      </c>
      <c r="AF284" s="14">
        <f>AE284/12</f>
        <v/>
      </c>
      <c r="AG284" s="77">
        <f>MIN(68,MAX(56,2*INT(K284/2)))</f>
        <v/>
      </c>
      <c r="AH284" s="75">
        <f>(CHOOSE((AG284-56)/2+1,SUMIFS(Donnees_generations!$U$3:$U$113,Donnees_generations!$A$3:$A$113,MAX(1915,MIN(2025,E284))),SUMIFS(Donnees_generations!$V$3:$V$113,Donnees_generations!$A$3:$A$113,MAX(1915,MIN(2025,E284))),SUMIFS(Donnees_generations!$W$3:$W$113,Donnees_generations!$A$3:$A$113,MAX(1915,MIN(2025,E284))),SUMIFS(Donnees_generations!$X$3:$X$113,Donnees_generations!$A$3:$A$113,MAX(1915,MIN(2025,E284))),SUMIFS(Donnees_generations!$Y$3:$Y$113,Donnees_generations!$A$3:$A$113,MAX(1915,MIN(2025,E284))),SUMIFS(Donnees_generations!$Z$3:$Z$113,Donnees_generations!$A$3:$A$113,MAX(1915,MIN(2025,E284))),SUMIFS(Donnees_generations!$AA$3:$AA$113,Donnees_generations!$A$3:$A$113,MAX(1915,MIN(2025,E284))),SUMIFS(Donnees_generations!$AB$3:$AB$113,Donnees_generations!$A$3:$A$113,MAX(1915,MIN(2025,E284))))+CHOOSE((AG284-56)/2+1,SUMIFS(Donnees_generations!$AC$3:$AC$113,Donnees_generations!$A$3:$A$113,MAX(1915,MIN(2025,E284))),SUMIFS(Donnees_generations!$AD$3:$AD$113,Donnees_generations!$A$3:$A$113,MAX(1915,MIN(2025,E284))),SUMIFS(Donnees_generations!$AE$3:$AE$113,Donnees_generations!$A$3:$A$113,MAX(1915,MIN(2025,E284))),SUMIFS(Donnees_generations!$AF$3:$AF$113,Donnees_generations!$A$3:$A$113,MAX(1915,MIN(2025,E284))),SUMIFS(Donnees_generations!$AG$3:$AG$113,Donnees_generations!$A$3:$A$113,MAX(1915,MIN(2025,E284))),SUMIFS(Donnees_generations!$AH$3:$AH$113,Donnees_generations!$A$3:$A$113,MAX(1915,MIN(2025,E284))),SUMIFS(Donnees_generations!$AI$3:$AI$113,Donnees_generations!$A$3:$A$113,MAX(1915,MIN(2025,E284))),SUMIFS(Donnees_generations!$AJ$3:$AJ$113,Donnees_generations!$A$3:$A$113,MAX(1915,MIN(2025,E284)))))/2</f>
        <v/>
      </c>
      <c r="AI284" s="75">
        <f>(CHOOSE(((AG284+2)-56)/2+1,SUMIFS(Donnees_generations!$U$3:$U$113,Donnees_generations!$A$3:$A$113,MAX(1915,MIN(2025,E284))),SUMIFS(Donnees_generations!$V$3:$V$113,Donnees_generations!$A$3:$A$113,MAX(1915,MIN(2025,E284))),SUMIFS(Donnees_generations!$W$3:$W$113,Donnees_generations!$A$3:$A$113,MAX(1915,MIN(2025,E284))),SUMIFS(Donnees_generations!$X$3:$X$113,Donnees_generations!$A$3:$A$113,MAX(1915,MIN(2025,E284))),SUMIFS(Donnees_generations!$Y$3:$Y$113,Donnees_generations!$A$3:$A$113,MAX(1915,MIN(2025,E284))),SUMIFS(Donnees_generations!$Z$3:$Z$113,Donnees_generations!$A$3:$A$113,MAX(1915,MIN(2025,E284))),SUMIFS(Donnees_generations!$AA$3:$AA$113,Donnees_generations!$A$3:$A$113,MAX(1915,MIN(2025,E284))),SUMIFS(Donnees_generations!$AB$3:$AB$113,Donnees_generations!$A$3:$A$113,MAX(1915,MIN(2025,E284))))+CHOOSE(((AG284+2)-56)/2+1,SUMIFS(Donnees_generations!$AC$3:$AC$113,Donnees_generations!$A$3:$A$113,MAX(1915,MIN(2025,E284))),SUMIFS(Donnees_generations!$AD$3:$AD$113,Donnees_generations!$A$3:$A$113,MAX(1915,MIN(2025,E284))),SUMIFS(Donnees_generations!$AE$3:$AE$113,Donnees_generations!$A$3:$A$113,MAX(1915,MIN(2025,E284))),SUMIFS(Donnees_generations!$AF$3:$AF$113,Donnees_generations!$A$3:$A$113,MAX(1915,MIN(2025,E284))),SUMIFS(Donnees_generations!$AG$3:$AG$113,Donnees_generations!$A$3:$A$113,MAX(1915,MIN(2025,E284))),SUMIFS(Donnees_generations!$AH$3:$AH$113,Donnees_generations!$A$3:$A$113,MAX(1915,MIN(2025,E284))),SUMIFS(Donnees_generations!$AI$3:$AI$113,Donnees_generations!$A$3:$A$113,MAX(1915,MIN(2025,E284))),SUMIFS(Donnees_generations!$AJ$3:$AJ$113,Donnees_generations!$A$3:$A$113,MAX(1915,MIN(2025,E284)))))/2</f>
        <v/>
      </c>
      <c r="AJ284" s="8">
        <f>MAX(0,AH284+(AI284-AH284)*(K284-AG284)/2)</f>
        <v/>
      </c>
      <c r="AK284" s="8">
        <f>K284+AJ284</f>
        <v/>
      </c>
      <c r="AL284" s="14">
        <f>AE284*AJ284</f>
        <v/>
      </c>
      <c r="AM284" s="17">
        <f>V284/AL284</f>
        <v/>
      </c>
      <c r="AN284" s="17">
        <f>Z284/AL284</f>
        <v/>
      </c>
      <c r="AO284" s="33">
        <f>IF(V284+Z284=0,0,Z284/(V284+Z284))</f>
        <v/>
      </c>
      <c r="AP284" s="14">
        <f>AL284/V284*100</f>
        <v/>
      </c>
      <c r="AQ284" s="8">
        <f>P284/AL284*1000</f>
        <v/>
      </c>
      <c r="AR284" s="77">
        <f>MAX(N284,M284-1)</f>
        <v/>
      </c>
      <c r="AS284" s="14">
        <f>SUMIFS(Donnees_regimes!$R$3:$R$1118,Donnees_regimes!$A$3:$A$1118,C284,Donnees_regimes!$B$3:$B$1118,"&gt;="&amp;G284,Donnees_regimes!$B$3:$B$1118,"&lt;="&amp;N284)*L284/ROUNDUP(L284,0)*SUMIFS(Donnees_annuelles!$AG$3:$AG$188,Donnees_annuelles!$A$3:$A$188,AR284)*SUMIFS(Donnees_annuelles!$AA$3:$AA$188,Donnees_annuelles!$A$3:$A$188,AR284)</f>
        <v/>
      </c>
      <c r="AT284" s="36">
        <f>AS284/V284</f>
        <v/>
      </c>
      <c r="AU284" s="14">
        <f>AL284</f>
        <v/>
      </c>
      <c r="AV284" s="39">
        <f>AS284-AL284</f>
        <v/>
      </c>
      <c r="AW284" s="9">
        <f>AS284/AL284-1</f>
        <v/>
      </c>
      <c r="AX284" s="14">
        <f>AS284/AJ284/12</f>
        <v/>
      </c>
      <c r="AY284" s="14">
        <f>AF284</f>
        <v/>
      </c>
      <c r="AZ284" s="39">
        <f>AX284-AF284</f>
        <v/>
      </c>
      <c r="BA284" s="14">
        <f>SUMIFS(Donnees_regimes!$S$3:$S$1118,Donnees_regimes!$A$3:$A$1118,C284,Donnees_regimes!$B$3:$B$1118,"&gt;="&amp;G284,Donnees_regimes!$B$3:$B$1118,"&lt;="&amp;N284)*L284/ROUNDUP(L284,0)*SUMIFS(Donnees_annuelles!$AH$3:$AH$188,Donnees_annuelles!$A$3:$A$188,AR284)*SUMIFS(Donnees_annuelles!$AA$3:$AA$188,Donnees_annuelles!$A$3:$A$188,AR284)</f>
        <v/>
      </c>
      <c r="BB284" s="39">
        <f>BA284-AL284</f>
        <v/>
      </c>
      <c r="BC284" s="7">
        <f>IF(M284+AJ284&gt;2026,IF(G284&gt;2026,"entièrement projeté","en partie projeté"),"observé")</f>
        <v/>
      </c>
    </row>
    <row r="285">
      <c r="A285" s="7" t="inlineStr">
        <is>
          <t>Génération Alpha</t>
        </is>
      </c>
      <c r="B285" s="84" t="inlineStr">
        <is>
          <t>Fonction publique territoriale et hospitalière</t>
        </is>
      </c>
      <c r="C285" s="7">
        <f>IF(G285&gt;=SUMIFS(Regimes!$C$5:$C$10,Regimes!$A$5:$A$10,B285),"Privé",B285)</f>
        <v/>
      </c>
      <c r="D285" s="7">
        <f>INDEX(Regimes!$D$5:$D$10,MATCH(C285,Regimes!$A$5:$A$10,0))</f>
        <v/>
      </c>
      <c r="E285" s="88" t="n">
        <v>2014</v>
      </c>
      <c r="F285" s="8">
        <f>Donnees_generations!C102</f>
        <v/>
      </c>
      <c r="G285" s="77">
        <f>Donnees_generations!D102</f>
        <v/>
      </c>
      <c r="H285" s="8">
        <f>SUMIFS(Donnees_generations!$S$3:$S$113,Donnees_generations!$A$3:$A$113,MAX(1915,MIN(2025,E285)))</f>
        <v/>
      </c>
      <c r="I285" s="8">
        <f>SUMIFS(Donnees_generations!$T$3:$T$113,Donnees_generations!$A$3:$A$113,MAX(1915,MIN(2025,E285)))</f>
        <v/>
      </c>
      <c r="J285" s="8">
        <f>IF(G285&gt;=2000,MAX(I285,Parametres!$B$3),I285)</f>
        <v/>
      </c>
      <c r="K285" s="8">
        <f>IF(C285="Privé",J285,SUMIFS(Regles_regimes!$J$3:$J$2000,Regles_regimes!$A$3:$A$2000,C285,Regles_regimes!$B$3:$B$2000,D285,Regles_regimes!$C$3:$C$2000,MAX(1915,MIN(2025,E285))))</f>
        <v/>
      </c>
      <c r="L285" s="8">
        <f>IF(C285="Privé",H285,(K285-F285)*H285/(J285-F285))</f>
        <v/>
      </c>
      <c r="M285" s="77">
        <f>INT(E285+K285)</f>
        <v/>
      </c>
      <c r="N285" s="77">
        <f>G285+ROUNDUP(L285,0)-1</f>
        <v/>
      </c>
      <c r="O285" s="89">
        <f>SUMIFS(Regles_regimes!$K$3:$K$2000,Regles_regimes!$A$3:$A$2000,C285,Regles_regimes!$B$3:$B$2000,D285,Regles_regimes!$C$3:$C$2000,MAX(1915,MIN(2025,E285)))</f>
        <v/>
      </c>
      <c r="P285" s="13">
        <f>SUMIFS(Donnees_annuelles!$W$3:$W$188,Donnees_annuelles!$A$3:$A$188,"&gt;="&amp;G285,Donnees_annuelles!$A$3:$A$188,"&lt;="&amp;N285)*L285/ROUNDUP(L285,0)*O285</f>
        <v/>
      </c>
      <c r="Q285" s="13">
        <f>SUMIFS(Donnees_annuelles!$V$3:$V$188,Donnees_annuelles!$A$3:$A$188,"&gt;="&amp;G285,Donnees_annuelles!$A$3:$A$188,"&lt;="&amp;N285)*L285/ROUNDUP(L285,0)</f>
        <v/>
      </c>
      <c r="R285" s="13">
        <f>P285/L285</f>
        <v/>
      </c>
      <c r="S285" s="14">
        <f>SUMIFS(Donnees_annuelles!$D$3:$D$188,Donnees_annuelles!$A$3:$A$188,"&gt;="&amp;G285,Donnees_annuelles!$A$3:$A$188,"&lt;="&amp;N285)*L285/ROUNDUP(L285,0)</f>
        <v/>
      </c>
      <c r="T285" s="14">
        <f>SUMIFS(Donnees_regimes!$N$3:$N$1118,Donnees_regimes!$A$3:$A$1118,C285,Donnees_regimes!$B$3:$B$1118,"&gt;="&amp;G285,Donnees_regimes!$B$3:$B$1118,"&lt;="&amp;N285)*L285/ROUNDUP(L285,0)</f>
        <v/>
      </c>
      <c r="U285" s="14">
        <f>SUMIFS(Donnees_regimes!$O$3:$O$1118,Donnees_regimes!$A$3:$A$1118,C285,Donnees_regimes!$B$3:$B$1118,"&gt;="&amp;G285,Donnees_regimes!$B$3:$B$1118,"&lt;="&amp;N285)*L285/ROUNDUP(L285,0)</f>
        <v/>
      </c>
      <c r="V285" s="14">
        <f>T285+U285</f>
        <v/>
      </c>
      <c r="W285" s="33">
        <f>V285/S285</f>
        <v/>
      </c>
      <c r="X285" s="14">
        <f>S285+U285</f>
        <v/>
      </c>
      <c r="Y285" s="17">
        <f>V285/P285</f>
        <v/>
      </c>
      <c r="Z285" s="14">
        <f>SUMIFS(Donnees_regimes!$Q$3:$Q$1118,Donnees_regimes!$A$3:$A$1118,C285,Donnees_regimes!$B$3:$B$1118,"&gt;="&amp;G285,Donnees_regimes!$B$3:$B$1118,"&lt;="&amp;N285)*L285/ROUNDUP(L285,0)</f>
        <v/>
      </c>
      <c r="AA285" s="77">
        <f>SUMIFS(Regles_regimes!$F$3:$F$2000,Regles_regimes!$A$3:$A$2000,C285,Regles_regimes!$B$3:$B$2000,D285,Regles_regimes!$C$3:$C$2000,MAX(1915,MIN(2025,E285)))</f>
        <v/>
      </c>
      <c r="AB285" s="77">
        <f>IF(AND(SUMIFS(Regles_regimes!$L$3:$L$2000,Regles_regimes!$A$3:$A$2000,C285,Regles_regimes!$B$3:$B$2000,D285,Regles_regimes!$C$3:$C$2000,MAX(1915,MIN(2025,E285)))=1,G285&lt;2009,C285&lt;&gt;"Privé"),MIN(20,L285*4/5),0)</f>
        <v/>
      </c>
      <c r="AC285" s="89">
        <f>SUMIFS(Donnees_regimes!$M$3:$M$1118,Donnees_regimes!$A$3:$A$1118,C285,Donnees_regimes!$B$3:$B$1118,M285)</f>
        <v/>
      </c>
      <c r="AD285" s="14">
        <f>SUMIFS(Donnees_annuelles!$Y$3:$Y$188,Donnees_annuelles!$A$3:$A$188,M285)*SUMIFS(Donnees_generations!$I$3:$I$113,Donnees_generations!$A$3:$A$113,MAX(1915,MIN(2025,E285)))/H285</f>
        <v/>
      </c>
      <c r="AE285" s="14">
        <f>IF(C285="Privé",SUMIFS(Donnees_annuelles!$Y$3:$Y$188,Donnees_annuelles!$A$3:$A$188,M285)*MIN(L285,SUMIFS(Donnees_generations!$I$3:$I$113,Donnees_generations!$A$3:$A$113,MAX(1915,MIN(2025,E285))))/L285,AD285*AC285*MIN(IF(AB285&gt;0,0.8/0.75,1),(L285*4+AB285)/AA285))</f>
        <v/>
      </c>
      <c r="AF285" s="14">
        <f>AE285/12</f>
        <v/>
      </c>
      <c r="AG285" s="77">
        <f>MIN(68,MAX(56,2*INT(K285/2)))</f>
        <v/>
      </c>
      <c r="AH285" s="75">
        <f>(CHOOSE((AG285-56)/2+1,SUMIFS(Donnees_generations!$U$3:$U$113,Donnees_generations!$A$3:$A$113,MAX(1915,MIN(2025,E285))),SUMIFS(Donnees_generations!$V$3:$V$113,Donnees_generations!$A$3:$A$113,MAX(1915,MIN(2025,E285))),SUMIFS(Donnees_generations!$W$3:$W$113,Donnees_generations!$A$3:$A$113,MAX(1915,MIN(2025,E285))),SUMIFS(Donnees_generations!$X$3:$X$113,Donnees_generations!$A$3:$A$113,MAX(1915,MIN(2025,E285))),SUMIFS(Donnees_generations!$Y$3:$Y$113,Donnees_generations!$A$3:$A$113,MAX(1915,MIN(2025,E285))),SUMIFS(Donnees_generations!$Z$3:$Z$113,Donnees_generations!$A$3:$A$113,MAX(1915,MIN(2025,E285))),SUMIFS(Donnees_generations!$AA$3:$AA$113,Donnees_generations!$A$3:$A$113,MAX(1915,MIN(2025,E285))),SUMIFS(Donnees_generations!$AB$3:$AB$113,Donnees_generations!$A$3:$A$113,MAX(1915,MIN(2025,E285))))+CHOOSE((AG285-56)/2+1,SUMIFS(Donnees_generations!$AC$3:$AC$113,Donnees_generations!$A$3:$A$113,MAX(1915,MIN(2025,E285))),SUMIFS(Donnees_generations!$AD$3:$AD$113,Donnees_generations!$A$3:$A$113,MAX(1915,MIN(2025,E285))),SUMIFS(Donnees_generations!$AE$3:$AE$113,Donnees_generations!$A$3:$A$113,MAX(1915,MIN(2025,E285))),SUMIFS(Donnees_generations!$AF$3:$AF$113,Donnees_generations!$A$3:$A$113,MAX(1915,MIN(2025,E285))),SUMIFS(Donnees_generations!$AG$3:$AG$113,Donnees_generations!$A$3:$A$113,MAX(1915,MIN(2025,E285))),SUMIFS(Donnees_generations!$AH$3:$AH$113,Donnees_generations!$A$3:$A$113,MAX(1915,MIN(2025,E285))),SUMIFS(Donnees_generations!$AI$3:$AI$113,Donnees_generations!$A$3:$A$113,MAX(1915,MIN(2025,E285))),SUMIFS(Donnees_generations!$AJ$3:$AJ$113,Donnees_generations!$A$3:$A$113,MAX(1915,MIN(2025,E285)))))/2</f>
        <v/>
      </c>
      <c r="AI285" s="75">
        <f>(CHOOSE(((AG285+2)-56)/2+1,SUMIFS(Donnees_generations!$U$3:$U$113,Donnees_generations!$A$3:$A$113,MAX(1915,MIN(2025,E285))),SUMIFS(Donnees_generations!$V$3:$V$113,Donnees_generations!$A$3:$A$113,MAX(1915,MIN(2025,E285))),SUMIFS(Donnees_generations!$W$3:$W$113,Donnees_generations!$A$3:$A$113,MAX(1915,MIN(2025,E285))),SUMIFS(Donnees_generations!$X$3:$X$113,Donnees_generations!$A$3:$A$113,MAX(1915,MIN(2025,E285))),SUMIFS(Donnees_generations!$Y$3:$Y$113,Donnees_generations!$A$3:$A$113,MAX(1915,MIN(2025,E285))),SUMIFS(Donnees_generations!$Z$3:$Z$113,Donnees_generations!$A$3:$A$113,MAX(1915,MIN(2025,E285))),SUMIFS(Donnees_generations!$AA$3:$AA$113,Donnees_generations!$A$3:$A$113,MAX(1915,MIN(2025,E285))),SUMIFS(Donnees_generations!$AB$3:$AB$113,Donnees_generations!$A$3:$A$113,MAX(1915,MIN(2025,E285))))+CHOOSE(((AG285+2)-56)/2+1,SUMIFS(Donnees_generations!$AC$3:$AC$113,Donnees_generations!$A$3:$A$113,MAX(1915,MIN(2025,E285))),SUMIFS(Donnees_generations!$AD$3:$AD$113,Donnees_generations!$A$3:$A$113,MAX(1915,MIN(2025,E285))),SUMIFS(Donnees_generations!$AE$3:$AE$113,Donnees_generations!$A$3:$A$113,MAX(1915,MIN(2025,E285))),SUMIFS(Donnees_generations!$AF$3:$AF$113,Donnees_generations!$A$3:$A$113,MAX(1915,MIN(2025,E285))),SUMIFS(Donnees_generations!$AG$3:$AG$113,Donnees_generations!$A$3:$A$113,MAX(1915,MIN(2025,E285))),SUMIFS(Donnees_generations!$AH$3:$AH$113,Donnees_generations!$A$3:$A$113,MAX(1915,MIN(2025,E285))),SUMIFS(Donnees_generations!$AI$3:$AI$113,Donnees_generations!$A$3:$A$113,MAX(1915,MIN(2025,E285))),SUMIFS(Donnees_generations!$AJ$3:$AJ$113,Donnees_generations!$A$3:$A$113,MAX(1915,MIN(2025,E285)))))/2</f>
        <v/>
      </c>
      <c r="AJ285" s="8">
        <f>MAX(0,AH285+(AI285-AH285)*(K285-AG285)/2)</f>
        <v/>
      </c>
      <c r="AK285" s="8">
        <f>K285+AJ285</f>
        <v/>
      </c>
      <c r="AL285" s="14">
        <f>AE285*AJ285</f>
        <v/>
      </c>
      <c r="AM285" s="17">
        <f>V285/AL285</f>
        <v/>
      </c>
      <c r="AN285" s="17">
        <f>Z285/AL285</f>
        <v/>
      </c>
      <c r="AO285" s="33">
        <f>IF(V285+Z285=0,0,Z285/(V285+Z285))</f>
        <v/>
      </c>
      <c r="AP285" s="14">
        <f>AL285/V285*100</f>
        <v/>
      </c>
      <c r="AQ285" s="8">
        <f>P285/AL285*1000</f>
        <v/>
      </c>
      <c r="AR285" s="77">
        <f>MAX(N285,M285-1)</f>
        <v/>
      </c>
      <c r="AS285" s="14">
        <f>SUMIFS(Donnees_regimes!$R$3:$R$1118,Donnees_regimes!$A$3:$A$1118,C285,Donnees_regimes!$B$3:$B$1118,"&gt;="&amp;G285,Donnees_regimes!$B$3:$B$1118,"&lt;="&amp;N285)*L285/ROUNDUP(L285,0)*SUMIFS(Donnees_annuelles!$AG$3:$AG$188,Donnees_annuelles!$A$3:$A$188,AR285)*SUMIFS(Donnees_annuelles!$AA$3:$AA$188,Donnees_annuelles!$A$3:$A$188,AR285)</f>
        <v/>
      </c>
      <c r="AT285" s="36">
        <f>AS285/V285</f>
        <v/>
      </c>
      <c r="AU285" s="14">
        <f>AL285</f>
        <v/>
      </c>
      <c r="AV285" s="39">
        <f>AS285-AL285</f>
        <v/>
      </c>
      <c r="AW285" s="9">
        <f>AS285/AL285-1</f>
        <v/>
      </c>
      <c r="AX285" s="14">
        <f>AS285/AJ285/12</f>
        <v/>
      </c>
      <c r="AY285" s="14">
        <f>AF285</f>
        <v/>
      </c>
      <c r="AZ285" s="39">
        <f>AX285-AF285</f>
        <v/>
      </c>
      <c r="BA285" s="14">
        <f>SUMIFS(Donnees_regimes!$S$3:$S$1118,Donnees_regimes!$A$3:$A$1118,C285,Donnees_regimes!$B$3:$B$1118,"&gt;="&amp;G285,Donnees_regimes!$B$3:$B$1118,"&lt;="&amp;N285)*L285/ROUNDUP(L285,0)*SUMIFS(Donnees_annuelles!$AH$3:$AH$188,Donnees_annuelles!$A$3:$A$188,AR285)*SUMIFS(Donnees_annuelles!$AA$3:$AA$188,Donnees_annuelles!$A$3:$A$188,AR285)</f>
        <v/>
      </c>
      <c r="BB285" s="39">
        <f>BA285-AL285</f>
        <v/>
      </c>
      <c r="BC285" s="7">
        <f>IF(M285+AJ285&gt;2026,IF(G285&gt;2026,"entièrement projeté","en partie projeté"),"observé")</f>
        <v/>
      </c>
    </row>
    <row r="286">
      <c r="A286" s="7" t="inlineStr">
        <is>
          <t>Génération Alpha</t>
        </is>
      </c>
      <c r="B286" s="84" t="inlineStr">
        <is>
          <t>Fonction publique territoriale et hospitalière</t>
        </is>
      </c>
      <c r="C286" s="7">
        <f>IF(G286&gt;=SUMIFS(Regimes!$C$5:$C$10,Regimes!$A$5:$A$10,B286),"Privé",B286)</f>
        <v/>
      </c>
      <c r="D286" s="7">
        <f>INDEX(Regimes!$D$5:$D$10,MATCH(C286,Regimes!$A$5:$A$10,0))</f>
        <v/>
      </c>
      <c r="E286" s="88" t="n">
        <v>2015</v>
      </c>
      <c r="F286" s="8">
        <f>Donnees_generations!C103</f>
        <v/>
      </c>
      <c r="G286" s="77">
        <f>Donnees_generations!D103</f>
        <v/>
      </c>
      <c r="H286" s="8">
        <f>SUMIFS(Donnees_generations!$S$3:$S$113,Donnees_generations!$A$3:$A$113,MAX(1915,MIN(2025,E286)))</f>
        <v/>
      </c>
      <c r="I286" s="8">
        <f>SUMIFS(Donnees_generations!$T$3:$T$113,Donnees_generations!$A$3:$A$113,MAX(1915,MIN(2025,E286)))</f>
        <v/>
      </c>
      <c r="J286" s="8">
        <f>IF(G286&gt;=2000,MAX(I286,Parametres!$B$3),I286)</f>
        <v/>
      </c>
      <c r="K286" s="8">
        <f>IF(C286="Privé",J286,SUMIFS(Regles_regimes!$J$3:$J$2000,Regles_regimes!$A$3:$A$2000,C286,Regles_regimes!$B$3:$B$2000,D286,Regles_regimes!$C$3:$C$2000,MAX(1915,MIN(2025,E286))))</f>
        <v/>
      </c>
      <c r="L286" s="8">
        <f>IF(C286="Privé",H286,(K286-F286)*H286/(J286-F286))</f>
        <v/>
      </c>
      <c r="M286" s="77">
        <f>INT(E286+K286)</f>
        <v/>
      </c>
      <c r="N286" s="77">
        <f>G286+ROUNDUP(L286,0)-1</f>
        <v/>
      </c>
      <c r="O286" s="89">
        <f>SUMIFS(Regles_regimes!$K$3:$K$2000,Regles_regimes!$A$3:$A$2000,C286,Regles_regimes!$B$3:$B$2000,D286,Regles_regimes!$C$3:$C$2000,MAX(1915,MIN(2025,E286)))</f>
        <v/>
      </c>
      <c r="P286" s="13">
        <f>SUMIFS(Donnees_annuelles!$W$3:$W$188,Donnees_annuelles!$A$3:$A$188,"&gt;="&amp;G286,Donnees_annuelles!$A$3:$A$188,"&lt;="&amp;N286)*L286/ROUNDUP(L286,0)*O286</f>
        <v/>
      </c>
      <c r="Q286" s="13">
        <f>SUMIFS(Donnees_annuelles!$V$3:$V$188,Donnees_annuelles!$A$3:$A$188,"&gt;="&amp;G286,Donnees_annuelles!$A$3:$A$188,"&lt;="&amp;N286)*L286/ROUNDUP(L286,0)</f>
        <v/>
      </c>
      <c r="R286" s="13">
        <f>P286/L286</f>
        <v/>
      </c>
      <c r="S286" s="14">
        <f>SUMIFS(Donnees_annuelles!$D$3:$D$188,Donnees_annuelles!$A$3:$A$188,"&gt;="&amp;G286,Donnees_annuelles!$A$3:$A$188,"&lt;="&amp;N286)*L286/ROUNDUP(L286,0)</f>
        <v/>
      </c>
      <c r="T286" s="14">
        <f>SUMIFS(Donnees_regimes!$N$3:$N$1118,Donnees_regimes!$A$3:$A$1118,C286,Donnees_regimes!$B$3:$B$1118,"&gt;="&amp;G286,Donnees_regimes!$B$3:$B$1118,"&lt;="&amp;N286)*L286/ROUNDUP(L286,0)</f>
        <v/>
      </c>
      <c r="U286" s="14">
        <f>SUMIFS(Donnees_regimes!$O$3:$O$1118,Donnees_regimes!$A$3:$A$1118,C286,Donnees_regimes!$B$3:$B$1118,"&gt;="&amp;G286,Donnees_regimes!$B$3:$B$1118,"&lt;="&amp;N286)*L286/ROUNDUP(L286,0)</f>
        <v/>
      </c>
      <c r="V286" s="14">
        <f>T286+U286</f>
        <v/>
      </c>
      <c r="W286" s="33">
        <f>V286/S286</f>
        <v/>
      </c>
      <c r="X286" s="14">
        <f>S286+U286</f>
        <v/>
      </c>
      <c r="Y286" s="17">
        <f>V286/P286</f>
        <v/>
      </c>
      <c r="Z286" s="14">
        <f>SUMIFS(Donnees_regimes!$Q$3:$Q$1118,Donnees_regimes!$A$3:$A$1118,C286,Donnees_regimes!$B$3:$B$1118,"&gt;="&amp;G286,Donnees_regimes!$B$3:$B$1118,"&lt;="&amp;N286)*L286/ROUNDUP(L286,0)</f>
        <v/>
      </c>
      <c r="AA286" s="77">
        <f>SUMIFS(Regles_regimes!$F$3:$F$2000,Regles_regimes!$A$3:$A$2000,C286,Regles_regimes!$B$3:$B$2000,D286,Regles_regimes!$C$3:$C$2000,MAX(1915,MIN(2025,E286)))</f>
        <v/>
      </c>
      <c r="AB286" s="77">
        <f>IF(AND(SUMIFS(Regles_regimes!$L$3:$L$2000,Regles_regimes!$A$3:$A$2000,C286,Regles_regimes!$B$3:$B$2000,D286,Regles_regimes!$C$3:$C$2000,MAX(1915,MIN(2025,E286)))=1,G286&lt;2009,C286&lt;&gt;"Privé"),MIN(20,L286*4/5),0)</f>
        <v/>
      </c>
      <c r="AC286" s="89">
        <f>SUMIFS(Donnees_regimes!$M$3:$M$1118,Donnees_regimes!$A$3:$A$1118,C286,Donnees_regimes!$B$3:$B$1118,M286)</f>
        <v/>
      </c>
      <c r="AD286" s="14">
        <f>SUMIFS(Donnees_annuelles!$Y$3:$Y$188,Donnees_annuelles!$A$3:$A$188,M286)*SUMIFS(Donnees_generations!$I$3:$I$113,Donnees_generations!$A$3:$A$113,MAX(1915,MIN(2025,E286)))/H286</f>
        <v/>
      </c>
      <c r="AE286" s="14">
        <f>IF(C286="Privé",SUMIFS(Donnees_annuelles!$Y$3:$Y$188,Donnees_annuelles!$A$3:$A$188,M286)*MIN(L286,SUMIFS(Donnees_generations!$I$3:$I$113,Donnees_generations!$A$3:$A$113,MAX(1915,MIN(2025,E286))))/L286,AD286*AC286*MIN(IF(AB286&gt;0,0.8/0.75,1),(L286*4+AB286)/AA286))</f>
        <v/>
      </c>
      <c r="AF286" s="14">
        <f>AE286/12</f>
        <v/>
      </c>
      <c r="AG286" s="77">
        <f>MIN(68,MAX(56,2*INT(K286/2)))</f>
        <v/>
      </c>
      <c r="AH286" s="75">
        <f>(CHOOSE((AG286-56)/2+1,SUMIFS(Donnees_generations!$U$3:$U$113,Donnees_generations!$A$3:$A$113,MAX(1915,MIN(2025,E286))),SUMIFS(Donnees_generations!$V$3:$V$113,Donnees_generations!$A$3:$A$113,MAX(1915,MIN(2025,E286))),SUMIFS(Donnees_generations!$W$3:$W$113,Donnees_generations!$A$3:$A$113,MAX(1915,MIN(2025,E286))),SUMIFS(Donnees_generations!$X$3:$X$113,Donnees_generations!$A$3:$A$113,MAX(1915,MIN(2025,E286))),SUMIFS(Donnees_generations!$Y$3:$Y$113,Donnees_generations!$A$3:$A$113,MAX(1915,MIN(2025,E286))),SUMIFS(Donnees_generations!$Z$3:$Z$113,Donnees_generations!$A$3:$A$113,MAX(1915,MIN(2025,E286))),SUMIFS(Donnees_generations!$AA$3:$AA$113,Donnees_generations!$A$3:$A$113,MAX(1915,MIN(2025,E286))),SUMIFS(Donnees_generations!$AB$3:$AB$113,Donnees_generations!$A$3:$A$113,MAX(1915,MIN(2025,E286))))+CHOOSE((AG286-56)/2+1,SUMIFS(Donnees_generations!$AC$3:$AC$113,Donnees_generations!$A$3:$A$113,MAX(1915,MIN(2025,E286))),SUMIFS(Donnees_generations!$AD$3:$AD$113,Donnees_generations!$A$3:$A$113,MAX(1915,MIN(2025,E286))),SUMIFS(Donnees_generations!$AE$3:$AE$113,Donnees_generations!$A$3:$A$113,MAX(1915,MIN(2025,E286))),SUMIFS(Donnees_generations!$AF$3:$AF$113,Donnees_generations!$A$3:$A$113,MAX(1915,MIN(2025,E286))),SUMIFS(Donnees_generations!$AG$3:$AG$113,Donnees_generations!$A$3:$A$113,MAX(1915,MIN(2025,E286))),SUMIFS(Donnees_generations!$AH$3:$AH$113,Donnees_generations!$A$3:$A$113,MAX(1915,MIN(2025,E286))),SUMIFS(Donnees_generations!$AI$3:$AI$113,Donnees_generations!$A$3:$A$113,MAX(1915,MIN(2025,E286))),SUMIFS(Donnees_generations!$AJ$3:$AJ$113,Donnees_generations!$A$3:$A$113,MAX(1915,MIN(2025,E286)))))/2</f>
        <v/>
      </c>
      <c r="AI286" s="75">
        <f>(CHOOSE(((AG286+2)-56)/2+1,SUMIFS(Donnees_generations!$U$3:$U$113,Donnees_generations!$A$3:$A$113,MAX(1915,MIN(2025,E286))),SUMIFS(Donnees_generations!$V$3:$V$113,Donnees_generations!$A$3:$A$113,MAX(1915,MIN(2025,E286))),SUMIFS(Donnees_generations!$W$3:$W$113,Donnees_generations!$A$3:$A$113,MAX(1915,MIN(2025,E286))),SUMIFS(Donnees_generations!$X$3:$X$113,Donnees_generations!$A$3:$A$113,MAX(1915,MIN(2025,E286))),SUMIFS(Donnees_generations!$Y$3:$Y$113,Donnees_generations!$A$3:$A$113,MAX(1915,MIN(2025,E286))),SUMIFS(Donnees_generations!$Z$3:$Z$113,Donnees_generations!$A$3:$A$113,MAX(1915,MIN(2025,E286))),SUMIFS(Donnees_generations!$AA$3:$AA$113,Donnees_generations!$A$3:$A$113,MAX(1915,MIN(2025,E286))),SUMIFS(Donnees_generations!$AB$3:$AB$113,Donnees_generations!$A$3:$A$113,MAX(1915,MIN(2025,E286))))+CHOOSE(((AG286+2)-56)/2+1,SUMIFS(Donnees_generations!$AC$3:$AC$113,Donnees_generations!$A$3:$A$113,MAX(1915,MIN(2025,E286))),SUMIFS(Donnees_generations!$AD$3:$AD$113,Donnees_generations!$A$3:$A$113,MAX(1915,MIN(2025,E286))),SUMIFS(Donnees_generations!$AE$3:$AE$113,Donnees_generations!$A$3:$A$113,MAX(1915,MIN(2025,E286))),SUMIFS(Donnees_generations!$AF$3:$AF$113,Donnees_generations!$A$3:$A$113,MAX(1915,MIN(2025,E286))),SUMIFS(Donnees_generations!$AG$3:$AG$113,Donnees_generations!$A$3:$A$113,MAX(1915,MIN(2025,E286))),SUMIFS(Donnees_generations!$AH$3:$AH$113,Donnees_generations!$A$3:$A$113,MAX(1915,MIN(2025,E286))),SUMIFS(Donnees_generations!$AI$3:$AI$113,Donnees_generations!$A$3:$A$113,MAX(1915,MIN(2025,E286))),SUMIFS(Donnees_generations!$AJ$3:$AJ$113,Donnees_generations!$A$3:$A$113,MAX(1915,MIN(2025,E286)))))/2</f>
        <v/>
      </c>
      <c r="AJ286" s="8">
        <f>MAX(0,AH286+(AI286-AH286)*(K286-AG286)/2)</f>
        <v/>
      </c>
      <c r="AK286" s="8">
        <f>K286+AJ286</f>
        <v/>
      </c>
      <c r="AL286" s="14">
        <f>AE286*AJ286</f>
        <v/>
      </c>
      <c r="AM286" s="17">
        <f>V286/AL286</f>
        <v/>
      </c>
      <c r="AN286" s="17">
        <f>Z286/AL286</f>
        <v/>
      </c>
      <c r="AO286" s="33">
        <f>IF(V286+Z286=0,0,Z286/(V286+Z286))</f>
        <v/>
      </c>
      <c r="AP286" s="14">
        <f>AL286/V286*100</f>
        <v/>
      </c>
      <c r="AQ286" s="8">
        <f>P286/AL286*1000</f>
        <v/>
      </c>
      <c r="AR286" s="77">
        <f>MAX(N286,M286-1)</f>
        <v/>
      </c>
      <c r="AS286" s="14">
        <f>SUMIFS(Donnees_regimes!$R$3:$R$1118,Donnees_regimes!$A$3:$A$1118,C286,Donnees_regimes!$B$3:$B$1118,"&gt;="&amp;G286,Donnees_regimes!$B$3:$B$1118,"&lt;="&amp;N286)*L286/ROUNDUP(L286,0)*SUMIFS(Donnees_annuelles!$AG$3:$AG$188,Donnees_annuelles!$A$3:$A$188,AR286)*SUMIFS(Donnees_annuelles!$AA$3:$AA$188,Donnees_annuelles!$A$3:$A$188,AR286)</f>
        <v/>
      </c>
      <c r="AT286" s="36">
        <f>AS286/V286</f>
        <v/>
      </c>
      <c r="AU286" s="14">
        <f>AL286</f>
        <v/>
      </c>
      <c r="AV286" s="39">
        <f>AS286-AL286</f>
        <v/>
      </c>
      <c r="AW286" s="9">
        <f>AS286/AL286-1</f>
        <v/>
      </c>
      <c r="AX286" s="14">
        <f>AS286/AJ286/12</f>
        <v/>
      </c>
      <c r="AY286" s="14">
        <f>AF286</f>
        <v/>
      </c>
      <c r="AZ286" s="39">
        <f>AX286-AF286</f>
        <v/>
      </c>
      <c r="BA286" s="14">
        <f>SUMIFS(Donnees_regimes!$S$3:$S$1118,Donnees_regimes!$A$3:$A$1118,C286,Donnees_regimes!$B$3:$B$1118,"&gt;="&amp;G286,Donnees_regimes!$B$3:$B$1118,"&lt;="&amp;N286)*L286/ROUNDUP(L286,0)*SUMIFS(Donnees_annuelles!$AH$3:$AH$188,Donnees_annuelles!$A$3:$A$188,AR286)*SUMIFS(Donnees_annuelles!$AA$3:$AA$188,Donnees_annuelles!$A$3:$A$188,AR286)</f>
        <v/>
      </c>
      <c r="BB286" s="39">
        <f>BA286-AL286</f>
        <v/>
      </c>
      <c r="BC286" s="7">
        <f>IF(M286+AJ286&gt;2026,IF(G286&gt;2026,"entièrement projeté","en partie projeté"),"observé")</f>
        <v/>
      </c>
    </row>
    <row r="287">
      <c r="A287" s="7" t="inlineStr">
        <is>
          <t>Génération Alpha</t>
        </is>
      </c>
      <c r="B287" s="84" t="inlineStr">
        <is>
          <t>Fonction publique territoriale et hospitalière</t>
        </is>
      </c>
      <c r="C287" s="7">
        <f>IF(G287&gt;=SUMIFS(Regimes!$C$5:$C$10,Regimes!$A$5:$A$10,B287),"Privé",B287)</f>
        <v/>
      </c>
      <c r="D287" s="7">
        <f>INDEX(Regimes!$D$5:$D$10,MATCH(C287,Regimes!$A$5:$A$10,0))</f>
        <v/>
      </c>
      <c r="E287" s="88" t="n">
        <v>2016</v>
      </c>
      <c r="F287" s="8">
        <f>Donnees_generations!C104</f>
        <v/>
      </c>
      <c r="G287" s="77">
        <f>Donnees_generations!D104</f>
        <v/>
      </c>
      <c r="H287" s="8">
        <f>SUMIFS(Donnees_generations!$S$3:$S$113,Donnees_generations!$A$3:$A$113,MAX(1915,MIN(2025,E287)))</f>
        <v/>
      </c>
      <c r="I287" s="8">
        <f>SUMIFS(Donnees_generations!$T$3:$T$113,Donnees_generations!$A$3:$A$113,MAX(1915,MIN(2025,E287)))</f>
        <v/>
      </c>
      <c r="J287" s="8">
        <f>IF(G287&gt;=2000,MAX(I287,Parametres!$B$3),I287)</f>
        <v/>
      </c>
      <c r="K287" s="8">
        <f>IF(C287="Privé",J287,SUMIFS(Regles_regimes!$J$3:$J$2000,Regles_regimes!$A$3:$A$2000,C287,Regles_regimes!$B$3:$B$2000,D287,Regles_regimes!$C$3:$C$2000,MAX(1915,MIN(2025,E287))))</f>
        <v/>
      </c>
      <c r="L287" s="8">
        <f>IF(C287="Privé",H287,(K287-F287)*H287/(J287-F287))</f>
        <v/>
      </c>
      <c r="M287" s="77">
        <f>INT(E287+K287)</f>
        <v/>
      </c>
      <c r="N287" s="77">
        <f>G287+ROUNDUP(L287,0)-1</f>
        <v/>
      </c>
      <c r="O287" s="89">
        <f>SUMIFS(Regles_regimes!$K$3:$K$2000,Regles_regimes!$A$3:$A$2000,C287,Regles_regimes!$B$3:$B$2000,D287,Regles_regimes!$C$3:$C$2000,MAX(1915,MIN(2025,E287)))</f>
        <v/>
      </c>
      <c r="P287" s="13">
        <f>SUMIFS(Donnees_annuelles!$W$3:$W$188,Donnees_annuelles!$A$3:$A$188,"&gt;="&amp;G287,Donnees_annuelles!$A$3:$A$188,"&lt;="&amp;N287)*L287/ROUNDUP(L287,0)*O287</f>
        <v/>
      </c>
      <c r="Q287" s="13">
        <f>SUMIFS(Donnees_annuelles!$V$3:$V$188,Donnees_annuelles!$A$3:$A$188,"&gt;="&amp;G287,Donnees_annuelles!$A$3:$A$188,"&lt;="&amp;N287)*L287/ROUNDUP(L287,0)</f>
        <v/>
      </c>
      <c r="R287" s="13">
        <f>P287/L287</f>
        <v/>
      </c>
      <c r="S287" s="14">
        <f>SUMIFS(Donnees_annuelles!$D$3:$D$188,Donnees_annuelles!$A$3:$A$188,"&gt;="&amp;G287,Donnees_annuelles!$A$3:$A$188,"&lt;="&amp;N287)*L287/ROUNDUP(L287,0)</f>
        <v/>
      </c>
      <c r="T287" s="14">
        <f>SUMIFS(Donnees_regimes!$N$3:$N$1118,Donnees_regimes!$A$3:$A$1118,C287,Donnees_regimes!$B$3:$B$1118,"&gt;="&amp;G287,Donnees_regimes!$B$3:$B$1118,"&lt;="&amp;N287)*L287/ROUNDUP(L287,0)</f>
        <v/>
      </c>
      <c r="U287" s="14">
        <f>SUMIFS(Donnees_regimes!$O$3:$O$1118,Donnees_regimes!$A$3:$A$1118,C287,Donnees_regimes!$B$3:$B$1118,"&gt;="&amp;G287,Donnees_regimes!$B$3:$B$1118,"&lt;="&amp;N287)*L287/ROUNDUP(L287,0)</f>
        <v/>
      </c>
      <c r="V287" s="14">
        <f>T287+U287</f>
        <v/>
      </c>
      <c r="W287" s="33">
        <f>V287/S287</f>
        <v/>
      </c>
      <c r="X287" s="14">
        <f>S287+U287</f>
        <v/>
      </c>
      <c r="Y287" s="17">
        <f>V287/P287</f>
        <v/>
      </c>
      <c r="Z287" s="14">
        <f>SUMIFS(Donnees_regimes!$Q$3:$Q$1118,Donnees_regimes!$A$3:$A$1118,C287,Donnees_regimes!$B$3:$B$1118,"&gt;="&amp;G287,Donnees_regimes!$B$3:$B$1118,"&lt;="&amp;N287)*L287/ROUNDUP(L287,0)</f>
        <v/>
      </c>
      <c r="AA287" s="77">
        <f>SUMIFS(Regles_regimes!$F$3:$F$2000,Regles_regimes!$A$3:$A$2000,C287,Regles_regimes!$B$3:$B$2000,D287,Regles_regimes!$C$3:$C$2000,MAX(1915,MIN(2025,E287)))</f>
        <v/>
      </c>
      <c r="AB287" s="77">
        <f>IF(AND(SUMIFS(Regles_regimes!$L$3:$L$2000,Regles_regimes!$A$3:$A$2000,C287,Regles_regimes!$B$3:$B$2000,D287,Regles_regimes!$C$3:$C$2000,MAX(1915,MIN(2025,E287)))=1,G287&lt;2009,C287&lt;&gt;"Privé"),MIN(20,L287*4/5),0)</f>
        <v/>
      </c>
      <c r="AC287" s="89">
        <f>SUMIFS(Donnees_regimes!$M$3:$M$1118,Donnees_regimes!$A$3:$A$1118,C287,Donnees_regimes!$B$3:$B$1118,M287)</f>
        <v/>
      </c>
      <c r="AD287" s="14">
        <f>SUMIFS(Donnees_annuelles!$Y$3:$Y$188,Donnees_annuelles!$A$3:$A$188,M287)*SUMIFS(Donnees_generations!$I$3:$I$113,Donnees_generations!$A$3:$A$113,MAX(1915,MIN(2025,E287)))/H287</f>
        <v/>
      </c>
      <c r="AE287" s="14">
        <f>IF(C287="Privé",SUMIFS(Donnees_annuelles!$Y$3:$Y$188,Donnees_annuelles!$A$3:$A$188,M287)*MIN(L287,SUMIFS(Donnees_generations!$I$3:$I$113,Donnees_generations!$A$3:$A$113,MAX(1915,MIN(2025,E287))))/L287,AD287*AC287*MIN(IF(AB287&gt;0,0.8/0.75,1),(L287*4+AB287)/AA287))</f>
        <v/>
      </c>
      <c r="AF287" s="14">
        <f>AE287/12</f>
        <v/>
      </c>
      <c r="AG287" s="77">
        <f>MIN(68,MAX(56,2*INT(K287/2)))</f>
        <v/>
      </c>
      <c r="AH287" s="75">
        <f>(CHOOSE((AG287-56)/2+1,SUMIFS(Donnees_generations!$U$3:$U$113,Donnees_generations!$A$3:$A$113,MAX(1915,MIN(2025,E287))),SUMIFS(Donnees_generations!$V$3:$V$113,Donnees_generations!$A$3:$A$113,MAX(1915,MIN(2025,E287))),SUMIFS(Donnees_generations!$W$3:$W$113,Donnees_generations!$A$3:$A$113,MAX(1915,MIN(2025,E287))),SUMIFS(Donnees_generations!$X$3:$X$113,Donnees_generations!$A$3:$A$113,MAX(1915,MIN(2025,E287))),SUMIFS(Donnees_generations!$Y$3:$Y$113,Donnees_generations!$A$3:$A$113,MAX(1915,MIN(2025,E287))),SUMIFS(Donnees_generations!$Z$3:$Z$113,Donnees_generations!$A$3:$A$113,MAX(1915,MIN(2025,E287))),SUMIFS(Donnees_generations!$AA$3:$AA$113,Donnees_generations!$A$3:$A$113,MAX(1915,MIN(2025,E287))),SUMIFS(Donnees_generations!$AB$3:$AB$113,Donnees_generations!$A$3:$A$113,MAX(1915,MIN(2025,E287))))+CHOOSE((AG287-56)/2+1,SUMIFS(Donnees_generations!$AC$3:$AC$113,Donnees_generations!$A$3:$A$113,MAX(1915,MIN(2025,E287))),SUMIFS(Donnees_generations!$AD$3:$AD$113,Donnees_generations!$A$3:$A$113,MAX(1915,MIN(2025,E287))),SUMIFS(Donnees_generations!$AE$3:$AE$113,Donnees_generations!$A$3:$A$113,MAX(1915,MIN(2025,E287))),SUMIFS(Donnees_generations!$AF$3:$AF$113,Donnees_generations!$A$3:$A$113,MAX(1915,MIN(2025,E287))),SUMIFS(Donnees_generations!$AG$3:$AG$113,Donnees_generations!$A$3:$A$113,MAX(1915,MIN(2025,E287))),SUMIFS(Donnees_generations!$AH$3:$AH$113,Donnees_generations!$A$3:$A$113,MAX(1915,MIN(2025,E287))),SUMIFS(Donnees_generations!$AI$3:$AI$113,Donnees_generations!$A$3:$A$113,MAX(1915,MIN(2025,E287))),SUMIFS(Donnees_generations!$AJ$3:$AJ$113,Donnees_generations!$A$3:$A$113,MAX(1915,MIN(2025,E287)))))/2</f>
        <v/>
      </c>
      <c r="AI287" s="75">
        <f>(CHOOSE(((AG287+2)-56)/2+1,SUMIFS(Donnees_generations!$U$3:$U$113,Donnees_generations!$A$3:$A$113,MAX(1915,MIN(2025,E287))),SUMIFS(Donnees_generations!$V$3:$V$113,Donnees_generations!$A$3:$A$113,MAX(1915,MIN(2025,E287))),SUMIFS(Donnees_generations!$W$3:$W$113,Donnees_generations!$A$3:$A$113,MAX(1915,MIN(2025,E287))),SUMIFS(Donnees_generations!$X$3:$X$113,Donnees_generations!$A$3:$A$113,MAX(1915,MIN(2025,E287))),SUMIFS(Donnees_generations!$Y$3:$Y$113,Donnees_generations!$A$3:$A$113,MAX(1915,MIN(2025,E287))),SUMIFS(Donnees_generations!$Z$3:$Z$113,Donnees_generations!$A$3:$A$113,MAX(1915,MIN(2025,E287))),SUMIFS(Donnees_generations!$AA$3:$AA$113,Donnees_generations!$A$3:$A$113,MAX(1915,MIN(2025,E287))),SUMIFS(Donnees_generations!$AB$3:$AB$113,Donnees_generations!$A$3:$A$113,MAX(1915,MIN(2025,E287))))+CHOOSE(((AG287+2)-56)/2+1,SUMIFS(Donnees_generations!$AC$3:$AC$113,Donnees_generations!$A$3:$A$113,MAX(1915,MIN(2025,E287))),SUMIFS(Donnees_generations!$AD$3:$AD$113,Donnees_generations!$A$3:$A$113,MAX(1915,MIN(2025,E287))),SUMIFS(Donnees_generations!$AE$3:$AE$113,Donnees_generations!$A$3:$A$113,MAX(1915,MIN(2025,E287))),SUMIFS(Donnees_generations!$AF$3:$AF$113,Donnees_generations!$A$3:$A$113,MAX(1915,MIN(2025,E287))),SUMIFS(Donnees_generations!$AG$3:$AG$113,Donnees_generations!$A$3:$A$113,MAX(1915,MIN(2025,E287))),SUMIFS(Donnees_generations!$AH$3:$AH$113,Donnees_generations!$A$3:$A$113,MAX(1915,MIN(2025,E287))),SUMIFS(Donnees_generations!$AI$3:$AI$113,Donnees_generations!$A$3:$A$113,MAX(1915,MIN(2025,E287))),SUMIFS(Donnees_generations!$AJ$3:$AJ$113,Donnees_generations!$A$3:$A$113,MAX(1915,MIN(2025,E287)))))/2</f>
        <v/>
      </c>
      <c r="AJ287" s="8">
        <f>MAX(0,AH287+(AI287-AH287)*(K287-AG287)/2)</f>
        <v/>
      </c>
      <c r="AK287" s="8">
        <f>K287+AJ287</f>
        <v/>
      </c>
      <c r="AL287" s="14">
        <f>AE287*AJ287</f>
        <v/>
      </c>
      <c r="AM287" s="17">
        <f>V287/AL287</f>
        <v/>
      </c>
      <c r="AN287" s="17">
        <f>Z287/AL287</f>
        <v/>
      </c>
      <c r="AO287" s="33">
        <f>IF(V287+Z287=0,0,Z287/(V287+Z287))</f>
        <v/>
      </c>
      <c r="AP287" s="14">
        <f>AL287/V287*100</f>
        <v/>
      </c>
      <c r="AQ287" s="8">
        <f>P287/AL287*1000</f>
        <v/>
      </c>
      <c r="AR287" s="77">
        <f>MAX(N287,M287-1)</f>
        <v/>
      </c>
      <c r="AS287" s="14">
        <f>SUMIFS(Donnees_regimes!$R$3:$R$1118,Donnees_regimes!$A$3:$A$1118,C287,Donnees_regimes!$B$3:$B$1118,"&gt;="&amp;G287,Donnees_regimes!$B$3:$B$1118,"&lt;="&amp;N287)*L287/ROUNDUP(L287,0)*SUMIFS(Donnees_annuelles!$AG$3:$AG$188,Donnees_annuelles!$A$3:$A$188,AR287)*SUMIFS(Donnees_annuelles!$AA$3:$AA$188,Donnees_annuelles!$A$3:$A$188,AR287)</f>
        <v/>
      </c>
      <c r="AT287" s="36">
        <f>AS287/V287</f>
        <v/>
      </c>
      <c r="AU287" s="14">
        <f>AL287</f>
        <v/>
      </c>
      <c r="AV287" s="39">
        <f>AS287-AL287</f>
        <v/>
      </c>
      <c r="AW287" s="9">
        <f>AS287/AL287-1</f>
        <v/>
      </c>
      <c r="AX287" s="14">
        <f>AS287/AJ287/12</f>
        <v/>
      </c>
      <c r="AY287" s="14">
        <f>AF287</f>
        <v/>
      </c>
      <c r="AZ287" s="39">
        <f>AX287-AF287</f>
        <v/>
      </c>
      <c r="BA287" s="14">
        <f>SUMIFS(Donnees_regimes!$S$3:$S$1118,Donnees_regimes!$A$3:$A$1118,C287,Donnees_regimes!$B$3:$B$1118,"&gt;="&amp;G287,Donnees_regimes!$B$3:$B$1118,"&lt;="&amp;N287)*L287/ROUNDUP(L287,0)*SUMIFS(Donnees_annuelles!$AH$3:$AH$188,Donnees_annuelles!$A$3:$A$188,AR287)*SUMIFS(Donnees_annuelles!$AA$3:$AA$188,Donnees_annuelles!$A$3:$A$188,AR287)</f>
        <v/>
      </c>
      <c r="BB287" s="39">
        <f>BA287-AL287</f>
        <v/>
      </c>
      <c r="BC287" s="7">
        <f>IF(M287+AJ287&gt;2026,IF(G287&gt;2026,"entièrement projeté","en partie projeté"),"observé")</f>
        <v/>
      </c>
    </row>
    <row r="288">
      <c r="A288" s="7" t="inlineStr">
        <is>
          <t>Génération Alpha</t>
        </is>
      </c>
      <c r="B288" s="84" t="inlineStr">
        <is>
          <t>Fonction publique territoriale et hospitalière</t>
        </is>
      </c>
      <c r="C288" s="7">
        <f>IF(G288&gt;=SUMIFS(Regimes!$C$5:$C$10,Regimes!$A$5:$A$10,B288),"Privé",B288)</f>
        <v/>
      </c>
      <c r="D288" s="7">
        <f>INDEX(Regimes!$D$5:$D$10,MATCH(C288,Regimes!$A$5:$A$10,0))</f>
        <v/>
      </c>
      <c r="E288" s="88" t="n">
        <v>2017</v>
      </c>
      <c r="F288" s="8">
        <f>Donnees_generations!C105</f>
        <v/>
      </c>
      <c r="G288" s="77">
        <f>Donnees_generations!D105</f>
        <v/>
      </c>
      <c r="H288" s="8">
        <f>SUMIFS(Donnees_generations!$S$3:$S$113,Donnees_generations!$A$3:$A$113,MAX(1915,MIN(2025,E288)))</f>
        <v/>
      </c>
      <c r="I288" s="8">
        <f>SUMIFS(Donnees_generations!$T$3:$T$113,Donnees_generations!$A$3:$A$113,MAX(1915,MIN(2025,E288)))</f>
        <v/>
      </c>
      <c r="J288" s="8">
        <f>IF(G288&gt;=2000,MAX(I288,Parametres!$B$3),I288)</f>
        <v/>
      </c>
      <c r="K288" s="8">
        <f>IF(C288="Privé",J288,SUMIFS(Regles_regimes!$J$3:$J$2000,Regles_regimes!$A$3:$A$2000,C288,Regles_regimes!$B$3:$B$2000,D288,Regles_regimes!$C$3:$C$2000,MAX(1915,MIN(2025,E288))))</f>
        <v/>
      </c>
      <c r="L288" s="8">
        <f>IF(C288="Privé",H288,(K288-F288)*H288/(J288-F288))</f>
        <v/>
      </c>
      <c r="M288" s="77">
        <f>INT(E288+K288)</f>
        <v/>
      </c>
      <c r="N288" s="77">
        <f>G288+ROUNDUP(L288,0)-1</f>
        <v/>
      </c>
      <c r="O288" s="89">
        <f>SUMIFS(Regles_regimes!$K$3:$K$2000,Regles_regimes!$A$3:$A$2000,C288,Regles_regimes!$B$3:$B$2000,D288,Regles_regimes!$C$3:$C$2000,MAX(1915,MIN(2025,E288)))</f>
        <v/>
      </c>
      <c r="P288" s="13">
        <f>SUMIFS(Donnees_annuelles!$W$3:$W$188,Donnees_annuelles!$A$3:$A$188,"&gt;="&amp;G288,Donnees_annuelles!$A$3:$A$188,"&lt;="&amp;N288)*L288/ROUNDUP(L288,0)*O288</f>
        <v/>
      </c>
      <c r="Q288" s="13">
        <f>SUMIFS(Donnees_annuelles!$V$3:$V$188,Donnees_annuelles!$A$3:$A$188,"&gt;="&amp;G288,Donnees_annuelles!$A$3:$A$188,"&lt;="&amp;N288)*L288/ROUNDUP(L288,0)</f>
        <v/>
      </c>
      <c r="R288" s="13">
        <f>P288/L288</f>
        <v/>
      </c>
      <c r="S288" s="14">
        <f>SUMIFS(Donnees_annuelles!$D$3:$D$188,Donnees_annuelles!$A$3:$A$188,"&gt;="&amp;G288,Donnees_annuelles!$A$3:$A$188,"&lt;="&amp;N288)*L288/ROUNDUP(L288,0)</f>
        <v/>
      </c>
      <c r="T288" s="14">
        <f>SUMIFS(Donnees_regimes!$N$3:$N$1118,Donnees_regimes!$A$3:$A$1118,C288,Donnees_regimes!$B$3:$B$1118,"&gt;="&amp;G288,Donnees_regimes!$B$3:$B$1118,"&lt;="&amp;N288)*L288/ROUNDUP(L288,0)</f>
        <v/>
      </c>
      <c r="U288" s="14">
        <f>SUMIFS(Donnees_regimes!$O$3:$O$1118,Donnees_regimes!$A$3:$A$1118,C288,Donnees_regimes!$B$3:$B$1118,"&gt;="&amp;G288,Donnees_regimes!$B$3:$B$1118,"&lt;="&amp;N288)*L288/ROUNDUP(L288,0)</f>
        <v/>
      </c>
      <c r="V288" s="14">
        <f>T288+U288</f>
        <v/>
      </c>
      <c r="W288" s="33">
        <f>V288/S288</f>
        <v/>
      </c>
      <c r="X288" s="14">
        <f>S288+U288</f>
        <v/>
      </c>
      <c r="Y288" s="17">
        <f>V288/P288</f>
        <v/>
      </c>
      <c r="Z288" s="14">
        <f>SUMIFS(Donnees_regimes!$Q$3:$Q$1118,Donnees_regimes!$A$3:$A$1118,C288,Donnees_regimes!$B$3:$B$1118,"&gt;="&amp;G288,Donnees_regimes!$B$3:$B$1118,"&lt;="&amp;N288)*L288/ROUNDUP(L288,0)</f>
        <v/>
      </c>
      <c r="AA288" s="77">
        <f>SUMIFS(Regles_regimes!$F$3:$F$2000,Regles_regimes!$A$3:$A$2000,C288,Regles_regimes!$B$3:$B$2000,D288,Regles_regimes!$C$3:$C$2000,MAX(1915,MIN(2025,E288)))</f>
        <v/>
      </c>
      <c r="AB288" s="77">
        <f>IF(AND(SUMIFS(Regles_regimes!$L$3:$L$2000,Regles_regimes!$A$3:$A$2000,C288,Regles_regimes!$B$3:$B$2000,D288,Regles_regimes!$C$3:$C$2000,MAX(1915,MIN(2025,E288)))=1,G288&lt;2009,C288&lt;&gt;"Privé"),MIN(20,L288*4/5),0)</f>
        <v/>
      </c>
      <c r="AC288" s="89">
        <f>SUMIFS(Donnees_regimes!$M$3:$M$1118,Donnees_regimes!$A$3:$A$1118,C288,Donnees_regimes!$B$3:$B$1118,M288)</f>
        <v/>
      </c>
      <c r="AD288" s="14">
        <f>SUMIFS(Donnees_annuelles!$Y$3:$Y$188,Donnees_annuelles!$A$3:$A$188,M288)*SUMIFS(Donnees_generations!$I$3:$I$113,Donnees_generations!$A$3:$A$113,MAX(1915,MIN(2025,E288)))/H288</f>
        <v/>
      </c>
      <c r="AE288" s="14">
        <f>IF(C288="Privé",SUMIFS(Donnees_annuelles!$Y$3:$Y$188,Donnees_annuelles!$A$3:$A$188,M288)*MIN(L288,SUMIFS(Donnees_generations!$I$3:$I$113,Donnees_generations!$A$3:$A$113,MAX(1915,MIN(2025,E288))))/L288,AD288*AC288*MIN(IF(AB288&gt;0,0.8/0.75,1),(L288*4+AB288)/AA288))</f>
        <v/>
      </c>
      <c r="AF288" s="14">
        <f>AE288/12</f>
        <v/>
      </c>
      <c r="AG288" s="77">
        <f>MIN(68,MAX(56,2*INT(K288/2)))</f>
        <v/>
      </c>
      <c r="AH288" s="75">
        <f>(CHOOSE((AG288-56)/2+1,SUMIFS(Donnees_generations!$U$3:$U$113,Donnees_generations!$A$3:$A$113,MAX(1915,MIN(2025,E288))),SUMIFS(Donnees_generations!$V$3:$V$113,Donnees_generations!$A$3:$A$113,MAX(1915,MIN(2025,E288))),SUMIFS(Donnees_generations!$W$3:$W$113,Donnees_generations!$A$3:$A$113,MAX(1915,MIN(2025,E288))),SUMIFS(Donnees_generations!$X$3:$X$113,Donnees_generations!$A$3:$A$113,MAX(1915,MIN(2025,E288))),SUMIFS(Donnees_generations!$Y$3:$Y$113,Donnees_generations!$A$3:$A$113,MAX(1915,MIN(2025,E288))),SUMIFS(Donnees_generations!$Z$3:$Z$113,Donnees_generations!$A$3:$A$113,MAX(1915,MIN(2025,E288))),SUMIFS(Donnees_generations!$AA$3:$AA$113,Donnees_generations!$A$3:$A$113,MAX(1915,MIN(2025,E288))),SUMIFS(Donnees_generations!$AB$3:$AB$113,Donnees_generations!$A$3:$A$113,MAX(1915,MIN(2025,E288))))+CHOOSE((AG288-56)/2+1,SUMIFS(Donnees_generations!$AC$3:$AC$113,Donnees_generations!$A$3:$A$113,MAX(1915,MIN(2025,E288))),SUMIFS(Donnees_generations!$AD$3:$AD$113,Donnees_generations!$A$3:$A$113,MAX(1915,MIN(2025,E288))),SUMIFS(Donnees_generations!$AE$3:$AE$113,Donnees_generations!$A$3:$A$113,MAX(1915,MIN(2025,E288))),SUMIFS(Donnees_generations!$AF$3:$AF$113,Donnees_generations!$A$3:$A$113,MAX(1915,MIN(2025,E288))),SUMIFS(Donnees_generations!$AG$3:$AG$113,Donnees_generations!$A$3:$A$113,MAX(1915,MIN(2025,E288))),SUMIFS(Donnees_generations!$AH$3:$AH$113,Donnees_generations!$A$3:$A$113,MAX(1915,MIN(2025,E288))),SUMIFS(Donnees_generations!$AI$3:$AI$113,Donnees_generations!$A$3:$A$113,MAX(1915,MIN(2025,E288))),SUMIFS(Donnees_generations!$AJ$3:$AJ$113,Donnees_generations!$A$3:$A$113,MAX(1915,MIN(2025,E288)))))/2</f>
        <v/>
      </c>
      <c r="AI288" s="75">
        <f>(CHOOSE(((AG288+2)-56)/2+1,SUMIFS(Donnees_generations!$U$3:$U$113,Donnees_generations!$A$3:$A$113,MAX(1915,MIN(2025,E288))),SUMIFS(Donnees_generations!$V$3:$V$113,Donnees_generations!$A$3:$A$113,MAX(1915,MIN(2025,E288))),SUMIFS(Donnees_generations!$W$3:$W$113,Donnees_generations!$A$3:$A$113,MAX(1915,MIN(2025,E288))),SUMIFS(Donnees_generations!$X$3:$X$113,Donnees_generations!$A$3:$A$113,MAX(1915,MIN(2025,E288))),SUMIFS(Donnees_generations!$Y$3:$Y$113,Donnees_generations!$A$3:$A$113,MAX(1915,MIN(2025,E288))),SUMIFS(Donnees_generations!$Z$3:$Z$113,Donnees_generations!$A$3:$A$113,MAX(1915,MIN(2025,E288))),SUMIFS(Donnees_generations!$AA$3:$AA$113,Donnees_generations!$A$3:$A$113,MAX(1915,MIN(2025,E288))),SUMIFS(Donnees_generations!$AB$3:$AB$113,Donnees_generations!$A$3:$A$113,MAX(1915,MIN(2025,E288))))+CHOOSE(((AG288+2)-56)/2+1,SUMIFS(Donnees_generations!$AC$3:$AC$113,Donnees_generations!$A$3:$A$113,MAX(1915,MIN(2025,E288))),SUMIFS(Donnees_generations!$AD$3:$AD$113,Donnees_generations!$A$3:$A$113,MAX(1915,MIN(2025,E288))),SUMIFS(Donnees_generations!$AE$3:$AE$113,Donnees_generations!$A$3:$A$113,MAX(1915,MIN(2025,E288))),SUMIFS(Donnees_generations!$AF$3:$AF$113,Donnees_generations!$A$3:$A$113,MAX(1915,MIN(2025,E288))),SUMIFS(Donnees_generations!$AG$3:$AG$113,Donnees_generations!$A$3:$A$113,MAX(1915,MIN(2025,E288))),SUMIFS(Donnees_generations!$AH$3:$AH$113,Donnees_generations!$A$3:$A$113,MAX(1915,MIN(2025,E288))),SUMIFS(Donnees_generations!$AI$3:$AI$113,Donnees_generations!$A$3:$A$113,MAX(1915,MIN(2025,E288))),SUMIFS(Donnees_generations!$AJ$3:$AJ$113,Donnees_generations!$A$3:$A$113,MAX(1915,MIN(2025,E288)))))/2</f>
        <v/>
      </c>
      <c r="AJ288" s="8">
        <f>MAX(0,AH288+(AI288-AH288)*(K288-AG288)/2)</f>
        <v/>
      </c>
      <c r="AK288" s="8">
        <f>K288+AJ288</f>
        <v/>
      </c>
      <c r="AL288" s="14">
        <f>AE288*AJ288</f>
        <v/>
      </c>
      <c r="AM288" s="17">
        <f>V288/AL288</f>
        <v/>
      </c>
      <c r="AN288" s="17">
        <f>Z288/AL288</f>
        <v/>
      </c>
      <c r="AO288" s="33">
        <f>IF(V288+Z288=0,0,Z288/(V288+Z288))</f>
        <v/>
      </c>
      <c r="AP288" s="14">
        <f>AL288/V288*100</f>
        <v/>
      </c>
      <c r="AQ288" s="8">
        <f>P288/AL288*1000</f>
        <v/>
      </c>
      <c r="AR288" s="77">
        <f>MAX(N288,M288-1)</f>
        <v/>
      </c>
      <c r="AS288" s="14">
        <f>SUMIFS(Donnees_regimes!$R$3:$R$1118,Donnees_regimes!$A$3:$A$1118,C288,Donnees_regimes!$B$3:$B$1118,"&gt;="&amp;G288,Donnees_regimes!$B$3:$B$1118,"&lt;="&amp;N288)*L288/ROUNDUP(L288,0)*SUMIFS(Donnees_annuelles!$AG$3:$AG$188,Donnees_annuelles!$A$3:$A$188,AR288)*SUMIFS(Donnees_annuelles!$AA$3:$AA$188,Donnees_annuelles!$A$3:$A$188,AR288)</f>
        <v/>
      </c>
      <c r="AT288" s="36">
        <f>AS288/V288</f>
        <v/>
      </c>
      <c r="AU288" s="14">
        <f>AL288</f>
        <v/>
      </c>
      <c r="AV288" s="39">
        <f>AS288-AL288</f>
        <v/>
      </c>
      <c r="AW288" s="9">
        <f>AS288/AL288-1</f>
        <v/>
      </c>
      <c r="AX288" s="14">
        <f>AS288/AJ288/12</f>
        <v/>
      </c>
      <c r="AY288" s="14">
        <f>AF288</f>
        <v/>
      </c>
      <c r="AZ288" s="39">
        <f>AX288-AF288</f>
        <v/>
      </c>
      <c r="BA288" s="14">
        <f>SUMIFS(Donnees_regimes!$S$3:$S$1118,Donnees_regimes!$A$3:$A$1118,C288,Donnees_regimes!$B$3:$B$1118,"&gt;="&amp;G288,Donnees_regimes!$B$3:$B$1118,"&lt;="&amp;N288)*L288/ROUNDUP(L288,0)*SUMIFS(Donnees_annuelles!$AH$3:$AH$188,Donnees_annuelles!$A$3:$A$188,AR288)*SUMIFS(Donnees_annuelles!$AA$3:$AA$188,Donnees_annuelles!$A$3:$A$188,AR288)</f>
        <v/>
      </c>
      <c r="BB288" s="39">
        <f>BA288-AL288</f>
        <v/>
      </c>
      <c r="BC288" s="7">
        <f>IF(M288+AJ288&gt;2026,IF(G288&gt;2026,"entièrement projeté","en partie projeté"),"observé")</f>
        <v/>
      </c>
    </row>
    <row r="289">
      <c r="A289" s="7" t="inlineStr">
        <is>
          <t>Génération Alpha</t>
        </is>
      </c>
      <c r="B289" s="84" t="inlineStr">
        <is>
          <t>Fonction publique territoriale et hospitalière</t>
        </is>
      </c>
      <c r="C289" s="7">
        <f>IF(G289&gt;=SUMIFS(Regimes!$C$5:$C$10,Regimes!$A$5:$A$10,B289),"Privé",B289)</f>
        <v/>
      </c>
      <c r="D289" s="7">
        <f>INDEX(Regimes!$D$5:$D$10,MATCH(C289,Regimes!$A$5:$A$10,0))</f>
        <v/>
      </c>
      <c r="E289" s="88" t="n">
        <v>2018</v>
      </c>
      <c r="F289" s="8">
        <f>Donnees_generations!C106</f>
        <v/>
      </c>
      <c r="G289" s="77">
        <f>Donnees_generations!D106</f>
        <v/>
      </c>
      <c r="H289" s="8">
        <f>SUMIFS(Donnees_generations!$S$3:$S$113,Donnees_generations!$A$3:$A$113,MAX(1915,MIN(2025,E289)))</f>
        <v/>
      </c>
      <c r="I289" s="8">
        <f>SUMIFS(Donnees_generations!$T$3:$T$113,Donnees_generations!$A$3:$A$113,MAX(1915,MIN(2025,E289)))</f>
        <v/>
      </c>
      <c r="J289" s="8">
        <f>IF(G289&gt;=2000,MAX(I289,Parametres!$B$3),I289)</f>
        <v/>
      </c>
      <c r="K289" s="8">
        <f>IF(C289="Privé",J289,SUMIFS(Regles_regimes!$J$3:$J$2000,Regles_regimes!$A$3:$A$2000,C289,Regles_regimes!$B$3:$B$2000,D289,Regles_regimes!$C$3:$C$2000,MAX(1915,MIN(2025,E289))))</f>
        <v/>
      </c>
      <c r="L289" s="8">
        <f>IF(C289="Privé",H289,(K289-F289)*H289/(J289-F289))</f>
        <v/>
      </c>
      <c r="M289" s="77">
        <f>INT(E289+K289)</f>
        <v/>
      </c>
      <c r="N289" s="77">
        <f>G289+ROUNDUP(L289,0)-1</f>
        <v/>
      </c>
      <c r="O289" s="89">
        <f>SUMIFS(Regles_regimes!$K$3:$K$2000,Regles_regimes!$A$3:$A$2000,C289,Regles_regimes!$B$3:$B$2000,D289,Regles_regimes!$C$3:$C$2000,MAX(1915,MIN(2025,E289)))</f>
        <v/>
      </c>
      <c r="P289" s="13">
        <f>SUMIFS(Donnees_annuelles!$W$3:$W$188,Donnees_annuelles!$A$3:$A$188,"&gt;="&amp;G289,Donnees_annuelles!$A$3:$A$188,"&lt;="&amp;N289)*L289/ROUNDUP(L289,0)*O289</f>
        <v/>
      </c>
      <c r="Q289" s="13">
        <f>SUMIFS(Donnees_annuelles!$V$3:$V$188,Donnees_annuelles!$A$3:$A$188,"&gt;="&amp;G289,Donnees_annuelles!$A$3:$A$188,"&lt;="&amp;N289)*L289/ROUNDUP(L289,0)</f>
        <v/>
      </c>
      <c r="R289" s="13">
        <f>P289/L289</f>
        <v/>
      </c>
      <c r="S289" s="14">
        <f>SUMIFS(Donnees_annuelles!$D$3:$D$188,Donnees_annuelles!$A$3:$A$188,"&gt;="&amp;G289,Donnees_annuelles!$A$3:$A$188,"&lt;="&amp;N289)*L289/ROUNDUP(L289,0)</f>
        <v/>
      </c>
      <c r="T289" s="14">
        <f>SUMIFS(Donnees_regimes!$N$3:$N$1118,Donnees_regimes!$A$3:$A$1118,C289,Donnees_regimes!$B$3:$B$1118,"&gt;="&amp;G289,Donnees_regimes!$B$3:$B$1118,"&lt;="&amp;N289)*L289/ROUNDUP(L289,0)</f>
        <v/>
      </c>
      <c r="U289" s="14">
        <f>SUMIFS(Donnees_regimes!$O$3:$O$1118,Donnees_regimes!$A$3:$A$1118,C289,Donnees_regimes!$B$3:$B$1118,"&gt;="&amp;G289,Donnees_regimes!$B$3:$B$1118,"&lt;="&amp;N289)*L289/ROUNDUP(L289,0)</f>
        <v/>
      </c>
      <c r="V289" s="14">
        <f>T289+U289</f>
        <v/>
      </c>
      <c r="W289" s="33">
        <f>V289/S289</f>
        <v/>
      </c>
      <c r="X289" s="14">
        <f>S289+U289</f>
        <v/>
      </c>
      <c r="Y289" s="17">
        <f>V289/P289</f>
        <v/>
      </c>
      <c r="Z289" s="14">
        <f>SUMIFS(Donnees_regimes!$Q$3:$Q$1118,Donnees_regimes!$A$3:$A$1118,C289,Donnees_regimes!$B$3:$B$1118,"&gt;="&amp;G289,Donnees_regimes!$B$3:$B$1118,"&lt;="&amp;N289)*L289/ROUNDUP(L289,0)</f>
        <v/>
      </c>
      <c r="AA289" s="77">
        <f>SUMIFS(Regles_regimes!$F$3:$F$2000,Regles_regimes!$A$3:$A$2000,C289,Regles_regimes!$B$3:$B$2000,D289,Regles_regimes!$C$3:$C$2000,MAX(1915,MIN(2025,E289)))</f>
        <v/>
      </c>
      <c r="AB289" s="77">
        <f>IF(AND(SUMIFS(Regles_regimes!$L$3:$L$2000,Regles_regimes!$A$3:$A$2000,C289,Regles_regimes!$B$3:$B$2000,D289,Regles_regimes!$C$3:$C$2000,MAX(1915,MIN(2025,E289)))=1,G289&lt;2009,C289&lt;&gt;"Privé"),MIN(20,L289*4/5),0)</f>
        <v/>
      </c>
      <c r="AC289" s="89">
        <f>SUMIFS(Donnees_regimes!$M$3:$M$1118,Donnees_regimes!$A$3:$A$1118,C289,Donnees_regimes!$B$3:$B$1118,M289)</f>
        <v/>
      </c>
      <c r="AD289" s="14">
        <f>SUMIFS(Donnees_annuelles!$Y$3:$Y$188,Donnees_annuelles!$A$3:$A$188,M289)*SUMIFS(Donnees_generations!$I$3:$I$113,Donnees_generations!$A$3:$A$113,MAX(1915,MIN(2025,E289)))/H289</f>
        <v/>
      </c>
      <c r="AE289" s="14">
        <f>IF(C289="Privé",SUMIFS(Donnees_annuelles!$Y$3:$Y$188,Donnees_annuelles!$A$3:$A$188,M289)*MIN(L289,SUMIFS(Donnees_generations!$I$3:$I$113,Donnees_generations!$A$3:$A$113,MAX(1915,MIN(2025,E289))))/L289,AD289*AC289*MIN(IF(AB289&gt;0,0.8/0.75,1),(L289*4+AB289)/AA289))</f>
        <v/>
      </c>
      <c r="AF289" s="14">
        <f>AE289/12</f>
        <v/>
      </c>
      <c r="AG289" s="77">
        <f>MIN(68,MAX(56,2*INT(K289/2)))</f>
        <v/>
      </c>
      <c r="AH289" s="75">
        <f>(CHOOSE((AG289-56)/2+1,SUMIFS(Donnees_generations!$U$3:$U$113,Donnees_generations!$A$3:$A$113,MAX(1915,MIN(2025,E289))),SUMIFS(Donnees_generations!$V$3:$V$113,Donnees_generations!$A$3:$A$113,MAX(1915,MIN(2025,E289))),SUMIFS(Donnees_generations!$W$3:$W$113,Donnees_generations!$A$3:$A$113,MAX(1915,MIN(2025,E289))),SUMIFS(Donnees_generations!$X$3:$X$113,Donnees_generations!$A$3:$A$113,MAX(1915,MIN(2025,E289))),SUMIFS(Donnees_generations!$Y$3:$Y$113,Donnees_generations!$A$3:$A$113,MAX(1915,MIN(2025,E289))),SUMIFS(Donnees_generations!$Z$3:$Z$113,Donnees_generations!$A$3:$A$113,MAX(1915,MIN(2025,E289))),SUMIFS(Donnees_generations!$AA$3:$AA$113,Donnees_generations!$A$3:$A$113,MAX(1915,MIN(2025,E289))),SUMIFS(Donnees_generations!$AB$3:$AB$113,Donnees_generations!$A$3:$A$113,MAX(1915,MIN(2025,E289))))+CHOOSE((AG289-56)/2+1,SUMIFS(Donnees_generations!$AC$3:$AC$113,Donnees_generations!$A$3:$A$113,MAX(1915,MIN(2025,E289))),SUMIFS(Donnees_generations!$AD$3:$AD$113,Donnees_generations!$A$3:$A$113,MAX(1915,MIN(2025,E289))),SUMIFS(Donnees_generations!$AE$3:$AE$113,Donnees_generations!$A$3:$A$113,MAX(1915,MIN(2025,E289))),SUMIFS(Donnees_generations!$AF$3:$AF$113,Donnees_generations!$A$3:$A$113,MAX(1915,MIN(2025,E289))),SUMIFS(Donnees_generations!$AG$3:$AG$113,Donnees_generations!$A$3:$A$113,MAX(1915,MIN(2025,E289))),SUMIFS(Donnees_generations!$AH$3:$AH$113,Donnees_generations!$A$3:$A$113,MAX(1915,MIN(2025,E289))),SUMIFS(Donnees_generations!$AI$3:$AI$113,Donnees_generations!$A$3:$A$113,MAX(1915,MIN(2025,E289))),SUMIFS(Donnees_generations!$AJ$3:$AJ$113,Donnees_generations!$A$3:$A$113,MAX(1915,MIN(2025,E289)))))/2</f>
        <v/>
      </c>
      <c r="AI289" s="75">
        <f>(CHOOSE(((AG289+2)-56)/2+1,SUMIFS(Donnees_generations!$U$3:$U$113,Donnees_generations!$A$3:$A$113,MAX(1915,MIN(2025,E289))),SUMIFS(Donnees_generations!$V$3:$V$113,Donnees_generations!$A$3:$A$113,MAX(1915,MIN(2025,E289))),SUMIFS(Donnees_generations!$W$3:$W$113,Donnees_generations!$A$3:$A$113,MAX(1915,MIN(2025,E289))),SUMIFS(Donnees_generations!$X$3:$X$113,Donnees_generations!$A$3:$A$113,MAX(1915,MIN(2025,E289))),SUMIFS(Donnees_generations!$Y$3:$Y$113,Donnees_generations!$A$3:$A$113,MAX(1915,MIN(2025,E289))),SUMIFS(Donnees_generations!$Z$3:$Z$113,Donnees_generations!$A$3:$A$113,MAX(1915,MIN(2025,E289))),SUMIFS(Donnees_generations!$AA$3:$AA$113,Donnees_generations!$A$3:$A$113,MAX(1915,MIN(2025,E289))),SUMIFS(Donnees_generations!$AB$3:$AB$113,Donnees_generations!$A$3:$A$113,MAX(1915,MIN(2025,E289))))+CHOOSE(((AG289+2)-56)/2+1,SUMIFS(Donnees_generations!$AC$3:$AC$113,Donnees_generations!$A$3:$A$113,MAX(1915,MIN(2025,E289))),SUMIFS(Donnees_generations!$AD$3:$AD$113,Donnees_generations!$A$3:$A$113,MAX(1915,MIN(2025,E289))),SUMIFS(Donnees_generations!$AE$3:$AE$113,Donnees_generations!$A$3:$A$113,MAX(1915,MIN(2025,E289))),SUMIFS(Donnees_generations!$AF$3:$AF$113,Donnees_generations!$A$3:$A$113,MAX(1915,MIN(2025,E289))),SUMIFS(Donnees_generations!$AG$3:$AG$113,Donnees_generations!$A$3:$A$113,MAX(1915,MIN(2025,E289))),SUMIFS(Donnees_generations!$AH$3:$AH$113,Donnees_generations!$A$3:$A$113,MAX(1915,MIN(2025,E289))),SUMIFS(Donnees_generations!$AI$3:$AI$113,Donnees_generations!$A$3:$A$113,MAX(1915,MIN(2025,E289))),SUMIFS(Donnees_generations!$AJ$3:$AJ$113,Donnees_generations!$A$3:$A$113,MAX(1915,MIN(2025,E289)))))/2</f>
        <v/>
      </c>
      <c r="AJ289" s="8">
        <f>MAX(0,AH289+(AI289-AH289)*(K289-AG289)/2)</f>
        <v/>
      </c>
      <c r="AK289" s="8">
        <f>K289+AJ289</f>
        <v/>
      </c>
      <c r="AL289" s="14">
        <f>AE289*AJ289</f>
        <v/>
      </c>
      <c r="AM289" s="17">
        <f>V289/AL289</f>
        <v/>
      </c>
      <c r="AN289" s="17">
        <f>Z289/AL289</f>
        <v/>
      </c>
      <c r="AO289" s="33">
        <f>IF(V289+Z289=0,0,Z289/(V289+Z289))</f>
        <v/>
      </c>
      <c r="AP289" s="14">
        <f>AL289/V289*100</f>
        <v/>
      </c>
      <c r="AQ289" s="8">
        <f>P289/AL289*1000</f>
        <v/>
      </c>
      <c r="AR289" s="77">
        <f>MAX(N289,M289-1)</f>
        <v/>
      </c>
      <c r="AS289" s="14">
        <f>SUMIFS(Donnees_regimes!$R$3:$R$1118,Donnees_regimes!$A$3:$A$1118,C289,Donnees_regimes!$B$3:$B$1118,"&gt;="&amp;G289,Donnees_regimes!$B$3:$B$1118,"&lt;="&amp;N289)*L289/ROUNDUP(L289,0)*SUMIFS(Donnees_annuelles!$AG$3:$AG$188,Donnees_annuelles!$A$3:$A$188,AR289)*SUMIFS(Donnees_annuelles!$AA$3:$AA$188,Donnees_annuelles!$A$3:$A$188,AR289)</f>
        <v/>
      </c>
      <c r="AT289" s="36">
        <f>AS289/V289</f>
        <v/>
      </c>
      <c r="AU289" s="14">
        <f>AL289</f>
        <v/>
      </c>
      <c r="AV289" s="39">
        <f>AS289-AL289</f>
        <v/>
      </c>
      <c r="AW289" s="9">
        <f>AS289/AL289-1</f>
        <v/>
      </c>
      <c r="AX289" s="14">
        <f>AS289/AJ289/12</f>
        <v/>
      </c>
      <c r="AY289" s="14">
        <f>AF289</f>
        <v/>
      </c>
      <c r="AZ289" s="39">
        <f>AX289-AF289</f>
        <v/>
      </c>
      <c r="BA289" s="14">
        <f>SUMIFS(Donnees_regimes!$S$3:$S$1118,Donnees_regimes!$A$3:$A$1118,C289,Donnees_regimes!$B$3:$B$1118,"&gt;="&amp;G289,Donnees_regimes!$B$3:$B$1118,"&lt;="&amp;N289)*L289/ROUNDUP(L289,0)*SUMIFS(Donnees_annuelles!$AH$3:$AH$188,Donnees_annuelles!$A$3:$A$188,AR289)*SUMIFS(Donnees_annuelles!$AA$3:$AA$188,Donnees_annuelles!$A$3:$A$188,AR289)</f>
        <v/>
      </c>
      <c r="BB289" s="39">
        <f>BA289-AL289</f>
        <v/>
      </c>
      <c r="BC289" s="7">
        <f>IF(M289+AJ289&gt;2026,IF(G289&gt;2026,"entièrement projeté","en partie projeté"),"observé")</f>
        <v/>
      </c>
    </row>
    <row r="290">
      <c r="A290" s="7" t="inlineStr">
        <is>
          <t>Génération Alpha</t>
        </is>
      </c>
      <c r="B290" s="84" t="inlineStr">
        <is>
          <t>Fonction publique territoriale et hospitalière</t>
        </is>
      </c>
      <c r="C290" s="7">
        <f>IF(G290&gt;=SUMIFS(Regimes!$C$5:$C$10,Regimes!$A$5:$A$10,B290),"Privé",B290)</f>
        <v/>
      </c>
      <c r="D290" s="7">
        <f>INDEX(Regimes!$D$5:$D$10,MATCH(C290,Regimes!$A$5:$A$10,0))</f>
        <v/>
      </c>
      <c r="E290" s="88" t="n">
        <v>2019</v>
      </c>
      <c r="F290" s="8">
        <f>Donnees_generations!C107</f>
        <v/>
      </c>
      <c r="G290" s="77">
        <f>Donnees_generations!D107</f>
        <v/>
      </c>
      <c r="H290" s="8">
        <f>SUMIFS(Donnees_generations!$S$3:$S$113,Donnees_generations!$A$3:$A$113,MAX(1915,MIN(2025,E290)))</f>
        <v/>
      </c>
      <c r="I290" s="8">
        <f>SUMIFS(Donnees_generations!$T$3:$T$113,Donnees_generations!$A$3:$A$113,MAX(1915,MIN(2025,E290)))</f>
        <v/>
      </c>
      <c r="J290" s="8">
        <f>IF(G290&gt;=2000,MAX(I290,Parametres!$B$3),I290)</f>
        <v/>
      </c>
      <c r="K290" s="8">
        <f>IF(C290="Privé",J290,SUMIFS(Regles_regimes!$J$3:$J$2000,Regles_regimes!$A$3:$A$2000,C290,Regles_regimes!$B$3:$B$2000,D290,Regles_regimes!$C$3:$C$2000,MAX(1915,MIN(2025,E290))))</f>
        <v/>
      </c>
      <c r="L290" s="8">
        <f>IF(C290="Privé",H290,(K290-F290)*H290/(J290-F290))</f>
        <v/>
      </c>
      <c r="M290" s="77">
        <f>INT(E290+K290)</f>
        <v/>
      </c>
      <c r="N290" s="77">
        <f>G290+ROUNDUP(L290,0)-1</f>
        <v/>
      </c>
      <c r="O290" s="89">
        <f>SUMIFS(Regles_regimes!$K$3:$K$2000,Regles_regimes!$A$3:$A$2000,C290,Regles_regimes!$B$3:$B$2000,D290,Regles_regimes!$C$3:$C$2000,MAX(1915,MIN(2025,E290)))</f>
        <v/>
      </c>
      <c r="P290" s="13">
        <f>SUMIFS(Donnees_annuelles!$W$3:$W$188,Donnees_annuelles!$A$3:$A$188,"&gt;="&amp;G290,Donnees_annuelles!$A$3:$A$188,"&lt;="&amp;N290)*L290/ROUNDUP(L290,0)*O290</f>
        <v/>
      </c>
      <c r="Q290" s="13">
        <f>SUMIFS(Donnees_annuelles!$V$3:$V$188,Donnees_annuelles!$A$3:$A$188,"&gt;="&amp;G290,Donnees_annuelles!$A$3:$A$188,"&lt;="&amp;N290)*L290/ROUNDUP(L290,0)</f>
        <v/>
      </c>
      <c r="R290" s="13">
        <f>P290/L290</f>
        <v/>
      </c>
      <c r="S290" s="14">
        <f>SUMIFS(Donnees_annuelles!$D$3:$D$188,Donnees_annuelles!$A$3:$A$188,"&gt;="&amp;G290,Donnees_annuelles!$A$3:$A$188,"&lt;="&amp;N290)*L290/ROUNDUP(L290,0)</f>
        <v/>
      </c>
      <c r="T290" s="14">
        <f>SUMIFS(Donnees_regimes!$N$3:$N$1118,Donnees_regimes!$A$3:$A$1118,C290,Donnees_regimes!$B$3:$B$1118,"&gt;="&amp;G290,Donnees_regimes!$B$3:$B$1118,"&lt;="&amp;N290)*L290/ROUNDUP(L290,0)</f>
        <v/>
      </c>
      <c r="U290" s="14">
        <f>SUMIFS(Donnees_regimes!$O$3:$O$1118,Donnees_regimes!$A$3:$A$1118,C290,Donnees_regimes!$B$3:$B$1118,"&gt;="&amp;G290,Donnees_regimes!$B$3:$B$1118,"&lt;="&amp;N290)*L290/ROUNDUP(L290,0)</f>
        <v/>
      </c>
      <c r="V290" s="14">
        <f>T290+U290</f>
        <v/>
      </c>
      <c r="W290" s="33">
        <f>V290/S290</f>
        <v/>
      </c>
      <c r="X290" s="14">
        <f>S290+U290</f>
        <v/>
      </c>
      <c r="Y290" s="17">
        <f>V290/P290</f>
        <v/>
      </c>
      <c r="Z290" s="14">
        <f>SUMIFS(Donnees_regimes!$Q$3:$Q$1118,Donnees_regimes!$A$3:$A$1118,C290,Donnees_regimes!$B$3:$B$1118,"&gt;="&amp;G290,Donnees_regimes!$B$3:$B$1118,"&lt;="&amp;N290)*L290/ROUNDUP(L290,0)</f>
        <v/>
      </c>
      <c r="AA290" s="77">
        <f>SUMIFS(Regles_regimes!$F$3:$F$2000,Regles_regimes!$A$3:$A$2000,C290,Regles_regimes!$B$3:$B$2000,D290,Regles_regimes!$C$3:$C$2000,MAX(1915,MIN(2025,E290)))</f>
        <v/>
      </c>
      <c r="AB290" s="77">
        <f>IF(AND(SUMIFS(Regles_regimes!$L$3:$L$2000,Regles_regimes!$A$3:$A$2000,C290,Regles_regimes!$B$3:$B$2000,D290,Regles_regimes!$C$3:$C$2000,MAX(1915,MIN(2025,E290)))=1,G290&lt;2009,C290&lt;&gt;"Privé"),MIN(20,L290*4/5),0)</f>
        <v/>
      </c>
      <c r="AC290" s="89">
        <f>SUMIFS(Donnees_regimes!$M$3:$M$1118,Donnees_regimes!$A$3:$A$1118,C290,Donnees_regimes!$B$3:$B$1118,M290)</f>
        <v/>
      </c>
      <c r="AD290" s="14">
        <f>SUMIFS(Donnees_annuelles!$Y$3:$Y$188,Donnees_annuelles!$A$3:$A$188,M290)*SUMIFS(Donnees_generations!$I$3:$I$113,Donnees_generations!$A$3:$A$113,MAX(1915,MIN(2025,E290)))/H290</f>
        <v/>
      </c>
      <c r="AE290" s="14">
        <f>IF(C290="Privé",SUMIFS(Donnees_annuelles!$Y$3:$Y$188,Donnees_annuelles!$A$3:$A$188,M290)*MIN(L290,SUMIFS(Donnees_generations!$I$3:$I$113,Donnees_generations!$A$3:$A$113,MAX(1915,MIN(2025,E290))))/L290,AD290*AC290*MIN(IF(AB290&gt;0,0.8/0.75,1),(L290*4+AB290)/AA290))</f>
        <v/>
      </c>
      <c r="AF290" s="14">
        <f>AE290/12</f>
        <v/>
      </c>
      <c r="AG290" s="77">
        <f>MIN(68,MAX(56,2*INT(K290/2)))</f>
        <v/>
      </c>
      <c r="AH290" s="75">
        <f>(CHOOSE((AG290-56)/2+1,SUMIFS(Donnees_generations!$U$3:$U$113,Donnees_generations!$A$3:$A$113,MAX(1915,MIN(2025,E290))),SUMIFS(Donnees_generations!$V$3:$V$113,Donnees_generations!$A$3:$A$113,MAX(1915,MIN(2025,E290))),SUMIFS(Donnees_generations!$W$3:$W$113,Donnees_generations!$A$3:$A$113,MAX(1915,MIN(2025,E290))),SUMIFS(Donnees_generations!$X$3:$X$113,Donnees_generations!$A$3:$A$113,MAX(1915,MIN(2025,E290))),SUMIFS(Donnees_generations!$Y$3:$Y$113,Donnees_generations!$A$3:$A$113,MAX(1915,MIN(2025,E290))),SUMIFS(Donnees_generations!$Z$3:$Z$113,Donnees_generations!$A$3:$A$113,MAX(1915,MIN(2025,E290))),SUMIFS(Donnees_generations!$AA$3:$AA$113,Donnees_generations!$A$3:$A$113,MAX(1915,MIN(2025,E290))),SUMIFS(Donnees_generations!$AB$3:$AB$113,Donnees_generations!$A$3:$A$113,MAX(1915,MIN(2025,E290))))+CHOOSE((AG290-56)/2+1,SUMIFS(Donnees_generations!$AC$3:$AC$113,Donnees_generations!$A$3:$A$113,MAX(1915,MIN(2025,E290))),SUMIFS(Donnees_generations!$AD$3:$AD$113,Donnees_generations!$A$3:$A$113,MAX(1915,MIN(2025,E290))),SUMIFS(Donnees_generations!$AE$3:$AE$113,Donnees_generations!$A$3:$A$113,MAX(1915,MIN(2025,E290))),SUMIFS(Donnees_generations!$AF$3:$AF$113,Donnees_generations!$A$3:$A$113,MAX(1915,MIN(2025,E290))),SUMIFS(Donnees_generations!$AG$3:$AG$113,Donnees_generations!$A$3:$A$113,MAX(1915,MIN(2025,E290))),SUMIFS(Donnees_generations!$AH$3:$AH$113,Donnees_generations!$A$3:$A$113,MAX(1915,MIN(2025,E290))),SUMIFS(Donnees_generations!$AI$3:$AI$113,Donnees_generations!$A$3:$A$113,MAX(1915,MIN(2025,E290))),SUMIFS(Donnees_generations!$AJ$3:$AJ$113,Donnees_generations!$A$3:$A$113,MAX(1915,MIN(2025,E290)))))/2</f>
        <v/>
      </c>
      <c r="AI290" s="75">
        <f>(CHOOSE(((AG290+2)-56)/2+1,SUMIFS(Donnees_generations!$U$3:$U$113,Donnees_generations!$A$3:$A$113,MAX(1915,MIN(2025,E290))),SUMIFS(Donnees_generations!$V$3:$V$113,Donnees_generations!$A$3:$A$113,MAX(1915,MIN(2025,E290))),SUMIFS(Donnees_generations!$W$3:$W$113,Donnees_generations!$A$3:$A$113,MAX(1915,MIN(2025,E290))),SUMIFS(Donnees_generations!$X$3:$X$113,Donnees_generations!$A$3:$A$113,MAX(1915,MIN(2025,E290))),SUMIFS(Donnees_generations!$Y$3:$Y$113,Donnees_generations!$A$3:$A$113,MAX(1915,MIN(2025,E290))),SUMIFS(Donnees_generations!$Z$3:$Z$113,Donnees_generations!$A$3:$A$113,MAX(1915,MIN(2025,E290))),SUMIFS(Donnees_generations!$AA$3:$AA$113,Donnees_generations!$A$3:$A$113,MAX(1915,MIN(2025,E290))),SUMIFS(Donnees_generations!$AB$3:$AB$113,Donnees_generations!$A$3:$A$113,MAX(1915,MIN(2025,E290))))+CHOOSE(((AG290+2)-56)/2+1,SUMIFS(Donnees_generations!$AC$3:$AC$113,Donnees_generations!$A$3:$A$113,MAX(1915,MIN(2025,E290))),SUMIFS(Donnees_generations!$AD$3:$AD$113,Donnees_generations!$A$3:$A$113,MAX(1915,MIN(2025,E290))),SUMIFS(Donnees_generations!$AE$3:$AE$113,Donnees_generations!$A$3:$A$113,MAX(1915,MIN(2025,E290))),SUMIFS(Donnees_generations!$AF$3:$AF$113,Donnees_generations!$A$3:$A$113,MAX(1915,MIN(2025,E290))),SUMIFS(Donnees_generations!$AG$3:$AG$113,Donnees_generations!$A$3:$A$113,MAX(1915,MIN(2025,E290))),SUMIFS(Donnees_generations!$AH$3:$AH$113,Donnees_generations!$A$3:$A$113,MAX(1915,MIN(2025,E290))),SUMIFS(Donnees_generations!$AI$3:$AI$113,Donnees_generations!$A$3:$A$113,MAX(1915,MIN(2025,E290))),SUMIFS(Donnees_generations!$AJ$3:$AJ$113,Donnees_generations!$A$3:$A$113,MAX(1915,MIN(2025,E290)))))/2</f>
        <v/>
      </c>
      <c r="AJ290" s="8">
        <f>MAX(0,AH290+(AI290-AH290)*(K290-AG290)/2)</f>
        <v/>
      </c>
      <c r="AK290" s="8">
        <f>K290+AJ290</f>
        <v/>
      </c>
      <c r="AL290" s="14">
        <f>AE290*AJ290</f>
        <v/>
      </c>
      <c r="AM290" s="17">
        <f>V290/AL290</f>
        <v/>
      </c>
      <c r="AN290" s="17">
        <f>Z290/AL290</f>
        <v/>
      </c>
      <c r="AO290" s="33">
        <f>IF(V290+Z290=0,0,Z290/(V290+Z290))</f>
        <v/>
      </c>
      <c r="AP290" s="14">
        <f>AL290/V290*100</f>
        <v/>
      </c>
      <c r="AQ290" s="8">
        <f>P290/AL290*1000</f>
        <v/>
      </c>
      <c r="AR290" s="77">
        <f>MAX(N290,M290-1)</f>
        <v/>
      </c>
      <c r="AS290" s="14">
        <f>SUMIFS(Donnees_regimes!$R$3:$R$1118,Donnees_regimes!$A$3:$A$1118,C290,Donnees_regimes!$B$3:$B$1118,"&gt;="&amp;G290,Donnees_regimes!$B$3:$B$1118,"&lt;="&amp;N290)*L290/ROUNDUP(L290,0)*SUMIFS(Donnees_annuelles!$AG$3:$AG$188,Donnees_annuelles!$A$3:$A$188,AR290)*SUMIFS(Donnees_annuelles!$AA$3:$AA$188,Donnees_annuelles!$A$3:$A$188,AR290)</f>
        <v/>
      </c>
      <c r="AT290" s="36">
        <f>AS290/V290</f>
        <v/>
      </c>
      <c r="AU290" s="14">
        <f>AL290</f>
        <v/>
      </c>
      <c r="AV290" s="39">
        <f>AS290-AL290</f>
        <v/>
      </c>
      <c r="AW290" s="9">
        <f>AS290/AL290-1</f>
        <v/>
      </c>
      <c r="AX290" s="14">
        <f>AS290/AJ290/12</f>
        <v/>
      </c>
      <c r="AY290" s="14">
        <f>AF290</f>
        <v/>
      </c>
      <c r="AZ290" s="39">
        <f>AX290-AF290</f>
        <v/>
      </c>
      <c r="BA290" s="14">
        <f>SUMIFS(Donnees_regimes!$S$3:$S$1118,Donnees_regimes!$A$3:$A$1118,C290,Donnees_regimes!$B$3:$B$1118,"&gt;="&amp;G290,Donnees_regimes!$B$3:$B$1118,"&lt;="&amp;N290)*L290/ROUNDUP(L290,0)*SUMIFS(Donnees_annuelles!$AH$3:$AH$188,Donnees_annuelles!$A$3:$A$188,AR290)*SUMIFS(Donnees_annuelles!$AA$3:$AA$188,Donnees_annuelles!$A$3:$A$188,AR290)</f>
        <v/>
      </c>
      <c r="BB290" s="39">
        <f>BA290-AL290</f>
        <v/>
      </c>
      <c r="BC290" s="7">
        <f>IF(M290+AJ290&gt;2026,IF(G290&gt;2026,"entièrement projeté","en partie projeté"),"observé")</f>
        <v/>
      </c>
    </row>
    <row r="291">
      <c r="A291" s="7" t="inlineStr">
        <is>
          <t>Génération Alpha</t>
        </is>
      </c>
      <c r="B291" s="84" t="inlineStr">
        <is>
          <t>Fonction publique territoriale et hospitalière</t>
        </is>
      </c>
      <c r="C291" s="7">
        <f>IF(G291&gt;=SUMIFS(Regimes!$C$5:$C$10,Regimes!$A$5:$A$10,B291),"Privé",B291)</f>
        <v/>
      </c>
      <c r="D291" s="7">
        <f>INDEX(Regimes!$D$5:$D$10,MATCH(C291,Regimes!$A$5:$A$10,0))</f>
        <v/>
      </c>
      <c r="E291" s="88" t="n">
        <v>2020</v>
      </c>
      <c r="F291" s="8">
        <f>Donnees_generations!C108</f>
        <v/>
      </c>
      <c r="G291" s="77">
        <f>Donnees_generations!D108</f>
        <v/>
      </c>
      <c r="H291" s="8">
        <f>SUMIFS(Donnees_generations!$S$3:$S$113,Donnees_generations!$A$3:$A$113,MAX(1915,MIN(2025,E291)))</f>
        <v/>
      </c>
      <c r="I291" s="8">
        <f>SUMIFS(Donnees_generations!$T$3:$T$113,Donnees_generations!$A$3:$A$113,MAX(1915,MIN(2025,E291)))</f>
        <v/>
      </c>
      <c r="J291" s="8">
        <f>IF(G291&gt;=2000,MAX(I291,Parametres!$B$3),I291)</f>
        <v/>
      </c>
      <c r="K291" s="8">
        <f>IF(C291="Privé",J291,SUMIFS(Regles_regimes!$J$3:$J$2000,Regles_regimes!$A$3:$A$2000,C291,Regles_regimes!$B$3:$B$2000,D291,Regles_regimes!$C$3:$C$2000,MAX(1915,MIN(2025,E291))))</f>
        <v/>
      </c>
      <c r="L291" s="8">
        <f>IF(C291="Privé",H291,(K291-F291)*H291/(J291-F291))</f>
        <v/>
      </c>
      <c r="M291" s="77">
        <f>INT(E291+K291)</f>
        <v/>
      </c>
      <c r="N291" s="77">
        <f>G291+ROUNDUP(L291,0)-1</f>
        <v/>
      </c>
      <c r="O291" s="89">
        <f>SUMIFS(Regles_regimes!$K$3:$K$2000,Regles_regimes!$A$3:$A$2000,C291,Regles_regimes!$B$3:$B$2000,D291,Regles_regimes!$C$3:$C$2000,MAX(1915,MIN(2025,E291)))</f>
        <v/>
      </c>
      <c r="P291" s="13">
        <f>SUMIFS(Donnees_annuelles!$W$3:$W$188,Donnees_annuelles!$A$3:$A$188,"&gt;="&amp;G291,Donnees_annuelles!$A$3:$A$188,"&lt;="&amp;N291)*L291/ROUNDUP(L291,0)*O291</f>
        <v/>
      </c>
      <c r="Q291" s="13">
        <f>SUMIFS(Donnees_annuelles!$V$3:$V$188,Donnees_annuelles!$A$3:$A$188,"&gt;="&amp;G291,Donnees_annuelles!$A$3:$A$188,"&lt;="&amp;N291)*L291/ROUNDUP(L291,0)</f>
        <v/>
      </c>
      <c r="R291" s="13">
        <f>P291/L291</f>
        <v/>
      </c>
      <c r="S291" s="14">
        <f>SUMIFS(Donnees_annuelles!$D$3:$D$188,Donnees_annuelles!$A$3:$A$188,"&gt;="&amp;G291,Donnees_annuelles!$A$3:$A$188,"&lt;="&amp;N291)*L291/ROUNDUP(L291,0)</f>
        <v/>
      </c>
      <c r="T291" s="14">
        <f>SUMIFS(Donnees_regimes!$N$3:$N$1118,Donnees_regimes!$A$3:$A$1118,C291,Donnees_regimes!$B$3:$B$1118,"&gt;="&amp;G291,Donnees_regimes!$B$3:$B$1118,"&lt;="&amp;N291)*L291/ROUNDUP(L291,0)</f>
        <v/>
      </c>
      <c r="U291" s="14">
        <f>SUMIFS(Donnees_regimes!$O$3:$O$1118,Donnees_regimes!$A$3:$A$1118,C291,Donnees_regimes!$B$3:$B$1118,"&gt;="&amp;G291,Donnees_regimes!$B$3:$B$1118,"&lt;="&amp;N291)*L291/ROUNDUP(L291,0)</f>
        <v/>
      </c>
      <c r="V291" s="14">
        <f>T291+U291</f>
        <v/>
      </c>
      <c r="W291" s="33">
        <f>V291/S291</f>
        <v/>
      </c>
      <c r="X291" s="14">
        <f>S291+U291</f>
        <v/>
      </c>
      <c r="Y291" s="17">
        <f>V291/P291</f>
        <v/>
      </c>
      <c r="Z291" s="14">
        <f>SUMIFS(Donnees_regimes!$Q$3:$Q$1118,Donnees_regimes!$A$3:$A$1118,C291,Donnees_regimes!$B$3:$B$1118,"&gt;="&amp;G291,Donnees_regimes!$B$3:$B$1118,"&lt;="&amp;N291)*L291/ROUNDUP(L291,0)</f>
        <v/>
      </c>
      <c r="AA291" s="77">
        <f>SUMIFS(Regles_regimes!$F$3:$F$2000,Regles_regimes!$A$3:$A$2000,C291,Regles_regimes!$B$3:$B$2000,D291,Regles_regimes!$C$3:$C$2000,MAX(1915,MIN(2025,E291)))</f>
        <v/>
      </c>
      <c r="AB291" s="77">
        <f>IF(AND(SUMIFS(Regles_regimes!$L$3:$L$2000,Regles_regimes!$A$3:$A$2000,C291,Regles_regimes!$B$3:$B$2000,D291,Regles_regimes!$C$3:$C$2000,MAX(1915,MIN(2025,E291)))=1,G291&lt;2009,C291&lt;&gt;"Privé"),MIN(20,L291*4/5),0)</f>
        <v/>
      </c>
      <c r="AC291" s="89">
        <f>SUMIFS(Donnees_regimes!$M$3:$M$1118,Donnees_regimes!$A$3:$A$1118,C291,Donnees_regimes!$B$3:$B$1118,M291)</f>
        <v/>
      </c>
      <c r="AD291" s="14">
        <f>SUMIFS(Donnees_annuelles!$Y$3:$Y$188,Donnees_annuelles!$A$3:$A$188,M291)*SUMIFS(Donnees_generations!$I$3:$I$113,Donnees_generations!$A$3:$A$113,MAX(1915,MIN(2025,E291)))/H291</f>
        <v/>
      </c>
      <c r="AE291" s="14">
        <f>IF(C291="Privé",SUMIFS(Donnees_annuelles!$Y$3:$Y$188,Donnees_annuelles!$A$3:$A$188,M291)*MIN(L291,SUMIFS(Donnees_generations!$I$3:$I$113,Donnees_generations!$A$3:$A$113,MAX(1915,MIN(2025,E291))))/L291,AD291*AC291*MIN(IF(AB291&gt;0,0.8/0.75,1),(L291*4+AB291)/AA291))</f>
        <v/>
      </c>
      <c r="AF291" s="14">
        <f>AE291/12</f>
        <v/>
      </c>
      <c r="AG291" s="77">
        <f>MIN(68,MAX(56,2*INT(K291/2)))</f>
        <v/>
      </c>
      <c r="AH291" s="75">
        <f>(CHOOSE((AG291-56)/2+1,SUMIFS(Donnees_generations!$U$3:$U$113,Donnees_generations!$A$3:$A$113,MAX(1915,MIN(2025,E291))),SUMIFS(Donnees_generations!$V$3:$V$113,Donnees_generations!$A$3:$A$113,MAX(1915,MIN(2025,E291))),SUMIFS(Donnees_generations!$W$3:$W$113,Donnees_generations!$A$3:$A$113,MAX(1915,MIN(2025,E291))),SUMIFS(Donnees_generations!$X$3:$X$113,Donnees_generations!$A$3:$A$113,MAX(1915,MIN(2025,E291))),SUMIFS(Donnees_generations!$Y$3:$Y$113,Donnees_generations!$A$3:$A$113,MAX(1915,MIN(2025,E291))),SUMIFS(Donnees_generations!$Z$3:$Z$113,Donnees_generations!$A$3:$A$113,MAX(1915,MIN(2025,E291))),SUMIFS(Donnees_generations!$AA$3:$AA$113,Donnees_generations!$A$3:$A$113,MAX(1915,MIN(2025,E291))),SUMIFS(Donnees_generations!$AB$3:$AB$113,Donnees_generations!$A$3:$A$113,MAX(1915,MIN(2025,E291))))+CHOOSE((AG291-56)/2+1,SUMIFS(Donnees_generations!$AC$3:$AC$113,Donnees_generations!$A$3:$A$113,MAX(1915,MIN(2025,E291))),SUMIFS(Donnees_generations!$AD$3:$AD$113,Donnees_generations!$A$3:$A$113,MAX(1915,MIN(2025,E291))),SUMIFS(Donnees_generations!$AE$3:$AE$113,Donnees_generations!$A$3:$A$113,MAX(1915,MIN(2025,E291))),SUMIFS(Donnees_generations!$AF$3:$AF$113,Donnees_generations!$A$3:$A$113,MAX(1915,MIN(2025,E291))),SUMIFS(Donnees_generations!$AG$3:$AG$113,Donnees_generations!$A$3:$A$113,MAX(1915,MIN(2025,E291))),SUMIFS(Donnees_generations!$AH$3:$AH$113,Donnees_generations!$A$3:$A$113,MAX(1915,MIN(2025,E291))),SUMIFS(Donnees_generations!$AI$3:$AI$113,Donnees_generations!$A$3:$A$113,MAX(1915,MIN(2025,E291))),SUMIFS(Donnees_generations!$AJ$3:$AJ$113,Donnees_generations!$A$3:$A$113,MAX(1915,MIN(2025,E291)))))/2</f>
        <v/>
      </c>
      <c r="AI291" s="75">
        <f>(CHOOSE(((AG291+2)-56)/2+1,SUMIFS(Donnees_generations!$U$3:$U$113,Donnees_generations!$A$3:$A$113,MAX(1915,MIN(2025,E291))),SUMIFS(Donnees_generations!$V$3:$V$113,Donnees_generations!$A$3:$A$113,MAX(1915,MIN(2025,E291))),SUMIFS(Donnees_generations!$W$3:$W$113,Donnees_generations!$A$3:$A$113,MAX(1915,MIN(2025,E291))),SUMIFS(Donnees_generations!$X$3:$X$113,Donnees_generations!$A$3:$A$113,MAX(1915,MIN(2025,E291))),SUMIFS(Donnees_generations!$Y$3:$Y$113,Donnees_generations!$A$3:$A$113,MAX(1915,MIN(2025,E291))),SUMIFS(Donnees_generations!$Z$3:$Z$113,Donnees_generations!$A$3:$A$113,MAX(1915,MIN(2025,E291))),SUMIFS(Donnees_generations!$AA$3:$AA$113,Donnees_generations!$A$3:$A$113,MAX(1915,MIN(2025,E291))),SUMIFS(Donnees_generations!$AB$3:$AB$113,Donnees_generations!$A$3:$A$113,MAX(1915,MIN(2025,E291))))+CHOOSE(((AG291+2)-56)/2+1,SUMIFS(Donnees_generations!$AC$3:$AC$113,Donnees_generations!$A$3:$A$113,MAX(1915,MIN(2025,E291))),SUMIFS(Donnees_generations!$AD$3:$AD$113,Donnees_generations!$A$3:$A$113,MAX(1915,MIN(2025,E291))),SUMIFS(Donnees_generations!$AE$3:$AE$113,Donnees_generations!$A$3:$A$113,MAX(1915,MIN(2025,E291))),SUMIFS(Donnees_generations!$AF$3:$AF$113,Donnees_generations!$A$3:$A$113,MAX(1915,MIN(2025,E291))),SUMIFS(Donnees_generations!$AG$3:$AG$113,Donnees_generations!$A$3:$A$113,MAX(1915,MIN(2025,E291))),SUMIFS(Donnees_generations!$AH$3:$AH$113,Donnees_generations!$A$3:$A$113,MAX(1915,MIN(2025,E291))),SUMIFS(Donnees_generations!$AI$3:$AI$113,Donnees_generations!$A$3:$A$113,MAX(1915,MIN(2025,E291))),SUMIFS(Donnees_generations!$AJ$3:$AJ$113,Donnees_generations!$A$3:$A$113,MAX(1915,MIN(2025,E291)))))/2</f>
        <v/>
      </c>
      <c r="AJ291" s="8">
        <f>MAX(0,AH291+(AI291-AH291)*(K291-AG291)/2)</f>
        <v/>
      </c>
      <c r="AK291" s="8">
        <f>K291+AJ291</f>
        <v/>
      </c>
      <c r="AL291" s="14">
        <f>AE291*AJ291</f>
        <v/>
      </c>
      <c r="AM291" s="17">
        <f>V291/AL291</f>
        <v/>
      </c>
      <c r="AN291" s="17">
        <f>Z291/AL291</f>
        <v/>
      </c>
      <c r="AO291" s="33">
        <f>IF(V291+Z291=0,0,Z291/(V291+Z291))</f>
        <v/>
      </c>
      <c r="AP291" s="14">
        <f>AL291/V291*100</f>
        <v/>
      </c>
      <c r="AQ291" s="8">
        <f>P291/AL291*1000</f>
        <v/>
      </c>
      <c r="AR291" s="77">
        <f>MAX(N291,M291-1)</f>
        <v/>
      </c>
      <c r="AS291" s="14">
        <f>SUMIFS(Donnees_regimes!$R$3:$R$1118,Donnees_regimes!$A$3:$A$1118,C291,Donnees_regimes!$B$3:$B$1118,"&gt;="&amp;G291,Donnees_regimes!$B$3:$B$1118,"&lt;="&amp;N291)*L291/ROUNDUP(L291,0)*SUMIFS(Donnees_annuelles!$AG$3:$AG$188,Donnees_annuelles!$A$3:$A$188,AR291)*SUMIFS(Donnees_annuelles!$AA$3:$AA$188,Donnees_annuelles!$A$3:$A$188,AR291)</f>
        <v/>
      </c>
      <c r="AT291" s="36">
        <f>AS291/V291</f>
        <v/>
      </c>
      <c r="AU291" s="14">
        <f>AL291</f>
        <v/>
      </c>
      <c r="AV291" s="39">
        <f>AS291-AL291</f>
        <v/>
      </c>
      <c r="AW291" s="9">
        <f>AS291/AL291-1</f>
        <v/>
      </c>
      <c r="AX291" s="14">
        <f>AS291/AJ291/12</f>
        <v/>
      </c>
      <c r="AY291" s="14">
        <f>AF291</f>
        <v/>
      </c>
      <c r="AZ291" s="39">
        <f>AX291-AF291</f>
        <v/>
      </c>
      <c r="BA291" s="14">
        <f>SUMIFS(Donnees_regimes!$S$3:$S$1118,Donnees_regimes!$A$3:$A$1118,C291,Donnees_regimes!$B$3:$B$1118,"&gt;="&amp;G291,Donnees_regimes!$B$3:$B$1118,"&lt;="&amp;N291)*L291/ROUNDUP(L291,0)*SUMIFS(Donnees_annuelles!$AH$3:$AH$188,Donnees_annuelles!$A$3:$A$188,AR291)*SUMIFS(Donnees_annuelles!$AA$3:$AA$188,Donnees_annuelles!$A$3:$A$188,AR291)</f>
        <v/>
      </c>
      <c r="BB291" s="39">
        <f>BA291-AL291</f>
        <v/>
      </c>
      <c r="BC291" s="7">
        <f>IF(M291+AJ291&gt;2026,IF(G291&gt;2026,"entièrement projeté","en partie projeté"),"observé")</f>
        <v/>
      </c>
    </row>
    <row r="292">
      <c r="A292" s="7" t="inlineStr">
        <is>
          <t>Génération Alpha</t>
        </is>
      </c>
      <c r="B292" s="84" t="inlineStr">
        <is>
          <t>Fonction publique territoriale et hospitalière</t>
        </is>
      </c>
      <c r="C292" s="7">
        <f>IF(G292&gt;=SUMIFS(Regimes!$C$5:$C$10,Regimes!$A$5:$A$10,B292),"Privé",B292)</f>
        <v/>
      </c>
      <c r="D292" s="7">
        <f>INDEX(Regimes!$D$5:$D$10,MATCH(C292,Regimes!$A$5:$A$10,0))</f>
        <v/>
      </c>
      <c r="E292" s="88" t="n">
        <v>2021</v>
      </c>
      <c r="F292" s="8">
        <f>Donnees_generations!C109</f>
        <v/>
      </c>
      <c r="G292" s="77">
        <f>Donnees_generations!D109</f>
        <v/>
      </c>
      <c r="H292" s="8">
        <f>SUMIFS(Donnees_generations!$S$3:$S$113,Donnees_generations!$A$3:$A$113,MAX(1915,MIN(2025,E292)))</f>
        <v/>
      </c>
      <c r="I292" s="8">
        <f>SUMIFS(Donnees_generations!$T$3:$T$113,Donnees_generations!$A$3:$A$113,MAX(1915,MIN(2025,E292)))</f>
        <v/>
      </c>
      <c r="J292" s="8">
        <f>IF(G292&gt;=2000,MAX(I292,Parametres!$B$3),I292)</f>
        <v/>
      </c>
      <c r="K292" s="8">
        <f>IF(C292="Privé",J292,SUMIFS(Regles_regimes!$J$3:$J$2000,Regles_regimes!$A$3:$A$2000,C292,Regles_regimes!$B$3:$B$2000,D292,Regles_regimes!$C$3:$C$2000,MAX(1915,MIN(2025,E292))))</f>
        <v/>
      </c>
      <c r="L292" s="8">
        <f>IF(C292="Privé",H292,(K292-F292)*H292/(J292-F292))</f>
        <v/>
      </c>
      <c r="M292" s="77">
        <f>INT(E292+K292)</f>
        <v/>
      </c>
      <c r="N292" s="77">
        <f>G292+ROUNDUP(L292,0)-1</f>
        <v/>
      </c>
      <c r="O292" s="89">
        <f>SUMIFS(Regles_regimes!$K$3:$K$2000,Regles_regimes!$A$3:$A$2000,C292,Regles_regimes!$B$3:$B$2000,D292,Regles_regimes!$C$3:$C$2000,MAX(1915,MIN(2025,E292)))</f>
        <v/>
      </c>
      <c r="P292" s="13">
        <f>SUMIFS(Donnees_annuelles!$W$3:$W$188,Donnees_annuelles!$A$3:$A$188,"&gt;="&amp;G292,Donnees_annuelles!$A$3:$A$188,"&lt;="&amp;N292)*L292/ROUNDUP(L292,0)*O292</f>
        <v/>
      </c>
      <c r="Q292" s="13">
        <f>SUMIFS(Donnees_annuelles!$V$3:$V$188,Donnees_annuelles!$A$3:$A$188,"&gt;="&amp;G292,Donnees_annuelles!$A$3:$A$188,"&lt;="&amp;N292)*L292/ROUNDUP(L292,0)</f>
        <v/>
      </c>
      <c r="R292" s="13">
        <f>P292/L292</f>
        <v/>
      </c>
      <c r="S292" s="14">
        <f>SUMIFS(Donnees_annuelles!$D$3:$D$188,Donnees_annuelles!$A$3:$A$188,"&gt;="&amp;G292,Donnees_annuelles!$A$3:$A$188,"&lt;="&amp;N292)*L292/ROUNDUP(L292,0)</f>
        <v/>
      </c>
      <c r="T292" s="14">
        <f>SUMIFS(Donnees_regimes!$N$3:$N$1118,Donnees_regimes!$A$3:$A$1118,C292,Donnees_regimes!$B$3:$B$1118,"&gt;="&amp;G292,Donnees_regimes!$B$3:$B$1118,"&lt;="&amp;N292)*L292/ROUNDUP(L292,0)</f>
        <v/>
      </c>
      <c r="U292" s="14">
        <f>SUMIFS(Donnees_regimes!$O$3:$O$1118,Donnees_regimes!$A$3:$A$1118,C292,Donnees_regimes!$B$3:$B$1118,"&gt;="&amp;G292,Donnees_regimes!$B$3:$B$1118,"&lt;="&amp;N292)*L292/ROUNDUP(L292,0)</f>
        <v/>
      </c>
      <c r="V292" s="14">
        <f>T292+U292</f>
        <v/>
      </c>
      <c r="W292" s="33">
        <f>V292/S292</f>
        <v/>
      </c>
      <c r="X292" s="14">
        <f>S292+U292</f>
        <v/>
      </c>
      <c r="Y292" s="17">
        <f>V292/P292</f>
        <v/>
      </c>
      <c r="Z292" s="14">
        <f>SUMIFS(Donnees_regimes!$Q$3:$Q$1118,Donnees_regimes!$A$3:$A$1118,C292,Donnees_regimes!$B$3:$B$1118,"&gt;="&amp;G292,Donnees_regimes!$B$3:$B$1118,"&lt;="&amp;N292)*L292/ROUNDUP(L292,0)</f>
        <v/>
      </c>
      <c r="AA292" s="77">
        <f>SUMIFS(Regles_regimes!$F$3:$F$2000,Regles_regimes!$A$3:$A$2000,C292,Regles_regimes!$B$3:$B$2000,D292,Regles_regimes!$C$3:$C$2000,MAX(1915,MIN(2025,E292)))</f>
        <v/>
      </c>
      <c r="AB292" s="77">
        <f>IF(AND(SUMIFS(Regles_regimes!$L$3:$L$2000,Regles_regimes!$A$3:$A$2000,C292,Regles_regimes!$B$3:$B$2000,D292,Regles_regimes!$C$3:$C$2000,MAX(1915,MIN(2025,E292)))=1,G292&lt;2009,C292&lt;&gt;"Privé"),MIN(20,L292*4/5),0)</f>
        <v/>
      </c>
      <c r="AC292" s="89">
        <f>SUMIFS(Donnees_regimes!$M$3:$M$1118,Donnees_regimes!$A$3:$A$1118,C292,Donnees_regimes!$B$3:$B$1118,M292)</f>
        <v/>
      </c>
      <c r="AD292" s="14">
        <f>SUMIFS(Donnees_annuelles!$Y$3:$Y$188,Donnees_annuelles!$A$3:$A$188,M292)*SUMIFS(Donnees_generations!$I$3:$I$113,Donnees_generations!$A$3:$A$113,MAX(1915,MIN(2025,E292)))/H292</f>
        <v/>
      </c>
      <c r="AE292" s="14">
        <f>IF(C292="Privé",SUMIFS(Donnees_annuelles!$Y$3:$Y$188,Donnees_annuelles!$A$3:$A$188,M292)*MIN(L292,SUMIFS(Donnees_generations!$I$3:$I$113,Donnees_generations!$A$3:$A$113,MAX(1915,MIN(2025,E292))))/L292,AD292*AC292*MIN(IF(AB292&gt;0,0.8/0.75,1),(L292*4+AB292)/AA292))</f>
        <v/>
      </c>
      <c r="AF292" s="14">
        <f>AE292/12</f>
        <v/>
      </c>
      <c r="AG292" s="77">
        <f>MIN(68,MAX(56,2*INT(K292/2)))</f>
        <v/>
      </c>
      <c r="AH292" s="75">
        <f>(CHOOSE((AG292-56)/2+1,SUMIFS(Donnees_generations!$U$3:$U$113,Donnees_generations!$A$3:$A$113,MAX(1915,MIN(2025,E292))),SUMIFS(Donnees_generations!$V$3:$V$113,Donnees_generations!$A$3:$A$113,MAX(1915,MIN(2025,E292))),SUMIFS(Donnees_generations!$W$3:$W$113,Donnees_generations!$A$3:$A$113,MAX(1915,MIN(2025,E292))),SUMIFS(Donnees_generations!$X$3:$X$113,Donnees_generations!$A$3:$A$113,MAX(1915,MIN(2025,E292))),SUMIFS(Donnees_generations!$Y$3:$Y$113,Donnees_generations!$A$3:$A$113,MAX(1915,MIN(2025,E292))),SUMIFS(Donnees_generations!$Z$3:$Z$113,Donnees_generations!$A$3:$A$113,MAX(1915,MIN(2025,E292))),SUMIFS(Donnees_generations!$AA$3:$AA$113,Donnees_generations!$A$3:$A$113,MAX(1915,MIN(2025,E292))),SUMIFS(Donnees_generations!$AB$3:$AB$113,Donnees_generations!$A$3:$A$113,MAX(1915,MIN(2025,E292))))+CHOOSE((AG292-56)/2+1,SUMIFS(Donnees_generations!$AC$3:$AC$113,Donnees_generations!$A$3:$A$113,MAX(1915,MIN(2025,E292))),SUMIFS(Donnees_generations!$AD$3:$AD$113,Donnees_generations!$A$3:$A$113,MAX(1915,MIN(2025,E292))),SUMIFS(Donnees_generations!$AE$3:$AE$113,Donnees_generations!$A$3:$A$113,MAX(1915,MIN(2025,E292))),SUMIFS(Donnees_generations!$AF$3:$AF$113,Donnees_generations!$A$3:$A$113,MAX(1915,MIN(2025,E292))),SUMIFS(Donnees_generations!$AG$3:$AG$113,Donnees_generations!$A$3:$A$113,MAX(1915,MIN(2025,E292))),SUMIFS(Donnees_generations!$AH$3:$AH$113,Donnees_generations!$A$3:$A$113,MAX(1915,MIN(2025,E292))),SUMIFS(Donnees_generations!$AI$3:$AI$113,Donnees_generations!$A$3:$A$113,MAX(1915,MIN(2025,E292))),SUMIFS(Donnees_generations!$AJ$3:$AJ$113,Donnees_generations!$A$3:$A$113,MAX(1915,MIN(2025,E292)))))/2</f>
        <v/>
      </c>
      <c r="AI292" s="75">
        <f>(CHOOSE(((AG292+2)-56)/2+1,SUMIFS(Donnees_generations!$U$3:$U$113,Donnees_generations!$A$3:$A$113,MAX(1915,MIN(2025,E292))),SUMIFS(Donnees_generations!$V$3:$V$113,Donnees_generations!$A$3:$A$113,MAX(1915,MIN(2025,E292))),SUMIFS(Donnees_generations!$W$3:$W$113,Donnees_generations!$A$3:$A$113,MAX(1915,MIN(2025,E292))),SUMIFS(Donnees_generations!$X$3:$X$113,Donnees_generations!$A$3:$A$113,MAX(1915,MIN(2025,E292))),SUMIFS(Donnees_generations!$Y$3:$Y$113,Donnees_generations!$A$3:$A$113,MAX(1915,MIN(2025,E292))),SUMIFS(Donnees_generations!$Z$3:$Z$113,Donnees_generations!$A$3:$A$113,MAX(1915,MIN(2025,E292))),SUMIFS(Donnees_generations!$AA$3:$AA$113,Donnees_generations!$A$3:$A$113,MAX(1915,MIN(2025,E292))),SUMIFS(Donnees_generations!$AB$3:$AB$113,Donnees_generations!$A$3:$A$113,MAX(1915,MIN(2025,E292))))+CHOOSE(((AG292+2)-56)/2+1,SUMIFS(Donnees_generations!$AC$3:$AC$113,Donnees_generations!$A$3:$A$113,MAX(1915,MIN(2025,E292))),SUMIFS(Donnees_generations!$AD$3:$AD$113,Donnees_generations!$A$3:$A$113,MAX(1915,MIN(2025,E292))),SUMIFS(Donnees_generations!$AE$3:$AE$113,Donnees_generations!$A$3:$A$113,MAX(1915,MIN(2025,E292))),SUMIFS(Donnees_generations!$AF$3:$AF$113,Donnees_generations!$A$3:$A$113,MAX(1915,MIN(2025,E292))),SUMIFS(Donnees_generations!$AG$3:$AG$113,Donnees_generations!$A$3:$A$113,MAX(1915,MIN(2025,E292))),SUMIFS(Donnees_generations!$AH$3:$AH$113,Donnees_generations!$A$3:$A$113,MAX(1915,MIN(2025,E292))),SUMIFS(Donnees_generations!$AI$3:$AI$113,Donnees_generations!$A$3:$A$113,MAX(1915,MIN(2025,E292))),SUMIFS(Donnees_generations!$AJ$3:$AJ$113,Donnees_generations!$A$3:$A$113,MAX(1915,MIN(2025,E292)))))/2</f>
        <v/>
      </c>
      <c r="AJ292" s="8">
        <f>MAX(0,AH292+(AI292-AH292)*(K292-AG292)/2)</f>
        <v/>
      </c>
      <c r="AK292" s="8">
        <f>K292+AJ292</f>
        <v/>
      </c>
      <c r="AL292" s="14">
        <f>AE292*AJ292</f>
        <v/>
      </c>
      <c r="AM292" s="17">
        <f>V292/AL292</f>
        <v/>
      </c>
      <c r="AN292" s="17">
        <f>Z292/AL292</f>
        <v/>
      </c>
      <c r="AO292" s="33">
        <f>IF(V292+Z292=0,0,Z292/(V292+Z292))</f>
        <v/>
      </c>
      <c r="AP292" s="14">
        <f>AL292/V292*100</f>
        <v/>
      </c>
      <c r="AQ292" s="8">
        <f>P292/AL292*1000</f>
        <v/>
      </c>
      <c r="AR292" s="77">
        <f>MAX(N292,M292-1)</f>
        <v/>
      </c>
      <c r="AS292" s="14">
        <f>SUMIFS(Donnees_regimes!$R$3:$R$1118,Donnees_regimes!$A$3:$A$1118,C292,Donnees_regimes!$B$3:$B$1118,"&gt;="&amp;G292,Donnees_regimes!$B$3:$B$1118,"&lt;="&amp;N292)*L292/ROUNDUP(L292,0)*SUMIFS(Donnees_annuelles!$AG$3:$AG$188,Donnees_annuelles!$A$3:$A$188,AR292)*SUMIFS(Donnees_annuelles!$AA$3:$AA$188,Donnees_annuelles!$A$3:$A$188,AR292)</f>
        <v/>
      </c>
      <c r="AT292" s="36">
        <f>AS292/V292</f>
        <v/>
      </c>
      <c r="AU292" s="14">
        <f>AL292</f>
        <v/>
      </c>
      <c r="AV292" s="39">
        <f>AS292-AL292</f>
        <v/>
      </c>
      <c r="AW292" s="9">
        <f>AS292/AL292-1</f>
        <v/>
      </c>
      <c r="AX292" s="14">
        <f>AS292/AJ292/12</f>
        <v/>
      </c>
      <c r="AY292" s="14">
        <f>AF292</f>
        <v/>
      </c>
      <c r="AZ292" s="39">
        <f>AX292-AF292</f>
        <v/>
      </c>
      <c r="BA292" s="14">
        <f>SUMIFS(Donnees_regimes!$S$3:$S$1118,Donnees_regimes!$A$3:$A$1118,C292,Donnees_regimes!$B$3:$B$1118,"&gt;="&amp;G292,Donnees_regimes!$B$3:$B$1118,"&lt;="&amp;N292)*L292/ROUNDUP(L292,0)*SUMIFS(Donnees_annuelles!$AH$3:$AH$188,Donnees_annuelles!$A$3:$A$188,AR292)*SUMIFS(Donnees_annuelles!$AA$3:$AA$188,Donnees_annuelles!$A$3:$A$188,AR292)</f>
        <v/>
      </c>
      <c r="BB292" s="39">
        <f>BA292-AL292</f>
        <v/>
      </c>
      <c r="BC292" s="7">
        <f>IF(M292+AJ292&gt;2026,IF(G292&gt;2026,"entièrement projeté","en partie projeté"),"observé")</f>
        <v/>
      </c>
    </row>
    <row r="293">
      <c r="A293" s="7" t="inlineStr">
        <is>
          <t>Génération Alpha</t>
        </is>
      </c>
      <c r="B293" s="84" t="inlineStr">
        <is>
          <t>Fonction publique territoriale et hospitalière</t>
        </is>
      </c>
      <c r="C293" s="7">
        <f>IF(G293&gt;=SUMIFS(Regimes!$C$5:$C$10,Regimes!$A$5:$A$10,B293),"Privé",B293)</f>
        <v/>
      </c>
      <c r="D293" s="7">
        <f>INDEX(Regimes!$D$5:$D$10,MATCH(C293,Regimes!$A$5:$A$10,0))</f>
        <v/>
      </c>
      <c r="E293" s="88" t="n">
        <v>2022</v>
      </c>
      <c r="F293" s="8">
        <f>Donnees_generations!C110</f>
        <v/>
      </c>
      <c r="G293" s="77">
        <f>Donnees_generations!D110</f>
        <v/>
      </c>
      <c r="H293" s="8">
        <f>SUMIFS(Donnees_generations!$S$3:$S$113,Donnees_generations!$A$3:$A$113,MAX(1915,MIN(2025,E293)))</f>
        <v/>
      </c>
      <c r="I293" s="8">
        <f>SUMIFS(Donnees_generations!$T$3:$T$113,Donnees_generations!$A$3:$A$113,MAX(1915,MIN(2025,E293)))</f>
        <v/>
      </c>
      <c r="J293" s="8">
        <f>IF(G293&gt;=2000,MAX(I293,Parametres!$B$3),I293)</f>
        <v/>
      </c>
      <c r="K293" s="8">
        <f>IF(C293="Privé",J293,SUMIFS(Regles_regimes!$J$3:$J$2000,Regles_regimes!$A$3:$A$2000,C293,Regles_regimes!$B$3:$B$2000,D293,Regles_regimes!$C$3:$C$2000,MAX(1915,MIN(2025,E293))))</f>
        <v/>
      </c>
      <c r="L293" s="8">
        <f>IF(C293="Privé",H293,(K293-F293)*H293/(J293-F293))</f>
        <v/>
      </c>
      <c r="M293" s="77">
        <f>INT(E293+K293)</f>
        <v/>
      </c>
      <c r="N293" s="77">
        <f>G293+ROUNDUP(L293,0)-1</f>
        <v/>
      </c>
      <c r="O293" s="89">
        <f>SUMIFS(Regles_regimes!$K$3:$K$2000,Regles_regimes!$A$3:$A$2000,C293,Regles_regimes!$B$3:$B$2000,D293,Regles_regimes!$C$3:$C$2000,MAX(1915,MIN(2025,E293)))</f>
        <v/>
      </c>
      <c r="P293" s="13">
        <f>SUMIFS(Donnees_annuelles!$W$3:$W$188,Donnees_annuelles!$A$3:$A$188,"&gt;="&amp;G293,Donnees_annuelles!$A$3:$A$188,"&lt;="&amp;N293)*L293/ROUNDUP(L293,0)*O293</f>
        <v/>
      </c>
      <c r="Q293" s="13">
        <f>SUMIFS(Donnees_annuelles!$V$3:$V$188,Donnees_annuelles!$A$3:$A$188,"&gt;="&amp;G293,Donnees_annuelles!$A$3:$A$188,"&lt;="&amp;N293)*L293/ROUNDUP(L293,0)</f>
        <v/>
      </c>
      <c r="R293" s="13">
        <f>P293/L293</f>
        <v/>
      </c>
      <c r="S293" s="14">
        <f>SUMIFS(Donnees_annuelles!$D$3:$D$188,Donnees_annuelles!$A$3:$A$188,"&gt;="&amp;G293,Donnees_annuelles!$A$3:$A$188,"&lt;="&amp;N293)*L293/ROUNDUP(L293,0)</f>
        <v/>
      </c>
      <c r="T293" s="14">
        <f>SUMIFS(Donnees_regimes!$N$3:$N$1118,Donnees_regimes!$A$3:$A$1118,C293,Donnees_regimes!$B$3:$B$1118,"&gt;="&amp;G293,Donnees_regimes!$B$3:$B$1118,"&lt;="&amp;N293)*L293/ROUNDUP(L293,0)</f>
        <v/>
      </c>
      <c r="U293" s="14">
        <f>SUMIFS(Donnees_regimes!$O$3:$O$1118,Donnees_regimes!$A$3:$A$1118,C293,Donnees_regimes!$B$3:$B$1118,"&gt;="&amp;G293,Donnees_regimes!$B$3:$B$1118,"&lt;="&amp;N293)*L293/ROUNDUP(L293,0)</f>
        <v/>
      </c>
      <c r="V293" s="14">
        <f>T293+U293</f>
        <v/>
      </c>
      <c r="W293" s="33">
        <f>V293/S293</f>
        <v/>
      </c>
      <c r="X293" s="14">
        <f>S293+U293</f>
        <v/>
      </c>
      <c r="Y293" s="17">
        <f>V293/P293</f>
        <v/>
      </c>
      <c r="Z293" s="14">
        <f>SUMIFS(Donnees_regimes!$Q$3:$Q$1118,Donnees_regimes!$A$3:$A$1118,C293,Donnees_regimes!$B$3:$B$1118,"&gt;="&amp;G293,Donnees_regimes!$B$3:$B$1118,"&lt;="&amp;N293)*L293/ROUNDUP(L293,0)</f>
        <v/>
      </c>
      <c r="AA293" s="77">
        <f>SUMIFS(Regles_regimes!$F$3:$F$2000,Regles_regimes!$A$3:$A$2000,C293,Regles_regimes!$B$3:$B$2000,D293,Regles_regimes!$C$3:$C$2000,MAX(1915,MIN(2025,E293)))</f>
        <v/>
      </c>
      <c r="AB293" s="77">
        <f>IF(AND(SUMIFS(Regles_regimes!$L$3:$L$2000,Regles_regimes!$A$3:$A$2000,C293,Regles_regimes!$B$3:$B$2000,D293,Regles_regimes!$C$3:$C$2000,MAX(1915,MIN(2025,E293)))=1,G293&lt;2009,C293&lt;&gt;"Privé"),MIN(20,L293*4/5),0)</f>
        <v/>
      </c>
      <c r="AC293" s="89">
        <f>SUMIFS(Donnees_regimes!$M$3:$M$1118,Donnees_regimes!$A$3:$A$1118,C293,Donnees_regimes!$B$3:$B$1118,M293)</f>
        <v/>
      </c>
      <c r="AD293" s="14">
        <f>SUMIFS(Donnees_annuelles!$Y$3:$Y$188,Donnees_annuelles!$A$3:$A$188,M293)*SUMIFS(Donnees_generations!$I$3:$I$113,Donnees_generations!$A$3:$A$113,MAX(1915,MIN(2025,E293)))/H293</f>
        <v/>
      </c>
      <c r="AE293" s="14">
        <f>IF(C293="Privé",SUMIFS(Donnees_annuelles!$Y$3:$Y$188,Donnees_annuelles!$A$3:$A$188,M293)*MIN(L293,SUMIFS(Donnees_generations!$I$3:$I$113,Donnees_generations!$A$3:$A$113,MAX(1915,MIN(2025,E293))))/L293,AD293*AC293*MIN(IF(AB293&gt;0,0.8/0.75,1),(L293*4+AB293)/AA293))</f>
        <v/>
      </c>
      <c r="AF293" s="14">
        <f>AE293/12</f>
        <v/>
      </c>
      <c r="AG293" s="77">
        <f>MIN(68,MAX(56,2*INT(K293/2)))</f>
        <v/>
      </c>
      <c r="AH293" s="75">
        <f>(CHOOSE((AG293-56)/2+1,SUMIFS(Donnees_generations!$U$3:$U$113,Donnees_generations!$A$3:$A$113,MAX(1915,MIN(2025,E293))),SUMIFS(Donnees_generations!$V$3:$V$113,Donnees_generations!$A$3:$A$113,MAX(1915,MIN(2025,E293))),SUMIFS(Donnees_generations!$W$3:$W$113,Donnees_generations!$A$3:$A$113,MAX(1915,MIN(2025,E293))),SUMIFS(Donnees_generations!$X$3:$X$113,Donnees_generations!$A$3:$A$113,MAX(1915,MIN(2025,E293))),SUMIFS(Donnees_generations!$Y$3:$Y$113,Donnees_generations!$A$3:$A$113,MAX(1915,MIN(2025,E293))),SUMIFS(Donnees_generations!$Z$3:$Z$113,Donnees_generations!$A$3:$A$113,MAX(1915,MIN(2025,E293))),SUMIFS(Donnees_generations!$AA$3:$AA$113,Donnees_generations!$A$3:$A$113,MAX(1915,MIN(2025,E293))),SUMIFS(Donnees_generations!$AB$3:$AB$113,Donnees_generations!$A$3:$A$113,MAX(1915,MIN(2025,E293))))+CHOOSE((AG293-56)/2+1,SUMIFS(Donnees_generations!$AC$3:$AC$113,Donnees_generations!$A$3:$A$113,MAX(1915,MIN(2025,E293))),SUMIFS(Donnees_generations!$AD$3:$AD$113,Donnees_generations!$A$3:$A$113,MAX(1915,MIN(2025,E293))),SUMIFS(Donnees_generations!$AE$3:$AE$113,Donnees_generations!$A$3:$A$113,MAX(1915,MIN(2025,E293))),SUMIFS(Donnees_generations!$AF$3:$AF$113,Donnees_generations!$A$3:$A$113,MAX(1915,MIN(2025,E293))),SUMIFS(Donnees_generations!$AG$3:$AG$113,Donnees_generations!$A$3:$A$113,MAX(1915,MIN(2025,E293))),SUMIFS(Donnees_generations!$AH$3:$AH$113,Donnees_generations!$A$3:$A$113,MAX(1915,MIN(2025,E293))),SUMIFS(Donnees_generations!$AI$3:$AI$113,Donnees_generations!$A$3:$A$113,MAX(1915,MIN(2025,E293))),SUMIFS(Donnees_generations!$AJ$3:$AJ$113,Donnees_generations!$A$3:$A$113,MAX(1915,MIN(2025,E293)))))/2</f>
        <v/>
      </c>
      <c r="AI293" s="75">
        <f>(CHOOSE(((AG293+2)-56)/2+1,SUMIFS(Donnees_generations!$U$3:$U$113,Donnees_generations!$A$3:$A$113,MAX(1915,MIN(2025,E293))),SUMIFS(Donnees_generations!$V$3:$V$113,Donnees_generations!$A$3:$A$113,MAX(1915,MIN(2025,E293))),SUMIFS(Donnees_generations!$W$3:$W$113,Donnees_generations!$A$3:$A$113,MAX(1915,MIN(2025,E293))),SUMIFS(Donnees_generations!$X$3:$X$113,Donnees_generations!$A$3:$A$113,MAX(1915,MIN(2025,E293))),SUMIFS(Donnees_generations!$Y$3:$Y$113,Donnees_generations!$A$3:$A$113,MAX(1915,MIN(2025,E293))),SUMIFS(Donnees_generations!$Z$3:$Z$113,Donnees_generations!$A$3:$A$113,MAX(1915,MIN(2025,E293))),SUMIFS(Donnees_generations!$AA$3:$AA$113,Donnees_generations!$A$3:$A$113,MAX(1915,MIN(2025,E293))),SUMIFS(Donnees_generations!$AB$3:$AB$113,Donnees_generations!$A$3:$A$113,MAX(1915,MIN(2025,E293))))+CHOOSE(((AG293+2)-56)/2+1,SUMIFS(Donnees_generations!$AC$3:$AC$113,Donnees_generations!$A$3:$A$113,MAX(1915,MIN(2025,E293))),SUMIFS(Donnees_generations!$AD$3:$AD$113,Donnees_generations!$A$3:$A$113,MAX(1915,MIN(2025,E293))),SUMIFS(Donnees_generations!$AE$3:$AE$113,Donnees_generations!$A$3:$A$113,MAX(1915,MIN(2025,E293))),SUMIFS(Donnees_generations!$AF$3:$AF$113,Donnees_generations!$A$3:$A$113,MAX(1915,MIN(2025,E293))),SUMIFS(Donnees_generations!$AG$3:$AG$113,Donnees_generations!$A$3:$A$113,MAX(1915,MIN(2025,E293))),SUMIFS(Donnees_generations!$AH$3:$AH$113,Donnees_generations!$A$3:$A$113,MAX(1915,MIN(2025,E293))),SUMIFS(Donnees_generations!$AI$3:$AI$113,Donnees_generations!$A$3:$A$113,MAX(1915,MIN(2025,E293))),SUMIFS(Donnees_generations!$AJ$3:$AJ$113,Donnees_generations!$A$3:$A$113,MAX(1915,MIN(2025,E293)))))/2</f>
        <v/>
      </c>
      <c r="AJ293" s="8">
        <f>MAX(0,AH293+(AI293-AH293)*(K293-AG293)/2)</f>
        <v/>
      </c>
      <c r="AK293" s="8">
        <f>K293+AJ293</f>
        <v/>
      </c>
      <c r="AL293" s="14">
        <f>AE293*AJ293</f>
        <v/>
      </c>
      <c r="AM293" s="17">
        <f>V293/AL293</f>
        <v/>
      </c>
      <c r="AN293" s="17">
        <f>Z293/AL293</f>
        <v/>
      </c>
      <c r="AO293" s="33">
        <f>IF(V293+Z293=0,0,Z293/(V293+Z293))</f>
        <v/>
      </c>
      <c r="AP293" s="14">
        <f>AL293/V293*100</f>
        <v/>
      </c>
      <c r="AQ293" s="8">
        <f>P293/AL293*1000</f>
        <v/>
      </c>
      <c r="AR293" s="77">
        <f>MAX(N293,M293-1)</f>
        <v/>
      </c>
      <c r="AS293" s="14">
        <f>SUMIFS(Donnees_regimes!$R$3:$R$1118,Donnees_regimes!$A$3:$A$1118,C293,Donnees_regimes!$B$3:$B$1118,"&gt;="&amp;G293,Donnees_regimes!$B$3:$B$1118,"&lt;="&amp;N293)*L293/ROUNDUP(L293,0)*SUMIFS(Donnees_annuelles!$AG$3:$AG$188,Donnees_annuelles!$A$3:$A$188,AR293)*SUMIFS(Donnees_annuelles!$AA$3:$AA$188,Donnees_annuelles!$A$3:$A$188,AR293)</f>
        <v/>
      </c>
      <c r="AT293" s="36">
        <f>AS293/V293</f>
        <v/>
      </c>
      <c r="AU293" s="14">
        <f>AL293</f>
        <v/>
      </c>
      <c r="AV293" s="39">
        <f>AS293-AL293</f>
        <v/>
      </c>
      <c r="AW293" s="9">
        <f>AS293/AL293-1</f>
        <v/>
      </c>
      <c r="AX293" s="14">
        <f>AS293/AJ293/12</f>
        <v/>
      </c>
      <c r="AY293" s="14">
        <f>AF293</f>
        <v/>
      </c>
      <c r="AZ293" s="39">
        <f>AX293-AF293</f>
        <v/>
      </c>
      <c r="BA293" s="14">
        <f>SUMIFS(Donnees_regimes!$S$3:$S$1118,Donnees_regimes!$A$3:$A$1118,C293,Donnees_regimes!$B$3:$B$1118,"&gt;="&amp;G293,Donnees_regimes!$B$3:$B$1118,"&lt;="&amp;N293)*L293/ROUNDUP(L293,0)*SUMIFS(Donnees_annuelles!$AH$3:$AH$188,Donnees_annuelles!$A$3:$A$188,AR293)*SUMIFS(Donnees_annuelles!$AA$3:$AA$188,Donnees_annuelles!$A$3:$A$188,AR293)</f>
        <v/>
      </c>
      <c r="BB293" s="39">
        <f>BA293-AL293</f>
        <v/>
      </c>
      <c r="BC293" s="7">
        <f>IF(M293+AJ293&gt;2026,IF(G293&gt;2026,"entièrement projeté","en partie projeté"),"observé")</f>
        <v/>
      </c>
    </row>
    <row r="294">
      <c r="A294" s="7" t="inlineStr">
        <is>
          <t>Génération Alpha</t>
        </is>
      </c>
      <c r="B294" s="84" t="inlineStr">
        <is>
          <t>Fonction publique territoriale et hospitalière</t>
        </is>
      </c>
      <c r="C294" s="7">
        <f>IF(G294&gt;=SUMIFS(Regimes!$C$5:$C$10,Regimes!$A$5:$A$10,B294),"Privé",B294)</f>
        <v/>
      </c>
      <c r="D294" s="7">
        <f>INDEX(Regimes!$D$5:$D$10,MATCH(C294,Regimes!$A$5:$A$10,0))</f>
        <v/>
      </c>
      <c r="E294" s="88" t="n">
        <v>2023</v>
      </c>
      <c r="F294" s="8">
        <f>Donnees_generations!C111</f>
        <v/>
      </c>
      <c r="G294" s="77">
        <f>Donnees_generations!D111</f>
        <v/>
      </c>
      <c r="H294" s="8">
        <f>SUMIFS(Donnees_generations!$S$3:$S$113,Donnees_generations!$A$3:$A$113,MAX(1915,MIN(2025,E294)))</f>
        <v/>
      </c>
      <c r="I294" s="8">
        <f>SUMIFS(Donnees_generations!$T$3:$T$113,Donnees_generations!$A$3:$A$113,MAX(1915,MIN(2025,E294)))</f>
        <v/>
      </c>
      <c r="J294" s="8">
        <f>IF(G294&gt;=2000,MAX(I294,Parametres!$B$3),I294)</f>
        <v/>
      </c>
      <c r="K294" s="8">
        <f>IF(C294="Privé",J294,SUMIFS(Regles_regimes!$J$3:$J$2000,Regles_regimes!$A$3:$A$2000,C294,Regles_regimes!$B$3:$B$2000,D294,Regles_regimes!$C$3:$C$2000,MAX(1915,MIN(2025,E294))))</f>
        <v/>
      </c>
      <c r="L294" s="8">
        <f>IF(C294="Privé",H294,(K294-F294)*H294/(J294-F294))</f>
        <v/>
      </c>
      <c r="M294" s="77">
        <f>INT(E294+K294)</f>
        <v/>
      </c>
      <c r="N294" s="77">
        <f>G294+ROUNDUP(L294,0)-1</f>
        <v/>
      </c>
      <c r="O294" s="89">
        <f>SUMIFS(Regles_regimes!$K$3:$K$2000,Regles_regimes!$A$3:$A$2000,C294,Regles_regimes!$B$3:$B$2000,D294,Regles_regimes!$C$3:$C$2000,MAX(1915,MIN(2025,E294)))</f>
        <v/>
      </c>
      <c r="P294" s="13">
        <f>SUMIFS(Donnees_annuelles!$W$3:$W$188,Donnees_annuelles!$A$3:$A$188,"&gt;="&amp;G294,Donnees_annuelles!$A$3:$A$188,"&lt;="&amp;N294)*L294/ROUNDUP(L294,0)*O294</f>
        <v/>
      </c>
      <c r="Q294" s="13">
        <f>SUMIFS(Donnees_annuelles!$V$3:$V$188,Donnees_annuelles!$A$3:$A$188,"&gt;="&amp;G294,Donnees_annuelles!$A$3:$A$188,"&lt;="&amp;N294)*L294/ROUNDUP(L294,0)</f>
        <v/>
      </c>
      <c r="R294" s="13">
        <f>P294/L294</f>
        <v/>
      </c>
      <c r="S294" s="14">
        <f>SUMIFS(Donnees_annuelles!$D$3:$D$188,Donnees_annuelles!$A$3:$A$188,"&gt;="&amp;G294,Donnees_annuelles!$A$3:$A$188,"&lt;="&amp;N294)*L294/ROUNDUP(L294,0)</f>
        <v/>
      </c>
      <c r="T294" s="14">
        <f>SUMIFS(Donnees_regimes!$N$3:$N$1118,Donnees_regimes!$A$3:$A$1118,C294,Donnees_regimes!$B$3:$B$1118,"&gt;="&amp;G294,Donnees_regimes!$B$3:$B$1118,"&lt;="&amp;N294)*L294/ROUNDUP(L294,0)</f>
        <v/>
      </c>
      <c r="U294" s="14">
        <f>SUMIFS(Donnees_regimes!$O$3:$O$1118,Donnees_regimes!$A$3:$A$1118,C294,Donnees_regimes!$B$3:$B$1118,"&gt;="&amp;G294,Donnees_regimes!$B$3:$B$1118,"&lt;="&amp;N294)*L294/ROUNDUP(L294,0)</f>
        <v/>
      </c>
      <c r="V294" s="14">
        <f>T294+U294</f>
        <v/>
      </c>
      <c r="W294" s="33">
        <f>V294/S294</f>
        <v/>
      </c>
      <c r="X294" s="14">
        <f>S294+U294</f>
        <v/>
      </c>
      <c r="Y294" s="17">
        <f>V294/P294</f>
        <v/>
      </c>
      <c r="Z294" s="14">
        <f>SUMIFS(Donnees_regimes!$Q$3:$Q$1118,Donnees_regimes!$A$3:$A$1118,C294,Donnees_regimes!$B$3:$B$1118,"&gt;="&amp;G294,Donnees_regimes!$B$3:$B$1118,"&lt;="&amp;N294)*L294/ROUNDUP(L294,0)</f>
        <v/>
      </c>
      <c r="AA294" s="77">
        <f>SUMIFS(Regles_regimes!$F$3:$F$2000,Regles_regimes!$A$3:$A$2000,C294,Regles_regimes!$B$3:$B$2000,D294,Regles_regimes!$C$3:$C$2000,MAX(1915,MIN(2025,E294)))</f>
        <v/>
      </c>
      <c r="AB294" s="77">
        <f>IF(AND(SUMIFS(Regles_regimes!$L$3:$L$2000,Regles_regimes!$A$3:$A$2000,C294,Regles_regimes!$B$3:$B$2000,D294,Regles_regimes!$C$3:$C$2000,MAX(1915,MIN(2025,E294)))=1,G294&lt;2009,C294&lt;&gt;"Privé"),MIN(20,L294*4/5),0)</f>
        <v/>
      </c>
      <c r="AC294" s="89">
        <f>SUMIFS(Donnees_regimes!$M$3:$M$1118,Donnees_regimes!$A$3:$A$1118,C294,Donnees_regimes!$B$3:$B$1118,M294)</f>
        <v/>
      </c>
      <c r="AD294" s="14">
        <f>SUMIFS(Donnees_annuelles!$Y$3:$Y$188,Donnees_annuelles!$A$3:$A$188,M294)*SUMIFS(Donnees_generations!$I$3:$I$113,Donnees_generations!$A$3:$A$113,MAX(1915,MIN(2025,E294)))/H294</f>
        <v/>
      </c>
      <c r="AE294" s="14">
        <f>IF(C294="Privé",SUMIFS(Donnees_annuelles!$Y$3:$Y$188,Donnees_annuelles!$A$3:$A$188,M294)*MIN(L294,SUMIFS(Donnees_generations!$I$3:$I$113,Donnees_generations!$A$3:$A$113,MAX(1915,MIN(2025,E294))))/L294,AD294*AC294*MIN(IF(AB294&gt;0,0.8/0.75,1),(L294*4+AB294)/AA294))</f>
        <v/>
      </c>
      <c r="AF294" s="14">
        <f>AE294/12</f>
        <v/>
      </c>
      <c r="AG294" s="77">
        <f>MIN(68,MAX(56,2*INT(K294/2)))</f>
        <v/>
      </c>
      <c r="AH294" s="75">
        <f>(CHOOSE((AG294-56)/2+1,SUMIFS(Donnees_generations!$U$3:$U$113,Donnees_generations!$A$3:$A$113,MAX(1915,MIN(2025,E294))),SUMIFS(Donnees_generations!$V$3:$V$113,Donnees_generations!$A$3:$A$113,MAX(1915,MIN(2025,E294))),SUMIFS(Donnees_generations!$W$3:$W$113,Donnees_generations!$A$3:$A$113,MAX(1915,MIN(2025,E294))),SUMIFS(Donnees_generations!$X$3:$X$113,Donnees_generations!$A$3:$A$113,MAX(1915,MIN(2025,E294))),SUMIFS(Donnees_generations!$Y$3:$Y$113,Donnees_generations!$A$3:$A$113,MAX(1915,MIN(2025,E294))),SUMIFS(Donnees_generations!$Z$3:$Z$113,Donnees_generations!$A$3:$A$113,MAX(1915,MIN(2025,E294))),SUMIFS(Donnees_generations!$AA$3:$AA$113,Donnees_generations!$A$3:$A$113,MAX(1915,MIN(2025,E294))),SUMIFS(Donnees_generations!$AB$3:$AB$113,Donnees_generations!$A$3:$A$113,MAX(1915,MIN(2025,E294))))+CHOOSE((AG294-56)/2+1,SUMIFS(Donnees_generations!$AC$3:$AC$113,Donnees_generations!$A$3:$A$113,MAX(1915,MIN(2025,E294))),SUMIFS(Donnees_generations!$AD$3:$AD$113,Donnees_generations!$A$3:$A$113,MAX(1915,MIN(2025,E294))),SUMIFS(Donnees_generations!$AE$3:$AE$113,Donnees_generations!$A$3:$A$113,MAX(1915,MIN(2025,E294))),SUMIFS(Donnees_generations!$AF$3:$AF$113,Donnees_generations!$A$3:$A$113,MAX(1915,MIN(2025,E294))),SUMIFS(Donnees_generations!$AG$3:$AG$113,Donnees_generations!$A$3:$A$113,MAX(1915,MIN(2025,E294))),SUMIFS(Donnees_generations!$AH$3:$AH$113,Donnees_generations!$A$3:$A$113,MAX(1915,MIN(2025,E294))),SUMIFS(Donnees_generations!$AI$3:$AI$113,Donnees_generations!$A$3:$A$113,MAX(1915,MIN(2025,E294))),SUMIFS(Donnees_generations!$AJ$3:$AJ$113,Donnees_generations!$A$3:$A$113,MAX(1915,MIN(2025,E294)))))/2</f>
        <v/>
      </c>
      <c r="AI294" s="75">
        <f>(CHOOSE(((AG294+2)-56)/2+1,SUMIFS(Donnees_generations!$U$3:$U$113,Donnees_generations!$A$3:$A$113,MAX(1915,MIN(2025,E294))),SUMIFS(Donnees_generations!$V$3:$V$113,Donnees_generations!$A$3:$A$113,MAX(1915,MIN(2025,E294))),SUMIFS(Donnees_generations!$W$3:$W$113,Donnees_generations!$A$3:$A$113,MAX(1915,MIN(2025,E294))),SUMIFS(Donnees_generations!$X$3:$X$113,Donnees_generations!$A$3:$A$113,MAX(1915,MIN(2025,E294))),SUMIFS(Donnees_generations!$Y$3:$Y$113,Donnees_generations!$A$3:$A$113,MAX(1915,MIN(2025,E294))),SUMIFS(Donnees_generations!$Z$3:$Z$113,Donnees_generations!$A$3:$A$113,MAX(1915,MIN(2025,E294))),SUMIFS(Donnees_generations!$AA$3:$AA$113,Donnees_generations!$A$3:$A$113,MAX(1915,MIN(2025,E294))),SUMIFS(Donnees_generations!$AB$3:$AB$113,Donnees_generations!$A$3:$A$113,MAX(1915,MIN(2025,E294))))+CHOOSE(((AG294+2)-56)/2+1,SUMIFS(Donnees_generations!$AC$3:$AC$113,Donnees_generations!$A$3:$A$113,MAX(1915,MIN(2025,E294))),SUMIFS(Donnees_generations!$AD$3:$AD$113,Donnees_generations!$A$3:$A$113,MAX(1915,MIN(2025,E294))),SUMIFS(Donnees_generations!$AE$3:$AE$113,Donnees_generations!$A$3:$A$113,MAX(1915,MIN(2025,E294))),SUMIFS(Donnees_generations!$AF$3:$AF$113,Donnees_generations!$A$3:$A$113,MAX(1915,MIN(2025,E294))),SUMIFS(Donnees_generations!$AG$3:$AG$113,Donnees_generations!$A$3:$A$113,MAX(1915,MIN(2025,E294))),SUMIFS(Donnees_generations!$AH$3:$AH$113,Donnees_generations!$A$3:$A$113,MAX(1915,MIN(2025,E294))),SUMIFS(Donnees_generations!$AI$3:$AI$113,Donnees_generations!$A$3:$A$113,MAX(1915,MIN(2025,E294))),SUMIFS(Donnees_generations!$AJ$3:$AJ$113,Donnees_generations!$A$3:$A$113,MAX(1915,MIN(2025,E294)))))/2</f>
        <v/>
      </c>
      <c r="AJ294" s="8">
        <f>MAX(0,AH294+(AI294-AH294)*(K294-AG294)/2)</f>
        <v/>
      </c>
      <c r="AK294" s="8">
        <f>K294+AJ294</f>
        <v/>
      </c>
      <c r="AL294" s="14">
        <f>AE294*AJ294</f>
        <v/>
      </c>
      <c r="AM294" s="17">
        <f>V294/AL294</f>
        <v/>
      </c>
      <c r="AN294" s="17">
        <f>Z294/AL294</f>
        <v/>
      </c>
      <c r="AO294" s="33">
        <f>IF(V294+Z294=0,0,Z294/(V294+Z294))</f>
        <v/>
      </c>
      <c r="AP294" s="14">
        <f>AL294/V294*100</f>
        <v/>
      </c>
      <c r="AQ294" s="8">
        <f>P294/AL294*1000</f>
        <v/>
      </c>
      <c r="AR294" s="77">
        <f>MAX(N294,M294-1)</f>
        <v/>
      </c>
      <c r="AS294" s="14">
        <f>SUMIFS(Donnees_regimes!$R$3:$R$1118,Donnees_regimes!$A$3:$A$1118,C294,Donnees_regimes!$B$3:$B$1118,"&gt;="&amp;G294,Donnees_regimes!$B$3:$B$1118,"&lt;="&amp;N294)*L294/ROUNDUP(L294,0)*SUMIFS(Donnees_annuelles!$AG$3:$AG$188,Donnees_annuelles!$A$3:$A$188,AR294)*SUMIFS(Donnees_annuelles!$AA$3:$AA$188,Donnees_annuelles!$A$3:$A$188,AR294)</f>
        <v/>
      </c>
      <c r="AT294" s="36">
        <f>AS294/V294</f>
        <v/>
      </c>
      <c r="AU294" s="14">
        <f>AL294</f>
        <v/>
      </c>
      <c r="AV294" s="39">
        <f>AS294-AL294</f>
        <v/>
      </c>
      <c r="AW294" s="9">
        <f>AS294/AL294-1</f>
        <v/>
      </c>
      <c r="AX294" s="14">
        <f>AS294/AJ294/12</f>
        <v/>
      </c>
      <c r="AY294" s="14">
        <f>AF294</f>
        <v/>
      </c>
      <c r="AZ294" s="39">
        <f>AX294-AF294</f>
        <v/>
      </c>
      <c r="BA294" s="14">
        <f>SUMIFS(Donnees_regimes!$S$3:$S$1118,Donnees_regimes!$A$3:$A$1118,C294,Donnees_regimes!$B$3:$B$1118,"&gt;="&amp;G294,Donnees_regimes!$B$3:$B$1118,"&lt;="&amp;N294)*L294/ROUNDUP(L294,0)*SUMIFS(Donnees_annuelles!$AH$3:$AH$188,Donnees_annuelles!$A$3:$A$188,AR294)*SUMIFS(Donnees_annuelles!$AA$3:$AA$188,Donnees_annuelles!$A$3:$A$188,AR294)</f>
        <v/>
      </c>
      <c r="BB294" s="39">
        <f>BA294-AL294</f>
        <v/>
      </c>
      <c r="BC294" s="7">
        <f>IF(M294+AJ294&gt;2026,IF(G294&gt;2026,"entièrement projeté","en partie projeté"),"observé")</f>
        <v/>
      </c>
    </row>
    <row r="295">
      <c r="A295" s="7" t="inlineStr">
        <is>
          <t>Génération Alpha</t>
        </is>
      </c>
      <c r="B295" s="84" t="inlineStr">
        <is>
          <t>Fonction publique territoriale et hospitalière</t>
        </is>
      </c>
      <c r="C295" s="7">
        <f>IF(G295&gt;=SUMIFS(Regimes!$C$5:$C$10,Regimes!$A$5:$A$10,B295),"Privé",B295)</f>
        <v/>
      </c>
      <c r="D295" s="7">
        <f>INDEX(Regimes!$D$5:$D$10,MATCH(C295,Regimes!$A$5:$A$10,0))</f>
        <v/>
      </c>
      <c r="E295" s="88" t="n">
        <v>2024</v>
      </c>
      <c r="F295" s="8">
        <f>Donnees_generations!C112</f>
        <v/>
      </c>
      <c r="G295" s="77">
        <f>Donnees_generations!D112</f>
        <v/>
      </c>
      <c r="H295" s="8">
        <f>SUMIFS(Donnees_generations!$S$3:$S$113,Donnees_generations!$A$3:$A$113,MAX(1915,MIN(2025,E295)))</f>
        <v/>
      </c>
      <c r="I295" s="8">
        <f>SUMIFS(Donnees_generations!$T$3:$T$113,Donnees_generations!$A$3:$A$113,MAX(1915,MIN(2025,E295)))</f>
        <v/>
      </c>
      <c r="J295" s="8">
        <f>IF(G295&gt;=2000,MAX(I295,Parametres!$B$3),I295)</f>
        <v/>
      </c>
      <c r="K295" s="8">
        <f>IF(C295="Privé",J295,SUMIFS(Regles_regimes!$J$3:$J$2000,Regles_regimes!$A$3:$A$2000,C295,Regles_regimes!$B$3:$B$2000,D295,Regles_regimes!$C$3:$C$2000,MAX(1915,MIN(2025,E295))))</f>
        <v/>
      </c>
      <c r="L295" s="8">
        <f>IF(C295="Privé",H295,(K295-F295)*H295/(J295-F295))</f>
        <v/>
      </c>
      <c r="M295" s="77">
        <f>INT(E295+K295)</f>
        <v/>
      </c>
      <c r="N295" s="77">
        <f>G295+ROUNDUP(L295,0)-1</f>
        <v/>
      </c>
      <c r="O295" s="89">
        <f>SUMIFS(Regles_regimes!$K$3:$K$2000,Regles_regimes!$A$3:$A$2000,C295,Regles_regimes!$B$3:$B$2000,D295,Regles_regimes!$C$3:$C$2000,MAX(1915,MIN(2025,E295)))</f>
        <v/>
      </c>
      <c r="P295" s="13">
        <f>SUMIFS(Donnees_annuelles!$W$3:$W$188,Donnees_annuelles!$A$3:$A$188,"&gt;="&amp;G295,Donnees_annuelles!$A$3:$A$188,"&lt;="&amp;N295)*L295/ROUNDUP(L295,0)*O295</f>
        <v/>
      </c>
      <c r="Q295" s="13">
        <f>SUMIFS(Donnees_annuelles!$V$3:$V$188,Donnees_annuelles!$A$3:$A$188,"&gt;="&amp;G295,Donnees_annuelles!$A$3:$A$188,"&lt;="&amp;N295)*L295/ROUNDUP(L295,0)</f>
        <v/>
      </c>
      <c r="R295" s="13">
        <f>P295/L295</f>
        <v/>
      </c>
      <c r="S295" s="14">
        <f>SUMIFS(Donnees_annuelles!$D$3:$D$188,Donnees_annuelles!$A$3:$A$188,"&gt;="&amp;G295,Donnees_annuelles!$A$3:$A$188,"&lt;="&amp;N295)*L295/ROUNDUP(L295,0)</f>
        <v/>
      </c>
      <c r="T295" s="14">
        <f>SUMIFS(Donnees_regimes!$N$3:$N$1118,Donnees_regimes!$A$3:$A$1118,C295,Donnees_regimes!$B$3:$B$1118,"&gt;="&amp;G295,Donnees_regimes!$B$3:$B$1118,"&lt;="&amp;N295)*L295/ROUNDUP(L295,0)</f>
        <v/>
      </c>
      <c r="U295" s="14">
        <f>SUMIFS(Donnees_regimes!$O$3:$O$1118,Donnees_regimes!$A$3:$A$1118,C295,Donnees_regimes!$B$3:$B$1118,"&gt;="&amp;G295,Donnees_regimes!$B$3:$B$1118,"&lt;="&amp;N295)*L295/ROUNDUP(L295,0)</f>
        <v/>
      </c>
      <c r="V295" s="14">
        <f>T295+U295</f>
        <v/>
      </c>
      <c r="W295" s="33">
        <f>V295/S295</f>
        <v/>
      </c>
      <c r="X295" s="14">
        <f>S295+U295</f>
        <v/>
      </c>
      <c r="Y295" s="17">
        <f>V295/P295</f>
        <v/>
      </c>
      <c r="Z295" s="14">
        <f>SUMIFS(Donnees_regimes!$Q$3:$Q$1118,Donnees_regimes!$A$3:$A$1118,C295,Donnees_regimes!$B$3:$B$1118,"&gt;="&amp;G295,Donnees_regimes!$B$3:$B$1118,"&lt;="&amp;N295)*L295/ROUNDUP(L295,0)</f>
        <v/>
      </c>
      <c r="AA295" s="77">
        <f>SUMIFS(Regles_regimes!$F$3:$F$2000,Regles_regimes!$A$3:$A$2000,C295,Regles_regimes!$B$3:$B$2000,D295,Regles_regimes!$C$3:$C$2000,MAX(1915,MIN(2025,E295)))</f>
        <v/>
      </c>
      <c r="AB295" s="77">
        <f>IF(AND(SUMIFS(Regles_regimes!$L$3:$L$2000,Regles_regimes!$A$3:$A$2000,C295,Regles_regimes!$B$3:$B$2000,D295,Regles_regimes!$C$3:$C$2000,MAX(1915,MIN(2025,E295)))=1,G295&lt;2009,C295&lt;&gt;"Privé"),MIN(20,L295*4/5),0)</f>
        <v/>
      </c>
      <c r="AC295" s="89">
        <f>SUMIFS(Donnees_regimes!$M$3:$M$1118,Donnees_regimes!$A$3:$A$1118,C295,Donnees_regimes!$B$3:$B$1118,M295)</f>
        <v/>
      </c>
      <c r="AD295" s="14">
        <f>SUMIFS(Donnees_annuelles!$Y$3:$Y$188,Donnees_annuelles!$A$3:$A$188,M295)*SUMIFS(Donnees_generations!$I$3:$I$113,Donnees_generations!$A$3:$A$113,MAX(1915,MIN(2025,E295)))/H295</f>
        <v/>
      </c>
      <c r="AE295" s="14">
        <f>IF(C295="Privé",SUMIFS(Donnees_annuelles!$Y$3:$Y$188,Donnees_annuelles!$A$3:$A$188,M295)*MIN(L295,SUMIFS(Donnees_generations!$I$3:$I$113,Donnees_generations!$A$3:$A$113,MAX(1915,MIN(2025,E295))))/L295,AD295*AC295*MIN(IF(AB295&gt;0,0.8/0.75,1),(L295*4+AB295)/AA295))</f>
        <v/>
      </c>
      <c r="AF295" s="14">
        <f>AE295/12</f>
        <v/>
      </c>
      <c r="AG295" s="77">
        <f>MIN(68,MAX(56,2*INT(K295/2)))</f>
        <v/>
      </c>
      <c r="AH295" s="75">
        <f>(CHOOSE((AG295-56)/2+1,SUMIFS(Donnees_generations!$U$3:$U$113,Donnees_generations!$A$3:$A$113,MAX(1915,MIN(2025,E295))),SUMIFS(Donnees_generations!$V$3:$V$113,Donnees_generations!$A$3:$A$113,MAX(1915,MIN(2025,E295))),SUMIFS(Donnees_generations!$W$3:$W$113,Donnees_generations!$A$3:$A$113,MAX(1915,MIN(2025,E295))),SUMIFS(Donnees_generations!$X$3:$X$113,Donnees_generations!$A$3:$A$113,MAX(1915,MIN(2025,E295))),SUMIFS(Donnees_generations!$Y$3:$Y$113,Donnees_generations!$A$3:$A$113,MAX(1915,MIN(2025,E295))),SUMIFS(Donnees_generations!$Z$3:$Z$113,Donnees_generations!$A$3:$A$113,MAX(1915,MIN(2025,E295))),SUMIFS(Donnees_generations!$AA$3:$AA$113,Donnees_generations!$A$3:$A$113,MAX(1915,MIN(2025,E295))),SUMIFS(Donnees_generations!$AB$3:$AB$113,Donnees_generations!$A$3:$A$113,MAX(1915,MIN(2025,E295))))+CHOOSE((AG295-56)/2+1,SUMIFS(Donnees_generations!$AC$3:$AC$113,Donnees_generations!$A$3:$A$113,MAX(1915,MIN(2025,E295))),SUMIFS(Donnees_generations!$AD$3:$AD$113,Donnees_generations!$A$3:$A$113,MAX(1915,MIN(2025,E295))),SUMIFS(Donnees_generations!$AE$3:$AE$113,Donnees_generations!$A$3:$A$113,MAX(1915,MIN(2025,E295))),SUMIFS(Donnees_generations!$AF$3:$AF$113,Donnees_generations!$A$3:$A$113,MAX(1915,MIN(2025,E295))),SUMIFS(Donnees_generations!$AG$3:$AG$113,Donnees_generations!$A$3:$A$113,MAX(1915,MIN(2025,E295))),SUMIFS(Donnees_generations!$AH$3:$AH$113,Donnees_generations!$A$3:$A$113,MAX(1915,MIN(2025,E295))),SUMIFS(Donnees_generations!$AI$3:$AI$113,Donnees_generations!$A$3:$A$113,MAX(1915,MIN(2025,E295))),SUMIFS(Donnees_generations!$AJ$3:$AJ$113,Donnees_generations!$A$3:$A$113,MAX(1915,MIN(2025,E295)))))/2</f>
        <v/>
      </c>
      <c r="AI295" s="75">
        <f>(CHOOSE(((AG295+2)-56)/2+1,SUMIFS(Donnees_generations!$U$3:$U$113,Donnees_generations!$A$3:$A$113,MAX(1915,MIN(2025,E295))),SUMIFS(Donnees_generations!$V$3:$V$113,Donnees_generations!$A$3:$A$113,MAX(1915,MIN(2025,E295))),SUMIFS(Donnees_generations!$W$3:$W$113,Donnees_generations!$A$3:$A$113,MAX(1915,MIN(2025,E295))),SUMIFS(Donnees_generations!$X$3:$X$113,Donnees_generations!$A$3:$A$113,MAX(1915,MIN(2025,E295))),SUMIFS(Donnees_generations!$Y$3:$Y$113,Donnees_generations!$A$3:$A$113,MAX(1915,MIN(2025,E295))),SUMIFS(Donnees_generations!$Z$3:$Z$113,Donnees_generations!$A$3:$A$113,MAX(1915,MIN(2025,E295))),SUMIFS(Donnees_generations!$AA$3:$AA$113,Donnees_generations!$A$3:$A$113,MAX(1915,MIN(2025,E295))),SUMIFS(Donnees_generations!$AB$3:$AB$113,Donnees_generations!$A$3:$A$113,MAX(1915,MIN(2025,E295))))+CHOOSE(((AG295+2)-56)/2+1,SUMIFS(Donnees_generations!$AC$3:$AC$113,Donnees_generations!$A$3:$A$113,MAX(1915,MIN(2025,E295))),SUMIFS(Donnees_generations!$AD$3:$AD$113,Donnees_generations!$A$3:$A$113,MAX(1915,MIN(2025,E295))),SUMIFS(Donnees_generations!$AE$3:$AE$113,Donnees_generations!$A$3:$A$113,MAX(1915,MIN(2025,E295))),SUMIFS(Donnees_generations!$AF$3:$AF$113,Donnees_generations!$A$3:$A$113,MAX(1915,MIN(2025,E295))),SUMIFS(Donnees_generations!$AG$3:$AG$113,Donnees_generations!$A$3:$A$113,MAX(1915,MIN(2025,E295))),SUMIFS(Donnees_generations!$AH$3:$AH$113,Donnees_generations!$A$3:$A$113,MAX(1915,MIN(2025,E295))),SUMIFS(Donnees_generations!$AI$3:$AI$113,Donnees_generations!$A$3:$A$113,MAX(1915,MIN(2025,E295))),SUMIFS(Donnees_generations!$AJ$3:$AJ$113,Donnees_generations!$A$3:$A$113,MAX(1915,MIN(2025,E295)))))/2</f>
        <v/>
      </c>
      <c r="AJ295" s="8">
        <f>MAX(0,AH295+(AI295-AH295)*(K295-AG295)/2)</f>
        <v/>
      </c>
      <c r="AK295" s="8">
        <f>K295+AJ295</f>
        <v/>
      </c>
      <c r="AL295" s="14">
        <f>AE295*AJ295</f>
        <v/>
      </c>
      <c r="AM295" s="17">
        <f>V295/AL295</f>
        <v/>
      </c>
      <c r="AN295" s="17">
        <f>Z295/AL295</f>
        <v/>
      </c>
      <c r="AO295" s="33">
        <f>IF(V295+Z295=0,0,Z295/(V295+Z295))</f>
        <v/>
      </c>
      <c r="AP295" s="14">
        <f>AL295/V295*100</f>
        <v/>
      </c>
      <c r="AQ295" s="8">
        <f>P295/AL295*1000</f>
        <v/>
      </c>
      <c r="AR295" s="77">
        <f>MAX(N295,M295-1)</f>
        <v/>
      </c>
      <c r="AS295" s="14">
        <f>SUMIFS(Donnees_regimes!$R$3:$R$1118,Donnees_regimes!$A$3:$A$1118,C295,Donnees_regimes!$B$3:$B$1118,"&gt;="&amp;G295,Donnees_regimes!$B$3:$B$1118,"&lt;="&amp;N295)*L295/ROUNDUP(L295,0)*SUMIFS(Donnees_annuelles!$AG$3:$AG$188,Donnees_annuelles!$A$3:$A$188,AR295)*SUMIFS(Donnees_annuelles!$AA$3:$AA$188,Donnees_annuelles!$A$3:$A$188,AR295)</f>
        <v/>
      </c>
      <c r="AT295" s="36">
        <f>AS295/V295</f>
        <v/>
      </c>
      <c r="AU295" s="14">
        <f>AL295</f>
        <v/>
      </c>
      <c r="AV295" s="39">
        <f>AS295-AL295</f>
        <v/>
      </c>
      <c r="AW295" s="9">
        <f>AS295/AL295-1</f>
        <v/>
      </c>
      <c r="AX295" s="14">
        <f>AS295/AJ295/12</f>
        <v/>
      </c>
      <c r="AY295" s="14">
        <f>AF295</f>
        <v/>
      </c>
      <c r="AZ295" s="39">
        <f>AX295-AF295</f>
        <v/>
      </c>
      <c r="BA295" s="14">
        <f>SUMIFS(Donnees_regimes!$S$3:$S$1118,Donnees_regimes!$A$3:$A$1118,C295,Donnees_regimes!$B$3:$B$1118,"&gt;="&amp;G295,Donnees_regimes!$B$3:$B$1118,"&lt;="&amp;N295)*L295/ROUNDUP(L295,0)*SUMIFS(Donnees_annuelles!$AH$3:$AH$188,Donnees_annuelles!$A$3:$A$188,AR295)*SUMIFS(Donnees_annuelles!$AA$3:$AA$188,Donnees_annuelles!$A$3:$A$188,AR295)</f>
        <v/>
      </c>
      <c r="BB295" s="39">
        <f>BA295-AL295</f>
        <v/>
      </c>
      <c r="BC295" s="7">
        <f>IF(M295+AJ295&gt;2026,IF(G295&gt;2026,"entièrement projeté","en partie projeté"),"observé")</f>
        <v/>
      </c>
    </row>
    <row r="296">
      <c r="A296" s="7" t="inlineStr">
        <is>
          <t>Génération Alpha</t>
        </is>
      </c>
      <c r="B296" s="84" t="inlineStr">
        <is>
          <t>Fonction publique territoriale et hospitalière</t>
        </is>
      </c>
      <c r="C296" s="7">
        <f>IF(G296&gt;=SUMIFS(Regimes!$C$5:$C$10,Regimes!$A$5:$A$10,B296),"Privé",B296)</f>
        <v/>
      </c>
      <c r="D296" s="7">
        <f>INDEX(Regimes!$D$5:$D$10,MATCH(C296,Regimes!$A$5:$A$10,0))</f>
        <v/>
      </c>
      <c r="E296" s="88" t="n">
        <v>2025</v>
      </c>
      <c r="F296" s="8">
        <f>Donnees_generations!C113</f>
        <v/>
      </c>
      <c r="G296" s="77">
        <f>Donnees_generations!D113</f>
        <v/>
      </c>
      <c r="H296" s="8">
        <f>SUMIFS(Donnees_generations!$S$3:$S$113,Donnees_generations!$A$3:$A$113,MAX(1915,MIN(2025,E296)))</f>
        <v/>
      </c>
      <c r="I296" s="8">
        <f>SUMIFS(Donnees_generations!$T$3:$T$113,Donnees_generations!$A$3:$A$113,MAX(1915,MIN(2025,E296)))</f>
        <v/>
      </c>
      <c r="J296" s="8">
        <f>IF(G296&gt;=2000,MAX(I296,Parametres!$B$3),I296)</f>
        <v/>
      </c>
      <c r="K296" s="8">
        <f>IF(C296="Privé",J296,SUMIFS(Regles_regimes!$J$3:$J$2000,Regles_regimes!$A$3:$A$2000,C296,Regles_regimes!$B$3:$B$2000,D296,Regles_regimes!$C$3:$C$2000,MAX(1915,MIN(2025,E296))))</f>
        <v/>
      </c>
      <c r="L296" s="8">
        <f>IF(C296="Privé",H296,(K296-F296)*H296/(J296-F296))</f>
        <v/>
      </c>
      <c r="M296" s="77">
        <f>INT(E296+K296)</f>
        <v/>
      </c>
      <c r="N296" s="77">
        <f>G296+ROUNDUP(L296,0)-1</f>
        <v/>
      </c>
      <c r="O296" s="89">
        <f>SUMIFS(Regles_regimes!$K$3:$K$2000,Regles_regimes!$A$3:$A$2000,C296,Regles_regimes!$B$3:$B$2000,D296,Regles_regimes!$C$3:$C$2000,MAX(1915,MIN(2025,E296)))</f>
        <v/>
      </c>
      <c r="P296" s="13">
        <f>SUMIFS(Donnees_annuelles!$W$3:$W$188,Donnees_annuelles!$A$3:$A$188,"&gt;="&amp;G296,Donnees_annuelles!$A$3:$A$188,"&lt;="&amp;N296)*L296/ROUNDUP(L296,0)*O296</f>
        <v/>
      </c>
      <c r="Q296" s="13">
        <f>SUMIFS(Donnees_annuelles!$V$3:$V$188,Donnees_annuelles!$A$3:$A$188,"&gt;="&amp;G296,Donnees_annuelles!$A$3:$A$188,"&lt;="&amp;N296)*L296/ROUNDUP(L296,0)</f>
        <v/>
      </c>
      <c r="R296" s="13">
        <f>P296/L296</f>
        <v/>
      </c>
      <c r="S296" s="14">
        <f>SUMIFS(Donnees_annuelles!$D$3:$D$188,Donnees_annuelles!$A$3:$A$188,"&gt;="&amp;G296,Donnees_annuelles!$A$3:$A$188,"&lt;="&amp;N296)*L296/ROUNDUP(L296,0)</f>
        <v/>
      </c>
      <c r="T296" s="14">
        <f>SUMIFS(Donnees_regimes!$N$3:$N$1118,Donnees_regimes!$A$3:$A$1118,C296,Donnees_regimes!$B$3:$B$1118,"&gt;="&amp;G296,Donnees_regimes!$B$3:$B$1118,"&lt;="&amp;N296)*L296/ROUNDUP(L296,0)</f>
        <v/>
      </c>
      <c r="U296" s="14">
        <f>SUMIFS(Donnees_regimes!$O$3:$O$1118,Donnees_regimes!$A$3:$A$1118,C296,Donnees_regimes!$B$3:$B$1118,"&gt;="&amp;G296,Donnees_regimes!$B$3:$B$1118,"&lt;="&amp;N296)*L296/ROUNDUP(L296,0)</f>
        <v/>
      </c>
      <c r="V296" s="14">
        <f>T296+U296</f>
        <v/>
      </c>
      <c r="W296" s="33">
        <f>V296/S296</f>
        <v/>
      </c>
      <c r="X296" s="14">
        <f>S296+U296</f>
        <v/>
      </c>
      <c r="Y296" s="17">
        <f>V296/P296</f>
        <v/>
      </c>
      <c r="Z296" s="14">
        <f>SUMIFS(Donnees_regimes!$Q$3:$Q$1118,Donnees_regimes!$A$3:$A$1118,C296,Donnees_regimes!$B$3:$B$1118,"&gt;="&amp;G296,Donnees_regimes!$B$3:$B$1118,"&lt;="&amp;N296)*L296/ROUNDUP(L296,0)</f>
        <v/>
      </c>
      <c r="AA296" s="77">
        <f>SUMIFS(Regles_regimes!$F$3:$F$2000,Regles_regimes!$A$3:$A$2000,C296,Regles_regimes!$B$3:$B$2000,D296,Regles_regimes!$C$3:$C$2000,MAX(1915,MIN(2025,E296)))</f>
        <v/>
      </c>
      <c r="AB296" s="77">
        <f>IF(AND(SUMIFS(Regles_regimes!$L$3:$L$2000,Regles_regimes!$A$3:$A$2000,C296,Regles_regimes!$B$3:$B$2000,D296,Regles_regimes!$C$3:$C$2000,MAX(1915,MIN(2025,E296)))=1,G296&lt;2009,C296&lt;&gt;"Privé"),MIN(20,L296*4/5),0)</f>
        <v/>
      </c>
      <c r="AC296" s="89">
        <f>SUMIFS(Donnees_regimes!$M$3:$M$1118,Donnees_regimes!$A$3:$A$1118,C296,Donnees_regimes!$B$3:$B$1118,M296)</f>
        <v/>
      </c>
      <c r="AD296" s="14">
        <f>SUMIFS(Donnees_annuelles!$Y$3:$Y$188,Donnees_annuelles!$A$3:$A$188,M296)*SUMIFS(Donnees_generations!$I$3:$I$113,Donnees_generations!$A$3:$A$113,MAX(1915,MIN(2025,E296)))/H296</f>
        <v/>
      </c>
      <c r="AE296" s="14">
        <f>IF(C296="Privé",SUMIFS(Donnees_annuelles!$Y$3:$Y$188,Donnees_annuelles!$A$3:$A$188,M296)*MIN(L296,SUMIFS(Donnees_generations!$I$3:$I$113,Donnees_generations!$A$3:$A$113,MAX(1915,MIN(2025,E296))))/L296,AD296*AC296*MIN(IF(AB296&gt;0,0.8/0.75,1),(L296*4+AB296)/AA296))</f>
        <v/>
      </c>
      <c r="AF296" s="14">
        <f>AE296/12</f>
        <v/>
      </c>
      <c r="AG296" s="77">
        <f>MIN(68,MAX(56,2*INT(K296/2)))</f>
        <v/>
      </c>
      <c r="AH296" s="75">
        <f>(CHOOSE((AG296-56)/2+1,SUMIFS(Donnees_generations!$U$3:$U$113,Donnees_generations!$A$3:$A$113,MAX(1915,MIN(2025,E296))),SUMIFS(Donnees_generations!$V$3:$V$113,Donnees_generations!$A$3:$A$113,MAX(1915,MIN(2025,E296))),SUMIFS(Donnees_generations!$W$3:$W$113,Donnees_generations!$A$3:$A$113,MAX(1915,MIN(2025,E296))),SUMIFS(Donnees_generations!$X$3:$X$113,Donnees_generations!$A$3:$A$113,MAX(1915,MIN(2025,E296))),SUMIFS(Donnees_generations!$Y$3:$Y$113,Donnees_generations!$A$3:$A$113,MAX(1915,MIN(2025,E296))),SUMIFS(Donnees_generations!$Z$3:$Z$113,Donnees_generations!$A$3:$A$113,MAX(1915,MIN(2025,E296))),SUMIFS(Donnees_generations!$AA$3:$AA$113,Donnees_generations!$A$3:$A$113,MAX(1915,MIN(2025,E296))),SUMIFS(Donnees_generations!$AB$3:$AB$113,Donnees_generations!$A$3:$A$113,MAX(1915,MIN(2025,E296))))+CHOOSE((AG296-56)/2+1,SUMIFS(Donnees_generations!$AC$3:$AC$113,Donnees_generations!$A$3:$A$113,MAX(1915,MIN(2025,E296))),SUMIFS(Donnees_generations!$AD$3:$AD$113,Donnees_generations!$A$3:$A$113,MAX(1915,MIN(2025,E296))),SUMIFS(Donnees_generations!$AE$3:$AE$113,Donnees_generations!$A$3:$A$113,MAX(1915,MIN(2025,E296))),SUMIFS(Donnees_generations!$AF$3:$AF$113,Donnees_generations!$A$3:$A$113,MAX(1915,MIN(2025,E296))),SUMIFS(Donnees_generations!$AG$3:$AG$113,Donnees_generations!$A$3:$A$113,MAX(1915,MIN(2025,E296))),SUMIFS(Donnees_generations!$AH$3:$AH$113,Donnees_generations!$A$3:$A$113,MAX(1915,MIN(2025,E296))),SUMIFS(Donnees_generations!$AI$3:$AI$113,Donnees_generations!$A$3:$A$113,MAX(1915,MIN(2025,E296))),SUMIFS(Donnees_generations!$AJ$3:$AJ$113,Donnees_generations!$A$3:$A$113,MAX(1915,MIN(2025,E296)))))/2</f>
        <v/>
      </c>
      <c r="AI296" s="75">
        <f>(CHOOSE(((AG296+2)-56)/2+1,SUMIFS(Donnees_generations!$U$3:$U$113,Donnees_generations!$A$3:$A$113,MAX(1915,MIN(2025,E296))),SUMIFS(Donnees_generations!$V$3:$V$113,Donnees_generations!$A$3:$A$113,MAX(1915,MIN(2025,E296))),SUMIFS(Donnees_generations!$W$3:$W$113,Donnees_generations!$A$3:$A$113,MAX(1915,MIN(2025,E296))),SUMIFS(Donnees_generations!$X$3:$X$113,Donnees_generations!$A$3:$A$113,MAX(1915,MIN(2025,E296))),SUMIFS(Donnees_generations!$Y$3:$Y$113,Donnees_generations!$A$3:$A$113,MAX(1915,MIN(2025,E296))),SUMIFS(Donnees_generations!$Z$3:$Z$113,Donnees_generations!$A$3:$A$113,MAX(1915,MIN(2025,E296))),SUMIFS(Donnees_generations!$AA$3:$AA$113,Donnees_generations!$A$3:$A$113,MAX(1915,MIN(2025,E296))),SUMIFS(Donnees_generations!$AB$3:$AB$113,Donnees_generations!$A$3:$A$113,MAX(1915,MIN(2025,E296))))+CHOOSE(((AG296+2)-56)/2+1,SUMIFS(Donnees_generations!$AC$3:$AC$113,Donnees_generations!$A$3:$A$113,MAX(1915,MIN(2025,E296))),SUMIFS(Donnees_generations!$AD$3:$AD$113,Donnees_generations!$A$3:$A$113,MAX(1915,MIN(2025,E296))),SUMIFS(Donnees_generations!$AE$3:$AE$113,Donnees_generations!$A$3:$A$113,MAX(1915,MIN(2025,E296))),SUMIFS(Donnees_generations!$AF$3:$AF$113,Donnees_generations!$A$3:$A$113,MAX(1915,MIN(2025,E296))),SUMIFS(Donnees_generations!$AG$3:$AG$113,Donnees_generations!$A$3:$A$113,MAX(1915,MIN(2025,E296))),SUMIFS(Donnees_generations!$AH$3:$AH$113,Donnees_generations!$A$3:$A$113,MAX(1915,MIN(2025,E296))),SUMIFS(Donnees_generations!$AI$3:$AI$113,Donnees_generations!$A$3:$A$113,MAX(1915,MIN(2025,E296))),SUMIFS(Donnees_generations!$AJ$3:$AJ$113,Donnees_generations!$A$3:$A$113,MAX(1915,MIN(2025,E296)))))/2</f>
        <v/>
      </c>
      <c r="AJ296" s="8">
        <f>MAX(0,AH296+(AI296-AH296)*(K296-AG296)/2)</f>
        <v/>
      </c>
      <c r="AK296" s="8">
        <f>K296+AJ296</f>
        <v/>
      </c>
      <c r="AL296" s="14">
        <f>AE296*AJ296</f>
        <v/>
      </c>
      <c r="AM296" s="17">
        <f>V296/AL296</f>
        <v/>
      </c>
      <c r="AN296" s="17">
        <f>Z296/AL296</f>
        <v/>
      </c>
      <c r="AO296" s="33">
        <f>IF(V296+Z296=0,0,Z296/(V296+Z296))</f>
        <v/>
      </c>
      <c r="AP296" s="14">
        <f>AL296/V296*100</f>
        <v/>
      </c>
      <c r="AQ296" s="8">
        <f>P296/AL296*1000</f>
        <v/>
      </c>
      <c r="AR296" s="77">
        <f>MAX(N296,M296-1)</f>
        <v/>
      </c>
      <c r="AS296" s="14">
        <f>SUMIFS(Donnees_regimes!$R$3:$R$1118,Donnees_regimes!$A$3:$A$1118,C296,Donnees_regimes!$B$3:$B$1118,"&gt;="&amp;G296,Donnees_regimes!$B$3:$B$1118,"&lt;="&amp;N296)*L296/ROUNDUP(L296,0)*SUMIFS(Donnees_annuelles!$AG$3:$AG$188,Donnees_annuelles!$A$3:$A$188,AR296)*SUMIFS(Donnees_annuelles!$AA$3:$AA$188,Donnees_annuelles!$A$3:$A$188,AR296)</f>
        <v/>
      </c>
      <c r="AT296" s="36">
        <f>AS296/V296</f>
        <v/>
      </c>
      <c r="AU296" s="14">
        <f>AL296</f>
        <v/>
      </c>
      <c r="AV296" s="39">
        <f>AS296-AL296</f>
        <v/>
      </c>
      <c r="AW296" s="9">
        <f>AS296/AL296-1</f>
        <v/>
      </c>
      <c r="AX296" s="14">
        <f>AS296/AJ296/12</f>
        <v/>
      </c>
      <c r="AY296" s="14">
        <f>AF296</f>
        <v/>
      </c>
      <c r="AZ296" s="39">
        <f>AX296-AF296</f>
        <v/>
      </c>
      <c r="BA296" s="14">
        <f>SUMIFS(Donnees_regimes!$S$3:$S$1118,Donnees_regimes!$A$3:$A$1118,C296,Donnees_regimes!$B$3:$B$1118,"&gt;="&amp;G296,Donnees_regimes!$B$3:$B$1118,"&lt;="&amp;N296)*L296/ROUNDUP(L296,0)*SUMIFS(Donnees_annuelles!$AH$3:$AH$188,Donnees_annuelles!$A$3:$A$188,AR296)*SUMIFS(Donnees_annuelles!$AA$3:$AA$188,Donnees_annuelles!$A$3:$A$188,AR296)</f>
        <v/>
      </c>
      <c r="BB296" s="39">
        <f>BA296-AL296</f>
        <v/>
      </c>
      <c r="BC296" s="7">
        <f>IF(M296+AJ296&gt;2026,IF(G296&gt;2026,"entièrement projeté","en partie projeté"),"observé")</f>
        <v/>
      </c>
    </row>
    <row r="297">
      <c r="A297" s="7" t="inlineStr">
        <is>
          <t>Génération silencieuse</t>
        </is>
      </c>
      <c r="B297" s="84" t="inlineStr">
        <is>
          <t>SNCF</t>
        </is>
      </c>
      <c r="C297" s="7">
        <f>IF(G297&gt;=SUMIFS(Regimes!$C$5:$C$10,Regimes!$A$5:$A$10,B297),"Privé",B297)</f>
        <v/>
      </c>
      <c r="D297" s="7">
        <f>INDEX(Regimes!$D$5:$D$10,MATCH(C297,Regimes!$A$5:$A$10,0))</f>
        <v/>
      </c>
      <c r="E297" s="88" t="n">
        <v>1928</v>
      </c>
      <c r="F297" s="8">
        <f>Donnees_generations!C16</f>
        <v/>
      </c>
      <c r="G297" s="77">
        <f>Donnees_generations!D16</f>
        <v/>
      </c>
      <c r="H297" s="8">
        <f>SUMIFS(Donnees_generations!$S$3:$S$113,Donnees_generations!$A$3:$A$113,MAX(1915,MIN(2025,E297)))</f>
        <v/>
      </c>
      <c r="I297" s="8">
        <f>SUMIFS(Donnees_generations!$T$3:$T$113,Donnees_generations!$A$3:$A$113,MAX(1915,MIN(2025,E297)))</f>
        <v/>
      </c>
      <c r="J297" s="8">
        <f>IF(G297&gt;=2000,MAX(I297,Parametres!$B$3),I297)</f>
        <v/>
      </c>
      <c r="K297" s="8">
        <f>IF(C297="Privé",J297,SUMIFS(Regles_regimes!$J$3:$J$2000,Regles_regimes!$A$3:$A$2000,C297,Regles_regimes!$B$3:$B$2000,D297,Regles_regimes!$C$3:$C$2000,MAX(1915,MIN(2025,E297))))</f>
        <v/>
      </c>
      <c r="L297" s="8">
        <f>IF(C297="Privé",H297,(K297-F297)*H297/(J297-F297))</f>
        <v/>
      </c>
      <c r="M297" s="77">
        <f>INT(E297+K297)</f>
        <v/>
      </c>
      <c r="N297" s="77">
        <f>G297+ROUNDUP(L297,0)-1</f>
        <v/>
      </c>
      <c r="O297" s="89">
        <f>SUMIFS(Regles_regimes!$K$3:$K$2000,Regles_regimes!$A$3:$A$2000,C297,Regles_regimes!$B$3:$B$2000,D297,Regles_regimes!$C$3:$C$2000,MAX(1915,MIN(2025,E297)))</f>
        <v/>
      </c>
      <c r="P297" s="13">
        <f>SUMIFS(Donnees_annuelles!$W$3:$W$188,Donnees_annuelles!$A$3:$A$188,"&gt;="&amp;G297,Donnees_annuelles!$A$3:$A$188,"&lt;="&amp;N297)*L297/ROUNDUP(L297,0)*O297</f>
        <v/>
      </c>
      <c r="Q297" s="13">
        <f>SUMIFS(Donnees_annuelles!$V$3:$V$188,Donnees_annuelles!$A$3:$A$188,"&gt;="&amp;G297,Donnees_annuelles!$A$3:$A$188,"&lt;="&amp;N297)*L297/ROUNDUP(L297,0)</f>
        <v/>
      </c>
      <c r="R297" s="13">
        <f>P297/L297</f>
        <v/>
      </c>
      <c r="S297" s="14">
        <f>SUMIFS(Donnees_annuelles!$D$3:$D$188,Donnees_annuelles!$A$3:$A$188,"&gt;="&amp;G297,Donnees_annuelles!$A$3:$A$188,"&lt;="&amp;N297)*L297/ROUNDUP(L297,0)</f>
        <v/>
      </c>
      <c r="T297" s="14">
        <f>SUMIFS(Donnees_regimes!$N$3:$N$1118,Donnees_regimes!$A$3:$A$1118,C297,Donnees_regimes!$B$3:$B$1118,"&gt;="&amp;G297,Donnees_regimes!$B$3:$B$1118,"&lt;="&amp;N297)*L297/ROUNDUP(L297,0)</f>
        <v/>
      </c>
      <c r="U297" s="14">
        <f>SUMIFS(Donnees_regimes!$O$3:$O$1118,Donnees_regimes!$A$3:$A$1118,C297,Donnees_regimes!$B$3:$B$1118,"&gt;="&amp;G297,Donnees_regimes!$B$3:$B$1118,"&lt;="&amp;N297)*L297/ROUNDUP(L297,0)</f>
        <v/>
      </c>
      <c r="V297" s="14">
        <f>T297+U297</f>
        <v/>
      </c>
      <c r="W297" s="33">
        <f>V297/S297</f>
        <v/>
      </c>
      <c r="X297" s="14">
        <f>S297+U297</f>
        <v/>
      </c>
      <c r="Y297" s="17">
        <f>V297/P297</f>
        <v/>
      </c>
      <c r="Z297" s="14">
        <f>SUMIFS(Donnees_regimes!$Q$3:$Q$1118,Donnees_regimes!$A$3:$A$1118,C297,Donnees_regimes!$B$3:$B$1118,"&gt;="&amp;G297,Donnees_regimes!$B$3:$B$1118,"&lt;="&amp;N297)*L297/ROUNDUP(L297,0)</f>
        <v/>
      </c>
      <c r="AA297" s="77">
        <f>SUMIFS(Regles_regimes!$F$3:$F$2000,Regles_regimes!$A$3:$A$2000,C297,Regles_regimes!$B$3:$B$2000,D297,Regles_regimes!$C$3:$C$2000,MAX(1915,MIN(2025,E297)))</f>
        <v/>
      </c>
      <c r="AB297" s="77">
        <f>IF(AND(SUMIFS(Regles_regimes!$L$3:$L$2000,Regles_regimes!$A$3:$A$2000,C297,Regles_regimes!$B$3:$B$2000,D297,Regles_regimes!$C$3:$C$2000,MAX(1915,MIN(2025,E297)))=1,G297&lt;2009,C297&lt;&gt;"Privé"),MIN(20,L297*4/5),0)</f>
        <v/>
      </c>
      <c r="AC297" s="89">
        <f>SUMIFS(Donnees_regimes!$M$3:$M$1118,Donnees_regimes!$A$3:$A$1118,C297,Donnees_regimes!$B$3:$B$1118,M297)</f>
        <v/>
      </c>
      <c r="AD297" s="14">
        <f>SUMIFS(Donnees_annuelles!$Y$3:$Y$188,Donnees_annuelles!$A$3:$A$188,M297)*SUMIFS(Donnees_generations!$I$3:$I$113,Donnees_generations!$A$3:$A$113,MAX(1915,MIN(2025,E297)))/H297</f>
        <v/>
      </c>
      <c r="AE297" s="14">
        <f>IF(C297="Privé",SUMIFS(Donnees_annuelles!$Y$3:$Y$188,Donnees_annuelles!$A$3:$A$188,M297)*MIN(L297,SUMIFS(Donnees_generations!$I$3:$I$113,Donnees_generations!$A$3:$A$113,MAX(1915,MIN(2025,E297))))/L297,AD297*AC297*MIN(IF(AB297&gt;0,0.8/0.75,1),(L297*4+AB297)/AA297))</f>
        <v/>
      </c>
      <c r="AF297" s="14">
        <f>AE297/12</f>
        <v/>
      </c>
      <c r="AG297" s="77">
        <f>MIN(68,MAX(56,2*INT(K297/2)))</f>
        <v/>
      </c>
      <c r="AH297" s="75">
        <f>(CHOOSE((AG297-56)/2+1,SUMIFS(Donnees_generations!$U$3:$U$113,Donnees_generations!$A$3:$A$113,MAX(1915,MIN(2025,E297))),SUMIFS(Donnees_generations!$V$3:$V$113,Donnees_generations!$A$3:$A$113,MAX(1915,MIN(2025,E297))),SUMIFS(Donnees_generations!$W$3:$W$113,Donnees_generations!$A$3:$A$113,MAX(1915,MIN(2025,E297))),SUMIFS(Donnees_generations!$X$3:$X$113,Donnees_generations!$A$3:$A$113,MAX(1915,MIN(2025,E297))),SUMIFS(Donnees_generations!$Y$3:$Y$113,Donnees_generations!$A$3:$A$113,MAX(1915,MIN(2025,E297))),SUMIFS(Donnees_generations!$Z$3:$Z$113,Donnees_generations!$A$3:$A$113,MAX(1915,MIN(2025,E297))),SUMIFS(Donnees_generations!$AA$3:$AA$113,Donnees_generations!$A$3:$A$113,MAX(1915,MIN(2025,E297))),SUMIFS(Donnees_generations!$AB$3:$AB$113,Donnees_generations!$A$3:$A$113,MAX(1915,MIN(2025,E297))))+CHOOSE((AG297-56)/2+1,SUMIFS(Donnees_generations!$AC$3:$AC$113,Donnees_generations!$A$3:$A$113,MAX(1915,MIN(2025,E297))),SUMIFS(Donnees_generations!$AD$3:$AD$113,Donnees_generations!$A$3:$A$113,MAX(1915,MIN(2025,E297))),SUMIFS(Donnees_generations!$AE$3:$AE$113,Donnees_generations!$A$3:$A$113,MAX(1915,MIN(2025,E297))),SUMIFS(Donnees_generations!$AF$3:$AF$113,Donnees_generations!$A$3:$A$113,MAX(1915,MIN(2025,E297))),SUMIFS(Donnees_generations!$AG$3:$AG$113,Donnees_generations!$A$3:$A$113,MAX(1915,MIN(2025,E297))),SUMIFS(Donnees_generations!$AH$3:$AH$113,Donnees_generations!$A$3:$A$113,MAX(1915,MIN(2025,E297))),SUMIFS(Donnees_generations!$AI$3:$AI$113,Donnees_generations!$A$3:$A$113,MAX(1915,MIN(2025,E297))),SUMIFS(Donnees_generations!$AJ$3:$AJ$113,Donnees_generations!$A$3:$A$113,MAX(1915,MIN(2025,E297)))))/2</f>
        <v/>
      </c>
      <c r="AI297" s="75">
        <f>(CHOOSE(((AG297+2)-56)/2+1,SUMIFS(Donnees_generations!$U$3:$U$113,Donnees_generations!$A$3:$A$113,MAX(1915,MIN(2025,E297))),SUMIFS(Donnees_generations!$V$3:$V$113,Donnees_generations!$A$3:$A$113,MAX(1915,MIN(2025,E297))),SUMIFS(Donnees_generations!$W$3:$W$113,Donnees_generations!$A$3:$A$113,MAX(1915,MIN(2025,E297))),SUMIFS(Donnees_generations!$X$3:$X$113,Donnees_generations!$A$3:$A$113,MAX(1915,MIN(2025,E297))),SUMIFS(Donnees_generations!$Y$3:$Y$113,Donnees_generations!$A$3:$A$113,MAX(1915,MIN(2025,E297))),SUMIFS(Donnees_generations!$Z$3:$Z$113,Donnees_generations!$A$3:$A$113,MAX(1915,MIN(2025,E297))),SUMIFS(Donnees_generations!$AA$3:$AA$113,Donnees_generations!$A$3:$A$113,MAX(1915,MIN(2025,E297))),SUMIFS(Donnees_generations!$AB$3:$AB$113,Donnees_generations!$A$3:$A$113,MAX(1915,MIN(2025,E297))))+CHOOSE(((AG297+2)-56)/2+1,SUMIFS(Donnees_generations!$AC$3:$AC$113,Donnees_generations!$A$3:$A$113,MAX(1915,MIN(2025,E297))),SUMIFS(Donnees_generations!$AD$3:$AD$113,Donnees_generations!$A$3:$A$113,MAX(1915,MIN(2025,E297))),SUMIFS(Donnees_generations!$AE$3:$AE$113,Donnees_generations!$A$3:$A$113,MAX(1915,MIN(2025,E297))),SUMIFS(Donnees_generations!$AF$3:$AF$113,Donnees_generations!$A$3:$A$113,MAX(1915,MIN(2025,E297))),SUMIFS(Donnees_generations!$AG$3:$AG$113,Donnees_generations!$A$3:$A$113,MAX(1915,MIN(2025,E297))),SUMIFS(Donnees_generations!$AH$3:$AH$113,Donnees_generations!$A$3:$A$113,MAX(1915,MIN(2025,E297))),SUMIFS(Donnees_generations!$AI$3:$AI$113,Donnees_generations!$A$3:$A$113,MAX(1915,MIN(2025,E297))),SUMIFS(Donnees_generations!$AJ$3:$AJ$113,Donnees_generations!$A$3:$A$113,MAX(1915,MIN(2025,E297)))))/2</f>
        <v/>
      </c>
      <c r="AJ297" s="8">
        <f>MAX(0,AH297+(AI297-AH297)*(K297-AG297)/2)</f>
        <v/>
      </c>
      <c r="AK297" s="8">
        <f>K297+AJ297</f>
        <v/>
      </c>
      <c r="AL297" s="14">
        <f>AE297*AJ297</f>
        <v/>
      </c>
      <c r="AM297" s="17">
        <f>V297/AL297</f>
        <v/>
      </c>
      <c r="AN297" s="17">
        <f>Z297/AL297</f>
        <v/>
      </c>
      <c r="AO297" s="33">
        <f>IF(V297+Z297=0,0,Z297/(V297+Z297))</f>
        <v/>
      </c>
      <c r="AP297" s="14">
        <f>AL297/V297*100</f>
        <v/>
      </c>
      <c r="AQ297" s="8">
        <f>P297/AL297*1000</f>
        <v/>
      </c>
      <c r="AR297" s="77">
        <f>MAX(N297,M297-1)</f>
        <v/>
      </c>
      <c r="AS297" s="14">
        <f>SUMIFS(Donnees_regimes!$R$3:$R$1118,Donnees_regimes!$A$3:$A$1118,C297,Donnees_regimes!$B$3:$B$1118,"&gt;="&amp;G297,Donnees_regimes!$B$3:$B$1118,"&lt;="&amp;N297)*L297/ROUNDUP(L297,0)*SUMIFS(Donnees_annuelles!$AG$3:$AG$188,Donnees_annuelles!$A$3:$A$188,AR297)*SUMIFS(Donnees_annuelles!$AA$3:$AA$188,Donnees_annuelles!$A$3:$A$188,AR297)</f>
        <v/>
      </c>
      <c r="AT297" s="36">
        <f>AS297/V297</f>
        <v/>
      </c>
      <c r="AU297" s="14">
        <f>AL297</f>
        <v/>
      </c>
      <c r="AV297" s="39">
        <f>AS297-AL297</f>
        <v/>
      </c>
      <c r="AW297" s="9">
        <f>AS297/AL297-1</f>
        <v/>
      </c>
      <c r="AX297" s="14">
        <f>AS297/AJ297/12</f>
        <v/>
      </c>
      <c r="AY297" s="14">
        <f>AF297</f>
        <v/>
      </c>
      <c r="AZ297" s="39">
        <f>AX297-AF297</f>
        <v/>
      </c>
      <c r="BA297" s="14">
        <f>SUMIFS(Donnees_regimes!$S$3:$S$1118,Donnees_regimes!$A$3:$A$1118,C297,Donnees_regimes!$B$3:$B$1118,"&gt;="&amp;G297,Donnees_regimes!$B$3:$B$1118,"&lt;="&amp;N297)*L297/ROUNDUP(L297,0)*SUMIFS(Donnees_annuelles!$AH$3:$AH$188,Donnees_annuelles!$A$3:$A$188,AR297)*SUMIFS(Donnees_annuelles!$AA$3:$AA$188,Donnees_annuelles!$A$3:$A$188,AR297)</f>
        <v/>
      </c>
      <c r="BB297" s="39">
        <f>BA297-AL297</f>
        <v/>
      </c>
      <c r="BC297" s="7">
        <f>IF(M297+AJ297&gt;2026,IF(G297&gt;2026,"entièrement projeté","en partie projeté"),"observé")</f>
        <v/>
      </c>
    </row>
    <row r="298">
      <c r="A298" s="7" t="inlineStr">
        <is>
          <t>Génération silencieuse</t>
        </is>
      </c>
      <c r="B298" s="84" t="inlineStr">
        <is>
          <t>SNCF</t>
        </is>
      </c>
      <c r="C298" s="7">
        <f>IF(G298&gt;=SUMIFS(Regimes!$C$5:$C$10,Regimes!$A$5:$A$10,B298),"Privé",B298)</f>
        <v/>
      </c>
      <c r="D298" s="7">
        <f>INDEX(Regimes!$D$5:$D$10,MATCH(C298,Regimes!$A$5:$A$10,0))</f>
        <v/>
      </c>
      <c r="E298" s="88" t="n">
        <v>1929</v>
      </c>
      <c r="F298" s="8">
        <f>Donnees_generations!C17</f>
        <v/>
      </c>
      <c r="G298" s="77">
        <f>Donnees_generations!D17</f>
        <v/>
      </c>
      <c r="H298" s="8">
        <f>SUMIFS(Donnees_generations!$S$3:$S$113,Donnees_generations!$A$3:$A$113,MAX(1915,MIN(2025,E298)))</f>
        <v/>
      </c>
      <c r="I298" s="8">
        <f>SUMIFS(Donnees_generations!$T$3:$T$113,Donnees_generations!$A$3:$A$113,MAX(1915,MIN(2025,E298)))</f>
        <v/>
      </c>
      <c r="J298" s="8">
        <f>IF(G298&gt;=2000,MAX(I298,Parametres!$B$3),I298)</f>
        <v/>
      </c>
      <c r="K298" s="8">
        <f>IF(C298="Privé",J298,SUMIFS(Regles_regimes!$J$3:$J$2000,Regles_regimes!$A$3:$A$2000,C298,Regles_regimes!$B$3:$B$2000,D298,Regles_regimes!$C$3:$C$2000,MAX(1915,MIN(2025,E298))))</f>
        <v/>
      </c>
      <c r="L298" s="8">
        <f>IF(C298="Privé",H298,(K298-F298)*H298/(J298-F298))</f>
        <v/>
      </c>
      <c r="M298" s="77">
        <f>INT(E298+K298)</f>
        <v/>
      </c>
      <c r="N298" s="77">
        <f>G298+ROUNDUP(L298,0)-1</f>
        <v/>
      </c>
      <c r="O298" s="89">
        <f>SUMIFS(Regles_regimes!$K$3:$K$2000,Regles_regimes!$A$3:$A$2000,C298,Regles_regimes!$B$3:$B$2000,D298,Regles_regimes!$C$3:$C$2000,MAX(1915,MIN(2025,E298)))</f>
        <v/>
      </c>
      <c r="P298" s="13">
        <f>SUMIFS(Donnees_annuelles!$W$3:$W$188,Donnees_annuelles!$A$3:$A$188,"&gt;="&amp;G298,Donnees_annuelles!$A$3:$A$188,"&lt;="&amp;N298)*L298/ROUNDUP(L298,0)*O298</f>
        <v/>
      </c>
      <c r="Q298" s="13">
        <f>SUMIFS(Donnees_annuelles!$V$3:$V$188,Donnees_annuelles!$A$3:$A$188,"&gt;="&amp;G298,Donnees_annuelles!$A$3:$A$188,"&lt;="&amp;N298)*L298/ROUNDUP(L298,0)</f>
        <v/>
      </c>
      <c r="R298" s="13">
        <f>P298/L298</f>
        <v/>
      </c>
      <c r="S298" s="14">
        <f>SUMIFS(Donnees_annuelles!$D$3:$D$188,Donnees_annuelles!$A$3:$A$188,"&gt;="&amp;G298,Donnees_annuelles!$A$3:$A$188,"&lt;="&amp;N298)*L298/ROUNDUP(L298,0)</f>
        <v/>
      </c>
      <c r="T298" s="14">
        <f>SUMIFS(Donnees_regimes!$N$3:$N$1118,Donnees_regimes!$A$3:$A$1118,C298,Donnees_regimes!$B$3:$B$1118,"&gt;="&amp;G298,Donnees_regimes!$B$3:$B$1118,"&lt;="&amp;N298)*L298/ROUNDUP(L298,0)</f>
        <v/>
      </c>
      <c r="U298" s="14">
        <f>SUMIFS(Donnees_regimes!$O$3:$O$1118,Donnees_regimes!$A$3:$A$1118,C298,Donnees_regimes!$B$3:$B$1118,"&gt;="&amp;G298,Donnees_regimes!$B$3:$B$1118,"&lt;="&amp;N298)*L298/ROUNDUP(L298,0)</f>
        <v/>
      </c>
      <c r="V298" s="14">
        <f>T298+U298</f>
        <v/>
      </c>
      <c r="W298" s="33">
        <f>V298/S298</f>
        <v/>
      </c>
      <c r="X298" s="14">
        <f>S298+U298</f>
        <v/>
      </c>
      <c r="Y298" s="17">
        <f>V298/P298</f>
        <v/>
      </c>
      <c r="Z298" s="14">
        <f>SUMIFS(Donnees_regimes!$Q$3:$Q$1118,Donnees_regimes!$A$3:$A$1118,C298,Donnees_regimes!$B$3:$B$1118,"&gt;="&amp;G298,Donnees_regimes!$B$3:$B$1118,"&lt;="&amp;N298)*L298/ROUNDUP(L298,0)</f>
        <v/>
      </c>
      <c r="AA298" s="77">
        <f>SUMIFS(Regles_regimes!$F$3:$F$2000,Regles_regimes!$A$3:$A$2000,C298,Regles_regimes!$B$3:$B$2000,D298,Regles_regimes!$C$3:$C$2000,MAX(1915,MIN(2025,E298)))</f>
        <v/>
      </c>
      <c r="AB298" s="77">
        <f>IF(AND(SUMIFS(Regles_regimes!$L$3:$L$2000,Regles_regimes!$A$3:$A$2000,C298,Regles_regimes!$B$3:$B$2000,D298,Regles_regimes!$C$3:$C$2000,MAX(1915,MIN(2025,E298)))=1,G298&lt;2009,C298&lt;&gt;"Privé"),MIN(20,L298*4/5),0)</f>
        <v/>
      </c>
      <c r="AC298" s="89">
        <f>SUMIFS(Donnees_regimes!$M$3:$M$1118,Donnees_regimes!$A$3:$A$1118,C298,Donnees_regimes!$B$3:$B$1118,M298)</f>
        <v/>
      </c>
      <c r="AD298" s="14">
        <f>SUMIFS(Donnees_annuelles!$Y$3:$Y$188,Donnees_annuelles!$A$3:$A$188,M298)*SUMIFS(Donnees_generations!$I$3:$I$113,Donnees_generations!$A$3:$A$113,MAX(1915,MIN(2025,E298)))/H298</f>
        <v/>
      </c>
      <c r="AE298" s="14">
        <f>IF(C298="Privé",SUMIFS(Donnees_annuelles!$Y$3:$Y$188,Donnees_annuelles!$A$3:$A$188,M298)*MIN(L298,SUMIFS(Donnees_generations!$I$3:$I$113,Donnees_generations!$A$3:$A$113,MAX(1915,MIN(2025,E298))))/L298,AD298*AC298*MIN(IF(AB298&gt;0,0.8/0.75,1),(L298*4+AB298)/AA298))</f>
        <v/>
      </c>
      <c r="AF298" s="14">
        <f>AE298/12</f>
        <v/>
      </c>
      <c r="AG298" s="77">
        <f>MIN(68,MAX(56,2*INT(K298/2)))</f>
        <v/>
      </c>
      <c r="AH298" s="75">
        <f>(CHOOSE((AG298-56)/2+1,SUMIFS(Donnees_generations!$U$3:$U$113,Donnees_generations!$A$3:$A$113,MAX(1915,MIN(2025,E298))),SUMIFS(Donnees_generations!$V$3:$V$113,Donnees_generations!$A$3:$A$113,MAX(1915,MIN(2025,E298))),SUMIFS(Donnees_generations!$W$3:$W$113,Donnees_generations!$A$3:$A$113,MAX(1915,MIN(2025,E298))),SUMIFS(Donnees_generations!$X$3:$X$113,Donnees_generations!$A$3:$A$113,MAX(1915,MIN(2025,E298))),SUMIFS(Donnees_generations!$Y$3:$Y$113,Donnees_generations!$A$3:$A$113,MAX(1915,MIN(2025,E298))),SUMIFS(Donnees_generations!$Z$3:$Z$113,Donnees_generations!$A$3:$A$113,MAX(1915,MIN(2025,E298))),SUMIFS(Donnees_generations!$AA$3:$AA$113,Donnees_generations!$A$3:$A$113,MAX(1915,MIN(2025,E298))),SUMIFS(Donnees_generations!$AB$3:$AB$113,Donnees_generations!$A$3:$A$113,MAX(1915,MIN(2025,E298))))+CHOOSE((AG298-56)/2+1,SUMIFS(Donnees_generations!$AC$3:$AC$113,Donnees_generations!$A$3:$A$113,MAX(1915,MIN(2025,E298))),SUMIFS(Donnees_generations!$AD$3:$AD$113,Donnees_generations!$A$3:$A$113,MAX(1915,MIN(2025,E298))),SUMIFS(Donnees_generations!$AE$3:$AE$113,Donnees_generations!$A$3:$A$113,MAX(1915,MIN(2025,E298))),SUMIFS(Donnees_generations!$AF$3:$AF$113,Donnees_generations!$A$3:$A$113,MAX(1915,MIN(2025,E298))),SUMIFS(Donnees_generations!$AG$3:$AG$113,Donnees_generations!$A$3:$A$113,MAX(1915,MIN(2025,E298))),SUMIFS(Donnees_generations!$AH$3:$AH$113,Donnees_generations!$A$3:$A$113,MAX(1915,MIN(2025,E298))),SUMIFS(Donnees_generations!$AI$3:$AI$113,Donnees_generations!$A$3:$A$113,MAX(1915,MIN(2025,E298))),SUMIFS(Donnees_generations!$AJ$3:$AJ$113,Donnees_generations!$A$3:$A$113,MAX(1915,MIN(2025,E298)))))/2</f>
        <v/>
      </c>
      <c r="AI298" s="75">
        <f>(CHOOSE(((AG298+2)-56)/2+1,SUMIFS(Donnees_generations!$U$3:$U$113,Donnees_generations!$A$3:$A$113,MAX(1915,MIN(2025,E298))),SUMIFS(Donnees_generations!$V$3:$V$113,Donnees_generations!$A$3:$A$113,MAX(1915,MIN(2025,E298))),SUMIFS(Donnees_generations!$W$3:$W$113,Donnees_generations!$A$3:$A$113,MAX(1915,MIN(2025,E298))),SUMIFS(Donnees_generations!$X$3:$X$113,Donnees_generations!$A$3:$A$113,MAX(1915,MIN(2025,E298))),SUMIFS(Donnees_generations!$Y$3:$Y$113,Donnees_generations!$A$3:$A$113,MAX(1915,MIN(2025,E298))),SUMIFS(Donnees_generations!$Z$3:$Z$113,Donnees_generations!$A$3:$A$113,MAX(1915,MIN(2025,E298))),SUMIFS(Donnees_generations!$AA$3:$AA$113,Donnees_generations!$A$3:$A$113,MAX(1915,MIN(2025,E298))),SUMIFS(Donnees_generations!$AB$3:$AB$113,Donnees_generations!$A$3:$A$113,MAX(1915,MIN(2025,E298))))+CHOOSE(((AG298+2)-56)/2+1,SUMIFS(Donnees_generations!$AC$3:$AC$113,Donnees_generations!$A$3:$A$113,MAX(1915,MIN(2025,E298))),SUMIFS(Donnees_generations!$AD$3:$AD$113,Donnees_generations!$A$3:$A$113,MAX(1915,MIN(2025,E298))),SUMIFS(Donnees_generations!$AE$3:$AE$113,Donnees_generations!$A$3:$A$113,MAX(1915,MIN(2025,E298))),SUMIFS(Donnees_generations!$AF$3:$AF$113,Donnees_generations!$A$3:$A$113,MAX(1915,MIN(2025,E298))),SUMIFS(Donnees_generations!$AG$3:$AG$113,Donnees_generations!$A$3:$A$113,MAX(1915,MIN(2025,E298))),SUMIFS(Donnees_generations!$AH$3:$AH$113,Donnees_generations!$A$3:$A$113,MAX(1915,MIN(2025,E298))),SUMIFS(Donnees_generations!$AI$3:$AI$113,Donnees_generations!$A$3:$A$113,MAX(1915,MIN(2025,E298))),SUMIFS(Donnees_generations!$AJ$3:$AJ$113,Donnees_generations!$A$3:$A$113,MAX(1915,MIN(2025,E298)))))/2</f>
        <v/>
      </c>
      <c r="AJ298" s="8">
        <f>MAX(0,AH298+(AI298-AH298)*(K298-AG298)/2)</f>
        <v/>
      </c>
      <c r="AK298" s="8">
        <f>K298+AJ298</f>
        <v/>
      </c>
      <c r="AL298" s="14">
        <f>AE298*AJ298</f>
        <v/>
      </c>
      <c r="AM298" s="17">
        <f>V298/AL298</f>
        <v/>
      </c>
      <c r="AN298" s="17">
        <f>Z298/AL298</f>
        <v/>
      </c>
      <c r="AO298" s="33">
        <f>IF(V298+Z298=0,0,Z298/(V298+Z298))</f>
        <v/>
      </c>
      <c r="AP298" s="14">
        <f>AL298/V298*100</f>
        <v/>
      </c>
      <c r="AQ298" s="8">
        <f>P298/AL298*1000</f>
        <v/>
      </c>
      <c r="AR298" s="77">
        <f>MAX(N298,M298-1)</f>
        <v/>
      </c>
      <c r="AS298" s="14">
        <f>SUMIFS(Donnees_regimes!$R$3:$R$1118,Donnees_regimes!$A$3:$A$1118,C298,Donnees_regimes!$B$3:$B$1118,"&gt;="&amp;G298,Donnees_regimes!$B$3:$B$1118,"&lt;="&amp;N298)*L298/ROUNDUP(L298,0)*SUMIFS(Donnees_annuelles!$AG$3:$AG$188,Donnees_annuelles!$A$3:$A$188,AR298)*SUMIFS(Donnees_annuelles!$AA$3:$AA$188,Donnees_annuelles!$A$3:$A$188,AR298)</f>
        <v/>
      </c>
      <c r="AT298" s="36">
        <f>AS298/V298</f>
        <v/>
      </c>
      <c r="AU298" s="14">
        <f>AL298</f>
        <v/>
      </c>
      <c r="AV298" s="39">
        <f>AS298-AL298</f>
        <v/>
      </c>
      <c r="AW298" s="9">
        <f>AS298/AL298-1</f>
        <v/>
      </c>
      <c r="AX298" s="14">
        <f>AS298/AJ298/12</f>
        <v/>
      </c>
      <c r="AY298" s="14">
        <f>AF298</f>
        <v/>
      </c>
      <c r="AZ298" s="39">
        <f>AX298-AF298</f>
        <v/>
      </c>
      <c r="BA298" s="14">
        <f>SUMIFS(Donnees_regimes!$S$3:$S$1118,Donnees_regimes!$A$3:$A$1118,C298,Donnees_regimes!$B$3:$B$1118,"&gt;="&amp;G298,Donnees_regimes!$B$3:$B$1118,"&lt;="&amp;N298)*L298/ROUNDUP(L298,0)*SUMIFS(Donnees_annuelles!$AH$3:$AH$188,Donnees_annuelles!$A$3:$A$188,AR298)*SUMIFS(Donnees_annuelles!$AA$3:$AA$188,Donnees_annuelles!$A$3:$A$188,AR298)</f>
        <v/>
      </c>
      <c r="BB298" s="39">
        <f>BA298-AL298</f>
        <v/>
      </c>
      <c r="BC298" s="7">
        <f>IF(M298+AJ298&gt;2026,IF(G298&gt;2026,"entièrement projeté","en partie projeté"),"observé")</f>
        <v/>
      </c>
    </row>
    <row r="299">
      <c r="A299" s="7" t="inlineStr">
        <is>
          <t>Génération silencieuse</t>
        </is>
      </c>
      <c r="B299" s="84" t="inlineStr">
        <is>
          <t>SNCF</t>
        </is>
      </c>
      <c r="C299" s="7">
        <f>IF(G299&gt;=SUMIFS(Regimes!$C$5:$C$10,Regimes!$A$5:$A$10,B299),"Privé",B299)</f>
        <v/>
      </c>
      <c r="D299" s="7">
        <f>INDEX(Regimes!$D$5:$D$10,MATCH(C299,Regimes!$A$5:$A$10,0))</f>
        <v/>
      </c>
      <c r="E299" s="88" t="n">
        <v>1930</v>
      </c>
      <c r="F299" s="8">
        <f>Donnees_generations!C18</f>
        <v/>
      </c>
      <c r="G299" s="77">
        <f>Donnees_generations!D18</f>
        <v/>
      </c>
      <c r="H299" s="8">
        <f>SUMIFS(Donnees_generations!$S$3:$S$113,Donnees_generations!$A$3:$A$113,MAX(1915,MIN(2025,E299)))</f>
        <v/>
      </c>
      <c r="I299" s="8">
        <f>SUMIFS(Donnees_generations!$T$3:$T$113,Donnees_generations!$A$3:$A$113,MAX(1915,MIN(2025,E299)))</f>
        <v/>
      </c>
      <c r="J299" s="8">
        <f>IF(G299&gt;=2000,MAX(I299,Parametres!$B$3),I299)</f>
        <v/>
      </c>
      <c r="K299" s="8">
        <f>IF(C299="Privé",J299,SUMIFS(Regles_regimes!$J$3:$J$2000,Regles_regimes!$A$3:$A$2000,C299,Regles_regimes!$B$3:$B$2000,D299,Regles_regimes!$C$3:$C$2000,MAX(1915,MIN(2025,E299))))</f>
        <v/>
      </c>
      <c r="L299" s="8">
        <f>IF(C299="Privé",H299,(K299-F299)*H299/(J299-F299))</f>
        <v/>
      </c>
      <c r="M299" s="77">
        <f>INT(E299+K299)</f>
        <v/>
      </c>
      <c r="N299" s="77">
        <f>G299+ROUNDUP(L299,0)-1</f>
        <v/>
      </c>
      <c r="O299" s="89">
        <f>SUMIFS(Regles_regimes!$K$3:$K$2000,Regles_regimes!$A$3:$A$2000,C299,Regles_regimes!$B$3:$B$2000,D299,Regles_regimes!$C$3:$C$2000,MAX(1915,MIN(2025,E299)))</f>
        <v/>
      </c>
      <c r="P299" s="13">
        <f>SUMIFS(Donnees_annuelles!$W$3:$W$188,Donnees_annuelles!$A$3:$A$188,"&gt;="&amp;G299,Donnees_annuelles!$A$3:$A$188,"&lt;="&amp;N299)*L299/ROUNDUP(L299,0)*O299</f>
        <v/>
      </c>
      <c r="Q299" s="13">
        <f>SUMIFS(Donnees_annuelles!$V$3:$V$188,Donnees_annuelles!$A$3:$A$188,"&gt;="&amp;G299,Donnees_annuelles!$A$3:$A$188,"&lt;="&amp;N299)*L299/ROUNDUP(L299,0)</f>
        <v/>
      </c>
      <c r="R299" s="13">
        <f>P299/L299</f>
        <v/>
      </c>
      <c r="S299" s="14">
        <f>SUMIFS(Donnees_annuelles!$D$3:$D$188,Donnees_annuelles!$A$3:$A$188,"&gt;="&amp;G299,Donnees_annuelles!$A$3:$A$188,"&lt;="&amp;N299)*L299/ROUNDUP(L299,0)</f>
        <v/>
      </c>
      <c r="T299" s="14">
        <f>SUMIFS(Donnees_regimes!$N$3:$N$1118,Donnees_regimes!$A$3:$A$1118,C299,Donnees_regimes!$B$3:$B$1118,"&gt;="&amp;G299,Donnees_regimes!$B$3:$B$1118,"&lt;="&amp;N299)*L299/ROUNDUP(L299,0)</f>
        <v/>
      </c>
      <c r="U299" s="14">
        <f>SUMIFS(Donnees_regimes!$O$3:$O$1118,Donnees_regimes!$A$3:$A$1118,C299,Donnees_regimes!$B$3:$B$1118,"&gt;="&amp;G299,Donnees_regimes!$B$3:$B$1118,"&lt;="&amp;N299)*L299/ROUNDUP(L299,0)</f>
        <v/>
      </c>
      <c r="V299" s="14">
        <f>T299+U299</f>
        <v/>
      </c>
      <c r="W299" s="33">
        <f>V299/S299</f>
        <v/>
      </c>
      <c r="X299" s="14">
        <f>S299+U299</f>
        <v/>
      </c>
      <c r="Y299" s="17">
        <f>V299/P299</f>
        <v/>
      </c>
      <c r="Z299" s="14">
        <f>SUMIFS(Donnees_regimes!$Q$3:$Q$1118,Donnees_regimes!$A$3:$A$1118,C299,Donnees_regimes!$B$3:$B$1118,"&gt;="&amp;G299,Donnees_regimes!$B$3:$B$1118,"&lt;="&amp;N299)*L299/ROUNDUP(L299,0)</f>
        <v/>
      </c>
      <c r="AA299" s="77">
        <f>SUMIFS(Regles_regimes!$F$3:$F$2000,Regles_regimes!$A$3:$A$2000,C299,Regles_regimes!$B$3:$B$2000,D299,Regles_regimes!$C$3:$C$2000,MAX(1915,MIN(2025,E299)))</f>
        <v/>
      </c>
      <c r="AB299" s="77">
        <f>IF(AND(SUMIFS(Regles_regimes!$L$3:$L$2000,Regles_regimes!$A$3:$A$2000,C299,Regles_regimes!$B$3:$B$2000,D299,Regles_regimes!$C$3:$C$2000,MAX(1915,MIN(2025,E299)))=1,G299&lt;2009,C299&lt;&gt;"Privé"),MIN(20,L299*4/5),0)</f>
        <v/>
      </c>
      <c r="AC299" s="89">
        <f>SUMIFS(Donnees_regimes!$M$3:$M$1118,Donnees_regimes!$A$3:$A$1118,C299,Donnees_regimes!$B$3:$B$1118,M299)</f>
        <v/>
      </c>
      <c r="AD299" s="14">
        <f>SUMIFS(Donnees_annuelles!$Y$3:$Y$188,Donnees_annuelles!$A$3:$A$188,M299)*SUMIFS(Donnees_generations!$I$3:$I$113,Donnees_generations!$A$3:$A$113,MAX(1915,MIN(2025,E299)))/H299</f>
        <v/>
      </c>
      <c r="AE299" s="14">
        <f>IF(C299="Privé",SUMIFS(Donnees_annuelles!$Y$3:$Y$188,Donnees_annuelles!$A$3:$A$188,M299)*MIN(L299,SUMIFS(Donnees_generations!$I$3:$I$113,Donnees_generations!$A$3:$A$113,MAX(1915,MIN(2025,E299))))/L299,AD299*AC299*MIN(IF(AB299&gt;0,0.8/0.75,1),(L299*4+AB299)/AA299))</f>
        <v/>
      </c>
      <c r="AF299" s="14">
        <f>AE299/12</f>
        <v/>
      </c>
      <c r="AG299" s="77">
        <f>MIN(68,MAX(56,2*INT(K299/2)))</f>
        <v/>
      </c>
      <c r="AH299" s="75">
        <f>(CHOOSE((AG299-56)/2+1,SUMIFS(Donnees_generations!$U$3:$U$113,Donnees_generations!$A$3:$A$113,MAX(1915,MIN(2025,E299))),SUMIFS(Donnees_generations!$V$3:$V$113,Donnees_generations!$A$3:$A$113,MAX(1915,MIN(2025,E299))),SUMIFS(Donnees_generations!$W$3:$W$113,Donnees_generations!$A$3:$A$113,MAX(1915,MIN(2025,E299))),SUMIFS(Donnees_generations!$X$3:$X$113,Donnees_generations!$A$3:$A$113,MAX(1915,MIN(2025,E299))),SUMIFS(Donnees_generations!$Y$3:$Y$113,Donnees_generations!$A$3:$A$113,MAX(1915,MIN(2025,E299))),SUMIFS(Donnees_generations!$Z$3:$Z$113,Donnees_generations!$A$3:$A$113,MAX(1915,MIN(2025,E299))),SUMIFS(Donnees_generations!$AA$3:$AA$113,Donnees_generations!$A$3:$A$113,MAX(1915,MIN(2025,E299))),SUMIFS(Donnees_generations!$AB$3:$AB$113,Donnees_generations!$A$3:$A$113,MAX(1915,MIN(2025,E299))))+CHOOSE((AG299-56)/2+1,SUMIFS(Donnees_generations!$AC$3:$AC$113,Donnees_generations!$A$3:$A$113,MAX(1915,MIN(2025,E299))),SUMIFS(Donnees_generations!$AD$3:$AD$113,Donnees_generations!$A$3:$A$113,MAX(1915,MIN(2025,E299))),SUMIFS(Donnees_generations!$AE$3:$AE$113,Donnees_generations!$A$3:$A$113,MAX(1915,MIN(2025,E299))),SUMIFS(Donnees_generations!$AF$3:$AF$113,Donnees_generations!$A$3:$A$113,MAX(1915,MIN(2025,E299))),SUMIFS(Donnees_generations!$AG$3:$AG$113,Donnees_generations!$A$3:$A$113,MAX(1915,MIN(2025,E299))),SUMIFS(Donnees_generations!$AH$3:$AH$113,Donnees_generations!$A$3:$A$113,MAX(1915,MIN(2025,E299))),SUMIFS(Donnees_generations!$AI$3:$AI$113,Donnees_generations!$A$3:$A$113,MAX(1915,MIN(2025,E299))),SUMIFS(Donnees_generations!$AJ$3:$AJ$113,Donnees_generations!$A$3:$A$113,MAX(1915,MIN(2025,E299)))))/2</f>
        <v/>
      </c>
      <c r="AI299" s="75">
        <f>(CHOOSE(((AG299+2)-56)/2+1,SUMIFS(Donnees_generations!$U$3:$U$113,Donnees_generations!$A$3:$A$113,MAX(1915,MIN(2025,E299))),SUMIFS(Donnees_generations!$V$3:$V$113,Donnees_generations!$A$3:$A$113,MAX(1915,MIN(2025,E299))),SUMIFS(Donnees_generations!$W$3:$W$113,Donnees_generations!$A$3:$A$113,MAX(1915,MIN(2025,E299))),SUMIFS(Donnees_generations!$X$3:$X$113,Donnees_generations!$A$3:$A$113,MAX(1915,MIN(2025,E299))),SUMIFS(Donnees_generations!$Y$3:$Y$113,Donnees_generations!$A$3:$A$113,MAX(1915,MIN(2025,E299))),SUMIFS(Donnees_generations!$Z$3:$Z$113,Donnees_generations!$A$3:$A$113,MAX(1915,MIN(2025,E299))),SUMIFS(Donnees_generations!$AA$3:$AA$113,Donnees_generations!$A$3:$A$113,MAX(1915,MIN(2025,E299))),SUMIFS(Donnees_generations!$AB$3:$AB$113,Donnees_generations!$A$3:$A$113,MAX(1915,MIN(2025,E299))))+CHOOSE(((AG299+2)-56)/2+1,SUMIFS(Donnees_generations!$AC$3:$AC$113,Donnees_generations!$A$3:$A$113,MAX(1915,MIN(2025,E299))),SUMIFS(Donnees_generations!$AD$3:$AD$113,Donnees_generations!$A$3:$A$113,MAX(1915,MIN(2025,E299))),SUMIFS(Donnees_generations!$AE$3:$AE$113,Donnees_generations!$A$3:$A$113,MAX(1915,MIN(2025,E299))),SUMIFS(Donnees_generations!$AF$3:$AF$113,Donnees_generations!$A$3:$A$113,MAX(1915,MIN(2025,E299))),SUMIFS(Donnees_generations!$AG$3:$AG$113,Donnees_generations!$A$3:$A$113,MAX(1915,MIN(2025,E299))),SUMIFS(Donnees_generations!$AH$3:$AH$113,Donnees_generations!$A$3:$A$113,MAX(1915,MIN(2025,E299))),SUMIFS(Donnees_generations!$AI$3:$AI$113,Donnees_generations!$A$3:$A$113,MAX(1915,MIN(2025,E299))),SUMIFS(Donnees_generations!$AJ$3:$AJ$113,Donnees_generations!$A$3:$A$113,MAX(1915,MIN(2025,E299)))))/2</f>
        <v/>
      </c>
      <c r="AJ299" s="8">
        <f>MAX(0,AH299+(AI299-AH299)*(K299-AG299)/2)</f>
        <v/>
      </c>
      <c r="AK299" s="8">
        <f>K299+AJ299</f>
        <v/>
      </c>
      <c r="AL299" s="14">
        <f>AE299*AJ299</f>
        <v/>
      </c>
      <c r="AM299" s="17">
        <f>V299/AL299</f>
        <v/>
      </c>
      <c r="AN299" s="17">
        <f>Z299/AL299</f>
        <v/>
      </c>
      <c r="AO299" s="33">
        <f>IF(V299+Z299=0,0,Z299/(V299+Z299))</f>
        <v/>
      </c>
      <c r="AP299" s="14">
        <f>AL299/V299*100</f>
        <v/>
      </c>
      <c r="AQ299" s="8">
        <f>P299/AL299*1000</f>
        <v/>
      </c>
      <c r="AR299" s="77">
        <f>MAX(N299,M299-1)</f>
        <v/>
      </c>
      <c r="AS299" s="14">
        <f>SUMIFS(Donnees_regimes!$R$3:$R$1118,Donnees_regimes!$A$3:$A$1118,C299,Donnees_regimes!$B$3:$B$1118,"&gt;="&amp;G299,Donnees_regimes!$B$3:$B$1118,"&lt;="&amp;N299)*L299/ROUNDUP(L299,0)*SUMIFS(Donnees_annuelles!$AG$3:$AG$188,Donnees_annuelles!$A$3:$A$188,AR299)*SUMIFS(Donnees_annuelles!$AA$3:$AA$188,Donnees_annuelles!$A$3:$A$188,AR299)</f>
        <v/>
      </c>
      <c r="AT299" s="36">
        <f>AS299/V299</f>
        <v/>
      </c>
      <c r="AU299" s="14">
        <f>AL299</f>
        <v/>
      </c>
      <c r="AV299" s="39">
        <f>AS299-AL299</f>
        <v/>
      </c>
      <c r="AW299" s="9">
        <f>AS299/AL299-1</f>
        <v/>
      </c>
      <c r="AX299" s="14">
        <f>AS299/AJ299/12</f>
        <v/>
      </c>
      <c r="AY299" s="14">
        <f>AF299</f>
        <v/>
      </c>
      <c r="AZ299" s="39">
        <f>AX299-AF299</f>
        <v/>
      </c>
      <c r="BA299" s="14">
        <f>SUMIFS(Donnees_regimes!$S$3:$S$1118,Donnees_regimes!$A$3:$A$1118,C299,Donnees_regimes!$B$3:$B$1118,"&gt;="&amp;G299,Donnees_regimes!$B$3:$B$1118,"&lt;="&amp;N299)*L299/ROUNDUP(L299,0)*SUMIFS(Donnees_annuelles!$AH$3:$AH$188,Donnees_annuelles!$A$3:$A$188,AR299)*SUMIFS(Donnees_annuelles!$AA$3:$AA$188,Donnees_annuelles!$A$3:$A$188,AR299)</f>
        <v/>
      </c>
      <c r="BB299" s="39">
        <f>BA299-AL299</f>
        <v/>
      </c>
      <c r="BC299" s="7">
        <f>IF(M299+AJ299&gt;2026,IF(G299&gt;2026,"entièrement projeté","en partie projeté"),"observé")</f>
        <v/>
      </c>
    </row>
    <row r="300">
      <c r="A300" s="7" t="inlineStr">
        <is>
          <t>Génération silencieuse</t>
        </is>
      </c>
      <c r="B300" s="84" t="inlineStr">
        <is>
          <t>SNCF</t>
        </is>
      </c>
      <c r="C300" s="7">
        <f>IF(G300&gt;=SUMIFS(Regimes!$C$5:$C$10,Regimes!$A$5:$A$10,B300),"Privé",B300)</f>
        <v/>
      </c>
      <c r="D300" s="7">
        <f>INDEX(Regimes!$D$5:$D$10,MATCH(C300,Regimes!$A$5:$A$10,0))</f>
        <v/>
      </c>
      <c r="E300" s="88" t="n">
        <v>1931</v>
      </c>
      <c r="F300" s="8">
        <f>Donnees_generations!C19</f>
        <v/>
      </c>
      <c r="G300" s="77">
        <f>Donnees_generations!D19</f>
        <v/>
      </c>
      <c r="H300" s="8">
        <f>SUMIFS(Donnees_generations!$S$3:$S$113,Donnees_generations!$A$3:$A$113,MAX(1915,MIN(2025,E300)))</f>
        <v/>
      </c>
      <c r="I300" s="8">
        <f>SUMIFS(Donnees_generations!$T$3:$T$113,Donnees_generations!$A$3:$A$113,MAX(1915,MIN(2025,E300)))</f>
        <v/>
      </c>
      <c r="J300" s="8">
        <f>IF(G300&gt;=2000,MAX(I300,Parametres!$B$3),I300)</f>
        <v/>
      </c>
      <c r="K300" s="8">
        <f>IF(C300="Privé",J300,SUMIFS(Regles_regimes!$J$3:$J$2000,Regles_regimes!$A$3:$A$2000,C300,Regles_regimes!$B$3:$B$2000,D300,Regles_regimes!$C$3:$C$2000,MAX(1915,MIN(2025,E300))))</f>
        <v/>
      </c>
      <c r="L300" s="8">
        <f>IF(C300="Privé",H300,(K300-F300)*H300/(J300-F300))</f>
        <v/>
      </c>
      <c r="M300" s="77">
        <f>INT(E300+K300)</f>
        <v/>
      </c>
      <c r="N300" s="77">
        <f>G300+ROUNDUP(L300,0)-1</f>
        <v/>
      </c>
      <c r="O300" s="89">
        <f>SUMIFS(Regles_regimes!$K$3:$K$2000,Regles_regimes!$A$3:$A$2000,C300,Regles_regimes!$B$3:$B$2000,D300,Regles_regimes!$C$3:$C$2000,MAX(1915,MIN(2025,E300)))</f>
        <v/>
      </c>
      <c r="P300" s="13">
        <f>SUMIFS(Donnees_annuelles!$W$3:$W$188,Donnees_annuelles!$A$3:$A$188,"&gt;="&amp;G300,Donnees_annuelles!$A$3:$A$188,"&lt;="&amp;N300)*L300/ROUNDUP(L300,0)*O300</f>
        <v/>
      </c>
      <c r="Q300" s="13">
        <f>SUMIFS(Donnees_annuelles!$V$3:$V$188,Donnees_annuelles!$A$3:$A$188,"&gt;="&amp;G300,Donnees_annuelles!$A$3:$A$188,"&lt;="&amp;N300)*L300/ROUNDUP(L300,0)</f>
        <v/>
      </c>
      <c r="R300" s="13">
        <f>P300/L300</f>
        <v/>
      </c>
      <c r="S300" s="14">
        <f>SUMIFS(Donnees_annuelles!$D$3:$D$188,Donnees_annuelles!$A$3:$A$188,"&gt;="&amp;G300,Donnees_annuelles!$A$3:$A$188,"&lt;="&amp;N300)*L300/ROUNDUP(L300,0)</f>
        <v/>
      </c>
      <c r="T300" s="14">
        <f>SUMIFS(Donnees_regimes!$N$3:$N$1118,Donnees_regimes!$A$3:$A$1118,C300,Donnees_regimes!$B$3:$B$1118,"&gt;="&amp;G300,Donnees_regimes!$B$3:$B$1118,"&lt;="&amp;N300)*L300/ROUNDUP(L300,0)</f>
        <v/>
      </c>
      <c r="U300" s="14">
        <f>SUMIFS(Donnees_regimes!$O$3:$O$1118,Donnees_regimes!$A$3:$A$1118,C300,Donnees_regimes!$B$3:$B$1118,"&gt;="&amp;G300,Donnees_regimes!$B$3:$B$1118,"&lt;="&amp;N300)*L300/ROUNDUP(L300,0)</f>
        <v/>
      </c>
      <c r="V300" s="14">
        <f>T300+U300</f>
        <v/>
      </c>
      <c r="W300" s="33">
        <f>V300/S300</f>
        <v/>
      </c>
      <c r="X300" s="14">
        <f>S300+U300</f>
        <v/>
      </c>
      <c r="Y300" s="17">
        <f>V300/P300</f>
        <v/>
      </c>
      <c r="Z300" s="14">
        <f>SUMIFS(Donnees_regimes!$Q$3:$Q$1118,Donnees_regimes!$A$3:$A$1118,C300,Donnees_regimes!$B$3:$B$1118,"&gt;="&amp;G300,Donnees_regimes!$B$3:$B$1118,"&lt;="&amp;N300)*L300/ROUNDUP(L300,0)</f>
        <v/>
      </c>
      <c r="AA300" s="77">
        <f>SUMIFS(Regles_regimes!$F$3:$F$2000,Regles_regimes!$A$3:$A$2000,C300,Regles_regimes!$B$3:$B$2000,D300,Regles_regimes!$C$3:$C$2000,MAX(1915,MIN(2025,E300)))</f>
        <v/>
      </c>
      <c r="AB300" s="77">
        <f>IF(AND(SUMIFS(Regles_regimes!$L$3:$L$2000,Regles_regimes!$A$3:$A$2000,C300,Regles_regimes!$B$3:$B$2000,D300,Regles_regimes!$C$3:$C$2000,MAX(1915,MIN(2025,E300)))=1,G300&lt;2009,C300&lt;&gt;"Privé"),MIN(20,L300*4/5),0)</f>
        <v/>
      </c>
      <c r="AC300" s="89">
        <f>SUMIFS(Donnees_regimes!$M$3:$M$1118,Donnees_regimes!$A$3:$A$1118,C300,Donnees_regimes!$B$3:$B$1118,M300)</f>
        <v/>
      </c>
      <c r="AD300" s="14">
        <f>SUMIFS(Donnees_annuelles!$Y$3:$Y$188,Donnees_annuelles!$A$3:$A$188,M300)*SUMIFS(Donnees_generations!$I$3:$I$113,Donnees_generations!$A$3:$A$113,MAX(1915,MIN(2025,E300)))/H300</f>
        <v/>
      </c>
      <c r="AE300" s="14">
        <f>IF(C300="Privé",SUMIFS(Donnees_annuelles!$Y$3:$Y$188,Donnees_annuelles!$A$3:$A$188,M300)*MIN(L300,SUMIFS(Donnees_generations!$I$3:$I$113,Donnees_generations!$A$3:$A$113,MAX(1915,MIN(2025,E300))))/L300,AD300*AC300*MIN(IF(AB300&gt;0,0.8/0.75,1),(L300*4+AB300)/AA300))</f>
        <v/>
      </c>
      <c r="AF300" s="14">
        <f>AE300/12</f>
        <v/>
      </c>
      <c r="AG300" s="77">
        <f>MIN(68,MAX(56,2*INT(K300/2)))</f>
        <v/>
      </c>
      <c r="AH300" s="75">
        <f>(CHOOSE((AG300-56)/2+1,SUMIFS(Donnees_generations!$U$3:$U$113,Donnees_generations!$A$3:$A$113,MAX(1915,MIN(2025,E300))),SUMIFS(Donnees_generations!$V$3:$V$113,Donnees_generations!$A$3:$A$113,MAX(1915,MIN(2025,E300))),SUMIFS(Donnees_generations!$W$3:$W$113,Donnees_generations!$A$3:$A$113,MAX(1915,MIN(2025,E300))),SUMIFS(Donnees_generations!$X$3:$X$113,Donnees_generations!$A$3:$A$113,MAX(1915,MIN(2025,E300))),SUMIFS(Donnees_generations!$Y$3:$Y$113,Donnees_generations!$A$3:$A$113,MAX(1915,MIN(2025,E300))),SUMIFS(Donnees_generations!$Z$3:$Z$113,Donnees_generations!$A$3:$A$113,MAX(1915,MIN(2025,E300))),SUMIFS(Donnees_generations!$AA$3:$AA$113,Donnees_generations!$A$3:$A$113,MAX(1915,MIN(2025,E300))),SUMIFS(Donnees_generations!$AB$3:$AB$113,Donnees_generations!$A$3:$A$113,MAX(1915,MIN(2025,E300))))+CHOOSE((AG300-56)/2+1,SUMIFS(Donnees_generations!$AC$3:$AC$113,Donnees_generations!$A$3:$A$113,MAX(1915,MIN(2025,E300))),SUMIFS(Donnees_generations!$AD$3:$AD$113,Donnees_generations!$A$3:$A$113,MAX(1915,MIN(2025,E300))),SUMIFS(Donnees_generations!$AE$3:$AE$113,Donnees_generations!$A$3:$A$113,MAX(1915,MIN(2025,E300))),SUMIFS(Donnees_generations!$AF$3:$AF$113,Donnees_generations!$A$3:$A$113,MAX(1915,MIN(2025,E300))),SUMIFS(Donnees_generations!$AG$3:$AG$113,Donnees_generations!$A$3:$A$113,MAX(1915,MIN(2025,E300))),SUMIFS(Donnees_generations!$AH$3:$AH$113,Donnees_generations!$A$3:$A$113,MAX(1915,MIN(2025,E300))),SUMIFS(Donnees_generations!$AI$3:$AI$113,Donnees_generations!$A$3:$A$113,MAX(1915,MIN(2025,E300))),SUMIFS(Donnees_generations!$AJ$3:$AJ$113,Donnees_generations!$A$3:$A$113,MAX(1915,MIN(2025,E300)))))/2</f>
        <v/>
      </c>
      <c r="AI300" s="75">
        <f>(CHOOSE(((AG300+2)-56)/2+1,SUMIFS(Donnees_generations!$U$3:$U$113,Donnees_generations!$A$3:$A$113,MAX(1915,MIN(2025,E300))),SUMIFS(Donnees_generations!$V$3:$V$113,Donnees_generations!$A$3:$A$113,MAX(1915,MIN(2025,E300))),SUMIFS(Donnees_generations!$W$3:$W$113,Donnees_generations!$A$3:$A$113,MAX(1915,MIN(2025,E300))),SUMIFS(Donnees_generations!$X$3:$X$113,Donnees_generations!$A$3:$A$113,MAX(1915,MIN(2025,E300))),SUMIFS(Donnees_generations!$Y$3:$Y$113,Donnees_generations!$A$3:$A$113,MAX(1915,MIN(2025,E300))),SUMIFS(Donnees_generations!$Z$3:$Z$113,Donnees_generations!$A$3:$A$113,MAX(1915,MIN(2025,E300))),SUMIFS(Donnees_generations!$AA$3:$AA$113,Donnees_generations!$A$3:$A$113,MAX(1915,MIN(2025,E300))),SUMIFS(Donnees_generations!$AB$3:$AB$113,Donnees_generations!$A$3:$A$113,MAX(1915,MIN(2025,E300))))+CHOOSE(((AG300+2)-56)/2+1,SUMIFS(Donnees_generations!$AC$3:$AC$113,Donnees_generations!$A$3:$A$113,MAX(1915,MIN(2025,E300))),SUMIFS(Donnees_generations!$AD$3:$AD$113,Donnees_generations!$A$3:$A$113,MAX(1915,MIN(2025,E300))),SUMIFS(Donnees_generations!$AE$3:$AE$113,Donnees_generations!$A$3:$A$113,MAX(1915,MIN(2025,E300))),SUMIFS(Donnees_generations!$AF$3:$AF$113,Donnees_generations!$A$3:$A$113,MAX(1915,MIN(2025,E300))),SUMIFS(Donnees_generations!$AG$3:$AG$113,Donnees_generations!$A$3:$A$113,MAX(1915,MIN(2025,E300))),SUMIFS(Donnees_generations!$AH$3:$AH$113,Donnees_generations!$A$3:$A$113,MAX(1915,MIN(2025,E300))),SUMIFS(Donnees_generations!$AI$3:$AI$113,Donnees_generations!$A$3:$A$113,MAX(1915,MIN(2025,E300))),SUMIFS(Donnees_generations!$AJ$3:$AJ$113,Donnees_generations!$A$3:$A$113,MAX(1915,MIN(2025,E300)))))/2</f>
        <v/>
      </c>
      <c r="AJ300" s="8">
        <f>MAX(0,AH300+(AI300-AH300)*(K300-AG300)/2)</f>
        <v/>
      </c>
      <c r="AK300" s="8">
        <f>K300+AJ300</f>
        <v/>
      </c>
      <c r="AL300" s="14">
        <f>AE300*AJ300</f>
        <v/>
      </c>
      <c r="AM300" s="17">
        <f>V300/AL300</f>
        <v/>
      </c>
      <c r="AN300" s="17">
        <f>Z300/AL300</f>
        <v/>
      </c>
      <c r="AO300" s="33">
        <f>IF(V300+Z300=0,0,Z300/(V300+Z300))</f>
        <v/>
      </c>
      <c r="AP300" s="14">
        <f>AL300/V300*100</f>
        <v/>
      </c>
      <c r="AQ300" s="8">
        <f>P300/AL300*1000</f>
        <v/>
      </c>
      <c r="AR300" s="77">
        <f>MAX(N300,M300-1)</f>
        <v/>
      </c>
      <c r="AS300" s="14">
        <f>SUMIFS(Donnees_regimes!$R$3:$R$1118,Donnees_regimes!$A$3:$A$1118,C300,Donnees_regimes!$B$3:$B$1118,"&gt;="&amp;G300,Donnees_regimes!$B$3:$B$1118,"&lt;="&amp;N300)*L300/ROUNDUP(L300,0)*SUMIFS(Donnees_annuelles!$AG$3:$AG$188,Donnees_annuelles!$A$3:$A$188,AR300)*SUMIFS(Donnees_annuelles!$AA$3:$AA$188,Donnees_annuelles!$A$3:$A$188,AR300)</f>
        <v/>
      </c>
      <c r="AT300" s="36">
        <f>AS300/V300</f>
        <v/>
      </c>
      <c r="AU300" s="14">
        <f>AL300</f>
        <v/>
      </c>
      <c r="AV300" s="39">
        <f>AS300-AL300</f>
        <v/>
      </c>
      <c r="AW300" s="9">
        <f>AS300/AL300-1</f>
        <v/>
      </c>
      <c r="AX300" s="14">
        <f>AS300/AJ300/12</f>
        <v/>
      </c>
      <c r="AY300" s="14">
        <f>AF300</f>
        <v/>
      </c>
      <c r="AZ300" s="39">
        <f>AX300-AF300</f>
        <v/>
      </c>
      <c r="BA300" s="14">
        <f>SUMIFS(Donnees_regimes!$S$3:$S$1118,Donnees_regimes!$A$3:$A$1118,C300,Donnees_regimes!$B$3:$B$1118,"&gt;="&amp;G300,Donnees_regimes!$B$3:$B$1118,"&lt;="&amp;N300)*L300/ROUNDUP(L300,0)*SUMIFS(Donnees_annuelles!$AH$3:$AH$188,Donnees_annuelles!$A$3:$A$188,AR300)*SUMIFS(Donnees_annuelles!$AA$3:$AA$188,Donnees_annuelles!$A$3:$A$188,AR300)</f>
        <v/>
      </c>
      <c r="BB300" s="39">
        <f>BA300-AL300</f>
        <v/>
      </c>
      <c r="BC300" s="7">
        <f>IF(M300+AJ300&gt;2026,IF(G300&gt;2026,"entièrement projeté","en partie projeté"),"observé")</f>
        <v/>
      </c>
    </row>
    <row r="301">
      <c r="A301" s="7" t="inlineStr">
        <is>
          <t>Génération silencieuse</t>
        </is>
      </c>
      <c r="B301" s="84" t="inlineStr">
        <is>
          <t>SNCF</t>
        </is>
      </c>
      <c r="C301" s="7">
        <f>IF(G301&gt;=SUMIFS(Regimes!$C$5:$C$10,Regimes!$A$5:$A$10,B301),"Privé",B301)</f>
        <v/>
      </c>
      <c r="D301" s="7">
        <f>INDEX(Regimes!$D$5:$D$10,MATCH(C301,Regimes!$A$5:$A$10,0))</f>
        <v/>
      </c>
      <c r="E301" s="88" t="n">
        <v>1932</v>
      </c>
      <c r="F301" s="8">
        <f>Donnees_generations!C20</f>
        <v/>
      </c>
      <c r="G301" s="77">
        <f>Donnees_generations!D20</f>
        <v/>
      </c>
      <c r="H301" s="8">
        <f>SUMIFS(Donnees_generations!$S$3:$S$113,Donnees_generations!$A$3:$A$113,MAX(1915,MIN(2025,E301)))</f>
        <v/>
      </c>
      <c r="I301" s="8">
        <f>SUMIFS(Donnees_generations!$T$3:$T$113,Donnees_generations!$A$3:$A$113,MAX(1915,MIN(2025,E301)))</f>
        <v/>
      </c>
      <c r="J301" s="8">
        <f>IF(G301&gt;=2000,MAX(I301,Parametres!$B$3),I301)</f>
        <v/>
      </c>
      <c r="K301" s="8">
        <f>IF(C301="Privé",J301,SUMIFS(Regles_regimes!$J$3:$J$2000,Regles_regimes!$A$3:$A$2000,C301,Regles_regimes!$B$3:$B$2000,D301,Regles_regimes!$C$3:$C$2000,MAX(1915,MIN(2025,E301))))</f>
        <v/>
      </c>
      <c r="L301" s="8">
        <f>IF(C301="Privé",H301,(K301-F301)*H301/(J301-F301))</f>
        <v/>
      </c>
      <c r="M301" s="77">
        <f>INT(E301+K301)</f>
        <v/>
      </c>
      <c r="N301" s="77">
        <f>G301+ROUNDUP(L301,0)-1</f>
        <v/>
      </c>
      <c r="O301" s="89">
        <f>SUMIFS(Regles_regimes!$K$3:$K$2000,Regles_regimes!$A$3:$A$2000,C301,Regles_regimes!$B$3:$B$2000,D301,Regles_regimes!$C$3:$C$2000,MAX(1915,MIN(2025,E301)))</f>
        <v/>
      </c>
      <c r="P301" s="13">
        <f>SUMIFS(Donnees_annuelles!$W$3:$W$188,Donnees_annuelles!$A$3:$A$188,"&gt;="&amp;G301,Donnees_annuelles!$A$3:$A$188,"&lt;="&amp;N301)*L301/ROUNDUP(L301,0)*O301</f>
        <v/>
      </c>
      <c r="Q301" s="13">
        <f>SUMIFS(Donnees_annuelles!$V$3:$V$188,Donnees_annuelles!$A$3:$A$188,"&gt;="&amp;G301,Donnees_annuelles!$A$3:$A$188,"&lt;="&amp;N301)*L301/ROUNDUP(L301,0)</f>
        <v/>
      </c>
      <c r="R301" s="13">
        <f>P301/L301</f>
        <v/>
      </c>
      <c r="S301" s="14">
        <f>SUMIFS(Donnees_annuelles!$D$3:$D$188,Donnees_annuelles!$A$3:$A$188,"&gt;="&amp;G301,Donnees_annuelles!$A$3:$A$188,"&lt;="&amp;N301)*L301/ROUNDUP(L301,0)</f>
        <v/>
      </c>
      <c r="T301" s="14">
        <f>SUMIFS(Donnees_regimes!$N$3:$N$1118,Donnees_regimes!$A$3:$A$1118,C301,Donnees_regimes!$B$3:$B$1118,"&gt;="&amp;G301,Donnees_regimes!$B$3:$B$1118,"&lt;="&amp;N301)*L301/ROUNDUP(L301,0)</f>
        <v/>
      </c>
      <c r="U301" s="14">
        <f>SUMIFS(Donnees_regimes!$O$3:$O$1118,Donnees_regimes!$A$3:$A$1118,C301,Donnees_regimes!$B$3:$B$1118,"&gt;="&amp;G301,Donnees_regimes!$B$3:$B$1118,"&lt;="&amp;N301)*L301/ROUNDUP(L301,0)</f>
        <v/>
      </c>
      <c r="V301" s="14">
        <f>T301+U301</f>
        <v/>
      </c>
      <c r="W301" s="33">
        <f>V301/S301</f>
        <v/>
      </c>
      <c r="X301" s="14">
        <f>S301+U301</f>
        <v/>
      </c>
      <c r="Y301" s="17">
        <f>V301/P301</f>
        <v/>
      </c>
      <c r="Z301" s="14">
        <f>SUMIFS(Donnees_regimes!$Q$3:$Q$1118,Donnees_regimes!$A$3:$A$1118,C301,Donnees_regimes!$B$3:$B$1118,"&gt;="&amp;G301,Donnees_regimes!$B$3:$B$1118,"&lt;="&amp;N301)*L301/ROUNDUP(L301,0)</f>
        <v/>
      </c>
      <c r="AA301" s="77">
        <f>SUMIFS(Regles_regimes!$F$3:$F$2000,Regles_regimes!$A$3:$A$2000,C301,Regles_regimes!$B$3:$B$2000,D301,Regles_regimes!$C$3:$C$2000,MAX(1915,MIN(2025,E301)))</f>
        <v/>
      </c>
      <c r="AB301" s="77">
        <f>IF(AND(SUMIFS(Regles_regimes!$L$3:$L$2000,Regles_regimes!$A$3:$A$2000,C301,Regles_regimes!$B$3:$B$2000,D301,Regles_regimes!$C$3:$C$2000,MAX(1915,MIN(2025,E301)))=1,G301&lt;2009,C301&lt;&gt;"Privé"),MIN(20,L301*4/5),0)</f>
        <v/>
      </c>
      <c r="AC301" s="89">
        <f>SUMIFS(Donnees_regimes!$M$3:$M$1118,Donnees_regimes!$A$3:$A$1118,C301,Donnees_regimes!$B$3:$B$1118,M301)</f>
        <v/>
      </c>
      <c r="AD301" s="14">
        <f>SUMIFS(Donnees_annuelles!$Y$3:$Y$188,Donnees_annuelles!$A$3:$A$188,M301)*SUMIFS(Donnees_generations!$I$3:$I$113,Donnees_generations!$A$3:$A$113,MAX(1915,MIN(2025,E301)))/H301</f>
        <v/>
      </c>
      <c r="AE301" s="14">
        <f>IF(C301="Privé",SUMIFS(Donnees_annuelles!$Y$3:$Y$188,Donnees_annuelles!$A$3:$A$188,M301)*MIN(L301,SUMIFS(Donnees_generations!$I$3:$I$113,Donnees_generations!$A$3:$A$113,MAX(1915,MIN(2025,E301))))/L301,AD301*AC301*MIN(IF(AB301&gt;0,0.8/0.75,1),(L301*4+AB301)/AA301))</f>
        <v/>
      </c>
      <c r="AF301" s="14">
        <f>AE301/12</f>
        <v/>
      </c>
      <c r="AG301" s="77">
        <f>MIN(68,MAX(56,2*INT(K301/2)))</f>
        <v/>
      </c>
      <c r="AH301" s="75">
        <f>(CHOOSE((AG301-56)/2+1,SUMIFS(Donnees_generations!$U$3:$U$113,Donnees_generations!$A$3:$A$113,MAX(1915,MIN(2025,E301))),SUMIFS(Donnees_generations!$V$3:$V$113,Donnees_generations!$A$3:$A$113,MAX(1915,MIN(2025,E301))),SUMIFS(Donnees_generations!$W$3:$W$113,Donnees_generations!$A$3:$A$113,MAX(1915,MIN(2025,E301))),SUMIFS(Donnees_generations!$X$3:$X$113,Donnees_generations!$A$3:$A$113,MAX(1915,MIN(2025,E301))),SUMIFS(Donnees_generations!$Y$3:$Y$113,Donnees_generations!$A$3:$A$113,MAX(1915,MIN(2025,E301))),SUMIFS(Donnees_generations!$Z$3:$Z$113,Donnees_generations!$A$3:$A$113,MAX(1915,MIN(2025,E301))),SUMIFS(Donnees_generations!$AA$3:$AA$113,Donnees_generations!$A$3:$A$113,MAX(1915,MIN(2025,E301))),SUMIFS(Donnees_generations!$AB$3:$AB$113,Donnees_generations!$A$3:$A$113,MAX(1915,MIN(2025,E301))))+CHOOSE((AG301-56)/2+1,SUMIFS(Donnees_generations!$AC$3:$AC$113,Donnees_generations!$A$3:$A$113,MAX(1915,MIN(2025,E301))),SUMIFS(Donnees_generations!$AD$3:$AD$113,Donnees_generations!$A$3:$A$113,MAX(1915,MIN(2025,E301))),SUMIFS(Donnees_generations!$AE$3:$AE$113,Donnees_generations!$A$3:$A$113,MAX(1915,MIN(2025,E301))),SUMIFS(Donnees_generations!$AF$3:$AF$113,Donnees_generations!$A$3:$A$113,MAX(1915,MIN(2025,E301))),SUMIFS(Donnees_generations!$AG$3:$AG$113,Donnees_generations!$A$3:$A$113,MAX(1915,MIN(2025,E301))),SUMIFS(Donnees_generations!$AH$3:$AH$113,Donnees_generations!$A$3:$A$113,MAX(1915,MIN(2025,E301))),SUMIFS(Donnees_generations!$AI$3:$AI$113,Donnees_generations!$A$3:$A$113,MAX(1915,MIN(2025,E301))),SUMIFS(Donnees_generations!$AJ$3:$AJ$113,Donnees_generations!$A$3:$A$113,MAX(1915,MIN(2025,E301)))))/2</f>
        <v/>
      </c>
      <c r="AI301" s="75">
        <f>(CHOOSE(((AG301+2)-56)/2+1,SUMIFS(Donnees_generations!$U$3:$U$113,Donnees_generations!$A$3:$A$113,MAX(1915,MIN(2025,E301))),SUMIFS(Donnees_generations!$V$3:$V$113,Donnees_generations!$A$3:$A$113,MAX(1915,MIN(2025,E301))),SUMIFS(Donnees_generations!$W$3:$W$113,Donnees_generations!$A$3:$A$113,MAX(1915,MIN(2025,E301))),SUMIFS(Donnees_generations!$X$3:$X$113,Donnees_generations!$A$3:$A$113,MAX(1915,MIN(2025,E301))),SUMIFS(Donnees_generations!$Y$3:$Y$113,Donnees_generations!$A$3:$A$113,MAX(1915,MIN(2025,E301))),SUMIFS(Donnees_generations!$Z$3:$Z$113,Donnees_generations!$A$3:$A$113,MAX(1915,MIN(2025,E301))),SUMIFS(Donnees_generations!$AA$3:$AA$113,Donnees_generations!$A$3:$A$113,MAX(1915,MIN(2025,E301))),SUMIFS(Donnees_generations!$AB$3:$AB$113,Donnees_generations!$A$3:$A$113,MAX(1915,MIN(2025,E301))))+CHOOSE(((AG301+2)-56)/2+1,SUMIFS(Donnees_generations!$AC$3:$AC$113,Donnees_generations!$A$3:$A$113,MAX(1915,MIN(2025,E301))),SUMIFS(Donnees_generations!$AD$3:$AD$113,Donnees_generations!$A$3:$A$113,MAX(1915,MIN(2025,E301))),SUMIFS(Donnees_generations!$AE$3:$AE$113,Donnees_generations!$A$3:$A$113,MAX(1915,MIN(2025,E301))),SUMIFS(Donnees_generations!$AF$3:$AF$113,Donnees_generations!$A$3:$A$113,MAX(1915,MIN(2025,E301))),SUMIFS(Donnees_generations!$AG$3:$AG$113,Donnees_generations!$A$3:$A$113,MAX(1915,MIN(2025,E301))),SUMIFS(Donnees_generations!$AH$3:$AH$113,Donnees_generations!$A$3:$A$113,MAX(1915,MIN(2025,E301))),SUMIFS(Donnees_generations!$AI$3:$AI$113,Donnees_generations!$A$3:$A$113,MAX(1915,MIN(2025,E301))),SUMIFS(Donnees_generations!$AJ$3:$AJ$113,Donnees_generations!$A$3:$A$113,MAX(1915,MIN(2025,E301)))))/2</f>
        <v/>
      </c>
      <c r="AJ301" s="8">
        <f>MAX(0,AH301+(AI301-AH301)*(K301-AG301)/2)</f>
        <v/>
      </c>
      <c r="AK301" s="8">
        <f>K301+AJ301</f>
        <v/>
      </c>
      <c r="AL301" s="14">
        <f>AE301*AJ301</f>
        <v/>
      </c>
      <c r="AM301" s="17">
        <f>V301/AL301</f>
        <v/>
      </c>
      <c r="AN301" s="17">
        <f>Z301/AL301</f>
        <v/>
      </c>
      <c r="AO301" s="33">
        <f>IF(V301+Z301=0,0,Z301/(V301+Z301))</f>
        <v/>
      </c>
      <c r="AP301" s="14">
        <f>AL301/V301*100</f>
        <v/>
      </c>
      <c r="AQ301" s="8">
        <f>P301/AL301*1000</f>
        <v/>
      </c>
      <c r="AR301" s="77">
        <f>MAX(N301,M301-1)</f>
        <v/>
      </c>
      <c r="AS301" s="14">
        <f>SUMIFS(Donnees_regimes!$R$3:$R$1118,Donnees_regimes!$A$3:$A$1118,C301,Donnees_regimes!$B$3:$B$1118,"&gt;="&amp;G301,Donnees_regimes!$B$3:$B$1118,"&lt;="&amp;N301)*L301/ROUNDUP(L301,0)*SUMIFS(Donnees_annuelles!$AG$3:$AG$188,Donnees_annuelles!$A$3:$A$188,AR301)*SUMIFS(Donnees_annuelles!$AA$3:$AA$188,Donnees_annuelles!$A$3:$A$188,AR301)</f>
        <v/>
      </c>
      <c r="AT301" s="36">
        <f>AS301/V301</f>
        <v/>
      </c>
      <c r="AU301" s="14">
        <f>AL301</f>
        <v/>
      </c>
      <c r="AV301" s="39">
        <f>AS301-AL301</f>
        <v/>
      </c>
      <c r="AW301" s="9">
        <f>AS301/AL301-1</f>
        <v/>
      </c>
      <c r="AX301" s="14">
        <f>AS301/AJ301/12</f>
        <v/>
      </c>
      <c r="AY301" s="14">
        <f>AF301</f>
        <v/>
      </c>
      <c r="AZ301" s="39">
        <f>AX301-AF301</f>
        <v/>
      </c>
      <c r="BA301" s="14">
        <f>SUMIFS(Donnees_regimes!$S$3:$S$1118,Donnees_regimes!$A$3:$A$1118,C301,Donnees_regimes!$B$3:$B$1118,"&gt;="&amp;G301,Donnees_regimes!$B$3:$B$1118,"&lt;="&amp;N301)*L301/ROUNDUP(L301,0)*SUMIFS(Donnees_annuelles!$AH$3:$AH$188,Donnees_annuelles!$A$3:$A$188,AR301)*SUMIFS(Donnees_annuelles!$AA$3:$AA$188,Donnees_annuelles!$A$3:$A$188,AR301)</f>
        <v/>
      </c>
      <c r="BB301" s="39">
        <f>BA301-AL301</f>
        <v/>
      </c>
      <c r="BC301" s="7">
        <f>IF(M301+AJ301&gt;2026,IF(G301&gt;2026,"entièrement projeté","en partie projeté"),"observé")</f>
        <v/>
      </c>
    </row>
    <row r="302">
      <c r="A302" s="7" t="inlineStr">
        <is>
          <t>Génération silencieuse</t>
        </is>
      </c>
      <c r="B302" s="84" t="inlineStr">
        <is>
          <t>SNCF</t>
        </is>
      </c>
      <c r="C302" s="7">
        <f>IF(G302&gt;=SUMIFS(Regimes!$C$5:$C$10,Regimes!$A$5:$A$10,B302),"Privé",B302)</f>
        <v/>
      </c>
      <c r="D302" s="7">
        <f>INDEX(Regimes!$D$5:$D$10,MATCH(C302,Regimes!$A$5:$A$10,0))</f>
        <v/>
      </c>
      <c r="E302" s="88" t="n">
        <v>1933</v>
      </c>
      <c r="F302" s="8">
        <f>Donnees_generations!C21</f>
        <v/>
      </c>
      <c r="G302" s="77">
        <f>Donnees_generations!D21</f>
        <v/>
      </c>
      <c r="H302" s="8">
        <f>SUMIFS(Donnees_generations!$S$3:$S$113,Donnees_generations!$A$3:$A$113,MAX(1915,MIN(2025,E302)))</f>
        <v/>
      </c>
      <c r="I302" s="8">
        <f>SUMIFS(Donnees_generations!$T$3:$T$113,Donnees_generations!$A$3:$A$113,MAX(1915,MIN(2025,E302)))</f>
        <v/>
      </c>
      <c r="J302" s="8">
        <f>IF(G302&gt;=2000,MAX(I302,Parametres!$B$3),I302)</f>
        <v/>
      </c>
      <c r="K302" s="8">
        <f>IF(C302="Privé",J302,SUMIFS(Regles_regimes!$J$3:$J$2000,Regles_regimes!$A$3:$A$2000,C302,Regles_regimes!$B$3:$B$2000,D302,Regles_regimes!$C$3:$C$2000,MAX(1915,MIN(2025,E302))))</f>
        <v/>
      </c>
      <c r="L302" s="8">
        <f>IF(C302="Privé",H302,(K302-F302)*H302/(J302-F302))</f>
        <v/>
      </c>
      <c r="M302" s="77">
        <f>INT(E302+K302)</f>
        <v/>
      </c>
      <c r="N302" s="77">
        <f>G302+ROUNDUP(L302,0)-1</f>
        <v/>
      </c>
      <c r="O302" s="89">
        <f>SUMIFS(Regles_regimes!$K$3:$K$2000,Regles_regimes!$A$3:$A$2000,C302,Regles_regimes!$B$3:$B$2000,D302,Regles_regimes!$C$3:$C$2000,MAX(1915,MIN(2025,E302)))</f>
        <v/>
      </c>
      <c r="P302" s="13">
        <f>SUMIFS(Donnees_annuelles!$W$3:$W$188,Donnees_annuelles!$A$3:$A$188,"&gt;="&amp;G302,Donnees_annuelles!$A$3:$A$188,"&lt;="&amp;N302)*L302/ROUNDUP(L302,0)*O302</f>
        <v/>
      </c>
      <c r="Q302" s="13">
        <f>SUMIFS(Donnees_annuelles!$V$3:$V$188,Donnees_annuelles!$A$3:$A$188,"&gt;="&amp;G302,Donnees_annuelles!$A$3:$A$188,"&lt;="&amp;N302)*L302/ROUNDUP(L302,0)</f>
        <v/>
      </c>
      <c r="R302" s="13">
        <f>P302/L302</f>
        <v/>
      </c>
      <c r="S302" s="14">
        <f>SUMIFS(Donnees_annuelles!$D$3:$D$188,Donnees_annuelles!$A$3:$A$188,"&gt;="&amp;G302,Donnees_annuelles!$A$3:$A$188,"&lt;="&amp;N302)*L302/ROUNDUP(L302,0)</f>
        <v/>
      </c>
      <c r="T302" s="14">
        <f>SUMIFS(Donnees_regimes!$N$3:$N$1118,Donnees_regimes!$A$3:$A$1118,C302,Donnees_regimes!$B$3:$B$1118,"&gt;="&amp;G302,Donnees_regimes!$B$3:$B$1118,"&lt;="&amp;N302)*L302/ROUNDUP(L302,0)</f>
        <v/>
      </c>
      <c r="U302" s="14">
        <f>SUMIFS(Donnees_regimes!$O$3:$O$1118,Donnees_regimes!$A$3:$A$1118,C302,Donnees_regimes!$B$3:$B$1118,"&gt;="&amp;G302,Donnees_regimes!$B$3:$B$1118,"&lt;="&amp;N302)*L302/ROUNDUP(L302,0)</f>
        <v/>
      </c>
      <c r="V302" s="14">
        <f>T302+U302</f>
        <v/>
      </c>
      <c r="W302" s="33">
        <f>V302/S302</f>
        <v/>
      </c>
      <c r="X302" s="14">
        <f>S302+U302</f>
        <v/>
      </c>
      <c r="Y302" s="17">
        <f>V302/P302</f>
        <v/>
      </c>
      <c r="Z302" s="14">
        <f>SUMIFS(Donnees_regimes!$Q$3:$Q$1118,Donnees_regimes!$A$3:$A$1118,C302,Donnees_regimes!$B$3:$B$1118,"&gt;="&amp;G302,Donnees_regimes!$B$3:$B$1118,"&lt;="&amp;N302)*L302/ROUNDUP(L302,0)</f>
        <v/>
      </c>
      <c r="AA302" s="77">
        <f>SUMIFS(Regles_regimes!$F$3:$F$2000,Regles_regimes!$A$3:$A$2000,C302,Regles_regimes!$B$3:$B$2000,D302,Regles_regimes!$C$3:$C$2000,MAX(1915,MIN(2025,E302)))</f>
        <v/>
      </c>
      <c r="AB302" s="77">
        <f>IF(AND(SUMIFS(Regles_regimes!$L$3:$L$2000,Regles_regimes!$A$3:$A$2000,C302,Regles_regimes!$B$3:$B$2000,D302,Regles_regimes!$C$3:$C$2000,MAX(1915,MIN(2025,E302)))=1,G302&lt;2009,C302&lt;&gt;"Privé"),MIN(20,L302*4/5),0)</f>
        <v/>
      </c>
      <c r="AC302" s="89">
        <f>SUMIFS(Donnees_regimes!$M$3:$M$1118,Donnees_regimes!$A$3:$A$1118,C302,Donnees_regimes!$B$3:$B$1118,M302)</f>
        <v/>
      </c>
      <c r="AD302" s="14">
        <f>SUMIFS(Donnees_annuelles!$Y$3:$Y$188,Donnees_annuelles!$A$3:$A$188,M302)*SUMIFS(Donnees_generations!$I$3:$I$113,Donnees_generations!$A$3:$A$113,MAX(1915,MIN(2025,E302)))/H302</f>
        <v/>
      </c>
      <c r="AE302" s="14">
        <f>IF(C302="Privé",SUMIFS(Donnees_annuelles!$Y$3:$Y$188,Donnees_annuelles!$A$3:$A$188,M302)*MIN(L302,SUMIFS(Donnees_generations!$I$3:$I$113,Donnees_generations!$A$3:$A$113,MAX(1915,MIN(2025,E302))))/L302,AD302*AC302*MIN(IF(AB302&gt;0,0.8/0.75,1),(L302*4+AB302)/AA302))</f>
        <v/>
      </c>
      <c r="AF302" s="14">
        <f>AE302/12</f>
        <v/>
      </c>
      <c r="AG302" s="77">
        <f>MIN(68,MAX(56,2*INT(K302/2)))</f>
        <v/>
      </c>
      <c r="AH302" s="75">
        <f>(CHOOSE((AG302-56)/2+1,SUMIFS(Donnees_generations!$U$3:$U$113,Donnees_generations!$A$3:$A$113,MAX(1915,MIN(2025,E302))),SUMIFS(Donnees_generations!$V$3:$V$113,Donnees_generations!$A$3:$A$113,MAX(1915,MIN(2025,E302))),SUMIFS(Donnees_generations!$W$3:$W$113,Donnees_generations!$A$3:$A$113,MAX(1915,MIN(2025,E302))),SUMIFS(Donnees_generations!$X$3:$X$113,Donnees_generations!$A$3:$A$113,MAX(1915,MIN(2025,E302))),SUMIFS(Donnees_generations!$Y$3:$Y$113,Donnees_generations!$A$3:$A$113,MAX(1915,MIN(2025,E302))),SUMIFS(Donnees_generations!$Z$3:$Z$113,Donnees_generations!$A$3:$A$113,MAX(1915,MIN(2025,E302))),SUMIFS(Donnees_generations!$AA$3:$AA$113,Donnees_generations!$A$3:$A$113,MAX(1915,MIN(2025,E302))),SUMIFS(Donnees_generations!$AB$3:$AB$113,Donnees_generations!$A$3:$A$113,MAX(1915,MIN(2025,E302))))+CHOOSE((AG302-56)/2+1,SUMIFS(Donnees_generations!$AC$3:$AC$113,Donnees_generations!$A$3:$A$113,MAX(1915,MIN(2025,E302))),SUMIFS(Donnees_generations!$AD$3:$AD$113,Donnees_generations!$A$3:$A$113,MAX(1915,MIN(2025,E302))),SUMIFS(Donnees_generations!$AE$3:$AE$113,Donnees_generations!$A$3:$A$113,MAX(1915,MIN(2025,E302))),SUMIFS(Donnees_generations!$AF$3:$AF$113,Donnees_generations!$A$3:$A$113,MAX(1915,MIN(2025,E302))),SUMIFS(Donnees_generations!$AG$3:$AG$113,Donnees_generations!$A$3:$A$113,MAX(1915,MIN(2025,E302))),SUMIFS(Donnees_generations!$AH$3:$AH$113,Donnees_generations!$A$3:$A$113,MAX(1915,MIN(2025,E302))),SUMIFS(Donnees_generations!$AI$3:$AI$113,Donnees_generations!$A$3:$A$113,MAX(1915,MIN(2025,E302))),SUMIFS(Donnees_generations!$AJ$3:$AJ$113,Donnees_generations!$A$3:$A$113,MAX(1915,MIN(2025,E302)))))/2</f>
        <v/>
      </c>
      <c r="AI302" s="75">
        <f>(CHOOSE(((AG302+2)-56)/2+1,SUMIFS(Donnees_generations!$U$3:$U$113,Donnees_generations!$A$3:$A$113,MAX(1915,MIN(2025,E302))),SUMIFS(Donnees_generations!$V$3:$V$113,Donnees_generations!$A$3:$A$113,MAX(1915,MIN(2025,E302))),SUMIFS(Donnees_generations!$W$3:$W$113,Donnees_generations!$A$3:$A$113,MAX(1915,MIN(2025,E302))),SUMIFS(Donnees_generations!$X$3:$X$113,Donnees_generations!$A$3:$A$113,MAX(1915,MIN(2025,E302))),SUMIFS(Donnees_generations!$Y$3:$Y$113,Donnees_generations!$A$3:$A$113,MAX(1915,MIN(2025,E302))),SUMIFS(Donnees_generations!$Z$3:$Z$113,Donnees_generations!$A$3:$A$113,MAX(1915,MIN(2025,E302))),SUMIFS(Donnees_generations!$AA$3:$AA$113,Donnees_generations!$A$3:$A$113,MAX(1915,MIN(2025,E302))),SUMIFS(Donnees_generations!$AB$3:$AB$113,Donnees_generations!$A$3:$A$113,MAX(1915,MIN(2025,E302))))+CHOOSE(((AG302+2)-56)/2+1,SUMIFS(Donnees_generations!$AC$3:$AC$113,Donnees_generations!$A$3:$A$113,MAX(1915,MIN(2025,E302))),SUMIFS(Donnees_generations!$AD$3:$AD$113,Donnees_generations!$A$3:$A$113,MAX(1915,MIN(2025,E302))),SUMIFS(Donnees_generations!$AE$3:$AE$113,Donnees_generations!$A$3:$A$113,MAX(1915,MIN(2025,E302))),SUMIFS(Donnees_generations!$AF$3:$AF$113,Donnees_generations!$A$3:$A$113,MAX(1915,MIN(2025,E302))),SUMIFS(Donnees_generations!$AG$3:$AG$113,Donnees_generations!$A$3:$A$113,MAX(1915,MIN(2025,E302))),SUMIFS(Donnees_generations!$AH$3:$AH$113,Donnees_generations!$A$3:$A$113,MAX(1915,MIN(2025,E302))),SUMIFS(Donnees_generations!$AI$3:$AI$113,Donnees_generations!$A$3:$A$113,MAX(1915,MIN(2025,E302))),SUMIFS(Donnees_generations!$AJ$3:$AJ$113,Donnees_generations!$A$3:$A$113,MAX(1915,MIN(2025,E302)))))/2</f>
        <v/>
      </c>
      <c r="AJ302" s="8">
        <f>MAX(0,AH302+(AI302-AH302)*(K302-AG302)/2)</f>
        <v/>
      </c>
      <c r="AK302" s="8">
        <f>K302+AJ302</f>
        <v/>
      </c>
      <c r="AL302" s="14">
        <f>AE302*AJ302</f>
        <v/>
      </c>
      <c r="AM302" s="17">
        <f>V302/AL302</f>
        <v/>
      </c>
      <c r="AN302" s="17">
        <f>Z302/AL302</f>
        <v/>
      </c>
      <c r="AO302" s="33">
        <f>IF(V302+Z302=0,0,Z302/(V302+Z302))</f>
        <v/>
      </c>
      <c r="AP302" s="14">
        <f>AL302/V302*100</f>
        <v/>
      </c>
      <c r="AQ302" s="8">
        <f>P302/AL302*1000</f>
        <v/>
      </c>
      <c r="AR302" s="77">
        <f>MAX(N302,M302-1)</f>
        <v/>
      </c>
      <c r="AS302" s="14">
        <f>SUMIFS(Donnees_regimes!$R$3:$R$1118,Donnees_regimes!$A$3:$A$1118,C302,Donnees_regimes!$B$3:$B$1118,"&gt;="&amp;G302,Donnees_regimes!$B$3:$B$1118,"&lt;="&amp;N302)*L302/ROUNDUP(L302,0)*SUMIFS(Donnees_annuelles!$AG$3:$AG$188,Donnees_annuelles!$A$3:$A$188,AR302)*SUMIFS(Donnees_annuelles!$AA$3:$AA$188,Donnees_annuelles!$A$3:$A$188,AR302)</f>
        <v/>
      </c>
      <c r="AT302" s="36">
        <f>AS302/V302</f>
        <v/>
      </c>
      <c r="AU302" s="14">
        <f>AL302</f>
        <v/>
      </c>
      <c r="AV302" s="39">
        <f>AS302-AL302</f>
        <v/>
      </c>
      <c r="AW302" s="9">
        <f>AS302/AL302-1</f>
        <v/>
      </c>
      <c r="AX302" s="14">
        <f>AS302/AJ302/12</f>
        <v/>
      </c>
      <c r="AY302" s="14">
        <f>AF302</f>
        <v/>
      </c>
      <c r="AZ302" s="39">
        <f>AX302-AF302</f>
        <v/>
      </c>
      <c r="BA302" s="14">
        <f>SUMIFS(Donnees_regimes!$S$3:$S$1118,Donnees_regimes!$A$3:$A$1118,C302,Donnees_regimes!$B$3:$B$1118,"&gt;="&amp;G302,Donnees_regimes!$B$3:$B$1118,"&lt;="&amp;N302)*L302/ROUNDUP(L302,0)*SUMIFS(Donnees_annuelles!$AH$3:$AH$188,Donnees_annuelles!$A$3:$A$188,AR302)*SUMIFS(Donnees_annuelles!$AA$3:$AA$188,Donnees_annuelles!$A$3:$A$188,AR302)</f>
        <v/>
      </c>
      <c r="BB302" s="39">
        <f>BA302-AL302</f>
        <v/>
      </c>
      <c r="BC302" s="7">
        <f>IF(M302+AJ302&gt;2026,IF(G302&gt;2026,"entièrement projeté","en partie projeté"),"observé")</f>
        <v/>
      </c>
    </row>
    <row r="303">
      <c r="A303" s="7" t="inlineStr">
        <is>
          <t>Génération silencieuse</t>
        </is>
      </c>
      <c r="B303" s="84" t="inlineStr">
        <is>
          <t>SNCF</t>
        </is>
      </c>
      <c r="C303" s="7">
        <f>IF(G303&gt;=SUMIFS(Regimes!$C$5:$C$10,Regimes!$A$5:$A$10,B303),"Privé",B303)</f>
        <v/>
      </c>
      <c r="D303" s="7">
        <f>INDEX(Regimes!$D$5:$D$10,MATCH(C303,Regimes!$A$5:$A$10,0))</f>
        <v/>
      </c>
      <c r="E303" s="88" t="n">
        <v>1934</v>
      </c>
      <c r="F303" s="8">
        <f>Donnees_generations!C22</f>
        <v/>
      </c>
      <c r="G303" s="77">
        <f>Donnees_generations!D22</f>
        <v/>
      </c>
      <c r="H303" s="8">
        <f>SUMIFS(Donnees_generations!$S$3:$S$113,Donnees_generations!$A$3:$A$113,MAX(1915,MIN(2025,E303)))</f>
        <v/>
      </c>
      <c r="I303" s="8">
        <f>SUMIFS(Donnees_generations!$T$3:$T$113,Donnees_generations!$A$3:$A$113,MAX(1915,MIN(2025,E303)))</f>
        <v/>
      </c>
      <c r="J303" s="8">
        <f>IF(G303&gt;=2000,MAX(I303,Parametres!$B$3),I303)</f>
        <v/>
      </c>
      <c r="K303" s="8">
        <f>IF(C303="Privé",J303,SUMIFS(Regles_regimes!$J$3:$J$2000,Regles_regimes!$A$3:$A$2000,C303,Regles_regimes!$B$3:$B$2000,D303,Regles_regimes!$C$3:$C$2000,MAX(1915,MIN(2025,E303))))</f>
        <v/>
      </c>
      <c r="L303" s="8">
        <f>IF(C303="Privé",H303,(K303-F303)*H303/(J303-F303))</f>
        <v/>
      </c>
      <c r="M303" s="77">
        <f>INT(E303+K303)</f>
        <v/>
      </c>
      <c r="N303" s="77">
        <f>G303+ROUNDUP(L303,0)-1</f>
        <v/>
      </c>
      <c r="O303" s="89">
        <f>SUMIFS(Regles_regimes!$K$3:$K$2000,Regles_regimes!$A$3:$A$2000,C303,Regles_regimes!$B$3:$B$2000,D303,Regles_regimes!$C$3:$C$2000,MAX(1915,MIN(2025,E303)))</f>
        <v/>
      </c>
      <c r="P303" s="13">
        <f>SUMIFS(Donnees_annuelles!$W$3:$W$188,Donnees_annuelles!$A$3:$A$188,"&gt;="&amp;G303,Donnees_annuelles!$A$3:$A$188,"&lt;="&amp;N303)*L303/ROUNDUP(L303,0)*O303</f>
        <v/>
      </c>
      <c r="Q303" s="13">
        <f>SUMIFS(Donnees_annuelles!$V$3:$V$188,Donnees_annuelles!$A$3:$A$188,"&gt;="&amp;G303,Donnees_annuelles!$A$3:$A$188,"&lt;="&amp;N303)*L303/ROUNDUP(L303,0)</f>
        <v/>
      </c>
      <c r="R303" s="13">
        <f>P303/L303</f>
        <v/>
      </c>
      <c r="S303" s="14">
        <f>SUMIFS(Donnees_annuelles!$D$3:$D$188,Donnees_annuelles!$A$3:$A$188,"&gt;="&amp;G303,Donnees_annuelles!$A$3:$A$188,"&lt;="&amp;N303)*L303/ROUNDUP(L303,0)</f>
        <v/>
      </c>
      <c r="T303" s="14">
        <f>SUMIFS(Donnees_regimes!$N$3:$N$1118,Donnees_regimes!$A$3:$A$1118,C303,Donnees_regimes!$B$3:$B$1118,"&gt;="&amp;G303,Donnees_regimes!$B$3:$B$1118,"&lt;="&amp;N303)*L303/ROUNDUP(L303,0)</f>
        <v/>
      </c>
      <c r="U303" s="14">
        <f>SUMIFS(Donnees_regimes!$O$3:$O$1118,Donnees_regimes!$A$3:$A$1118,C303,Donnees_regimes!$B$3:$B$1118,"&gt;="&amp;G303,Donnees_regimes!$B$3:$B$1118,"&lt;="&amp;N303)*L303/ROUNDUP(L303,0)</f>
        <v/>
      </c>
      <c r="V303" s="14">
        <f>T303+U303</f>
        <v/>
      </c>
      <c r="W303" s="33">
        <f>V303/S303</f>
        <v/>
      </c>
      <c r="X303" s="14">
        <f>S303+U303</f>
        <v/>
      </c>
      <c r="Y303" s="17">
        <f>V303/P303</f>
        <v/>
      </c>
      <c r="Z303" s="14">
        <f>SUMIFS(Donnees_regimes!$Q$3:$Q$1118,Donnees_regimes!$A$3:$A$1118,C303,Donnees_regimes!$B$3:$B$1118,"&gt;="&amp;G303,Donnees_regimes!$B$3:$B$1118,"&lt;="&amp;N303)*L303/ROUNDUP(L303,0)</f>
        <v/>
      </c>
      <c r="AA303" s="77">
        <f>SUMIFS(Regles_regimes!$F$3:$F$2000,Regles_regimes!$A$3:$A$2000,C303,Regles_regimes!$B$3:$B$2000,D303,Regles_regimes!$C$3:$C$2000,MAX(1915,MIN(2025,E303)))</f>
        <v/>
      </c>
      <c r="AB303" s="77">
        <f>IF(AND(SUMIFS(Regles_regimes!$L$3:$L$2000,Regles_regimes!$A$3:$A$2000,C303,Regles_regimes!$B$3:$B$2000,D303,Regles_regimes!$C$3:$C$2000,MAX(1915,MIN(2025,E303)))=1,G303&lt;2009,C303&lt;&gt;"Privé"),MIN(20,L303*4/5),0)</f>
        <v/>
      </c>
      <c r="AC303" s="89">
        <f>SUMIFS(Donnees_regimes!$M$3:$M$1118,Donnees_regimes!$A$3:$A$1118,C303,Donnees_regimes!$B$3:$B$1118,M303)</f>
        <v/>
      </c>
      <c r="AD303" s="14">
        <f>SUMIFS(Donnees_annuelles!$Y$3:$Y$188,Donnees_annuelles!$A$3:$A$188,M303)*SUMIFS(Donnees_generations!$I$3:$I$113,Donnees_generations!$A$3:$A$113,MAX(1915,MIN(2025,E303)))/H303</f>
        <v/>
      </c>
      <c r="AE303" s="14">
        <f>IF(C303="Privé",SUMIFS(Donnees_annuelles!$Y$3:$Y$188,Donnees_annuelles!$A$3:$A$188,M303)*MIN(L303,SUMIFS(Donnees_generations!$I$3:$I$113,Donnees_generations!$A$3:$A$113,MAX(1915,MIN(2025,E303))))/L303,AD303*AC303*MIN(IF(AB303&gt;0,0.8/0.75,1),(L303*4+AB303)/AA303))</f>
        <v/>
      </c>
      <c r="AF303" s="14">
        <f>AE303/12</f>
        <v/>
      </c>
      <c r="AG303" s="77">
        <f>MIN(68,MAX(56,2*INT(K303/2)))</f>
        <v/>
      </c>
      <c r="AH303" s="75">
        <f>(CHOOSE((AG303-56)/2+1,SUMIFS(Donnees_generations!$U$3:$U$113,Donnees_generations!$A$3:$A$113,MAX(1915,MIN(2025,E303))),SUMIFS(Donnees_generations!$V$3:$V$113,Donnees_generations!$A$3:$A$113,MAX(1915,MIN(2025,E303))),SUMIFS(Donnees_generations!$W$3:$W$113,Donnees_generations!$A$3:$A$113,MAX(1915,MIN(2025,E303))),SUMIFS(Donnees_generations!$X$3:$X$113,Donnees_generations!$A$3:$A$113,MAX(1915,MIN(2025,E303))),SUMIFS(Donnees_generations!$Y$3:$Y$113,Donnees_generations!$A$3:$A$113,MAX(1915,MIN(2025,E303))),SUMIFS(Donnees_generations!$Z$3:$Z$113,Donnees_generations!$A$3:$A$113,MAX(1915,MIN(2025,E303))),SUMIFS(Donnees_generations!$AA$3:$AA$113,Donnees_generations!$A$3:$A$113,MAX(1915,MIN(2025,E303))),SUMIFS(Donnees_generations!$AB$3:$AB$113,Donnees_generations!$A$3:$A$113,MAX(1915,MIN(2025,E303))))+CHOOSE((AG303-56)/2+1,SUMIFS(Donnees_generations!$AC$3:$AC$113,Donnees_generations!$A$3:$A$113,MAX(1915,MIN(2025,E303))),SUMIFS(Donnees_generations!$AD$3:$AD$113,Donnees_generations!$A$3:$A$113,MAX(1915,MIN(2025,E303))),SUMIFS(Donnees_generations!$AE$3:$AE$113,Donnees_generations!$A$3:$A$113,MAX(1915,MIN(2025,E303))),SUMIFS(Donnees_generations!$AF$3:$AF$113,Donnees_generations!$A$3:$A$113,MAX(1915,MIN(2025,E303))),SUMIFS(Donnees_generations!$AG$3:$AG$113,Donnees_generations!$A$3:$A$113,MAX(1915,MIN(2025,E303))),SUMIFS(Donnees_generations!$AH$3:$AH$113,Donnees_generations!$A$3:$A$113,MAX(1915,MIN(2025,E303))),SUMIFS(Donnees_generations!$AI$3:$AI$113,Donnees_generations!$A$3:$A$113,MAX(1915,MIN(2025,E303))),SUMIFS(Donnees_generations!$AJ$3:$AJ$113,Donnees_generations!$A$3:$A$113,MAX(1915,MIN(2025,E303)))))/2</f>
        <v/>
      </c>
      <c r="AI303" s="75">
        <f>(CHOOSE(((AG303+2)-56)/2+1,SUMIFS(Donnees_generations!$U$3:$U$113,Donnees_generations!$A$3:$A$113,MAX(1915,MIN(2025,E303))),SUMIFS(Donnees_generations!$V$3:$V$113,Donnees_generations!$A$3:$A$113,MAX(1915,MIN(2025,E303))),SUMIFS(Donnees_generations!$W$3:$W$113,Donnees_generations!$A$3:$A$113,MAX(1915,MIN(2025,E303))),SUMIFS(Donnees_generations!$X$3:$X$113,Donnees_generations!$A$3:$A$113,MAX(1915,MIN(2025,E303))),SUMIFS(Donnees_generations!$Y$3:$Y$113,Donnees_generations!$A$3:$A$113,MAX(1915,MIN(2025,E303))),SUMIFS(Donnees_generations!$Z$3:$Z$113,Donnees_generations!$A$3:$A$113,MAX(1915,MIN(2025,E303))),SUMIFS(Donnees_generations!$AA$3:$AA$113,Donnees_generations!$A$3:$A$113,MAX(1915,MIN(2025,E303))),SUMIFS(Donnees_generations!$AB$3:$AB$113,Donnees_generations!$A$3:$A$113,MAX(1915,MIN(2025,E303))))+CHOOSE(((AG303+2)-56)/2+1,SUMIFS(Donnees_generations!$AC$3:$AC$113,Donnees_generations!$A$3:$A$113,MAX(1915,MIN(2025,E303))),SUMIFS(Donnees_generations!$AD$3:$AD$113,Donnees_generations!$A$3:$A$113,MAX(1915,MIN(2025,E303))),SUMIFS(Donnees_generations!$AE$3:$AE$113,Donnees_generations!$A$3:$A$113,MAX(1915,MIN(2025,E303))),SUMIFS(Donnees_generations!$AF$3:$AF$113,Donnees_generations!$A$3:$A$113,MAX(1915,MIN(2025,E303))),SUMIFS(Donnees_generations!$AG$3:$AG$113,Donnees_generations!$A$3:$A$113,MAX(1915,MIN(2025,E303))),SUMIFS(Donnees_generations!$AH$3:$AH$113,Donnees_generations!$A$3:$A$113,MAX(1915,MIN(2025,E303))),SUMIFS(Donnees_generations!$AI$3:$AI$113,Donnees_generations!$A$3:$A$113,MAX(1915,MIN(2025,E303))),SUMIFS(Donnees_generations!$AJ$3:$AJ$113,Donnees_generations!$A$3:$A$113,MAX(1915,MIN(2025,E303)))))/2</f>
        <v/>
      </c>
      <c r="AJ303" s="8">
        <f>MAX(0,AH303+(AI303-AH303)*(K303-AG303)/2)</f>
        <v/>
      </c>
      <c r="AK303" s="8">
        <f>K303+AJ303</f>
        <v/>
      </c>
      <c r="AL303" s="14">
        <f>AE303*AJ303</f>
        <v/>
      </c>
      <c r="AM303" s="17">
        <f>V303/AL303</f>
        <v/>
      </c>
      <c r="AN303" s="17">
        <f>Z303/AL303</f>
        <v/>
      </c>
      <c r="AO303" s="33">
        <f>IF(V303+Z303=0,0,Z303/(V303+Z303))</f>
        <v/>
      </c>
      <c r="AP303" s="14">
        <f>AL303/V303*100</f>
        <v/>
      </c>
      <c r="AQ303" s="8">
        <f>P303/AL303*1000</f>
        <v/>
      </c>
      <c r="AR303" s="77">
        <f>MAX(N303,M303-1)</f>
        <v/>
      </c>
      <c r="AS303" s="14">
        <f>SUMIFS(Donnees_regimes!$R$3:$R$1118,Donnees_regimes!$A$3:$A$1118,C303,Donnees_regimes!$B$3:$B$1118,"&gt;="&amp;G303,Donnees_regimes!$B$3:$B$1118,"&lt;="&amp;N303)*L303/ROUNDUP(L303,0)*SUMIFS(Donnees_annuelles!$AG$3:$AG$188,Donnees_annuelles!$A$3:$A$188,AR303)*SUMIFS(Donnees_annuelles!$AA$3:$AA$188,Donnees_annuelles!$A$3:$A$188,AR303)</f>
        <v/>
      </c>
      <c r="AT303" s="36">
        <f>AS303/V303</f>
        <v/>
      </c>
      <c r="AU303" s="14">
        <f>AL303</f>
        <v/>
      </c>
      <c r="AV303" s="39">
        <f>AS303-AL303</f>
        <v/>
      </c>
      <c r="AW303" s="9">
        <f>AS303/AL303-1</f>
        <v/>
      </c>
      <c r="AX303" s="14">
        <f>AS303/AJ303/12</f>
        <v/>
      </c>
      <c r="AY303" s="14">
        <f>AF303</f>
        <v/>
      </c>
      <c r="AZ303" s="39">
        <f>AX303-AF303</f>
        <v/>
      </c>
      <c r="BA303" s="14">
        <f>SUMIFS(Donnees_regimes!$S$3:$S$1118,Donnees_regimes!$A$3:$A$1118,C303,Donnees_regimes!$B$3:$B$1118,"&gt;="&amp;G303,Donnees_regimes!$B$3:$B$1118,"&lt;="&amp;N303)*L303/ROUNDUP(L303,0)*SUMIFS(Donnees_annuelles!$AH$3:$AH$188,Donnees_annuelles!$A$3:$A$188,AR303)*SUMIFS(Donnees_annuelles!$AA$3:$AA$188,Donnees_annuelles!$A$3:$A$188,AR303)</f>
        <v/>
      </c>
      <c r="BB303" s="39">
        <f>BA303-AL303</f>
        <v/>
      </c>
      <c r="BC303" s="7">
        <f>IF(M303+AJ303&gt;2026,IF(G303&gt;2026,"entièrement projeté","en partie projeté"),"observé")</f>
        <v/>
      </c>
    </row>
    <row r="304">
      <c r="A304" s="7" t="inlineStr">
        <is>
          <t>Génération silencieuse</t>
        </is>
      </c>
      <c r="B304" s="84" t="inlineStr">
        <is>
          <t>SNCF</t>
        </is>
      </c>
      <c r="C304" s="7">
        <f>IF(G304&gt;=SUMIFS(Regimes!$C$5:$C$10,Regimes!$A$5:$A$10,B304),"Privé",B304)</f>
        <v/>
      </c>
      <c r="D304" s="7">
        <f>INDEX(Regimes!$D$5:$D$10,MATCH(C304,Regimes!$A$5:$A$10,0))</f>
        <v/>
      </c>
      <c r="E304" s="88" t="n">
        <v>1935</v>
      </c>
      <c r="F304" s="8">
        <f>Donnees_generations!C23</f>
        <v/>
      </c>
      <c r="G304" s="77">
        <f>Donnees_generations!D23</f>
        <v/>
      </c>
      <c r="H304" s="8">
        <f>SUMIFS(Donnees_generations!$S$3:$S$113,Donnees_generations!$A$3:$A$113,MAX(1915,MIN(2025,E304)))</f>
        <v/>
      </c>
      <c r="I304" s="8">
        <f>SUMIFS(Donnees_generations!$T$3:$T$113,Donnees_generations!$A$3:$A$113,MAX(1915,MIN(2025,E304)))</f>
        <v/>
      </c>
      <c r="J304" s="8">
        <f>IF(G304&gt;=2000,MAX(I304,Parametres!$B$3),I304)</f>
        <v/>
      </c>
      <c r="K304" s="8">
        <f>IF(C304="Privé",J304,SUMIFS(Regles_regimes!$J$3:$J$2000,Regles_regimes!$A$3:$A$2000,C304,Regles_regimes!$B$3:$B$2000,D304,Regles_regimes!$C$3:$C$2000,MAX(1915,MIN(2025,E304))))</f>
        <v/>
      </c>
      <c r="L304" s="8">
        <f>IF(C304="Privé",H304,(K304-F304)*H304/(J304-F304))</f>
        <v/>
      </c>
      <c r="M304" s="77">
        <f>INT(E304+K304)</f>
        <v/>
      </c>
      <c r="N304" s="77">
        <f>G304+ROUNDUP(L304,0)-1</f>
        <v/>
      </c>
      <c r="O304" s="89">
        <f>SUMIFS(Regles_regimes!$K$3:$K$2000,Regles_regimes!$A$3:$A$2000,C304,Regles_regimes!$B$3:$B$2000,D304,Regles_regimes!$C$3:$C$2000,MAX(1915,MIN(2025,E304)))</f>
        <v/>
      </c>
      <c r="P304" s="13">
        <f>SUMIFS(Donnees_annuelles!$W$3:$W$188,Donnees_annuelles!$A$3:$A$188,"&gt;="&amp;G304,Donnees_annuelles!$A$3:$A$188,"&lt;="&amp;N304)*L304/ROUNDUP(L304,0)*O304</f>
        <v/>
      </c>
      <c r="Q304" s="13">
        <f>SUMIFS(Donnees_annuelles!$V$3:$V$188,Donnees_annuelles!$A$3:$A$188,"&gt;="&amp;G304,Donnees_annuelles!$A$3:$A$188,"&lt;="&amp;N304)*L304/ROUNDUP(L304,0)</f>
        <v/>
      </c>
      <c r="R304" s="13">
        <f>P304/L304</f>
        <v/>
      </c>
      <c r="S304" s="14">
        <f>SUMIFS(Donnees_annuelles!$D$3:$D$188,Donnees_annuelles!$A$3:$A$188,"&gt;="&amp;G304,Donnees_annuelles!$A$3:$A$188,"&lt;="&amp;N304)*L304/ROUNDUP(L304,0)</f>
        <v/>
      </c>
      <c r="T304" s="14">
        <f>SUMIFS(Donnees_regimes!$N$3:$N$1118,Donnees_regimes!$A$3:$A$1118,C304,Donnees_regimes!$B$3:$B$1118,"&gt;="&amp;G304,Donnees_regimes!$B$3:$B$1118,"&lt;="&amp;N304)*L304/ROUNDUP(L304,0)</f>
        <v/>
      </c>
      <c r="U304" s="14">
        <f>SUMIFS(Donnees_regimes!$O$3:$O$1118,Donnees_regimes!$A$3:$A$1118,C304,Donnees_regimes!$B$3:$B$1118,"&gt;="&amp;G304,Donnees_regimes!$B$3:$B$1118,"&lt;="&amp;N304)*L304/ROUNDUP(L304,0)</f>
        <v/>
      </c>
      <c r="V304" s="14">
        <f>T304+U304</f>
        <v/>
      </c>
      <c r="W304" s="33">
        <f>V304/S304</f>
        <v/>
      </c>
      <c r="X304" s="14">
        <f>S304+U304</f>
        <v/>
      </c>
      <c r="Y304" s="17">
        <f>V304/P304</f>
        <v/>
      </c>
      <c r="Z304" s="14">
        <f>SUMIFS(Donnees_regimes!$Q$3:$Q$1118,Donnees_regimes!$A$3:$A$1118,C304,Donnees_regimes!$B$3:$B$1118,"&gt;="&amp;G304,Donnees_regimes!$B$3:$B$1118,"&lt;="&amp;N304)*L304/ROUNDUP(L304,0)</f>
        <v/>
      </c>
      <c r="AA304" s="77">
        <f>SUMIFS(Regles_regimes!$F$3:$F$2000,Regles_regimes!$A$3:$A$2000,C304,Regles_regimes!$B$3:$B$2000,D304,Regles_regimes!$C$3:$C$2000,MAX(1915,MIN(2025,E304)))</f>
        <v/>
      </c>
      <c r="AB304" s="77">
        <f>IF(AND(SUMIFS(Regles_regimes!$L$3:$L$2000,Regles_regimes!$A$3:$A$2000,C304,Regles_regimes!$B$3:$B$2000,D304,Regles_regimes!$C$3:$C$2000,MAX(1915,MIN(2025,E304)))=1,G304&lt;2009,C304&lt;&gt;"Privé"),MIN(20,L304*4/5),0)</f>
        <v/>
      </c>
      <c r="AC304" s="89">
        <f>SUMIFS(Donnees_regimes!$M$3:$M$1118,Donnees_regimes!$A$3:$A$1118,C304,Donnees_regimes!$B$3:$B$1118,M304)</f>
        <v/>
      </c>
      <c r="AD304" s="14">
        <f>SUMIFS(Donnees_annuelles!$Y$3:$Y$188,Donnees_annuelles!$A$3:$A$188,M304)*SUMIFS(Donnees_generations!$I$3:$I$113,Donnees_generations!$A$3:$A$113,MAX(1915,MIN(2025,E304)))/H304</f>
        <v/>
      </c>
      <c r="AE304" s="14">
        <f>IF(C304="Privé",SUMIFS(Donnees_annuelles!$Y$3:$Y$188,Donnees_annuelles!$A$3:$A$188,M304)*MIN(L304,SUMIFS(Donnees_generations!$I$3:$I$113,Donnees_generations!$A$3:$A$113,MAX(1915,MIN(2025,E304))))/L304,AD304*AC304*MIN(IF(AB304&gt;0,0.8/0.75,1),(L304*4+AB304)/AA304))</f>
        <v/>
      </c>
      <c r="AF304" s="14">
        <f>AE304/12</f>
        <v/>
      </c>
      <c r="AG304" s="77">
        <f>MIN(68,MAX(56,2*INT(K304/2)))</f>
        <v/>
      </c>
      <c r="AH304" s="75">
        <f>(CHOOSE((AG304-56)/2+1,SUMIFS(Donnees_generations!$U$3:$U$113,Donnees_generations!$A$3:$A$113,MAX(1915,MIN(2025,E304))),SUMIFS(Donnees_generations!$V$3:$V$113,Donnees_generations!$A$3:$A$113,MAX(1915,MIN(2025,E304))),SUMIFS(Donnees_generations!$W$3:$W$113,Donnees_generations!$A$3:$A$113,MAX(1915,MIN(2025,E304))),SUMIFS(Donnees_generations!$X$3:$X$113,Donnees_generations!$A$3:$A$113,MAX(1915,MIN(2025,E304))),SUMIFS(Donnees_generations!$Y$3:$Y$113,Donnees_generations!$A$3:$A$113,MAX(1915,MIN(2025,E304))),SUMIFS(Donnees_generations!$Z$3:$Z$113,Donnees_generations!$A$3:$A$113,MAX(1915,MIN(2025,E304))),SUMIFS(Donnees_generations!$AA$3:$AA$113,Donnees_generations!$A$3:$A$113,MAX(1915,MIN(2025,E304))),SUMIFS(Donnees_generations!$AB$3:$AB$113,Donnees_generations!$A$3:$A$113,MAX(1915,MIN(2025,E304))))+CHOOSE((AG304-56)/2+1,SUMIFS(Donnees_generations!$AC$3:$AC$113,Donnees_generations!$A$3:$A$113,MAX(1915,MIN(2025,E304))),SUMIFS(Donnees_generations!$AD$3:$AD$113,Donnees_generations!$A$3:$A$113,MAX(1915,MIN(2025,E304))),SUMIFS(Donnees_generations!$AE$3:$AE$113,Donnees_generations!$A$3:$A$113,MAX(1915,MIN(2025,E304))),SUMIFS(Donnees_generations!$AF$3:$AF$113,Donnees_generations!$A$3:$A$113,MAX(1915,MIN(2025,E304))),SUMIFS(Donnees_generations!$AG$3:$AG$113,Donnees_generations!$A$3:$A$113,MAX(1915,MIN(2025,E304))),SUMIFS(Donnees_generations!$AH$3:$AH$113,Donnees_generations!$A$3:$A$113,MAX(1915,MIN(2025,E304))),SUMIFS(Donnees_generations!$AI$3:$AI$113,Donnees_generations!$A$3:$A$113,MAX(1915,MIN(2025,E304))),SUMIFS(Donnees_generations!$AJ$3:$AJ$113,Donnees_generations!$A$3:$A$113,MAX(1915,MIN(2025,E304)))))/2</f>
        <v/>
      </c>
      <c r="AI304" s="75">
        <f>(CHOOSE(((AG304+2)-56)/2+1,SUMIFS(Donnees_generations!$U$3:$U$113,Donnees_generations!$A$3:$A$113,MAX(1915,MIN(2025,E304))),SUMIFS(Donnees_generations!$V$3:$V$113,Donnees_generations!$A$3:$A$113,MAX(1915,MIN(2025,E304))),SUMIFS(Donnees_generations!$W$3:$W$113,Donnees_generations!$A$3:$A$113,MAX(1915,MIN(2025,E304))),SUMIFS(Donnees_generations!$X$3:$X$113,Donnees_generations!$A$3:$A$113,MAX(1915,MIN(2025,E304))),SUMIFS(Donnees_generations!$Y$3:$Y$113,Donnees_generations!$A$3:$A$113,MAX(1915,MIN(2025,E304))),SUMIFS(Donnees_generations!$Z$3:$Z$113,Donnees_generations!$A$3:$A$113,MAX(1915,MIN(2025,E304))),SUMIFS(Donnees_generations!$AA$3:$AA$113,Donnees_generations!$A$3:$A$113,MAX(1915,MIN(2025,E304))),SUMIFS(Donnees_generations!$AB$3:$AB$113,Donnees_generations!$A$3:$A$113,MAX(1915,MIN(2025,E304))))+CHOOSE(((AG304+2)-56)/2+1,SUMIFS(Donnees_generations!$AC$3:$AC$113,Donnees_generations!$A$3:$A$113,MAX(1915,MIN(2025,E304))),SUMIFS(Donnees_generations!$AD$3:$AD$113,Donnees_generations!$A$3:$A$113,MAX(1915,MIN(2025,E304))),SUMIFS(Donnees_generations!$AE$3:$AE$113,Donnees_generations!$A$3:$A$113,MAX(1915,MIN(2025,E304))),SUMIFS(Donnees_generations!$AF$3:$AF$113,Donnees_generations!$A$3:$A$113,MAX(1915,MIN(2025,E304))),SUMIFS(Donnees_generations!$AG$3:$AG$113,Donnees_generations!$A$3:$A$113,MAX(1915,MIN(2025,E304))),SUMIFS(Donnees_generations!$AH$3:$AH$113,Donnees_generations!$A$3:$A$113,MAX(1915,MIN(2025,E304))),SUMIFS(Donnees_generations!$AI$3:$AI$113,Donnees_generations!$A$3:$A$113,MAX(1915,MIN(2025,E304))),SUMIFS(Donnees_generations!$AJ$3:$AJ$113,Donnees_generations!$A$3:$A$113,MAX(1915,MIN(2025,E304)))))/2</f>
        <v/>
      </c>
      <c r="AJ304" s="8">
        <f>MAX(0,AH304+(AI304-AH304)*(K304-AG304)/2)</f>
        <v/>
      </c>
      <c r="AK304" s="8">
        <f>K304+AJ304</f>
        <v/>
      </c>
      <c r="AL304" s="14">
        <f>AE304*AJ304</f>
        <v/>
      </c>
      <c r="AM304" s="17">
        <f>V304/AL304</f>
        <v/>
      </c>
      <c r="AN304" s="17">
        <f>Z304/AL304</f>
        <v/>
      </c>
      <c r="AO304" s="33">
        <f>IF(V304+Z304=0,0,Z304/(V304+Z304))</f>
        <v/>
      </c>
      <c r="AP304" s="14">
        <f>AL304/V304*100</f>
        <v/>
      </c>
      <c r="AQ304" s="8">
        <f>P304/AL304*1000</f>
        <v/>
      </c>
      <c r="AR304" s="77">
        <f>MAX(N304,M304-1)</f>
        <v/>
      </c>
      <c r="AS304" s="14">
        <f>SUMIFS(Donnees_regimes!$R$3:$R$1118,Donnees_regimes!$A$3:$A$1118,C304,Donnees_regimes!$B$3:$B$1118,"&gt;="&amp;G304,Donnees_regimes!$B$3:$B$1118,"&lt;="&amp;N304)*L304/ROUNDUP(L304,0)*SUMIFS(Donnees_annuelles!$AG$3:$AG$188,Donnees_annuelles!$A$3:$A$188,AR304)*SUMIFS(Donnees_annuelles!$AA$3:$AA$188,Donnees_annuelles!$A$3:$A$188,AR304)</f>
        <v/>
      </c>
      <c r="AT304" s="36">
        <f>AS304/V304</f>
        <v/>
      </c>
      <c r="AU304" s="14">
        <f>AL304</f>
        <v/>
      </c>
      <c r="AV304" s="39">
        <f>AS304-AL304</f>
        <v/>
      </c>
      <c r="AW304" s="9">
        <f>AS304/AL304-1</f>
        <v/>
      </c>
      <c r="AX304" s="14">
        <f>AS304/AJ304/12</f>
        <v/>
      </c>
      <c r="AY304" s="14">
        <f>AF304</f>
        <v/>
      </c>
      <c r="AZ304" s="39">
        <f>AX304-AF304</f>
        <v/>
      </c>
      <c r="BA304" s="14">
        <f>SUMIFS(Donnees_regimes!$S$3:$S$1118,Donnees_regimes!$A$3:$A$1118,C304,Donnees_regimes!$B$3:$B$1118,"&gt;="&amp;G304,Donnees_regimes!$B$3:$B$1118,"&lt;="&amp;N304)*L304/ROUNDUP(L304,0)*SUMIFS(Donnees_annuelles!$AH$3:$AH$188,Donnees_annuelles!$A$3:$A$188,AR304)*SUMIFS(Donnees_annuelles!$AA$3:$AA$188,Donnees_annuelles!$A$3:$A$188,AR304)</f>
        <v/>
      </c>
      <c r="BB304" s="39">
        <f>BA304-AL304</f>
        <v/>
      </c>
      <c r="BC304" s="7">
        <f>IF(M304+AJ304&gt;2026,IF(G304&gt;2026,"entièrement projeté","en partie projeté"),"observé")</f>
        <v/>
      </c>
    </row>
    <row r="305">
      <c r="A305" s="7" t="inlineStr">
        <is>
          <t>Génération silencieuse</t>
        </is>
      </c>
      <c r="B305" s="84" t="inlineStr">
        <is>
          <t>SNCF</t>
        </is>
      </c>
      <c r="C305" s="7">
        <f>IF(G305&gt;=SUMIFS(Regimes!$C$5:$C$10,Regimes!$A$5:$A$10,B305),"Privé",B305)</f>
        <v/>
      </c>
      <c r="D305" s="7">
        <f>INDEX(Regimes!$D$5:$D$10,MATCH(C305,Regimes!$A$5:$A$10,0))</f>
        <v/>
      </c>
      <c r="E305" s="88" t="n">
        <v>1936</v>
      </c>
      <c r="F305" s="8">
        <f>Donnees_generations!C24</f>
        <v/>
      </c>
      <c r="G305" s="77">
        <f>Donnees_generations!D24</f>
        <v/>
      </c>
      <c r="H305" s="8">
        <f>SUMIFS(Donnees_generations!$S$3:$S$113,Donnees_generations!$A$3:$A$113,MAX(1915,MIN(2025,E305)))</f>
        <v/>
      </c>
      <c r="I305" s="8">
        <f>SUMIFS(Donnees_generations!$T$3:$T$113,Donnees_generations!$A$3:$A$113,MAX(1915,MIN(2025,E305)))</f>
        <v/>
      </c>
      <c r="J305" s="8">
        <f>IF(G305&gt;=2000,MAX(I305,Parametres!$B$3),I305)</f>
        <v/>
      </c>
      <c r="K305" s="8">
        <f>IF(C305="Privé",J305,SUMIFS(Regles_regimes!$J$3:$J$2000,Regles_regimes!$A$3:$A$2000,C305,Regles_regimes!$B$3:$B$2000,D305,Regles_regimes!$C$3:$C$2000,MAX(1915,MIN(2025,E305))))</f>
        <v/>
      </c>
      <c r="L305" s="8">
        <f>IF(C305="Privé",H305,(K305-F305)*H305/(J305-F305))</f>
        <v/>
      </c>
      <c r="M305" s="77">
        <f>INT(E305+K305)</f>
        <v/>
      </c>
      <c r="N305" s="77">
        <f>G305+ROUNDUP(L305,0)-1</f>
        <v/>
      </c>
      <c r="O305" s="89">
        <f>SUMIFS(Regles_regimes!$K$3:$K$2000,Regles_regimes!$A$3:$A$2000,C305,Regles_regimes!$B$3:$B$2000,D305,Regles_regimes!$C$3:$C$2000,MAX(1915,MIN(2025,E305)))</f>
        <v/>
      </c>
      <c r="P305" s="13">
        <f>SUMIFS(Donnees_annuelles!$W$3:$W$188,Donnees_annuelles!$A$3:$A$188,"&gt;="&amp;G305,Donnees_annuelles!$A$3:$A$188,"&lt;="&amp;N305)*L305/ROUNDUP(L305,0)*O305</f>
        <v/>
      </c>
      <c r="Q305" s="13">
        <f>SUMIFS(Donnees_annuelles!$V$3:$V$188,Donnees_annuelles!$A$3:$A$188,"&gt;="&amp;G305,Donnees_annuelles!$A$3:$A$188,"&lt;="&amp;N305)*L305/ROUNDUP(L305,0)</f>
        <v/>
      </c>
      <c r="R305" s="13">
        <f>P305/L305</f>
        <v/>
      </c>
      <c r="S305" s="14">
        <f>SUMIFS(Donnees_annuelles!$D$3:$D$188,Donnees_annuelles!$A$3:$A$188,"&gt;="&amp;G305,Donnees_annuelles!$A$3:$A$188,"&lt;="&amp;N305)*L305/ROUNDUP(L305,0)</f>
        <v/>
      </c>
      <c r="T305" s="14">
        <f>SUMIFS(Donnees_regimes!$N$3:$N$1118,Donnees_regimes!$A$3:$A$1118,C305,Donnees_regimes!$B$3:$B$1118,"&gt;="&amp;G305,Donnees_regimes!$B$3:$B$1118,"&lt;="&amp;N305)*L305/ROUNDUP(L305,0)</f>
        <v/>
      </c>
      <c r="U305" s="14">
        <f>SUMIFS(Donnees_regimes!$O$3:$O$1118,Donnees_regimes!$A$3:$A$1118,C305,Donnees_regimes!$B$3:$B$1118,"&gt;="&amp;G305,Donnees_regimes!$B$3:$B$1118,"&lt;="&amp;N305)*L305/ROUNDUP(L305,0)</f>
        <v/>
      </c>
      <c r="V305" s="14">
        <f>T305+U305</f>
        <v/>
      </c>
      <c r="W305" s="33">
        <f>V305/S305</f>
        <v/>
      </c>
      <c r="X305" s="14">
        <f>S305+U305</f>
        <v/>
      </c>
      <c r="Y305" s="17">
        <f>V305/P305</f>
        <v/>
      </c>
      <c r="Z305" s="14">
        <f>SUMIFS(Donnees_regimes!$Q$3:$Q$1118,Donnees_regimes!$A$3:$A$1118,C305,Donnees_regimes!$B$3:$B$1118,"&gt;="&amp;G305,Donnees_regimes!$B$3:$B$1118,"&lt;="&amp;N305)*L305/ROUNDUP(L305,0)</f>
        <v/>
      </c>
      <c r="AA305" s="77">
        <f>SUMIFS(Regles_regimes!$F$3:$F$2000,Regles_regimes!$A$3:$A$2000,C305,Regles_regimes!$B$3:$B$2000,D305,Regles_regimes!$C$3:$C$2000,MAX(1915,MIN(2025,E305)))</f>
        <v/>
      </c>
      <c r="AB305" s="77">
        <f>IF(AND(SUMIFS(Regles_regimes!$L$3:$L$2000,Regles_regimes!$A$3:$A$2000,C305,Regles_regimes!$B$3:$B$2000,D305,Regles_regimes!$C$3:$C$2000,MAX(1915,MIN(2025,E305)))=1,G305&lt;2009,C305&lt;&gt;"Privé"),MIN(20,L305*4/5),0)</f>
        <v/>
      </c>
      <c r="AC305" s="89">
        <f>SUMIFS(Donnees_regimes!$M$3:$M$1118,Donnees_regimes!$A$3:$A$1118,C305,Donnees_regimes!$B$3:$B$1118,M305)</f>
        <v/>
      </c>
      <c r="AD305" s="14">
        <f>SUMIFS(Donnees_annuelles!$Y$3:$Y$188,Donnees_annuelles!$A$3:$A$188,M305)*SUMIFS(Donnees_generations!$I$3:$I$113,Donnees_generations!$A$3:$A$113,MAX(1915,MIN(2025,E305)))/H305</f>
        <v/>
      </c>
      <c r="AE305" s="14">
        <f>IF(C305="Privé",SUMIFS(Donnees_annuelles!$Y$3:$Y$188,Donnees_annuelles!$A$3:$A$188,M305)*MIN(L305,SUMIFS(Donnees_generations!$I$3:$I$113,Donnees_generations!$A$3:$A$113,MAX(1915,MIN(2025,E305))))/L305,AD305*AC305*MIN(IF(AB305&gt;0,0.8/0.75,1),(L305*4+AB305)/AA305))</f>
        <v/>
      </c>
      <c r="AF305" s="14">
        <f>AE305/12</f>
        <v/>
      </c>
      <c r="AG305" s="77">
        <f>MIN(68,MAX(56,2*INT(K305/2)))</f>
        <v/>
      </c>
      <c r="AH305" s="75">
        <f>(CHOOSE((AG305-56)/2+1,SUMIFS(Donnees_generations!$U$3:$U$113,Donnees_generations!$A$3:$A$113,MAX(1915,MIN(2025,E305))),SUMIFS(Donnees_generations!$V$3:$V$113,Donnees_generations!$A$3:$A$113,MAX(1915,MIN(2025,E305))),SUMIFS(Donnees_generations!$W$3:$W$113,Donnees_generations!$A$3:$A$113,MAX(1915,MIN(2025,E305))),SUMIFS(Donnees_generations!$X$3:$X$113,Donnees_generations!$A$3:$A$113,MAX(1915,MIN(2025,E305))),SUMIFS(Donnees_generations!$Y$3:$Y$113,Donnees_generations!$A$3:$A$113,MAX(1915,MIN(2025,E305))),SUMIFS(Donnees_generations!$Z$3:$Z$113,Donnees_generations!$A$3:$A$113,MAX(1915,MIN(2025,E305))),SUMIFS(Donnees_generations!$AA$3:$AA$113,Donnees_generations!$A$3:$A$113,MAX(1915,MIN(2025,E305))),SUMIFS(Donnees_generations!$AB$3:$AB$113,Donnees_generations!$A$3:$A$113,MAX(1915,MIN(2025,E305))))+CHOOSE((AG305-56)/2+1,SUMIFS(Donnees_generations!$AC$3:$AC$113,Donnees_generations!$A$3:$A$113,MAX(1915,MIN(2025,E305))),SUMIFS(Donnees_generations!$AD$3:$AD$113,Donnees_generations!$A$3:$A$113,MAX(1915,MIN(2025,E305))),SUMIFS(Donnees_generations!$AE$3:$AE$113,Donnees_generations!$A$3:$A$113,MAX(1915,MIN(2025,E305))),SUMIFS(Donnees_generations!$AF$3:$AF$113,Donnees_generations!$A$3:$A$113,MAX(1915,MIN(2025,E305))),SUMIFS(Donnees_generations!$AG$3:$AG$113,Donnees_generations!$A$3:$A$113,MAX(1915,MIN(2025,E305))),SUMIFS(Donnees_generations!$AH$3:$AH$113,Donnees_generations!$A$3:$A$113,MAX(1915,MIN(2025,E305))),SUMIFS(Donnees_generations!$AI$3:$AI$113,Donnees_generations!$A$3:$A$113,MAX(1915,MIN(2025,E305))),SUMIFS(Donnees_generations!$AJ$3:$AJ$113,Donnees_generations!$A$3:$A$113,MAX(1915,MIN(2025,E305)))))/2</f>
        <v/>
      </c>
      <c r="AI305" s="75">
        <f>(CHOOSE(((AG305+2)-56)/2+1,SUMIFS(Donnees_generations!$U$3:$U$113,Donnees_generations!$A$3:$A$113,MAX(1915,MIN(2025,E305))),SUMIFS(Donnees_generations!$V$3:$V$113,Donnees_generations!$A$3:$A$113,MAX(1915,MIN(2025,E305))),SUMIFS(Donnees_generations!$W$3:$W$113,Donnees_generations!$A$3:$A$113,MAX(1915,MIN(2025,E305))),SUMIFS(Donnees_generations!$X$3:$X$113,Donnees_generations!$A$3:$A$113,MAX(1915,MIN(2025,E305))),SUMIFS(Donnees_generations!$Y$3:$Y$113,Donnees_generations!$A$3:$A$113,MAX(1915,MIN(2025,E305))),SUMIFS(Donnees_generations!$Z$3:$Z$113,Donnees_generations!$A$3:$A$113,MAX(1915,MIN(2025,E305))),SUMIFS(Donnees_generations!$AA$3:$AA$113,Donnees_generations!$A$3:$A$113,MAX(1915,MIN(2025,E305))),SUMIFS(Donnees_generations!$AB$3:$AB$113,Donnees_generations!$A$3:$A$113,MAX(1915,MIN(2025,E305))))+CHOOSE(((AG305+2)-56)/2+1,SUMIFS(Donnees_generations!$AC$3:$AC$113,Donnees_generations!$A$3:$A$113,MAX(1915,MIN(2025,E305))),SUMIFS(Donnees_generations!$AD$3:$AD$113,Donnees_generations!$A$3:$A$113,MAX(1915,MIN(2025,E305))),SUMIFS(Donnees_generations!$AE$3:$AE$113,Donnees_generations!$A$3:$A$113,MAX(1915,MIN(2025,E305))),SUMIFS(Donnees_generations!$AF$3:$AF$113,Donnees_generations!$A$3:$A$113,MAX(1915,MIN(2025,E305))),SUMIFS(Donnees_generations!$AG$3:$AG$113,Donnees_generations!$A$3:$A$113,MAX(1915,MIN(2025,E305))),SUMIFS(Donnees_generations!$AH$3:$AH$113,Donnees_generations!$A$3:$A$113,MAX(1915,MIN(2025,E305))),SUMIFS(Donnees_generations!$AI$3:$AI$113,Donnees_generations!$A$3:$A$113,MAX(1915,MIN(2025,E305))),SUMIFS(Donnees_generations!$AJ$3:$AJ$113,Donnees_generations!$A$3:$A$113,MAX(1915,MIN(2025,E305)))))/2</f>
        <v/>
      </c>
      <c r="AJ305" s="8">
        <f>MAX(0,AH305+(AI305-AH305)*(K305-AG305)/2)</f>
        <v/>
      </c>
      <c r="AK305" s="8">
        <f>K305+AJ305</f>
        <v/>
      </c>
      <c r="AL305" s="14">
        <f>AE305*AJ305</f>
        <v/>
      </c>
      <c r="AM305" s="17">
        <f>V305/AL305</f>
        <v/>
      </c>
      <c r="AN305" s="17">
        <f>Z305/AL305</f>
        <v/>
      </c>
      <c r="AO305" s="33">
        <f>IF(V305+Z305=0,0,Z305/(V305+Z305))</f>
        <v/>
      </c>
      <c r="AP305" s="14">
        <f>AL305/V305*100</f>
        <v/>
      </c>
      <c r="AQ305" s="8">
        <f>P305/AL305*1000</f>
        <v/>
      </c>
      <c r="AR305" s="77">
        <f>MAX(N305,M305-1)</f>
        <v/>
      </c>
      <c r="AS305" s="14">
        <f>SUMIFS(Donnees_regimes!$R$3:$R$1118,Donnees_regimes!$A$3:$A$1118,C305,Donnees_regimes!$B$3:$B$1118,"&gt;="&amp;G305,Donnees_regimes!$B$3:$B$1118,"&lt;="&amp;N305)*L305/ROUNDUP(L305,0)*SUMIFS(Donnees_annuelles!$AG$3:$AG$188,Donnees_annuelles!$A$3:$A$188,AR305)*SUMIFS(Donnees_annuelles!$AA$3:$AA$188,Donnees_annuelles!$A$3:$A$188,AR305)</f>
        <v/>
      </c>
      <c r="AT305" s="36">
        <f>AS305/V305</f>
        <v/>
      </c>
      <c r="AU305" s="14">
        <f>AL305</f>
        <v/>
      </c>
      <c r="AV305" s="39">
        <f>AS305-AL305</f>
        <v/>
      </c>
      <c r="AW305" s="9">
        <f>AS305/AL305-1</f>
        <v/>
      </c>
      <c r="AX305" s="14">
        <f>AS305/AJ305/12</f>
        <v/>
      </c>
      <c r="AY305" s="14">
        <f>AF305</f>
        <v/>
      </c>
      <c r="AZ305" s="39">
        <f>AX305-AF305</f>
        <v/>
      </c>
      <c r="BA305" s="14">
        <f>SUMIFS(Donnees_regimes!$S$3:$S$1118,Donnees_regimes!$A$3:$A$1118,C305,Donnees_regimes!$B$3:$B$1118,"&gt;="&amp;G305,Donnees_regimes!$B$3:$B$1118,"&lt;="&amp;N305)*L305/ROUNDUP(L305,0)*SUMIFS(Donnees_annuelles!$AH$3:$AH$188,Donnees_annuelles!$A$3:$A$188,AR305)*SUMIFS(Donnees_annuelles!$AA$3:$AA$188,Donnees_annuelles!$A$3:$A$188,AR305)</f>
        <v/>
      </c>
      <c r="BB305" s="39">
        <f>BA305-AL305</f>
        <v/>
      </c>
      <c r="BC305" s="7">
        <f>IF(M305+AJ305&gt;2026,IF(G305&gt;2026,"entièrement projeté","en partie projeté"),"observé")</f>
        <v/>
      </c>
    </row>
    <row r="306">
      <c r="A306" s="7" t="inlineStr">
        <is>
          <t>Génération silencieuse</t>
        </is>
      </c>
      <c r="B306" s="84" t="inlineStr">
        <is>
          <t>SNCF</t>
        </is>
      </c>
      <c r="C306" s="7">
        <f>IF(G306&gt;=SUMIFS(Regimes!$C$5:$C$10,Regimes!$A$5:$A$10,B306),"Privé",B306)</f>
        <v/>
      </c>
      <c r="D306" s="7">
        <f>INDEX(Regimes!$D$5:$D$10,MATCH(C306,Regimes!$A$5:$A$10,0))</f>
        <v/>
      </c>
      <c r="E306" s="88" t="n">
        <v>1937</v>
      </c>
      <c r="F306" s="8">
        <f>Donnees_generations!C25</f>
        <v/>
      </c>
      <c r="G306" s="77">
        <f>Donnees_generations!D25</f>
        <v/>
      </c>
      <c r="H306" s="8">
        <f>SUMIFS(Donnees_generations!$S$3:$S$113,Donnees_generations!$A$3:$A$113,MAX(1915,MIN(2025,E306)))</f>
        <v/>
      </c>
      <c r="I306" s="8">
        <f>SUMIFS(Donnees_generations!$T$3:$T$113,Donnees_generations!$A$3:$A$113,MAX(1915,MIN(2025,E306)))</f>
        <v/>
      </c>
      <c r="J306" s="8">
        <f>IF(G306&gt;=2000,MAX(I306,Parametres!$B$3),I306)</f>
        <v/>
      </c>
      <c r="K306" s="8">
        <f>IF(C306="Privé",J306,SUMIFS(Regles_regimes!$J$3:$J$2000,Regles_regimes!$A$3:$A$2000,C306,Regles_regimes!$B$3:$B$2000,D306,Regles_regimes!$C$3:$C$2000,MAX(1915,MIN(2025,E306))))</f>
        <v/>
      </c>
      <c r="L306" s="8">
        <f>IF(C306="Privé",H306,(K306-F306)*H306/(J306-F306))</f>
        <v/>
      </c>
      <c r="M306" s="77">
        <f>INT(E306+K306)</f>
        <v/>
      </c>
      <c r="N306" s="77">
        <f>G306+ROUNDUP(L306,0)-1</f>
        <v/>
      </c>
      <c r="O306" s="89">
        <f>SUMIFS(Regles_regimes!$K$3:$K$2000,Regles_regimes!$A$3:$A$2000,C306,Regles_regimes!$B$3:$B$2000,D306,Regles_regimes!$C$3:$C$2000,MAX(1915,MIN(2025,E306)))</f>
        <v/>
      </c>
      <c r="P306" s="13">
        <f>SUMIFS(Donnees_annuelles!$W$3:$W$188,Donnees_annuelles!$A$3:$A$188,"&gt;="&amp;G306,Donnees_annuelles!$A$3:$A$188,"&lt;="&amp;N306)*L306/ROUNDUP(L306,0)*O306</f>
        <v/>
      </c>
      <c r="Q306" s="13">
        <f>SUMIFS(Donnees_annuelles!$V$3:$V$188,Donnees_annuelles!$A$3:$A$188,"&gt;="&amp;G306,Donnees_annuelles!$A$3:$A$188,"&lt;="&amp;N306)*L306/ROUNDUP(L306,0)</f>
        <v/>
      </c>
      <c r="R306" s="13">
        <f>P306/L306</f>
        <v/>
      </c>
      <c r="S306" s="14">
        <f>SUMIFS(Donnees_annuelles!$D$3:$D$188,Donnees_annuelles!$A$3:$A$188,"&gt;="&amp;G306,Donnees_annuelles!$A$3:$A$188,"&lt;="&amp;N306)*L306/ROUNDUP(L306,0)</f>
        <v/>
      </c>
      <c r="T306" s="14">
        <f>SUMIFS(Donnees_regimes!$N$3:$N$1118,Donnees_regimes!$A$3:$A$1118,C306,Donnees_regimes!$B$3:$B$1118,"&gt;="&amp;G306,Donnees_regimes!$B$3:$B$1118,"&lt;="&amp;N306)*L306/ROUNDUP(L306,0)</f>
        <v/>
      </c>
      <c r="U306" s="14">
        <f>SUMIFS(Donnees_regimes!$O$3:$O$1118,Donnees_regimes!$A$3:$A$1118,C306,Donnees_regimes!$B$3:$B$1118,"&gt;="&amp;G306,Donnees_regimes!$B$3:$B$1118,"&lt;="&amp;N306)*L306/ROUNDUP(L306,0)</f>
        <v/>
      </c>
      <c r="V306" s="14">
        <f>T306+U306</f>
        <v/>
      </c>
      <c r="W306" s="33">
        <f>V306/S306</f>
        <v/>
      </c>
      <c r="X306" s="14">
        <f>S306+U306</f>
        <v/>
      </c>
      <c r="Y306" s="17">
        <f>V306/P306</f>
        <v/>
      </c>
      <c r="Z306" s="14">
        <f>SUMIFS(Donnees_regimes!$Q$3:$Q$1118,Donnees_regimes!$A$3:$A$1118,C306,Donnees_regimes!$B$3:$B$1118,"&gt;="&amp;G306,Donnees_regimes!$B$3:$B$1118,"&lt;="&amp;N306)*L306/ROUNDUP(L306,0)</f>
        <v/>
      </c>
      <c r="AA306" s="77">
        <f>SUMIFS(Regles_regimes!$F$3:$F$2000,Regles_regimes!$A$3:$A$2000,C306,Regles_regimes!$B$3:$B$2000,D306,Regles_regimes!$C$3:$C$2000,MAX(1915,MIN(2025,E306)))</f>
        <v/>
      </c>
      <c r="AB306" s="77">
        <f>IF(AND(SUMIFS(Regles_regimes!$L$3:$L$2000,Regles_regimes!$A$3:$A$2000,C306,Regles_regimes!$B$3:$B$2000,D306,Regles_regimes!$C$3:$C$2000,MAX(1915,MIN(2025,E306)))=1,G306&lt;2009,C306&lt;&gt;"Privé"),MIN(20,L306*4/5),0)</f>
        <v/>
      </c>
      <c r="AC306" s="89">
        <f>SUMIFS(Donnees_regimes!$M$3:$M$1118,Donnees_regimes!$A$3:$A$1118,C306,Donnees_regimes!$B$3:$B$1118,M306)</f>
        <v/>
      </c>
      <c r="AD306" s="14">
        <f>SUMIFS(Donnees_annuelles!$Y$3:$Y$188,Donnees_annuelles!$A$3:$A$188,M306)*SUMIFS(Donnees_generations!$I$3:$I$113,Donnees_generations!$A$3:$A$113,MAX(1915,MIN(2025,E306)))/H306</f>
        <v/>
      </c>
      <c r="AE306" s="14">
        <f>IF(C306="Privé",SUMIFS(Donnees_annuelles!$Y$3:$Y$188,Donnees_annuelles!$A$3:$A$188,M306)*MIN(L306,SUMIFS(Donnees_generations!$I$3:$I$113,Donnees_generations!$A$3:$A$113,MAX(1915,MIN(2025,E306))))/L306,AD306*AC306*MIN(IF(AB306&gt;0,0.8/0.75,1),(L306*4+AB306)/AA306))</f>
        <v/>
      </c>
      <c r="AF306" s="14">
        <f>AE306/12</f>
        <v/>
      </c>
      <c r="AG306" s="77">
        <f>MIN(68,MAX(56,2*INT(K306/2)))</f>
        <v/>
      </c>
      <c r="AH306" s="75">
        <f>(CHOOSE((AG306-56)/2+1,SUMIFS(Donnees_generations!$U$3:$U$113,Donnees_generations!$A$3:$A$113,MAX(1915,MIN(2025,E306))),SUMIFS(Donnees_generations!$V$3:$V$113,Donnees_generations!$A$3:$A$113,MAX(1915,MIN(2025,E306))),SUMIFS(Donnees_generations!$W$3:$W$113,Donnees_generations!$A$3:$A$113,MAX(1915,MIN(2025,E306))),SUMIFS(Donnees_generations!$X$3:$X$113,Donnees_generations!$A$3:$A$113,MAX(1915,MIN(2025,E306))),SUMIFS(Donnees_generations!$Y$3:$Y$113,Donnees_generations!$A$3:$A$113,MAX(1915,MIN(2025,E306))),SUMIFS(Donnees_generations!$Z$3:$Z$113,Donnees_generations!$A$3:$A$113,MAX(1915,MIN(2025,E306))),SUMIFS(Donnees_generations!$AA$3:$AA$113,Donnees_generations!$A$3:$A$113,MAX(1915,MIN(2025,E306))),SUMIFS(Donnees_generations!$AB$3:$AB$113,Donnees_generations!$A$3:$A$113,MAX(1915,MIN(2025,E306))))+CHOOSE((AG306-56)/2+1,SUMIFS(Donnees_generations!$AC$3:$AC$113,Donnees_generations!$A$3:$A$113,MAX(1915,MIN(2025,E306))),SUMIFS(Donnees_generations!$AD$3:$AD$113,Donnees_generations!$A$3:$A$113,MAX(1915,MIN(2025,E306))),SUMIFS(Donnees_generations!$AE$3:$AE$113,Donnees_generations!$A$3:$A$113,MAX(1915,MIN(2025,E306))),SUMIFS(Donnees_generations!$AF$3:$AF$113,Donnees_generations!$A$3:$A$113,MAX(1915,MIN(2025,E306))),SUMIFS(Donnees_generations!$AG$3:$AG$113,Donnees_generations!$A$3:$A$113,MAX(1915,MIN(2025,E306))),SUMIFS(Donnees_generations!$AH$3:$AH$113,Donnees_generations!$A$3:$A$113,MAX(1915,MIN(2025,E306))),SUMIFS(Donnees_generations!$AI$3:$AI$113,Donnees_generations!$A$3:$A$113,MAX(1915,MIN(2025,E306))),SUMIFS(Donnees_generations!$AJ$3:$AJ$113,Donnees_generations!$A$3:$A$113,MAX(1915,MIN(2025,E306)))))/2</f>
        <v/>
      </c>
      <c r="AI306" s="75">
        <f>(CHOOSE(((AG306+2)-56)/2+1,SUMIFS(Donnees_generations!$U$3:$U$113,Donnees_generations!$A$3:$A$113,MAX(1915,MIN(2025,E306))),SUMIFS(Donnees_generations!$V$3:$V$113,Donnees_generations!$A$3:$A$113,MAX(1915,MIN(2025,E306))),SUMIFS(Donnees_generations!$W$3:$W$113,Donnees_generations!$A$3:$A$113,MAX(1915,MIN(2025,E306))),SUMIFS(Donnees_generations!$X$3:$X$113,Donnees_generations!$A$3:$A$113,MAX(1915,MIN(2025,E306))),SUMIFS(Donnees_generations!$Y$3:$Y$113,Donnees_generations!$A$3:$A$113,MAX(1915,MIN(2025,E306))),SUMIFS(Donnees_generations!$Z$3:$Z$113,Donnees_generations!$A$3:$A$113,MAX(1915,MIN(2025,E306))),SUMIFS(Donnees_generations!$AA$3:$AA$113,Donnees_generations!$A$3:$A$113,MAX(1915,MIN(2025,E306))),SUMIFS(Donnees_generations!$AB$3:$AB$113,Donnees_generations!$A$3:$A$113,MAX(1915,MIN(2025,E306))))+CHOOSE(((AG306+2)-56)/2+1,SUMIFS(Donnees_generations!$AC$3:$AC$113,Donnees_generations!$A$3:$A$113,MAX(1915,MIN(2025,E306))),SUMIFS(Donnees_generations!$AD$3:$AD$113,Donnees_generations!$A$3:$A$113,MAX(1915,MIN(2025,E306))),SUMIFS(Donnees_generations!$AE$3:$AE$113,Donnees_generations!$A$3:$A$113,MAX(1915,MIN(2025,E306))),SUMIFS(Donnees_generations!$AF$3:$AF$113,Donnees_generations!$A$3:$A$113,MAX(1915,MIN(2025,E306))),SUMIFS(Donnees_generations!$AG$3:$AG$113,Donnees_generations!$A$3:$A$113,MAX(1915,MIN(2025,E306))),SUMIFS(Donnees_generations!$AH$3:$AH$113,Donnees_generations!$A$3:$A$113,MAX(1915,MIN(2025,E306))),SUMIFS(Donnees_generations!$AI$3:$AI$113,Donnees_generations!$A$3:$A$113,MAX(1915,MIN(2025,E306))),SUMIFS(Donnees_generations!$AJ$3:$AJ$113,Donnees_generations!$A$3:$A$113,MAX(1915,MIN(2025,E306)))))/2</f>
        <v/>
      </c>
      <c r="AJ306" s="8">
        <f>MAX(0,AH306+(AI306-AH306)*(K306-AG306)/2)</f>
        <v/>
      </c>
      <c r="AK306" s="8">
        <f>K306+AJ306</f>
        <v/>
      </c>
      <c r="AL306" s="14">
        <f>AE306*AJ306</f>
        <v/>
      </c>
      <c r="AM306" s="17">
        <f>V306/AL306</f>
        <v/>
      </c>
      <c r="AN306" s="17">
        <f>Z306/AL306</f>
        <v/>
      </c>
      <c r="AO306" s="33">
        <f>IF(V306+Z306=0,0,Z306/(V306+Z306))</f>
        <v/>
      </c>
      <c r="AP306" s="14">
        <f>AL306/V306*100</f>
        <v/>
      </c>
      <c r="AQ306" s="8">
        <f>P306/AL306*1000</f>
        <v/>
      </c>
      <c r="AR306" s="77">
        <f>MAX(N306,M306-1)</f>
        <v/>
      </c>
      <c r="AS306" s="14">
        <f>SUMIFS(Donnees_regimes!$R$3:$R$1118,Donnees_regimes!$A$3:$A$1118,C306,Donnees_regimes!$B$3:$B$1118,"&gt;="&amp;G306,Donnees_regimes!$B$3:$B$1118,"&lt;="&amp;N306)*L306/ROUNDUP(L306,0)*SUMIFS(Donnees_annuelles!$AG$3:$AG$188,Donnees_annuelles!$A$3:$A$188,AR306)*SUMIFS(Donnees_annuelles!$AA$3:$AA$188,Donnees_annuelles!$A$3:$A$188,AR306)</f>
        <v/>
      </c>
      <c r="AT306" s="36">
        <f>AS306/V306</f>
        <v/>
      </c>
      <c r="AU306" s="14">
        <f>AL306</f>
        <v/>
      </c>
      <c r="AV306" s="39">
        <f>AS306-AL306</f>
        <v/>
      </c>
      <c r="AW306" s="9">
        <f>AS306/AL306-1</f>
        <v/>
      </c>
      <c r="AX306" s="14">
        <f>AS306/AJ306/12</f>
        <v/>
      </c>
      <c r="AY306" s="14">
        <f>AF306</f>
        <v/>
      </c>
      <c r="AZ306" s="39">
        <f>AX306-AF306</f>
        <v/>
      </c>
      <c r="BA306" s="14">
        <f>SUMIFS(Donnees_regimes!$S$3:$S$1118,Donnees_regimes!$A$3:$A$1118,C306,Donnees_regimes!$B$3:$B$1118,"&gt;="&amp;G306,Donnees_regimes!$B$3:$B$1118,"&lt;="&amp;N306)*L306/ROUNDUP(L306,0)*SUMIFS(Donnees_annuelles!$AH$3:$AH$188,Donnees_annuelles!$A$3:$A$188,AR306)*SUMIFS(Donnees_annuelles!$AA$3:$AA$188,Donnees_annuelles!$A$3:$A$188,AR306)</f>
        <v/>
      </c>
      <c r="BB306" s="39">
        <f>BA306-AL306</f>
        <v/>
      </c>
      <c r="BC306" s="7">
        <f>IF(M306+AJ306&gt;2026,IF(G306&gt;2026,"entièrement projeté","en partie projeté"),"observé")</f>
        <v/>
      </c>
    </row>
    <row r="307">
      <c r="A307" s="7" t="inlineStr">
        <is>
          <t>Génération silencieuse</t>
        </is>
      </c>
      <c r="B307" s="84" t="inlineStr">
        <is>
          <t>SNCF</t>
        </is>
      </c>
      <c r="C307" s="7">
        <f>IF(G307&gt;=SUMIFS(Regimes!$C$5:$C$10,Regimes!$A$5:$A$10,B307),"Privé",B307)</f>
        <v/>
      </c>
      <c r="D307" s="7">
        <f>INDEX(Regimes!$D$5:$D$10,MATCH(C307,Regimes!$A$5:$A$10,0))</f>
        <v/>
      </c>
      <c r="E307" s="88" t="n">
        <v>1938</v>
      </c>
      <c r="F307" s="8">
        <f>Donnees_generations!C26</f>
        <v/>
      </c>
      <c r="G307" s="77">
        <f>Donnees_generations!D26</f>
        <v/>
      </c>
      <c r="H307" s="8">
        <f>SUMIFS(Donnees_generations!$S$3:$S$113,Donnees_generations!$A$3:$A$113,MAX(1915,MIN(2025,E307)))</f>
        <v/>
      </c>
      <c r="I307" s="8">
        <f>SUMIFS(Donnees_generations!$T$3:$T$113,Donnees_generations!$A$3:$A$113,MAX(1915,MIN(2025,E307)))</f>
        <v/>
      </c>
      <c r="J307" s="8">
        <f>IF(G307&gt;=2000,MAX(I307,Parametres!$B$3),I307)</f>
        <v/>
      </c>
      <c r="K307" s="8">
        <f>IF(C307="Privé",J307,SUMIFS(Regles_regimes!$J$3:$J$2000,Regles_regimes!$A$3:$A$2000,C307,Regles_regimes!$B$3:$B$2000,D307,Regles_regimes!$C$3:$C$2000,MAX(1915,MIN(2025,E307))))</f>
        <v/>
      </c>
      <c r="L307" s="8">
        <f>IF(C307="Privé",H307,(K307-F307)*H307/(J307-F307))</f>
        <v/>
      </c>
      <c r="M307" s="77">
        <f>INT(E307+K307)</f>
        <v/>
      </c>
      <c r="N307" s="77">
        <f>G307+ROUNDUP(L307,0)-1</f>
        <v/>
      </c>
      <c r="O307" s="89">
        <f>SUMIFS(Regles_regimes!$K$3:$K$2000,Regles_regimes!$A$3:$A$2000,C307,Regles_regimes!$B$3:$B$2000,D307,Regles_regimes!$C$3:$C$2000,MAX(1915,MIN(2025,E307)))</f>
        <v/>
      </c>
      <c r="P307" s="13">
        <f>SUMIFS(Donnees_annuelles!$W$3:$W$188,Donnees_annuelles!$A$3:$A$188,"&gt;="&amp;G307,Donnees_annuelles!$A$3:$A$188,"&lt;="&amp;N307)*L307/ROUNDUP(L307,0)*O307</f>
        <v/>
      </c>
      <c r="Q307" s="13">
        <f>SUMIFS(Donnees_annuelles!$V$3:$V$188,Donnees_annuelles!$A$3:$A$188,"&gt;="&amp;G307,Donnees_annuelles!$A$3:$A$188,"&lt;="&amp;N307)*L307/ROUNDUP(L307,0)</f>
        <v/>
      </c>
      <c r="R307" s="13">
        <f>P307/L307</f>
        <v/>
      </c>
      <c r="S307" s="14">
        <f>SUMIFS(Donnees_annuelles!$D$3:$D$188,Donnees_annuelles!$A$3:$A$188,"&gt;="&amp;G307,Donnees_annuelles!$A$3:$A$188,"&lt;="&amp;N307)*L307/ROUNDUP(L307,0)</f>
        <v/>
      </c>
      <c r="T307" s="14">
        <f>SUMIFS(Donnees_regimes!$N$3:$N$1118,Donnees_regimes!$A$3:$A$1118,C307,Donnees_regimes!$B$3:$B$1118,"&gt;="&amp;G307,Donnees_regimes!$B$3:$B$1118,"&lt;="&amp;N307)*L307/ROUNDUP(L307,0)</f>
        <v/>
      </c>
      <c r="U307" s="14">
        <f>SUMIFS(Donnees_regimes!$O$3:$O$1118,Donnees_regimes!$A$3:$A$1118,C307,Donnees_regimes!$B$3:$B$1118,"&gt;="&amp;G307,Donnees_regimes!$B$3:$B$1118,"&lt;="&amp;N307)*L307/ROUNDUP(L307,0)</f>
        <v/>
      </c>
      <c r="V307" s="14">
        <f>T307+U307</f>
        <v/>
      </c>
      <c r="W307" s="33">
        <f>V307/S307</f>
        <v/>
      </c>
      <c r="X307" s="14">
        <f>S307+U307</f>
        <v/>
      </c>
      <c r="Y307" s="17">
        <f>V307/P307</f>
        <v/>
      </c>
      <c r="Z307" s="14">
        <f>SUMIFS(Donnees_regimes!$Q$3:$Q$1118,Donnees_regimes!$A$3:$A$1118,C307,Donnees_regimes!$B$3:$B$1118,"&gt;="&amp;G307,Donnees_regimes!$B$3:$B$1118,"&lt;="&amp;N307)*L307/ROUNDUP(L307,0)</f>
        <v/>
      </c>
      <c r="AA307" s="77">
        <f>SUMIFS(Regles_regimes!$F$3:$F$2000,Regles_regimes!$A$3:$A$2000,C307,Regles_regimes!$B$3:$B$2000,D307,Regles_regimes!$C$3:$C$2000,MAX(1915,MIN(2025,E307)))</f>
        <v/>
      </c>
      <c r="AB307" s="77">
        <f>IF(AND(SUMIFS(Regles_regimes!$L$3:$L$2000,Regles_regimes!$A$3:$A$2000,C307,Regles_regimes!$B$3:$B$2000,D307,Regles_regimes!$C$3:$C$2000,MAX(1915,MIN(2025,E307)))=1,G307&lt;2009,C307&lt;&gt;"Privé"),MIN(20,L307*4/5),0)</f>
        <v/>
      </c>
      <c r="AC307" s="89">
        <f>SUMIFS(Donnees_regimes!$M$3:$M$1118,Donnees_regimes!$A$3:$A$1118,C307,Donnees_regimes!$B$3:$B$1118,M307)</f>
        <v/>
      </c>
      <c r="AD307" s="14">
        <f>SUMIFS(Donnees_annuelles!$Y$3:$Y$188,Donnees_annuelles!$A$3:$A$188,M307)*SUMIFS(Donnees_generations!$I$3:$I$113,Donnees_generations!$A$3:$A$113,MAX(1915,MIN(2025,E307)))/H307</f>
        <v/>
      </c>
      <c r="AE307" s="14">
        <f>IF(C307="Privé",SUMIFS(Donnees_annuelles!$Y$3:$Y$188,Donnees_annuelles!$A$3:$A$188,M307)*MIN(L307,SUMIFS(Donnees_generations!$I$3:$I$113,Donnees_generations!$A$3:$A$113,MAX(1915,MIN(2025,E307))))/L307,AD307*AC307*MIN(IF(AB307&gt;0,0.8/0.75,1),(L307*4+AB307)/AA307))</f>
        <v/>
      </c>
      <c r="AF307" s="14">
        <f>AE307/12</f>
        <v/>
      </c>
      <c r="AG307" s="77">
        <f>MIN(68,MAX(56,2*INT(K307/2)))</f>
        <v/>
      </c>
      <c r="AH307" s="75">
        <f>(CHOOSE((AG307-56)/2+1,SUMIFS(Donnees_generations!$U$3:$U$113,Donnees_generations!$A$3:$A$113,MAX(1915,MIN(2025,E307))),SUMIFS(Donnees_generations!$V$3:$V$113,Donnees_generations!$A$3:$A$113,MAX(1915,MIN(2025,E307))),SUMIFS(Donnees_generations!$W$3:$W$113,Donnees_generations!$A$3:$A$113,MAX(1915,MIN(2025,E307))),SUMIFS(Donnees_generations!$X$3:$X$113,Donnees_generations!$A$3:$A$113,MAX(1915,MIN(2025,E307))),SUMIFS(Donnees_generations!$Y$3:$Y$113,Donnees_generations!$A$3:$A$113,MAX(1915,MIN(2025,E307))),SUMIFS(Donnees_generations!$Z$3:$Z$113,Donnees_generations!$A$3:$A$113,MAX(1915,MIN(2025,E307))),SUMIFS(Donnees_generations!$AA$3:$AA$113,Donnees_generations!$A$3:$A$113,MAX(1915,MIN(2025,E307))),SUMIFS(Donnees_generations!$AB$3:$AB$113,Donnees_generations!$A$3:$A$113,MAX(1915,MIN(2025,E307))))+CHOOSE((AG307-56)/2+1,SUMIFS(Donnees_generations!$AC$3:$AC$113,Donnees_generations!$A$3:$A$113,MAX(1915,MIN(2025,E307))),SUMIFS(Donnees_generations!$AD$3:$AD$113,Donnees_generations!$A$3:$A$113,MAX(1915,MIN(2025,E307))),SUMIFS(Donnees_generations!$AE$3:$AE$113,Donnees_generations!$A$3:$A$113,MAX(1915,MIN(2025,E307))),SUMIFS(Donnees_generations!$AF$3:$AF$113,Donnees_generations!$A$3:$A$113,MAX(1915,MIN(2025,E307))),SUMIFS(Donnees_generations!$AG$3:$AG$113,Donnees_generations!$A$3:$A$113,MAX(1915,MIN(2025,E307))),SUMIFS(Donnees_generations!$AH$3:$AH$113,Donnees_generations!$A$3:$A$113,MAX(1915,MIN(2025,E307))),SUMIFS(Donnees_generations!$AI$3:$AI$113,Donnees_generations!$A$3:$A$113,MAX(1915,MIN(2025,E307))),SUMIFS(Donnees_generations!$AJ$3:$AJ$113,Donnees_generations!$A$3:$A$113,MAX(1915,MIN(2025,E307)))))/2</f>
        <v/>
      </c>
      <c r="AI307" s="75">
        <f>(CHOOSE(((AG307+2)-56)/2+1,SUMIFS(Donnees_generations!$U$3:$U$113,Donnees_generations!$A$3:$A$113,MAX(1915,MIN(2025,E307))),SUMIFS(Donnees_generations!$V$3:$V$113,Donnees_generations!$A$3:$A$113,MAX(1915,MIN(2025,E307))),SUMIFS(Donnees_generations!$W$3:$W$113,Donnees_generations!$A$3:$A$113,MAX(1915,MIN(2025,E307))),SUMIFS(Donnees_generations!$X$3:$X$113,Donnees_generations!$A$3:$A$113,MAX(1915,MIN(2025,E307))),SUMIFS(Donnees_generations!$Y$3:$Y$113,Donnees_generations!$A$3:$A$113,MAX(1915,MIN(2025,E307))),SUMIFS(Donnees_generations!$Z$3:$Z$113,Donnees_generations!$A$3:$A$113,MAX(1915,MIN(2025,E307))),SUMIFS(Donnees_generations!$AA$3:$AA$113,Donnees_generations!$A$3:$A$113,MAX(1915,MIN(2025,E307))),SUMIFS(Donnees_generations!$AB$3:$AB$113,Donnees_generations!$A$3:$A$113,MAX(1915,MIN(2025,E307))))+CHOOSE(((AG307+2)-56)/2+1,SUMIFS(Donnees_generations!$AC$3:$AC$113,Donnees_generations!$A$3:$A$113,MAX(1915,MIN(2025,E307))),SUMIFS(Donnees_generations!$AD$3:$AD$113,Donnees_generations!$A$3:$A$113,MAX(1915,MIN(2025,E307))),SUMIFS(Donnees_generations!$AE$3:$AE$113,Donnees_generations!$A$3:$A$113,MAX(1915,MIN(2025,E307))),SUMIFS(Donnees_generations!$AF$3:$AF$113,Donnees_generations!$A$3:$A$113,MAX(1915,MIN(2025,E307))),SUMIFS(Donnees_generations!$AG$3:$AG$113,Donnees_generations!$A$3:$A$113,MAX(1915,MIN(2025,E307))),SUMIFS(Donnees_generations!$AH$3:$AH$113,Donnees_generations!$A$3:$A$113,MAX(1915,MIN(2025,E307))),SUMIFS(Donnees_generations!$AI$3:$AI$113,Donnees_generations!$A$3:$A$113,MAX(1915,MIN(2025,E307))),SUMIFS(Donnees_generations!$AJ$3:$AJ$113,Donnees_generations!$A$3:$A$113,MAX(1915,MIN(2025,E307)))))/2</f>
        <v/>
      </c>
      <c r="AJ307" s="8">
        <f>MAX(0,AH307+(AI307-AH307)*(K307-AG307)/2)</f>
        <v/>
      </c>
      <c r="AK307" s="8">
        <f>K307+AJ307</f>
        <v/>
      </c>
      <c r="AL307" s="14">
        <f>AE307*AJ307</f>
        <v/>
      </c>
      <c r="AM307" s="17">
        <f>V307/AL307</f>
        <v/>
      </c>
      <c r="AN307" s="17">
        <f>Z307/AL307</f>
        <v/>
      </c>
      <c r="AO307" s="33">
        <f>IF(V307+Z307=0,0,Z307/(V307+Z307))</f>
        <v/>
      </c>
      <c r="AP307" s="14">
        <f>AL307/V307*100</f>
        <v/>
      </c>
      <c r="AQ307" s="8">
        <f>P307/AL307*1000</f>
        <v/>
      </c>
      <c r="AR307" s="77">
        <f>MAX(N307,M307-1)</f>
        <v/>
      </c>
      <c r="AS307" s="14">
        <f>SUMIFS(Donnees_regimes!$R$3:$R$1118,Donnees_regimes!$A$3:$A$1118,C307,Donnees_regimes!$B$3:$B$1118,"&gt;="&amp;G307,Donnees_regimes!$B$3:$B$1118,"&lt;="&amp;N307)*L307/ROUNDUP(L307,0)*SUMIFS(Donnees_annuelles!$AG$3:$AG$188,Donnees_annuelles!$A$3:$A$188,AR307)*SUMIFS(Donnees_annuelles!$AA$3:$AA$188,Donnees_annuelles!$A$3:$A$188,AR307)</f>
        <v/>
      </c>
      <c r="AT307" s="36">
        <f>AS307/V307</f>
        <v/>
      </c>
      <c r="AU307" s="14">
        <f>AL307</f>
        <v/>
      </c>
      <c r="AV307" s="39">
        <f>AS307-AL307</f>
        <v/>
      </c>
      <c r="AW307" s="9">
        <f>AS307/AL307-1</f>
        <v/>
      </c>
      <c r="AX307" s="14">
        <f>AS307/AJ307/12</f>
        <v/>
      </c>
      <c r="AY307" s="14">
        <f>AF307</f>
        <v/>
      </c>
      <c r="AZ307" s="39">
        <f>AX307-AF307</f>
        <v/>
      </c>
      <c r="BA307" s="14">
        <f>SUMIFS(Donnees_regimes!$S$3:$S$1118,Donnees_regimes!$A$3:$A$1118,C307,Donnees_regimes!$B$3:$B$1118,"&gt;="&amp;G307,Donnees_regimes!$B$3:$B$1118,"&lt;="&amp;N307)*L307/ROUNDUP(L307,0)*SUMIFS(Donnees_annuelles!$AH$3:$AH$188,Donnees_annuelles!$A$3:$A$188,AR307)*SUMIFS(Donnees_annuelles!$AA$3:$AA$188,Donnees_annuelles!$A$3:$A$188,AR307)</f>
        <v/>
      </c>
      <c r="BB307" s="39">
        <f>BA307-AL307</f>
        <v/>
      </c>
      <c r="BC307" s="7">
        <f>IF(M307+AJ307&gt;2026,IF(G307&gt;2026,"entièrement projeté","en partie projeté"),"observé")</f>
        <v/>
      </c>
    </row>
    <row r="308">
      <c r="A308" s="7" t="inlineStr">
        <is>
          <t>Génération silencieuse</t>
        </is>
      </c>
      <c r="B308" s="84" t="inlineStr">
        <is>
          <t>SNCF</t>
        </is>
      </c>
      <c r="C308" s="7">
        <f>IF(G308&gt;=SUMIFS(Regimes!$C$5:$C$10,Regimes!$A$5:$A$10,B308),"Privé",B308)</f>
        <v/>
      </c>
      <c r="D308" s="7">
        <f>INDEX(Regimes!$D$5:$D$10,MATCH(C308,Regimes!$A$5:$A$10,0))</f>
        <v/>
      </c>
      <c r="E308" s="88" t="n">
        <v>1939</v>
      </c>
      <c r="F308" s="8">
        <f>Donnees_generations!C27</f>
        <v/>
      </c>
      <c r="G308" s="77">
        <f>Donnees_generations!D27</f>
        <v/>
      </c>
      <c r="H308" s="8">
        <f>SUMIFS(Donnees_generations!$S$3:$S$113,Donnees_generations!$A$3:$A$113,MAX(1915,MIN(2025,E308)))</f>
        <v/>
      </c>
      <c r="I308" s="8">
        <f>SUMIFS(Donnees_generations!$T$3:$T$113,Donnees_generations!$A$3:$A$113,MAX(1915,MIN(2025,E308)))</f>
        <v/>
      </c>
      <c r="J308" s="8">
        <f>IF(G308&gt;=2000,MAX(I308,Parametres!$B$3),I308)</f>
        <v/>
      </c>
      <c r="K308" s="8">
        <f>IF(C308="Privé",J308,SUMIFS(Regles_regimes!$J$3:$J$2000,Regles_regimes!$A$3:$A$2000,C308,Regles_regimes!$B$3:$B$2000,D308,Regles_regimes!$C$3:$C$2000,MAX(1915,MIN(2025,E308))))</f>
        <v/>
      </c>
      <c r="L308" s="8">
        <f>IF(C308="Privé",H308,(K308-F308)*H308/(J308-F308))</f>
        <v/>
      </c>
      <c r="M308" s="77">
        <f>INT(E308+K308)</f>
        <v/>
      </c>
      <c r="N308" s="77">
        <f>G308+ROUNDUP(L308,0)-1</f>
        <v/>
      </c>
      <c r="O308" s="89">
        <f>SUMIFS(Regles_regimes!$K$3:$K$2000,Regles_regimes!$A$3:$A$2000,C308,Regles_regimes!$B$3:$B$2000,D308,Regles_regimes!$C$3:$C$2000,MAX(1915,MIN(2025,E308)))</f>
        <v/>
      </c>
      <c r="P308" s="13">
        <f>SUMIFS(Donnees_annuelles!$W$3:$W$188,Donnees_annuelles!$A$3:$A$188,"&gt;="&amp;G308,Donnees_annuelles!$A$3:$A$188,"&lt;="&amp;N308)*L308/ROUNDUP(L308,0)*O308</f>
        <v/>
      </c>
      <c r="Q308" s="13">
        <f>SUMIFS(Donnees_annuelles!$V$3:$V$188,Donnees_annuelles!$A$3:$A$188,"&gt;="&amp;G308,Donnees_annuelles!$A$3:$A$188,"&lt;="&amp;N308)*L308/ROUNDUP(L308,0)</f>
        <v/>
      </c>
      <c r="R308" s="13">
        <f>P308/L308</f>
        <v/>
      </c>
      <c r="S308" s="14">
        <f>SUMIFS(Donnees_annuelles!$D$3:$D$188,Donnees_annuelles!$A$3:$A$188,"&gt;="&amp;G308,Donnees_annuelles!$A$3:$A$188,"&lt;="&amp;N308)*L308/ROUNDUP(L308,0)</f>
        <v/>
      </c>
      <c r="T308" s="14">
        <f>SUMIFS(Donnees_regimes!$N$3:$N$1118,Donnees_regimes!$A$3:$A$1118,C308,Donnees_regimes!$B$3:$B$1118,"&gt;="&amp;G308,Donnees_regimes!$B$3:$B$1118,"&lt;="&amp;N308)*L308/ROUNDUP(L308,0)</f>
        <v/>
      </c>
      <c r="U308" s="14">
        <f>SUMIFS(Donnees_regimes!$O$3:$O$1118,Donnees_regimes!$A$3:$A$1118,C308,Donnees_regimes!$B$3:$B$1118,"&gt;="&amp;G308,Donnees_regimes!$B$3:$B$1118,"&lt;="&amp;N308)*L308/ROUNDUP(L308,0)</f>
        <v/>
      </c>
      <c r="V308" s="14">
        <f>T308+U308</f>
        <v/>
      </c>
      <c r="W308" s="33">
        <f>V308/S308</f>
        <v/>
      </c>
      <c r="X308" s="14">
        <f>S308+U308</f>
        <v/>
      </c>
      <c r="Y308" s="17">
        <f>V308/P308</f>
        <v/>
      </c>
      <c r="Z308" s="14">
        <f>SUMIFS(Donnees_regimes!$Q$3:$Q$1118,Donnees_regimes!$A$3:$A$1118,C308,Donnees_regimes!$B$3:$B$1118,"&gt;="&amp;G308,Donnees_regimes!$B$3:$B$1118,"&lt;="&amp;N308)*L308/ROUNDUP(L308,0)</f>
        <v/>
      </c>
      <c r="AA308" s="77">
        <f>SUMIFS(Regles_regimes!$F$3:$F$2000,Regles_regimes!$A$3:$A$2000,C308,Regles_regimes!$B$3:$B$2000,D308,Regles_regimes!$C$3:$C$2000,MAX(1915,MIN(2025,E308)))</f>
        <v/>
      </c>
      <c r="AB308" s="77">
        <f>IF(AND(SUMIFS(Regles_regimes!$L$3:$L$2000,Regles_regimes!$A$3:$A$2000,C308,Regles_regimes!$B$3:$B$2000,D308,Regles_regimes!$C$3:$C$2000,MAX(1915,MIN(2025,E308)))=1,G308&lt;2009,C308&lt;&gt;"Privé"),MIN(20,L308*4/5),0)</f>
        <v/>
      </c>
      <c r="AC308" s="89">
        <f>SUMIFS(Donnees_regimes!$M$3:$M$1118,Donnees_regimes!$A$3:$A$1118,C308,Donnees_regimes!$B$3:$B$1118,M308)</f>
        <v/>
      </c>
      <c r="AD308" s="14">
        <f>SUMIFS(Donnees_annuelles!$Y$3:$Y$188,Donnees_annuelles!$A$3:$A$188,M308)*SUMIFS(Donnees_generations!$I$3:$I$113,Donnees_generations!$A$3:$A$113,MAX(1915,MIN(2025,E308)))/H308</f>
        <v/>
      </c>
      <c r="AE308" s="14">
        <f>IF(C308="Privé",SUMIFS(Donnees_annuelles!$Y$3:$Y$188,Donnees_annuelles!$A$3:$A$188,M308)*MIN(L308,SUMIFS(Donnees_generations!$I$3:$I$113,Donnees_generations!$A$3:$A$113,MAX(1915,MIN(2025,E308))))/L308,AD308*AC308*MIN(IF(AB308&gt;0,0.8/0.75,1),(L308*4+AB308)/AA308))</f>
        <v/>
      </c>
      <c r="AF308" s="14">
        <f>AE308/12</f>
        <v/>
      </c>
      <c r="AG308" s="77">
        <f>MIN(68,MAX(56,2*INT(K308/2)))</f>
        <v/>
      </c>
      <c r="AH308" s="75">
        <f>(CHOOSE((AG308-56)/2+1,SUMIFS(Donnees_generations!$U$3:$U$113,Donnees_generations!$A$3:$A$113,MAX(1915,MIN(2025,E308))),SUMIFS(Donnees_generations!$V$3:$V$113,Donnees_generations!$A$3:$A$113,MAX(1915,MIN(2025,E308))),SUMIFS(Donnees_generations!$W$3:$W$113,Donnees_generations!$A$3:$A$113,MAX(1915,MIN(2025,E308))),SUMIFS(Donnees_generations!$X$3:$X$113,Donnees_generations!$A$3:$A$113,MAX(1915,MIN(2025,E308))),SUMIFS(Donnees_generations!$Y$3:$Y$113,Donnees_generations!$A$3:$A$113,MAX(1915,MIN(2025,E308))),SUMIFS(Donnees_generations!$Z$3:$Z$113,Donnees_generations!$A$3:$A$113,MAX(1915,MIN(2025,E308))),SUMIFS(Donnees_generations!$AA$3:$AA$113,Donnees_generations!$A$3:$A$113,MAX(1915,MIN(2025,E308))),SUMIFS(Donnees_generations!$AB$3:$AB$113,Donnees_generations!$A$3:$A$113,MAX(1915,MIN(2025,E308))))+CHOOSE((AG308-56)/2+1,SUMIFS(Donnees_generations!$AC$3:$AC$113,Donnees_generations!$A$3:$A$113,MAX(1915,MIN(2025,E308))),SUMIFS(Donnees_generations!$AD$3:$AD$113,Donnees_generations!$A$3:$A$113,MAX(1915,MIN(2025,E308))),SUMIFS(Donnees_generations!$AE$3:$AE$113,Donnees_generations!$A$3:$A$113,MAX(1915,MIN(2025,E308))),SUMIFS(Donnees_generations!$AF$3:$AF$113,Donnees_generations!$A$3:$A$113,MAX(1915,MIN(2025,E308))),SUMIFS(Donnees_generations!$AG$3:$AG$113,Donnees_generations!$A$3:$A$113,MAX(1915,MIN(2025,E308))),SUMIFS(Donnees_generations!$AH$3:$AH$113,Donnees_generations!$A$3:$A$113,MAX(1915,MIN(2025,E308))),SUMIFS(Donnees_generations!$AI$3:$AI$113,Donnees_generations!$A$3:$A$113,MAX(1915,MIN(2025,E308))),SUMIFS(Donnees_generations!$AJ$3:$AJ$113,Donnees_generations!$A$3:$A$113,MAX(1915,MIN(2025,E308)))))/2</f>
        <v/>
      </c>
      <c r="AI308" s="75">
        <f>(CHOOSE(((AG308+2)-56)/2+1,SUMIFS(Donnees_generations!$U$3:$U$113,Donnees_generations!$A$3:$A$113,MAX(1915,MIN(2025,E308))),SUMIFS(Donnees_generations!$V$3:$V$113,Donnees_generations!$A$3:$A$113,MAX(1915,MIN(2025,E308))),SUMIFS(Donnees_generations!$W$3:$W$113,Donnees_generations!$A$3:$A$113,MAX(1915,MIN(2025,E308))),SUMIFS(Donnees_generations!$X$3:$X$113,Donnees_generations!$A$3:$A$113,MAX(1915,MIN(2025,E308))),SUMIFS(Donnees_generations!$Y$3:$Y$113,Donnees_generations!$A$3:$A$113,MAX(1915,MIN(2025,E308))),SUMIFS(Donnees_generations!$Z$3:$Z$113,Donnees_generations!$A$3:$A$113,MAX(1915,MIN(2025,E308))),SUMIFS(Donnees_generations!$AA$3:$AA$113,Donnees_generations!$A$3:$A$113,MAX(1915,MIN(2025,E308))),SUMIFS(Donnees_generations!$AB$3:$AB$113,Donnees_generations!$A$3:$A$113,MAX(1915,MIN(2025,E308))))+CHOOSE(((AG308+2)-56)/2+1,SUMIFS(Donnees_generations!$AC$3:$AC$113,Donnees_generations!$A$3:$A$113,MAX(1915,MIN(2025,E308))),SUMIFS(Donnees_generations!$AD$3:$AD$113,Donnees_generations!$A$3:$A$113,MAX(1915,MIN(2025,E308))),SUMIFS(Donnees_generations!$AE$3:$AE$113,Donnees_generations!$A$3:$A$113,MAX(1915,MIN(2025,E308))),SUMIFS(Donnees_generations!$AF$3:$AF$113,Donnees_generations!$A$3:$A$113,MAX(1915,MIN(2025,E308))),SUMIFS(Donnees_generations!$AG$3:$AG$113,Donnees_generations!$A$3:$A$113,MAX(1915,MIN(2025,E308))),SUMIFS(Donnees_generations!$AH$3:$AH$113,Donnees_generations!$A$3:$A$113,MAX(1915,MIN(2025,E308))),SUMIFS(Donnees_generations!$AI$3:$AI$113,Donnees_generations!$A$3:$A$113,MAX(1915,MIN(2025,E308))),SUMIFS(Donnees_generations!$AJ$3:$AJ$113,Donnees_generations!$A$3:$A$113,MAX(1915,MIN(2025,E308)))))/2</f>
        <v/>
      </c>
      <c r="AJ308" s="8">
        <f>MAX(0,AH308+(AI308-AH308)*(K308-AG308)/2)</f>
        <v/>
      </c>
      <c r="AK308" s="8">
        <f>K308+AJ308</f>
        <v/>
      </c>
      <c r="AL308" s="14">
        <f>AE308*AJ308</f>
        <v/>
      </c>
      <c r="AM308" s="17">
        <f>V308/AL308</f>
        <v/>
      </c>
      <c r="AN308" s="17">
        <f>Z308/AL308</f>
        <v/>
      </c>
      <c r="AO308" s="33">
        <f>IF(V308+Z308=0,0,Z308/(V308+Z308))</f>
        <v/>
      </c>
      <c r="AP308" s="14">
        <f>AL308/V308*100</f>
        <v/>
      </c>
      <c r="AQ308" s="8">
        <f>P308/AL308*1000</f>
        <v/>
      </c>
      <c r="AR308" s="77">
        <f>MAX(N308,M308-1)</f>
        <v/>
      </c>
      <c r="AS308" s="14">
        <f>SUMIFS(Donnees_regimes!$R$3:$R$1118,Donnees_regimes!$A$3:$A$1118,C308,Donnees_regimes!$B$3:$B$1118,"&gt;="&amp;G308,Donnees_regimes!$B$3:$B$1118,"&lt;="&amp;N308)*L308/ROUNDUP(L308,0)*SUMIFS(Donnees_annuelles!$AG$3:$AG$188,Donnees_annuelles!$A$3:$A$188,AR308)*SUMIFS(Donnees_annuelles!$AA$3:$AA$188,Donnees_annuelles!$A$3:$A$188,AR308)</f>
        <v/>
      </c>
      <c r="AT308" s="36">
        <f>AS308/V308</f>
        <v/>
      </c>
      <c r="AU308" s="14">
        <f>AL308</f>
        <v/>
      </c>
      <c r="AV308" s="39">
        <f>AS308-AL308</f>
        <v/>
      </c>
      <c r="AW308" s="9">
        <f>AS308/AL308-1</f>
        <v/>
      </c>
      <c r="AX308" s="14">
        <f>AS308/AJ308/12</f>
        <v/>
      </c>
      <c r="AY308" s="14">
        <f>AF308</f>
        <v/>
      </c>
      <c r="AZ308" s="39">
        <f>AX308-AF308</f>
        <v/>
      </c>
      <c r="BA308" s="14">
        <f>SUMIFS(Donnees_regimes!$S$3:$S$1118,Donnees_regimes!$A$3:$A$1118,C308,Donnees_regimes!$B$3:$B$1118,"&gt;="&amp;G308,Donnees_regimes!$B$3:$B$1118,"&lt;="&amp;N308)*L308/ROUNDUP(L308,0)*SUMIFS(Donnees_annuelles!$AH$3:$AH$188,Donnees_annuelles!$A$3:$A$188,AR308)*SUMIFS(Donnees_annuelles!$AA$3:$AA$188,Donnees_annuelles!$A$3:$A$188,AR308)</f>
        <v/>
      </c>
      <c r="BB308" s="39">
        <f>BA308-AL308</f>
        <v/>
      </c>
      <c r="BC308" s="7">
        <f>IF(M308+AJ308&gt;2026,IF(G308&gt;2026,"entièrement projeté","en partie projeté"),"observé")</f>
        <v/>
      </c>
    </row>
    <row r="309">
      <c r="A309" s="7" t="inlineStr">
        <is>
          <t>Génération silencieuse</t>
        </is>
      </c>
      <c r="B309" s="84" t="inlineStr">
        <is>
          <t>SNCF</t>
        </is>
      </c>
      <c r="C309" s="7">
        <f>IF(G309&gt;=SUMIFS(Regimes!$C$5:$C$10,Regimes!$A$5:$A$10,B309),"Privé",B309)</f>
        <v/>
      </c>
      <c r="D309" s="7">
        <f>INDEX(Regimes!$D$5:$D$10,MATCH(C309,Regimes!$A$5:$A$10,0))</f>
        <v/>
      </c>
      <c r="E309" s="88" t="n">
        <v>1940</v>
      </c>
      <c r="F309" s="8">
        <f>Donnees_generations!C28</f>
        <v/>
      </c>
      <c r="G309" s="77">
        <f>Donnees_generations!D28</f>
        <v/>
      </c>
      <c r="H309" s="8">
        <f>SUMIFS(Donnees_generations!$S$3:$S$113,Donnees_generations!$A$3:$A$113,MAX(1915,MIN(2025,E309)))</f>
        <v/>
      </c>
      <c r="I309" s="8">
        <f>SUMIFS(Donnees_generations!$T$3:$T$113,Donnees_generations!$A$3:$A$113,MAX(1915,MIN(2025,E309)))</f>
        <v/>
      </c>
      <c r="J309" s="8">
        <f>IF(G309&gt;=2000,MAX(I309,Parametres!$B$3),I309)</f>
        <v/>
      </c>
      <c r="K309" s="8">
        <f>IF(C309="Privé",J309,SUMIFS(Regles_regimes!$J$3:$J$2000,Regles_regimes!$A$3:$A$2000,C309,Regles_regimes!$B$3:$B$2000,D309,Regles_regimes!$C$3:$C$2000,MAX(1915,MIN(2025,E309))))</f>
        <v/>
      </c>
      <c r="L309" s="8">
        <f>IF(C309="Privé",H309,(K309-F309)*H309/(J309-F309))</f>
        <v/>
      </c>
      <c r="M309" s="77">
        <f>INT(E309+K309)</f>
        <v/>
      </c>
      <c r="N309" s="77">
        <f>G309+ROUNDUP(L309,0)-1</f>
        <v/>
      </c>
      <c r="O309" s="89">
        <f>SUMIFS(Regles_regimes!$K$3:$K$2000,Regles_regimes!$A$3:$A$2000,C309,Regles_regimes!$B$3:$B$2000,D309,Regles_regimes!$C$3:$C$2000,MAX(1915,MIN(2025,E309)))</f>
        <v/>
      </c>
      <c r="P309" s="13">
        <f>SUMIFS(Donnees_annuelles!$W$3:$W$188,Donnees_annuelles!$A$3:$A$188,"&gt;="&amp;G309,Donnees_annuelles!$A$3:$A$188,"&lt;="&amp;N309)*L309/ROUNDUP(L309,0)*O309</f>
        <v/>
      </c>
      <c r="Q309" s="13">
        <f>SUMIFS(Donnees_annuelles!$V$3:$V$188,Donnees_annuelles!$A$3:$A$188,"&gt;="&amp;G309,Donnees_annuelles!$A$3:$A$188,"&lt;="&amp;N309)*L309/ROUNDUP(L309,0)</f>
        <v/>
      </c>
      <c r="R309" s="13">
        <f>P309/L309</f>
        <v/>
      </c>
      <c r="S309" s="14">
        <f>SUMIFS(Donnees_annuelles!$D$3:$D$188,Donnees_annuelles!$A$3:$A$188,"&gt;="&amp;G309,Donnees_annuelles!$A$3:$A$188,"&lt;="&amp;N309)*L309/ROUNDUP(L309,0)</f>
        <v/>
      </c>
      <c r="T309" s="14">
        <f>SUMIFS(Donnees_regimes!$N$3:$N$1118,Donnees_regimes!$A$3:$A$1118,C309,Donnees_regimes!$B$3:$B$1118,"&gt;="&amp;G309,Donnees_regimes!$B$3:$B$1118,"&lt;="&amp;N309)*L309/ROUNDUP(L309,0)</f>
        <v/>
      </c>
      <c r="U309" s="14">
        <f>SUMIFS(Donnees_regimes!$O$3:$O$1118,Donnees_regimes!$A$3:$A$1118,C309,Donnees_regimes!$B$3:$B$1118,"&gt;="&amp;G309,Donnees_regimes!$B$3:$B$1118,"&lt;="&amp;N309)*L309/ROUNDUP(L309,0)</f>
        <v/>
      </c>
      <c r="V309" s="14">
        <f>T309+U309</f>
        <v/>
      </c>
      <c r="W309" s="33">
        <f>V309/S309</f>
        <v/>
      </c>
      <c r="X309" s="14">
        <f>S309+U309</f>
        <v/>
      </c>
      <c r="Y309" s="17">
        <f>V309/P309</f>
        <v/>
      </c>
      <c r="Z309" s="14">
        <f>SUMIFS(Donnees_regimes!$Q$3:$Q$1118,Donnees_regimes!$A$3:$A$1118,C309,Donnees_regimes!$B$3:$B$1118,"&gt;="&amp;G309,Donnees_regimes!$B$3:$B$1118,"&lt;="&amp;N309)*L309/ROUNDUP(L309,0)</f>
        <v/>
      </c>
      <c r="AA309" s="77">
        <f>SUMIFS(Regles_regimes!$F$3:$F$2000,Regles_regimes!$A$3:$A$2000,C309,Regles_regimes!$B$3:$B$2000,D309,Regles_regimes!$C$3:$C$2000,MAX(1915,MIN(2025,E309)))</f>
        <v/>
      </c>
      <c r="AB309" s="77">
        <f>IF(AND(SUMIFS(Regles_regimes!$L$3:$L$2000,Regles_regimes!$A$3:$A$2000,C309,Regles_regimes!$B$3:$B$2000,D309,Regles_regimes!$C$3:$C$2000,MAX(1915,MIN(2025,E309)))=1,G309&lt;2009,C309&lt;&gt;"Privé"),MIN(20,L309*4/5),0)</f>
        <v/>
      </c>
      <c r="AC309" s="89">
        <f>SUMIFS(Donnees_regimes!$M$3:$M$1118,Donnees_regimes!$A$3:$A$1118,C309,Donnees_regimes!$B$3:$B$1118,M309)</f>
        <v/>
      </c>
      <c r="AD309" s="14">
        <f>SUMIFS(Donnees_annuelles!$Y$3:$Y$188,Donnees_annuelles!$A$3:$A$188,M309)*SUMIFS(Donnees_generations!$I$3:$I$113,Donnees_generations!$A$3:$A$113,MAX(1915,MIN(2025,E309)))/H309</f>
        <v/>
      </c>
      <c r="AE309" s="14">
        <f>IF(C309="Privé",SUMIFS(Donnees_annuelles!$Y$3:$Y$188,Donnees_annuelles!$A$3:$A$188,M309)*MIN(L309,SUMIFS(Donnees_generations!$I$3:$I$113,Donnees_generations!$A$3:$A$113,MAX(1915,MIN(2025,E309))))/L309,AD309*AC309*MIN(IF(AB309&gt;0,0.8/0.75,1),(L309*4+AB309)/AA309))</f>
        <v/>
      </c>
      <c r="AF309" s="14">
        <f>AE309/12</f>
        <v/>
      </c>
      <c r="AG309" s="77">
        <f>MIN(68,MAX(56,2*INT(K309/2)))</f>
        <v/>
      </c>
      <c r="AH309" s="75">
        <f>(CHOOSE((AG309-56)/2+1,SUMIFS(Donnees_generations!$U$3:$U$113,Donnees_generations!$A$3:$A$113,MAX(1915,MIN(2025,E309))),SUMIFS(Donnees_generations!$V$3:$V$113,Donnees_generations!$A$3:$A$113,MAX(1915,MIN(2025,E309))),SUMIFS(Donnees_generations!$W$3:$W$113,Donnees_generations!$A$3:$A$113,MAX(1915,MIN(2025,E309))),SUMIFS(Donnees_generations!$X$3:$X$113,Donnees_generations!$A$3:$A$113,MAX(1915,MIN(2025,E309))),SUMIFS(Donnees_generations!$Y$3:$Y$113,Donnees_generations!$A$3:$A$113,MAX(1915,MIN(2025,E309))),SUMIFS(Donnees_generations!$Z$3:$Z$113,Donnees_generations!$A$3:$A$113,MAX(1915,MIN(2025,E309))),SUMIFS(Donnees_generations!$AA$3:$AA$113,Donnees_generations!$A$3:$A$113,MAX(1915,MIN(2025,E309))),SUMIFS(Donnees_generations!$AB$3:$AB$113,Donnees_generations!$A$3:$A$113,MAX(1915,MIN(2025,E309))))+CHOOSE((AG309-56)/2+1,SUMIFS(Donnees_generations!$AC$3:$AC$113,Donnees_generations!$A$3:$A$113,MAX(1915,MIN(2025,E309))),SUMIFS(Donnees_generations!$AD$3:$AD$113,Donnees_generations!$A$3:$A$113,MAX(1915,MIN(2025,E309))),SUMIFS(Donnees_generations!$AE$3:$AE$113,Donnees_generations!$A$3:$A$113,MAX(1915,MIN(2025,E309))),SUMIFS(Donnees_generations!$AF$3:$AF$113,Donnees_generations!$A$3:$A$113,MAX(1915,MIN(2025,E309))),SUMIFS(Donnees_generations!$AG$3:$AG$113,Donnees_generations!$A$3:$A$113,MAX(1915,MIN(2025,E309))),SUMIFS(Donnees_generations!$AH$3:$AH$113,Donnees_generations!$A$3:$A$113,MAX(1915,MIN(2025,E309))),SUMIFS(Donnees_generations!$AI$3:$AI$113,Donnees_generations!$A$3:$A$113,MAX(1915,MIN(2025,E309))),SUMIFS(Donnees_generations!$AJ$3:$AJ$113,Donnees_generations!$A$3:$A$113,MAX(1915,MIN(2025,E309)))))/2</f>
        <v/>
      </c>
      <c r="AI309" s="75">
        <f>(CHOOSE(((AG309+2)-56)/2+1,SUMIFS(Donnees_generations!$U$3:$U$113,Donnees_generations!$A$3:$A$113,MAX(1915,MIN(2025,E309))),SUMIFS(Donnees_generations!$V$3:$V$113,Donnees_generations!$A$3:$A$113,MAX(1915,MIN(2025,E309))),SUMIFS(Donnees_generations!$W$3:$W$113,Donnees_generations!$A$3:$A$113,MAX(1915,MIN(2025,E309))),SUMIFS(Donnees_generations!$X$3:$X$113,Donnees_generations!$A$3:$A$113,MAX(1915,MIN(2025,E309))),SUMIFS(Donnees_generations!$Y$3:$Y$113,Donnees_generations!$A$3:$A$113,MAX(1915,MIN(2025,E309))),SUMIFS(Donnees_generations!$Z$3:$Z$113,Donnees_generations!$A$3:$A$113,MAX(1915,MIN(2025,E309))),SUMIFS(Donnees_generations!$AA$3:$AA$113,Donnees_generations!$A$3:$A$113,MAX(1915,MIN(2025,E309))),SUMIFS(Donnees_generations!$AB$3:$AB$113,Donnees_generations!$A$3:$A$113,MAX(1915,MIN(2025,E309))))+CHOOSE(((AG309+2)-56)/2+1,SUMIFS(Donnees_generations!$AC$3:$AC$113,Donnees_generations!$A$3:$A$113,MAX(1915,MIN(2025,E309))),SUMIFS(Donnees_generations!$AD$3:$AD$113,Donnees_generations!$A$3:$A$113,MAX(1915,MIN(2025,E309))),SUMIFS(Donnees_generations!$AE$3:$AE$113,Donnees_generations!$A$3:$A$113,MAX(1915,MIN(2025,E309))),SUMIFS(Donnees_generations!$AF$3:$AF$113,Donnees_generations!$A$3:$A$113,MAX(1915,MIN(2025,E309))),SUMIFS(Donnees_generations!$AG$3:$AG$113,Donnees_generations!$A$3:$A$113,MAX(1915,MIN(2025,E309))),SUMIFS(Donnees_generations!$AH$3:$AH$113,Donnees_generations!$A$3:$A$113,MAX(1915,MIN(2025,E309))),SUMIFS(Donnees_generations!$AI$3:$AI$113,Donnees_generations!$A$3:$A$113,MAX(1915,MIN(2025,E309))),SUMIFS(Donnees_generations!$AJ$3:$AJ$113,Donnees_generations!$A$3:$A$113,MAX(1915,MIN(2025,E309)))))/2</f>
        <v/>
      </c>
      <c r="AJ309" s="8">
        <f>MAX(0,AH309+(AI309-AH309)*(K309-AG309)/2)</f>
        <v/>
      </c>
      <c r="AK309" s="8">
        <f>K309+AJ309</f>
        <v/>
      </c>
      <c r="AL309" s="14">
        <f>AE309*AJ309</f>
        <v/>
      </c>
      <c r="AM309" s="17">
        <f>V309/AL309</f>
        <v/>
      </c>
      <c r="AN309" s="17">
        <f>Z309/AL309</f>
        <v/>
      </c>
      <c r="AO309" s="33">
        <f>IF(V309+Z309=0,0,Z309/(V309+Z309))</f>
        <v/>
      </c>
      <c r="AP309" s="14">
        <f>AL309/V309*100</f>
        <v/>
      </c>
      <c r="AQ309" s="8">
        <f>P309/AL309*1000</f>
        <v/>
      </c>
      <c r="AR309" s="77">
        <f>MAX(N309,M309-1)</f>
        <v/>
      </c>
      <c r="AS309" s="14">
        <f>SUMIFS(Donnees_regimes!$R$3:$R$1118,Donnees_regimes!$A$3:$A$1118,C309,Donnees_regimes!$B$3:$B$1118,"&gt;="&amp;G309,Donnees_regimes!$B$3:$B$1118,"&lt;="&amp;N309)*L309/ROUNDUP(L309,0)*SUMIFS(Donnees_annuelles!$AG$3:$AG$188,Donnees_annuelles!$A$3:$A$188,AR309)*SUMIFS(Donnees_annuelles!$AA$3:$AA$188,Donnees_annuelles!$A$3:$A$188,AR309)</f>
        <v/>
      </c>
      <c r="AT309" s="36">
        <f>AS309/V309</f>
        <v/>
      </c>
      <c r="AU309" s="14">
        <f>AL309</f>
        <v/>
      </c>
      <c r="AV309" s="39">
        <f>AS309-AL309</f>
        <v/>
      </c>
      <c r="AW309" s="9">
        <f>AS309/AL309-1</f>
        <v/>
      </c>
      <c r="AX309" s="14">
        <f>AS309/AJ309/12</f>
        <v/>
      </c>
      <c r="AY309" s="14">
        <f>AF309</f>
        <v/>
      </c>
      <c r="AZ309" s="39">
        <f>AX309-AF309</f>
        <v/>
      </c>
      <c r="BA309" s="14">
        <f>SUMIFS(Donnees_regimes!$S$3:$S$1118,Donnees_regimes!$A$3:$A$1118,C309,Donnees_regimes!$B$3:$B$1118,"&gt;="&amp;G309,Donnees_regimes!$B$3:$B$1118,"&lt;="&amp;N309)*L309/ROUNDUP(L309,0)*SUMIFS(Donnees_annuelles!$AH$3:$AH$188,Donnees_annuelles!$A$3:$A$188,AR309)*SUMIFS(Donnees_annuelles!$AA$3:$AA$188,Donnees_annuelles!$A$3:$A$188,AR309)</f>
        <v/>
      </c>
      <c r="BB309" s="39">
        <f>BA309-AL309</f>
        <v/>
      </c>
      <c r="BC309" s="7">
        <f>IF(M309+AJ309&gt;2026,IF(G309&gt;2026,"entièrement projeté","en partie projeté"),"observé")</f>
        <v/>
      </c>
    </row>
    <row r="310">
      <c r="A310" s="7" t="inlineStr">
        <is>
          <t>Génération silencieuse</t>
        </is>
      </c>
      <c r="B310" s="84" t="inlineStr">
        <is>
          <t>SNCF</t>
        </is>
      </c>
      <c r="C310" s="7">
        <f>IF(G310&gt;=SUMIFS(Regimes!$C$5:$C$10,Regimes!$A$5:$A$10,B310),"Privé",B310)</f>
        <v/>
      </c>
      <c r="D310" s="7">
        <f>INDEX(Regimes!$D$5:$D$10,MATCH(C310,Regimes!$A$5:$A$10,0))</f>
        <v/>
      </c>
      <c r="E310" s="88" t="n">
        <v>1941</v>
      </c>
      <c r="F310" s="8">
        <f>Donnees_generations!C29</f>
        <v/>
      </c>
      <c r="G310" s="77">
        <f>Donnees_generations!D29</f>
        <v/>
      </c>
      <c r="H310" s="8">
        <f>SUMIFS(Donnees_generations!$S$3:$S$113,Donnees_generations!$A$3:$A$113,MAX(1915,MIN(2025,E310)))</f>
        <v/>
      </c>
      <c r="I310" s="8">
        <f>SUMIFS(Donnees_generations!$T$3:$T$113,Donnees_generations!$A$3:$A$113,MAX(1915,MIN(2025,E310)))</f>
        <v/>
      </c>
      <c r="J310" s="8">
        <f>IF(G310&gt;=2000,MAX(I310,Parametres!$B$3),I310)</f>
        <v/>
      </c>
      <c r="K310" s="8">
        <f>IF(C310="Privé",J310,SUMIFS(Regles_regimes!$J$3:$J$2000,Regles_regimes!$A$3:$A$2000,C310,Regles_regimes!$B$3:$B$2000,D310,Regles_regimes!$C$3:$C$2000,MAX(1915,MIN(2025,E310))))</f>
        <v/>
      </c>
      <c r="L310" s="8">
        <f>IF(C310="Privé",H310,(K310-F310)*H310/(J310-F310))</f>
        <v/>
      </c>
      <c r="M310" s="77">
        <f>INT(E310+K310)</f>
        <v/>
      </c>
      <c r="N310" s="77">
        <f>G310+ROUNDUP(L310,0)-1</f>
        <v/>
      </c>
      <c r="O310" s="89">
        <f>SUMIFS(Regles_regimes!$K$3:$K$2000,Regles_regimes!$A$3:$A$2000,C310,Regles_regimes!$B$3:$B$2000,D310,Regles_regimes!$C$3:$C$2000,MAX(1915,MIN(2025,E310)))</f>
        <v/>
      </c>
      <c r="P310" s="13">
        <f>SUMIFS(Donnees_annuelles!$W$3:$W$188,Donnees_annuelles!$A$3:$A$188,"&gt;="&amp;G310,Donnees_annuelles!$A$3:$A$188,"&lt;="&amp;N310)*L310/ROUNDUP(L310,0)*O310</f>
        <v/>
      </c>
      <c r="Q310" s="13">
        <f>SUMIFS(Donnees_annuelles!$V$3:$V$188,Donnees_annuelles!$A$3:$A$188,"&gt;="&amp;G310,Donnees_annuelles!$A$3:$A$188,"&lt;="&amp;N310)*L310/ROUNDUP(L310,0)</f>
        <v/>
      </c>
      <c r="R310" s="13">
        <f>P310/L310</f>
        <v/>
      </c>
      <c r="S310" s="14">
        <f>SUMIFS(Donnees_annuelles!$D$3:$D$188,Donnees_annuelles!$A$3:$A$188,"&gt;="&amp;G310,Donnees_annuelles!$A$3:$A$188,"&lt;="&amp;N310)*L310/ROUNDUP(L310,0)</f>
        <v/>
      </c>
      <c r="T310" s="14">
        <f>SUMIFS(Donnees_regimes!$N$3:$N$1118,Donnees_regimes!$A$3:$A$1118,C310,Donnees_regimes!$B$3:$B$1118,"&gt;="&amp;G310,Donnees_regimes!$B$3:$B$1118,"&lt;="&amp;N310)*L310/ROUNDUP(L310,0)</f>
        <v/>
      </c>
      <c r="U310" s="14">
        <f>SUMIFS(Donnees_regimes!$O$3:$O$1118,Donnees_regimes!$A$3:$A$1118,C310,Donnees_regimes!$B$3:$B$1118,"&gt;="&amp;G310,Donnees_regimes!$B$3:$B$1118,"&lt;="&amp;N310)*L310/ROUNDUP(L310,0)</f>
        <v/>
      </c>
      <c r="V310" s="14">
        <f>T310+U310</f>
        <v/>
      </c>
      <c r="W310" s="33">
        <f>V310/S310</f>
        <v/>
      </c>
      <c r="X310" s="14">
        <f>S310+U310</f>
        <v/>
      </c>
      <c r="Y310" s="17">
        <f>V310/P310</f>
        <v/>
      </c>
      <c r="Z310" s="14">
        <f>SUMIFS(Donnees_regimes!$Q$3:$Q$1118,Donnees_regimes!$A$3:$A$1118,C310,Donnees_regimes!$B$3:$B$1118,"&gt;="&amp;G310,Donnees_regimes!$B$3:$B$1118,"&lt;="&amp;N310)*L310/ROUNDUP(L310,0)</f>
        <v/>
      </c>
      <c r="AA310" s="77">
        <f>SUMIFS(Regles_regimes!$F$3:$F$2000,Regles_regimes!$A$3:$A$2000,C310,Regles_regimes!$B$3:$B$2000,D310,Regles_regimes!$C$3:$C$2000,MAX(1915,MIN(2025,E310)))</f>
        <v/>
      </c>
      <c r="AB310" s="77">
        <f>IF(AND(SUMIFS(Regles_regimes!$L$3:$L$2000,Regles_regimes!$A$3:$A$2000,C310,Regles_regimes!$B$3:$B$2000,D310,Regles_regimes!$C$3:$C$2000,MAX(1915,MIN(2025,E310)))=1,G310&lt;2009,C310&lt;&gt;"Privé"),MIN(20,L310*4/5),0)</f>
        <v/>
      </c>
      <c r="AC310" s="89">
        <f>SUMIFS(Donnees_regimes!$M$3:$M$1118,Donnees_regimes!$A$3:$A$1118,C310,Donnees_regimes!$B$3:$B$1118,M310)</f>
        <v/>
      </c>
      <c r="AD310" s="14">
        <f>SUMIFS(Donnees_annuelles!$Y$3:$Y$188,Donnees_annuelles!$A$3:$A$188,M310)*SUMIFS(Donnees_generations!$I$3:$I$113,Donnees_generations!$A$3:$A$113,MAX(1915,MIN(2025,E310)))/H310</f>
        <v/>
      </c>
      <c r="AE310" s="14">
        <f>IF(C310="Privé",SUMIFS(Donnees_annuelles!$Y$3:$Y$188,Donnees_annuelles!$A$3:$A$188,M310)*MIN(L310,SUMIFS(Donnees_generations!$I$3:$I$113,Donnees_generations!$A$3:$A$113,MAX(1915,MIN(2025,E310))))/L310,AD310*AC310*MIN(IF(AB310&gt;0,0.8/0.75,1),(L310*4+AB310)/AA310))</f>
        <v/>
      </c>
      <c r="AF310" s="14">
        <f>AE310/12</f>
        <v/>
      </c>
      <c r="AG310" s="77">
        <f>MIN(68,MAX(56,2*INT(K310/2)))</f>
        <v/>
      </c>
      <c r="AH310" s="75">
        <f>(CHOOSE((AG310-56)/2+1,SUMIFS(Donnees_generations!$U$3:$U$113,Donnees_generations!$A$3:$A$113,MAX(1915,MIN(2025,E310))),SUMIFS(Donnees_generations!$V$3:$V$113,Donnees_generations!$A$3:$A$113,MAX(1915,MIN(2025,E310))),SUMIFS(Donnees_generations!$W$3:$W$113,Donnees_generations!$A$3:$A$113,MAX(1915,MIN(2025,E310))),SUMIFS(Donnees_generations!$X$3:$X$113,Donnees_generations!$A$3:$A$113,MAX(1915,MIN(2025,E310))),SUMIFS(Donnees_generations!$Y$3:$Y$113,Donnees_generations!$A$3:$A$113,MAX(1915,MIN(2025,E310))),SUMIFS(Donnees_generations!$Z$3:$Z$113,Donnees_generations!$A$3:$A$113,MAX(1915,MIN(2025,E310))),SUMIFS(Donnees_generations!$AA$3:$AA$113,Donnees_generations!$A$3:$A$113,MAX(1915,MIN(2025,E310))),SUMIFS(Donnees_generations!$AB$3:$AB$113,Donnees_generations!$A$3:$A$113,MAX(1915,MIN(2025,E310))))+CHOOSE((AG310-56)/2+1,SUMIFS(Donnees_generations!$AC$3:$AC$113,Donnees_generations!$A$3:$A$113,MAX(1915,MIN(2025,E310))),SUMIFS(Donnees_generations!$AD$3:$AD$113,Donnees_generations!$A$3:$A$113,MAX(1915,MIN(2025,E310))),SUMIFS(Donnees_generations!$AE$3:$AE$113,Donnees_generations!$A$3:$A$113,MAX(1915,MIN(2025,E310))),SUMIFS(Donnees_generations!$AF$3:$AF$113,Donnees_generations!$A$3:$A$113,MAX(1915,MIN(2025,E310))),SUMIFS(Donnees_generations!$AG$3:$AG$113,Donnees_generations!$A$3:$A$113,MAX(1915,MIN(2025,E310))),SUMIFS(Donnees_generations!$AH$3:$AH$113,Donnees_generations!$A$3:$A$113,MAX(1915,MIN(2025,E310))),SUMIFS(Donnees_generations!$AI$3:$AI$113,Donnees_generations!$A$3:$A$113,MAX(1915,MIN(2025,E310))),SUMIFS(Donnees_generations!$AJ$3:$AJ$113,Donnees_generations!$A$3:$A$113,MAX(1915,MIN(2025,E310)))))/2</f>
        <v/>
      </c>
      <c r="AI310" s="75">
        <f>(CHOOSE(((AG310+2)-56)/2+1,SUMIFS(Donnees_generations!$U$3:$U$113,Donnees_generations!$A$3:$A$113,MAX(1915,MIN(2025,E310))),SUMIFS(Donnees_generations!$V$3:$V$113,Donnees_generations!$A$3:$A$113,MAX(1915,MIN(2025,E310))),SUMIFS(Donnees_generations!$W$3:$W$113,Donnees_generations!$A$3:$A$113,MAX(1915,MIN(2025,E310))),SUMIFS(Donnees_generations!$X$3:$X$113,Donnees_generations!$A$3:$A$113,MAX(1915,MIN(2025,E310))),SUMIFS(Donnees_generations!$Y$3:$Y$113,Donnees_generations!$A$3:$A$113,MAX(1915,MIN(2025,E310))),SUMIFS(Donnees_generations!$Z$3:$Z$113,Donnees_generations!$A$3:$A$113,MAX(1915,MIN(2025,E310))),SUMIFS(Donnees_generations!$AA$3:$AA$113,Donnees_generations!$A$3:$A$113,MAX(1915,MIN(2025,E310))),SUMIFS(Donnees_generations!$AB$3:$AB$113,Donnees_generations!$A$3:$A$113,MAX(1915,MIN(2025,E310))))+CHOOSE(((AG310+2)-56)/2+1,SUMIFS(Donnees_generations!$AC$3:$AC$113,Donnees_generations!$A$3:$A$113,MAX(1915,MIN(2025,E310))),SUMIFS(Donnees_generations!$AD$3:$AD$113,Donnees_generations!$A$3:$A$113,MAX(1915,MIN(2025,E310))),SUMIFS(Donnees_generations!$AE$3:$AE$113,Donnees_generations!$A$3:$A$113,MAX(1915,MIN(2025,E310))),SUMIFS(Donnees_generations!$AF$3:$AF$113,Donnees_generations!$A$3:$A$113,MAX(1915,MIN(2025,E310))),SUMIFS(Donnees_generations!$AG$3:$AG$113,Donnees_generations!$A$3:$A$113,MAX(1915,MIN(2025,E310))),SUMIFS(Donnees_generations!$AH$3:$AH$113,Donnees_generations!$A$3:$A$113,MAX(1915,MIN(2025,E310))),SUMIFS(Donnees_generations!$AI$3:$AI$113,Donnees_generations!$A$3:$A$113,MAX(1915,MIN(2025,E310))),SUMIFS(Donnees_generations!$AJ$3:$AJ$113,Donnees_generations!$A$3:$A$113,MAX(1915,MIN(2025,E310)))))/2</f>
        <v/>
      </c>
      <c r="AJ310" s="8">
        <f>MAX(0,AH310+(AI310-AH310)*(K310-AG310)/2)</f>
        <v/>
      </c>
      <c r="AK310" s="8">
        <f>K310+AJ310</f>
        <v/>
      </c>
      <c r="AL310" s="14">
        <f>AE310*AJ310</f>
        <v/>
      </c>
      <c r="AM310" s="17">
        <f>V310/AL310</f>
        <v/>
      </c>
      <c r="AN310" s="17">
        <f>Z310/AL310</f>
        <v/>
      </c>
      <c r="AO310" s="33">
        <f>IF(V310+Z310=0,0,Z310/(V310+Z310))</f>
        <v/>
      </c>
      <c r="AP310" s="14">
        <f>AL310/V310*100</f>
        <v/>
      </c>
      <c r="AQ310" s="8">
        <f>P310/AL310*1000</f>
        <v/>
      </c>
      <c r="AR310" s="77">
        <f>MAX(N310,M310-1)</f>
        <v/>
      </c>
      <c r="AS310" s="14">
        <f>SUMIFS(Donnees_regimes!$R$3:$R$1118,Donnees_regimes!$A$3:$A$1118,C310,Donnees_regimes!$B$3:$B$1118,"&gt;="&amp;G310,Donnees_regimes!$B$3:$B$1118,"&lt;="&amp;N310)*L310/ROUNDUP(L310,0)*SUMIFS(Donnees_annuelles!$AG$3:$AG$188,Donnees_annuelles!$A$3:$A$188,AR310)*SUMIFS(Donnees_annuelles!$AA$3:$AA$188,Donnees_annuelles!$A$3:$A$188,AR310)</f>
        <v/>
      </c>
      <c r="AT310" s="36">
        <f>AS310/V310</f>
        <v/>
      </c>
      <c r="AU310" s="14">
        <f>AL310</f>
        <v/>
      </c>
      <c r="AV310" s="39">
        <f>AS310-AL310</f>
        <v/>
      </c>
      <c r="AW310" s="9">
        <f>AS310/AL310-1</f>
        <v/>
      </c>
      <c r="AX310" s="14">
        <f>AS310/AJ310/12</f>
        <v/>
      </c>
      <c r="AY310" s="14">
        <f>AF310</f>
        <v/>
      </c>
      <c r="AZ310" s="39">
        <f>AX310-AF310</f>
        <v/>
      </c>
      <c r="BA310" s="14">
        <f>SUMIFS(Donnees_regimes!$S$3:$S$1118,Donnees_regimes!$A$3:$A$1118,C310,Donnees_regimes!$B$3:$B$1118,"&gt;="&amp;G310,Donnees_regimes!$B$3:$B$1118,"&lt;="&amp;N310)*L310/ROUNDUP(L310,0)*SUMIFS(Donnees_annuelles!$AH$3:$AH$188,Donnees_annuelles!$A$3:$A$188,AR310)*SUMIFS(Donnees_annuelles!$AA$3:$AA$188,Donnees_annuelles!$A$3:$A$188,AR310)</f>
        <v/>
      </c>
      <c r="BB310" s="39">
        <f>BA310-AL310</f>
        <v/>
      </c>
      <c r="BC310" s="7">
        <f>IF(M310+AJ310&gt;2026,IF(G310&gt;2026,"entièrement projeté","en partie projeté"),"observé")</f>
        <v/>
      </c>
    </row>
    <row r="311">
      <c r="A311" s="7" t="inlineStr">
        <is>
          <t>Génération silencieuse</t>
        </is>
      </c>
      <c r="B311" s="84" t="inlineStr">
        <is>
          <t>SNCF</t>
        </is>
      </c>
      <c r="C311" s="7">
        <f>IF(G311&gt;=SUMIFS(Regimes!$C$5:$C$10,Regimes!$A$5:$A$10,B311),"Privé",B311)</f>
        <v/>
      </c>
      <c r="D311" s="7">
        <f>INDEX(Regimes!$D$5:$D$10,MATCH(C311,Regimes!$A$5:$A$10,0))</f>
        <v/>
      </c>
      <c r="E311" s="88" t="n">
        <v>1942</v>
      </c>
      <c r="F311" s="8">
        <f>Donnees_generations!C30</f>
        <v/>
      </c>
      <c r="G311" s="77">
        <f>Donnees_generations!D30</f>
        <v/>
      </c>
      <c r="H311" s="8">
        <f>SUMIFS(Donnees_generations!$S$3:$S$113,Donnees_generations!$A$3:$A$113,MAX(1915,MIN(2025,E311)))</f>
        <v/>
      </c>
      <c r="I311" s="8">
        <f>SUMIFS(Donnees_generations!$T$3:$T$113,Donnees_generations!$A$3:$A$113,MAX(1915,MIN(2025,E311)))</f>
        <v/>
      </c>
      <c r="J311" s="8">
        <f>IF(G311&gt;=2000,MAX(I311,Parametres!$B$3),I311)</f>
        <v/>
      </c>
      <c r="K311" s="8">
        <f>IF(C311="Privé",J311,SUMIFS(Regles_regimes!$J$3:$J$2000,Regles_regimes!$A$3:$A$2000,C311,Regles_regimes!$B$3:$B$2000,D311,Regles_regimes!$C$3:$C$2000,MAX(1915,MIN(2025,E311))))</f>
        <v/>
      </c>
      <c r="L311" s="8">
        <f>IF(C311="Privé",H311,(K311-F311)*H311/(J311-F311))</f>
        <v/>
      </c>
      <c r="M311" s="77">
        <f>INT(E311+K311)</f>
        <v/>
      </c>
      <c r="N311" s="77">
        <f>G311+ROUNDUP(L311,0)-1</f>
        <v/>
      </c>
      <c r="O311" s="89">
        <f>SUMIFS(Regles_regimes!$K$3:$K$2000,Regles_regimes!$A$3:$A$2000,C311,Regles_regimes!$B$3:$B$2000,D311,Regles_regimes!$C$3:$C$2000,MAX(1915,MIN(2025,E311)))</f>
        <v/>
      </c>
      <c r="P311" s="13">
        <f>SUMIFS(Donnees_annuelles!$W$3:$W$188,Donnees_annuelles!$A$3:$A$188,"&gt;="&amp;G311,Donnees_annuelles!$A$3:$A$188,"&lt;="&amp;N311)*L311/ROUNDUP(L311,0)*O311</f>
        <v/>
      </c>
      <c r="Q311" s="13">
        <f>SUMIFS(Donnees_annuelles!$V$3:$V$188,Donnees_annuelles!$A$3:$A$188,"&gt;="&amp;G311,Donnees_annuelles!$A$3:$A$188,"&lt;="&amp;N311)*L311/ROUNDUP(L311,0)</f>
        <v/>
      </c>
      <c r="R311" s="13">
        <f>P311/L311</f>
        <v/>
      </c>
      <c r="S311" s="14">
        <f>SUMIFS(Donnees_annuelles!$D$3:$D$188,Donnees_annuelles!$A$3:$A$188,"&gt;="&amp;G311,Donnees_annuelles!$A$3:$A$188,"&lt;="&amp;N311)*L311/ROUNDUP(L311,0)</f>
        <v/>
      </c>
      <c r="T311" s="14">
        <f>SUMIFS(Donnees_regimes!$N$3:$N$1118,Donnees_regimes!$A$3:$A$1118,C311,Donnees_regimes!$B$3:$B$1118,"&gt;="&amp;G311,Donnees_regimes!$B$3:$B$1118,"&lt;="&amp;N311)*L311/ROUNDUP(L311,0)</f>
        <v/>
      </c>
      <c r="U311" s="14">
        <f>SUMIFS(Donnees_regimes!$O$3:$O$1118,Donnees_regimes!$A$3:$A$1118,C311,Donnees_regimes!$B$3:$B$1118,"&gt;="&amp;G311,Donnees_regimes!$B$3:$B$1118,"&lt;="&amp;N311)*L311/ROUNDUP(L311,0)</f>
        <v/>
      </c>
      <c r="V311" s="14">
        <f>T311+U311</f>
        <v/>
      </c>
      <c r="W311" s="33">
        <f>V311/S311</f>
        <v/>
      </c>
      <c r="X311" s="14">
        <f>S311+U311</f>
        <v/>
      </c>
      <c r="Y311" s="17">
        <f>V311/P311</f>
        <v/>
      </c>
      <c r="Z311" s="14">
        <f>SUMIFS(Donnees_regimes!$Q$3:$Q$1118,Donnees_regimes!$A$3:$A$1118,C311,Donnees_regimes!$B$3:$B$1118,"&gt;="&amp;G311,Donnees_regimes!$B$3:$B$1118,"&lt;="&amp;N311)*L311/ROUNDUP(L311,0)</f>
        <v/>
      </c>
      <c r="AA311" s="77">
        <f>SUMIFS(Regles_regimes!$F$3:$F$2000,Regles_regimes!$A$3:$A$2000,C311,Regles_regimes!$B$3:$B$2000,D311,Regles_regimes!$C$3:$C$2000,MAX(1915,MIN(2025,E311)))</f>
        <v/>
      </c>
      <c r="AB311" s="77">
        <f>IF(AND(SUMIFS(Regles_regimes!$L$3:$L$2000,Regles_regimes!$A$3:$A$2000,C311,Regles_regimes!$B$3:$B$2000,D311,Regles_regimes!$C$3:$C$2000,MAX(1915,MIN(2025,E311)))=1,G311&lt;2009,C311&lt;&gt;"Privé"),MIN(20,L311*4/5),0)</f>
        <v/>
      </c>
      <c r="AC311" s="89">
        <f>SUMIFS(Donnees_regimes!$M$3:$M$1118,Donnees_regimes!$A$3:$A$1118,C311,Donnees_regimes!$B$3:$B$1118,M311)</f>
        <v/>
      </c>
      <c r="AD311" s="14">
        <f>SUMIFS(Donnees_annuelles!$Y$3:$Y$188,Donnees_annuelles!$A$3:$A$188,M311)*SUMIFS(Donnees_generations!$I$3:$I$113,Donnees_generations!$A$3:$A$113,MAX(1915,MIN(2025,E311)))/H311</f>
        <v/>
      </c>
      <c r="AE311" s="14">
        <f>IF(C311="Privé",SUMIFS(Donnees_annuelles!$Y$3:$Y$188,Donnees_annuelles!$A$3:$A$188,M311)*MIN(L311,SUMIFS(Donnees_generations!$I$3:$I$113,Donnees_generations!$A$3:$A$113,MAX(1915,MIN(2025,E311))))/L311,AD311*AC311*MIN(IF(AB311&gt;0,0.8/0.75,1),(L311*4+AB311)/AA311))</f>
        <v/>
      </c>
      <c r="AF311" s="14">
        <f>AE311/12</f>
        <v/>
      </c>
      <c r="AG311" s="77">
        <f>MIN(68,MAX(56,2*INT(K311/2)))</f>
        <v/>
      </c>
      <c r="AH311" s="75">
        <f>(CHOOSE((AG311-56)/2+1,SUMIFS(Donnees_generations!$U$3:$U$113,Donnees_generations!$A$3:$A$113,MAX(1915,MIN(2025,E311))),SUMIFS(Donnees_generations!$V$3:$V$113,Donnees_generations!$A$3:$A$113,MAX(1915,MIN(2025,E311))),SUMIFS(Donnees_generations!$W$3:$W$113,Donnees_generations!$A$3:$A$113,MAX(1915,MIN(2025,E311))),SUMIFS(Donnees_generations!$X$3:$X$113,Donnees_generations!$A$3:$A$113,MAX(1915,MIN(2025,E311))),SUMIFS(Donnees_generations!$Y$3:$Y$113,Donnees_generations!$A$3:$A$113,MAX(1915,MIN(2025,E311))),SUMIFS(Donnees_generations!$Z$3:$Z$113,Donnees_generations!$A$3:$A$113,MAX(1915,MIN(2025,E311))),SUMIFS(Donnees_generations!$AA$3:$AA$113,Donnees_generations!$A$3:$A$113,MAX(1915,MIN(2025,E311))),SUMIFS(Donnees_generations!$AB$3:$AB$113,Donnees_generations!$A$3:$A$113,MAX(1915,MIN(2025,E311))))+CHOOSE((AG311-56)/2+1,SUMIFS(Donnees_generations!$AC$3:$AC$113,Donnees_generations!$A$3:$A$113,MAX(1915,MIN(2025,E311))),SUMIFS(Donnees_generations!$AD$3:$AD$113,Donnees_generations!$A$3:$A$113,MAX(1915,MIN(2025,E311))),SUMIFS(Donnees_generations!$AE$3:$AE$113,Donnees_generations!$A$3:$A$113,MAX(1915,MIN(2025,E311))),SUMIFS(Donnees_generations!$AF$3:$AF$113,Donnees_generations!$A$3:$A$113,MAX(1915,MIN(2025,E311))),SUMIFS(Donnees_generations!$AG$3:$AG$113,Donnees_generations!$A$3:$A$113,MAX(1915,MIN(2025,E311))),SUMIFS(Donnees_generations!$AH$3:$AH$113,Donnees_generations!$A$3:$A$113,MAX(1915,MIN(2025,E311))),SUMIFS(Donnees_generations!$AI$3:$AI$113,Donnees_generations!$A$3:$A$113,MAX(1915,MIN(2025,E311))),SUMIFS(Donnees_generations!$AJ$3:$AJ$113,Donnees_generations!$A$3:$A$113,MAX(1915,MIN(2025,E311)))))/2</f>
        <v/>
      </c>
      <c r="AI311" s="75">
        <f>(CHOOSE(((AG311+2)-56)/2+1,SUMIFS(Donnees_generations!$U$3:$U$113,Donnees_generations!$A$3:$A$113,MAX(1915,MIN(2025,E311))),SUMIFS(Donnees_generations!$V$3:$V$113,Donnees_generations!$A$3:$A$113,MAX(1915,MIN(2025,E311))),SUMIFS(Donnees_generations!$W$3:$W$113,Donnees_generations!$A$3:$A$113,MAX(1915,MIN(2025,E311))),SUMIFS(Donnees_generations!$X$3:$X$113,Donnees_generations!$A$3:$A$113,MAX(1915,MIN(2025,E311))),SUMIFS(Donnees_generations!$Y$3:$Y$113,Donnees_generations!$A$3:$A$113,MAX(1915,MIN(2025,E311))),SUMIFS(Donnees_generations!$Z$3:$Z$113,Donnees_generations!$A$3:$A$113,MAX(1915,MIN(2025,E311))),SUMIFS(Donnees_generations!$AA$3:$AA$113,Donnees_generations!$A$3:$A$113,MAX(1915,MIN(2025,E311))),SUMIFS(Donnees_generations!$AB$3:$AB$113,Donnees_generations!$A$3:$A$113,MAX(1915,MIN(2025,E311))))+CHOOSE(((AG311+2)-56)/2+1,SUMIFS(Donnees_generations!$AC$3:$AC$113,Donnees_generations!$A$3:$A$113,MAX(1915,MIN(2025,E311))),SUMIFS(Donnees_generations!$AD$3:$AD$113,Donnees_generations!$A$3:$A$113,MAX(1915,MIN(2025,E311))),SUMIFS(Donnees_generations!$AE$3:$AE$113,Donnees_generations!$A$3:$A$113,MAX(1915,MIN(2025,E311))),SUMIFS(Donnees_generations!$AF$3:$AF$113,Donnees_generations!$A$3:$A$113,MAX(1915,MIN(2025,E311))),SUMIFS(Donnees_generations!$AG$3:$AG$113,Donnees_generations!$A$3:$A$113,MAX(1915,MIN(2025,E311))),SUMIFS(Donnees_generations!$AH$3:$AH$113,Donnees_generations!$A$3:$A$113,MAX(1915,MIN(2025,E311))),SUMIFS(Donnees_generations!$AI$3:$AI$113,Donnees_generations!$A$3:$A$113,MAX(1915,MIN(2025,E311))),SUMIFS(Donnees_generations!$AJ$3:$AJ$113,Donnees_generations!$A$3:$A$113,MAX(1915,MIN(2025,E311)))))/2</f>
        <v/>
      </c>
      <c r="AJ311" s="8">
        <f>MAX(0,AH311+(AI311-AH311)*(K311-AG311)/2)</f>
        <v/>
      </c>
      <c r="AK311" s="8">
        <f>K311+AJ311</f>
        <v/>
      </c>
      <c r="AL311" s="14">
        <f>AE311*AJ311</f>
        <v/>
      </c>
      <c r="AM311" s="17">
        <f>V311/AL311</f>
        <v/>
      </c>
      <c r="AN311" s="17">
        <f>Z311/AL311</f>
        <v/>
      </c>
      <c r="AO311" s="33">
        <f>IF(V311+Z311=0,0,Z311/(V311+Z311))</f>
        <v/>
      </c>
      <c r="AP311" s="14">
        <f>AL311/V311*100</f>
        <v/>
      </c>
      <c r="AQ311" s="8">
        <f>P311/AL311*1000</f>
        <v/>
      </c>
      <c r="AR311" s="77">
        <f>MAX(N311,M311-1)</f>
        <v/>
      </c>
      <c r="AS311" s="14">
        <f>SUMIFS(Donnees_regimes!$R$3:$R$1118,Donnees_regimes!$A$3:$A$1118,C311,Donnees_regimes!$B$3:$B$1118,"&gt;="&amp;G311,Donnees_regimes!$B$3:$B$1118,"&lt;="&amp;N311)*L311/ROUNDUP(L311,0)*SUMIFS(Donnees_annuelles!$AG$3:$AG$188,Donnees_annuelles!$A$3:$A$188,AR311)*SUMIFS(Donnees_annuelles!$AA$3:$AA$188,Donnees_annuelles!$A$3:$A$188,AR311)</f>
        <v/>
      </c>
      <c r="AT311" s="36">
        <f>AS311/V311</f>
        <v/>
      </c>
      <c r="AU311" s="14">
        <f>AL311</f>
        <v/>
      </c>
      <c r="AV311" s="39">
        <f>AS311-AL311</f>
        <v/>
      </c>
      <c r="AW311" s="9">
        <f>AS311/AL311-1</f>
        <v/>
      </c>
      <c r="AX311" s="14">
        <f>AS311/AJ311/12</f>
        <v/>
      </c>
      <c r="AY311" s="14">
        <f>AF311</f>
        <v/>
      </c>
      <c r="AZ311" s="39">
        <f>AX311-AF311</f>
        <v/>
      </c>
      <c r="BA311" s="14">
        <f>SUMIFS(Donnees_regimes!$S$3:$S$1118,Donnees_regimes!$A$3:$A$1118,C311,Donnees_regimes!$B$3:$B$1118,"&gt;="&amp;G311,Donnees_regimes!$B$3:$B$1118,"&lt;="&amp;N311)*L311/ROUNDUP(L311,0)*SUMIFS(Donnees_annuelles!$AH$3:$AH$188,Donnees_annuelles!$A$3:$A$188,AR311)*SUMIFS(Donnees_annuelles!$AA$3:$AA$188,Donnees_annuelles!$A$3:$A$188,AR311)</f>
        <v/>
      </c>
      <c r="BB311" s="39">
        <f>BA311-AL311</f>
        <v/>
      </c>
      <c r="BC311" s="7">
        <f>IF(M311+AJ311&gt;2026,IF(G311&gt;2026,"entièrement projeté","en partie projeté"),"observé")</f>
        <v/>
      </c>
    </row>
    <row r="312">
      <c r="A312" s="7" t="inlineStr">
        <is>
          <t>Génération silencieuse</t>
        </is>
      </c>
      <c r="B312" s="84" t="inlineStr">
        <is>
          <t>SNCF</t>
        </is>
      </c>
      <c r="C312" s="7">
        <f>IF(G312&gt;=SUMIFS(Regimes!$C$5:$C$10,Regimes!$A$5:$A$10,B312),"Privé",B312)</f>
        <v/>
      </c>
      <c r="D312" s="7">
        <f>INDEX(Regimes!$D$5:$D$10,MATCH(C312,Regimes!$A$5:$A$10,0))</f>
        <v/>
      </c>
      <c r="E312" s="88" t="n">
        <v>1943</v>
      </c>
      <c r="F312" s="8">
        <f>Donnees_generations!C31</f>
        <v/>
      </c>
      <c r="G312" s="77">
        <f>Donnees_generations!D31</f>
        <v/>
      </c>
      <c r="H312" s="8">
        <f>SUMIFS(Donnees_generations!$S$3:$S$113,Donnees_generations!$A$3:$A$113,MAX(1915,MIN(2025,E312)))</f>
        <v/>
      </c>
      <c r="I312" s="8">
        <f>SUMIFS(Donnees_generations!$T$3:$T$113,Donnees_generations!$A$3:$A$113,MAX(1915,MIN(2025,E312)))</f>
        <v/>
      </c>
      <c r="J312" s="8">
        <f>IF(G312&gt;=2000,MAX(I312,Parametres!$B$3),I312)</f>
        <v/>
      </c>
      <c r="K312" s="8">
        <f>IF(C312="Privé",J312,SUMIFS(Regles_regimes!$J$3:$J$2000,Regles_regimes!$A$3:$A$2000,C312,Regles_regimes!$B$3:$B$2000,D312,Regles_regimes!$C$3:$C$2000,MAX(1915,MIN(2025,E312))))</f>
        <v/>
      </c>
      <c r="L312" s="8">
        <f>IF(C312="Privé",H312,(K312-F312)*H312/(J312-F312))</f>
        <v/>
      </c>
      <c r="M312" s="77">
        <f>INT(E312+K312)</f>
        <v/>
      </c>
      <c r="N312" s="77">
        <f>G312+ROUNDUP(L312,0)-1</f>
        <v/>
      </c>
      <c r="O312" s="89">
        <f>SUMIFS(Regles_regimes!$K$3:$K$2000,Regles_regimes!$A$3:$A$2000,C312,Regles_regimes!$B$3:$B$2000,D312,Regles_regimes!$C$3:$C$2000,MAX(1915,MIN(2025,E312)))</f>
        <v/>
      </c>
      <c r="P312" s="13">
        <f>SUMIFS(Donnees_annuelles!$W$3:$W$188,Donnees_annuelles!$A$3:$A$188,"&gt;="&amp;G312,Donnees_annuelles!$A$3:$A$188,"&lt;="&amp;N312)*L312/ROUNDUP(L312,0)*O312</f>
        <v/>
      </c>
      <c r="Q312" s="13">
        <f>SUMIFS(Donnees_annuelles!$V$3:$V$188,Donnees_annuelles!$A$3:$A$188,"&gt;="&amp;G312,Donnees_annuelles!$A$3:$A$188,"&lt;="&amp;N312)*L312/ROUNDUP(L312,0)</f>
        <v/>
      </c>
      <c r="R312" s="13">
        <f>P312/L312</f>
        <v/>
      </c>
      <c r="S312" s="14">
        <f>SUMIFS(Donnees_annuelles!$D$3:$D$188,Donnees_annuelles!$A$3:$A$188,"&gt;="&amp;G312,Donnees_annuelles!$A$3:$A$188,"&lt;="&amp;N312)*L312/ROUNDUP(L312,0)</f>
        <v/>
      </c>
      <c r="T312" s="14">
        <f>SUMIFS(Donnees_regimes!$N$3:$N$1118,Donnees_regimes!$A$3:$A$1118,C312,Donnees_regimes!$B$3:$B$1118,"&gt;="&amp;G312,Donnees_regimes!$B$3:$B$1118,"&lt;="&amp;N312)*L312/ROUNDUP(L312,0)</f>
        <v/>
      </c>
      <c r="U312" s="14">
        <f>SUMIFS(Donnees_regimes!$O$3:$O$1118,Donnees_regimes!$A$3:$A$1118,C312,Donnees_regimes!$B$3:$B$1118,"&gt;="&amp;G312,Donnees_regimes!$B$3:$B$1118,"&lt;="&amp;N312)*L312/ROUNDUP(L312,0)</f>
        <v/>
      </c>
      <c r="V312" s="14">
        <f>T312+U312</f>
        <v/>
      </c>
      <c r="W312" s="33">
        <f>V312/S312</f>
        <v/>
      </c>
      <c r="X312" s="14">
        <f>S312+U312</f>
        <v/>
      </c>
      <c r="Y312" s="17">
        <f>V312/P312</f>
        <v/>
      </c>
      <c r="Z312" s="14">
        <f>SUMIFS(Donnees_regimes!$Q$3:$Q$1118,Donnees_regimes!$A$3:$A$1118,C312,Donnees_regimes!$B$3:$B$1118,"&gt;="&amp;G312,Donnees_regimes!$B$3:$B$1118,"&lt;="&amp;N312)*L312/ROUNDUP(L312,0)</f>
        <v/>
      </c>
      <c r="AA312" s="77">
        <f>SUMIFS(Regles_regimes!$F$3:$F$2000,Regles_regimes!$A$3:$A$2000,C312,Regles_regimes!$B$3:$B$2000,D312,Regles_regimes!$C$3:$C$2000,MAX(1915,MIN(2025,E312)))</f>
        <v/>
      </c>
      <c r="AB312" s="77">
        <f>IF(AND(SUMIFS(Regles_regimes!$L$3:$L$2000,Regles_regimes!$A$3:$A$2000,C312,Regles_regimes!$B$3:$B$2000,D312,Regles_regimes!$C$3:$C$2000,MAX(1915,MIN(2025,E312)))=1,G312&lt;2009,C312&lt;&gt;"Privé"),MIN(20,L312*4/5),0)</f>
        <v/>
      </c>
      <c r="AC312" s="89">
        <f>SUMIFS(Donnees_regimes!$M$3:$M$1118,Donnees_regimes!$A$3:$A$1118,C312,Donnees_regimes!$B$3:$B$1118,M312)</f>
        <v/>
      </c>
      <c r="AD312" s="14">
        <f>SUMIFS(Donnees_annuelles!$Y$3:$Y$188,Donnees_annuelles!$A$3:$A$188,M312)*SUMIFS(Donnees_generations!$I$3:$I$113,Donnees_generations!$A$3:$A$113,MAX(1915,MIN(2025,E312)))/H312</f>
        <v/>
      </c>
      <c r="AE312" s="14">
        <f>IF(C312="Privé",SUMIFS(Donnees_annuelles!$Y$3:$Y$188,Donnees_annuelles!$A$3:$A$188,M312)*MIN(L312,SUMIFS(Donnees_generations!$I$3:$I$113,Donnees_generations!$A$3:$A$113,MAX(1915,MIN(2025,E312))))/L312,AD312*AC312*MIN(IF(AB312&gt;0,0.8/0.75,1),(L312*4+AB312)/AA312))</f>
        <v/>
      </c>
      <c r="AF312" s="14">
        <f>AE312/12</f>
        <v/>
      </c>
      <c r="AG312" s="77">
        <f>MIN(68,MAX(56,2*INT(K312/2)))</f>
        <v/>
      </c>
      <c r="AH312" s="75">
        <f>(CHOOSE((AG312-56)/2+1,SUMIFS(Donnees_generations!$U$3:$U$113,Donnees_generations!$A$3:$A$113,MAX(1915,MIN(2025,E312))),SUMIFS(Donnees_generations!$V$3:$V$113,Donnees_generations!$A$3:$A$113,MAX(1915,MIN(2025,E312))),SUMIFS(Donnees_generations!$W$3:$W$113,Donnees_generations!$A$3:$A$113,MAX(1915,MIN(2025,E312))),SUMIFS(Donnees_generations!$X$3:$X$113,Donnees_generations!$A$3:$A$113,MAX(1915,MIN(2025,E312))),SUMIFS(Donnees_generations!$Y$3:$Y$113,Donnees_generations!$A$3:$A$113,MAX(1915,MIN(2025,E312))),SUMIFS(Donnees_generations!$Z$3:$Z$113,Donnees_generations!$A$3:$A$113,MAX(1915,MIN(2025,E312))),SUMIFS(Donnees_generations!$AA$3:$AA$113,Donnees_generations!$A$3:$A$113,MAX(1915,MIN(2025,E312))),SUMIFS(Donnees_generations!$AB$3:$AB$113,Donnees_generations!$A$3:$A$113,MAX(1915,MIN(2025,E312))))+CHOOSE((AG312-56)/2+1,SUMIFS(Donnees_generations!$AC$3:$AC$113,Donnees_generations!$A$3:$A$113,MAX(1915,MIN(2025,E312))),SUMIFS(Donnees_generations!$AD$3:$AD$113,Donnees_generations!$A$3:$A$113,MAX(1915,MIN(2025,E312))),SUMIFS(Donnees_generations!$AE$3:$AE$113,Donnees_generations!$A$3:$A$113,MAX(1915,MIN(2025,E312))),SUMIFS(Donnees_generations!$AF$3:$AF$113,Donnees_generations!$A$3:$A$113,MAX(1915,MIN(2025,E312))),SUMIFS(Donnees_generations!$AG$3:$AG$113,Donnees_generations!$A$3:$A$113,MAX(1915,MIN(2025,E312))),SUMIFS(Donnees_generations!$AH$3:$AH$113,Donnees_generations!$A$3:$A$113,MAX(1915,MIN(2025,E312))),SUMIFS(Donnees_generations!$AI$3:$AI$113,Donnees_generations!$A$3:$A$113,MAX(1915,MIN(2025,E312))),SUMIFS(Donnees_generations!$AJ$3:$AJ$113,Donnees_generations!$A$3:$A$113,MAX(1915,MIN(2025,E312)))))/2</f>
        <v/>
      </c>
      <c r="AI312" s="75">
        <f>(CHOOSE(((AG312+2)-56)/2+1,SUMIFS(Donnees_generations!$U$3:$U$113,Donnees_generations!$A$3:$A$113,MAX(1915,MIN(2025,E312))),SUMIFS(Donnees_generations!$V$3:$V$113,Donnees_generations!$A$3:$A$113,MAX(1915,MIN(2025,E312))),SUMIFS(Donnees_generations!$W$3:$W$113,Donnees_generations!$A$3:$A$113,MAX(1915,MIN(2025,E312))),SUMIFS(Donnees_generations!$X$3:$X$113,Donnees_generations!$A$3:$A$113,MAX(1915,MIN(2025,E312))),SUMIFS(Donnees_generations!$Y$3:$Y$113,Donnees_generations!$A$3:$A$113,MAX(1915,MIN(2025,E312))),SUMIFS(Donnees_generations!$Z$3:$Z$113,Donnees_generations!$A$3:$A$113,MAX(1915,MIN(2025,E312))),SUMIFS(Donnees_generations!$AA$3:$AA$113,Donnees_generations!$A$3:$A$113,MAX(1915,MIN(2025,E312))),SUMIFS(Donnees_generations!$AB$3:$AB$113,Donnees_generations!$A$3:$A$113,MAX(1915,MIN(2025,E312))))+CHOOSE(((AG312+2)-56)/2+1,SUMIFS(Donnees_generations!$AC$3:$AC$113,Donnees_generations!$A$3:$A$113,MAX(1915,MIN(2025,E312))),SUMIFS(Donnees_generations!$AD$3:$AD$113,Donnees_generations!$A$3:$A$113,MAX(1915,MIN(2025,E312))),SUMIFS(Donnees_generations!$AE$3:$AE$113,Donnees_generations!$A$3:$A$113,MAX(1915,MIN(2025,E312))),SUMIFS(Donnees_generations!$AF$3:$AF$113,Donnees_generations!$A$3:$A$113,MAX(1915,MIN(2025,E312))),SUMIFS(Donnees_generations!$AG$3:$AG$113,Donnees_generations!$A$3:$A$113,MAX(1915,MIN(2025,E312))),SUMIFS(Donnees_generations!$AH$3:$AH$113,Donnees_generations!$A$3:$A$113,MAX(1915,MIN(2025,E312))),SUMIFS(Donnees_generations!$AI$3:$AI$113,Donnees_generations!$A$3:$A$113,MAX(1915,MIN(2025,E312))),SUMIFS(Donnees_generations!$AJ$3:$AJ$113,Donnees_generations!$A$3:$A$113,MAX(1915,MIN(2025,E312)))))/2</f>
        <v/>
      </c>
      <c r="AJ312" s="8">
        <f>MAX(0,AH312+(AI312-AH312)*(K312-AG312)/2)</f>
        <v/>
      </c>
      <c r="AK312" s="8">
        <f>K312+AJ312</f>
        <v/>
      </c>
      <c r="AL312" s="14">
        <f>AE312*AJ312</f>
        <v/>
      </c>
      <c r="AM312" s="17">
        <f>V312/AL312</f>
        <v/>
      </c>
      <c r="AN312" s="17">
        <f>Z312/AL312</f>
        <v/>
      </c>
      <c r="AO312" s="33">
        <f>IF(V312+Z312=0,0,Z312/(V312+Z312))</f>
        <v/>
      </c>
      <c r="AP312" s="14">
        <f>AL312/V312*100</f>
        <v/>
      </c>
      <c r="AQ312" s="8">
        <f>P312/AL312*1000</f>
        <v/>
      </c>
      <c r="AR312" s="77">
        <f>MAX(N312,M312-1)</f>
        <v/>
      </c>
      <c r="AS312" s="14">
        <f>SUMIFS(Donnees_regimes!$R$3:$R$1118,Donnees_regimes!$A$3:$A$1118,C312,Donnees_regimes!$B$3:$B$1118,"&gt;="&amp;G312,Donnees_regimes!$B$3:$B$1118,"&lt;="&amp;N312)*L312/ROUNDUP(L312,0)*SUMIFS(Donnees_annuelles!$AG$3:$AG$188,Donnees_annuelles!$A$3:$A$188,AR312)*SUMIFS(Donnees_annuelles!$AA$3:$AA$188,Donnees_annuelles!$A$3:$A$188,AR312)</f>
        <v/>
      </c>
      <c r="AT312" s="36">
        <f>AS312/V312</f>
        <v/>
      </c>
      <c r="AU312" s="14">
        <f>AL312</f>
        <v/>
      </c>
      <c r="AV312" s="39">
        <f>AS312-AL312</f>
        <v/>
      </c>
      <c r="AW312" s="9">
        <f>AS312/AL312-1</f>
        <v/>
      </c>
      <c r="AX312" s="14">
        <f>AS312/AJ312/12</f>
        <v/>
      </c>
      <c r="AY312" s="14">
        <f>AF312</f>
        <v/>
      </c>
      <c r="AZ312" s="39">
        <f>AX312-AF312</f>
        <v/>
      </c>
      <c r="BA312" s="14">
        <f>SUMIFS(Donnees_regimes!$S$3:$S$1118,Donnees_regimes!$A$3:$A$1118,C312,Donnees_regimes!$B$3:$B$1118,"&gt;="&amp;G312,Donnees_regimes!$B$3:$B$1118,"&lt;="&amp;N312)*L312/ROUNDUP(L312,0)*SUMIFS(Donnees_annuelles!$AH$3:$AH$188,Donnees_annuelles!$A$3:$A$188,AR312)*SUMIFS(Donnees_annuelles!$AA$3:$AA$188,Donnees_annuelles!$A$3:$A$188,AR312)</f>
        <v/>
      </c>
      <c r="BB312" s="39">
        <f>BA312-AL312</f>
        <v/>
      </c>
      <c r="BC312" s="7">
        <f>IF(M312+AJ312&gt;2026,IF(G312&gt;2026,"entièrement projeté","en partie projeté"),"observé")</f>
        <v/>
      </c>
    </row>
    <row r="313">
      <c r="A313" s="7" t="inlineStr">
        <is>
          <t>Génération silencieuse</t>
        </is>
      </c>
      <c r="B313" s="84" t="inlineStr">
        <is>
          <t>SNCF</t>
        </is>
      </c>
      <c r="C313" s="7">
        <f>IF(G313&gt;=SUMIFS(Regimes!$C$5:$C$10,Regimes!$A$5:$A$10,B313),"Privé",B313)</f>
        <v/>
      </c>
      <c r="D313" s="7">
        <f>INDEX(Regimes!$D$5:$D$10,MATCH(C313,Regimes!$A$5:$A$10,0))</f>
        <v/>
      </c>
      <c r="E313" s="88" t="n">
        <v>1944</v>
      </c>
      <c r="F313" s="8">
        <f>Donnees_generations!C32</f>
        <v/>
      </c>
      <c r="G313" s="77">
        <f>Donnees_generations!D32</f>
        <v/>
      </c>
      <c r="H313" s="8">
        <f>SUMIFS(Donnees_generations!$S$3:$S$113,Donnees_generations!$A$3:$A$113,MAX(1915,MIN(2025,E313)))</f>
        <v/>
      </c>
      <c r="I313" s="8">
        <f>SUMIFS(Donnees_generations!$T$3:$T$113,Donnees_generations!$A$3:$A$113,MAX(1915,MIN(2025,E313)))</f>
        <v/>
      </c>
      <c r="J313" s="8">
        <f>IF(G313&gt;=2000,MAX(I313,Parametres!$B$3),I313)</f>
        <v/>
      </c>
      <c r="K313" s="8">
        <f>IF(C313="Privé",J313,SUMIFS(Regles_regimes!$J$3:$J$2000,Regles_regimes!$A$3:$A$2000,C313,Regles_regimes!$B$3:$B$2000,D313,Regles_regimes!$C$3:$C$2000,MAX(1915,MIN(2025,E313))))</f>
        <v/>
      </c>
      <c r="L313" s="8">
        <f>IF(C313="Privé",H313,(K313-F313)*H313/(J313-F313))</f>
        <v/>
      </c>
      <c r="M313" s="77">
        <f>INT(E313+K313)</f>
        <v/>
      </c>
      <c r="N313" s="77">
        <f>G313+ROUNDUP(L313,0)-1</f>
        <v/>
      </c>
      <c r="O313" s="89">
        <f>SUMIFS(Regles_regimes!$K$3:$K$2000,Regles_regimes!$A$3:$A$2000,C313,Regles_regimes!$B$3:$B$2000,D313,Regles_regimes!$C$3:$C$2000,MAX(1915,MIN(2025,E313)))</f>
        <v/>
      </c>
      <c r="P313" s="13">
        <f>SUMIFS(Donnees_annuelles!$W$3:$W$188,Donnees_annuelles!$A$3:$A$188,"&gt;="&amp;G313,Donnees_annuelles!$A$3:$A$188,"&lt;="&amp;N313)*L313/ROUNDUP(L313,0)*O313</f>
        <v/>
      </c>
      <c r="Q313" s="13">
        <f>SUMIFS(Donnees_annuelles!$V$3:$V$188,Donnees_annuelles!$A$3:$A$188,"&gt;="&amp;G313,Donnees_annuelles!$A$3:$A$188,"&lt;="&amp;N313)*L313/ROUNDUP(L313,0)</f>
        <v/>
      </c>
      <c r="R313" s="13">
        <f>P313/L313</f>
        <v/>
      </c>
      <c r="S313" s="14">
        <f>SUMIFS(Donnees_annuelles!$D$3:$D$188,Donnees_annuelles!$A$3:$A$188,"&gt;="&amp;G313,Donnees_annuelles!$A$3:$A$188,"&lt;="&amp;N313)*L313/ROUNDUP(L313,0)</f>
        <v/>
      </c>
      <c r="T313" s="14">
        <f>SUMIFS(Donnees_regimes!$N$3:$N$1118,Donnees_regimes!$A$3:$A$1118,C313,Donnees_regimes!$B$3:$B$1118,"&gt;="&amp;G313,Donnees_regimes!$B$3:$B$1118,"&lt;="&amp;N313)*L313/ROUNDUP(L313,0)</f>
        <v/>
      </c>
      <c r="U313" s="14">
        <f>SUMIFS(Donnees_regimes!$O$3:$O$1118,Donnees_regimes!$A$3:$A$1118,C313,Donnees_regimes!$B$3:$B$1118,"&gt;="&amp;G313,Donnees_regimes!$B$3:$B$1118,"&lt;="&amp;N313)*L313/ROUNDUP(L313,0)</f>
        <v/>
      </c>
      <c r="V313" s="14">
        <f>T313+U313</f>
        <v/>
      </c>
      <c r="W313" s="33">
        <f>V313/S313</f>
        <v/>
      </c>
      <c r="X313" s="14">
        <f>S313+U313</f>
        <v/>
      </c>
      <c r="Y313" s="17">
        <f>V313/P313</f>
        <v/>
      </c>
      <c r="Z313" s="14">
        <f>SUMIFS(Donnees_regimes!$Q$3:$Q$1118,Donnees_regimes!$A$3:$A$1118,C313,Donnees_regimes!$B$3:$B$1118,"&gt;="&amp;G313,Donnees_regimes!$B$3:$B$1118,"&lt;="&amp;N313)*L313/ROUNDUP(L313,0)</f>
        <v/>
      </c>
      <c r="AA313" s="77">
        <f>SUMIFS(Regles_regimes!$F$3:$F$2000,Regles_regimes!$A$3:$A$2000,C313,Regles_regimes!$B$3:$B$2000,D313,Regles_regimes!$C$3:$C$2000,MAX(1915,MIN(2025,E313)))</f>
        <v/>
      </c>
      <c r="AB313" s="77">
        <f>IF(AND(SUMIFS(Regles_regimes!$L$3:$L$2000,Regles_regimes!$A$3:$A$2000,C313,Regles_regimes!$B$3:$B$2000,D313,Regles_regimes!$C$3:$C$2000,MAX(1915,MIN(2025,E313)))=1,G313&lt;2009,C313&lt;&gt;"Privé"),MIN(20,L313*4/5),0)</f>
        <v/>
      </c>
      <c r="AC313" s="89">
        <f>SUMIFS(Donnees_regimes!$M$3:$M$1118,Donnees_regimes!$A$3:$A$1118,C313,Donnees_regimes!$B$3:$B$1118,M313)</f>
        <v/>
      </c>
      <c r="AD313" s="14">
        <f>SUMIFS(Donnees_annuelles!$Y$3:$Y$188,Donnees_annuelles!$A$3:$A$188,M313)*SUMIFS(Donnees_generations!$I$3:$I$113,Donnees_generations!$A$3:$A$113,MAX(1915,MIN(2025,E313)))/H313</f>
        <v/>
      </c>
      <c r="AE313" s="14">
        <f>IF(C313="Privé",SUMIFS(Donnees_annuelles!$Y$3:$Y$188,Donnees_annuelles!$A$3:$A$188,M313)*MIN(L313,SUMIFS(Donnees_generations!$I$3:$I$113,Donnees_generations!$A$3:$A$113,MAX(1915,MIN(2025,E313))))/L313,AD313*AC313*MIN(IF(AB313&gt;0,0.8/0.75,1),(L313*4+AB313)/AA313))</f>
        <v/>
      </c>
      <c r="AF313" s="14">
        <f>AE313/12</f>
        <v/>
      </c>
      <c r="AG313" s="77">
        <f>MIN(68,MAX(56,2*INT(K313/2)))</f>
        <v/>
      </c>
      <c r="AH313" s="75">
        <f>(CHOOSE((AG313-56)/2+1,SUMIFS(Donnees_generations!$U$3:$U$113,Donnees_generations!$A$3:$A$113,MAX(1915,MIN(2025,E313))),SUMIFS(Donnees_generations!$V$3:$V$113,Donnees_generations!$A$3:$A$113,MAX(1915,MIN(2025,E313))),SUMIFS(Donnees_generations!$W$3:$W$113,Donnees_generations!$A$3:$A$113,MAX(1915,MIN(2025,E313))),SUMIFS(Donnees_generations!$X$3:$X$113,Donnees_generations!$A$3:$A$113,MAX(1915,MIN(2025,E313))),SUMIFS(Donnees_generations!$Y$3:$Y$113,Donnees_generations!$A$3:$A$113,MAX(1915,MIN(2025,E313))),SUMIFS(Donnees_generations!$Z$3:$Z$113,Donnees_generations!$A$3:$A$113,MAX(1915,MIN(2025,E313))),SUMIFS(Donnees_generations!$AA$3:$AA$113,Donnees_generations!$A$3:$A$113,MAX(1915,MIN(2025,E313))),SUMIFS(Donnees_generations!$AB$3:$AB$113,Donnees_generations!$A$3:$A$113,MAX(1915,MIN(2025,E313))))+CHOOSE((AG313-56)/2+1,SUMIFS(Donnees_generations!$AC$3:$AC$113,Donnees_generations!$A$3:$A$113,MAX(1915,MIN(2025,E313))),SUMIFS(Donnees_generations!$AD$3:$AD$113,Donnees_generations!$A$3:$A$113,MAX(1915,MIN(2025,E313))),SUMIFS(Donnees_generations!$AE$3:$AE$113,Donnees_generations!$A$3:$A$113,MAX(1915,MIN(2025,E313))),SUMIFS(Donnees_generations!$AF$3:$AF$113,Donnees_generations!$A$3:$A$113,MAX(1915,MIN(2025,E313))),SUMIFS(Donnees_generations!$AG$3:$AG$113,Donnees_generations!$A$3:$A$113,MAX(1915,MIN(2025,E313))),SUMIFS(Donnees_generations!$AH$3:$AH$113,Donnees_generations!$A$3:$A$113,MAX(1915,MIN(2025,E313))),SUMIFS(Donnees_generations!$AI$3:$AI$113,Donnees_generations!$A$3:$A$113,MAX(1915,MIN(2025,E313))),SUMIFS(Donnees_generations!$AJ$3:$AJ$113,Donnees_generations!$A$3:$A$113,MAX(1915,MIN(2025,E313)))))/2</f>
        <v/>
      </c>
      <c r="AI313" s="75">
        <f>(CHOOSE(((AG313+2)-56)/2+1,SUMIFS(Donnees_generations!$U$3:$U$113,Donnees_generations!$A$3:$A$113,MAX(1915,MIN(2025,E313))),SUMIFS(Donnees_generations!$V$3:$V$113,Donnees_generations!$A$3:$A$113,MAX(1915,MIN(2025,E313))),SUMIFS(Donnees_generations!$W$3:$W$113,Donnees_generations!$A$3:$A$113,MAX(1915,MIN(2025,E313))),SUMIFS(Donnees_generations!$X$3:$X$113,Donnees_generations!$A$3:$A$113,MAX(1915,MIN(2025,E313))),SUMIFS(Donnees_generations!$Y$3:$Y$113,Donnees_generations!$A$3:$A$113,MAX(1915,MIN(2025,E313))),SUMIFS(Donnees_generations!$Z$3:$Z$113,Donnees_generations!$A$3:$A$113,MAX(1915,MIN(2025,E313))),SUMIFS(Donnees_generations!$AA$3:$AA$113,Donnees_generations!$A$3:$A$113,MAX(1915,MIN(2025,E313))),SUMIFS(Donnees_generations!$AB$3:$AB$113,Donnees_generations!$A$3:$A$113,MAX(1915,MIN(2025,E313))))+CHOOSE(((AG313+2)-56)/2+1,SUMIFS(Donnees_generations!$AC$3:$AC$113,Donnees_generations!$A$3:$A$113,MAX(1915,MIN(2025,E313))),SUMIFS(Donnees_generations!$AD$3:$AD$113,Donnees_generations!$A$3:$A$113,MAX(1915,MIN(2025,E313))),SUMIFS(Donnees_generations!$AE$3:$AE$113,Donnees_generations!$A$3:$A$113,MAX(1915,MIN(2025,E313))),SUMIFS(Donnees_generations!$AF$3:$AF$113,Donnees_generations!$A$3:$A$113,MAX(1915,MIN(2025,E313))),SUMIFS(Donnees_generations!$AG$3:$AG$113,Donnees_generations!$A$3:$A$113,MAX(1915,MIN(2025,E313))),SUMIFS(Donnees_generations!$AH$3:$AH$113,Donnees_generations!$A$3:$A$113,MAX(1915,MIN(2025,E313))),SUMIFS(Donnees_generations!$AI$3:$AI$113,Donnees_generations!$A$3:$A$113,MAX(1915,MIN(2025,E313))),SUMIFS(Donnees_generations!$AJ$3:$AJ$113,Donnees_generations!$A$3:$A$113,MAX(1915,MIN(2025,E313)))))/2</f>
        <v/>
      </c>
      <c r="AJ313" s="8">
        <f>MAX(0,AH313+(AI313-AH313)*(K313-AG313)/2)</f>
        <v/>
      </c>
      <c r="AK313" s="8">
        <f>K313+AJ313</f>
        <v/>
      </c>
      <c r="AL313" s="14">
        <f>AE313*AJ313</f>
        <v/>
      </c>
      <c r="AM313" s="17">
        <f>V313/AL313</f>
        <v/>
      </c>
      <c r="AN313" s="17">
        <f>Z313/AL313</f>
        <v/>
      </c>
      <c r="AO313" s="33">
        <f>IF(V313+Z313=0,0,Z313/(V313+Z313))</f>
        <v/>
      </c>
      <c r="AP313" s="14">
        <f>AL313/V313*100</f>
        <v/>
      </c>
      <c r="AQ313" s="8">
        <f>P313/AL313*1000</f>
        <v/>
      </c>
      <c r="AR313" s="77">
        <f>MAX(N313,M313-1)</f>
        <v/>
      </c>
      <c r="AS313" s="14">
        <f>SUMIFS(Donnees_regimes!$R$3:$R$1118,Donnees_regimes!$A$3:$A$1118,C313,Donnees_regimes!$B$3:$B$1118,"&gt;="&amp;G313,Donnees_regimes!$B$3:$B$1118,"&lt;="&amp;N313)*L313/ROUNDUP(L313,0)*SUMIFS(Donnees_annuelles!$AG$3:$AG$188,Donnees_annuelles!$A$3:$A$188,AR313)*SUMIFS(Donnees_annuelles!$AA$3:$AA$188,Donnees_annuelles!$A$3:$A$188,AR313)</f>
        <v/>
      </c>
      <c r="AT313" s="36">
        <f>AS313/V313</f>
        <v/>
      </c>
      <c r="AU313" s="14">
        <f>AL313</f>
        <v/>
      </c>
      <c r="AV313" s="39">
        <f>AS313-AL313</f>
        <v/>
      </c>
      <c r="AW313" s="9">
        <f>AS313/AL313-1</f>
        <v/>
      </c>
      <c r="AX313" s="14">
        <f>AS313/AJ313/12</f>
        <v/>
      </c>
      <c r="AY313" s="14">
        <f>AF313</f>
        <v/>
      </c>
      <c r="AZ313" s="39">
        <f>AX313-AF313</f>
        <v/>
      </c>
      <c r="BA313" s="14">
        <f>SUMIFS(Donnees_regimes!$S$3:$S$1118,Donnees_regimes!$A$3:$A$1118,C313,Donnees_regimes!$B$3:$B$1118,"&gt;="&amp;G313,Donnees_regimes!$B$3:$B$1118,"&lt;="&amp;N313)*L313/ROUNDUP(L313,0)*SUMIFS(Donnees_annuelles!$AH$3:$AH$188,Donnees_annuelles!$A$3:$A$188,AR313)*SUMIFS(Donnees_annuelles!$AA$3:$AA$188,Donnees_annuelles!$A$3:$A$188,AR313)</f>
        <v/>
      </c>
      <c r="BB313" s="39">
        <f>BA313-AL313</f>
        <v/>
      </c>
      <c r="BC313" s="7">
        <f>IF(M313+AJ313&gt;2026,IF(G313&gt;2026,"entièrement projeté","en partie projeté"),"observé")</f>
        <v/>
      </c>
    </row>
    <row r="314">
      <c r="A314" s="7" t="inlineStr">
        <is>
          <t>Génération silencieuse</t>
        </is>
      </c>
      <c r="B314" s="84" t="inlineStr">
        <is>
          <t>SNCF</t>
        </is>
      </c>
      <c r="C314" s="7">
        <f>IF(G314&gt;=SUMIFS(Regimes!$C$5:$C$10,Regimes!$A$5:$A$10,B314),"Privé",B314)</f>
        <v/>
      </c>
      <c r="D314" s="7">
        <f>INDEX(Regimes!$D$5:$D$10,MATCH(C314,Regimes!$A$5:$A$10,0))</f>
        <v/>
      </c>
      <c r="E314" s="88" t="n">
        <v>1945</v>
      </c>
      <c r="F314" s="8">
        <f>Donnees_generations!C33</f>
        <v/>
      </c>
      <c r="G314" s="77">
        <f>Donnees_generations!D33</f>
        <v/>
      </c>
      <c r="H314" s="8">
        <f>SUMIFS(Donnees_generations!$S$3:$S$113,Donnees_generations!$A$3:$A$113,MAX(1915,MIN(2025,E314)))</f>
        <v/>
      </c>
      <c r="I314" s="8">
        <f>SUMIFS(Donnees_generations!$T$3:$T$113,Donnees_generations!$A$3:$A$113,MAX(1915,MIN(2025,E314)))</f>
        <v/>
      </c>
      <c r="J314" s="8">
        <f>IF(G314&gt;=2000,MAX(I314,Parametres!$B$3),I314)</f>
        <v/>
      </c>
      <c r="K314" s="8">
        <f>IF(C314="Privé",J314,SUMIFS(Regles_regimes!$J$3:$J$2000,Regles_regimes!$A$3:$A$2000,C314,Regles_regimes!$B$3:$B$2000,D314,Regles_regimes!$C$3:$C$2000,MAX(1915,MIN(2025,E314))))</f>
        <v/>
      </c>
      <c r="L314" s="8">
        <f>IF(C314="Privé",H314,(K314-F314)*H314/(J314-F314))</f>
        <v/>
      </c>
      <c r="M314" s="77">
        <f>INT(E314+K314)</f>
        <v/>
      </c>
      <c r="N314" s="77">
        <f>G314+ROUNDUP(L314,0)-1</f>
        <v/>
      </c>
      <c r="O314" s="89">
        <f>SUMIFS(Regles_regimes!$K$3:$K$2000,Regles_regimes!$A$3:$A$2000,C314,Regles_regimes!$B$3:$B$2000,D314,Regles_regimes!$C$3:$C$2000,MAX(1915,MIN(2025,E314)))</f>
        <v/>
      </c>
      <c r="P314" s="13">
        <f>SUMIFS(Donnees_annuelles!$W$3:$W$188,Donnees_annuelles!$A$3:$A$188,"&gt;="&amp;G314,Donnees_annuelles!$A$3:$A$188,"&lt;="&amp;N314)*L314/ROUNDUP(L314,0)*O314</f>
        <v/>
      </c>
      <c r="Q314" s="13">
        <f>SUMIFS(Donnees_annuelles!$V$3:$V$188,Donnees_annuelles!$A$3:$A$188,"&gt;="&amp;G314,Donnees_annuelles!$A$3:$A$188,"&lt;="&amp;N314)*L314/ROUNDUP(L314,0)</f>
        <v/>
      </c>
      <c r="R314" s="13">
        <f>P314/L314</f>
        <v/>
      </c>
      <c r="S314" s="14">
        <f>SUMIFS(Donnees_annuelles!$D$3:$D$188,Donnees_annuelles!$A$3:$A$188,"&gt;="&amp;G314,Donnees_annuelles!$A$3:$A$188,"&lt;="&amp;N314)*L314/ROUNDUP(L314,0)</f>
        <v/>
      </c>
      <c r="T314" s="14">
        <f>SUMIFS(Donnees_regimes!$N$3:$N$1118,Donnees_regimes!$A$3:$A$1118,C314,Donnees_regimes!$B$3:$B$1118,"&gt;="&amp;G314,Donnees_regimes!$B$3:$B$1118,"&lt;="&amp;N314)*L314/ROUNDUP(L314,0)</f>
        <v/>
      </c>
      <c r="U314" s="14">
        <f>SUMIFS(Donnees_regimes!$O$3:$O$1118,Donnees_regimes!$A$3:$A$1118,C314,Donnees_regimes!$B$3:$B$1118,"&gt;="&amp;G314,Donnees_regimes!$B$3:$B$1118,"&lt;="&amp;N314)*L314/ROUNDUP(L314,0)</f>
        <v/>
      </c>
      <c r="V314" s="14">
        <f>T314+U314</f>
        <v/>
      </c>
      <c r="W314" s="33">
        <f>V314/S314</f>
        <v/>
      </c>
      <c r="X314" s="14">
        <f>S314+U314</f>
        <v/>
      </c>
      <c r="Y314" s="17">
        <f>V314/P314</f>
        <v/>
      </c>
      <c r="Z314" s="14">
        <f>SUMIFS(Donnees_regimes!$Q$3:$Q$1118,Donnees_regimes!$A$3:$A$1118,C314,Donnees_regimes!$B$3:$B$1118,"&gt;="&amp;G314,Donnees_regimes!$B$3:$B$1118,"&lt;="&amp;N314)*L314/ROUNDUP(L314,0)</f>
        <v/>
      </c>
      <c r="AA314" s="77">
        <f>SUMIFS(Regles_regimes!$F$3:$F$2000,Regles_regimes!$A$3:$A$2000,C314,Regles_regimes!$B$3:$B$2000,D314,Regles_regimes!$C$3:$C$2000,MAX(1915,MIN(2025,E314)))</f>
        <v/>
      </c>
      <c r="AB314" s="77">
        <f>IF(AND(SUMIFS(Regles_regimes!$L$3:$L$2000,Regles_regimes!$A$3:$A$2000,C314,Regles_regimes!$B$3:$B$2000,D314,Regles_regimes!$C$3:$C$2000,MAX(1915,MIN(2025,E314)))=1,G314&lt;2009,C314&lt;&gt;"Privé"),MIN(20,L314*4/5),0)</f>
        <v/>
      </c>
      <c r="AC314" s="89">
        <f>SUMIFS(Donnees_regimes!$M$3:$M$1118,Donnees_regimes!$A$3:$A$1118,C314,Donnees_regimes!$B$3:$B$1118,M314)</f>
        <v/>
      </c>
      <c r="AD314" s="14">
        <f>SUMIFS(Donnees_annuelles!$Y$3:$Y$188,Donnees_annuelles!$A$3:$A$188,M314)*SUMIFS(Donnees_generations!$I$3:$I$113,Donnees_generations!$A$3:$A$113,MAX(1915,MIN(2025,E314)))/H314</f>
        <v/>
      </c>
      <c r="AE314" s="14">
        <f>IF(C314="Privé",SUMIFS(Donnees_annuelles!$Y$3:$Y$188,Donnees_annuelles!$A$3:$A$188,M314)*MIN(L314,SUMIFS(Donnees_generations!$I$3:$I$113,Donnees_generations!$A$3:$A$113,MAX(1915,MIN(2025,E314))))/L314,AD314*AC314*MIN(IF(AB314&gt;0,0.8/0.75,1),(L314*4+AB314)/AA314))</f>
        <v/>
      </c>
      <c r="AF314" s="14">
        <f>AE314/12</f>
        <v/>
      </c>
      <c r="AG314" s="77">
        <f>MIN(68,MAX(56,2*INT(K314/2)))</f>
        <v/>
      </c>
      <c r="AH314" s="75">
        <f>(CHOOSE((AG314-56)/2+1,SUMIFS(Donnees_generations!$U$3:$U$113,Donnees_generations!$A$3:$A$113,MAX(1915,MIN(2025,E314))),SUMIFS(Donnees_generations!$V$3:$V$113,Donnees_generations!$A$3:$A$113,MAX(1915,MIN(2025,E314))),SUMIFS(Donnees_generations!$W$3:$W$113,Donnees_generations!$A$3:$A$113,MAX(1915,MIN(2025,E314))),SUMIFS(Donnees_generations!$X$3:$X$113,Donnees_generations!$A$3:$A$113,MAX(1915,MIN(2025,E314))),SUMIFS(Donnees_generations!$Y$3:$Y$113,Donnees_generations!$A$3:$A$113,MAX(1915,MIN(2025,E314))),SUMIFS(Donnees_generations!$Z$3:$Z$113,Donnees_generations!$A$3:$A$113,MAX(1915,MIN(2025,E314))),SUMIFS(Donnees_generations!$AA$3:$AA$113,Donnees_generations!$A$3:$A$113,MAX(1915,MIN(2025,E314))),SUMIFS(Donnees_generations!$AB$3:$AB$113,Donnees_generations!$A$3:$A$113,MAX(1915,MIN(2025,E314))))+CHOOSE((AG314-56)/2+1,SUMIFS(Donnees_generations!$AC$3:$AC$113,Donnees_generations!$A$3:$A$113,MAX(1915,MIN(2025,E314))),SUMIFS(Donnees_generations!$AD$3:$AD$113,Donnees_generations!$A$3:$A$113,MAX(1915,MIN(2025,E314))),SUMIFS(Donnees_generations!$AE$3:$AE$113,Donnees_generations!$A$3:$A$113,MAX(1915,MIN(2025,E314))),SUMIFS(Donnees_generations!$AF$3:$AF$113,Donnees_generations!$A$3:$A$113,MAX(1915,MIN(2025,E314))),SUMIFS(Donnees_generations!$AG$3:$AG$113,Donnees_generations!$A$3:$A$113,MAX(1915,MIN(2025,E314))),SUMIFS(Donnees_generations!$AH$3:$AH$113,Donnees_generations!$A$3:$A$113,MAX(1915,MIN(2025,E314))),SUMIFS(Donnees_generations!$AI$3:$AI$113,Donnees_generations!$A$3:$A$113,MAX(1915,MIN(2025,E314))),SUMIFS(Donnees_generations!$AJ$3:$AJ$113,Donnees_generations!$A$3:$A$113,MAX(1915,MIN(2025,E314)))))/2</f>
        <v/>
      </c>
      <c r="AI314" s="75">
        <f>(CHOOSE(((AG314+2)-56)/2+1,SUMIFS(Donnees_generations!$U$3:$U$113,Donnees_generations!$A$3:$A$113,MAX(1915,MIN(2025,E314))),SUMIFS(Donnees_generations!$V$3:$V$113,Donnees_generations!$A$3:$A$113,MAX(1915,MIN(2025,E314))),SUMIFS(Donnees_generations!$W$3:$W$113,Donnees_generations!$A$3:$A$113,MAX(1915,MIN(2025,E314))),SUMIFS(Donnees_generations!$X$3:$X$113,Donnees_generations!$A$3:$A$113,MAX(1915,MIN(2025,E314))),SUMIFS(Donnees_generations!$Y$3:$Y$113,Donnees_generations!$A$3:$A$113,MAX(1915,MIN(2025,E314))),SUMIFS(Donnees_generations!$Z$3:$Z$113,Donnees_generations!$A$3:$A$113,MAX(1915,MIN(2025,E314))),SUMIFS(Donnees_generations!$AA$3:$AA$113,Donnees_generations!$A$3:$A$113,MAX(1915,MIN(2025,E314))),SUMIFS(Donnees_generations!$AB$3:$AB$113,Donnees_generations!$A$3:$A$113,MAX(1915,MIN(2025,E314))))+CHOOSE(((AG314+2)-56)/2+1,SUMIFS(Donnees_generations!$AC$3:$AC$113,Donnees_generations!$A$3:$A$113,MAX(1915,MIN(2025,E314))),SUMIFS(Donnees_generations!$AD$3:$AD$113,Donnees_generations!$A$3:$A$113,MAX(1915,MIN(2025,E314))),SUMIFS(Donnees_generations!$AE$3:$AE$113,Donnees_generations!$A$3:$A$113,MAX(1915,MIN(2025,E314))),SUMIFS(Donnees_generations!$AF$3:$AF$113,Donnees_generations!$A$3:$A$113,MAX(1915,MIN(2025,E314))),SUMIFS(Donnees_generations!$AG$3:$AG$113,Donnees_generations!$A$3:$A$113,MAX(1915,MIN(2025,E314))),SUMIFS(Donnees_generations!$AH$3:$AH$113,Donnees_generations!$A$3:$A$113,MAX(1915,MIN(2025,E314))),SUMIFS(Donnees_generations!$AI$3:$AI$113,Donnees_generations!$A$3:$A$113,MAX(1915,MIN(2025,E314))),SUMIFS(Donnees_generations!$AJ$3:$AJ$113,Donnees_generations!$A$3:$A$113,MAX(1915,MIN(2025,E314)))))/2</f>
        <v/>
      </c>
      <c r="AJ314" s="8">
        <f>MAX(0,AH314+(AI314-AH314)*(K314-AG314)/2)</f>
        <v/>
      </c>
      <c r="AK314" s="8">
        <f>K314+AJ314</f>
        <v/>
      </c>
      <c r="AL314" s="14">
        <f>AE314*AJ314</f>
        <v/>
      </c>
      <c r="AM314" s="17">
        <f>V314/AL314</f>
        <v/>
      </c>
      <c r="AN314" s="17">
        <f>Z314/AL314</f>
        <v/>
      </c>
      <c r="AO314" s="33">
        <f>IF(V314+Z314=0,0,Z314/(V314+Z314))</f>
        <v/>
      </c>
      <c r="AP314" s="14">
        <f>AL314/V314*100</f>
        <v/>
      </c>
      <c r="AQ314" s="8">
        <f>P314/AL314*1000</f>
        <v/>
      </c>
      <c r="AR314" s="77">
        <f>MAX(N314,M314-1)</f>
        <v/>
      </c>
      <c r="AS314" s="14">
        <f>SUMIFS(Donnees_regimes!$R$3:$R$1118,Donnees_regimes!$A$3:$A$1118,C314,Donnees_regimes!$B$3:$B$1118,"&gt;="&amp;G314,Donnees_regimes!$B$3:$B$1118,"&lt;="&amp;N314)*L314/ROUNDUP(L314,0)*SUMIFS(Donnees_annuelles!$AG$3:$AG$188,Donnees_annuelles!$A$3:$A$188,AR314)*SUMIFS(Donnees_annuelles!$AA$3:$AA$188,Donnees_annuelles!$A$3:$A$188,AR314)</f>
        <v/>
      </c>
      <c r="AT314" s="36">
        <f>AS314/V314</f>
        <v/>
      </c>
      <c r="AU314" s="14">
        <f>AL314</f>
        <v/>
      </c>
      <c r="AV314" s="39">
        <f>AS314-AL314</f>
        <v/>
      </c>
      <c r="AW314" s="9">
        <f>AS314/AL314-1</f>
        <v/>
      </c>
      <c r="AX314" s="14">
        <f>AS314/AJ314/12</f>
        <v/>
      </c>
      <c r="AY314" s="14">
        <f>AF314</f>
        <v/>
      </c>
      <c r="AZ314" s="39">
        <f>AX314-AF314</f>
        <v/>
      </c>
      <c r="BA314" s="14">
        <f>SUMIFS(Donnees_regimes!$S$3:$S$1118,Donnees_regimes!$A$3:$A$1118,C314,Donnees_regimes!$B$3:$B$1118,"&gt;="&amp;G314,Donnees_regimes!$B$3:$B$1118,"&lt;="&amp;N314)*L314/ROUNDUP(L314,0)*SUMIFS(Donnees_annuelles!$AH$3:$AH$188,Donnees_annuelles!$A$3:$A$188,AR314)*SUMIFS(Donnees_annuelles!$AA$3:$AA$188,Donnees_annuelles!$A$3:$A$188,AR314)</f>
        <v/>
      </c>
      <c r="BB314" s="39">
        <f>BA314-AL314</f>
        <v/>
      </c>
      <c r="BC314" s="7">
        <f>IF(M314+AJ314&gt;2026,IF(G314&gt;2026,"entièrement projeté","en partie projeté"),"observé")</f>
        <v/>
      </c>
    </row>
    <row r="315">
      <c r="A315" s="7" t="inlineStr">
        <is>
          <t>Baby-boomers</t>
        </is>
      </c>
      <c r="B315" s="84" t="inlineStr">
        <is>
          <t>SNCF</t>
        </is>
      </c>
      <c r="C315" s="7">
        <f>IF(G315&gt;=SUMIFS(Regimes!$C$5:$C$10,Regimes!$A$5:$A$10,B315),"Privé",B315)</f>
        <v/>
      </c>
      <c r="D315" s="7">
        <f>INDEX(Regimes!$D$5:$D$10,MATCH(C315,Regimes!$A$5:$A$10,0))</f>
        <v/>
      </c>
      <c r="E315" s="88" t="n">
        <v>1946</v>
      </c>
      <c r="F315" s="8">
        <f>Donnees_generations!C34</f>
        <v/>
      </c>
      <c r="G315" s="77">
        <f>Donnees_generations!D34</f>
        <v/>
      </c>
      <c r="H315" s="8">
        <f>SUMIFS(Donnees_generations!$S$3:$S$113,Donnees_generations!$A$3:$A$113,MAX(1915,MIN(2025,E315)))</f>
        <v/>
      </c>
      <c r="I315" s="8">
        <f>SUMIFS(Donnees_generations!$T$3:$T$113,Donnees_generations!$A$3:$A$113,MAX(1915,MIN(2025,E315)))</f>
        <v/>
      </c>
      <c r="J315" s="8">
        <f>IF(G315&gt;=2000,MAX(I315,Parametres!$B$3),I315)</f>
        <v/>
      </c>
      <c r="K315" s="8">
        <f>IF(C315="Privé",J315,SUMIFS(Regles_regimes!$J$3:$J$2000,Regles_regimes!$A$3:$A$2000,C315,Regles_regimes!$B$3:$B$2000,D315,Regles_regimes!$C$3:$C$2000,MAX(1915,MIN(2025,E315))))</f>
        <v/>
      </c>
      <c r="L315" s="8">
        <f>IF(C315="Privé",H315,(K315-F315)*H315/(J315-F315))</f>
        <v/>
      </c>
      <c r="M315" s="77">
        <f>INT(E315+K315)</f>
        <v/>
      </c>
      <c r="N315" s="77">
        <f>G315+ROUNDUP(L315,0)-1</f>
        <v/>
      </c>
      <c r="O315" s="89">
        <f>SUMIFS(Regles_regimes!$K$3:$K$2000,Regles_regimes!$A$3:$A$2000,C315,Regles_regimes!$B$3:$B$2000,D315,Regles_regimes!$C$3:$C$2000,MAX(1915,MIN(2025,E315)))</f>
        <v/>
      </c>
      <c r="P315" s="13">
        <f>SUMIFS(Donnees_annuelles!$W$3:$W$188,Donnees_annuelles!$A$3:$A$188,"&gt;="&amp;G315,Donnees_annuelles!$A$3:$A$188,"&lt;="&amp;N315)*L315/ROUNDUP(L315,0)*O315</f>
        <v/>
      </c>
      <c r="Q315" s="13">
        <f>SUMIFS(Donnees_annuelles!$V$3:$V$188,Donnees_annuelles!$A$3:$A$188,"&gt;="&amp;G315,Donnees_annuelles!$A$3:$A$188,"&lt;="&amp;N315)*L315/ROUNDUP(L315,0)</f>
        <v/>
      </c>
      <c r="R315" s="13">
        <f>P315/L315</f>
        <v/>
      </c>
      <c r="S315" s="14">
        <f>SUMIFS(Donnees_annuelles!$D$3:$D$188,Donnees_annuelles!$A$3:$A$188,"&gt;="&amp;G315,Donnees_annuelles!$A$3:$A$188,"&lt;="&amp;N315)*L315/ROUNDUP(L315,0)</f>
        <v/>
      </c>
      <c r="T315" s="14">
        <f>SUMIFS(Donnees_regimes!$N$3:$N$1118,Donnees_regimes!$A$3:$A$1118,C315,Donnees_regimes!$B$3:$B$1118,"&gt;="&amp;G315,Donnees_regimes!$B$3:$B$1118,"&lt;="&amp;N315)*L315/ROUNDUP(L315,0)</f>
        <v/>
      </c>
      <c r="U315" s="14">
        <f>SUMIFS(Donnees_regimes!$O$3:$O$1118,Donnees_regimes!$A$3:$A$1118,C315,Donnees_regimes!$B$3:$B$1118,"&gt;="&amp;G315,Donnees_regimes!$B$3:$B$1118,"&lt;="&amp;N315)*L315/ROUNDUP(L315,0)</f>
        <v/>
      </c>
      <c r="V315" s="14">
        <f>T315+U315</f>
        <v/>
      </c>
      <c r="W315" s="33">
        <f>V315/S315</f>
        <v/>
      </c>
      <c r="X315" s="14">
        <f>S315+U315</f>
        <v/>
      </c>
      <c r="Y315" s="17">
        <f>V315/P315</f>
        <v/>
      </c>
      <c r="Z315" s="14">
        <f>SUMIFS(Donnees_regimes!$Q$3:$Q$1118,Donnees_regimes!$A$3:$A$1118,C315,Donnees_regimes!$B$3:$B$1118,"&gt;="&amp;G315,Donnees_regimes!$B$3:$B$1118,"&lt;="&amp;N315)*L315/ROUNDUP(L315,0)</f>
        <v/>
      </c>
      <c r="AA315" s="77">
        <f>SUMIFS(Regles_regimes!$F$3:$F$2000,Regles_regimes!$A$3:$A$2000,C315,Regles_regimes!$B$3:$B$2000,D315,Regles_regimes!$C$3:$C$2000,MAX(1915,MIN(2025,E315)))</f>
        <v/>
      </c>
      <c r="AB315" s="77">
        <f>IF(AND(SUMIFS(Regles_regimes!$L$3:$L$2000,Regles_regimes!$A$3:$A$2000,C315,Regles_regimes!$B$3:$B$2000,D315,Regles_regimes!$C$3:$C$2000,MAX(1915,MIN(2025,E315)))=1,G315&lt;2009,C315&lt;&gt;"Privé"),MIN(20,L315*4/5),0)</f>
        <v/>
      </c>
      <c r="AC315" s="89">
        <f>SUMIFS(Donnees_regimes!$M$3:$M$1118,Donnees_regimes!$A$3:$A$1118,C315,Donnees_regimes!$B$3:$B$1118,M315)</f>
        <v/>
      </c>
      <c r="AD315" s="14">
        <f>SUMIFS(Donnees_annuelles!$Y$3:$Y$188,Donnees_annuelles!$A$3:$A$188,M315)*SUMIFS(Donnees_generations!$I$3:$I$113,Donnees_generations!$A$3:$A$113,MAX(1915,MIN(2025,E315)))/H315</f>
        <v/>
      </c>
      <c r="AE315" s="14">
        <f>IF(C315="Privé",SUMIFS(Donnees_annuelles!$Y$3:$Y$188,Donnees_annuelles!$A$3:$A$188,M315)*MIN(L315,SUMIFS(Donnees_generations!$I$3:$I$113,Donnees_generations!$A$3:$A$113,MAX(1915,MIN(2025,E315))))/L315,AD315*AC315*MIN(IF(AB315&gt;0,0.8/0.75,1),(L315*4+AB315)/AA315))</f>
        <v/>
      </c>
      <c r="AF315" s="14">
        <f>AE315/12</f>
        <v/>
      </c>
      <c r="AG315" s="77">
        <f>MIN(68,MAX(56,2*INT(K315/2)))</f>
        <v/>
      </c>
      <c r="AH315" s="75">
        <f>(CHOOSE((AG315-56)/2+1,SUMIFS(Donnees_generations!$U$3:$U$113,Donnees_generations!$A$3:$A$113,MAX(1915,MIN(2025,E315))),SUMIFS(Donnees_generations!$V$3:$V$113,Donnees_generations!$A$3:$A$113,MAX(1915,MIN(2025,E315))),SUMIFS(Donnees_generations!$W$3:$W$113,Donnees_generations!$A$3:$A$113,MAX(1915,MIN(2025,E315))),SUMIFS(Donnees_generations!$X$3:$X$113,Donnees_generations!$A$3:$A$113,MAX(1915,MIN(2025,E315))),SUMIFS(Donnees_generations!$Y$3:$Y$113,Donnees_generations!$A$3:$A$113,MAX(1915,MIN(2025,E315))),SUMIFS(Donnees_generations!$Z$3:$Z$113,Donnees_generations!$A$3:$A$113,MAX(1915,MIN(2025,E315))),SUMIFS(Donnees_generations!$AA$3:$AA$113,Donnees_generations!$A$3:$A$113,MAX(1915,MIN(2025,E315))),SUMIFS(Donnees_generations!$AB$3:$AB$113,Donnees_generations!$A$3:$A$113,MAX(1915,MIN(2025,E315))))+CHOOSE((AG315-56)/2+1,SUMIFS(Donnees_generations!$AC$3:$AC$113,Donnees_generations!$A$3:$A$113,MAX(1915,MIN(2025,E315))),SUMIFS(Donnees_generations!$AD$3:$AD$113,Donnees_generations!$A$3:$A$113,MAX(1915,MIN(2025,E315))),SUMIFS(Donnees_generations!$AE$3:$AE$113,Donnees_generations!$A$3:$A$113,MAX(1915,MIN(2025,E315))),SUMIFS(Donnees_generations!$AF$3:$AF$113,Donnees_generations!$A$3:$A$113,MAX(1915,MIN(2025,E315))),SUMIFS(Donnees_generations!$AG$3:$AG$113,Donnees_generations!$A$3:$A$113,MAX(1915,MIN(2025,E315))),SUMIFS(Donnees_generations!$AH$3:$AH$113,Donnees_generations!$A$3:$A$113,MAX(1915,MIN(2025,E315))),SUMIFS(Donnees_generations!$AI$3:$AI$113,Donnees_generations!$A$3:$A$113,MAX(1915,MIN(2025,E315))),SUMIFS(Donnees_generations!$AJ$3:$AJ$113,Donnees_generations!$A$3:$A$113,MAX(1915,MIN(2025,E315)))))/2</f>
        <v/>
      </c>
      <c r="AI315" s="75">
        <f>(CHOOSE(((AG315+2)-56)/2+1,SUMIFS(Donnees_generations!$U$3:$U$113,Donnees_generations!$A$3:$A$113,MAX(1915,MIN(2025,E315))),SUMIFS(Donnees_generations!$V$3:$V$113,Donnees_generations!$A$3:$A$113,MAX(1915,MIN(2025,E315))),SUMIFS(Donnees_generations!$W$3:$W$113,Donnees_generations!$A$3:$A$113,MAX(1915,MIN(2025,E315))),SUMIFS(Donnees_generations!$X$3:$X$113,Donnees_generations!$A$3:$A$113,MAX(1915,MIN(2025,E315))),SUMIFS(Donnees_generations!$Y$3:$Y$113,Donnees_generations!$A$3:$A$113,MAX(1915,MIN(2025,E315))),SUMIFS(Donnees_generations!$Z$3:$Z$113,Donnees_generations!$A$3:$A$113,MAX(1915,MIN(2025,E315))),SUMIFS(Donnees_generations!$AA$3:$AA$113,Donnees_generations!$A$3:$A$113,MAX(1915,MIN(2025,E315))),SUMIFS(Donnees_generations!$AB$3:$AB$113,Donnees_generations!$A$3:$A$113,MAX(1915,MIN(2025,E315))))+CHOOSE(((AG315+2)-56)/2+1,SUMIFS(Donnees_generations!$AC$3:$AC$113,Donnees_generations!$A$3:$A$113,MAX(1915,MIN(2025,E315))),SUMIFS(Donnees_generations!$AD$3:$AD$113,Donnees_generations!$A$3:$A$113,MAX(1915,MIN(2025,E315))),SUMIFS(Donnees_generations!$AE$3:$AE$113,Donnees_generations!$A$3:$A$113,MAX(1915,MIN(2025,E315))),SUMIFS(Donnees_generations!$AF$3:$AF$113,Donnees_generations!$A$3:$A$113,MAX(1915,MIN(2025,E315))),SUMIFS(Donnees_generations!$AG$3:$AG$113,Donnees_generations!$A$3:$A$113,MAX(1915,MIN(2025,E315))),SUMIFS(Donnees_generations!$AH$3:$AH$113,Donnees_generations!$A$3:$A$113,MAX(1915,MIN(2025,E315))),SUMIFS(Donnees_generations!$AI$3:$AI$113,Donnees_generations!$A$3:$A$113,MAX(1915,MIN(2025,E315))),SUMIFS(Donnees_generations!$AJ$3:$AJ$113,Donnees_generations!$A$3:$A$113,MAX(1915,MIN(2025,E315)))))/2</f>
        <v/>
      </c>
      <c r="AJ315" s="8">
        <f>MAX(0,AH315+(AI315-AH315)*(K315-AG315)/2)</f>
        <v/>
      </c>
      <c r="AK315" s="8">
        <f>K315+AJ315</f>
        <v/>
      </c>
      <c r="AL315" s="14">
        <f>AE315*AJ315</f>
        <v/>
      </c>
      <c r="AM315" s="17">
        <f>V315/AL315</f>
        <v/>
      </c>
      <c r="AN315" s="17">
        <f>Z315/AL315</f>
        <v/>
      </c>
      <c r="AO315" s="33">
        <f>IF(V315+Z315=0,0,Z315/(V315+Z315))</f>
        <v/>
      </c>
      <c r="AP315" s="14">
        <f>AL315/V315*100</f>
        <v/>
      </c>
      <c r="AQ315" s="8">
        <f>P315/AL315*1000</f>
        <v/>
      </c>
      <c r="AR315" s="77">
        <f>MAX(N315,M315-1)</f>
        <v/>
      </c>
      <c r="AS315" s="14">
        <f>SUMIFS(Donnees_regimes!$R$3:$R$1118,Donnees_regimes!$A$3:$A$1118,C315,Donnees_regimes!$B$3:$B$1118,"&gt;="&amp;G315,Donnees_regimes!$B$3:$B$1118,"&lt;="&amp;N315)*L315/ROUNDUP(L315,0)*SUMIFS(Donnees_annuelles!$AG$3:$AG$188,Donnees_annuelles!$A$3:$A$188,AR315)*SUMIFS(Donnees_annuelles!$AA$3:$AA$188,Donnees_annuelles!$A$3:$A$188,AR315)</f>
        <v/>
      </c>
      <c r="AT315" s="36">
        <f>AS315/V315</f>
        <v/>
      </c>
      <c r="AU315" s="14">
        <f>AL315</f>
        <v/>
      </c>
      <c r="AV315" s="39">
        <f>AS315-AL315</f>
        <v/>
      </c>
      <c r="AW315" s="9">
        <f>AS315/AL315-1</f>
        <v/>
      </c>
      <c r="AX315" s="14">
        <f>AS315/AJ315/12</f>
        <v/>
      </c>
      <c r="AY315" s="14">
        <f>AF315</f>
        <v/>
      </c>
      <c r="AZ315" s="39">
        <f>AX315-AF315</f>
        <v/>
      </c>
      <c r="BA315" s="14">
        <f>SUMIFS(Donnees_regimes!$S$3:$S$1118,Donnees_regimes!$A$3:$A$1118,C315,Donnees_regimes!$B$3:$B$1118,"&gt;="&amp;G315,Donnees_regimes!$B$3:$B$1118,"&lt;="&amp;N315)*L315/ROUNDUP(L315,0)*SUMIFS(Donnees_annuelles!$AH$3:$AH$188,Donnees_annuelles!$A$3:$A$188,AR315)*SUMIFS(Donnees_annuelles!$AA$3:$AA$188,Donnees_annuelles!$A$3:$A$188,AR315)</f>
        <v/>
      </c>
      <c r="BB315" s="39">
        <f>BA315-AL315</f>
        <v/>
      </c>
      <c r="BC315" s="7">
        <f>IF(M315+AJ315&gt;2026,IF(G315&gt;2026,"entièrement projeté","en partie projeté"),"observé")</f>
        <v/>
      </c>
    </row>
    <row r="316">
      <c r="A316" s="7" t="inlineStr">
        <is>
          <t>Baby-boomers</t>
        </is>
      </c>
      <c r="B316" s="84" t="inlineStr">
        <is>
          <t>SNCF</t>
        </is>
      </c>
      <c r="C316" s="7">
        <f>IF(G316&gt;=SUMIFS(Regimes!$C$5:$C$10,Regimes!$A$5:$A$10,B316),"Privé",B316)</f>
        <v/>
      </c>
      <c r="D316" s="7">
        <f>INDEX(Regimes!$D$5:$D$10,MATCH(C316,Regimes!$A$5:$A$10,0))</f>
        <v/>
      </c>
      <c r="E316" s="88" t="n">
        <v>1947</v>
      </c>
      <c r="F316" s="8">
        <f>Donnees_generations!C35</f>
        <v/>
      </c>
      <c r="G316" s="77">
        <f>Donnees_generations!D35</f>
        <v/>
      </c>
      <c r="H316" s="8">
        <f>SUMIFS(Donnees_generations!$S$3:$S$113,Donnees_generations!$A$3:$A$113,MAX(1915,MIN(2025,E316)))</f>
        <v/>
      </c>
      <c r="I316" s="8">
        <f>SUMIFS(Donnees_generations!$T$3:$T$113,Donnees_generations!$A$3:$A$113,MAX(1915,MIN(2025,E316)))</f>
        <v/>
      </c>
      <c r="J316" s="8">
        <f>IF(G316&gt;=2000,MAX(I316,Parametres!$B$3),I316)</f>
        <v/>
      </c>
      <c r="K316" s="8">
        <f>IF(C316="Privé",J316,SUMIFS(Regles_regimes!$J$3:$J$2000,Regles_regimes!$A$3:$A$2000,C316,Regles_regimes!$B$3:$B$2000,D316,Regles_regimes!$C$3:$C$2000,MAX(1915,MIN(2025,E316))))</f>
        <v/>
      </c>
      <c r="L316" s="8">
        <f>IF(C316="Privé",H316,(K316-F316)*H316/(J316-F316))</f>
        <v/>
      </c>
      <c r="M316" s="77">
        <f>INT(E316+K316)</f>
        <v/>
      </c>
      <c r="N316" s="77">
        <f>G316+ROUNDUP(L316,0)-1</f>
        <v/>
      </c>
      <c r="O316" s="89">
        <f>SUMIFS(Regles_regimes!$K$3:$K$2000,Regles_regimes!$A$3:$A$2000,C316,Regles_regimes!$B$3:$B$2000,D316,Regles_regimes!$C$3:$C$2000,MAX(1915,MIN(2025,E316)))</f>
        <v/>
      </c>
      <c r="P316" s="13">
        <f>SUMIFS(Donnees_annuelles!$W$3:$W$188,Donnees_annuelles!$A$3:$A$188,"&gt;="&amp;G316,Donnees_annuelles!$A$3:$A$188,"&lt;="&amp;N316)*L316/ROUNDUP(L316,0)*O316</f>
        <v/>
      </c>
      <c r="Q316" s="13">
        <f>SUMIFS(Donnees_annuelles!$V$3:$V$188,Donnees_annuelles!$A$3:$A$188,"&gt;="&amp;G316,Donnees_annuelles!$A$3:$A$188,"&lt;="&amp;N316)*L316/ROUNDUP(L316,0)</f>
        <v/>
      </c>
      <c r="R316" s="13">
        <f>P316/L316</f>
        <v/>
      </c>
      <c r="S316" s="14">
        <f>SUMIFS(Donnees_annuelles!$D$3:$D$188,Donnees_annuelles!$A$3:$A$188,"&gt;="&amp;G316,Donnees_annuelles!$A$3:$A$188,"&lt;="&amp;N316)*L316/ROUNDUP(L316,0)</f>
        <v/>
      </c>
      <c r="T316" s="14">
        <f>SUMIFS(Donnees_regimes!$N$3:$N$1118,Donnees_regimes!$A$3:$A$1118,C316,Donnees_regimes!$B$3:$B$1118,"&gt;="&amp;G316,Donnees_regimes!$B$3:$B$1118,"&lt;="&amp;N316)*L316/ROUNDUP(L316,0)</f>
        <v/>
      </c>
      <c r="U316" s="14">
        <f>SUMIFS(Donnees_regimes!$O$3:$O$1118,Donnees_regimes!$A$3:$A$1118,C316,Donnees_regimes!$B$3:$B$1118,"&gt;="&amp;G316,Donnees_regimes!$B$3:$B$1118,"&lt;="&amp;N316)*L316/ROUNDUP(L316,0)</f>
        <v/>
      </c>
      <c r="V316" s="14">
        <f>T316+U316</f>
        <v/>
      </c>
      <c r="W316" s="33">
        <f>V316/S316</f>
        <v/>
      </c>
      <c r="X316" s="14">
        <f>S316+U316</f>
        <v/>
      </c>
      <c r="Y316" s="17">
        <f>V316/P316</f>
        <v/>
      </c>
      <c r="Z316" s="14">
        <f>SUMIFS(Donnees_regimes!$Q$3:$Q$1118,Donnees_regimes!$A$3:$A$1118,C316,Donnees_regimes!$B$3:$B$1118,"&gt;="&amp;G316,Donnees_regimes!$B$3:$B$1118,"&lt;="&amp;N316)*L316/ROUNDUP(L316,0)</f>
        <v/>
      </c>
      <c r="AA316" s="77">
        <f>SUMIFS(Regles_regimes!$F$3:$F$2000,Regles_regimes!$A$3:$A$2000,C316,Regles_regimes!$B$3:$B$2000,D316,Regles_regimes!$C$3:$C$2000,MAX(1915,MIN(2025,E316)))</f>
        <v/>
      </c>
      <c r="AB316" s="77">
        <f>IF(AND(SUMIFS(Regles_regimes!$L$3:$L$2000,Regles_regimes!$A$3:$A$2000,C316,Regles_regimes!$B$3:$B$2000,D316,Regles_regimes!$C$3:$C$2000,MAX(1915,MIN(2025,E316)))=1,G316&lt;2009,C316&lt;&gt;"Privé"),MIN(20,L316*4/5),0)</f>
        <v/>
      </c>
      <c r="AC316" s="89">
        <f>SUMIFS(Donnees_regimes!$M$3:$M$1118,Donnees_regimes!$A$3:$A$1118,C316,Donnees_regimes!$B$3:$B$1118,M316)</f>
        <v/>
      </c>
      <c r="AD316" s="14">
        <f>SUMIFS(Donnees_annuelles!$Y$3:$Y$188,Donnees_annuelles!$A$3:$A$188,M316)*SUMIFS(Donnees_generations!$I$3:$I$113,Donnees_generations!$A$3:$A$113,MAX(1915,MIN(2025,E316)))/H316</f>
        <v/>
      </c>
      <c r="AE316" s="14">
        <f>IF(C316="Privé",SUMIFS(Donnees_annuelles!$Y$3:$Y$188,Donnees_annuelles!$A$3:$A$188,M316)*MIN(L316,SUMIFS(Donnees_generations!$I$3:$I$113,Donnees_generations!$A$3:$A$113,MAX(1915,MIN(2025,E316))))/L316,AD316*AC316*MIN(IF(AB316&gt;0,0.8/0.75,1),(L316*4+AB316)/AA316))</f>
        <v/>
      </c>
      <c r="AF316" s="14">
        <f>AE316/12</f>
        <v/>
      </c>
      <c r="AG316" s="77">
        <f>MIN(68,MAX(56,2*INT(K316/2)))</f>
        <v/>
      </c>
      <c r="AH316" s="75">
        <f>(CHOOSE((AG316-56)/2+1,SUMIFS(Donnees_generations!$U$3:$U$113,Donnees_generations!$A$3:$A$113,MAX(1915,MIN(2025,E316))),SUMIFS(Donnees_generations!$V$3:$V$113,Donnees_generations!$A$3:$A$113,MAX(1915,MIN(2025,E316))),SUMIFS(Donnees_generations!$W$3:$W$113,Donnees_generations!$A$3:$A$113,MAX(1915,MIN(2025,E316))),SUMIFS(Donnees_generations!$X$3:$X$113,Donnees_generations!$A$3:$A$113,MAX(1915,MIN(2025,E316))),SUMIFS(Donnees_generations!$Y$3:$Y$113,Donnees_generations!$A$3:$A$113,MAX(1915,MIN(2025,E316))),SUMIFS(Donnees_generations!$Z$3:$Z$113,Donnees_generations!$A$3:$A$113,MAX(1915,MIN(2025,E316))),SUMIFS(Donnees_generations!$AA$3:$AA$113,Donnees_generations!$A$3:$A$113,MAX(1915,MIN(2025,E316))),SUMIFS(Donnees_generations!$AB$3:$AB$113,Donnees_generations!$A$3:$A$113,MAX(1915,MIN(2025,E316))))+CHOOSE((AG316-56)/2+1,SUMIFS(Donnees_generations!$AC$3:$AC$113,Donnees_generations!$A$3:$A$113,MAX(1915,MIN(2025,E316))),SUMIFS(Donnees_generations!$AD$3:$AD$113,Donnees_generations!$A$3:$A$113,MAX(1915,MIN(2025,E316))),SUMIFS(Donnees_generations!$AE$3:$AE$113,Donnees_generations!$A$3:$A$113,MAX(1915,MIN(2025,E316))),SUMIFS(Donnees_generations!$AF$3:$AF$113,Donnees_generations!$A$3:$A$113,MAX(1915,MIN(2025,E316))),SUMIFS(Donnees_generations!$AG$3:$AG$113,Donnees_generations!$A$3:$A$113,MAX(1915,MIN(2025,E316))),SUMIFS(Donnees_generations!$AH$3:$AH$113,Donnees_generations!$A$3:$A$113,MAX(1915,MIN(2025,E316))),SUMIFS(Donnees_generations!$AI$3:$AI$113,Donnees_generations!$A$3:$A$113,MAX(1915,MIN(2025,E316))),SUMIFS(Donnees_generations!$AJ$3:$AJ$113,Donnees_generations!$A$3:$A$113,MAX(1915,MIN(2025,E316)))))/2</f>
        <v/>
      </c>
      <c r="AI316" s="75">
        <f>(CHOOSE(((AG316+2)-56)/2+1,SUMIFS(Donnees_generations!$U$3:$U$113,Donnees_generations!$A$3:$A$113,MAX(1915,MIN(2025,E316))),SUMIFS(Donnees_generations!$V$3:$V$113,Donnees_generations!$A$3:$A$113,MAX(1915,MIN(2025,E316))),SUMIFS(Donnees_generations!$W$3:$W$113,Donnees_generations!$A$3:$A$113,MAX(1915,MIN(2025,E316))),SUMIFS(Donnees_generations!$X$3:$X$113,Donnees_generations!$A$3:$A$113,MAX(1915,MIN(2025,E316))),SUMIFS(Donnees_generations!$Y$3:$Y$113,Donnees_generations!$A$3:$A$113,MAX(1915,MIN(2025,E316))),SUMIFS(Donnees_generations!$Z$3:$Z$113,Donnees_generations!$A$3:$A$113,MAX(1915,MIN(2025,E316))),SUMIFS(Donnees_generations!$AA$3:$AA$113,Donnees_generations!$A$3:$A$113,MAX(1915,MIN(2025,E316))),SUMIFS(Donnees_generations!$AB$3:$AB$113,Donnees_generations!$A$3:$A$113,MAX(1915,MIN(2025,E316))))+CHOOSE(((AG316+2)-56)/2+1,SUMIFS(Donnees_generations!$AC$3:$AC$113,Donnees_generations!$A$3:$A$113,MAX(1915,MIN(2025,E316))),SUMIFS(Donnees_generations!$AD$3:$AD$113,Donnees_generations!$A$3:$A$113,MAX(1915,MIN(2025,E316))),SUMIFS(Donnees_generations!$AE$3:$AE$113,Donnees_generations!$A$3:$A$113,MAX(1915,MIN(2025,E316))),SUMIFS(Donnees_generations!$AF$3:$AF$113,Donnees_generations!$A$3:$A$113,MAX(1915,MIN(2025,E316))),SUMIFS(Donnees_generations!$AG$3:$AG$113,Donnees_generations!$A$3:$A$113,MAX(1915,MIN(2025,E316))),SUMIFS(Donnees_generations!$AH$3:$AH$113,Donnees_generations!$A$3:$A$113,MAX(1915,MIN(2025,E316))),SUMIFS(Donnees_generations!$AI$3:$AI$113,Donnees_generations!$A$3:$A$113,MAX(1915,MIN(2025,E316))),SUMIFS(Donnees_generations!$AJ$3:$AJ$113,Donnees_generations!$A$3:$A$113,MAX(1915,MIN(2025,E316)))))/2</f>
        <v/>
      </c>
      <c r="AJ316" s="8">
        <f>MAX(0,AH316+(AI316-AH316)*(K316-AG316)/2)</f>
        <v/>
      </c>
      <c r="AK316" s="8">
        <f>K316+AJ316</f>
        <v/>
      </c>
      <c r="AL316" s="14">
        <f>AE316*AJ316</f>
        <v/>
      </c>
      <c r="AM316" s="17">
        <f>V316/AL316</f>
        <v/>
      </c>
      <c r="AN316" s="17">
        <f>Z316/AL316</f>
        <v/>
      </c>
      <c r="AO316" s="33">
        <f>IF(V316+Z316=0,0,Z316/(V316+Z316))</f>
        <v/>
      </c>
      <c r="AP316" s="14">
        <f>AL316/V316*100</f>
        <v/>
      </c>
      <c r="AQ316" s="8">
        <f>P316/AL316*1000</f>
        <v/>
      </c>
      <c r="AR316" s="77">
        <f>MAX(N316,M316-1)</f>
        <v/>
      </c>
      <c r="AS316" s="14">
        <f>SUMIFS(Donnees_regimes!$R$3:$R$1118,Donnees_regimes!$A$3:$A$1118,C316,Donnees_regimes!$B$3:$B$1118,"&gt;="&amp;G316,Donnees_regimes!$B$3:$B$1118,"&lt;="&amp;N316)*L316/ROUNDUP(L316,0)*SUMIFS(Donnees_annuelles!$AG$3:$AG$188,Donnees_annuelles!$A$3:$A$188,AR316)*SUMIFS(Donnees_annuelles!$AA$3:$AA$188,Donnees_annuelles!$A$3:$A$188,AR316)</f>
        <v/>
      </c>
      <c r="AT316" s="36">
        <f>AS316/V316</f>
        <v/>
      </c>
      <c r="AU316" s="14">
        <f>AL316</f>
        <v/>
      </c>
      <c r="AV316" s="39">
        <f>AS316-AL316</f>
        <v/>
      </c>
      <c r="AW316" s="9">
        <f>AS316/AL316-1</f>
        <v/>
      </c>
      <c r="AX316" s="14">
        <f>AS316/AJ316/12</f>
        <v/>
      </c>
      <c r="AY316" s="14">
        <f>AF316</f>
        <v/>
      </c>
      <c r="AZ316" s="39">
        <f>AX316-AF316</f>
        <v/>
      </c>
      <c r="BA316" s="14">
        <f>SUMIFS(Donnees_regimes!$S$3:$S$1118,Donnees_regimes!$A$3:$A$1118,C316,Donnees_regimes!$B$3:$B$1118,"&gt;="&amp;G316,Donnees_regimes!$B$3:$B$1118,"&lt;="&amp;N316)*L316/ROUNDUP(L316,0)*SUMIFS(Donnees_annuelles!$AH$3:$AH$188,Donnees_annuelles!$A$3:$A$188,AR316)*SUMIFS(Donnees_annuelles!$AA$3:$AA$188,Donnees_annuelles!$A$3:$A$188,AR316)</f>
        <v/>
      </c>
      <c r="BB316" s="39">
        <f>BA316-AL316</f>
        <v/>
      </c>
      <c r="BC316" s="7">
        <f>IF(M316+AJ316&gt;2026,IF(G316&gt;2026,"entièrement projeté","en partie projeté"),"observé")</f>
        <v/>
      </c>
    </row>
    <row r="317">
      <c r="A317" s="7" t="inlineStr">
        <is>
          <t>Baby-boomers</t>
        </is>
      </c>
      <c r="B317" s="84" t="inlineStr">
        <is>
          <t>SNCF</t>
        </is>
      </c>
      <c r="C317" s="7">
        <f>IF(G317&gt;=SUMIFS(Regimes!$C$5:$C$10,Regimes!$A$5:$A$10,B317),"Privé",B317)</f>
        <v/>
      </c>
      <c r="D317" s="7">
        <f>INDEX(Regimes!$D$5:$D$10,MATCH(C317,Regimes!$A$5:$A$10,0))</f>
        <v/>
      </c>
      <c r="E317" s="88" t="n">
        <v>1948</v>
      </c>
      <c r="F317" s="8">
        <f>Donnees_generations!C36</f>
        <v/>
      </c>
      <c r="G317" s="77">
        <f>Donnees_generations!D36</f>
        <v/>
      </c>
      <c r="H317" s="8">
        <f>SUMIFS(Donnees_generations!$S$3:$S$113,Donnees_generations!$A$3:$A$113,MAX(1915,MIN(2025,E317)))</f>
        <v/>
      </c>
      <c r="I317" s="8">
        <f>SUMIFS(Donnees_generations!$T$3:$T$113,Donnees_generations!$A$3:$A$113,MAX(1915,MIN(2025,E317)))</f>
        <v/>
      </c>
      <c r="J317" s="8">
        <f>IF(G317&gt;=2000,MAX(I317,Parametres!$B$3),I317)</f>
        <v/>
      </c>
      <c r="K317" s="8">
        <f>IF(C317="Privé",J317,SUMIFS(Regles_regimes!$J$3:$J$2000,Regles_regimes!$A$3:$A$2000,C317,Regles_regimes!$B$3:$B$2000,D317,Regles_regimes!$C$3:$C$2000,MAX(1915,MIN(2025,E317))))</f>
        <v/>
      </c>
      <c r="L317" s="8">
        <f>IF(C317="Privé",H317,(K317-F317)*H317/(J317-F317))</f>
        <v/>
      </c>
      <c r="M317" s="77">
        <f>INT(E317+K317)</f>
        <v/>
      </c>
      <c r="N317" s="77">
        <f>G317+ROUNDUP(L317,0)-1</f>
        <v/>
      </c>
      <c r="O317" s="89">
        <f>SUMIFS(Regles_regimes!$K$3:$K$2000,Regles_regimes!$A$3:$A$2000,C317,Regles_regimes!$B$3:$B$2000,D317,Regles_regimes!$C$3:$C$2000,MAX(1915,MIN(2025,E317)))</f>
        <v/>
      </c>
      <c r="P317" s="13">
        <f>SUMIFS(Donnees_annuelles!$W$3:$W$188,Donnees_annuelles!$A$3:$A$188,"&gt;="&amp;G317,Donnees_annuelles!$A$3:$A$188,"&lt;="&amp;N317)*L317/ROUNDUP(L317,0)*O317</f>
        <v/>
      </c>
      <c r="Q317" s="13">
        <f>SUMIFS(Donnees_annuelles!$V$3:$V$188,Donnees_annuelles!$A$3:$A$188,"&gt;="&amp;G317,Donnees_annuelles!$A$3:$A$188,"&lt;="&amp;N317)*L317/ROUNDUP(L317,0)</f>
        <v/>
      </c>
      <c r="R317" s="13">
        <f>P317/L317</f>
        <v/>
      </c>
      <c r="S317" s="14">
        <f>SUMIFS(Donnees_annuelles!$D$3:$D$188,Donnees_annuelles!$A$3:$A$188,"&gt;="&amp;G317,Donnees_annuelles!$A$3:$A$188,"&lt;="&amp;N317)*L317/ROUNDUP(L317,0)</f>
        <v/>
      </c>
      <c r="T317" s="14">
        <f>SUMIFS(Donnees_regimes!$N$3:$N$1118,Donnees_regimes!$A$3:$A$1118,C317,Donnees_regimes!$B$3:$B$1118,"&gt;="&amp;G317,Donnees_regimes!$B$3:$B$1118,"&lt;="&amp;N317)*L317/ROUNDUP(L317,0)</f>
        <v/>
      </c>
      <c r="U317" s="14">
        <f>SUMIFS(Donnees_regimes!$O$3:$O$1118,Donnees_regimes!$A$3:$A$1118,C317,Donnees_regimes!$B$3:$B$1118,"&gt;="&amp;G317,Donnees_regimes!$B$3:$B$1118,"&lt;="&amp;N317)*L317/ROUNDUP(L317,0)</f>
        <v/>
      </c>
      <c r="V317" s="14">
        <f>T317+U317</f>
        <v/>
      </c>
      <c r="W317" s="33">
        <f>V317/S317</f>
        <v/>
      </c>
      <c r="X317" s="14">
        <f>S317+U317</f>
        <v/>
      </c>
      <c r="Y317" s="17">
        <f>V317/P317</f>
        <v/>
      </c>
      <c r="Z317" s="14">
        <f>SUMIFS(Donnees_regimes!$Q$3:$Q$1118,Donnees_regimes!$A$3:$A$1118,C317,Donnees_regimes!$B$3:$B$1118,"&gt;="&amp;G317,Donnees_regimes!$B$3:$B$1118,"&lt;="&amp;N317)*L317/ROUNDUP(L317,0)</f>
        <v/>
      </c>
      <c r="AA317" s="77">
        <f>SUMIFS(Regles_regimes!$F$3:$F$2000,Regles_regimes!$A$3:$A$2000,C317,Regles_regimes!$B$3:$B$2000,D317,Regles_regimes!$C$3:$C$2000,MAX(1915,MIN(2025,E317)))</f>
        <v/>
      </c>
      <c r="AB317" s="77">
        <f>IF(AND(SUMIFS(Regles_regimes!$L$3:$L$2000,Regles_regimes!$A$3:$A$2000,C317,Regles_regimes!$B$3:$B$2000,D317,Regles_regimes!$C$3:$C$2000,MAX(1915,MIN(2025,E317)))=1,G317&lt;2009,C317&lt;&gt;"Privé"),MIN(20,L317*4/5),0)</f>
        <v/>
      </c>
      <c r="AC317" s="89">
        <f>SUMIFS(Donnees_regimes!$M$3:$M$1118,Donnees_regimes!$A$3:$A$1118,C317,Donnees_regimes!$B$3:$B$1118,M317)</f>
        <v/>
      </c>
      <c r="AD317" s="14">
        <f>SUMIFS(Donnees_annuelles!$Y$3:$Y$188,Donnees_annuelles!$A$3:$A$188,M317)*SUMIFS(Donnees_generations!$I$3:$I$113,Donnees_generations!$A$3:$A$113,MAX(1915,MIN(2025,E317)))/H317</f>
        <v/>
      </c>
      <c r="AE317" s="14">
        <f>IF(C317="Privé",SUMIFS(Donnees_annuelles!$Y$3:$Y$188,Donnees_annuelles!$A$3:$A$188,M317)*MIN(L317,SUMIFS(Donnees_generations!$I$3:$I$113,Donnees_generations!$A$3:$A$113,MAX(1915,MIN(2025,E317))))/L317,AD317*AC317*MIN(IF(AB317&gt;0,0.8/0.75,1),(L317*4+AB317)/AA317))</f>
        <v/>
      </c>
      <c r="AF317" s="14">
        <f>AE317/12</f>
        <v/>
      </c>
      <c r="AG317" s="77">
        <f>MIN(68,MAX(56,2*INT(K317/2)))</f>
        <v/>
      </c>
      <c r="AH317" s="75">
        <f>(CHOOSE((AG317-56)/2+1,SUMIFS(Donnees_generations!$U$3:$U$113,Donnees_generations!$A$3:$A$113,MAX(1915,MIN(2025,E317))),SUMIFS(Donnees_generations!$V$3:$V$113,Donnees_generations!$A$3:$A$113,MAX(1915,MIN(2025,E317))),SUMIFS(Donnees_generations!$W$3:$W$113,Donnees_generations!$A$3:$A$113,MAX(1915,MIN(2025,E317))),SUMIFS(Donnees_generations!$X$3:$X$113,Donnees_generations!$A$3:$A$113,MAX(1915,MIN(2025,E317))),SUMIFS(Donnees_generations!$Y$3:$Y$113,Donnees_generations!$A$3:$A$113,MAX(1915,MIN(2025,E317))),SUMIFS(Donnees_generations!$Z$3:$Z$113,Donnees_generations!$A$3:$A$113,MAX(1915,MIN(2025,E317))),SUMIFS(Donnees_generations!$AA$3:$AA$113,Donnees_generations!$A$3:$A$113,MAX(1915,MIN(2025,E317))),SUMIFS(Donnees_generations!$AB$3:$AB$113,Donnees_generations!$A$3:$A$113,MAX(1915,MIN(2025,E317))))+CHOOSE((AG317-56)/2+1,SUMIFS(Donnees_generations!$AC$3:$AC$113,Donnees_generations!$A$3:$A$113,MAX(1915,MIN(2025,E317))),SUMIFS(Donnees_generations!$AD$3:$AD$113,Donnees_generations!$A$3:$A$113,MAX(1915,MIN(2025,E317))),SUMIFS(Donnees_generations!$AE$3:$AE$113,Donnees_generations!$A$3:$A$113,MAX(1915,MIN(2025,E317))),SUMIFS(Donnees_generations!$AF$3:$AF$113,Donnees_generations!$A$3:$A$113,MAX(1915,MIN(2025,E317))),SUMIFS(Donnees_generations!$AG$3:$AG$113,Donnees_generations!$A$3:$A$113,MAX(1915,MIN(2025,E317))),SUMIFS(Donnees_generations!$AH$3:$AH$113,Donnees_generations!$A$3:$A$113,MAX(1915,MIN(2025,E317))),SUMIFS(Donnees_generations!$AI$3:$AI$113,Donnees_generations!$A$3:$A$113,MAX(1915,MIN(2025,E317))),SUMIFS(Donnees_generations!$AJ$3:$AJ$113,Donnees_generations!$A$3:$A$113,MAX(1915,MIN(2025,E317)))))/2</f>
        <v/>
      </c>
      <c r="AI317" s="75">
        <f>(CHOOSE(((AG317+2)-56)/2+1,SUMIFS(Donnees_generations!$U$3:$U$113,Donnees_generations!$A$3:$A$113,MAX(1915,MIN(2025,E317))),SUMIFS(Donnees_generations!$V$3:$V$113,Donnees_generations!$A$3:$A$113,MAX(1915,MIN(2025,E317))),SUMIFS(Donnees_generations!$W$3:$W$113,Donnees_generations!$A$3:$A$113,MAX(1915,MIN(2025,E317))),SUMIFS(Donnees_generations!$X$3:$X$113,Donnees_generations!$A$3:$A$113,MAX(1915,MIN(2025,E317))),SUMIFS(Donnees_generations!$Y$3:$Y$113,Donnees_generations!$A$3:$A$113,MAX(1915,MIN(2025,E317))),SUMIFS(Donnees_generations!$Z$3:$Z$113,Donnees_generations!$A$3:$A$113,MAX(1915,MIN(2025,E317))),SUMIFS(Donnees_generations!$AA$3:$AA$113,Donnees_generations!$A$3:$A$113,MAX(1915,MIN(2025,E317))),SUMIFS(Donnees_generations!$AB$3:$AB$113,Donnees_generations!$A$3:$A$113,MAX(1915,MIN(2025,E317))))+CHOOSE(((AG317+2)-56)/2+1,SUMIFS(Donnees_generations!$AC$3:$AC$113,Donnees_generations!$A$3:$A$113,MAX(1915,MIN(2025,E317))),SUMIFS(Donnees_generations!$AD$3:$AD$113,Donnees_generations!$A$3:$A$113,MAX(1915,MIN(2025,E317))),SUMIFS(Donnees_generations!$AE$3:$AE$113,Donnees_generations!$A$3:$A$113,MAX(1915,MIN(2025,E317))),SUMIFS(Donnees_generations!$AF$3:$AF$113,Donnees_generations!$A$3:$A$113,MAX(1915,MIN(2025,E317))),SUMIFS(Donnees_generations!$AG$3:$AG$113,Donnees_generations!$A$3:$A$113,MAX(1915,MIN(2025,E317))),SUMIFS(Donnees_generations!$AH$3:$AH$113,Donnees_generations!$A$3:$A$113,MAX(1915,MIN(2025,E317))),SUMIFS(Donnees_generations!$AI$3:$AI$113,Donnees_generations!$A$3:$A$113,MAX(1915,MIN(2025,E317))),SUMIFS(Donnees_generations!$AJ$3:$AJ$113,Donnees_generations!$A$3:$A$113,MAX(1915,MIN(2025,E317)))))/2</f>
        <v/>
      </c>
      <c r="AJ317" s="8">
        <f>MAX(0,AH317+(AI317-AH317)*(K317-AG317)/2)</f>
        <v/>
      </c>
      <c r="AK317" s="8">
        <f>K317+AJ317</f>
        <v/>
      </c>
      <c r="AL317" s="14">
        <f>AE317*AJ317</f>
        <v/>
      </c>
      <c r="AM317" s="17">
        <f>V317/AL317</f>
        <v/>
      </c>
      <c r="AN317" s="17">
        <f>Z317/AL317</f>
        <v/>
      </c>
      <c r="AO317" s="33">
        <f>IF(V317+Z317=0,0,Z317/(V317+Z317))</f>
        <v/>
      </c>
      <c r="AP317" s="14">
        <f>AL317/V317*100</f>
        <v/>
      </c>
      <c r="AQ317" s="8">
        <f>P317/AL317*1000</f>
        <v/>
      </c>
      <c r="AR317" s="77">
        <f>MAX(N317,M317-1)</f>
        <v/>
      </c>
      <c r="AS317" s="14">
        <f>SUMIFS(Donnees_regimes!$R$3:$R$1118,Donnees_regimes!$A$3:$A$1118,C317,Donnees_regimes!$B$3:$B$1118,"&gt;="&amp;G317,Donnees_regimes!$B$3:$B$1118,"&lt;="&amp;N317)*L317/ROUNDUP(L317,0)*SUMIFS(Donnees_annuelles!$AG$3:$AG$188,Donnees_annuelles!$A$3:$A$188,AR317)*SUMIFS(Donnees_annuelles!$AA$3:$AA$188,Donnees_annuelles!$A$3:$A$188,AR317)</f>
        <v/>
      </c>
      <c r="AT317" s="36">
        <f>AS317/V317</f>
        <v/>
      </c>
      <c r="AU317" s="14">
        <f>AL317</f>
        <v/>
      </c>
      <c r="AV317" s="39">
        <f>AS317-AL317</f>
        <v/>
      </c>
      <c r="AW317" s="9">
        <f>AS317/AL317-1</f>
        <v/>
      </c>
      <c r="AX317" s="14">
        <f>AS317/AJ317/12</f>
        <v/>
      </c>
      <c r="AY317" s="14">
        <f>AF317</f>
        <v/>
      </c>
      <c r="AZ317" s="39">
        <f>AX317-AF317</f>
        <v/>
      </c>
      <c r="BA317" s="14">
        <f>SUMIFS(Donnees_regimes!$S$3:$S$1118,Donnees_regimes!$A$3:$A$1118,C317,Donnees_regimes!$B$3:$B$1118,"&gt;="&amp;G317,Donnees_regimes!$B$3:$B$1118,"&lt;="&amp;N317)*L317/ROUNDUP(L317,0)*SUMIFS(Donnees_annuelles!$AH$3:$AH$188,Donnees_annuelles!$A$3:$A$188,AR317)*SUMIFS(Donnees_annuelles!$AA$3:$AA$188,Donnees_annuelles!$A$3:$A$188,AR317)</f>
        <v/>
      </c>
      <c r="BB317" s="39">
        <f>BA317-AL317</f>
        <v/>
      </c>
      <c r="BC317" s="7">
        <f>IF(M317+AJ317&gt;2026,IF(G317&gt;2026,"entièrement projeté","en partie projeté"),"observé")</f>
        <v/>
      </c>
    </row>
    <row r="318">
      <c r="A318" s="7" t="inlineStr">
        <is>
          <t>Baby-boomers</t>
        </is>
      </c>
      <c r="B318" s="84" t="inlineStr">
        <is>
          <t>SNCF</t>
        </is>
      </c>
      <c r="C318" s="7">
        <f>IF(G318&gt;=SUMIFS(Regimes!$C$5:$C$10,Regimes!$A$5:$A$10,B318),"Privé",B318)</f>
        <v/>
      </c>
      <c r="D318" s="7">
        <f>INDEX(Regimes!$D$5:$D$10,MATCH(C318,Regimes!$A$5:$A$10,0))</f>
        <v/>
      </c>
      <c r="E318" s="88" t="n">
        <v>1949</v>
      </c>
      <c r="F318" s="8">
        <f>Donnees_generations!C37</f>
        <v/>
      </c>
      <c r="G318" s="77">
        <f>Donnees_generations!D37</f>
        <v/>
      </c>
      <c r="H318" s="8">
        <f>SUMIFS(Donnees_generations!$S$3:$S$113,Donnees_generations!$A$3:$A$113,MAX(1915,MIN(2025,E318)))</f>
        <v/>
      </c>
      <c r="I318" s="8">
        <f>SUMIFS(Donnees_generations!$T$3:$T$113,Donnees_generations!$A$3:$A$113,MAX(1915,MIN(2025,E318)))</f>
        <v/>
      </c>
      <c r="J318" s="8">
        <f>IF(G318&gt;=2000,MAX(I318,Parametres!$B$3),I318)</f>
        <v/>
      </c>
      <c r="K318" s="8">
        <f>IF(C318="Privé",J318,SUMIFS(Regles_regimes!$J$3:$J$2000,Regles_regimes!$A$3:$A$2000,C318,Regles_regimes!$B$3:$B$2000,D318,Regles_regimes!$C$3:$C$2000,MAX(1915,MIN(2025,E318))))</f>
        <v/>
      </c>
      <c r="L318" s="8">
        <f>IF(C318="Privé",H318,(K318-F318)*H318/(J318-F318))</f>
        <v/>
      </c>
      <c r="M318" s="77">
        <f>INT(E318+K318)</f>
        <v/>
      </c>
      <c r="N318" s="77">
        <f>G318+ROUNDUP(L318,0)-1</f>
        <v/>
      </c>
      <c r="O318" s="89">
        <f>SUMIFS(Regles_regimes!$K$3:$K$2000,Regles_regimes!$A$3:$A$2000,C318,Regles_regimes!$B$3:$B$2000,D318,Regles_regimes!$C$3:$C$2000,MAX(1915,MIN(2025,E318)))</f>
        <v/>
      </c>
      <c r="P318" s="13">
        <f>SUMIFS(Donnees_annuelles!$W$3:$W$188,Donnees_annuelles!$A$3:$A$188,"&gt;="&amp;G318,Donnees_annuelles!$A$3:$A$188,"&lt;="&amp;N318)*L318/ROUNDUP(L318,0)*O318</f>
        <v/>
      </c>
      <c r="Q318" s="13">
        <f>SUMIFS(Donnees_annuelles!$V$3:$V$188,Donnees_annuelles!$A$3:$A$188,"&gt;="&amp;G318,Donnees_annuelles!$A$3:$A$188,"&lt;="&amp;N318)*L318/ROUNDUP(L318,0)</f>
        <v/>
      </c>
      <c r="R318" s="13">
        <f>P318/L318</f>
        <v/>
      </c>
      <c r="S318" s="14">
        <f>SUMIFS(Donnees_annuelles!$D$3:$D$188,Donnees_annuelles!$A$3:$A$188,"&gt;="&amp;G318,Donnees_annuelles!$A$3:$A$188,"&lt;="&amp;N318)*L318/ROUNDUP(L318,0)</f>
        <v/>
      </c>
      <c r="T318" s="14">
        <f>SUMIFS(Donnees_regimes!$N$3:$N$1118,Donnees_regimes!$A$3:$A$1118,C318,Donnees_regimes!$B$3:$B$1118,"&gt;="&amp;G318,Donnees_regimes!$B$3:$B$1118,"&lt;="&amp;N318)*L318/ROUNDUP(L318,0)</f>
        <v/>
      </c>
      <c r="U318" s="14">
        <f>SUMIFS(Donnees_regimes!$O$3:$O$1118,Donnees_regimes!$A$3:$A$1118,C318,Donnees_regimes!$B$3:$B$1118,"&gt;="&amp;G318,Donnees_regimes!$B$3:$B$1118,"&lt;="&amp;N318)*L318/ROUNDUP(L318,0)</f>
        <v/>
      </c>
      <c r="V318" s="14">
        <f>T318+U318</f>
        <v/>
      </c>
      <c r="W318" s="33">
        <f>V318/S318</f>
        <v/>
      </c>
      <c r="X318" s="14">
        <f>S318+U318</f>
        <v/>
      </c>
      <c r="Y318" s="17">
        <f>V318/P318</f>
        <v/>
      </c>
      <c r="Z318" s="14">
        <f>SUMIFS(Donnees_regimes!$Q$3:$Q$1118,Donnees_regimes!$A$3:$A$1118,C318,Donnees_regimes!$B$3:$B$1118,"&gt;="&amp;G318,Donnees_regimes!$B$3:$B$1118,"&lt;="&amp;N318)*L318/ROUNDUP(L318,0)</f>
        <v/>
      </c>
      <c r="AA318" s="77">
        <f>SUMIFS(Regles_regimes!$F$3:$F$2000,Regles_regimes!$A$3:$A$2000,C318,Regles_regimes!$B$3:$B$2000,D318,Regles_regimes!$C$3:$C$2000,MAX(1915,MIN(2025,E318)))</f>
        <v/>
      </c>
      <c r="AB318" s="77">
        <f>IF(AND(SUMIFS(Regles_regimes!$L$3:$L$2000,Regles_regimes!$A$3:$A$2000,C318,Regles_regimes!$B$3:$B$2000,D318,Regles_regimes!$C$3:$C$2000,MAX(1915,MIN(2025,E318)))=1,G318&lt;2009,C318&lt;&gt;"Privé"),MIN(20,L318*4/5),0)</f>
        <v/>
      </c>
      <c r="AC318" s="89">
        <f>SUMIFS(Donnees_regimes!$M$3:$M$1118,Donnees_regimes!$A$3:$A$1118,C318,Donnees_regimes!$B$3:$B$1118,M318)</f>
        <v/>
      </c>
      <c r="AD318" s="14">
        <f>SUMIFS(Donnees_annuelles!$Y$3:$Y$188,Donnees_annuelles!$A$3:$A$188,M318)*SUMIFS(Donnees_generations!$I$3:$I$113,Donnees_generations!$A$3:$A$113,MAX(1915,MIN(2025,E318)))/H318</f>
        <v/>
      </c>
      <c r="AE318" s="14">
        <f>IF(C318="Privé",SUMIFS(Donnees_annuelles!$Y$3:$Y$188,Donnees_annuelles!$A$3:$A$188,M318)*MIN(L318,SUMIFS(Donnees_generations!$I$3:$I$113,Donnees_generations!$A$3:$A$113,MAX(1915,MIN(2025,E318))))/L318,AD318*AC318*MIN(IF(AB318&gt;0,0.8/0.75,1),(L318*4+AB318)/AA318))</f>
        <v/>
      </c>
      <c r="AF318" s="14">
        <f>AE318/12</f>
        <v/>
      </c>
      <c r="AG318" s="77">
        <f>MIN(68,MAX(56,2*INT(K318/2)))</f>
        <v/>
      </c>
      <c r="AH318" s="75">
        <f>(CHOOSE((AG318-56)/2+1,SUMIFS(Donnees_generations!$U$3:$U$113,Donnees_generations!$A$3:$A$113,MAX(1915,MIN(2025,E318))),SUMIFS(Donnees_generations!$V$3:$V$113,Donnees_generations!$A$3:$A$113,MAX(1915,MIN(2025,E318))),SUMIFS(Donnees_generations!$W$3:$W$113,Donnees_generations!$A$3:$A$113,MAX(1915,MIN(2025,E318))),SUMIFS(Donnees_generations!$X$3:$X$113,Donnees_generations!$A$3:$A$113,MAX(1915,MIN(2025,E318))),SUMIFS(Donnees_generations!$Y$3:$Y$113,Donnees_generations!$A$3:$A$113,MAX(1915,MIN(2025,E318))),SUMIFS(Donnees_generations!$Z$3:$Z$113,Donnees_generations!$A$3:$A$113,MAX(1915,MIN(2025,E318))),SUMIFS(Donnees_generations!$AA$3:$AA$113,Donnees_generations!$A$3:$A$113,MAX(1915,MIN(2025,E318))),SUMIFS(Donnees_generations!$AB$3:$AB$113,Donnees_generations!$A$3:$A$113,MAX(1915,MIN(2025,E318))))+CHOOSE((AG318-56)/2+1,SUMIFS(Donnees_generations!$AC$3:$AC$113,Donnees_generations!$A$3:$A$113,MAX(1915,MIN(2025,E318))),SUMIFS(Donnees_generations!$AD$3:$AD$113,Donnees_generations!$A$3:$A$113,MAX(1915,MIN(2025,E318))),SUMIFS(Donnees_generations!$AE$3:$AE$113,Donnees_generations!$A$3:$A$113,MAX(1915,MIN(2025,E318))),SUMIFS(Donnees_generations!$AF$3:$AF$113,Donnees_generations!$A$3:$A$113,MAX(1915,MIN(2025,E318))),SUMIFS(Donnees_generations!$AG$3:$AG$113,Donnees_generations!$A$3:$A$113,MAX(1915,MIN(2025,E318))),SUMIFS(Donnees_generations!$AH$3:$AH$113,Donnees_generations!$A$3:$A$113,MAX(1915,MIN(2025,E318))),SUMIFS(Donnees_generations!$AI$3:$AI$113,Donnees_generations!$A$3:$A$113,MAX(1915,MIN(2025,E318))),SUMIFS(Donnees_generations!$AJ$3:$AJ$113,Donnees_generations!$A$3:$A$113,MAX(1915,MIN(2025,E318)))))/2</f>
        <v/>
      </c>
      <c r="AI318" s="75">
        <f>(CHOOSE(((AG318+2)-56)/2+1,SUMIFS(Donnees_generations!$U$3:$U$113,Donnees_generations!$A$3:$A$113,MAX(1915,MIN(2025,E318))),SUMIFS(Donnees_generations!$V$3:$V$113,Donnees_generations!$A$3:$A$113,MAX(1915,MIN(2025,E318))),SUMIFS(Donnees_generations!$W$3:$W$113,Donnees_generations!$A$3:$A$113,MAX(1915,MIN(2025,E318))),SUMIFS(Donnees_generations!$X$3:$X$113,Donnees_generations!$A$3:$A$113,MAX(1915,MIN(2025,E318))),SUMIFS(Donnees_generations!$Y$3:$Y$113,Donnees_generations!$A$3:$A$113,MAX(1915,MIN(2025,E318))),SUMIFS(Donnees_generations!$Z$3:$Z$113,Donnees_generations!$A$3:$A$113,MAX(1915,MIN(2025,E318))),SUMIFS(Donnees_generations!$AA$3:$AA$113,Donnees_generations!$A$3:$A$113,MAX(1915,MIN(2025,E318))),SUMIFS(Donnees_generations!$AB$3:$AB$113,Donnees_generations!$A$3:$A$113,MAX(1915,MIN(2025,E318))))+CHOOSE(((AG318+2)-56)/2+1,SUMIFS(Donnees_generations!$AC$3:$AC$113,Donnees_generations!$A$3:$A$113,MAX(1915,MIN(2025,E318))),SUMIFS(Donnees_generations!$AD$3:$AD$113,Donnees_generations!$A$3:$A$113,MAX(1915,MIN(2025,E318))),SUMIFS(Donnees_generations!$AE$3:$AE$113,Donnees_generations!$A$3:$A$113,MAX(1915,MIN(2025,E318))),SUMIFS(Donnees_generations!$AF$3:$AF$113,Donnees_generations!$A$3:$A$113,MAX(1915,MIN(2025,E318))),SUMIFS(Donnees_generations!$AG$3:$AG$113,Donnees_generations!$A$3:$A$113,MAX(1915,MIN(2025,E318))),SUMIFS(Donnees_generations!$AH$3:$AH$113,Donnees_generations!$A$3:$A$113,MAX(1915,MIN(2025,E318))),SUMIFS(Donnees_generations!$AI$3:$AI$113,Donnees_generations!$A$3:$A$113,MAX(1915,MIN(2025,E318))),SUMIFS(Donnees_generations!$AJ$3:$AJ$113,Donnees_generations!$A$3:$A$113,MAX(1915,MIN(2025,E318)))))/2</f>
        <v/>
      </c>
      <c r="AJ318" s="8">
        <f>MAX(0,AH318+(AI318-AH318)*(K318-AG318)/2)</f>
        <v/>
      </c>
      <c r="AK318" s="8">
        <f>K318+AJ318</f>
        <v/>
      </c>
      <c r="AL318" s="14">
        <f>AE318*AJ318</f>
        <v/>
      </c>
      <c r="AM318" s="17">
        <f>V318/AL318</f>
        <v/>
      </c>
      <c r="AN318" s="17">
        <f>Z318/AL318</f>
        <v/>
      </c>
      <c r="AO318" s="33">
        <f>IF(V318+Z318=0,0,Z318/(V318+Z318))</f>
        <v/>
      </c>
      <c r="AP318" s="14">
        <f>AL318/V318*100</f>
        <v/>
      </c>
      <c r="AQ318" s="8">
        <f>P318/AL318*1000</f>
        <v/>
      </c>
      <c r="AR318" s="77">
        <f>MAX(N318,M318-1)</f>
        <v/>
      </c>
      <c r="AS318" s="14">
        <f>SUMIFS(Donnees_regimes!$R$3:$R$1118,Donnees_regimes!$A$3:$A$1118,C318,Donnees_regimes!$B$3:$B$1118,"&gt;="&amp;G318,Donnees_regimes!$B$3:$B$1118,"&lt;="&amp;N318)*L318/ROUNDUP(L318,0)*SUMIFS(Donnees_annuelles!$AG$3:$AG$188,Donnees_annuelles!$A$3:$A$188,AR318)*SUMIFS(Donnees_annuelles!$AA$3:$AA$188,Donnees_annuelles!$A$3:$A$188,AR318)</f>
        <v/>
      </c>
      <c r="AT318" s="36">
        <f>AS318/V318</f>
        <v/>
      </c>
      <c r="AU318" s="14">
        <f>AL318</f>
        <v/>
      </c>
      <c r="AV318" s="39">
        <f>AS318-AL318</f>
        <v/>
      </c>
      <c r="AW318" s="9">
        <f>AS318/AL318-1</f>
        <v/>
      </c>
      <c r="AX318" s="14">
        <f>AS318/AJ318/12</f>
        <v/>
      </c>
      <c r="AY318" s="14">
        <f>AF318</f>
        <v/>
      </c>
      <c r="AZ318" s="39">
        <f>AX318-AF318</f>
        <v/>
      </c>
      <c r="BA318" s="14">
        <f>SUMIFS(Donnees_regimes!$S$3:$S$1118,Donnees_regimes!$A$3:$A$1118,C318,Donnees_regimes!$B$3:$B$1118,"&gt;="&amp;G318,Donnees_regimes!$B$3:$B$1118,"&lt;="&amp;N318)*L318/ROUNDUP(L318,0)*SUMIFS(Donnees_annuelles!$AH$3:$AH$188,Donnees_annuelles!$A$3:$A$188,AR318)*SUMIFS(Donnees_annuelles!$AA$3:$AA$188,Donnees_annuelles!$A$3:$A$188,AR318)</f>
        <v/>
      </c>
      <c r="BB318" s="39">
        <f>BA318-AL318</f>
        <v/>
      </c>
      <c r="BC318" s="7">
        <f>IF(M318+AJ318&gt;2026,IF(G318&gt;2026,"entièrement projeté","en partie projeté"),"observé")</f>
        <v/>
      </c>
    </row>
    <row r="319">
      <c r="A319" s="7" t="inlineStr">
        <is>
          <t>Baby-boomers</t>
        </is>
      </c>
      <c r="B319" s="84" t="inlineStr">
        <is>
          <t>SNCF</t>
        </is>
      </c>
      <c r="C319" s="7">
        <f>IF(G319&gt;=SUMIFS(Regimes!$C$5:$C$10,Regimes!$A$5:$A$10,B319),"Privé",B319)</f>
        <v/>
      </c>
      <c r="D319" s="7">
        <f>INDEX(Regimes!$D$5:$D$10,MATCH(C319,Regimes!$A$5:$A$10,0))</f>
        <v/>
      </c>
      <c r="E319" s="88" t="n">
        <v>1950</v>
      </c>
      <c r="F319" s="8">
        <f>Donnees_generations!C38</f>
        <v/>
      </c>
      <c r="G319" s="77">
        <f>Donnees_generations!D38</f>
        <v/>
      </c>
      <c r="H319" s="8">
        <f>SUMIFS(Donnees_generations!$S$3:$S$113,Donnees_generations!$A$3:$A$113,MAX(1915,MIN(2025,E319)))</f>
        <v/>
      </c>
      <c r="I319" s="8">
        <f>SUMIFS(Donnees_generations!$T$3:$T$113,Donnees_generations!$A$3:$A$113,MAX(1915,MIN(2025,E319)))</f>
        <v/>
      </c>
      <c r="J319" s="8">
        <f>IF(G319&gt;=2000,MAX(I319,Parametres!$B$3),I319)</f>
        <v/>
      </c>
      <c r="K319" s="8">
        <f>IF(C319="Privé",J319,SUMIFS(Regles_regimes!$J$3:$J$2000,Regles_regimes!$A$3:$A$2000,C319,Regles_regimes!$B$3:$B$2000,D319,Regles_regimes!$C$3:$C$2000,MAX(1915,MIN(2025,E319))))</f>
        <v/>
      </c>
      <c r="L319" s="8">
        <f>IF(C319="Privé",H319,(K319-F319)*H319/(J319-F319))</f>
        <v/>
      </c>
      <c r="M319" s="77">
        <f>INT(E319+K319)</f>
        <v/>
      </c>
      <c r="N319" s="77">
        <f>G319+ROUNDUP(L319,0)-1</f>
        <v/>
      </c>
      <c r="O319" s="89">
        <f>SUMIFS(Regles_regimes!$K$3:$K$2000,Regles_regimes!$A$3:$A$2000,C319,Regles_regimes!$B$3:$B$2000,D319,Regles_regimes!$C$3:$C$2000,MAX(1915,MIN(2025,E319)))</f>
        <v/>
      </c>
      <c r="P319" s="13">
        <f>SUMIFS(Donnees_annuelles!$W$3:$W$188,Donnees_annuelles!$A$3:$A$188,"&gt;="&amp;G319,Donnees_annuelles!$A$3:$A$188,"&lt;="&amp;N319)*L319/ROUNDUP(L319,0)*O319</f>
        <v/>
      </c>
      <c r="Q319" s="13">
        <f>SUMIFS(Donnees_annuelles!$V$3:$V$188,Donnees_annuelles!$A$3:$A$188,"&gt;="&amp;G319,Donnees_annuelles!$A$3:$A$188,"&lt;="&amp;N319)*L319/ROUNDUP(L319,0)</f>
        <v/>
      </c>
      <c r="R319" s="13">
        <f>P319/L319</f>
        <v/>
      </c>
      <c r="S319" s="14">
        <f>SUMIFS(Donnees_annuelles!$D$3:$D$188,Donnees_annuelles!$A$3:$A$188,"&gt;="&amp;G319,Donnees_annuelles!$A$3:$A$188,"&lt;="&amp;N319)*L319/ROUNDUP(L319,0)</f>
        <v/>
      </c>
      <c r="T319" s="14">
        <f>SUMIFS(Donnees_regimes!$N$3:$N$1118,Donnees_regimes!$A$3:$A$1118,C319,Donnees_regimes!$B$3:$B$1118,"&gt;="&amp;G319,Donnees_regimes!$B$3:$B$1118,"&lt;="&amp;N319)*L319/ROUNDUP(L319,0)</f>
        <v/>
      </c>
      <c r="U319" s="14">
        <f>SUMIFS(Donnees_regimes!$O$3:$O$1118,Donnees_regimes!$A$3:$A$1118,C319,Donnees_regimes!$B$3:$B$1118,"&gt;="&amp;G319,Donnees_regimes!$B$3:$B$1118,"&lt;="&amp;N319)*L319/ROUNDUP(L319,0)</f>
        <v/>
      </c>
      <c r="V319" s="14">
        <f>T319+U319</f>
        <v/>
      </c>
      <c r="W319" s="33">
        <f>V319/S319</f>
        <v/>
      </c>
      <c r="X319" s="14">
        <f>S319+U319</f>
        <v/>
      </c>
      <c r="Y319" s="17">
        <f>V319/P319</f>
        <v/>
      </c>
      <c r="Z319" s="14">
        <f>SUMIFS(Donnees_regimes!$Q$3:$Q$1118,Donnees_regimes!$A$3:$A$1118,C319,Donnees_regimes!$B$3:$B$1118,"&gt;="&amp;G319,Donnees_regimes!$B$3:$B$1118,"&lt;="&amp;N319)*L319/ROUNDUP(L319,0)</f>
        <v/>
      </c>
      <c r="AA319" s="77">
        <f>SUMIFS(Regles_regimes!$F$3:$F$2000,Regles_regimes!$A$3:$A$2000,C319,Regles_regimes!$B$3:$B$2000,D319,Regles_regimes!$C$3:$C$2000,MAX(1915,MIN(2025,E319)))</f>
        <v/>
      </c>
      <c r="AB319" s="77">
        <f>IF(AND(SUMIFS(Regles_regimes!$L$3:$L$2000,Regles_regimes!$A$3:$A$2000,C319,Regles_regimes!$B$3:$B$2000,D319,Regles_regimes!$C$3:$C$2000,MAX(1915,MIN(2025,E319)))=1,G319&lt;2009,C319&lt;&gt;"Privé"),MIN(20,L319*4/5),0)</f>
        <v/>
      </c>
      <c r="AC319" s="89">
        <f>SUMIFS(Donnees_regimes!$M$3:$M$1118,Donnees_regimes!$A$3:$A$1118,C319,Donnees_regimes!$B$3:$B$1118,M319)</f>
        <v/>
      </c>
      <c r="AD319" s="14">
        <f>SUMIFS(Donnees_annuelles!$Y$3:$Y$188,Donnees_annuelles!$A$3:$A$188,M319)*SUMIFS(Donnees_generations!$I$3:$I$113,Donnees_generations!$A$3:$A$113,MAX(1915,MIN(2025,E319)))/H319</f>
        <v/>
      </c>
      <c r="AE319" s="14">
        <f>IF(C319="Privé",SUMIFS(Donnees_annuelles!$Y$3:$Y$188,Donnees_annuelles!$A$3:$A$188,M319)*MIN(L319,SUMIFS(Donnees_generations!$I$3:$I$113,Donnees_generations!$A$3:$A$113,MAX(1915,MIN(2025,E319))))/L319,AD319*AC319*MIN(IF(AB319&gt;0,0.8/0.75,1),(L319*4+AB319)/AA319))</f>
        <v/>
      </c>
      <c r="AF319" s="14">
        <f>AE319/12</f>
        <v/>
      </c>
      <c r="AG319" s="77">
        <f>MIN(68,MAX(56,2*INT(K319/2)))</f>
        <v/>
      </c>
      <c r="AH319" s="75">
        <f>(CHOOSE((AG319-56)/2+1,SUMIFS(Donnees_generations!$U$3:$U$113,Donnees_generations!$A$3:$A$113,MAX(1915,MIN(2025,E319))),SUMIFS(Donnees_generations!$V$3:$V$113,Donnees_generations!$A$3:$A$113,MAX(1915,MIN(2025,E319))),SUMIFS(Donnees_generations!$W$3:$W$113,Donnees_generations!$A$3:$A$113,MAX(1915,MIN(2025,E319))),SUMIFS(Donnees_generations!$X$3:$X$113,Donnees_generations!$A$3:$A$113,MAX(1915,MIN(2025,E319))),SUMIFS(Donnees_generations!$Y$3:$Y$113,Donnees_generations!$A$3:$A$113,MAX(1915,MIN(2025,E319))),SUMIFS(Donnees_generations!$Z$3:$Z$113,Donnees_generations!$A$3:$A$113,MAX(1915,MIN(2025,E319))),SUMIFS(Donnees_generations!$AA$3:$AA$113,Donnees_generations!$A$3:$A$113,MAX(1915,MIN(2025,E319))),SUMIFS(Donnees_generations!$AB$3:$AB$113,Donnees_generations!$A$3:$A$113,MAX(1915,MIN(2025,E319))))+CHOOSE((AG319-56)/2+1,SUMIFS(Donnees_generations!$AC$3:$AC$113,Donnees_generations!$A$3:$A$113,MAX(1915,MIN(2025,E319))),SUMIFS(Donnees_generations!$AD$3:$AD$113,Donnees_generations!$A$3:$A$113,MAX(1915,MIN(2025,E319))),SUMIFS(Donnees_generations!$AE$3:$AE$113,Donnees_generations!$A$3:$A$113,MAX(1915,MIN(2025,E319))),SUMIFS(Donnees_generations!$AF$3:$AF$113,Donnees_generations!$A$3:$A$113,MAX(1915,MIN(2025,E319))),SUMIFS(Donnees_generations!$AG$3:$AG$113,Donnees_generations!$A$3:$A$113,MAX(1915,MIN(2025,E319))),SUMIFS(Donnees_generations!$AH$3:$AH$113,Donnees_generations!$A$3:$A$113,MAX(1915,MIN(2025,E319))),SUMIFS(Donnees_generations!$AI$3:$AI$113,Donnees_generations!$A$3:$A$113,MAX(1915,MIN(2025,E319))),SUMIFS(Donnees_generations!$AJ$3:$AJ$113,Donnees_generations!$A$3:$A$113,MAX(1915,MIN(2025,E319)))))/2</f>
        <v/>
      </c>
      <c r="AI319" s="75">
        <f>(CHOOSE(((AG319+2)-56)/2+1,SUMIFS(Donnees_generations!$U$3:$U$113,Donnees_generations!$A$3:$A$113,MAX(1915,MIN(2025,E319))),SUMIFS(Donnees_generations!$V$3:$V$113,Donnees_generations!$A$3:$A$113,MAX(1915,MIN(2025,E319))),SUMIFS(Donnees_generations!$W$3:$W$113,Donnees_generations!$A$3:$A$113,MAX(1915,MIN(2025,E319))),SUMIFS(Donnees_generations!$X$3:$X$113,Donnees_generations!$A$3:$A$113,MAX(1915,MIN(2025,E319))),SUMIFS(Donnees_generations!$Y$3:$Y$113,Donnees_generations!$A$3:$A$113,MAX(1915,MIN(2025,E319))),SUMIFS(Donnees_generations!$Z$3:$Z$113,Donnees_generations!$A$3:$A$113,MAX(1915,MIN(2025,E319))),SUMIFS(Donnees_generations!$AA$3:$AA$113,Donnees_generations!$A$3:$A$113,MAX(1915,MIN(2025,E319))),SUMIFS(Donnees_generations!$AB$3:$AB$113,Donnees_generations!$A$3:$A$113,MAX(1915,MIN(2025,E319))))+CHOOSE(((AG319+2)-56)/2+1,SUMIFS(Donnees_generations!$AC$3:$AC$113,Donnees_generations!$A$3:$A$113,MAX(1915,MIN(2025,E319))),SUMIFS(Donnees_generations!$AD$3:$AD$113,Donnees_generations!$A$3:$A$113,MAX(1915,MIN(2025,E319))),SUMIFS(Donnees_generations!$AE$3:$AE$113,Donnees_generations!$A$3:$A$113,MAX(1915,MIN(2025,E319))),SUMIFS(Donnees_generations!$AF$3:$AF$113,Donnees_generations!$A$3:$A$113,MAX(1915,MIN(2025,E319))),SUMIFS(Donnees_generations!$AG$3:$AG$113,Donnees_generations!$A$3:$A$113,MAX(1915,MIN(2025,E319))),SUMIFS(Donnees_generations!$AH$3:$AH$113,Donnees_generations!$A$3:$A$113,MAX(1915,MIN(2025,E319))),SUMIFS(Donnees_generations!$AI$3:$AI$113,Donnees_generations!$A$3:$A$113,MAX(1915,MIN(2025,E319))),SUMIFS(Donnees_generations!$AJ$3:$AJ$113,Donnees_generations!$A$3:$A$113,MAX(1915,MIN(2025,E319)))))/2</f>
        <v/>
      </c>
      <c r="AJ319" s="8">
        <f>MAX(0,AH319+(AI319-AH319)*(K319-AG319)/2)</f>
        <v/>
      </c>
      <c r="AK319" s="8">
        <f>K319+AJ319</f>
        <v/>
      </c>
      <c r="AL319" s="14">
        <f>AE319*AJ319</f>
        <v/>
      </c>
      <c r="AM319" s="17">
        <f>V319/AL319</f>
        <v/>
      </c>
      <c r="AN319" s="17">
        <f>Z319/AL319</f>
        <v/>
      </c>
      <c r="AO319" s="33">
        <f>IF(V319+Z319=0,0,Z319/(V319+Z319))</f>
        <v/>
      </c>
      <c r="AP319" s="14">
        <f>AL319/V319*100</f>
        <v/>
      </c>
      <c r="AQ319" s="8">
        <f>P319/AL319*1000</f>
        <v/>
      </c>
      <c r="AR319" s="77">
        <f>MAX(N319,M319-1)</f>
        <v/>
      </c>
      <c r="AS319" s="14">
        <f>SUMIFS(Donnees_regimes!$R$3:$R$1118,Donnees_regimes!$A$3:$A$1118,C319,Donnees_regimes!$B$3:$B$1118,"&gt;="&amp;G319,Donnees_regimes!$B$3:$B$1118,"&lt;="&amp;N319)*L319/ROUNDUP(L319,0)*SUMIFS(Donnees_annuelles!$AG$3:$AG$188,Donnees_annuelles!$A$3:$A$188,AR319)*SUMIFS(Donnees_annuelles!$AA$3:$AA$188,Donnees_annuelles!$A$3:$A$188,AR319)</f>
        <v/>
      </c>
      <c r="AT319" s="36">
        <f>AS319/V319</f>
        <v/>
      </c>
      <c r="AU319" s="14">
        <f>AL319</f>
        <v/>
      </c>
      <c r="AV319" s="39">
        <f>AS319-AL319</f>
        <v/>
      </c>
      <c r="AW319" s="9">
        <f>AS319/AL319-1</f>
        <v/>
      </c>
      <c r="AX319" s="14">
        <f>AS319/AJ319/12</f>
        <v/>
      </c>
      <c r="AY319" s="14">
        <f>AF319</f>
        <v/>
      </c>
      <c r="AZ319" s="39">
        <f>AX319-AF319</f>
        <v/>
      </c>
      <c r="BA319" s="14">
        <f>SUMIFS(Donnees_regimes!$S$3:$S$1118,Donnees_regimes!$A$3:$A$1118,C319,Donnees_regimes!$B$3:$B$1118,"&gt;="&amp;G319,Donnees_regimes!$B$3:$B$1118,"&lt;="&amp;N319)*L319/ROUNDUP(L319,0)*SUMIFS(Donnees_annuelles!$AH$3:$AH$188,Donnees_annuelles!$A$3:$A$188,AR319)*SUMIFS(Donnees_annuelles!$AA$3:$AA$188,Donnees_annuelles!$A$3:$A$188,AR319)</f>
        <v/>
      </c>
      <c r="BB319" s="39">
        <f>BA319-AL319</f>
        <v/>
      </c>
      <c r="BC319" s="7">
        <f>IF(M319+AJ319&gt;2026,IF(G319&gt;2026,"entièrement projeté","en partie projeté"),"observé")</f>
        <v/>
      </c>
    </row>
    <row r="320">
      <c r="A320" s="7" t="inlineStr">
        <is>
          <t>Baby-boomers</t>
        </is>
      </c>
      <c r="B320" s="84" t="inlineStr">
        <is>
          <t>SNCF</t>
        </is>
      </c>
      <c r="C320" s="7">
        <f>IF(G320&gt;=SUMIFS(Regimes!$C$5:$C$10,Regimes!$A$5:$A$10,B320),"Privé",B320)</f>
        <v/>
      </c>
      <c r="D320" s="7">
        <f>INDEX(Regimes!$D$5:$D$10,MATCH(C320,Regimes!$A$5:$A$10,0))</f>
        <v/>
      </c>
      <c r="E320" s="88" t="n">
        <v>1951</v>
      </c>
      <c r="F320" s="8">
        <f>Donnees_generations!C39</f>
        <v/>
      </c>
      <c r="G320" s="77">
        <f>Donnees_generations!D39</f>
        <v/>
      </c>
      <c r="H320" s="8">
        <f>SUMIFS(Donnees_generations!$S$3:$S$113,Donnees_generations!$A$3:$A$113,MAX(1915,MIN(2025,E320)))</f>
        <v/>
      </c>
      <c r="I320" s="8">
        <f>SUMIFS(Donnees_generations!$T$3:$T$113,Donnees_generations!$A$3:$A$113,MAX(1915,MIN(2025,E320)))</f>
        <v/>
      </c>
      <c r="J320" s="8">
        <f>IF(G320&gt;=2000,MAX(I320,Parametres!$B$3),I320)</f>
        <v/>
      </c>
      <c r="K320" s="8">
        <f>IF(C320="Privé",J320,SUMIFS(Regles_regimes!$J$3:$J$2000,Regles_regimes!$A$3:$A$2000,C320,Regles_regimes!$B$3:$B$2000,D320,Regles_regimes!$C$3:$C$2000,MAX(1915,MIN(2025,E320))))</f>
        <v/>
      </c>
      <c r="L320" s="8">
        <f>IF(C320="Privé",H320,(K320-F320)*H320/(J320-F320))</f>
        <v/>
      </c>
      <c r="M320" s="77">
        <f>INT(E320+K320)</f>
        <v/>
      </c>
      <c r="N320" s="77">
        <f>G320+ROUNDUP(L320,0)-1</f>
        <v/>
      </c>
      <c r="O320" s="89">
        <f>SUMIFS(Regles_regimes!$K$3:$K$2000,Regles_regimes!$A$3:$A$2000,C320,Regles_regimes!$B$3:$B$2000,D320,Regles_regimes!$C$3:$C$2000,MAX(1915,MIN(2025,E320)))</f>
        <v/>
      </c>
      <c r="P320" s="13">
        <f>SUMIFS(Donnees_annuelles!$W$3:$W$188,Donnees_annuelles!$A$3:$A$188,"&gt;="&amp;G320,Donnees_annuelles!$A$3:$A$188,"&lt;="&amp;N320)*L320/ROUNDUP(L320,0)*O320</f>
        <v/>
      </c>
      <c r="Q320" s="13">
        <f>SUMIFS(Donnees_annuelles!$V$3:$V$188,Donnees_annuelles!$A$3:$A$188,"&gt;="&amp;G320,Donnees_annuelles!$A$3:$A$188,"&lt;="&amp;N320)*L320/ROUNDUP(L320,0)</f>
        <v/>
      </c>
      <c r="R320" s="13">
        <f>P320/L320</f>
        <v/>
      </c>
      <c r="S320" s="14">
        <f>SUMIFS(Donnees_annuelles!$D$3:$D$188,Donnees_annuelles!$A$3:$A$188,"&gt;="&amp;G320,Donnees_annuelles!$A$3:$A$188,"&lt;="&amp;N320)*L320/ROUNDUP(L320,0)</f>
        <v/>
      </c>
      <c r="T320" s="14">
        <f>SUMIFS(Donnees_regimes!$N$3:$N$1118,Donnees_regimes!$A$3:$A$1118,C320,Donnees_regimes!$B$3:$B$1118,"&gt;="&amp;G320,Donnees_regimes!$B$3:$B$1118,"&lt;="&amp;N320)*L320/ROUNDUP(L320,0)</f>
        <v/>
      </c>
      <c r="U320" s="14">
        <f>SUMIFS(Donnees_regimes!$O$3:$O$1118,Donnees_regimes!$A$3:$A$1118,C320,Donnees_regimes!$B$3:$B$1118,"&gt;="&amp;G320,Donnees_regimes!$B$3:$B$1118,"&lt;="&amp;N320)*L320/ROUNDUP(L320,0)</f>
        <v/>
      </c>
      <c r="V320" s="14">
        <f>T320+U320</f>
        <v/>
      </c>
      <c r="W320" s="33">
        <f>V320/S320</f>
        <v/>
      </c>
      <c r="X320" s="14">
        <f>S320+U320</f>
        <v/>
      </c>
      <c r="Y320" s="17">
        <f>V320/P320</f>
        <v/>
      </c>
      <c r="Z320" s="14">
        <f>SUMIFS(Donnees_regimes!$Q$3:$Q$1118,Donnees_regimes!$A$3:$A$1118,C320,Donnees_regimes!$B$3:$B$1118,"&gt;="&amp;G320,Donnees_regimes!$B$3:$B$1118,"&lt;="&amp;N320)*L320/ROUNDUP(L320,0)</f>
        <v/>
      </c>
      <c r="AA320" s="77">
        <f>SUMIFS(Regles_regimes!$F$3:$F$2000,Regles_regimes!$A$3:$A$2000,C320,Regles_regimes!$B$3:$B$2000,D320,Regles_regimes!$C$3:$C$2000,MAX(1915,MIN(2025,E320)))</f>
        <v/>
      </c>
      <c r="AB320" s="77">
        <f>IF(AND(SUMIFS(Regles_regimes!$L$3:$L$2000,Regles_regimes!$A$3:$A$2000,C320,Regles_regimes!$B$3:$B$2000,D320,Regles_regimes!$C$3:$C$2000,MAX(1915,MIN(2025,E320)))=1,G320&lt;2009,C320&lt;&gt;"Privé"),MIN(20,L320*4/5),0)</f>
        <v/>
      </c>
      <c r="AC320" s="89">
        <f>SUMIFS(Donnees_regimes!$M$3:$M$1118,Donnees_regimes!$A$3:$A$1118,C320,Donnees_regimes!$B$3:$B$1118,M320)</f>
        <v/>
      </c>
      <c r="AD320" s="14">
        <f>SUMIFS(Donnees_annuelles!$Y$3:$Y$188,Donnees_annuelles!$A$3:$A$188,M320)*SUMIFS(Donnees_generations!$I$3:$I$113,Donnees_generations!$A$3:$A$113,MAX(1915,MIN(2025,E320)))/H320</f>
        <v/>
      </c>
      <c r="AE320" s="14">
        <f>IF(C320="Privé",SUMIFS(Donnees_annuelles!$Y$3:$Y$188,Donnees_annuelles!$A$3:$A$188,M320)*MIN(L320,SUMIFS(Donnees_generations!$I$3:$I$113,Donnees_generations!$A$3:$A$113,MAX(1915,MIN(2025,E320))))/L320,AD320*AC320*MIN(IF(AB320&gt;0,0.8/0.75,1),(L320*4+AB320)/AA320))</f>
        <v/>
      </c>
      <c r="AF320" s="14">
        <f>AE320/12</f>
        <v/>
      </c>
      <c r="AG320" s="77">
        <f>MIN(68,MAX(56,2*INT(K320/2)))</f>
        <v/>
      </c>
      <c r="AH320" s="75">
        <f>(CHOOSE((AG320-56)/2+1,SUMIFS(Donnees_generations!$U$3:$U$113,Donnees_generations!$A$3:$A$113,MAX(1915,MIN(2025,E320))),SUMIFS(Donnees_generations!$V$3:$V$113,Donnees_generations!$A$3:$A$113,MAX(1915,MIN(2025,E320))),SUMIFS(Donnees_generations!$W$3:$W$113,Donnees_generations!$A$3:$A$113,MAX(1915,MIN(2025,E320))),SUMIFS(Donnees_generations!$X$3:$X$113,Donnees_generations!$A$3:$A$113,MAX(1915,MIN(2025,E320))),SUMIFS(Donnees_generations!$Y$3:$Y$113,Donnees_generations!$A$3:$A$113,MAX(1915,MIN(2025,E320))),SUMIFS(Donnees_generations!$Z$3:$Z$113,Donnees_generations!$A$3:$A$113,MAX(1915,MIN(2025,E320))),SUMIFS(Donnees_generations!$AA$3:$AA$113,Donnees_generations!$A$3:$A$113,MAX(1915,MIN(2025,E320))),SUMIFS(Donnees_generations!$AB$3:$AB$113,Donnees_generations!$A$3:$A$113,MAX(1915,MIN(2025,E320))))+CHOOSE((AG320-56)/2+1,SUMIFS(Donnees_generations!$AC$3:$AC$113,Donnees_generations!$A$3:$A$113,MAX(1915,MIN(2025,E320))),SUMIFS(Donnees_generations!$AD$3:$AD$113,Donnees_generations!$A$3:$A$113,MAX(1915,MIN(2025,E320))),SUMIFS(Donnees_generations!$AE$3:$AE$113,Donnees_generations!$A$3:$A$113,MAX(1915,MIN(2025,E320))),SUMIFS(Donnees_generations!$AF$3:$AF$113,Donnees_generations!$A$3:$A$113,MAX(1915,MIN(2025,E320))),SUMIFS(Donnees_generations!$AG$3:$AG$113,Donnees_generations!$A$3:$A$113,MAX(1915,MIN(2025,E320))),SUMIFS(Donnees_generations!$AH$3:$AH$113,Donnees_generations!$A$3:$A$113,MAX(1915,MIN(2025,E320))),SUMIFS(Donnees_generations!$AI$3:$AI$113,Donnees_generations!$A$3:$A$113,MAX(1915,MIN(2025,E320))),SUMIFS(Donnees_generations!$AJ$3:$AJ$113,Donnees_generations!$A$3:$A$113,MAX(1915,MIN(2025,E320)))))/2</f>
        <v/>
      </c>
      <c r="AI320" s="75">
        <f>(CHOOSE(((AG320+2)-56)/2+1,SUMIFS(Donnees_generations!$U$3:$U$113,Donnees_generations!$A$3:$A$113,MAX(1915,MIN(2025,E320))),SUMIFS(Donnees_generations!$V$3:$V$113,Donnees_generations!$A$3:$A$113,MAX(1915,MIN(2025,E320))),SUMIFS(Donnees_generations!$W$3:$W$113,Donnees_generations!$A$3:$A$113,MAX(1915,MIN(2025,E320))),SUMIFS(Donnees_generations!$X$3:$X$113,Donnees_generations!$A$3:$A$113,MAX(1915,MIN(2025,E320))),SUMIFS(Donnees_generations!$Y$3:$Y$113,Donnees_generations!$A$3:$A$113,MAX(1915,MIN(2025,E320))),SUMIFS(Donnees_generations!$Z$3:$Z$113,Donnees_generations!$A$3:$A$113,MAX(1915,MIN(2025,E320))),SUMIFS(Donnees_generations!$AA$3:$AA$113,Donnees_generations!$A$3:$A$113,MAX(1915,MIN(2025,E320))),SUMIFS(Donnees_generations!$AB$3:$AB$113,Donnees_generations!$A$3:$A$113,MAX(1915,MIN(2025,E320))))+CHOOSE(((AG320+2)-56)/2+1,SUMIFS(Donnees_generations!$AC$3:$AC$113,Donnees_generations!$A$3:$A$113,MAX(1915,MIN(2025,E320))),SUMIFS(Donnees_generations!$AD$3:$AD$113,Donnees_generations!$A$3:$A$113,MAX(1915,MIN(2025,E320))),SUMIFS(Donnees_generations!$AE$3:$AE$113,Donnees_generations!$A$3:$A$113,MAX(1915,MIN(2025,E320))),SUMIFS(Donnees_generations!$AF$3:$AF$113,Donnees_generations!$A$3:$A$113,MAX(1915,MIN(2025,E320))),SUMIFS(Donnees_generations!$AG$3:$AG$113,Donnees_generations!$A$3:$A$113,MAX(1915,MIN(2025,E320))),SUMIFS(Donnees_generations!$AH$3:$AH$113,Donnees_generations!$A$3:$A$113,MAX(1915,MIN(2025,E320))),SUMIFS(Donnees_generations!$AI$3:$AI$113,Donnees_generations!$A$3:$A$113,MAX(1915,MIN(2025,E320))),SUMIFS(Donnees_generations!$AJ$3:$AJ$113,Donnees_generations!$A$3:$A$113,MAX(1915,MIN(2025,E320)))))/2</f>
        <v/>
      </c>
      <c r="AJ320" s="8">
        <f>MAX(0,AH320+(AI320-AH320)*(K320-AG320)/2)</f>
        <v/>
      </c>
      <c r="AK320" s="8">
        <f>K320+AJ320</f>
        <v/>
      </c>
      <c r="AL320" s="14">
        <f>AE320*AJ320</f>
        <v/>
      </c>
      <c r="AM320" s="17">
        <f>V320/AL320</f>
        <v/>
      </c>
      <c r="AN320" s="17">
        <f>Z320/AL320</f>
        <v/>
      </c>
      <c r="AO320" s="33">
        <f>IF(V320+Z320=0,0,Z320/(V320+Z320))</f>
        <v/>
      </c>
      <c r="AP320" s="14">
        <f>AL320/V320*100</f>
        <v/>
      </c>
      <c r="AQ320" s="8">
        <f>P320/AL320*1000</f>
        <v/>
      </c>
      <c r="AR320" s="77">
        <f>MAX(N320,M320-1)</f>
        <v/>
      </c>
      <c r="AS320" s="14">
        <f>SUMIFS(Donnees_regimes!$R$3:$R$1118,Donnees_regimes!$A$3:$A$1118,C320,Donnees_regimes!$B$3:$B$1118,"&gt;="&amp;G320,Donnees_regimes!$B$3:$B$1118,"&lt;="&amp;N320)*L320/ROUNDUP(L320,0)*SUMIFS(Donnees_annuelles!$AG$3:$AG$188,Donnees_annuelles!$A$3:$A$188,AR320)*SUMIFS(Donnees_annuelles!$AA$3:$AA$188,Donnees_annuelles!$A$3:$A$188,AR320)</f>
        <v/>
      </c>
      <c r="AT320" s="36">
        <f>AS320/V320</f>
        <v/>
      </c>
      <c r="AU320" s="14">
        <f>AL320</f>
        <v/>
      </c>
      <c r="AV320" s="39">
        <f>AS320-AL320</f>
        <v/>
      </c>
      <c r="AW320" s="9">
        <f>AS320/AL320-1</f>
        <v/>
      </c>
      <c r="AX320" s="14">
        <f>AS320/AJ320/12</f>
        <v/>
      </c>
      <c r="AY320" s="14">
        <f>AF320</f>
        <v/>
      </c>
      <c r="AZ320" s="39">
        <f>AX320-AF320</f>
        <v/>
      </c>
      <c r="BA320" s="14">
        <f>SUMIFS(Donnees_regimes!$S$3:$S$1118,Donnees_regimes!$A$3:$A$1118,C320,Donnees_regimes!$B$3:$B$1118,"&gt;="&amp;G320,Donnees_regimes!$B$3:$B$1118,"&lt;="&amp;N320)*L320/ROUNDUP(L320,0)*SUMIFS(Donnees_annuelles!$AH$3:$AH$188,Donnees_annuelles!$A$3:$A$188,AR320)*SUMIFS(Donnees_annuelles!$AA$3:$AA$188,Donnees_annuelles!$A$3:$A$188,AR320)</f>
        <v/>
      </c>
      <c r="BB320" s="39">
        <f>BA320-AL320</f>
        <v/>
      </c>
      <c r="BC320" s="7">
        <f>IF(M320+AJ320&gt;2026,IF(G320&gt;2026,"entièrement projeté","en partie projeté"),"observé")</f>
        <v/>
      </c>
    </row>
    <row r="321">
      <c r="A321" s="7" t="inlineStr">
        <is>
          <t>Baby-boomers</t>
        </is>
      </c>
      <c r="B321" s="84" t="inlineStr">
        <is>
          <t>SNCF</t>
        </is>
      </c>
      <c r="C321" s="7">
        <f>IF(G321&gt;=SUMIFS(Regimes!$C$5:$C$10,Regimes!$A$5:$A$10,B321),"Privé",B321)</f>
        <v/>
      </c>
      <c r="D321" s="7">
        <f>INDEX(Regimes!$D$5:$D$10,MATCH(C321,Regimes!$A$5:$A$10,0))</f>
        <v/>
      </c>
      <c r="E321" s="88" t="n">
        <v>1952</v>
      </c>
      <c r="F321" s="8">
        <f>Donnees_generations!C40</f>
        <v/>
      </c>
      <c r="G321" s="77">
        <f>Donnees_generations!D40</f>
        <v/>
      </c>
      <c r="H321" s="8">
        <f>SUMIFS(Donnees_generations!$S$3:$S$113,Donnees_generations!$A$3:$A$113,MAX(1915,MIN(2025,E321)))</f>
        <v/>
      </c>
      <c r="I321" s="8">
        <f>SUMIFS(Donnees_generations!$T$3:$T$113,Donnees_generations!$A$3:$A$113,MAX(1915,MIN(2025,E321)))</f>
        <v/>
      </c>
      <c r="J321" s="8">
        <f>IF(G321&gt;=2000,MAX(I321,Parametres!$B$3),I321)</f>
        <v/>
      </c>
      <c r="K321" s="8">
        <f>IF(C321="Privé",J321,SUMIFS(Regles_regimes!$J$3:$J$2000,Regles_regimes!$A$3:$A$2000,C321,Regles_regimes!$B$3:$B$2000,D321,Regles_regimes!$C$3:$C$2000,MAX(1915,MIN(2025,E321))))</f>
        <v/>
      </c>
      <c r="L321" s="8">
        <f>IF(C321="Privé",H321,(K321-F321)*H321/(J321-F321))</f>
        <v/>
      </c>
      <c r="M321" s="77">
        <f>INT(E321+K321)</f>
        <v/>
      </c>
      <c r="N321" s="77">
        <f>G321+ROUNDUP(L321,0)-1</f>
        <v/>
      </c>
      <c r="O321" s="89">
        <f>SUMIFS(Regles_regimes!$K$3:$K$2000,Regles_regimes!$A$3:$A$2000,C321,Regles_regimes!$B$3:$B$2000,D321,Regles_regimes!$C$3:$C$2000,MAX(1915,MIN(2025,E321)))</f>
        <v/>
      </c>
      <c r="P321" s="13">
        <f>SUMIFS(Donnees_annuelles!$W$3:$W$188,Donnees_annuelles!$A$3:$A$188,"&gt;="&amp;G321,Donnees_annuelles!$A$3:$A$188,"&lt;="&amp;N321)*L321/ROUNDUP(L321,0)*O321</f>
        <v/>
      </c>
      <c r="Q321" s="13">
        <f>SUMIFS(Donnees_annuelles!$V$3:$V$188,Donnees_annuelles!$A$3:$A$188,"&gt;="&amp;G321,Donnees_annuelles!$A$3:$A$188,"&lt;="&amp;N321)*L321/ROUNDUP(L321,0)</f>
        <v/>
      </c>
      <c r="R321" s="13">
        <f>P321/L321</f>
        <v/>
      </c>
      <c r="S321" s="14">
        <f>SUMIFS(Donnees_annuelles!$D$3:$D$188,Donnees_annuelles!$A$3:$A$188,"&gt;="&amp;G321,Donnees_annuelles!$A$3:$A$188,"&lt;="&amp;N321)*L321/ROUNDUP(L321,0)</f>
        <v/>
      </c>
      <c r="T321" s="14">
        <f>SUMIFS(Donnees_regimes!$N$3:$N$1118,Donnees_regimes!$A$3:$A$1118,C321,Donnees_regimes!$B$3:$B$1118,"&gt;="&amp;G321,Donnees_regimes!$B$3:$B$1118,"&lt;="&amp;N321)*L321/ROUNDUP(L321,0)</f>
        <v/>
      </c>
      <c r="U321" s="14">
        <f>SUMIFS(Donnees_regimes!$O$3:$O$1118,Donnees_regimes!$A$3:$A$1118,C321,Donnees_regimes!$B$3:$B$1118,"&gt;="&amp;G321,Donnees_regimes!$B$3:$B$1118,"&lt;="&amp;N321)*L321/ROUNDUP(L321,0)</f>
        <v/>
      </c>
      <c r="V321" s="14">
        <f>T321+U321</f>
        <v/>
      </c>
      <c r="W321" s="33">
        <f>V321/S321</f>
        <v/>
      </c>
      <c r="X321" s="14">
        <f>S321+U321</f>
        <v/>
      </c>
      <c r="Y321" s="17">
        <f>V321/P321</f>
        <v/>
      </c>
      <c r="Z321" s="14">
        <f>SUMIFS(Donnees_regimes!$Q$3:$Q$1118,Donnees_regimes!$A$3:$A$1118,C321,Donnees_regimes!$B$3:$B$1118,"&gt;="&amp;G321,Donnees_regimes!$B$3:$B$1118,"&lt;="&amp;N321)*L321/ROUNDUP(L321,0)</f>
        <v/>
      </c>
      <c r="AA321" s="77">
        <f>SUMIFS(Regles_regimes!$F$3:$F$2000,Regles_regimes!$A$3:$A$2000,C321,Regles_regimes!$B$3:$B$2000,D321,Regles_regimes!$C$3:$C$2000,MAX(1915,MIN(2025,E321)))</f>
        <v/>
      </c>
      <c r="AB321" s="77">
        <f>IF(AND(SUMIFS(Regles_regimes!$L$3:$L$2000,Regles_regimes!$A$3:$A$2000,C321,Regles_regimes!$B$3:$B$2000,D321,Regles_regimes!$C$3:$C$2000,MAX(1915,MIN(2025,E321)))=1,G321&lt;2009,C321&lt;&gt;"Privé"),MIN(20,L321*4/5),0)</f>
        <v/>
      </c>
      <c r="AC321" s="89">
        <f>SUMIFS(Donnees_regimes!$M$3:$M$1118,Donnees_regimes!$A$3:$A$1118,C321,Donnees_regimes!$B$3:$B$1118,M321)</f>
        <v/>
      </c>
      <c r="AD321" s="14">
        <f>SUMIFS(Donnees_annuelles!$Y$3:$Y$188,Donnees_annuelles!$A$3:$A$188,M321)*SUMIFS(Donnees_generations!$I$3:$I$113,Donnees_generations!$A$3:$A$113,MAX(1915,MIN(2025,E321)))/H321</f>
        <v/>
      </c>
      <c r="AE321" s="14">
        <f>IF(C321="Privé",SUMIFS(Donnees_annuelles!$Y$3:$Y$188,Donnees_annuelles!$A$3:$A$188,M321)*MIN(L321,SUMIFS(Donnees_generations!$I$3:$I$113,Donnees_generations!$A$3:$A$113,MAX(1915,MIN(2025,E321))))/L321,AD321*AC321*MIN(IF(AB321&gt;0,0.8/0.75,1),(L321*4+AB321)/AA321))</f>
        <v/>
      </c>
      <c r="AF321" s="14">
        <f>AE321/12</f>
        <v/>
      </c>
      <c r="AG321" s="77">
        <f>MIN(68,MAX(56,2*INT(K321/2)))</f>
        <v/>
      </c>
      <c r="AH321" s="75">
        <f>(CHOOSE((AG321-56)/2+1,SUMIFS(Donnees_generations!$U$3:$U$113,Donnees_generations!$A$3:$A$113,MAX(1915,MIN(2025,E321))),SUMIFS(Donnees_generations!$V$3:$V$113,Donnees_generations!$A$3:$A$113,MAX(1915,MIN(2025,E321))),SUMIFS(Donnees_generations!$W$3:$W$113,Donnees_generations!$A$3:$A$113,MAX(1915,MIN(2025,E321))),SUMIFS(Donnees_generations!$X$3:$X$113,Donnees_generations!$A$3:$A$113,MAX(1915,MIN(2025,E321))),SUMIFS(Donnees_generations!$Y$3:$Y$113,Donnees_generations!$A$3:$A$113,MAX(1915,MIN(2025,E321))),SUMIFS(Donnees_generations!$Z$3:$Z$113,Donnees_generations!$A$3:$A$113,MAX(1915,MIN(2025,E321))),SUMIFS(Donnees_generations!$AA$3:$AA$113,Donnees_generations!$A$3:$A$113,MAX(1915,MIN(2025,E321))),SUMIFS(Donnees_generations!$AB$3:$AB$113,Donnees_generations!$A$3:$A$113,MAX(1915,MIN(2025,E321))))+CHOOSE((AG321-56)/2+1,SUMIFS(Donnees_generations!$AC$3:$AC$113,Donnees_generations!$A$3:$A$113,MAX(1915,MIN(2025,E321))),SUMIFS(Donnees_generations!$AD$3:$AD$113,Donnees_generations!$A$3:$A$113,MAX(1915,MIN(2025,E321))),SUMIFS(Donnees_generations!$AE$3:$AE$113,Donnees_generations!$A$3:$A$113,MAX(1915,MIN(2025,E321))),SUMIFS(Donnees_generations!$AF$3:$AF$113,Donnees_generations!$A$3:$A$113,MAX(1915,MIN(2025,E321))),SUMIFS(Donnees_generations!$AG$3:$AG$113,Donnees_generations!$A$3:$A$113,MAX(1915,MIN(2025,E321))),SUMIFS(Donnees_generations!$AH$3:$AH$113,Donnees_generations!$A$3:$A$113,MAX(1915,MIN(2025,E321))),SUMIFS(Donnees_generations!$AI$3:$AI$113,Donnees_generations!$A$3:$A$113,MAX(1915,MIN(2025,E321))),SUMIFS(Donnees_generations!$AJ$3:$AJ$113,Donnees_generations!$A$3:$A$113,MAX(1915,MIN(2025,E321)))))/2</f>
        <v/>
      </c>
      <c r="AI321" s="75">
        <f>(CHOOSE(((AG321+2)-56)/2+1,SUMIFS(Donnees_generations!$U$3:$U$113,Donnees_generations!$A$3:$A$113,MAX(1915,MIN(2025,E321))),SUMIFS(Donnees_generations!$V$3:$V$113,Donnees_generations!$A$3:$A$113,MAX(1915,MIN(2025,E321))),SUMIFS(Donnees_generations!$W$3:$W$113,Donnees_generations!$A$3:$A$113,MAX(1915,MIN(2025,E321))),SUMIFS(Donnees_generations!$X$3:$X$113,Donnees_generations!$A$3:$A$113,MAX(1915,MIN(2025,E321))),SUMIFS(Donnees_generations!$Y$3:$Y$113,Donnees_generations!$A$3:$A$113,MAX(1915,MIN(2025,E321))),SUMIFS(Donnees_generations!$Z$3:$Z$113,Donnees_generations!$A$3:$A$113,MAX(1915,MIN(2025,E321))),SUMIFS(Donnees_generations!$AA$3:$AA$113,Donnees_generations!$A$3:$A$113,MAX(1915,MIN(2025,E321))),SUMIFS(Donnees_generations!$AB$3:$AB$113,Donnees_generations!$A$3:$A$113,MAX(1915,MIN(2025,E321))))+CHOOSE(((AG321+2)-56)/2+1,SUMIFS(Donnees_generations!$AC$3:$AC$113,Donnees_generations!$A$3:$A$113,MAX(1915,MIN(2025,E321))),SUMIFS(Donnees_generations!$AD$3:$AD$113,Donnees_generations!$A$3:$A$113,MAX(1915,MIN(2025,E321))),SUMIFS(Donnees_generations!$AE$3:$AE$113,Donnees_generations!$A$3:$A$113,MAX(1915,MIN(2025,E321))),SUMIFS(Donnees_generations!$AF$3:$AF$113,Donnees_generations!$A$3:$A$113,MAX(1915,MIN(2025,E321))),SUMIFS(Donnees_generations!$AG$3:$AG$113,Donnees_generations!$A$3:$A$113,MAX(1915,MIN(2025,E321))),SUMIFS(Donnees_generations!$AH$3:$AH$113,Donnees_generations!$A$3:$A$113,MAX(1915,MIN(2025,E321))),SUMIFS(Donnees_generations!$AI$3:$AI$113,Donnees_generations!$A$3:$A$113,MAX(1915,MIN(2025,E321))),SUMIFS(Donnees_generations!$AJ$3:$AJ$113,Donnees_generations!$A$3:$A$113,MAX(1915,MIN(2025,E321)))))/2</f>
        <v/>
      </c>
      <c r="AJ321" s="8">
        <f>MAX(0,AH321+(AI321-AH321)*(K321-AG321)/2)</f>
        <v/>
      </c>
      <c r="AK321" s="8">
        <f>K321+AJ321</f>
        <v/>
      </c>
      <c r="AL321" s="14">
        <f>AE321*AJ321</f>
        <v/>
      </c>
      <c r="AM321" s="17">
        <f>V321/AL321</f>
        <v/>
      </c>
      <c r="AN321" s="17">
        <f>Z321/AL321</f>
        <v/>
      </c>
      <c r="AO321" s="33">
        <f>IF(V321+Z321=0,0,Z321/(V321+Z321))</f>
        <v/>
      </c>
      <c r="AP321" s="14">
        <f>AL321/V321*100</f>
        <v/>
      </c>
      <c r="AQ321" s="8">
        <f>P321/AL321*1000</f>
        <v/>
      </c>
      <c r="AR321" s="77">
        <f>MAX(N321,M321-1)</f>
        <v/>
      </c>
      <c r="AS321" s="14">
        <f>SUMIFS(Donnees_regimes!$R$3:$R$1118,Donnees_regimes!$A$3:$A$1118,C321,Donnees_regimes!$B$3:$B$1118,"&gt;="&amp;G321,Donnees_regimes!$B$3:$B$1118,"&lt;="&amp;N321)*L321/ROUNDUP(L321,0)*SUMIFS(Donnees_annuelles!$AG$3:$AG$188,Donnees_annuelles!$A$3:$A$188,AR321)*SUMIFS(Donnees_annuelles!$AA$3:$AA$188,Donnees_annuelles!$A$3:$A$188,AR321)</f>
        <v/>
      </c>
      <c r="AT321" s="36">
        <f>AS321/V321</f>
        <v/>
      </c>
      <c r="AU321" s="14">
        <f>AL321</f>
        <v/>
      </c>
      <c r="AV321" s="39">
        <f>AS321-AL321</f>
        <v/>
      </c>
      <c r="AW321" s="9">
        <f>AS321/AL321-1</f>
        <v/>
      </c>
      <c r="AX321" s="14">
        <f>AS321/AJ321/12</f>
        <v/>
      </c>
      <c r="AY321" s="14">
        <f>AF321</f>
        <v/>
      </c>
      <c r="AZ321" s="39">
        <f>AX321-AF321</f>
        <v/>
      </c>
      <c r="BA321" s="14">
        <f>SUMIFS(Donnees_regimes!$S$3:$S$1118,Donnees_regimes!$A$3:$A$1118,C321,Donnees_regimes!$B$3:$B$1118,"&gt;="&amp;G321,Donnees_regimes!$B$3:$B$1118,"&lt;="&amp;N321)*L321/ROUNDUP(L321,0)*SUMIFS(Donnees_annuelles!$AH$3:$AH$188,Donnees_annuelles!$A$3:$A$188,AR321)*SUMIFS(Donnees_annuelles!$AA$3:$AA$188,Donnees_annuelles!$A$3:$A$188,AR321)</f>
        <v/>
      </c>
      <c r="BB321" s="39">
        <f>BA321-AL321</f>
        <v/>
      </c>
      <c r="BC321" s="7">
        <f>IF(M321+AJ321&gt;2026,IF(G321&gt;2026,"entièrement projeté","en partie projeté"),"observé")</f>
        <v/>
      </c>
    </row>
    <row r="322">
      <c r="A322" s="7" t="inlineStr">
        <is>
          <t>Baby-boomers</t>
        </is>
      </c>
      <c r="B322" s="84" t="inlineStr">
        <is>
          <t>SNCF</t>
        </is>
      </c>
      <c r="C322" s="7">
        <f>IF(G322&gt;=SUMIFS(Regimes!$C$5:$C$10,Regimes!$A$5:$A$10,B322),"Privé",B322)</f>
        <v/>
      </c>
      <c r="D322" s="7">
        <f>INDEX(Regimes!$D$5:$D$10,MATCH(C322,Regimes!$A$5:$A$10,0))</f>
        <v/>
      </c>
      <c r="E322" s="88" t="n">
        <v>1953</v>
      </c>
      <c r="F322" s="8">
        <f>Donnees_generations!C41</f>
        <v/>
      </c>
      <c r="G322" s="77">
        <f>Donnees_generations!D41</f>
        <v/>
      </c>
      <c r="H322" s="8">
        <f>SUMIFS(Donnees_generations!$S$3:$S$113,Donnees_generations!$A$3:$A$113,MAX(1915,MIN(2025,E322)))</f>
        <v/>
      </c>
      <c r="I322" s="8">
        <f>SUMIFS(Donnees_generations!$T$3:$T$113,Donnees_generations!$A$3:$A$113,MAX(1915,MIN(2025,E322)))</f>
        <v/>
      </c>
      <c r="J322" s="8">
        <f>IF(G322&gt;=2000,MAX(I322,Parametres!$B$3),I322)</f>
        <v/>
      </c>
      <c r="K322" s="8">
        <f>IF(C322="Privé",J322,SUMIFS(Regles_regimes!$J$3:$J$2000,Regles_regimes!$A$3:$A$2000,C322,Regles_regimes!$B$3:$B$2000,D322,Regles_regimes!$C$3:$C$2000,MAX(1915,MIN(2025,E322))))</f>
        <v/>
      </c>
      <c r="L322" s="8">
        <f>IF(C322="Privé",H322,(K322-F322)*H322/(J322-F322))</f>
        <v/>
      </c>
      <c r="M322" s="77">
        <f>INT(E322+K322)</f>
        <v/>
      </c>
      <c r="N322" s="77">
        <f>G322+ROUNDUP(L322,0)-1</f>
        <v/>
      </c>
      <c r="O322" s="89">
        <f>SUMIFS(Regles_regimes!$K$3:$K$2000,Regles_regimes!$A$3:$A$2000,C322,Regles_regimes!$B$3:$B$2000,D322,Regles_regimes!$C$3:$C$2000,MAX(1915,MIN(2025,E322)))</f>
        <v/>
      </c>
      <c r="P322" s="13">
        <f>SUMIFS(Donnees_annuelles!$W$3:$W$188,Donnees_annuelles!$A$3:$A$188,"&gt;="&amp;G322,Donnees_annuelles!$A$3:$A$188,"&lt;="&amp;N322)*L322/ROUNDUP(L322,0)*O322</f>
        <v/>
      </c>
      <c r="Q322" s="13">
        <f>SUMIFS(Donnees_annuelles!$V$3:$V$188,Donnees_annuelles!$A$3:$A$188,"&gt;="&amp;G322,Donnees_annuelles!$A$3:$A$188,"&lt;="&amp;N322)*L322/ROUNDUP(L322,0)</f>
        <v/>
      </c>
      <c r="R322" s="13">
        <f>P322/L322</f>
        <v/>
      </c>
      <c r="S322" s="14">
        <f>SUMIFS(Donnees_annuelles!$D$3:$D$188,Donnees_annuelles!$A$3:$A$188,"&gt;="&amp;G322,Donnees_annuelles!$A$3:$A$188,"&lt;="&amp;N322)*L322/ROUNDUP(L322,0)</f>
        <v/>
      </c>
      <c r="T322" s="14">
        <f>SUMIFS(Donnees_regimes!$N$3:$N$1118,Donnees_regimes!$A$3:$A$1118,C322,Donnees_regimes!$B$3:$B$1118,"&gt;="&amp;G322,Donnees_regimes!$B$3:$B$1118,"&lt;="&amp;N322)*L322/ROUNDUP(L322,0)</f>
        <v/>
      </c>
      <c r="U322" s="14">
        <f>SUMIFS(Donnees_regimes!$O$3:$O$1118,Donnees_regimes!$A$3:$A$1118,C322,Donnees_regimes!$B$3:$B$1118,"&gt;="&amp;G322,Donnees_regimes!$B$3:$B$1118,"&lt;="&amp;N322)*L322/ROUNDUP(L322,0)</f>
        <v/>
      </c>
      <c r="V322" s="14">
        <f>T322+U322</f>
        <v/>
      </c>
      <c r="W322" s="33">
        <f>V322/S322</f>
        <v/>
      </c>
      <c r="X322" s="14">
        <f>S322+U322</f>
        <v/>
      </c>
      <c r="Y322" s="17">
        <f>V322/P322</f>
        <v/>
      </c>
      <c r="Z322" s="14">
        <f>SUMIFS(Donnees_regimes!$Q$3:$Q$1118,Donnees_regimes!$A$3:$A$1118,C322,Donnees_regimes!$B$3:$B$1118,"&gt;="&amp;G322,Donnees_regimes!$B$3:$B$1118,"&lt;="&amp;N322)*L322/ROUNDUP(L322,0)</f>
        <v/>
      </c>
      <c r="AA322" s="77">
        <f>SUMIFS(Regles_regimes!$F$3:$F$2000,Regles_regimes!$A$3:$A$2000,C322,Regles_regimes!$B$3:$B$2000,D322,Regles_regimes!$C$3:$C$2000,MAX(1915,MIN(2025,E322)))</f>
        <v/>
      </c>
      <c r="AB322" s="77">
        <f>IF(AND(SUMIFS(Regles_regimes!$L$3:$L$2000,Regles_regimes!$A$3:$A$2000,C322,Regles_regimes!$B$3:$B$2000,D322,Regles_regimes!$C$3:$C$2000,MAX(1915,MIN(2025,E322)))=1,G322&lt;2009,C322&lt;&gt;"Privé"),MIN(20,L322*4/5),0)</f>
        <v/>
      </c>
      <c r="AC322" s="89">
        <f>SUMIFS(Donnees_regimes!$M$3:$M$1118,Donnees_regimes!$A$3:$A$1118,C322,Donnees_regimes!$B$3:$B$1118,M322)</f>
        <v/>
      </c>
      <c r="AD322" s="14">
        <f>SUMIFS(Donnees_annuelles!$Y$3:$Y$188,Donnees_annuelles!$A$3:$A$188,M322)*SUMIFS(Donnees_generations!$I$3:$I$113,Donnees_generations!$A$3:$A$113,MAX(1915,MIN(2025,E322)))/H322</f>
        <v/>
      </c>
      <c r="AE322" s="14">
        <f>IF(C322="Privé",SUMIFS(Donnees_annuelles!$Y$3:$Y$188,Donnees_annuelles!$A$3:$A$188,M322)*MIN(L322,SUMIFS(Donnees_generations!$I$3:$I$113,Donnees_generations!$A$3:$A$113,MAX(1915,MIN(2025,E322))))/L322,AD322*AC322*MIN(IF(AB322&gt;0,0.8/0.75,1),(L322*4+AB322)/AA322))</f>
        <v/>
      </c>
      <c r="AF322" s="14">
        <f>AE322/12</f>
        <v/>
      </c>
      <c r="AG322" s="77">
        <f>MIN(68,MAX(56,2*INT(K322/2)))</f>
        <v/>
      </c>
      <c r="AH322" s="75">
        <f>(CHOOSE((AG322-56)/2+1,SUMIFS(Donnees_generations!$U$3:$U$113,Donnees_generations!$A$3:$A$113,MAX(1915,MIN(2025,E322))),SUMIFS(Donnees_generations!$V$3:$V$113,Donnees_generations!$A$3:$A$113,MAX(1915,MIN(2025,E322))),SUMIFS(Donnees_generations!$W$3:$W$113,Donnees_generations!$A$3:$A$113,MAX(1915,MIN(2025,E322))),SUMIFS(Donnees_generations!$X$3:$X$113,Donnees_generations!$A$3:$A$113,MAX(1915,MIN(2025,E322))),SUMIFS(Donnees_generations!$Y$3:$Y$113,Donnees_generations!$A$3:$A$113,MAX(1915,MIN(2025,E322))),SUMIFS(Donnees_generations!$Z$3:$Z$113,Donnees_generations!$A$3:$A$113,MAX(1915,MIN(2025,E322))),SUMIFS(Donnees_generations!$AA$3:$AA$113,Donnees_generations!$A$3:$A$113,MAX(1915,MIN(2025,E322))),SUMIFS(Donnees_generations!$AB$3:$AB$113,Donnees_generations!$A$3:$A$113,MAX(1915,MIN(2025,E322))))+CHOOSE((AG322-56)/2+1,SUMIFS(Donnees_generations!$AC$3:$AC$113,Donnees_generations!$A$3:$A$113,MAX(1915,MIN(2025,E322))),SUMIFS(Donnees_generations!$AD$3:$AD$113,Donnees_generations!$A$3:$A$113,MAX(1915,MIN(2025,E322))),SUMIFS(Donnees_generations!$AE$3:$AE$113,Donnees_generations!$A$3:$A$113,MAX(1915,MIN(2025,E322))),SUMIFS(Donnees_generations!$AF$3:$AF$113,Donnees_generations!$A$3:$A$113,MAX(1915,MIN(2025,E322))),SUMIFS(Donnees_generations!$AG$3:$AG$113,Donnees_generations!$A$3:$A$113,MAX(1915,MIN(2025,E322))),SUMIFS(Donnees_generations!$AH$3:$AH$113,Donnees_generations!$A$3:$A$113,MAX(1915,MIN(2025,E322))),SUMIFS(Donnees_generations!$AI$3:$AI$113,Donnees_generations!$A$3:$A$113,MAX(1915,MIN(2025,E322))),SUMIFS(Donnees_generations!$AJ$3:$AJ$113,Donnees_generations!$A$3:$A$113,MAX(1915,MIN(2025,E322)))))/2</f>
        <v/>
      </c>
      <c r="AI322" s="75">
        <f>(CHOOSE(((AG322+2)-56)/2+1,SUMIFS(Donnees_generations!$U$3:$U$113,Donnees_generations!$A$3:$A$113,MAX(1915,MIN(2025,E322))),SUMIFS(Donnees_generations!$V$3:$V$113,Donnees_generations!$A$3:$A$113,MAX(1915,MIN(2025,E322))),SUMIFS(Donnees_generations!$W$3:$W$113,Donnees_generations!$A$3:$A$113,MAX(1915,MIN(2025,E322))),SUMIFS(Donnees_generations!$X$3:$X$113,Donnees_generations!$A$3:$A$113,MAX(1915,MIN(2025,E322))),SUMIFS(Donnees_generations!$Y$3:$Y$113,Donnees_generations!$A$3:$A$113,MAX(1915,MIN(2025,E322))),SUMIFS(Donnees_generations!$Z$3:$Z$113,Donnees_generations!$A$3:$A$113,MAX(1915,MIN(2025,E322))),SUMIFS(Donnees_generations!$AA$3:$AA$113,Donnees_generations!$A$3:$A$113,MAX(1915,MIN(2025,E322))),SUMIFS(Donnees_generations!$AB$3:$AB$113,Donnees_generations!$A$3:$A$113,MAX(1915,MIN(2025,E322))))+CHOOSE(((AG322+2)-56)/2+1,SUMIFS(Donnees_generations!$AC$3:$AC$113,Donnees_generations!$A$3:$A$113,MAX(1915,MIN(2025,E322))),SUMIFS(Donnees_generations!$AD$3:$AD$113,Donnees_generations!$A$3:$A$113,MAX(1915,MIN(2025,E322))),SUMIFS(Donnees_generations!$AE$3:$AE$113,Donnees_generations!$A$3:$A$113,MAX(1915,MIN(2025,E322))),SUMIFS(Donnees_generations!$AF$3:$AF$113,Donnees_generations!$A$3:$A$113,MAX(1915,MIN(2025,E322))),SUMIFS(Donnees_generations!$AG$3:$AG$113,Donnees_generations!$A$3:$A$113,MAX(1915,MIN(2025,E322))),SUMIFS(Donnees_generations!$AH$3:$AH$113,Donnees_generations!$A$3:$A$113,MAX(1915,MIN(2025,E322))),SUMIFS(Donnees_generations!$AI$3:$AI$113,Donnees_generations!$A$3:$A$113,MAX(1915,MIN(2025,E322))),SUMIFS(Donnees_generations!$AJ$3:$AJ$113,Donnees_generations!$A$3:$A$113,MAX(1915,MIN(2025,E322)))))/2</f>
        <v/>
      </c>
      <c r="AJ322" s="8">
        <f>MAX(0,AH322+(AI322-AH322)*(K322-AG322)/2)</f>
        <v/>
      </c>
      <c r="AK322" s="8">
        <f>K322+AJ322</f>
        <v/>
      </c>
      <c r="AL322" s="14">
        <f>AE322*AJ322</f>
        <v/>
      </c>
      <c r="AM322" s="17">
        <f>V322/AL322</f>
        <v/>
      </c>
      <c r="AN322" s="17">
        <f>Z322/AL322</f>
        <v/>
      </c>
      <c r="AO322" s="33">
        <f>IF(V322+Z322=0,0,Z322/(V322+Z322))</f>
        <v/>
      </c>
      <c r="AP322" s="14">
        <f>AL322/V322*100</f>
        <v/>
      </c>
      <c r="AQ322" s="8">
        <f>P322/AL322*1000</f>
        <v/>
      </c>
      <c r="AR322" s="77">
        <f>MAX(N322,M322-1)</f>
        <v/>
      </c>
      <c r="AS322" s="14">
        <f>SUMIFS(Donnees_regimes!$R$3:$R$1118,Donnees_regimes!$A$3:$A$1118,C322,Donnees_regimes!$B$3:$B$1118,"&gt;="&amp;G322,Donnees_regimes!$B$3:$B$1118,"&lt;="&amp;N322)*L322/ROUNDUP(L322,0)*SUMIFS(Donnees_annuelles!$AG$3:$AG$188,Donnees_annuelles!$A$3:$A$188,AR322)*SUMIFS(Donnees_annuelles!$AA$3:$AA$188,Donnees_annuelles!$A$3:$A$188,AR322)</f>
        <v/>
      </c>
      <c r="AT322" s="36">
        <f>AS322/V322</f>
        <v/>
      </c>
      <c r="AU322" s="14">
        <f>AL322</f>
        <v/>
      </c>
      <c r="AV322" s="39">
        <f>AS322-AL322</f>
        <v/>
      </c>
      <c r="AW322" s="9">
        <f>AS322/AL322-1</f>
        <v/>
      </c>
      <c r="AX322" s="14">
        <f>AS322/AJ322/12</f>
        <v/>
      </c>
      <c r="AY322" s="14">
        <f>AF322</f>
        <v/>
      </c>
      <c r="AZ322" s="39">
        <f>AX322-AF322</f>
        <v/>
      </c>
      <c r="BA322" s="14">
        <f>SUMIFS(Donnees_regimes!$S$3:$S$1118,Donnees_regimes!$A$3:$A$1118,C322,Donnees_regimes!$B$3:$B$1118,"&gt;="&amp;G322,Donnees_regimes!$B$3:$B$1118,"&lt;="&amp;N322)*L322/ROUNDUP(L322,0)*SUMIFS(Donnees_annuelles!$AH$3:$AH$188,Donnees_annuelles!$A$3:$A$188,AR322)*SUMIFS(Donnees_annuelles!$AA$3:$AA$188,Donnees_annuelles!$A$3:$A$188,AR322)</f>
        <v/>
      </c>
      <c r="BB322" s="39">
        <f>BA322-AL322</f>
        <v/>
      </c>
      <c r="BC322" s="7">
        <f>IF(M322+AJ322&gt;2026,IF(G322&gt;2026,"entièrement projeté","en partie projeté"),"observé")</f>
        <v/>
      </c>
    </row>
    <row r="323">
      <c r="A323" s="7" t="inlineStr">
        <is>
          <t>Baby-boomers</t>
        </is>
      </c>
      <c r="B323" s="84" t="inlineStr">
        <is>
          <t>SNCF</t>
        </is>
      </c>
      <c r="C323" s="7">
        <f>IF(G323&gt;=SUMIFS(Regimes!$C$5:$C$10,Regimes!$A$5:$A$10,B323),"Privé",B323)</f>
        <v/>
      </c>
      <c r="D323" s="7">
        <f>INDEX(Regimes!$D$5:$D$10,MATCH(C323,Regimes!$A$5:$A$10,0))</f>
        <v/>
      </c>
      <c r="E323" s="88" t="n">
        <v>1954</v>
      </c>
      <c r="F323" s="8">
        <f>Donnees_generations!C42</f>
        <v/>
      </c>
      <c r="G323" s="77">
        <f>Donnees_generations!D42</f>
        <v/>
      </c>
      <c r="H323" s="8">
        <f>SUMIFS(Donnees_generations!$S$3:$S$113,Donnees_generations!$A$3:$A$113,MAX(1915,MIN(2025,E323)))</f>
        <v/>
      </c>
      <c r="I323" s="8">
        <f>SUMIFS(Donnees_generations!$T$3:$T$113,Donnees_generations!$A$3:$A$113,MAX(1915,MIN(2025,E323)))</f>
        <v/>
      </c>
      <c r="J323" s="8">
        <f>IF(G323&gt;=2000,MAX(I323,Parametres!$B$3),I323)</f>
        <v/>
      </c>
      <c r="K323" s="8">
        <f>IF(C323="Privé",J323,SUMIFS(Regles_regimes!$J$3:$J$2000,Regles_regimes!$A$3:$A$2000,C323,Regles_regimes!$B$3:$B$2000,D323,Regles_regimes!$C$3:$C$2000,MAX(1915,MIN(2025,E323))))</f>
        <v/>
      </c>
      <c r="L323" s="8">
        <f>IF(C323="Privé",H323,(K323-F323)*H323/(J323-F323))</f>
        <v/>
      </c>
      <c r="M323" s="77">
        <f>INT(E323+K323)</f>
        <v/>
      </c>
      <c r="N323" s="77">
        <f>G323+ROUNDUP(L323,0)-1</f>
        <v/>
      </c>
      <c r="O323" s="89">
        <f>SUMIFS(Regles_regimes!$K$3:$K$2000,Regles_regimes!$A$3:$A$2000,C323,Regles_regimes!$B$3:$B$2000,D323,Regles_regimes!$C$3:$C$2000,MAX(1915,MIN(2025,E323)))</f>
        <v/>
      </c>
      <c r="P323" s="13">
        <f>SUMIFS(Donnees_annuelles!$W$3:$W$188,Donnees_annuelles!$A$3:$A$188,"&gt;="&amp;G323,Donnees_annuelles!$A$3:$A$188,"&lt;="&amp;N323)*L323/ROUNDUP(L323,0)*O323</f>
        <v/>
      </c>
      <c r="Q323" s="13">
        <f>SUMIFS(Donnees_annuelles!$V$3:$V$188,Donnees_annuelles!$A$3:$A$188,"&gt;="&amp;G323,Donnees_annuelles!$A$3:$A$188,"&lt;="&amp;N323)*L323/ROUNDUP(L323,0)</f>
        <v/>
      </c>
      <c r="R323" s="13">
        <f>P323/L323</f>
        <v/>
      </c>
      <c r="S323" s="14">
        <f>SUMIFS(Donnees_annuelles!$D$3:$D$188,Donnees_annuelles!$A$3:$A$188,"&gt;="&amp;G323,Donnees_annuelles!$A$3:$A$188,"&lt;="&amp;N323)*L323/ROUNDUP(L323,0)</f>
        <v/>
      </c>
      <c r="T323" s="14">
        <f>SUMIFS(Donnees_regimes!$N$3:$N$1118,Donnees_regimes!$A$3:$A$1118,C323,Donnees_regimes!$B$3:$B$1118,"&gt;="&amp;G323,Donnees_regimes!$B$3:$B$1118,"&lt;="&amp;N323)*L323/ROUNDUP(L323,0)</f>
        <v/>
      </c>
      <c r="U323" s="14">
        <f>SUMIFS(Donnees_regimes!$O$3:$O$1118,Donnees_regimes!$A$3:$A$1118,C323,Donnees_regimes!$B$3:$B$1118,"&gt;="&amp;G323,Donnees_regimes!$B$3:$B$1118,"&lt;="&amp;N323)*L323/ROUNDUP(L323,0)</f>
        <v/>
      </c>
      <c r="V323" s="14">
        <f>T323+U323</f>
        <v/>
      </c>
      <c r="W323" s="33">
        <f>V323/S323</f>
        <v/>
      </c>
      <c r="X323" s="14">
        <f>S323+U323</f>
        <v/>
      </c>
      <c r="Y323" s="17">
        <f>V323/P323</f>
        <v/>
      </c>
      <c r="Z323" s="14">
        <f>SUMIFS(Donnees_regimes!$Q$3:$Q$1118,Donnees_regimes!$A$3:$A$1118,C323,Donnees_regimes!$B$3:$B$1118,"&gt;="&amp;G323,Donnees_regimes!$B$3:$B$1118,"&lt;="&amp;N323)*L323/ROUNDUP(L323,0)</f>
        <v/>
      </c>
      <c r="AA323" s="77">
        <f>SUMIFS(Regles_regimes!$F$3:$F$2000,Regles_regimes!$A$3:$A$2000,C323,Regles_regimes!$B$3:$B$2000,D323,Regles_regimes!$C$3:$C$2000,MAX(1915,MIN(2025,E323)))</f>
        <v/>
      </c>
      <c r="AB323" s="77">
        <f>IF(AND(SUMIFS(Regles_regimes!$L$3:$L$2000,Regles_regimes!$A$3:$A$2000,C323,Regles_regimes!$B$3:$B$2000,D323,Regles_regimes!$C$3:$C$2000,MAX(1915,MIN(2025,E323)))=1,G323&lt;2009,C323&lt;&gt;"Privé"),MIN(20,L323*4/5),0)</f>
        <v/>
      </c>
      <c r="AC323" s="89">
        <f>SUMIFS(Donnees_regimes!$M$3:$M$1118,Donnees_regimes!$A$3:$A$1118,C323,Donnees_regimes!$B$3:$B$1118,M323)</f>
        <v/>
      </c>
      <c r="AD323" s="14">
        <f>SUMIFS(Donnees_annuelles!$Y$3:$Y$188,Donnees_annuelles!$A$3:$A$188,M323)*SUMIFS(Donnees_generations!$I$3:$I$113,Donnees_generations!$A$3:$A$113,MAX(1915,MIN(2025,E323)))/H323</f>
        <v/>
      </c>
      <c r="AE323" s="14">
        <f>IF(C323="Privé",SUMIFS(Donnees_annuelles!$Y$3:$Y$188,Donnees_annuelles!$A$3:$A$188,M323)*MIN(L323,SUMIFS(Donnees_generations!$I$3:$I$113,Donnees_generations!$A$3:$A$113,MAX(1915,MIN(2025,E323))))/L323,AD323*AC323*MIN(IF(AB323&gt;0,0.8/0.75,1),(L323*4+AB323)/AA323))</f>
        <v/>
      </c>
      <c r="AF323" s="14">
        <f>AE323/12</f>
        <v/>
      </c>
      <c r="AG323" s="77">
        <f>MIN(68,MAX(56,2*INT(K323/2)))</f>
        <v/>
      </c>
      <c r="AH323" s="75">
        <f>(CHOOSE((AG323-56)/2+1,SUMIFS(Donnees_generations!$U$3:$U$113,Donnees_generations!$A$3:$A$113,MAX(1915,MIN(2025,E323))),SUMIFS(Donnees_generations!$V$3:$V$113,Donnees_generations!$A$3:$A$113,MAX(1915,MIN(2025,E323))),SUMIFS(Donnees_generations!$W$3:$W$113,Donnees_generations!$A$3:$A$113,MAX(1915,MIN(2025,E323))),SUMIFS(Donnees_generations!$X$3:$X$113,Donnees_generations!$A$3:$A$113,MAX(1915,MIN(2025,E323))),SUMIFS(Donnees_generations!$Y$3:$Y$113,Donnees_generations!$A$3:$A$113,MAX(1915,MIN(2025,E323))),SUMIFS(Donnees_generations!$Z$3:$Z$113,Donnees_generations!$A$3:$A$113,MAX(1915,MIN(2025,E323))),SUMIFS(Donnees_generations!$AA$3:$AA$113,Donnees_generations!$A$3:$A$113,MAX(1915,MIN(2025,E323))),SUMIFS(Donnees_generations!$AB$3:$AB$113,Donnees_generations!$A$3:$A$113,MAX(1915,MIN(2025,E323))))+CHOOSE((AG323-56)/2+1,SUMIFS(Donnees_generations!$AC$3:$AC$113,Donnees_generations!$A$3:$A$113,MAX(1915,MIN(2025,E323))),SUMIFS(Donnees_generations!$AD$3:$AD$113,Donnees_generations!$A$3:$A$113,MAX(1915,MIN(2025,E323))),SUMIFS(Donnees_generations!$AE$3:$AE$113,Donnees_generations!$A$3:$A$113,MAX(1915,MIN(2025,E323))),SUMIFS(Donnees_generations!$AF$3:$AF$113,Donnees_generations!$A$3:$A$113,MAX(1915,MIN(2025,E323))),SUMIFS(Donnees_generations!$AG$3:$AG$113,Donnees_generations!$A$3:$A$113,MAX(1915,MIN(2025,E323))),SUMIFS(Donnees_generations!$AH$3:$AH$113,Donnees_generations!$A$3:$A$113,MAX(1915,MIN(2025,E323))),SUMIFS(Donnees_generations!$AI$3:$AI$113,Donnees_generations!$A$3:$A$113,MAX(1915,MIN(2025,E323))),SUMIFS(Donnees_generations!$AJ$3:$AJ$113,Donnees_generations!$A$3:$A$113,MAX(1915,MIN(2025,E323)))))/2</f>
        <v/>
      </c>
      <c r="AI323" s="75">
        <f>(CHOOSE(((AG323+2)-56)/2+1,SUMIFS(Donnees_generations!$U$3:$U$113,Donnees_generations!$A$3:$A$113,MAX(1915,MIN(2025,E323))),SUMIFS(Donnees_generations!$V$3:$V$113,Donnees_generations!$A$3:$A$113,MAX(1915,MIN(2025,E323))),SUMIFS(Donnees_generations!$W$3:$W$113,Donnees_generations!$A$3:$A$113,MAX(1915,MIN(2025,E323))),SUMIFS(Donnees_generations!$X$3:$X$113,Donnees_generations!$A$3:$A$113,MAX(1915,MIN(2025,E323))),SUMIFS(Donnees_generations!$Y$3:$Y$113,Donnees_generations!$A$3:$A$113,MAX(1915,MIN(2025,E323))),SUMIFS(Donnees_generations!$Z$3:$Z$113,Donnees_generations!$A$3:$A$113,MAX(1915,MIN(2025,E323))),SUMIFS(Donnees_generations!$AA$3:$AA$113,Donnees_generations!$A$3:$A$113,MAX(1915,MIN(2025,E323))),SUMIFS(Donnees_generations!$AB$3:$AB$113,Donnees_generations!$A$3:$A$113,MAX(1915,MIN(2025,E323))))+CHOOSE(((AG323+2)-56)/2+1,SUMIFS(Donnees_generations!$AC$3:$AC$113,Donnees_generations!$A$3:$A$113,MAX(1915,MIN(2025,E323))),SUMIFS(Donnees_generations!$AD$3:$AD$113,Donnees_generations!$A$3:$A$113,MAX(1915,MIN(2025,E323))),SUMIFS(Donnees_generations!$AE$3:$AE$113,Donnees_generations!$A$3:$A$113,MAX(1915,MIN(2025,E323))),SUMIFS(Donnees_generations!$AF$3:$AF$113,Donnees_generations!$A$3:$A$113,MAX(1915,MIN(2025,E323))),SUMIFS(Donnees_generations!$AG$3:$AG$113,Donnees_generations!$A$3:$A$113,MAX(1915,MIN(2025,E323))),SUMIFS(Donnees_generations!$AH$3:$AH$113,Donnees_generations!$A$3:$A$113,MAX(1915,MIN(2025,E323))),SUMIFS(Donnees_generations!$AI$3:$AI$113,Donnees_generations!$A$3:$A$113,MAX(1915,MIN(2025,E323))),SUMIFS(Donnees_generations!$AJ$3:$AJ$113,Donnees_generations!$A$3:$A$113,MAX(1915,MIN(2025,E323)))))/2</f>
        <v/>
      </c>
      <c r="AJ323" s="8">
        <f>MAX(0,AH323+(AI323-AH323)*(K323-AG323)/2)</f>
        <v/>
      </c>
      <c r="AK323" s="8">
        <f>K323+AJ323</f>
        <v/>
      </c>
      <c r="AL323" s="14">
        <f>AE323*AJ323</f>
        <v/>
      </c>
      <c r="AM323" s="17">
        <f>V323/AL323</f>
        <v/>
      </c>
      <c r="AN323" s="17">
        <f>Z323/AL323</f>
        <v/>
      </c>
      <c r="AO323" s="33">
        <f>IF(V323+Z323=0,0,Z323/(V323+Z323))</f>
        <v/>
      </c>
      <c r="AP323" s="14">
        <f>AL323/V323*100</f>
        <v/>
      </c>
      <c r="AQ323" s="8">
        <f>P323/AL323*1000</f>
        <v/>
      </c>
      <c r="AR323" s="77">
        <f>MAX(N323,M323-1)</f>
        <v/>
      </c>
      <c r="AS323" s="14">
        <f>SUMIFS(Donnees_regimes!$R$3:$R$1118,Donnees_regimes!$A$3:$A$1118,C323,Donnees_regimes!$B$3:$B$1118,"&gt;="&amp;G323,Donnees_regimes!$B$3:$B$1118,"&lt;="&amp;N323)*L323/ROUNDUP(L323,0)*SUMIFS(Donnees_annuelles!$AG$3:$AG$188,Donnees_annuelles!$A$3:$A$188,AR323)*SUMIFS(Donnees_annuelles!$AA$3:$AA$188,Donnees_annuelles!$A$3:$A$188,AR323)</f>
        <v/>
      </c>
      <c r="AT323" s="36">
        <f>AS323/V323</f>
        <v/>
      </c>
      <c r="AU323" s="14">
        <f>AL323</f>
        <v/>
      </c>
      <c r="AV323" s="39">
        <f>AS323-AL323</f>
        <v/>
      </c>
      <c r="AW323" s="9">
        <f>AS323/AL323-1</f>
        <v/>
      </c>
      <c r="AX323" s="14">
        <f>AS323/AJ323/12</f>
        <v/>
      </c>
      <c r="AY323" s="14">
        <f>AF323</f>
        <v/>
      </c>
      <c r="AZ323" s="39">
        <f>AX323-AF323</f>
        <v/>
      </c>
      <c r="BA323" s="14">
        <f>SUMIFS(Donnees_regimes!$S$3:$S$1118,Donnees_regimes!$A$3:$A$1118,C323,Donnees_regimes!$B$3:$B$1118,"&gt;="&amp;G323,Donnees_regimes!$B$3:$B$1118,"&lt;="&amp;N323)*L323/ROUNDUP(L323,0)*SUMIFS(Donnees_annuelles!$AH$3:$AH$188,Donnees_annuelles!$A$3:$A$188,AR323)*SUMIFS(Donnees_annuelles!$AA$3:$AA$188,Donnees_annuelles!$A$3:$A$188,AR323)</f>
        <v/>
      </c>
      <c r="BB323" s="39">
        <f>BA323-AL323</f>
        <v/>
      </c>
      <c r="BC323" s="7">
        <f>IF(M323+AJ323&gt;2026,IF(G323&gt;2026,"entièrement projeté","en partie projeté"),"observé")</f>
        <v/>
      </c>
    </row>
    <row r="324">
      <c r="A324" s="7" t="inlineStr">
        <is>
          <t>Baby-boomers</t>
        </is>
      </c>
      <c r="B324" s="84" t="inlineStr">
        <is>
          <t>SNCF</t>
        </is>
      </c>
      <c r="C324" s="7">
        <f>IF(G324&gt;=SUMIFS(Regimes!$C$5:$C$10,Regimes!$A$5:$A$10,B324),"Privé",B324)</f>
        <v/>
      </c>
      <c r="D324" s="7">
        <f>INDEX(Regimes!$D$5:$D$10,MATCH(C324,Regimes!$A$5:$A$10,0))</f>
        <v/>
      </c>
      <c r="E324" s="88" t="n">
        <v>1955</v>
      </c>
      <c r="F324" s="8">
        <f>Donnees_generations!C43</f>
        <v/>
      </c>
      <c r="G324" s="77">
        <f>Donnees_generations!D43</f>
        <v/>
      </c>
      <c r="H324" s="8">
        <f>SUMIFS(Donnees_generations!$S$3:$S$113,Donnees_generations!$A$3:$A$113,MAX(1915,MIN(2025,E324)))</f>
        <v/>
      </c>
      <c r="I324" s="8">
        <f>SUMIFS(Donnees_generations!$T$3:$T$113,Donnees_generations!$A$3:$A$113,MAX(1915,MIN(2025,E324)))</f>
        <v/>
      </c>
      <c r="J324" s="8">
        <f>IF(G324&gt;=2000,MAX(I324,Parametres!$B$3),I324)</f>
        <v/>
      </c>
      <c r="K324" s="8">
        <f>IF(C324="Privé",J324,SUMIFS(Regles_regimes!$J$3:$J$2000,Regles_regimes!$A$3:$A$2000,C324,Regles_regimes!$B$3:$B$2000,D324,Regles_regimes!$C$3:$C$2000,MAX(1915,MIN(2025,E324))))</f>
        <v/>
      </c>
      <c r="L324" s="8">
        <f>IF(C324="Privé",H324,(K324-F324)*H324/(J324-F324))</f>
        <v/>
      </c>
      <c r="M324" s="77">
        <f>INT(E324+K324)</f>
        <v/>
      </c>
      <c r="N324" s="77">
        <f>G324+ROUNDUP(L324,0)-1</f>
        <v/>
      </c>
      <c r="O324" s="89">
        <f>SUMIFS(Regles_regimes!$K$3:$K$2000,Regles_regimes!$A$3:$A$2000,C324,Regles_regimes!$B$3:$B$2000,D324,Regles_regimes!$C$3:$C$2000,MAX(1915,MIN(2025,E324)))</f>
        <v/>
      </c>
      <c r="P324" s="13">
        <f>SUMIFS(Donnees_annuelles!$W$3:$W$188,Donnees_annuelles!$A$3:$A$188,"&gt;="&amp;G324,Donnees_annuelles!$A$3:$A$188,"&lt;="&amp;N324)*L324/ROUNDUP(L324,0)*O324</f>
        <v/>
      </c>
      <c r="Q324" s="13">
        <f>SUMIFS(Donnees_annuelles!$V$3:$V$188,Donnees_annuelles!$A$3:$A$188,"&gt;="&amp;G324,Donnees_annuelles!$A$3:$A$188,"&lt;="&amp;N324)*L324/ROUNDUP(L324,0)</f>
        <v/>
      </c>
      <c r="R324" s="13">
        <f>P324/L324</f>
        <v/>
      </c>
      <c r="S324" s="14">
        <f>SUMIFS(Donnees_annuelles!$D$3:$D$188,Donnees_annuelles!$A$3:$A$188,"&gt;="&amp;G324,Donnees_annuelles!$A$3:$A$188,"&lt;="&amp;N324)*L324/ROUNDUP(L324,0)</f>
        <v/>
      </c>
      <c r="T324" s="14">
        <f>SUMIFS(Donnees_regimes!$N$3:$N$1118,Donnees_regimes!$A$3:$A$1118,C324,Donnees_regimes!$B$3:$B$1118,"&gt;="&amp;G324,Donnees_regimes!$B$3:$B$1118,"&lt;="&amp;N324)*L324/ROUNDUP(L324,0)</f>
        <v/>
      </c>
      <c r="U324" s="14">
        <f>SUMIFS(Donnees_regimes!$O$3:$O$1118,Donnees_regimes!$A$3:$A$1118,C324,Donnees_regimes!$B$3:$B$1118,"&gt;="&amp;G324,Donnees_regimes!$B$3:$B$1118,"&lt;="&amp;N324)*L324/ROUNDUP(L324,0)</f>
        <v/>
      </c>
      <c r="V324" s="14">
        <f>T324+U324</f>
        <v/>
      </c>
      <c r="W324" s="33">
        <f>V324/S324</f>
        <v/>
      </c>
      <c r="X324" s="14">
        <f>S324+U324</f>
        <v/>
      </c>
      <c r="Y324" s="17">
        <f>V324/P324</f>
        <v/>
      </c>
      <c r="Z324" s="14">
        <f>SUMIFS(Donnees_regimes!$Q$3:$Q$1118,Donnees_regimes!$A$3:$A$1118,C324,Donnees_regimes!$B$3:$B$1118,"&gt;="&amp;G324,Donnees_regimes!$B$3:$B$1118,"&lt;="&amp;N324)*L324/ROUNDUP(L324,0)</f>
        <v/>
      </c>
      <c r="AA324" s="77">
        <f>SUMIFS(Regles_regimes!$F$3:$F$2000,Regles_regimes!$A$3:$A$2000,C324,Regles_regimes!$B$3:$B$2000,D324,Regles_regimes!$C$3:$C$2000,MAX(1915,MIN(2025,E324)))</f>
        <v/>
      </c>
      <c r="AB324" s="77">
        <f>IF(AND(SUMIFS(Regles_regimes!$L$3:$L$2000,Regles_regimes!$A$3:$A$2000,C324,Regles_regimes!$B$3:$B$2000,D324,Regles_regimes!$C$3:$C$2000,MAX(1915,MIN(2025,E324)))=1,G324&lt;2009,C324&lt;&gt;"Privé"),MIN(20,L324*4/5),0)</f>
        <v/>
      </c>
      <c r="AC324" s="89">
        <f>SUMIFS(Donnees_regimes!$M$3:$M$1118,Donnees_regimes!$A$3:$A$1118,C324,Donnees_regimes!$B$3:$B$1118,M324)</f>
        <v/>
      </c>
      <c r="AD324" s="14">
        <f>SUMIFS(Donnees_annuelles!$Y$3:$Y$188,Donnees_annuelles!$A$3:$A$188,M324)*SUMIFS(Donnees_generations!$I$3:$I$113,Donnees_generations!$A$3:$A$113,MAX(1915,MIN(2025,E324)))/H324</f>
        <v/>
      </c>
      <c r="AE324" s="14">
        <f>IF(C324="Privé",SUMIFS(Donnees_annuelles!$Y$3:$Y$188,Donnees_annuelles!$A$3:$A$188,M324)*MIN(L324,SUMIFS(Donnees_generations!$I$3:$I$113,Donnees_generations!$A$3:$A$113,MAX(1915,MIN(2025,E324))))/L324,AD324*AC324*MIN(IF(AB324&gt;0,0.8/0.75,1),(L324*4+AB324)/AA324))</f>
        <v/>
      </c>
      <c r="AF324" s="14">
        <f>AE324/12</f>
        <v/>
      </c>
      <c r="AG324" s="77">
        <f>MIN(68,MAX(56,2*INT(K324/2)))</f>
        <v/>
      </c>
      <c r="AH324" s="75">
        <f>(CHOOSE((AG324-56)/2+1,SUMIFS(Donnees_generations!$U$3:$U$113,Donnees_generations!$A$3:$A$113,MAX(1915,MIN(2025,E324))),SUMIFS(Donnees_generations!$V$3:$V$113,Donnees_generations!$A$3:$A$113,MAX(1915,MIN(2025,E324))),SUMIFS(Donnees_generations!$W$3:$W$113,Donnees_generations!$A$3:$A$113,MAX(1915,MIN(2025,E324))),SUMIFS(Donnees_generations!$X$3:$X$113,Donnees_generations!$A$3:$A$113,MAX(1915,MIN(2025,E324))),SUMIFS(Donnees_generations!$Y$3:$Y$113,Donnees_generations!$A$3:$A$113,MAX(1915,MIN(2025,E324))),SUMIFS(Donnees_generations!$Z$3:$Z$113,Donnees_generations!$A$3:$A$113,MAX(1915,MIN(2025,E324))),SUMIFS(Donnees_generations!$AA$3:$AA$113,Donnees_generations!$A$3:$A$113,MAX(1915,MIN(2025,E324))),SUMIFS(Donnees_generations!$AB$3:$AB$113,Donnees_generations!$A$3:$A$113,MAX(1915,MIN(2025,E324))))+CHOOSE((AG324-56)/2+1,SUMIFS(Donnees_generations!$AC$3:$AC$113,Donnees_generations!$A$3:$A$113,MAX(1915,MIN(2025,E324))),SUMIFS(Donnees_generations!$AD$3:$AD$113,Donnees_generations!$A$3:$A$113,MAX(1915,MIN(2025,E324))),SUMIFS(Donnees_generations!$AE$3:$AE$113,Donnees_generations!$A$3:$A$113,MAX(1915,MIN(2025,E324))),SUMIFS(Donnees_generations!$AF$3:$AF$113,Donnees_generations!$A$3:$A$113,MAX(1915,MIN(2025,E324))),SUMIFS(Donnees_generations!$AG$3:$AG$113,Donnees_generations!$A$3:$A$113,MAX(1915,MIN(2025,E324))),SUMIFS(Donnees_generations!$AH$3:$AH$113,Donnees_generations!$A$3:$A$113,MAX(1915,MIN(2025,E324))),SUMIFS(Donnees_generations!$AI$3:$AI$113,Donnees_generations!$A$3:$A$113,MAX(1915,MIN(2025,E324))),SUMIFS(Donnees_generations!$AJ$3:$AJ$113,Donnees_generations!$A$3:$A$113,MAX(1915,MIN(2025,E324)))))/2</f>
        <v/>
      </c>
      <c r="AI324" s="75">
        <f>(CHOOSE(((AG324+2)-56)/2+1,SUMIFS(Donnees_generations!$U$3:$U$113,Donnees_generations!$A$3:$A$113,MAX(1915,MIN(2025,E324))),SUMIFS(Donnees_generations!$V$3:$V$113,Donnees_generations!$A$3:$A$113,MAX(1915,MIN(2025,E324))),SUMIFS(Donnees_generations!$W$3:$W$113,Donnees_generations!$A$3:$A$113,MAX(1915,MIN(2025,E324))),SUMIFS(Donnees_generations!$X$3:$X$113,Donnees_generations!$A$3:$A$113,MAX(1915,MIN(2025,E324))),SUMIFS(Donnees_generations!$Y$3:$Y$113,Donnees_generations!$A$3:$A$113,MAX(1915,MIN(2025,E324))),SUMIFS(Donnees_generations!$Z$3:$Z$113,Donnees_generations!$A$3:$A$113,MAX(1915,MIN(2025,E324))),SUMIFS(Donnees_generations!$AA$3:$AA$113,Donnees_generations!$A$3:$A$113,MAX(1915,MIN(2025,E324))),SUMIFS(Donnees_generations!$AB$3:$AB$113,Donnees_generations!$A$3:$A$113,MAX(1915,MIN(2025,E324))))+CHOOSE(((AG324+2)-56)/2+1,SUMIFS(Donnees_generations!$AC$3:$AC$113,Donnees_generations!$A$3:$A$113,MAX(1915,MIN(2025,E324))),SUMIFS(Donnees_generations!$AD$3:$AD$113,Donnees_generations!$A$3:$A$113,MAX(1915,MIN(2025,E324))),SUMIFS(Donnees_generations!$AE$3:$AE$113,Donnees_generations!$A$3:$A$113,MAX(1915,MIN(2025,E324))),SUMIFS(Donnees_generations!$AF$3:$AF$113,Donnees_generations!$A$3:$A$113,MAX(1915,MIN(2025,E324))),SUMIFS(Donnees_generations!$AG$3:$AG$113,Donnees_generations!$A$3:$A$113,MAX(1915,MIN(2025,E324))),SUMIFS(Donnees_generations!$AH$3:$AH$113,Donnees_generations!$A$3:$A$113,MAX(1915,MIN(2025,E324))),SUMIFS(Donnees_generations!$AI$3:$AI$113,Donnees_generations!$A$3:$A$113,MAX(1915,MIN(2025,E324))),SUMIFS(Donnees_generations!$AJ$3:$AJ$113,Donnees_generations!$A$3:$A$113,MAX(1915,MIN(2025,E324)))))/2</f>
        <v/>
      </c>
      <c r="AJ324" s="8">
        <f>MAX(0,AH324+(AI324-AH324)*(K324-AG324)/2)</f>
        <v/>
      </c>
      <c r="AK324" s="8">
        <f>K324+AJ324</f>
        <v/>
      </c>
      <c r="AL324" s="14">
        <f>AE324*AJ324</f>
        <v/>
      </c>
      <c r="AM324" s="17">
        <f>V324/AL324</f>
        <v/>
      </c>
      <c r="AN324" s="17">
        <f>Z324/AL324</f>
        <v/>
      </c>
      <c r="AO324" s="33">
        <f>IF(V324+Z324=0,0,Z324/(V324+Z324))</f>
        <v/>
      </c>
      <c r="AP324" s="14">
        <f>AL324/V324*100</f>
        <v/>
      </c>
      <c r="AQ324" s="8">
        <f>P324/AL324*1000</f>
        <v/>
      </c>
      <c r="AR324" s="77">
        <f>MAX(N324,M324-1)</f>
        <v/>
      </c>
      <c r="AS324" s="14">
        <f>SUMIFS(Donnees_regimes!$R$3:$R$1118,Donnees_regimes!$A$3:$A$1118,C324,Donnees_regimes!$B$3:$B$1118,"&gt;="&amp;G324,Donnees_regimes!$B$3:$B$1118,"&lt;="&amp;N324)*L324/ROUNDUP(L324,0)*SUMIFS(Donnees_annuelles!$AG$3:$AG$188,Donnees_annuelles!$A$3:$A$188,AR324)*SUMIFS(Donnees_annuelles!$AA$3:$AA$188,Donnees_annuelles!$A$3:$A$188,AR324)</f>
        <v/>
      </c>
      <c r="AT324" s="36">
        <f>AS324/V324</f>
        <v/>
      </c>
      <c r="AU324" s="14">
        <f>AL324</f>
        <v/>
      </c>
      <c r="AV324" s="39">
        <f>AS324-AL324</f>
        <v/>
      </c>
      <c r="AW324" s="9">
        <f>AS324/AL324-1</f>
        <v/>
      </c>
      <c r="AX324" s="14">
        <f>AS324/AJ324/12</f>
        <v/>
      </c>
      <c r="AY324" s="14">
        <f>AF324</f>
        <v/>
      </c>
      <c r="AZ324" s="39">
        <f>AX324-AF324</f>
        <v/>
      </c>
      <c r="BA324" s="14">
        <f>SUMIFS(Donnees_regimes!$S$3:$S$1118,Donnees_regimes!$A$3:$A$1118,C324,Donnees_regimes!$B$3:$B$1118,"&gt;="&amp;G324,Donnees_regimes!$B$3:$B$1118,"&lt;="&amp;N324)*L324/ROUNDUP(L324,0)*SUMIFS(Donnees_annuelles!$AH$3:$AH$188,Donnees_annuelles!$A$3:$A$188,AR324)*SUMIFS(Donnees_annuelles!$AA$3:$AA$188,Donnees_annuelles!$A$3:$A$188,AR324)</f>
        <v/>
      </c>
      <c r="BB324" s="39">
        <f>BA324-AL324</f>
        <v/>
      </c>
      <c r="BC324" s="7">
        <f>IF(M324+AJ324&gt;2026,IF(G324&gt;2026,"entièrement projeté","en partie projeté"),"observé")</f>
        <v/>
      </c>
    </row>
    <row r="325">
      <c r="A325" s="7" t="inlineStr">
        <is>
          <t>Baby-boomers</t>
        </is>
      </c>
      <c r="B325" s="84" t="inlineStr">
        <is>
          <t>SNCF</t>
        </is>
      </c>
      <c r="C325" s="7">
        <f>IF(G325&gt;=SUMIFS(Regimes!$C$5:$C$10,Regimes!$A$5:$A$10,B325),"Privé",B325)</f>
        <v/>
      </c>
      <c r="D325" s="7">
        <f>INDEX(Regimes!$D$5:$D$10,MATCH(C325,Regimes!$A$5:$A$10,0))</f>
        <v/>
      </c>
      <c r="E325" s="88" t="n">
        <v>1956</v>
      </c>
      <c r="F325" s="8">
        <f>Donnees_generations!C44</f>
        <v/>
      </c>
      <c r="G325" s="77">
        <f>Donnees_generations!D44</f>
        <v/>
      </c>
      <c r="H325" s="8">
        <f>SUMIFS(Donnees_generations!$S$3:$S$113,Donnees_generations!$A$3:$A$113,MAX(1915,MIN(2025,E325)))</f>
        <v/>
      </c>
      <c r="I325" s="8">
        <f>SUMIFS(Donnees_generations!$T$3:$T$113,Donnees_generations!$A$3:$A$113,MAX(1915,MIN(2025,E325)))</f>
        <v/>
      </c>
      <c r="J325" s="8">
        <f>IF(G325&gt;=2000,MAX(I325,Parametres!$B$3),I325)</f>
        <v/>
      </c>
      <c r="K325" s="8">
        <f>IF(C325="Privé",J325,SUMIFS(Regles_regimes!$J$3:$J$2000,Regles_regimes!$A$3:$A$2000,C325,Regles_regimes!$B$3:$B$2000,D325,Regles_regimes!$C$3:$C$2000,MAX(1915,MIN(2025,E325))))</f>
        <v/>
      </c>
      <c r="L325" s="8">
        <f>IF(C325="Privé",H325,(K325-F325)*H325/(J325-F325))</f>
        <v/>
      </c>
      <c r="M325" s="77">
        <f>INT(E325+K325)</f>
        <v/>
      </c>
      <c r="N325" s="77">
        <f>G325+ROUNDUP(L325,0)-1</f>
        <v/>
      </c>
      <c r="O325" s="89">
        <f>SUMIFS(Regles_regimes!$K$3:$K$2000,Regles_regimes!$A$3:$A$2000,C325,Regles_regimes!$B$3:$B$2000,D325,Regles_regimes!$C$3:$C$2000,MAX(1915,MIN(2025,E325)))</f>
        <v/>
      </c>
      <c r="P325" s="13">
        <f>SUMIFS(Donnees_annuelles!$W$3:$W$188,Donnees_annuelles!$A$3:$A$188,"&gt;="&amp;G325,Donnees_annuelles!$A$3:$A$188,"&lt;="&amp;N325)*L325/ROUNDUP(L325,0)*O325</f>
        <v/>
      </c>
      <c r="Q325" s="13">
        <f>SUMIFS(Donnees_annuelles!$V$3:$V$188,Donnees_annuelles!$A$3:$A$188,"&gt;="&amp;G325,Donnees_annuelles!$A$3:$A$188,"&lt;="&amp;N325)*L325/ROUNDUP(L325,0)</f>
        <v/>
      </c>
      <c r="R325" s="13">
        <f>P325/L325</f>
        <v/>
      </c>
      <c r="S325" s="14">
        <f>SUMIFS(Donnees_annuelles!$D$3:$D$188,Donnees_annuelles!$A$3:$A$188,"&gt;="&amp;G325,Donnees_annuelles!$A$3:$A$188,"&lt;="&amp;N325)*L325/ROUNDUP(L325,0)</f>
        <v/>
      </c>
      <c r="T325" s="14">
        <f>SUMIFS(Donnees_regimes!$N$3:$N$1118,Donnees_regimes!$A$3:$A$1118,C325,Donnees_regimes!$B$3:$B$1118,"&gt;="&amp;G325,Donnees_regimes!$B$3:$B$1118,"&lt;="&amp;N325)*L325/ROUNDUP(L325,0)</f>
        <v/>
      </c>
      <c r="U325" s="14">
        <f>SUMIFS(Donnees_regimes!$O$3:$O$1118,Donnees_regimes!$A$3:$A$1118,C325,Donnees_regimes!$B$3:$B$1118,"&gt;="&amp;G325,Donnees_regimes!$B$3:$B$1118,"&lt;="&amp;N325)*L325/ROUNDUP(L325,0)</f>
        <v/>
      </c>
      <c r="V325" s="14">
        <f>T325+U325</f>
        <v/>
      </c>
      <c r="W325" s="33">
        <f>V325/S325</f>
        <v/>
      </c>
      <c r="X325" s="14">
        <f>S325+U325</f>
        <v/>
      </c>
      <c r="Y325" s="17">
        <f>V325/P325</f>
        <v/>
      </c>
      <c r="Z325" s="14">
        <f>SUMIFS(Donnees_regimes!$Q$3:$Q$1118,Donnees_regimes!$A$3:$A$1118,C325,Donnees_regimes!$B$3:$B$1118,"&gt;="&amp;G325,Donnees_regimes!$B$3:$B$1118,"&lt;="&amp;N325)*L325/ROUNDUP(L325,0)</f>
        <v/>
      </c>
      <c r="AA325" s="77">
        <f>SUMIFS(Regles_regimes!$F$3:$F$2000,Regles_regimes!$A$3:$A$2000,C325,Regles_regimes!$B$3:$B$2000,D325,Regles_regimes!$C$3:$C$2000,MAX(1915,MIN(2025,E325)))</f>
        <v/>
      </c>
      <c r="AB325" s="77">
        <f>IF(AND(SUMIFS(Regles_regimes!$L$3:$L$2000,Regles_regimes!$A$3:$A$2000,C325,Regles_regimes!$B$3:$B$2000,D325,Regles_regimes!$C$3:$C$2000,MAX(1915,MIN(2025,E325)))=1,G325&lt;2009,C325&lt;&gt;"Privé"),MIN(20,L325*4/5),0)</f>
        <v/>
      </c>
      <c r="AC325" s="89">
        <f>SUMIFS(Donnees_regimes!$M$3:$M$1118,Donnees_regimes!$A$3:$A$1118,C325,Donnees_regimes!$B$3:$B$1118,M325)</f>
        <v/>
      </c>
      <c r="AD325" s="14">
        <f>SUMIFS(Donnees_annuelles!$Y$3:$Y$188,Donnees_annuelles!$A$3:$A$188,M325)*SUMIFS(Donnees_generations!$I$3:$I$113,Donnees_generations!$A$3:$A$113,MAX(1915,MIN(2025,E325)))/H325</f>
        <v/>
      </c>
      <c r="AE325" s="14">
        <f>IF(C325="Privé",SUMIFS(Donnees_annuelles!$Y$3:$Y$188,Donnees_annuelles!$A$3:$A$188,M325)*MIN(L325,SUMIFS(Donnees_generations!$I$3:$I$113,Donnees_generations!$A$3:$A$113,MAX(1915,MIN(2025,E325))))/L325,AD325*AC325*MIN(IF(AB325&gt;0,0.8/0.75,1),(L325*4+AB325)/AA325))</f>
        <v/>
      </c>
      <c r="AF325" s="14">
        <f>AE325/12</f>
        <v/>
      </c>
      <c r="AG325" s="77">
        <f>MIN(68,MAX(56,2*INT(K325/2)))</f>
        <v/>
      </c>
      <c r="AH325" s="75">
        <f>(CHOOSE((AG325-56)/2+1,SUMIFS(Donnees_generations!$U$3:$U$113,Donnees_generations!$A$3:$A$113,MAX(1915,MIN(2025,E325))),SUMIFS(Donnees_generations!$V$3:$V$113,Donnees_generations!$A$3:$A$113,MAX(1915,MIN(2025,E325))),SUMIFS(Donnees_generations!$W$3:$W$113,Donnees_generations!$A$3:$A$113,MAX(1915,MIN(2025,E325))),SUMIFS(Donnees_generations!$X$3:$X$113,Donnees_generations!$A$3:$A$113,MAX(1915,MIN(2025,E325))),SUMIFS(Donnees_generations!$Y$3:$Y$113,Donnees_generations!$A$3:$A$113,MAX(1915,MIN(2025,E325))),SUMIFS(Donnees_generations!$Z$3:$Z$113,Donnees_generations!$A$3:$A$113,MAX(1915,MIN(2025,E325))),SUMIFS(Donnees_generations!$AA$3:$AA$113,Donnees_generations!$A$3:$A$113,MAX(1915,MIN(2025,E325))),SUMIFS(Donnees_generations!$AB$3:$AB$113,Donnees_generations!$A$3:$A$113,MAX(1915,MIN(2025,E325))))+CHOOSE((AG325-56)/2+1,SUMIFS(Donnees_generations!$AC$3:$AC$113,Donnees_generations!$A$3:$A$113,MAX(1915,MIN(2025,E325))),SUMIFS(Donnees_generations!$AD$3:$AD$113,Donnees_generations!$A$3:$A$113,MAX(1915,MIN(2025,E325))),SUMIFS(Donnees_generations!$AE$3:$AE$113,Donnees_generations!$A$3:$A$113,MAX(1915,MIN(2025,E325))),SUMIFS(Donnees_generations!$AF$3:$AF$113,Donnees_generations!$A$3:$A$113,MAX(1915,MIN(2025,E325))),SUMIFS(Donnees_generations!$AG$3:$AG$113,Donnees_generations!$A$3:$A$113,MAX(1915,MIN(2025,E325))),SUMIFS(Donnees_generations!$AH$3:$AH$113,Donnees_generations!$A$3:$A$113,MAX(1915,MIN(2025,E325))),SUMIFS(Donnees_generations!$AI$3:$AI$113,Donnees_generations!$A$3:$A$113,MAX(1915,MIN(2025,E325))),SUMIFS(Donnees_generations!$AJ$3:$AJ$113,Donnees_generations!$A$3:$A$113,MAX(1915,MIN(2025,E325)))))/2</f>
        <v/>
      </c>
      <c r="AI325" s="75">
        <f>(CHOOSE(((AG325+2)-56)/2+1,SUMIFS(Donnees_generations!$U$3:$U$113,Donnees_generations!$A$3:$A$113,MAX(1915,MIN(2025,E325))),SUMIFS(Donnees_generations!$V$3:$V$113,Donnees_generations!$A$3:$A$113,MAX(1915,MIN(2025,E325))),SUMIFS(Donnees_generations!$W$3:$W$113,Donnees_generations!$A$3:$A$113,MAX(1915,MIN(2025,E325))),SUMIFS(Donnees_generations!$X$3:$X$113,Donnees_generations!$A$3:$A$113,MAX(1915,MIN(2025,E325))),SUMIFS(Donnees_generations!$Y$3:$Y$113,Donnees_generations!$A$3:$A$113,MAX(1915,MIN(2025,E325))),SUMIFS(Donnees_generations!$Z$3:$Z$113,Donnees_generations!$A$3:$A$113,MAX(1915,MIN(2025,E325))),SUMIFS(Donnees_generations!$AA$3:$AA$113,Donnees_generations!$A$3:$A$113,MAX(1915,MIN(2025,E325))),SUMIFS(Donnees_generations!$AB$3:$AB$113,Donnees_generations!$A$3:$A$113,MAX(1915,MIN(2025,E325))))+CHOOSE(((AG325+2)-56)/2+1,SUMIFS(Donnees_generations!$AC$3:$AC$113,Donnees_generations!$A$3:$A$113,MAX(1915,MIN(2025,E325))),SUMIFS(Donnees_generations!$AD$3:$AD$113,Donnees_generations!$A$3:$A$113,MAX(1915,MIN(2025,E325))),SUMIFS(Donnees_generations!$AE$3:$AE$113,Donnees_generations!$A$3:$A$113,MAX(1915,MIN(2025,E325))),SUMIFS(Donnees_generations!$AF$3:$AF$113,Donnees_generations!$A$3:$A$113,MAX(1915,MIN(2025,E325))),SUMIFS(Donnees_generations!$AG$3:$AG$113,Donnees_generations!$A$3:$A$113,MAX(1915,MIN(2025,E325))),SUMIFS(Donnees_generations!$AH$3:$AH$113,Donnees_generations!$A$3:$A$113,MAX(1915,MIN(2025,E325))),SUMIFS(Donnees_generations!$AI$3:$AI$113,Donnees_generations!$A$3:$A$113,MAX(1915,MIN(2025,E325))),SUMIFS(Donnees_generations!$AJ$3:$AJ$113,Donnees_generations!$A$3:$A$113,MAX(1915,MIN(2025,E325)))))/2</f>
        <v/>
      </c>
      <c r="AJ325" s="8">
        <f>MAX(0,AH325+(AI325-AH325)*(K325-AG325)/2)</f>
        <v/>
      </c>
      <c r="AK325" s="8">
        <f>K325+AJ325</f>
        <v/>
      </c>
      <c r="AL325" s="14">
        <f>AE325*AJ325</f>
        <v/>
      </c>
      <c r="AM325" s="17">
        <f>V325/AL325</f>
        <v/>
      </c>
      <c r="AN325" s="17">
        <f>Z325/AL325</f>
        <v/>
      </c>
      <c r="AO325" s="33">
        <f>IF(V325+Z325=0,0,Z325/(V325+Z325))</f>
        <v/>
      </c>
      <c r="AP325" s="14">
        <f>AL325/V325*100</f>
        <v/>
      </c>
      <c r="AQ325" s="8">
        <f>P325/AL325*1000</f>
        <v/>
      </c>
      <c r="AR325" s="77">
        <f>MAX(N325,M325-1)</f>
        <v/>
      </c>
      <c r="AS325" s="14">
        <f>SUMIFS(Donnees_regimes!$R$3:$R$1118,Donnees_regimes!$A$3:$A$1118,C325,Donnees_regimes!$B$3:$B$1118,"&gt;="&amp;G325,Donnees_regimes!$B$3:$B$1118,"&lt;="&amp;N325)*L325/ROUNDUP(L325,0)*SUMIFS(Donnees_annuelles!$AG$3:$AG$188,Donnees_annuelles!$A$3:$A$188,AR325)*SUMIFS(Donnees_annuelles!$AA$3:$AA$188,Donnees_annuelles!$A$3:$A$188,AR325)</f>
        <v/>
      </c>
      <c r="AT325" s="36">
        <f>AS325/V325</f>
        <v/>
      </c>
      <c r="AU325" s="14">
        <f>AL325</f>
        <v/>
      </c>
      <c r="AV325" s="39">
        <f>AS325-AL325</f>
        <v/>
      </c>
      <c r="AW325" s="9">
        <f>AS325/AL325-1</f>
        <v/>
      </c>
      <c r="AX325" s="14">
        <f>AS325/AJ325/12</f>
        <v/>
      </c>
      <c r="AY325" s="14">
        <f>AF325</f>
        <v/>
      </c>
      <c r="AZ325" s="39">
        <f>AX325-AF325</f>
        <v/>
      </c>
      <c r="BA325" s="14">
        <f>SUMIFS(Donnees_regimes!$S$3:$S$1118,Donnees_regimes!$A$3:$A$1118,C325,Donnees_regimes!$B$3:$B$1118,"&gt;="&amp;G325,Donnees_regimes!$B$3:$B$1118,"&lt;="&amp;N325)*L325/ROUNDUP(L325,0)*SUMIFS(Donnees_annuelles!$AH$3:$AH$188,Donnees_annuelles!$A$3:$A$188,AR325)*SUMIFS(Donnees_annuelles!$AA$3:$AA$188,Donnees_annuelles!$A$3:$A$188,AR325)</f>
        <v/>
      </c>
      <c r="BB325" s="39">
        <f>BA325-AL325</f>
        <v/>
      </c>
      <c r="BC325" s="7">
        <f>IF(M325+AJ325&gt;2026,IF(G325&gt;2026,"entièrement projeté","en partie projeté"),"observé")</f>
        <v/>
      </c>
    </row>
    <row r="326">
      <c r="A326" s="7" t="inlineStr">
        <is>
          <t>Baby-boomers</t>
        </is>
      </c>
      <c r="B326" s="84" t="inlineStr">
        <is>
          <t>SNCF</t>
        </is>
      </c>
      <c r="C326" s="7">
        <f>IF(G326&gt;=SUMIFS(Regimes!$C$5:$C$10,Regimes!$A$5:$A$10,B326),"Privé",B326)</f>
        <v/>
      </c>
      <c r="D326" s="7">
        <f>INDEX(Regimes!$D$5:$D$10,MATCH(C326,Regimes!$A$5:$A$10,0))</f>
        <v/>
      </c>
      <c r="E326" s="88" t="n">
        <v>1957</v>
      </c>
      <c r="F326" s="8">
        <f>Donnees_generations!C45</f>
        <v/>
      </c>
      <c r="G326" s="77">
        <f>Donnees_generations!D45</f>
        <v/>
      </c>
      <c r="H326" s="8">
        <f>SUMIFS(Donnees_generations!$S$3:$S$113,Donnees_generations!$A$3:$A$113,MAX(1915,MIN(2025,E326)))</f>
        <v/>
      </c>
      <c r="I326" s="8">
        <f>SUMIFS(Donnees_generations!$T$3:$T$113,Donnees_generations!$A$3:$A$113,MAX(1915,MIN(2025,E326)))</f>
        <v/>
      </c>
      <c r="J326" s="8">
        <f>IF(G326&gt;=2000,MAX(I326,Parametres!$B$3),I326)</f>
        <v/>
      </c>
      <c r="K326" s="8">
        <f>IF(C326="Privé",J326,SUMIFS(Regles_regimes!$J$3:$J$2000,Regles_regimes!$A$3:$A$2000,C326,Regles_regimes!$B$3:$B$2000,D326,Regles_regimes!$C$3:$C$2000,MAX(1915,MIN(2025,E326))))</f>
        <v/>
      </c>
      <c r="L326" s="8">
        <f>IF(C326="Privé",H326,(K326-F326)*H326/(J326-F326))</f>
        <v/>
      </c>
      <c r="M326" s="77">
        <f>INT(E326+K326)</f>
        <v/>
      </c>
      <c r="N326" s="77">
        <f>G326+ROUNDUP(L326,0)-1</f>
        <v/>
      </c>
      <c r="O326" s="89">
        <f>SUMIFS(Regles_regimes!$K$3:$K$2000,Regles_regimes!$A$3:$A$2000,C326,Regles_regimes!$B$3:$B$2000,D326,Regles_regimes!$C$3:$C$2000,MAX(1915,MIN(2025,E326)))</f>
        <v/>
      </c>
      <c r="P326" s="13">
        <f>SUMIFS(Donnees_annuelles!$W$3:$W$188,Donnees_annuelles!$A$3:$A$188,"&gt;="&amp;G326,Donnees_annuelles!$A$3:$A$188,"&lt;="&amp;N326)*L326/ROUNDUP(L326,0)*O326</f>
        <v/>
      </c>
      <c r="Q326" s="13">
        <f>SUMIFS(Donnees_annuelles!$V$3:$V$188,Donnees_annuelles!$A$3:$A$188,"&gt;="&amp;G326,Donnees_annuelles!$A$3:$A$188,"&lt;="&amp;N326)*L326/ROUNDUP(L326,0)</f>
        <v/>
      </c>
      <c r="R326" s="13">
        <f>P326/L326</f>
        <v/>
      </c>
      <c r="S326" s="14">
        <f>SUMIFS(Donnees_annuelles!$D$3:$D$188,Donnees_annuelles!$A$3:$A$188,"&gt;="&amp;G326,Donnees_annuelles!$A$3:$A$188,"&lt;="&amp;N326)*L326/ROUNDUP(L326,0)</f>
        <v/>
      </c>
      <c r="T326" s="14">
        <f>SUMIFS(Donnees_regimes!$N$3:$N$1118,Donnees_regimes!$A$3:$A$1118,C326,Donnees_regimes!$B$3:$B$1118,"&gt;="&amp;G326,Donnees_regimes!$B$3:$B$1118,"&lt;="&amp;N326)*L326/ROUNDUP(L326,0)</f>
        <v/>
      </c>
      <c r="U326" s="14">
        <f>SUMIFS(Donnees_regimes!$O$3:$O$1118,Donnees_regimes!$A$3:$A$1118,C326,Donnees_regimes!$B$3:$B$1118,"&gt;="&amp;G326,Donnees_regimes!$B$3:$B$1118,"&lt;="&amp;N326)*L326/ROUNDUP(L326,0)</f>
        <v/>
      </c>
      <c r="V326" s="14">
        <f>T326+U326</f>
        <v/>
      </c>
      <c r="W326" s="33">
        <f>V326/S326</f>
        <v/>
      </c>
      <c r="X326" s="14">
        <f>S326+U326</f>
        <v/>
      </c>
      <c r="Y326" s="17">
        <f>V326/P326</f>
        <v/>
      </c>
      <c r="Z326" s="14">
        <f>SUMIFS(Donnees_regimes!$Q$3:$Q$1118,Donnees_regimes!$A$3:$A$1118,C326,Donnees_regimes!$B$3:$B$1118,"&gt;="&amp;G326,Donnees_regimes!$B$3:$B$1118,"&lt;="&amp;N326)*L326/ROUNDUP(L326,0)</f>
        <v/>
      </c>
      <c r="AA326" s="77">
        <f>SUMIFS(Regles_regimes!$F$3:$F$2000,Regles_regimes!$A$3:$A$2000,C326,Regles_regimes!$B$3:$B$2000,D326,Regles_regimes!$C$3:$C$2000,MAX(1915,MIN(2025,E326)))</f>
        <v/>
      </c>
      <c r="AB326" s="77">
        <f>IF(AND(SUMIFS(Regles_regimes!$L$3:$L$2000,Regles_regimes!$A$3:$A$2000,C326,Regles_regimes!$B$3:$B$2000,D326,Regles_regimes!$C$3:$C$2000,MAX(1915,MIN(2025,E326)))=1,G326&lt;2009,C326&lt;&gt;"Privé"),MIN(20,L326*4/5),0)</f>
        <v/>
      </c>
      <c r="AC326" s="89">
        <f>SUMIFS(Donnees_regimes!$M$3:$M$1118,Donnees_regimes!$A$3:$A$1118,C326,Donnees_regimes!$B$3:$B$1118,M326)</f>
        <v/>
      </c>
      <c r="AD326" s="14">
        <f>SUMIFS(Donnees_annuelles!$Y$3:$Y$188,Donnees_annuelles!$A$3:$A$188,M326)*SUMIFS(Donnees_generations!$I$3:$I$113,Donnees_generations!$A$3:$A$113,MAX(1915,MIN(2025,E326)))/H326</f>
        <v/>
      </c>
      <c r="AE326" s="14">
        <f>IF(C326="Privé",SUMIFS(Donnees_annuelles!$Y$3:$Y$188,Donnees_annuelles!$A$3:$A$188,M326)*MIN(L326,SUMIFS(Donnees_generations!$I$3:$I$113,Donnees_generations!$A$3:$A$113,MAX(1915,MIN(2025,E326))))/L326,AD326*AC326*MIN(IF(AB326&gt;0,0.8/0.75,1),(L326*4+AB326)/AA326))</f>
        <v/>
      </c>
      <c r="AF326" s="14">
        <f>AE326/12</f>
        <v/>
      </c>
      <c r="AG326" s="77">
        <f>MIN(68,MAX(56,2*INT(K326/2)))</f>
        <v/>
      </c>
      <c r="AH326" s="75">
        <f>(CHOOSE((AG326-56)/2+1,SUMIFS(Donnees_generations!$U$3:$U$113,Donnees_generations!$A$3:$A$113,MAX(1915,MIN(2025,E326))),SUMIFS(Donnees_generations!$V$3:$V$113,Donnees_generations!$A$3:$A$113,MAX(1915,MIN(2025,E326))),SUMIFS(Donnees_generations!$W$3:$W$113,Donnees_generations!$A$3:$A$113,MAX(1915,MIN(2025,E326))),SUMIFS(Donnees_generations!$X$3:$X$113,Donnees_generations!$A$3:$A$113,MAX(1915,MIN(2025,E326))),SUMIFS(Donnees_generations!$Y$3:$Y$113,Donnees_generations!$A$3:$A$113,MAX(1915,MIN(2025,E326))),SUMIFS(Donnees_generations!$Z$3:$Z$113,Donnees_generations!$A$3:$A$113,MAX(1915,MIN(2025,E326))),SUMIFS(Donnees_generations!$AA$3:$AA$113,Donnees_generations!$A$3:$A$113,MAX(1915,MIN(2025,E326))),SUMIFS(Donnees_generations!$AB$3:$AB$113,Donnees_generations!$A$3:$A$113,MAX(1915,MIN(2025,E326))))+CHOOSE((AG326-56)/2+1,SUMIFS(Donnees_generations!$AC$3:$AC$113,Donnees_generations!$A$3:$A$113,MAX(1915,MIN(2025,E326))),SUMIFS(Donnees_generations!$AD$3:$AD$113,Donnees_generations!$A$3:$A$113,MAX(1915,MIN(2025,E326))),SUMIFS(Donnees_generations!$AE$3:$AE$113,Donnees_generations!$A$3:$A$113,MAX(1915,MIN(2025,E326))),SUMIFS(Donnees_generations!$AF$3:$AF$113,Donnees_generations!$A$3:$A$113,MAX(1915,MIN(2025,E326))),SUMIFS(Donnees_generations!$AG$3:$AG$113,Donnees_generations!$A$3:$A$113,MAX(1915,MIN(2025,E326))),SUMIFS(Donnees_generations!$AH$3:$AH$113,Donnees_generations!$A$3:$A$113,MAX(1915,MIN(2025,E326))),SUMIFS(Donnees_generations!$AI$3:$AI$113,Donnees_generations!$A$3:$A$113,MAX(1915,MIN(2025,E326))),SUMIFS(Donnees_generations!$AJ$3:$AJ$113,Donnees_generations!$A$3:$A$113,MAX(1915,MIN(2025,E326)))))/2</f>
        <v/>
      </c>
      <c r="AI326" s="75">
        <f>(CHOOSE(((AG326+2)-56)/2+1,SUMIFS(Donnees_generations!$U$3:$U$113,Donnees_generations!$A$3:$A$113,MAX(1915,MIN(2025,E326))),SUMIFS(Donnees_generations!$V$3:$V$113,Donnees_generations!$A$3:$A$113,MAX(1915,MIN(2025,E326))),SUMIFS(Donnees_generations!$W$3:$W$113,Donnees_generations!$A$3:$A$113,MAX(1915,MIN(2025,E326))),SUMIFS(Donnees_generations!$X$3:$X$113,Donnees_generations!$A$3:$A$113,MAX(1915,MIN(2025,E326))),SUMIFS(Donnees_generations!$Y$3:$Y$113,Donnees_generations!$A$3:$A$113,MAX(1915,MIN(2025,E326))),SUMIFS(Donnees_generations!$Z$3:$Z$113,Donnees_generations!$A$3:$A$113,MAX(1915,MIN(2025,E326))),SUMIFS(Donnees_generations!$AA$3:$AA$113,Donnees_generations!$A$3:$A$113,MAX(1915,MIN(2025,E326))),SUMIFS(Donnees_generations!$AB$3:$AB$113,Donnees_generations!$A$3:$A$113,MAX(1915,MIN(2025,E326))))+CHOOSE(((AG326+2)-56)/2+1,SUMIFS(Donnees_generations!$AC$3:$AC$113,Donnees_generations!$A$3:$A$113,MAX(1915,MIN(2025,E326))),SUMIFS(Donnees_generations!$AD$3:$AD$113,Donnees_generations!$A$3:$A$113,MAX(1915,MIN(2025,E326))),SUMIFS(Donnees_generations!$AE$3:$AE$113,Donnees_generations!$A$3:$A$113,MAX(1915,MIN(2025,E326))),SUMIFS(Donnees_generations!$AF$3:$AF$113,Donnees_generations!$A$3:$A$113,MAX(1915,MIN(2025,E326))),SUMIFS(Donnees_generations!$AG$3:$AG$113,Donnees_generations!$A$3:$A$113,MAX(1915,MIN(2025,E326))),SUMIFS(Donnees_generations!$AH$3:$AH$113,Donnees_generations!$A$3:$A$113,MAX(1915,MIN(2025,E326))),SUMIFS(Donnees_generations!$AI$3:$AI$113,Donnees_generations!$A$3:$A$113,MAX(1915,MIN(2025,E326))),SUMIFS(Donnees_generations!$AJ$3:$AJ$113,Donnees_generations!$A$3:$A$113,MAX(1915,MIN(2025,E326)))))/2</f>
        <v/>
      </c>
      <c r="AJ326" s="8">
        <f>MAX(0,AH326+(AI326-AH326)*(K326-AG326)/2)</f>
        <v/>
      </c>
      <c r="AK326" s="8">
        <f>K326+AJ326</f>
        <v/>
      </c>
      <c r="AL326" s="14">
        <f>AE326*AJ326</f>
        <v/>
      </c>
      <c r="AM326" s="17">
        <f>V326/AL326</f>
        <v/>
      </c>
      <c r="AN326" s="17">
        <f>Z326/AL326</f>
        <v/>
      </c>
      <c r="AO326" s="33">
        <f>IF(V326+Z326=0,0,Z326/(V326+Z326))</f>
        <v/>
      </c>
      <c r="AP326" s="14">
        <f>AL326/V326*100</f>
        <v/>
      </c>
      <c r="AQ326" s="8">
        <f>P326/AL326*1000</f>
        <v/>
      </c>
      <c r="AR326" s="77">
        <f>MAX(N326,M326-1)</f>
        <v/>
      </c>
      <c r="AS326" s="14">
        <f>SUMIFS(Donnees_regimes!$R$3:$R$1118,Donnees_regimes!$A$3:$A$1118,C326,Donnees_regimes!$B$3:$B$1118,"&gt;="&amp;G326,Donnees_regimes!$B$3:$B$1118,"&lt;="&amp;N326)*L326/ROUNDUP(L326,0)*SUMIFS(Donnees_annuelles!$AG$3:$AG$188,Donnees_annuelles!$A$3:$A$188,AR326)*SUMIFS(Donnees_annuelles!$AA$3:$AA$188,Donnees_annuelles!$A$3:$A$188,AR326)</f>
        <v/>
      </c>
      <c r="AT326" s="36">
        <f>AS326/V326</f>
        <v/>
      </c>
      <c r="AU326" s="14">
        <f>AL326</f>
        <v/>
      </c>
      <c r="AV326" s="39">
        <f>AS326-AL326</f>
        <v/>
      </c>
      <c r="AW326" s="9">
        <f>AS326/AL326-1</f>
        <v/>
      </c>
      <c r="AX326" s="14">
        <f>AS326/AJ326/12</f>
        <v/>
      </c>
      <c r="AY326" s="14">
        <f>AF326</f>
        <v/>
      </c>
      <c r="AZ326" s="39">
        <f>AX326-AF326</f>
        <v/>
      </c>
      <c r="BA326" s="14">
        <f>SUMIFS(Donnees_regimes!$S$3:$S$1118,Donnees_regimes!$A$3:$A$1118,C326,Donnees_regimes!$B$3:$B$1118,"&gt;="&amp;G326,Donnees_regimes!$B$3:$B$1118,"&lt;="&amp;N326)*L326/ROUNDUP(L326,0)*SUMIFS(Donnees_annuelles!$AH$3:$AH$188,Donnees_annuelles!$A$3:$A$188,AR326)*SUMIFS(Donnees_annuelles!$AA$3:$AA$188,Donnees_annuelles!$A$3:$A$188,AR326)</f>
        <v/>
      </c>
      <c r="BB326" s="39">
        <f>BA326-AL326</f>
        <v/>
      </c>
      <c r="BC326" s="7">
        <f>IF(M326+AJ326&gt;2026,IF(G326&gt;2026,"entièrement projeté","en partie projeté"),"observé")</f>
        <v/>
      </c>
    </row>
    <row r="327">
      <c r="A327" s="7" t="inlineStr">
        <is>
          <t>Baby-boomers</t>
        </is>
      </c>
      <c r="B327" s="84" t="inlineStr">
        <is>
          <t>SNCF</t>
        </is>
      </c>
      <c r="C327" s="7">
        <f>IF(G327&gt;=SUMIFS(Regimes!$C$5:$C$10,Regimes!$A$5:$A$10,B327),"Privé",B327)</f>
        <v/>
      </c>
      <c r="D327" s="7">
        <f>INDEX(Regimes!$D$5:$D$10,MATCH(C327,Regimes!$A$5:$A$10,0))</f>
        <v/>
      </c>
      <c r="E327" s="88" t="n">
        <v>1958</v>
      </c>
      <c r="F327" s="8">
        <f>Donnees_generations!C46</f>
        <v/>
      </c>
      <c r="G327" s="77">
        <f>Donnees_generations!D46</f>
        <v/>
      </c>
      <c r="H327" s="8">
        <f>SUMIFS(Donnees_generations!$S$3:$S$113,Donnees_generations!$A$3:$A$113,MAX(1915,MIN(2025,E327)))</f>
        <v/>
      </c>
      <c r="I327" s="8">
        <f>SUMIFS(Donnees_generations!$T$3:$T$113,Donnees_generations!$A$3:$A$113,MAX(1915,MIN(2025,E327)))</f>
        <v/>
      </c>
      <c r="J327" s="8">
        <f>IF(G327&gt;=2000,MAX(I327,Parametres!$B$3),I327)</f>
        <v/>
      </c>
      <c r="K327" s="8">
        <f>IF(C327="Privé",J327,SUMIFS(Regles_regimes!$J$3:$J$2000,Regles_regimes!$A$3:$A$2000,C327,Regles_regimes!$B$3:$B$2000,D327,Regles_regimes!$C$3:$C$2000,MAX(1915,MIN(2025,E327))))</f>
        <v/>
      </c>
      <c r="L327" s="8">
        <f>IF(C327="Privé",H327,(K327-F327)*H327/(J327-F327))</f>
        <v/>
      </c>
      <c r="M327" s="77">
        <f>INT(E327+K327)</f>
        <v/>
      </c>
      <c r="N327" s="77">
        <f>G327+ROUNDUP(L327,0)-1</f>
        <v/>
      </c>
      <c r="O327" s="89">
        <f>SUMIFS(Regles_regimes!$K$3:$K$2000,Regles_regimes!$A$3:$A$2000,C327,Regles_regimes!$B$3:$B$2000,D327,Regles_regimes!$C$3:$C$2000,MAX(1915,MIN(2025,E327)))</f>
        <v/>
      </c>
      <c r="P327" s="13">
        <f>SUMIFS(Donnees_annuelles!$W$3:$W$188,Donnees_annuelles!$A$3:$A$188,"&gt;="&amp;G327,Donnees_annuelles!$A$3:$A$188,"&lt;="&amp;N327)*L327/ROUNDUP(L327,0)*O327</f>
        <v/>
      </c>
      <c r="Q327" s="13">
        <f>SUMIFS(Donnees_annuelles!$V$3:$V$188,Donnees_annuelles!$A$3:$A$188,"&gt;="&amp;G327,Donnees_annuelles!$A$3:$A$188,"&lt;="&amp;N327)*L327/ROUNDUP(L327,0)</f>
        <v/>
      </c>
      <c r="R327" s="13">
        <f>P327/L327</f>
        <v/>
      </c>
      <c r="S327" s="14">
        <f>SUMIFS(Donnees_annuelles!$D$3:$D$188,Donnees_annuelles!$A$3:$A$188,"&gt;="&amp;G327,Donnees_annuelles!$A$3:$A$188,"&lt;="&amp;N327)*L327/ROUNDUP(L327,0)</f>
        <v/>
      </c>
      <c r="T327" s="14">
        <f>SUMIFS(Donnees_regimes!$N$3:$N$1118,Donnees_regimes!$A$3:$A$1118,C327,Donnees_regimes!$B$3:$B$1118,"&gt;="&amp;G327,Donnees_regimes!$B$3:$B$1118,"&lt;="&amp;N327)*L327/ROUNDUP(L327,0)</f>
        <v/>
      </c>
      <c r="U327" s="14">
        <f>SUMIFS(Donnees_regimes!$O$3:$O$1118,Donnees_regimes!$A$3:$A$1118,C327,Donnees_regimes!$B$3:$B$1118,"&gt;="&amp;G327,Donnees_regimes!$B$3:$B$1118,"&lt;="&amp;N327)*L327/ROUNDUP(L327,0)</f>
        <v/>
      </c>
      <c r="V327" s="14">
        <f>T327+U327</f>
        <v/>
      </c>
      <c r="W327" s="33">
        <f>V327/S327</f>
        <v/>
      </c>
      <c r="X327" s="14">
        <f>S327+U327</f>
        <v/>
      </c>
      <c r="Y327" s="17">
        <f>V327/P327</f>
        <v/>
      </c>
      <c r="Z327" s="14">
        <f>SUMIFS(Donnees_regimes!$Q$3:$Q$1118,Donnees_regimes!$A$3:$A$1118,C327,Donnees_regimes!$B$3:$B$1118,"&gt;="&amp;G327,Donnees_regimes!$B$3:$B$1118,"&lt;="&amp;N327)*L327/ROUNDUP(L327,0)</f>
        <v/>
      </c>
      <c r="AA327" s="77">
        <f>SUMIFS(Regles_regimes!$F$3:$F$2000,Regles_regimes!$A$3:$A$2000,C327,Regles_regimes!$B$3:$B$2000,D327,Regles_regimes!$C$3:$C$2000,MAX(1915,MIN(2025,E327)))</f>
        <v/>
      </c>
      <c r="AB327" s="77">
        <f>IF(AND(SUMIFS(Regles_regimes!$L$3:$L$2000,Regles_regimes!$A$3:$A$2000,C327,Regles_regimes!$B$3:$B$2000,D327,Regles_regimes!$C$3:$C$2000,MAX(1915,MIN(2025,E327)))=1,G327&lt;2009,C327&lt;&gt;"Privé"),MIN(20,L327*4/5),0)</f>
        <v/>
      </c>
      <c r="AC327" s="89">
        <f>SUMIFS(Donnees_regimes!$M$3:$M$1118,Donnees_regimes!$A$3:$A$1118,C327,Donnees_regimes!$B$3:$B$1118,M327)</f>
        <v/>
      </c>
      <c r="AD327" s="14">
        <f>SUMIFS(Donnees_annuelles!$Y$3:$Y$188,Donnees_annuelles!$A$3:$A$188,M327)*SUMIFS(Donnees_generations!$I$3:$I$113,Donnees_generations!$A$3:$A$113,MAX(1915,MIN(2025,E327)))/H327</f>
        <v/>
      </c>
      <c r="AE327" s="14">
        <f>IF(C327="Privé",SUMIFS(Donnees_annuelles!$Y$3:$Y$188,Donnees_annuelles!$A$3:$A$188,M327)*MIN(L327,SUMIFS(Donnees_generations!$I$3:$I$113,Donnees_generations!$A$3:$A$113,MAX(1915,MIN(2025,E327))))/L327,AD327*AC327*MIN(IF(AB327&gt;0,0.8/0.75,1),(L327*4+AB327)/AA327))</f>
        <v/>
      </c>
      <c r="AF327" s="14">
        <f>AE327/12</f>
        <v/>
      </c>
      <c r="AG327" s="77">
        <f>MIN(68,MAX(56,2*INT(K327/2)))</f>
        <v/>
      </c>
      <c r="AH327" s="75">
        <f>(CHOOSE((AG327-56)/2+1,SUMIFS(Donnees_generations!$U$3:$U$113,Donnees_generations!$A$3:$A$113,MAX(1915,MIN(2025,E327))),SUMIFS(Donnees_generations!$V$3:$V$113,Donnees_generations!$A$3:$A$113,MAX(1915,MIN(2025,E327))),SUMIFS(Donnees_generations!$W$3:$W$113,Donnees_generations!$A$3:$A$113,MAX(1915,MIN(2025,E327))),SUMIFS(Donnees_generations!$X$3:$X$113,Donnees_generations!$A$3:$A$113,MAX(1915,MIN(2025,E327))),SUMIFS(Donnees_generations!$Y$3:$Y$113,Donnees_generations!$A$3:$A$113,MAX(1915,MIN(2025,E327))),SUMIFS(Donnees_generations!$Z$3:$Z$113,Donnees_generations!$A$3:$A$113,MAX(1915,MIN(2025,E327))),SUMIFS(Donnees_generations!$AA$3:$AA$113,Donnees_generations!$A$3:$A$113,MAX(1915,MIN(2025,E327))),SUMIFS(Donnees_generations!$AB$3:$AB$113,Donnees_generations!$A$3:$A$113,MAX(1915,MIN(2025,E327))))+CHOOSE((AG327-56)/2+1,SUMIFS(Donnees_generations!$AC$3:$AC$113,Donnees_generations!$A$3:$A$113,MAX(1915,MIN(2025,E327))),SUMIFS(Donnees_generations!$AD$3:$AD$113,Donnees_generations!$A$3:$A$113,MAX(1915,MIN(2025,E327))),SUMIFS(Donnees_generations!$AE$3:$AE$113,Donnees_generations!$A$3:$A$113,MAX(1915,MIN(2025,E327))),SUMIFS(Donnees_generations!$AF$3:$AF$113,Donnees_generations!$A$3:$A$113,MAX(1915,MIN(2025,E327))),SUMIFS(Donnees_generations!$AG$3:$AG$113,Donnees_generations!$A$3:$A$113,MAX(1915,MIN(2025,E327))),SUMIFS(Donnees_generations!$AH$3:$AH$113,Donnees_generations!$A$3:$A$113,MAX(1915,MIN(2025,E327))),SUMIFS(Donnees_generations!$AI$3:$AI$113,Donnees_generations!$A$3:$A$113,MAX(1915,MIN(2025,E327))),SUMIFS(Donnees_generations!$AJ$3:$AJ$113,Donnees_generations!$A$3:$A$113,MAX(1915,MIN(2025,E327)))))/2</f>
        <v/>
      </c>
      <c r="AI327" s="75">
        <f>(CHOOSE(((AG327+2)-56)/2+1,SUMIFS(Donnees_generations!$U$3:$U$113,Donnees_generations!$A$3:$A$113,MAX(1915,MIN(2025,E327))),SUMIFS(Donnees_generations!$V$3:$V$113,Donnees_generations!$A$3:$A$113,MAX(1915,MIN(2025,E327))),SUMIFS(Donnees_generations!$W$3:$W$113,Donnees_generations!$A$3:$A$113,MAX(1915,MIN(2025,E327))),SUMIFS(Donnees_generations!$X$3:$X$113,Donnees_generations!$A$3:$A$113,MAX(1915,MIN(2025,E327))),SUMIFS(Donnees_generations!$Y$3:$Y$113,Donnees_generations!$A$3:$A$113,MAX(1915,MIN(2025,E327))),SUMIFS(Donnees_generations!$Z$3:$Z$113,Donnees_generations!$A$3:$A$113,MAX(1915,MIN(2025,E327))),SUMIFS(Donnees_generations!$AA$3:$AA$113,Donnees_generations!$A$3:$A$113,MAX(1915,MIN(2025,E327))),SUMIFS(Donnees_generations!$AB$3:$AB$113,Donnees_generations!$A$3:$A$113,MAX(1915,MIN(2025,E327))))+CHOOSE(((AG327+2)-56)/2+1,SUMIFS(Donnees_generations!$AC$3:$AC$113,Donnees_generations!$A$3:$A$113,MAX(1915,MIN(2025,E327))),SUMIFS(Donnees_generations!$AD$3:$AD$113,Donnees_generations!$A$3:$A$113,MAX(1915,MIN(2025,E327))),SUMIFS(Donnees_generations!$AE$3:$AE$113,Donnees_generations!$A$3:$A$113,MAX(1915,MIN(2025,E327))),SUMIFS(Donnees_generations!$AF$3:$AF$113,Donnees_generations!$A$3:$A$113,MAX(1915,MIN(2025,E327))),SUMIFS(Donnees_generations!$AG$3:$AG$113,Donnees_generations!$A$3:$A$113,MAX(1915,MIN(2025,E327))),SUMIFS(Donnees_generations!$AH$3:$AH$113,Donnees_generations!$A$3:$A$113,MAX(1915,MIN(2025,E327))),SUMIFS(Donnees_generations!$AI$3:$AI$113,Donnees_generations!$A$3:$A$113,MAX(1915,MIN(2025,E327))),SUMIFS(Donnees_generations!$AJ$3:$AJ$113,Donnees_generations!$A$3:$A$113,MAX(1915,MIN(2025,E327)))))/2</f>
        <v/>
      </c>
      <c r="AJ327" s="8">
        <f>MAX(0,AH327+(AI327-AH327)*(K327-AG327)/2)</f>
        <v/>
      </c>
      <c r="AK327" s="8">
        <f>K327+AJ327</f>
        <v/>
      </c>
      <c r="AL327" s="14">
        <f>AE327*AJ327</f>
        <v/>
      </c>
      <c r="AM327" s="17">
        <f>V327/AL327</f>
        <v/>
      </c>
      <c r="AN327" s="17">
        <f>Z327/AL327</f>
        <v/>
      </c>
      <c r="AO327" s="33">
        <f>IF(V327+Z327=0,0,Z327/(V327+Z327))</f>
        <v/>
      </c>
      <c r="AP327" s="14">
        <f>AL327/V327*100</f>
        <v/>
      </c>
      <c r="AQ327" s="8">
        <f>P327/AL327*1000</f>
        <v/>
      </c>
      <c r="AR327" s="77">
        <f>MAX(N327,M327-1)</f>
        <v/>
      </c>
      <c r="AS327" s="14">
        <f>SUMIFS(Donnees_regimes!$R$3:$R$1118,Donnees_regimes!$A$3:$A$1118,C327,Donnees_regimes!$B$3:$B$1118,"&gt;="&amp;G327,Donnees_regimes!$B$3:$B$1118,"&lt;="&amp;N327)*L327/ROUNDUP(L327,0)*SUMIFS(Donnees_annuelles!$AG$3:$AG$188,Donnees_annuelles!$A$3:$A$188,AR327)*SUMIFS(Donnees_annuelles!$AA$3:$AA$188,Donnees_annuelles!$A$3:$A$188,AR327)</f>
        <v/>
      </c>
      <c r="AT327" s="36">
        <f>AS327/V327</f>
        <v/>
      </c>
      <c r="AU327" s="14">
        <f>AL327</f>
        <v/>
      </c>
      <c r="AV327" s="39">
        <f>AS327-AL327</f>
        <v/>
      </c>
      <c r="AW327" s="9">
        <f>AS327/AL327-1</f>
        <v/>
      </c>
      <c r="AX327" s="14">
        <f>AS327/AJ327/12</f>
        <v/>
      </c>
      <c r="AY327" s="14">
        <f>AF327</f>
        <v/>
      </c>
      <c r="AZ327" s="39">
        <f>AX327-AF327</f>
        <v/>
      </c>
      <c r="BA327" s="14">
        <f>SUMIFS(Donnees_regimes!$S$3:$S$1118,Donnees_regimes!$A$3:$A$1118,C327,Donnees_regimes!$B$3:$B$1118,"&gt;="&amp;G327,Donnees_regimes!$B$3:$B$1118,"&lt;="&amp;N327)*L327/ROUNDUP(L327,0)*SUMIFS(Donnees_annuelles!$AH$3:$AH$188,Donnees_annuelles!$A$3:$A$188,AR327)*SUMIFS(Donnees_annuelles!$AA$3:$AA$188,Donnees_annuelles!$A$3:$A$188,AR327)</f>
        <v/>
      </c>
      <c r="BB327" s="39">
        <f>BA327-AL327</f>
        <v/>
      </c>
      <c r="BC327" s="7">
        <f>IF(M327+AJ327&gt;2026,IF(G327&gt;2026,"entièrement projeté","en partie projeté"),"observé")</f>
        <v/>
      </c>
    </row>
    <row r="328">
      <c r="A328" s="7" t="inlineStr">
        <is>
          <t>Baby-boomers</t>
        </is>
      </c>
      <c r="B328" s="84" t="inlineStr">
        <is>
          <t>SNCF</t>
        </is>
      </c>
      <c r="C328" s="7">
        <f>IF(G328&gt;=SUMIFS(Regimes!$C$5:$C$10,Regimes!$A$5:$A$10,B328),"Privé",B328)</f>
        <v/>
      </c>
      <c r="D328" s="7">
        <f>INDEX(Regimes!$D$5:$D$10,MATCH(C328,Regimes!$A$5:$A$10,0))</f>
        <v/>
      </c>
      <c r="E328" s="88" t="n">
        <v>1959</v>
      </c>
      <c r="F328" s="8">
        <f>Donnees_generations!C47</f>
        <v/>
      </c>
      <c r="G328" s="77">
        <f>Donnees_generations!D47</f>
        <v/>
      </c>
      <c r="H328" s="8">
        <f>SUMIFS(Donnees_generations!$S$3:$S$113,Donnees_generations!$A$3:$A$113,MAX(1915,MIN(2025,E328)))</f>
        <v/>
      </c>
      <c r="I328" s="8">
        <f>SUMIFS(Donnees_generations!$T$3:$T$113,Donnees_generations!$A$3:$A$113,MAX(1915,MIN(2025,E328)))</f>
        <v/>
      </c>
      <c r="J328" s="8">
        <f>IF(G328&gt;=2000,MAX(I328,Parametres!$B$3),I328)</f>
        <v/>
      </c>
      <c r="K328" s="8">
        <f>IF(C328="Privé",J328,SUMIFS(Regles_regimes!$J$3:$J$2000,Regles_regimes!$A$3:$A$2000,C328,Regles_regimes!$B$3:$B$2000,D328,Regles_regimes!$C$3:$C$2000,MAX(1915,MIN(2025,E328))))</f>
        <v/>
      </c>
      <c r="L328" s="8">
        <f>IF(C328="Privé",H328,(K328-F328)*H328/(J328-F328))</f>
        <v/>
      </c>
      <c r="M328" s="77">
        <f>INT(E328+K328)</f>
        <v/>
      </c>
      <c r="N328" s="77">
        <f>G328+ROUNDUP(L328,0)-1</f>
        <v/>
      </c>
      <c r="O328" s="89">
        <f>SUMIFS(Regles_regimes!$K$3:$K$2000,Regles_regimes!$A$3:$A$2000,C328,Regles_regimes!$B$3:$B$2000,D328,Regles_regimes!$C$3:$C$2000,MAX(1915,MIN(2025,E328)))</f>
        <v/>
      </c>
      <c r="P328" s="13">
        <f>SUMIFS(Donnees_annuelles!$W$3:$W$188,Donnees_annuelles!$A$3:$A$188,"&gt;="&amp;G328,Donnees_annuelles!$A$3:$A$188,"&lt;="&amp;N328)*L328/ROUNDUP(L328,0)*O328</f>
        <v/>
      </c>
      <c r="Q328" s="13">
        <f>SUMIFS(Donnees_annuelles!$V$3:$V$188,Donnees_annuelles!$A$3:$A$188,"&gt;="&amp;G328,Donnees_annuelles!$A$3:$A$188,"&lt;="&amp;N328)*L328/ROUNDUP(L328,0)</f>
        <v/>
      </c>
      <c r="R328" s="13">
        <f>P328/L328</f>
        <v/>
      </c>
      <c r="S328" s="14">
        <f>SUMIFS(Donnees_annuelles!$D$3:$D$188,Donnees_annuelles!$A$3:$A$188,"&gt;="&amp;G328,Donnees_annuelles!$A$3:$A$188,"&lt;="&amp;N328)*L328/ROUNDUP(L328,0)</f>
        <v/>
      </c>
      <c r="T328" s="14">
        <f>SUMIFS(Donnees_regimes!$N$3:$N$1118,Donnees_regimes!$A$3:$A$1118,C328,Donnees_regimes!$B$3:$B$1118,"&gt;="&amp;G328,Donnees_regimes!$B$3:$B$1118,"&lt;="&amp;N328)*L328/ROUNDUP(L328,0)</f>
        <v/>
      </c>
      <c r="U328" s="14">
        <f>SUMIFS(Donnees_regimes!$O$3:$O$1118,Donnees_regimes!$A$3:$A$1118,C328,Donnees_regimes!$B$3:$B$1118,"&gt;="&amp;G328,Donnees_regimes!$B$3:$B$1118,"&lt;="&amp;N328)*L328/ROUNDUP(L328,0)</f>
        <v/>
      </c>
      <c r="V328" s="14">
        <f>T328+U328</f>
        <v/>
      </c>
      <c r="W328" s="33">
        <f>V328/S328</f>
        <v/>
      </c>
      <c r="X328" s="14">
        <f>S328+U328</f>
        <v/>
      </c>
      <c r="Y328" s="17">
        <f>V328/P328</f>
        <v/>
      </c>
      <c r="Z328" s="14">
        <f>SUMIFS(Donnees_regimes!$Q$3:$Q$1118,Donnees_regimes!$A$3:$A$1118,C328,Donnees_regimes!$B$3:$B$1118,"&gt;="&amp;G328,Donnees_regimes!$B$3:$B$1118,"&lt;="&amp;N328)*L328/ROUNDUP(L328,0)</f>
        <v/>
      </c>
      <c r="AA328" s="77">
        <f>SUMIFS(Regles_regimes!$F$3:$F$2000,Regles_regimes!$A$3:$A$2000,C328,Regles_regimes!$B$3:$B$2000,D328,Regles_regimes!$C$3:$C$2000,MAX(1915,MIN(2025,E328)))</f>
        <v/>
      </c>
      <c r="AB328" s="77">
        <f>IF(AND(SUMIFS(Regles_regimes!$L$3:$L$2000,Regles_regimes!$A$3:$A$2000,C328,Regles_regimes!$B$3:$B$2000,D328,Regles_regimes!$C$3:$C$2000,MAX(1915,MIN(2025,E328)))=1,G328&lt;2009,C328&lt;&gt;"Privé"),MIN(20,L328*4/5),0)</f>
        <v/>
      </c>
      <c r="AC328" s="89">
        <f>SUMIFS(Donnees_regimes!$M$3:$M$1118,Donnees_regimes!$A$3:$A$1118,C328,Donnees_regimes!$B$3:$B$1118,M328)</f>
        <v/>
      </c>
      <c r="AD328" s="14">
        <f>SUMIFS(Donnees_annuelles!$Y$3:$Y$188,Donnees_annuelles!$A$3:$A$188,M328)*SUMIFS(Donnees_generations!$I$3:$I$113,Donnees_generations!$A$3:$A$113,MAX(1915,MIN(2025,E328)))/H328</f>
        <v/>
      </c>
      <c r="AE328" s="14">
        <f>IF(C328="Privé",SUMIFS(Donnees_annuelles!$Y$3:$Y$188,Donnees_annuelles!$A$3:$A$188,M328)*MIN(L328,SUMIFS(Donnees_generations!$I$3:$I$113,Donnees_generations!$A$3:$A$113,MAX(1915,MIN(2025,E328))))/L328,AD328*AC328*MIN(IF(AB328&gt;0,0.8/0.75,1),(L328*4+AB328)/AA328))</f>
        <v/>
      </c>
      <c r="AF328" s="14">
        <f>AE328/12</f>
        <v/>
      </c>
      <c r="AG328" s="77">
        <f>MIN(68,MAX(56,2*INT(K328/2)))</f>
        <v/>
      </c>
      <c r="AH328" s="75">
        <f>(CHOOSE((AG328-56)/2+1,SUMIFS(Donnees_generations!$U$3:$U$113,Donnees_generations!$A$3:$A$113,MAX(1915,MIN(2025,E328))),SUMIFS(Donnees_generations!$V$3:$V$113,Donnees_generations!$A$3:$A$113,MAX(1915,MIN(2025,E328))),SUMIFS(Donnees_generations!$W$3:$W$113,Donnees_generations!$A$3:$A$113,MAX(1915,MIN(2025,E328))),SUMIFS(Donnees_generations!$X$3:$X$113,Donnees_generations!$A$3:$A$113,MAX(1915,MIN(2025,E328))),SUMIFS(Donnees_generations!$Y$3:$Y$113,Donnees_generations!$A$3:$A$113,MAX(1915,MIN(2025,E328))),SUMIFS(Donnees_generations!$Z$3:$Z$113,Donnees_generations!$A$3:$A$113,MAX(1915,MIN(2025,E328))),SUMIFS(Donnees_generations!$AA$3:$AA$113,Donnees_generations!$A$3:$A$113,MAX(1915,MIN(2025,E328))),SUMIFS(Donnees_generations!$AB$3:$AB$113,Donnees_generations!$A$3:$A$113,MAX(1915,MIN(2025,E328))))+CHOOSE((AG328-56)/2+1,SUMIFS(Donnees_generations!$AC$3:$AC$113,Donnees_generations!$A$3:$A$113,MAX(1915,MIN(2025,E328))),SUMIFS(Donnees_generations!$AD$3:$AD$113,Donnees_generations!$A$3:$A$113,MAX(1915,MIN(2025,E328))),SUMIFS(Donnees_generations!$AE$3:$AE$113,Donnees_generations!$A$3:$A$113,MAX(1915,MIN(2025,E328))),SUMIFS(Donnees_generations!$AF$3:$AF$113,Donnees_generations!$A$3:$A$113,MAX(1915,MIN(2025,E328))),SUMIFS(Donnees_generations!$AG$3:$AG$113,Donnees_generations!$A$3:$A$113,MAX(1915,MIN(2025,E328))),SUMIFS(Donnees_generations!$AH$3:$AH$113,Donnees_generations!$A$3:$A$113,MAX(1915,MIN(2025,E328))),SUMIFS(Donnees_generations!$AI$3:$AI$113,Donnees_generations!$A$3:$A$113,MAX(1915,MIN(2025,E328))),SUMIFS(Donnees_generations!$AJ$3:$AJ$113,Donnees_generations!$A$3:$A$113,MAX(1915,MIN(2025,E328)))))/2</f>
        <v/>
      </c>
      <c r="AI328" s="75">
        <f>(CHOOSE(((AG328+2)-56)/2+1,SUMIFS(Donnees_generations!$U$3:$U$113,Donnees_generations!$A$3:$A$113,MAX(1915,MIN(2025,E328))),SUMIFS(Donnees_generations!$V$3:$V$113,Donnees_generations!$A$3:$A$113,MAX(1915,MIN(2025,E328))),SUMIFS(Donnees_generations!$W$3:$W$113,Donnees_generations!$A$3:$A$113,MAX(1915,MIN(2025,E328))),SUMIFS(Donnees_generations!$X$3:$X$113,Donnees_generations!$A$3:$A$113,MAX(1915,MIN(2025,E328))),SUMIFS(Donnees_generations!$Y$3:$Y$113,Donnees_generations!$A$3:$A$113,MAX(1915,MIN(2025,E328))),SUMIFS(Donnees_generations!$Z$3:$Z$113,Donnees_generations!$A$3:$A$113,MAX(1915,MIN(2025,E328))),SUMIFS(Donnees_generations!$AA$3:$AA$113,Donnees_generations!$A$3:$A$113,MAX(1915,MIN(2025,E328))),SUMIFS(Donnees_generations!$AB$3:$AB$113,Donnees_generations!$A$3:$A$113,MAX(1915,MIN(2025,E328))))+CHOOSE(((AG328+2)-56)/2+1,SUMIFS(Donnees_generations!$AC$3:$AC$113,Donnees_generations!$A$3:$A$113,MAX(1915,MIN(2025,E328))),SUMIFS(Donnees_generations!$AD$3:$AD$113,Donnees_generations!$A$3:$A$113,MAX(1915,MIN(2025,E328))),SUMIFS(Donnees_generations!$AE$3:$AE$113,Donnees_generations!$A$3:$A$113,MAX(1915,MIN(2025,E328))),SUMIFS(Donnees_generations!$AF$3:$AF$113,Donnees_generations!$A$3:$A$113,MAX(1915,MIN(2025,E328))),SUMIFS(Donnees_generations!$AG$3:$AG$113,Donnees_generations!$A$3:$A$113,MAX(1915,MIN(2025,E328))),SUMIFS(Donnees_generations!$AH$3:$AH$113,Donnees_generations!$A$3:$A$113,MAX(1915,MIN(2025,E328))),SUMIFS(Donnees_generations!$AI$3:$AI$113,Donnees_generations!$A$3:$A$113,MAX(1915,MIN(2025,E328))),SUMIFS(Donnees_generations!$AJ$3:$AJ$113,Donnees_generations!$A$3:$A$113,MAX(1915,MIN(2025,E328)))))/2</f>
        <v/>
      </c>
      <c r="AJ328" s="8">
        <f>MAX(0,AH328+(AI328-AH328)*(K328-AG328)/2)</f>
        <v/>
      </c>
      <c r="AK328" s="8">
        <f>K328+AJ328</f>
        <v/>
      </c>
      <c r="AL328" s="14">
        <f>AE328*AJ328</f>
        <v/>
      </c>
      <c r="AM328" s="17">
        <f>V328/AL328</f>
        <v/>
      </c>
      <c r="AN328" s="17">
        <f>Z328/AL328</f>
        <v/>
      </c>
      <c r="AO328" s="33">
        <f>IF(V328+Z328=0,0,Z328/(V328+Z328))</f>
        <v/>
      </c>
      <c r="AP328" s="14">
        <f>AL328/V328*100</f>
        <v/>
      </c>
      <c r="AQ328" s="8">
        <f>P328/AL328*1000</f>
        <v/>
      </c>
      <c r="AR328" s="77">
        <f>MAX(N328,M328-1)</f>
        <v/>
      </c>
      <c r="AS328" s="14">
        <f>SUMIFS(Donnees_regimes!$R$3:$R$1118,Donnees_regimes!$A$3:$A$1118,C328,Donnees_regimes!$B$3:$B$1118,"&gt;="&amp;G328,Donnees_regimes!$B$3:$B$1118,"&lt;="&amp;N328)*L328/ROUNDUP(L328,0)*SUMIFS(Donnees_annuelles!$AG$3:$AG$188,Donnees_annuelles!$A$3:$A$188,AR328)*SUMIFS(Donnees_annuelles!$AA$3:$AA$188,Donnees_annuelles!$A$3:$A$188,AR328)</f>
        <v/>
      </c>
      <c r="AT328" s="36">
        <f>AS328/V328</f>
        <v/>
      </c>
      <c r="AU328" s="14">
        <f>AL328</f>
        <v/>
      </c>
      <c r="AV328" s="39">
        <f>AS328-AL328</f>
        <v/>
      </c>
      <c r="AW328" s="9">
        <f>AS328/AL328-1</f>
        <v/>
      </c>
      <c r="AX328" s="14">
        <f>AS328/AJ328/12</f>
        <v/>
      </c>
      <c r="AY328" s="14">
        <f>AF328</f>
        <v/>
      </c>
      <c r="AZ328" s="39">
        <f>AX328-AF328</f>
        <v/>
      </c>
      <c r="BA328" s="14">
        <f>SUMIFS(Donnees_regimes!$S$3:$S$1118,Donnees_regimes!$A$3:$A$1118,C328,Donnees_regimes!$B$3:$B$1118,"&gt;="&amp;G328,Donnees_regimes!$B$3:$B$1118,"&lt;="&amp;N328)*L328/ROUNDUP(L328,0)*SUMIFS(Donnees_annuelles!$AH$3:$AH$188,Donnees_annuelles!$A$3:$A$188,AR328)*SUMIFS(Donnees_annuelles!$AA$3:$AA$188,Donnees_annuelles!$A$3:$A$188,AR328)</f>
        <v/>
      </c>
      <c r="BB328" s="39">
        <f>BA328-AL328</f>
        <v/>
      </c>
      <c r="BC328" s="7">
        <f>IF(M328+AJ328&gt;2026,IF(G328&gt;2026,"entièrement projeté","en partie projeté"),"observé")</f>
        <v/>
      </c>
    </row>
    <row r="329">
      <c r="A329" s="7" t="inlineStr">
        <is>
          <t>Baby-boomers</t>
        </is>
      </c>
      <c r="B329" s="84" t="inlineStr">
        <is>
          <t>SNCF</t>
        </is>
      </c>
      <c r="C329" s="7">
        <f>IF(G329&gt;=SUMIFS(Regimes!$C$5:$C$10,Regimes!$A$5:$A$10,B329),"Privé",B329)</f>
        <v/>
      </c>
      <c r="D329" s="7">
        <f>INDEX(Regimes!$D$5:$D$10,MATCH(C329,Regimes!$A$5:$A$10,0))</f>
        <v/>
      </c>
      <c r="E329" s="88" t="n">
        <v>1960</v>
      </c>
      <c r="F329" s="8">
        <f>Donnees_generations!C48</f>
        <v/>
      </c>
      <c r="G329" s="77">
        <f>Donnees_generations!D48</f>
        <v/>
      </c>
      <c r="H329" s="8">
        <f>SUMIFS(Donnees_generations!$S$3:$S$113,Donnees_generations!$A$3:$A$113,MAX(1915,MIN(2025,E329)))</f>
        <v/>
      </c>
      <c r="I329" s="8">
        <f>SUMIFS(Donnees_generations!$T$3:$T$113,Donnees_generations!$A$3:$A$113,MAX(1915,MIN(2025,E329)))</f>
        <v/>
      </c>
      <c r="J329" s="8">
        <f>IF(G329&gt;=2000,MAX(I329,Parametres!$B$3),I329)</f>
        <v/>
      </c>
      <c r="K329" s="8">
        <f>IF(C329="Privé",J329,SUMIFS(Regles_regimes!$J$3:$J$2000,Regles_regimes!$A$3:$A$2000,C329,Regles_regimes!$B$3:$B$2000,D329,Regles_regimes!$C$3:$C$2000,MAX(1915,MIN(2025,E329))))</f>
        <v/>
      </c>
      <c r="L329" s="8">
        <f>IF(C329="Privé",H329,(K329-F329)*H329/(J329-F329))</f>
        <v/>
      </c>
      <c r="M329" s="77">
        <f>INT(E329+K329)</f>
        <v/>
      </c>
      <c r="N329" s="77">
        <f>G329+ROUNDUP(L329,0)-1</f>
        <v/>
      </c>
      <c r="O329" s="89">
        <f>SUMIFS(Regles_regimes!$K$3:$K$2000,Regles_regimes!$A$3:$A$2000,C329,Regles_regimes!$B$3:$B$2000,D329,Regles_regimes!$C$3:$C$2000,MAX(1915,MIN(2025,E329)))</f>
        <v/>
      </c>
      <c r="P329" s="13">
        <f>SUMIFS(Donnees_annuelles!$W$3:$W$188,Donnees_annuelles!$A$3:$A$188,"&gt;="&amp;G329,Donnees_annuelles!$A$3:$A$188,"&lt;="&amp;N329)*L329/ROUNDUP(L329,0)*O329</f>
        <v/>
      </c>
      <c r="Q329" s="13">
        <f>SUMIFS(Donnees_annuelles!$V$3:$V$188,Donnees_annuelles!$A$3:$A$188,"&gt;="&amp;G329,Donnees_annuelles!$A$3:$A$188,"&lt;="&amp;N329)*L329/ROUNDUP(L329,0)</f>
        <v/>
      </c>
      <c r="R329" s="13">
        <f>P329/L329</f>
        <v/>
      </c>
      <c r="S329" s="14">
        <f>SUMIFS(Donnees_annuelles!$D$3:$D$188,Donnees_annuelles!$A$3:$A$188,"&gt;="&amp;G329,Donnees_annuelles!$A$3:$A$188,"&lt;="&amp;N329)*L329/ROUNDUP(L329,0)</f>
        <v/>
      </c>
      <c r="T329" s="14">
        <f>SUMIFS(Donnees_regimes!$N$3:$N$1118,Donnees_regimes!$A$3:$A$1118,C329,Donnees_regimes!$B$3:$B$1118,"&gt;="&amp;G329,Donnees_regimes!$B$3:$B$1118,"&lt;="&amp;N329)*L329/ROUNDUP(L329,0)</f>
        <v/>
      </c>
      <c r="U329" s="14">
        <f>SUMIFS(Donnees_regimes!$O$3:$O$1118,Donnees_regimes!$A$3:$A$1118,C329,Donnees_regimes!$B$3:$B$1118,"&gt;="&amp;G329,Donnees_regimes!$B$3:$B$1118,"&lt;="&amp;N329)*L329/ROUNDUP(L329,0)</f>
        <v/>
      </c>
      <c r="V329" s="14">
        <f>T329+U329</f>
        <v/>
      </c>
      <c r="W329" s="33">
        <f>V329/S329</f>
        <v/>
      </c>
      <c r="X329" s="14">
        <f>S329+U329</f>
        <v/>
      </c>
      <c r="Y329" s="17">
        <f>V329/P329</f>
        <v/>
      </c>
      <c r="Z329" s="14">
        <f>SUMIFS(Donnees_regimes!$Q$3:$Q$1118,Donnees_regimes!$A$3:$A$1118,C329,Donnees_regimes!$B$3:$B$1118,"&gt;="&amp;G329,Donnees_regimes!$B$3:$B$1118,"&lt;="&amp;N329)*L329/ROUNDUP(L329,0)</f>
        <v/>
      </c>
      <c r="AA329" s="77">
        <f>SUMIFS(Regles_regimes!$F$3:$F$2000,Regles_regimes!$A$3:$A$2000,C329,Regles_regimes!$B$3:$B$2000,D329,Regles_regimes!$C$3:$C$2000,MAX(1915,MIN(2025,E329)))</f>
        <v/>
      </c>
      <c r="AB329" s="77">
        <f>IF(AND(SUMIFS(Regles_regimes!$L$3:$L$2000,Regles_regimes!$A$3:$A$2000,C329,Regles_regimes!$B$3:$B$2000,D329,Regles_regimes!$C$3:$C$2000,MAX(1915,MIN(2025,E329)))=1,G329&lt;2009,C329&lt;&gt;"Privé"),MIN(20,L329*4/5),0)</f>
        <v/>
      </c>
      <c r="AC329" s="89">
        <f>SUMIFS(Donnees_regimes!$M$3:$M$1118,Donnees_regimes!$A$3:$A$1118,C329,Donnees_regimes!$B$3:$B$1118,M329)</f>
        <v/>
      </c>
      <c r="AD329" s="14">
        <f>SUMIFS(Donnees_annuelles!$Y$3:$Y$188,Donnees_annuelles!$A$3:$A$188,M329)*SUMIFS(Donnees_generations!$I$3:$I$113,Donnees_generations!$A$3:$A$113,MAX(1915,MIN(2025,E329)))/H329</f>
        <v/>
      </c>
      <c r="AE329" s="14">
        <f>IF(C329="Privé",SUMIFS(Donnees_annuelles!$Y$3:$Y$188,Donnees_annuelles!$A$3:$A$188,M329)*MIN(L329,SUMIFS(Donnees_generations!$I$3:$I$113,Donnees_generations!$A$3:$A$113,MAX(1915,MIN(2025,E329))))/L329,AD329*AC329*MIN(IF(AB329&gt;0,0.8/0.75,1),(L329*4+AB329)/AA329))</f>
        <v/>
      </c>
      <c r="AF329" s="14">
        <f>AE329/12</f>
        <v/>
      </c>
      <c r="AG329" s="77">
        <f>MIN(68,MAX(56,2*INT(K329/2)))</f>
        <v/>
      </c>
      <c r="AH329" s="75">
        <f>(CHOOSE((AG329-56)/2+1,SUMIFS(Donnees_generations!$U$3:$U$113,Donnees_generations!$A$3:$A$113,MAX(1915,MIN(2025,E329))),SUMIFS(Donnees_generations!$V$3:$V$113,Donnees_generations!$A$3:$A$113,MAX(1915,MIN(2025,E329))),SUMIFS(Donnees_generations!$W$3:$W$113,Donnees_generations!$A$3:$A$113,MAX(1915,MIN(2025,E329))),SUMIFS(Donnees_generations!$X$3:$X$113,Donnees_generations!$A$3:$A$113,MAX(1915,MIN(2025,E329))),SUMIFS(Donnees_generations!$Y$3:$Y$113,Donnees_generations!$A$3:$A$113,MAX(1915,MIN(2025,E329))),SUMIFS(Donnees_generations!$Z$3:$Z$113,Donnees_generations!$A$3:$A$113,MAX(1915,MIN(2025,E329))),SUMIFS(Donnees_generations!$AA$3:$AA$113,Donnees_generations!$A$3:$A$113,MAX(1915,MIN(2025,E329))),SUMIFS(Donnees_generations!$AB$3:$AB$113,Donnees_generations!$A$3:$A$113,MAX(1915,MIN(2025,E329))))+CHOOSE((AG329-56)/2+1,SUMIFS(Donnees_generations!$AC$3:$AC$113,Donnees_generations!$A$3:$A$113,MAX(1915,MIN(2025,E329))),SUMIFS(Donnees_generations!$AD$3:$AD$113,Donnees_generations!$A$3:$A$113,MAX(1915,MIN(2025,E329))),SUMIFS(Donnees_generations!$AE$3:$AE$113,Donnees_generations!$A$3:$A$113,MAX(1915,MIN(2025,E329))),SUMIFS(Donnees_generations!$AF$3:$AF$113,Donnees_generations!$A$3:$A$113,MAX(1915,MIN(2025,E329))),SUMIFS(Donnees_generations!$AG$3:$AG$113,Donnees_generations!$A$3:$A$113,MAX(1915,MIN(2025,E329))),SUMIFS(Donnees_generations!$AH$3:$AH$113,Donnees_generations!$A$3:$A$113,MAX(1915,MIN(2025,E329))),SUMIFS(Donnees_generations!$AI$3:$AI$113,Donnees_generations!$A$3:$A$113,MAX(1915,MIN(2025,E329))),SUMIFS(Donnees_generations!$AJ$3:$AJ$113,Donnees_generations!$A$3:$A$113,MAX(1915,MIN(2025,E329)))))/2</f>
        <v/>
      </c>
      <c r="AI329" s="75">
        <f>(CHOOSE(((AG329+2)-56)/2+1,SUMIFS(Donnees_generations!$U$3:$U$113,Donnees_generations!$A$3:$A$113,MAX(1915,MIN(2025,E329))),SUMIFS(Donnees_generations!$V$3:$V$113,Donnees_generations!$A$3:$A$113,MAX(1915,MIN(2025,E329))),SUMIFS(Donnees_generations!$W$3:$W$113,Donnees_generations!$A$3:$A$113,MAX(1915,MIN(2025,E329))),SUMIFS(Donnees_generations!$X$3:$X$113,Donnees_generations!$A$3:$A$113,MAX(1915,MIN(2025,E329))),SUMIFS(Donnees_generations!$Y$3:$Y$113,Donnees_generations!$A$3:$A$113,MAX(1915,MIN(2025,E329))),SUMIFS(Donnees_generations!$Z$3:$Z$113,Donnees_generations!$A$3:$A$113,MAX(1915,MIN(2025,E329))),SUMIFS(Donnees_generations!$AA$3:$AA$113,Donnees_generations!$A$3:$A$113,MAX(1915,MIN(2025,E329))),SUMIFS(Donnees_generations!$AB$3:$AB$113,Donnees_generations!$A$3:$A$113,MAX(1915,MIN(2025,E329))))+CHOOSE(((AG329+2)-56)/2+1,SUMIFS(Donnees_generations!$AC$3:$AC$113,Donnees_generations!$A$3:$A$113,MAX(1915,MIN(2025,E329))),SUMIFS(Donnees_generations!$AD$3:$AD$113,Donnees_generations!$A$3:$A$113,MAX(1915,MIN(2025,E329))),SUMIFS(Donnees_generations!$AE$3:$AE$113,Donnees_generations!$A$3:$A$113,MAX(1915,MIN(2025,E329))),SUMIFS(Donnees_generations!$AF$3:$AF$113,Donnees_generations!$A$3:$A$113,MAX(1915,MIN(2025,E329))),SUMIFS(Donnees_generations!$AG$3:$AG$113,Donnees_generations!$A$3:$A$113,MAX(1915,MIN(2025,E329))),SUMIFS(Donnees_generations!$AH$3:$AH$113,Donnees_generations!$A$3:$A$113,MAX(1915,MIN(2025,E329))),SUMIFS(Donnees_generations!$AI$3:$AI$113,Donnees_generations!$A$3:$A$113,MAX(1915,MIN(2025,E329))),SUMIFS(Donnees_generations!$AJ$3:$AJ$113,Donnees_generations!$A$3:$A$113,MAX(1915,MIN(2025,E329)))))/2</f>
        <v/>
      </c>
      <c r="AJ329" s="8">
        <f>MAX(0,AH329+(AI329-AH329)*(K329-AG329)/2)</f>
        <v/>
      </c>
      <c r="AK329" s="8">
        <f>K329+AJ329</f>
        <v/>
      </c>
      <c r="AL329" s="14">
        <f>AE329*AJ329</f>
        <v/>
      </c>
      <c r="AM329" s="17">
        <f>V329/AL329</f>
        <v/>
      </c>
      <c r="AN329" s="17">
        <f>Z329/AL329</f>
        <v/>
      </c>
      <c r="AO329" s="33">
        <f>IF(V329+Z329=0,0,Z329/(V329+Z329))</f>
        <v/>
      </c>
      <c r="AP329" s="14">
        <f>AL329/V329*100</f>
        <v/>
      </c>
      <c r="AQ329" s="8">
        <f>P329/AL329*1000</f>
        <v/>
      </c>
      <c r="AR329" s="77">
        <f>MAX(N329,M329-1)</f>
        <v/>
      </c>
      <c r="AS329" s="14">
        <f>SUMIFS(Donnees_regimes!$R$3:$R$1118,Donnees_regimes!$A$3:$A$1118,C329,Donnees_regimes!$B$3:$B$1118,"&gt;="&amp;G329,Donnees_regimes!$B$3:$B$1118,"&lt;="&amp;N329)*L329/ROUNDUP(L329,0)*SUMIFS(Donnees_annuelles!$AG$3:$AG$188,Donnees_annuelles!$A$3:$A$188,AR329)*SUMIFS(Donnees_annuelles!$AA$3:$AA$188,Donnees_annuelles!$A$3:$A$188,AR329)</f>
        <v/>
      </c>
      <c r="AT329" s="36">
        <f>AS329/V329</f>
        <v/>
      </c>
      <c r="AU329" s="14">
        <f>AL329</f>
        <v/>
      </c>
      <c r="AV329" s="39">
        <f>AS329-AL329</f>
        <v/>
      </c>
      <c r="AW329" s="9">
        <f>AS329/AL329-1</f>
        <v/>
      </c>
      <c r="AX329" s="14">
        <f>AS329/AJ329/12</f>
        <v/>
      </c>
      <c r="AY329" s="14">
        <f>AF329</f>
        <v/>
      </c>
      <c r="AZ329" s="39">
        <f>AX329-AF329</f>
        <v/>
      </c>
      <c r="BA329" s="14">
        <f>SUMIFS(Donnees_regimes!$S$3:$S$1118,Donnees_regimes!$A$3:$A$1118,C329,Donnees_regimes!$B$3:$B$1118,"&gt;="&amp;G329,Donnees_regimes!$B$3:$B$1118,"&lt;="&amp;N329)*L329/ROUNDUP(L329,0)*SUMIFS(Donnees_annuelles!$AH$3:$AH$188,Donnees_annuelles!$A$3:$A$188,AR329)*SUMIFS(Donnees_annuelles!$AA$3:$AA$188,Donnees_annuelles!$A$3:$A$188,AR329)</f>
        <v/>
      </c>
      <c r="BB329" s="39">
        <f>BA329-AL329</f>
        <v/>
      </c>
      <c r="BC329" s="7">
        <f>IF(M329+AJ329&gt;2026,IF(G329&gt;2026,"entièrement projeté","en partie projeté"),"observé")</f>
        <v/>
      </c>
    </row>
    <row r="330">
      <c r="A330" s="7" t="inlineStr">
        <is>
          <t>Baby-boomers</t>
        </is>
      </c>
      <c r="B330" s="84" t="inlineStr">
        <is>
          <t>SNCF</t>
        </is>
      </c>
      <c r="C330" s="7">
        <f>IF(G330&gt;=SUMIFS(Regimes!$C$5:$C$10,Regimes!$A$5:$A$10,B330),"Privé",B330)</f>
        <v/>
      </c>
      <c r="D330" s="7">
        <f>INDEX(Regimes!$D$5:$D$10,MATCH(C330,Regimes!$A$5:$A$10,0))</f>
        <v/>
      </c>
      <c r="E330" s="88" t="n">
        <v>1961</v>
      </c>
      <c r="F330" s="8">
        <f>Donnees_generations!C49</f>
        <v/>
      </c>
      <c r="G330" s="77">
        <f>Donnees_generations!D49</f>
        <v/>
      </c>
      <c r="H330" s="8">
        <f>SUMIFS(Donnees_generations!$S$3:$S$113,Donnees_generations!$A$3:$A$113,MAX(1915,MIN(2025,E330)))</f>
        <v/>
      </c>
      <c r="I330" s="8">
        <f>SUMIFS(Donnees_generations!$T$3:$T$113,Donnees_generations!$A$3:$A$113,MAX(1915,MIN(2025,E330)))</f>
        <v/>
      </c>
      <c r="J330" s="8">
        <f>IF(G330&gt;=2000,MAX(I330,Parametres!$B$3),I330)</f>
        <v/>
      </c>
      <c r="K330" s="8">
        <f>IF(C330="Privé",J330,SUMIFS(Regles_regimes!$J$3:$J$2000,Regles_regimes!$A$3:$A$2000,C330,Regles_regimes!$B$3:$B$2000,D330,Regles_regimes!$C$3:$C$2000,MAX(1915,MIN(2025,E330))))</f>
        <v/>
      </c>
      <c r="L330" s="8">
        <f>IF(C330="Privé",H330,(K330-F330)*H330/(J330-F330))</f>
        <v/>
      </c>
      <c r="M330" s="77">
        <f>INT(E330+K330)</f>
        <v/>
      </c>
      <c r="N330" s="77">
        <f>G330+ROUNDUP(L330,0)-1</f>
        <v/>
      </c>
      <c r="O330" s="89">
        <f>SUMIFS(Regles_regimes!$K$3:$K$2000,Regles_regimes!$A$3:$A$2000,C330,Regles_regimes!$B$3:$B$2000,D330,Regles_regimes!$C$3:$C$2000,MAX(1915,MIN(2025,E330)))</f>
        <v/>
      </c>
      <c r="P330" s="13">
        <f>SUMIFS(Donnees_annuelles!$W$3:$W$188,Donnees_annuelles!$A$3:$A$188,"&gt;="&amp;G330,Donnees_annuelles!$A$3:$A$188,"&lt;="&amp;N330)*L330/ROUNDUP(L330,0)*O330</f>
        <v/>
      </c>
      <c r="Q330" s="13">
        <f>SUMIFS(Donnees_annuelles!$V$3:$V$188,Donnees_annuelles!$A$3:$A$188,"&gt;="&amp;G330,Donnees_annuelles!$A$3:$A$188,"&lt;="&amp;N330)*L330/ROUNDUP(L330,0)</f>
        <v/>
      </c>
      <c r="R330" s="13">
        <f>P330/L330</f>
        <v/>
      </c>
      <c r="S330" s="14">
        <f>SUMIFS(Donnees_annuelles!$D$3:$D$188,Donnees_annuelles!$A$3:$A$188,"&gt;="&amp;G330,Donnees_annuelles!$A$3:$A$188,"&lt;="&amp;N330)*L330/ROUNDUP(L330,0)</f>
        <v/>
      </c>
      <c r="T330" s="14">
        <f>SUMIFS(Donnees_regimes!$N$3:$N$1118,Donnees_regimes!$A$3:$A$1118,C330,Donnees_regimes!$B$3:$B$1118,"&gt;="&amp;G330,Donnees_regimes!$B$3:$B$1118,"&lt;="&amp;N330)*L330/ROUNDUP(L330,0)</f>
        <v/>
      </c>
      <c r="U330" s="14">
        <f>SUMIFS(Donnees_regimes!$O$3:$O$1118,Donnees_regimes!$A$3:$A$1118,C330,Donnees_regimes!$B$3:$B$1118,"&gt;="&amp;G330,Donnees_regimes!$B$3:$B$1118,"&lt;="&amp;N330)*L330/ROUNDUP(L330,0)</f>
        <v/>
      </c>
      <c r="V330" s="14">
        <f>T330+U330</f>
        <v/>
      </c>
      <c r="W330" s="33">
        <f>V330/S330</f>
        <v/>
      </c>
      <c r="X330" s="14">
        <f>S330+U330</f>
        <v/>
      </c>
      <c r="Y330" s="17">
        <f>V330/P330</f>
        <v/>
      </c>
      <c r="Z330" s="14">
        <f>SUMIFS(Donnees_regimes!$Q$3:$Q$1118,Donnees_regimes!$A$3:$A$1118,C330,Donnees_regimes!$B$3:$B$1118,"&gt;="&amp;G330,Donnees_regimes!$B$3:$B$1118,"&lt;="&amp;N330)*L330/ROUNDUP(L330,0)</f>
        <v/>
      </c>
      <c r="AA330" s="77">
        <f>SUMIFS(Regles_regimes!$F$3:$F$2000,Regles_regimes!$A$3:$A$2000,C330,Regles_regimes!$B$3:$B$2000,D330,Regles_regimes!$C$3:$C$2000,MAX(1915,MIN(2025,E330)))</f>
        <v/>
      </c>
      <c r="AB330" s="77">
        <f>IF(AND(SUMIFS(Regles_regimes!$L$3:$L$2000,Regles_regimes!$A$3:$A$2000,C330,Regles_regimes!$B$3:$B$2000,D330,Regles_regimes!$C$3:$C$2000,MAX(1915,MIN(2025,E330)))=1,G330&lt;2009,C330&lt;&gt;"Privé"),MIN(20,L330*4/5),0)</f>
        <v/>
      </c>
      <c r="AC330" s="89">
        <f>SUMIFS(Donnees_regimes!$M$3:$M$1118,Donnees_regimes!$A$3:$A$1118,C330,Donnees_regimes!$B$3:$B$1118,M330)</f>
        <v/>
      </c>
      <c r="AD330" s="14">
        <f>SUMIFS(Donnees_annuelles!$Y$3:$Y$188,Donnees_annuelles!$A$3:$A$188,M330)*SUMIFS(Donnees_generations!$I$3:$I$113,Donnees_generations!$A$3:$A$113,MAX(1915,MIN(2025,E330)))/H330</f>
        <v/>
      </c>
      <c r="AE330" s="14">
        <f>IF(C330="Privé",SUMIFS(Donnees_annuelles!$Y$3:$Y$188,Donnees_annuelles!$A$3:$A$188,M330)*MIN(L330,SUMIFS(Donnees_generations!$I$3:$I$113,Donnees_generations!$A$3:$A$113,MAX(1915,MIN(2025,E330))))/L330,AD330*AC330*MIN(IF(AB330&gt;0,0.8/0.75,1),(L330*4+AB330)/AA330))</f>
        <v/>
      </c>
      <c r="AF330" s="14">
        <f>AE330/12</f>
        <v/>
      </c>
      <c r="AG330" s="77">
        <f>MIN(68,MAX(56,2*INT(K330/2)))</f>
        <v/>
      </c>
      <c r="AH330" s="75">
        <f>(CHOOSE((AG330-56)/2+1,SUMIFS(Donnees_generations!$U$3:$U$113,Donnees_generations!$A$3:$A$113,MAX(1915,MIN(2025,E330))),SUMIFS(Donnees_generations!$V$3:$V$113,Donnees_generations!$A$3:$A$113,MAX(1915,MIN(2025,E330))),SUMIFS(Donnees_generations!$W$3:$W$113,Donnees_generations!$A$3:$A$113,MAX(1915,MIN(2025,E330))),SUMIFS(Donnees_generations!$X$3:$X$113,Donnees_generations!$A$3:$A$113,MAX(1915,MIN(2025,E330))),SUMIFS(Donnees_generations!$Y$3:$Y$113,Donnees_generations!$A$3:$A$113,MAX(1915,MIN(2025,E330))),SUMIFS(Donnees_generations!$Z$3:$Z$113,Donnees_generations!$A$3:$A$113,MAX(1915,MIN(2025,E330))),SUMIFS(Donnees_generations!$AA$3:$AA$113,Donnees_generations!$A$3:$A$113,MAX(1915,MIN(2025,E330))),SUMIFS(Donnees_generations!$AB$3:$AB$113,Donnees_generations!$A$3:$A$113,MAX(1915,MIN(2025,E330))))+CHOOSE((AG330-56)/2+1,SUMIFS(Donnees_generations!$AC$3:$AC$113,Donnees_generations!$A$3:$A$113,MAX(1915,MIN(2025,E330))),SUMIFS(Donnees_generations!$AD$3:$AD$113,Donnees_generations!$A$3:$A$113,MAX(1915,MIN(2025,E330))),SUMIFS(Donnees_generations!$AE$3:$AE$113,Donnees_generations!$A$3:$A$113,MAX(1915,MIN(2025,E330))),SUMIFS(Donnees_generations!$AF$3:$AF$113,Donnees_generations!$A$3:$A$113,MAX(1915,MIN(2025,E330))),SUMIFS(Donnees_generations!$AG$3:$AG$113,Donnees_generations!$A$3:$A$113,MAX(1915,MIN(2025,E330))),SUMIFS(Donnees_generations!$AH$3:$AH$113,Donnees_generations!$A$3:$A$113,MAX(1915,MIN(2025,E330))),SUMIFS(Donnees_generations!$AI$3:$AI$113,Donnees_generations!$A$3:$A$113,MAX(1915,MIN(2025,E330))),SUMIFS(Donnees_generations!$AJ$3:$AJ$113,Donnees_generations!$A$3:$A$113,MAX(1915,MIN(2025,E330)))))/2</f>
        <v/>
      </c>
      <c r="AI330" s="75">
        <f>(CHOOSE(((AG330+2)-56)/2+1,SUMIFS(Donnees_generations!$U$3:$U$113,Donnees_generations!$A$3:$A$113,MAX(1915,MIN(2025,E330))),SUMIFS(Donnees_generations!$V$3:$V$113,Donnees_generations!$A$3:$A$113,MAX(1915,MIN(2025,E330))),SUMIFS(Donnees_generations!$W$3:$W$113,Donnees_generations!$A$3:$A$113,MAX(1915,MIN(2025,E330))),SUMIFS(Donnees_generations!$X$3:$X$113,Donnees_generations!$A$3:$A$113,MAX(1915,MIN(2025,E330))),SUMIFS(Donnees_generations!$Y$3:$Y$113,Donnees_generations!$A$3:$A$113,MAX(1915,MIN(2025,E330))),SUMIFS(Donnees_generations!$Z$3:$Z$113,Donnees_generations!$A$3:$A$113,MAX(1915,MIN(2025,E330))),SUMIFS(Donnees_generations!$AA$3:$AA$113,Donnees_generations!$A$3:$A$113,MAX(1915,MIN(2025,E330))),SUMIFS(Donnees_generations!$AB$3:$AB$113,Donnees_generations!$A$3:$A$113,MAX(1915,MIN(2025,E330))))+CHOOSE(((AG330+2)-56)/2+1,SUMIFS(Donnees_generations!$AC$3:$AC$113,Donnees_generations!$A$3:$A$113,MAX(1915,MIN(2025,E330))),SUMIFS(Donnees_generations!$AD$3:$AD$113,Donnees_generations!$A$3:$A$113,MAX(1915,MIN(2025,E330))),SUMIFS(Donnees_generations!$AE$3:$AE$113,Donnees_generations!$A$3:$A$113,MAX(1915,MIN(2025,E330))),SUMIFS(Donnees_generations!$AF$3:$AF$113,Donnees_generations!$A$3:$A$113,MAX(1915,MIN(2025,E330))),SUMIFS(Donnees_generations!$AG$3:$AG$113,Donnees_generations!$A$3:$A$113,MAX(1915,MIN(2025,E330))),SUMIFS(Donnees_generations!$AH$3:$AH$113,Donnees_generations!$A$3:$A$113,MAX(1915,MIN(2025,E330))),SUMIFS(Donnees_generations!$AI$3:$AI$113,Donnees_generations!$A$3:$A$113,MAX(1915,MIN(2025,E330))),SUMIFS(Donnees_generations!$AJ$3:$AJ$113,Donnees_generations!$A$3:$A$113,MAX(1915,MIN(2025,E330)))))/2</f>
        <v/>
      </c>
      <c r="AJ330" s="8">
        <f>MAX(0,AH330+(AI330-AH330)*(K330-AG330)/2)</f>
        <v/>
      </c>
      <c r="AK330" s="8">
        <f>K330+AJ330</f>
        <v/>
      </c>
      <c r="AL330" s="14">
        <f>AE330*AJ330</f>
        <v/>
      </c>
      <c r="AM330" s="17">
        <f>V330/AL330</f>
        <v/>
      </c>
      <c r="AN330" s="17">
        <f>Z330/AL330</f>
        <v/>
      </c>
      <c r="AO330" s="33">
        <f>IF(V330+Z330=0,0,Z330/(V330+Z330))</f>
        <v/>
      </c>
      <c r="AP330" s="14">
        <f>AL330/V330*100</f>
        <v/>
      </c>
      <c r="AQ330" s="8">
        <f>P330/AL330*1000</f>
        <v/>
      </c>
      <c r="AR330" s="77">
        <f>MAX(N330,M330-1)</f>
        <v/>
      </c>
      <c r="AS330" s="14">
        <f>SUMIFS(Donnees_regimes!$R$3:$R$1118,Donnees_regimes!$A$3:$A$1118,C330,Donnees_regimes!$B$3:$B$1118,"&gt;="&amp;G330,Donnees_regimes!$B$3:$B$1118,"&lt;="&amp;N330)*L330/ROUNDUP(L330,0)*SUMIFS(Donnees_annuelles!$AG$3:$AG$188,Donnees_annuelles!$A$3:$A$188,AR330)*SUMIFS(Donnees_annuelles!$AA$3:$AA$188,Donnees_annuelles!$A$3:$A$188,AR330)</f>
        <v/>
      </c>
      <c r="AT330" s="36">
        <f>AS330/V330</f>
        <v/>
      </c>
      <c r="AU330" s="14">
        <f>AL330</f>
        <v/>
      </c>
      <c r="AV330" s="39">
        <f>AS330-AL330</f>
        <v/>
      </c>
      <c r="AW330" s="9">
        <f>AS330/AL330-1</f>
        <v/>
      </c>
      <c r="AX330" s="14">
        <f>AS330/AJ330/12</f>
        <v/>
      </c>
      <c r="AY330" s="14">
        <f>AF330</f>
        <v/>
      </c>
      <c r="AZ330" s="39">
        <f>AX330-AF330</f>
        <v/>
      </c>
      <c r="BA330" s="14">
        <f>SUMIFS(Donnees_regimes!$S$3:$S$1118,Donnees_regimes!$A$3:$A$1118,C330,Donnees_regimes!$B$3:$B$1118,"&gt;="&amp;G330,Donnees_regimes!$B$3:$B$1118,"&lt;="&amp;N330)*L330/ROUNDUP(L330,0)*SUMIFS(Donnees_annuelles!$AH$3:$AH$188,Donnees_annuelles!$A$3:$A$188,AR330)*SUMIFS(Donnees_annuelles!$AA$3:$AA$188,Donnees_annuelles!$A$3:$A$188,AR330)</f>
        <v/>
      </c>
      <c r="BB330" s="39">
        <f>BA330-AL330</f>
        <v/>
      </c>
      <c r="BC330" s="7">
        <f>IF(M330+AJ330&gt;2026,IF(G330&gt;2026,"entièrement projeté","en partie projeté"),"observé")</f>
        <v/>
      </c>
    </row>
    <row r="331">
      <c r="A331" s="7" t="inlineStr">
        <is>
          <t>Baby-boomers</t>
        </is>
      </c>
      <c r="B331" s="84" t="inlineStr">
        <is>
          <t>SNCF</t>
        </is>
      </c>
      <c r="C331" s="7">
        <f>IF(G331&gt;=SUMIFS(Regimes!$C$5:$C$10,Regimes!$A$5:$A$10,B331),"Privé",B331)</f>
        <v/>
      </c>
      <c r="D331" s="7">
        <f>INDEX(Regimes!$D$5:$D$10,MATCH(C331,Regimes!$A$5:$A$10,0))</f>
        <v/>
      </c>
      <c r="E331" s="88" t="n">
        <v>1962</v>
      </c>
      <c r="F331" s="8">
        <f>Donnees_generations!C50</f>
        <v/>
      </c>
      <c r="G331" s="77">
        <f>Donnees_generations!D50</f>
        <v/>
      </c>
      <c r="H331" s="8">
        <f>SUMIFS(Donnees_generations!$S$3:$S$113,Donnees_generations!$A$3:$A$113,MAX(1915,MIN(2025,E331)))</f>
        <v/>
      </c>
      <c r="I331" s="8">
        <f>SUMIFS(Donnees_generations!$T$3:$T$113,Donnees_generations!$A$3:$A$113,MAX(1915,MIN(2025,E331)))</f>
        <v/>
      </c>
      <c r="J331" s="8">
        <f>IF(G331&gt;=2000,MAX(I331,Parametres!$B$3),I331)</f>
        <v/>
      </c>
      <c r="K331" s="8">
        <f>IF(C331="Privé",J331,SUMIFS(Regles_regimes!$J$3:$J$2000,Regles_regimes!$A$3:$A$2000,C331,Regles_regimes!$B$3:$B$2000,D331,Regles_regimes!$C$3:$C$2000,MAX(1915,MIN(2025,E331))))</f>
        <v/>
      </c>
      <c r="L331" s="8">
        <f>IF(C331="Privé",H331,(K331-F331)*H331/(J331-F331))</f>
        <v/>
      </c>
      <c r="M331" s="77">
        <f>INT(E331+K331)</f>
        <v/>
      </c>
      <c r="N331" s="77">
        <f>G331+ROUNDUP(L331,0)-1</f>
        <v/>
      </c>
      <c r="O331" s="89">
        <f>SUMIFS(Regles_regimes!$K$3:$K$2000,Regles_regimes!$A$3:$A$2000,C331,Regles_regimes!$B$3:$B$2000,D331,Regles_regimes!$C$3:$C$2000,MAX(1915,MIN(2025,E331)))</f>
        <v/>
      </c>
      <c r="P331" s="13">
        <f>SUMIFS(Donnees_annuelles!$W$3:$W$188,Donnees_annuelles!$A$3:$A$188,"&gt;="&amp;G331,Donnees_annuelles!$A$3:$A$188,"&lt;="&amp;N331)*L331/ROUNDUP(L331,0)*O331</f>
        <v/>
      </c>
      <c r="Q331" s="13">
        <f>SUMIFS(Donnees_annuelles!$V$3:$V$188,Donnees_annuelles!$A$3:$A$188,"&gt;="&amp;G331,Donnees_annuelles!$A$3:$A$188,"&lt;="&amp;N331)*L331/ROUNDUP(L331,0)</f>
        <v/>
      </c>
      <c r="R331" s="13">
        <f>P331/L331</f>
        <v/>
      </c>
      <c r="S331" s="14">
        <f>SUMIFS(Donnees_annuelles!$D$3:$D$188,Donnees_annuelles!$A$3:$A$188,"&gt;="&amp;G331,Donnees_annuelles!$A$3:$A$188,"&lt;="&amp;N331)*L331/ROUNDUP(L331,0)</f>
        <v/>
      </c>
      <c r="T331" s="14">
        <f>SUMIFS(Donnees_regimes!$N$3:$N$1118,Donnees_regimes!$A$3:$A$1118,C331,Donnees_regimes!$B$3:$B$1118,"&gt;="&amp;G331,Donnees_regimes!$B$3:$B$1118,"&lt;="&amp;N331)*L331/ROUNDUP(L331,0)</f>
        <v/>
      </c>
      <c r="U331" s="14">
        <f>SUMIFS(Donnees_regimes!$O$3:$O$1118,Donnees_regimes!$A$3:$A$1118,C331,Donnees_regimes!$B$3:$B$1118,"&gt;="&amp;G331,Donnees_regimes!$B$3:$B$1118,"&lt;="&amp;N331)*L331/ROUNDUP(L331,0)</f>
        <v/>
      </c>
      <c r="V331" s="14">
        <f>T331+U331</f>
        <v/>
      </c>
      <c r="W331" s="33">
        <f>V331/S331</f>
        <v/>
      </c>
      <c r="X331" s="14">
        <f>S331+U331</f>
        <v/>
      </c>
      <c r="Y331" s="17">
        <f>V331/P331</f>
        <v/>
      </c>
      <c r="Z331" s="14">
        <f>SUMIFS(Donnees_regimes!$Q$3:$Q$1118,Donnees_regimes!$A$3:$A$1118,C331,Donnees_regimes!$B$3:$B$1118,"&gt;="&amp;G331,Donnees_regimes!$B$3:$B$1118,"&lt;="&amp;N331)*L331/ROUNDUP(L331,0)</f>
        <v/>
      </c>
      <c r="AA331" s="77">
        <f>SUMIFS(Regles_regimes!$F$3:$F$2000,Regles_regimes!$A$3:$A$2000,C331,Regles_regimes!$B$3:$B$2000,D331,Regles_regimes!$C$3:$C$2000,MAX(1915,MIN(2025,E331)))</f>
        <v/>
      </c>
      <c r="AB331" s="77">
        <f>IF(AND(SUMIFS(Regles_regimes!$L$3:$L$2000,Regles_regimes!$A$3:$A$2000,C331,Regles_regimes!$B$3:$B$2000,D331,Regles_regimes!$C$3:$C$2000,MAX(1915,MIN(2025,E331)))=1,G331&lt;2009,C331&lt;&gt;"Privé"),MIN(20,L331*4/5),0)</f>
        <v/>
      </c>
      <c r="AC331" s="89">
        <f>SUMIFS(Donnees_regimes!$M$3:$M$1118,Donnees_regimes!$A$3:$A$1118,C331,Donnees_regimes!$B$3:$B$1118,M331)</f>
        <v/>
      </c>
      <c r="AD331" s="14">
        <f>SUMIFS(Donnees_annuelles!$Y$3:$Y$188,Donnees_annuelles!$A$3:$A$188,M331)*SUMIFS(Donnees_generations!$I$3:$I$113,Donnees_generations!$A$3:$A$113,MAX(1915,MIN(2025,E331)))/H331</f>
        <v/>
      </c>
      <c r="AE331" s="14">
        <f>IF(C331="Privé",SUMIFS(Donnees_annuelles!$Y$3:$Y$188,Donnees_annuelles!$A$3:$A$188,M331)*MIN(L331,SUMIFS(Donnees_generations!$I$3:$I$113,Donnees_generations!$A$3:$A$113,MAX(1915,MIN(2025,E331))))/L331,AD331*AC331*MIN(IF(AB331&gt;0,0.8/0.75,1),(L331*4+AB331)/AA331))</f>
        <v/>
      </c>
      <c r="AF331" s="14">
        <f>AE331/12</f>
        <v/>
      </c>
      <c r="AG331" s="77">
        <f>MIN(68,MAX(56,2*INT(K331/2)))</f>
        <v/>
      </c>
      <c r="AH331" s="75">
        <f>(CHOOSE((AG331-56)/2+1,SUMIFS(Donnees_generations!$U$3:$U$113,Donnees_generations!$A$3:$A$113,MAX(1915,MIN(2025,E331))),SUMIFS(Donnees_generations!$V$3:$V$113,Donnees_generations!$A$3:$A$113,MAX(1915,MIN(2025,E331))),SUMIFS(Donnees_generations!$W$3:$W$113,Donnees_generations!$A$3:$A$113,MAX(1915,MIN(2025,E331))),SUMIFS(Donnees_generations!$X$3:$X$113,Donnees_generations!$A$3:$A$113,MAX(1915,MIN(2025,E331))),SUMIFS(Donnees_generations!$Y$3:$Y$113,Donnees_generations!$A$3:$A$113,MAX(1915,MIN(2025,E331))),SUMIFS(Donnees_generations!$Z$3:$Z$113,Donnees_generations!$A$3:$A$113,MAX(1915,MIN(2025,E331))),SUMIFS(Donnees_generations!$AA$3:$AA$113,Donnees_generations!$A$3:$A$113,MAX(1915,MIN(2025,E331))),SUMIFS(Donnees_generations!$AB$3:$AB$113,Donnees_generations!$A$3:$A$113,MAX(1915,MIN(2025,E331))))+CHOOSE((AG331-56)/2+1,SUMIFS(Donnees_generations!$AC$3:$AC$113,Donnees_generations!$A$3:$A$113,MAX(1915,MIN(2025,E331))),SUMIFS(Donnees_generations!$AD$3:$AD$113,Donnees_generations!$A$3:$A$113,MAX(1915,MIN(2025,E331))),SUMIFS(Donnees_generations!$AE$3:$AE$113,Donnees_generations!$A$3:$A$113,MAX(1915,MIN(2025,E331))),SUMIFS(Donnees_generations!$AF$3:$AF$113,Donnees_generations!$A$3:$A$113,MAX(1915,MIN(2025,E331))),SUMIFS(Donnees_generations!$AG$3:$AG$113,Donnees_generations!$A$3:$A$113,MAX(1915,MIN(2025,E331))),SUMIFS(Donnees_generations!$AH$3:$AH$113,Donnees_generations!$A$3:$A$113,MAX(1915,MIN(2025,E331))),SUMIFS(Donnees_generations!$AI$3:$AI$113,Donnees_generations!$A$3:$A$113,MAX(1915,MIN(2025,E331))),SUMIFS(Donnees_generations!$AJ$3:$AJ$113,Donnees_generations!$A$3:$A$113,MAX(1915,MIN(2025,E331)))))/2</f>
        <v/>
      </c>
      <c r="AI331" s="75">
        <f>(CHOOSE(((AG331+2)-56)/2+1,SUMIFS(Donnees_generations!$U$3:$U$113,Donnees_generations!$A$3:$A$113,MAX(1915,MIN(2025,E331))),SUMIFS(Donnees_generations!$V$3:$V$113,Donnees_generations!$A$3:$A$113,MAX(1915,MIN(2025,E331))),SUMIFS(Donnees_generations!$W$3:$W$113,Donnees_generations!$A$3:$A$113,MAX(1915,MIN(2025,E331))),SUMIFS(Donnees_generations!$X$3:$X$113,Donnees_generations!$A$3:$A$113,MAX(1915,MIN(2025,E331))),SUMIFS(Donnees_generations!$Y$3:$Y$113,Donnees_generations!$A$3:$A$113,MAX(1915,MIN(2025,E331))),SUMIFS(Donnees_generations!$Z$3:$Z$113,Donnees_generations!$A$3:$A$113,MAX(1915,MIN(2025,E331))),SUMIFS(Donnees_generations!$AA$3:$AA$113,Donnees_generations!$A$3:$A$113,MAX(1915,MIN(2025,E331))),SUMIFS(Donnees_generations!$AB$3:$AB$113,Donnees_generations!$A$3:$A$113,MAX(1915,MIN(2025,E331))))+CHOOSE(((AG331+2)-56)/2+1,SUMIFS(Donnees_generations!$AC$3:$AC$113,Donnees_generations!$A$3:$A$113,MAX(1915,MIN(2025,E331))),SUMIFS(Donnees_generations!$AD$3:$AD$113,Donnees_generations!$A$3:$A$113,MAX(1915,MIN(2025,E331))),SUMIFS(Donnees_generations!$AE$3:$AE$113,Donnees_generations!$A$3:$A$113,MAX(1915,MIN(2025,E331))),SUMIFS(Donnees_generations!$AF$3:$AF$113,Donnees_generations!$A$3:$A$113,MAX(1915,MIN(2025,E331))),SUMIFS(Donnees_generations!$AG$3:$AG$113,Donnees_generations!$A$3:$A$113,MAX(1915,MIN(2025,E331))),SUMIFS(Donnees_generations!$AH$3:$AH$113,Donnees_generations!$A$3:$A$113,MAX(1915,MIN(2025,E331))),SUMIFS(Donnees_generations!$AI$3:$AI$113,Donnees_generations!$A$3:$A$113,MAX(1915,MIN(2025,E331))),SUMIFS(Donnees_generations!$AJ$3:$AJ$113,Donnees_generations!$A$3:$A$113,MAX(1915,MIN(2025,E331)))))/2</f>
        <v/>
      </c>
      <c r="AJ331" s="8">
        <f>MAX(0,AH331+(AI331-AH331)*(K331-AG331)/2)</f>
        <v/>
      </c>
      <c r="AK331" s="8">
        <f>K331+AJ331</f>
        <v/>
      </c>
      <c r="AL331" s="14">
        <f>AE331*AJ331</f>
        <v/>
      </c>
      <c r="AM331" s="17">
        <f>V331/AL331</f>
        <v/>
      </c>
      <c r="AN331" s="17">
        <f>Z331/AL331</f>
        <v/>
      </c>
      <c r="AO331" s="33">
        <f>IF(V331+Z331=0,0,Z331/(V331+Z331))</f>
        <v/>
      </c>
      <c r="AP331" s="14">
        <f>AL331/V331*100</f>
        <v/>
      </c>
      <c r="AQ331" s="8">
        <f>P331/AL331*1000</f>
        <v/>
      </c>
      <c r="AR331" s="77">
        <f>MAX(N331,M331-1)</f>
        <v/>
      </c>
      <c r="AS331" s="14">
        <f>SUMIFS(Donnees_regimes!$R$3:$R$1118,Donnees_regimes!$A$3:$A$1118,C331,Donnees_regimes!$B$3:$B$1118,"&gt;="&amp;G331,Donnees_regimes!$B$3:$B$1118,"&lt;="&amp;N331)*L331/ROUNDUP(L331,0)*SUMIFS(Donnees_annuelles!$AG$3:$AG$188,Donnees_annuelles!$A$3:$A$188,AR331)*SUMIFS(Donnees_annuelles!$AA$3:$AA$188,Donnees_annuelles!$A$3:$A$188,AR331)</f>
        <v/>
      </c>
      <c r="AT331" s="36">
        <f>AS331/V331</f>
        <v/>
      </c>
      <c r="AU331" s="14">
        <f>AL331</f>
        <v/>
      </c>
      <c r="AV331" s="39">
        <f>AS331-AL331</f>
        <v/>
      </c>
      <c r="AW331" s="9">
        <f>AS331/AL331-1</f>
        <v/>
      </c>
      <c r="AX331" s="14">
        <f>AS331/AJ331/12</f>
        <v/>
      </c>
      <c r="AY331" s="14">
        <f>AF331</f>
        <v/>
      </c>
      <c r="AZ331" s="39">
        <f>AX331-AF331</f>
        <v/>
      </c>
      <c r="BA331" s="14">
        <f>SUMIFS(Donnees_regimes!$S$3:$S$1118,Donnees_regimes!$A$3:$A$1118,C331,Donnees_regimes!$B$3:$B$1118,"&gt;="&amp;G331,Donnees_regimes!$B$3:$B$1118,"&lt;="&amp;N331)*L331/ROUNDUP(L331,0)*SUMIFS(Donnees_annuelles!$AH$3:$AH$188,Donnees_annuelles!$A$3:$A$188,AR331)*SUMIFS(Donnees_annuelles!$AA$3:$AA$188,Donnees_annuelles!$A$3:$A$188,AR331)</f>
        <v/>
      </c>
      <c r="BB331" s="39">
        <f>BA331-AL331</f>
        <v/>
      </c>
      <c r="BC331" s="7">
        <f>IF(M331+AJ331&gt;2026,IF(G331&gt;2026,"entièrement projeté","en partie projeté"),"observé")</f>
        <v/>
      </c>
    </row>
    <row r="332">
      <c r="A332" s="7" t="inlineStr">
        <is>
          <t>Baby-boomers</t>
        </is>
      </c>
      <c r="B332" s="84" t="inlineStr">
        <is>
          <t>SNCF</t>
        </is>
      </c>
      <c r="C332" s="7">
        <f>IF(G332&gt;=SUMIFS(Regimes!$C$5:$C$10,Regimes!$A$5:$A$10,B332),"Privé",B332)</f>
        <v/>
      </c>
      <c r="D332" s="7">
        <f>INDEX(Regimes!$D$5:$D$10,MATCH(C332,Regimes!$A$5:$A$10,0))</f>
        <v/>
      </c>
      <c r="E332" s="88" t="n">
        <v>1963</v>
      </c>
      <c r="F332" s="8">
        <f>Donnees_generations!C51</f>
        <v/>
      </c>
      <c r="G332" s="77">
        <f>Donnees_generations!D51</f>
        <v/>
      </c>
      <c r="H332" s="8">
        <f>SUMIFS(Donnees_generations!$S$3:$S$113,Donnees_generations!$A$3:$A$113,MAX(1915,MIN(2025,E332)))</f>
        <v/>
      </c>
      <c r="I332" s="8">
        <f>SUMIFS(Donnees_generations!$T$3:$T$113,Donnees_generations!$A$3:$A$113,MAX(1915,MIN(2025,E332)))</f>
        <v/>
      </c>
      <c r="J332" s="8">
        <f>IF(G332&gt;=2000,MAX(I332,Parametres!$B$3),I332)</f>
        <v/>
      </c>
      <c r="K332" s="8">
        <f>IF(C332="Privé",J332,SUMIFS(Regles_regimes!$J$3:$J$2000,Regles_regimes!$A$3:$A$2000,C332,Regles_regimes!$B$3:$B$2000,D332,Regles_regimes!$C$3:$C$2000,MAX(1915,MIN(2025,E332))))</f>
        <v/>
      </c>
      <c r="L332" s="8">
        <f>IF(C332="Privé",H332,(K332-F332)*H332/(J332-F332))</f>
        <v/>
      </c>
      <c r="M332" s="77">
        <f>INT(E332+K332)</f>
        <v/>
      </c>
      <c r="N332" s="77">
        <f>G332+ROUNDUP(L332,0)-1</f>
        <v/>
      </c>
      <c r="O332" s="89">
        <f>SUMIFS(Regles_regimes!$K$3:$K$2000,Regles_regimes!$A$3:$A$2000,C332,Regles_regimes!$B$3:$B$2000,D332,Regles_regimes!$C$3:$C$2000,MAX(1915,MIN(2025,E332)))</f>
        <v/>
      </c>
      <c r="P332" s="13">
        <f>SUMIFS(Donnees_annuelles!$W$3:$W$188,Donnees_annuelles!$A$3:$A$188,"&gt;="&amp;G332,Donnees_annuelles!$A$3:$A$188,"&lt;="&amp;N332)*L332/ROUNDUP(L332,0)*O332</f>
        <v/>
      </c>
      <c r="Q332" s="13">
        <f>SUMIFS(Donnees_annuelles!$V$3:$V$188,Donnees_annuelles!$A$3:$A$188,"&gt;="&amp;G332,Donnees_annuelles!$A$3:$A$188,"&lt;="&amp;N332)*L332/ROUNDUP(L332,0)</f>
        <v/>
      </c>
      <c r="R332" s="13">
        <f>P332/L332</f>
        <v/>
      </c>
      <c r="S332" s="14">
        <f>SUMIFS(Donnees_annuelles!$D$3:$D$188,Donnees_annuelles!$A$3:$A$188,"&gt;="&amp;G332,Donnees_annuelles!$A$3:$A$188,"&lt;="&amp;N332)*L332/ROUNDUP(L332,0)</f>
        <v/>
      </c>
      <c r="T332" s="14">
        <f>SUMIFS(Donnees_regimes!$N$3:$N$1118,Donnees_regimes!$A$3:$A$1118,C332,Donnees_regimes!$B$3:$B$1118,"&gt;="&amp;G332,Donnees_regimes!$B$3:$B$1118,"&lt;="&amp;N332)*L332/ROUNDUP(L332,0)</f>
        <v/>
      </c>
      <c r="U332" s="14">
        <f>SUMIFS(Donnees_regimes!$O$3:$O$1118,Donnees_regimes!$A$3:$A$1118,C332,Donnees_regimes!$B$3:$B$1118,"&gt;="&amp;G332,Donnees_regimes!$B$3:$B$1118,"&lt;="&amp;N332)*L332/ROUNDUP(L332,0)</f>
        <v/>
      </c>
      <c r="V332" s="14">
        <f>T332+U332</f>
        <v/>
      </c>
      <c r="W332" s="33">
        <f>V332/S332</f>
        <v/>
      </c>
      <c r="X332" s="14">
        <f>S332+U332</f>
        <v/>
      </c>
      <c r="Y332" s="17">
        <f>V332/P332</f>
        <v/>
      </c>
      <c r="Z332" s="14">
        <f>SUMIFS(Donnees_regimes!$Q$3:$Q$1118,Donnees_regimes!$A$3:$A$1118,C332,Donnees_regimes!$B$3:$B$1118,"&gt;="&amp;G332,Donnees_regimes!$B$3:$B$1118,"&lt;="&amp;N332)*L332/ROUNDUP(L332,0)</f>
        <v/>
      </c>
      <c r="AA332" s="77">
        <f>SUMIFS(Regles_regimes!$F$3:$F$2000,Regles_regimes!$A$3:$A$2000,C332,Regles_regimes!$B$3:$B$2000,D332,Regles_regimes!$C$3:$C$2000,MAX(1915,MIN(2025,E332)))</f>
        <v/>
      </c>
      <c r="AB332" s="77">
        <f>IF(AND(SUMIFS(Regles_regimes!$L$3:$L$2000,Regles_regimes!$A$3:$A$2000,C332,Regles_regimes!$B$3:$B$2000,D332,Regles_regimes!$C$3:$C$2000,MAX(1915,MIN(2025,E332)))=1,G332&lt;2009,C332&lt;&gt;"Privé"),MIN(20,L332*4/5),0)</f>
        <v/>
      </c>
      <c r="AC332" s="89">
        <f>SUMIFS(Donnees_regimes!$M$3:$M$1118,Donnees_regimes!$A$3:$A$1118,C332,Donnees_regimes!$B$3:$B$1118,M332)</f>
        <v/>
      </c>
      <c r="AD332" s="14">
        <f>SUMIFS(Donnees_annuelles!$Y$3:$Y$188,Donnees_annuelles!$A$3:$A$188,M332)*SUMIFS(Donnees_generations!$I$3:$I$113,Donnees_generations!$A$3:$A$113,MAX(1915,MIN(2025,E332)))/H332</f>
        <v/>
      </c>
      <c r="AE332" s="14">
        <f>IF(C332="Privé",SUMIFS(Donnees_annuelles!$Y$3:$Y$188,Donnees_annuelles!$A$3:$A$188,M332)*MIN(L332,SUMIFS(Donnees_generations!$I$3:$I$113,Donnees_generations!$A$3:$A$113,MAX(1915,MIN(2025,E332))))/L332,AD332*AC332*MIN(IF(AB332&gt;0,0.8/0.75,1),(L332*4+AB332)/AA332))</f>
        <v/>
      </c>
      <c r="AF332" s="14">
        <f>AE332/12</f>
        <v/>
      </c>
      <c r="AG332" s="77">
        <f>MIN(68,MAX(56,2*INT(K332/2)))</f>
        <v/>
      </c>
      <c r="AH332" s="75">
        <f>(CHOOSE((AG332-56)/2+1,SUMIFS(Donnees_generations!$U$3:$U$113,Donnees_generations!$A$3:$A$113,MAX(1915,MIN(2025,E332))),SUMIFS(Donnees_generations!$V$3:$V$113,Donnees_generations!$A$3:$A$113,MAX(1915,MIN(2025,E332))),SUMIFS(Donnees_generations!$W$3:$W$113,Donnees_generations!$A$3:$A$113,MAX(1915,MIN(2025,E332))),SUMIFS(Donnees_generations!$X$3:$X$113,Donnees_generations!$A$3:$A$113,MAX(1915,MIN(2025,E332))),SUMIFS(Donnees_generations!$Y$3:$Y$113,Donnees_generations!$A$3:$A$113,MAX(1915,MIN(2025,E332))),SUMIFS(Donnees_generations!$Z$3:$Z$113,Donnees_generations!$A$3:$A$113,MAX(1915,MIN(2025,E332))),SUMIFS(Donnees_generations!$AA$3:$AA$113,Donnees_generations!$A$3:$A$113,MAX(1915,MIN(2025,E332))),SUMIFS(Donnees_generations!$AB$3:$AB$113,Donnees_generations!$A$3:$A$113,MAX(1915,MIN(2025,E332))))+CHOOSE((AG332-56)/2+1,SUMIFS(Donnees_generations!$AC$3:$AC$113,Donnees_generations!$A$3:$A$113,MAX(1915,MIN(2025,E332))),SUMIFS(Donnees_generations!$AD$3:$AD$113,Donnees_generations!$A$3:$A$113,MAX(1915,MIN(2025,E332))),SUMIFS(Donnees_generations!$AE$3:$AE$113,Donnees_generations!$A$3:$A$113,MAX(1915,MIN(2025,E332))),SUMIFS(Donnees_generations!$AF$3:$AF$113,Donnees_generations!$A$3:$A$113,MAX(1915,MIN(2025,E332))),SUMIFS(Donnees_generations!$AG$3:$AG$113,Donnees_generations!$A$3:$A$113,MAX(1915,MIN(2025,E332))),SUMIFS(Donnees_generations!$AH$3:$AH$113,Donnees_generations!$A$3:$A$113,MAX(1915,MIN(2025,E332))),SUMIFS(Donnees_generations!$AI$3:$AI$113,Donnees_generations!$A$3:$A$113,MAX(1915,MIN(2025,E332))),SUMIFS(Donnees_generations!$AJ$3:$AJ$113,Donnees_generations!$A$3:$A$113,MAX(1915,MIN(2025,E332)))))/2</f>
        <v/>
      </c>
      <c r="AI332" s="75">
        <f>(CHOOSE(((AG332+2)-56)/2+1,SUMIFS(Donnees_generations!$U$3:$U$113,Donnees_generations!$A$3:$A$113,MAX(1915,MIN(2025,E332))),SUMIFS(Donnees_generations!$V$3:$V$113,Donnees_generations!$A$3:$A$113,MAX(1915,MIN(2025,E332))),SUMIFS(Donnees_generations!$W$3:$W$113,Donnees_generations!$A$3:$A$113,MAX(1915,MIN(2025,E332))),SUMIFS(Donnees_generations!$X$3:$X$113,Donnees_generations!$A$3:$A$113,MAX(1915,MIN(2025,E332))),SUMIFS(Donnees_generations!$Y$3:$Y$113,Donnees_generations!$A$3:$A$113,MAX(1915,MIN(2025,E332))),SUMIFS(Donnees_generations!$Z$3:$Z$113,Donnees_generations!$A$3:$A$113,MAX(1915,MIN(2025,E332))),SUMIFS(Donnees_generations!$AA$3:$AA$113,Donnees_generations!$A$3:$A$113,MAX(1915,MIN(2025,E332))),SUMIFS(Donnees_generations!$AB$3:$AB$113,Donnees_generations!$A$3:$A$113,MAX(1915,MIN(2025,E332))))+CHOOSE(((AG332+2)-56)/2+1,SUMIFS(Donnees_generations!$AC$3:$AC$113,Donnees_generations!$A$3:$A$113,MAX(1915,MIN(2025,E332))),SUMIFS(Donnees_generations!$AD$3:$AD$113,Donnees_generations!$A$3:$A$113,MAX(1915,MIN(2025,E332))),SUMIFS(Donnees_generations!$AE$3:$AE$113,Donnees_generations!$A$3:$A$113,MAX(1915,MIN(2025,E332))),SUMIFS(Donnees_generations!$AF$3:$AF$113,Donnees_generations!$A$3:$A$113,MAX(1915,MIN(2025,E332))),SUMIFS(Donnees_generations!$AG$3:$AG$113,Donnees_generations!$A$3:$A$113,MAX(1915,MIN(2025,E332))),SUMIFS(Donnees_generations!$AH$3:$AH$113,Donnees_generations!$A$3:$A$113,MAX(1915,MIN(2025,E332))),SUMIFS(Donnees_generations!$AI$3:$AI$113,Donnees_generations!$A$3:$A$113,MAX(1915,MIN(2025,E332))),SUMIFS(Donnees_generations!$AJ$3:$AJ$113,Donnees_generations!$A$3:$A$113,MAX(1915,MIN(2025,E332)))))/2</f>
        <v/>
      </c>
      <c r="AJ332" s="8">
        <f>MAX(0,AH332+(AI332-AH332)*(K332-AG332)/2)</f>
        <v/>
      </c>
      <c r="AK332" s="8">
        <f>K332+AJ332</f>
        <v/>
      </c>
      <c r="AL332" s="14">
        <f>AE332*AJ332</f>
        <v/>
      </c>
      <c r="AM332" s="17">
        <f>V332/AL332</f>
        <v/>
      </c>
      <c r="AN332" s="17">
        <f>Z332/AL332</f>
        <v/>
      </c>
      <c r="AO332" s="33">
        <f>IF(V332+Z332=0,0,Z332/(V332+Z332))</f>
        <v/>
      </c>
      <c r="AP332" s="14">
        <f>AL332/V332*100</f>
        <v/>
      </c>
      <c r="AQ332" s="8">
        <f>P332/AL332*1000</f>
        <v/>
      </c>
      <c r="AR332" s="77">
        <f>MAX(N332,M332-1)</f>
        <v/>
      </c>
      <c r="AS332" s="14">
        <f>SUMIFS(Donnees_regimes!$R$3:$R$1118,Donnees_regimes!$A$3:$A$1118,C332,Donnees_regimes!$B$3:$B$1118,"&gt;="&amp;G332,Donnees_regimes!$B$3:$B$1118,"&lt;="&amp;N332)*L332/ROUNDUP(L332,0)*SUMIFS(Donnees_annuelles!$AG$3:$AG$188,Donnees_annuelles!$A$3:$A$188,AR332)*SUMIFS(Donnees_annuelles!$AA$3:$AA$188,Donnees_annuelles!$A$3:$A$188,AR332)</f>
        <v/>
      </c>
      <c r="AT332" s="36">
        <f>AS332/V332</f>
        <v/>
      </c>
      <c r="AU332" s="14">
        <f>AL332</f>
        <v/>
      </c>
      <c r="AV332" s="39">
        <f>AS332-AL332</f>
        <v/>
      </c>
      <c r="AW332" s="9">
        <f>AS332/AL332-1</f>
        <v/>
      </c>
      <c r="AX332" s="14">
        <f>AS332/AJ332/12</f>
        <v/>
      </c>
      <c r="AY332" s="14">
        <f>AF332</f>
        <v/>
      </c>
      <c r="AZ332" s="39">
        <f>AX332-AF332</f>
        <v/>
      </c>
      <c r="BA332" s="14">
        <f>SUMIFS(Donnees_regimes!$S$3:$S$1118,Donnees_regimes!$A$3:$A$1118,C332,Donnees_regimes!$B$3:$B$1118,"&gt;="&amp;G332,Donnees_regimes!$B$3:$B$1118,"&lt;="&amp;N332)*L332/ROUNDUP(L332,0)*SUMIFS(Donnees_annuelles!$AH$3:$AH$188,Donnees_annuelles!$A$3:$A$188,AR332)*SUMIFS(Donnees_annuelles!$AA$3:$AA$188,Donnees_annuelles!$A$3:$A$188,AR332)</f>
        <v/>
      </c>
      <c r="BB332" s="39">
        <f>BA332-AL332</f>
        <v/>
      </c>
      <c r="BC332" s="7">
        <f>IF(M332+AJ332&gt;2026,IF(G332&gt;2026,"entièrement projeté","en partie projeté"),"observé")</f>
        <v/>
      </c>
    </row>
    <row r="333">
      <c r="A333" s="7" t="inlineStr">
        <is>
          <t>Baby-boomers</t>
        </is>
      </c>
      <c r="B333" s="84" t="inlineStr">
        <is>
          <t>SNCF</t>
        </is>
      </c>
      <c r="C333" s="7">
        <f>IF(G333&gt;=SUMIFS(Regimes!$C$5:$C$10,Regimes!$A$5:$A$10,B333),"Privé",B333)</f>
        <v/>
      </c>
      <c r="D333" s="7">
        <f>INDEX(Regimes!$D$5:$D$10,MATCH(C333,Regimes!$A$5:$A$10,0))</f>
        <v/>
      </c>
      <c r="E333" s="88" t="n">
        <v>1964</v>
      </c>
      <c r="F333" s="8">
        <f>Donnees_generations!C52</f>
        <v/>
      </c>
      <c r="G333" s="77">
        <f>Donnees_generations!D52</f>
        <v/>
      </c>
      <c r="H333" s="8">
        <f>SUMIFS(Donnees_generations!$S$3:$S$113,Donnees_generations!$A$3:$A$113,MAX(1915,MIN(2025,E333)))</f>
        <v/>
      </c>
      <c r="I333" s="8">
        <f>SUMIFS(Donnees_generations!$T$3:$T$113,Donnees_generations!$A$3:$A$113,MAX(1915,MIN(2025,E333)))</f>
        <v/>
      </c>
      <c r="J333" s="8">
        <f>IF(G333&gt;=2000,MAX(I333,Parametres!$B$3),I333)</f>
        <v/>
      </c>
      <c r="K333" s="8">
        <f>IF(C333="Privé",J333,SUMIFS(Regles_regimes!$J$3:$J$2000,Regles_regimes!$A$3:$A$2000,C333,Regles_regimes!$B$3:$B$2000,D333,Regles_regimes!$C$3:$C$2000,MAX(1915,MIN(2025,E333))))</f>
        <v/>
      </c>
      <c r="L333" s="8">
        <f>IF(C333="Privé",H333,(K333-F333)*H333/(J333-F333))</f>
        <v/>
      </c>
      <c r="M333" s="77">
        <f>INT(E333+K333)</f>
        <v/>
      </c>
      <c r="N333" s="77">
        <f>G333+ROUNDUP(L333,0)-1</f>
        <v/>
      </c>
      <c r="O333" s="89">
        <f>SUMIFS(Regles_regimes!$K$3:$K$2000,Regles_regimes!$A$3:$A$2000,C333,Regles_regimes!$B$3:$B$2000,D333,Regles_regimes!$C$3:$C$2000,MAX(1915,MIN(2025,E333)))</f>
        <v/>
      </c>
      <c r="P333" s="13">
        <f>SUMIFS(Donnees_annuelles!$W$3:$W$188,Donnees_annuelles!$A$3:$A$188,"&gt;="&amp;G333,Donnees_annuelles!$A$3:$A$188,"&lt;="&amp;N333)*L333/ROUNDUP(L333,0)*O333</f>
        <v/>
      </c>
      <c r="Q333" s="13">
        <f>SUMIFS(Donnees_annuelles!$V$3:$V$188,Donnees_annuelles!$A$3:$A$188,"&gt;="&amp;G333,Donnees_annuelles!$A$3:$A$188,"&lt;="&amp;N333)*L333/ROUNDUP(L333,0)</f>
        <v/>
      </c>
      <c r="R333" s="13">
        <f>P333/L333</f>
        <v/>
      </c>
      <c r="S333" s="14">
        <f>SUMIFS(Donnees_annuelles!$D$3:$D$188,Donnees_annuelles!$A$3:$A$188,"&gt;="&amp;G333,Donnees_annuelles!$A$3:$A$188,"&lt;="&amp;N333)*L333/ROUNDUP(L333,0)</f>
        <v/>
      </c>
      <c r="T333" s="14">
        <f>SUMIFS(Donnees_regimes!$N$3:$N$1118,Donnees_regimes!$A$3:$A$1118,C333,Donnees_regimes!$B$3:$B$1118,"&gt;="&amp;G333,Donnees_regimes!$B$3:$B$1118,"&lt;="&amp;N333)*L333/ROUNDUP(L333,0)</f>
        <v/>
      </c>
      <c r="U333" s="14">
        <f>SUMIFS(Donnees_regimes!$O$3:$O$1118,Donnees_regimes!$A$3:$A$1118,C333,Donnees_regimes!$B$3:$B$1118,"&gt;="&amp;G333,Donnees_regimes!$B$3:$B$1118,"&lt;="&amp;N333)*L333/ROUNDUP(L333,0)</f>
        <v/>
      </c>
      <c r="V333" s="14">
        <f>T333+U333</f>
        <v/>
      </c>
      <c r="W333" s="33">
        <f>V333/S333</f>
        <v/>
      </c>
      <c r="X333" s="14">
        <f>S333+U333</f>
        <v/>
      </c>
      <c r="Y333" s="17">
        <f>V333/P333</f>
        <v/>
      </c>
      <c r="Z333" s="14">
        <f>SUMIFS(Donnees_regimes!$Q$3:$Q$1118,Donnees_regimes!$A$3:$A$1118,C333,Donnees_regimes!$B$3:$B$1118,"&gt;="&amp;G333,Donnees_regimes!$B$3:$B$1118,"&lt;="&amp;N333)*L333/ROUNDUP(L333,0)</f>
        <v/>
      </c>
      <c r="AA333" s="77">
        <f>SUMIFS(Regles_regimes!$F$3:$F$2000,Regles_regimes!$A$3:$A$2000,C333,Regles_regimes!$B$3:$B$2000,D333,Regles_regimes!$C$3:$C$2000,MAX(1915,MIN(2025,E333)))</f>
        <v/>
      </c>
      <c r="AB333" s="77">
        <f>IF(AND(SUMIFS(Regles_regimes!$L$3:$L$2000,Regles_regimes!$A$3:$A$2000,C333,Regles_regimes!$B$3:$B$2000,D333,Regles_regimes!$C$3:$C$2000,MAX(1915,MIN(2025,E333)))=1,G333&lt;2009,C333&lt;&gt;"Privé"),MIN(20,L333*4/5),0)</f>
        <v/>
      </c>
      <c r="AC333" s="89">
        <f>SUMIFS(Donnees_regimes!$M$3:$M$1118,Donnees_regimes!$A$3:$A$1118,C333,Donnees_regimes!$B$3:$B$1118,M333)</f>
        <v/>
      </c>
      <c r="AD333" s="14">
        <f>SUMIFS(Donnees_annuelles!$Y$3:$Y$188,Donnees_annuelles!$A$3:$A$188,M333)*SUMIFS(Donnees_generations!$I$3:$I$113,Donnees_generations!$A$3:$A$113,MAX(1915,MIN(2025,E333)))/H333</f>
        <v/>
      </c>
      <c r="AE333" s="14">
        <f>IF(C333="Privé",SUMIFS(Donnees_annuelles!$Y$3:$Y$188,Donnees_annuelles!$A$3:$A$188,M333)*MIN(L333,SUMIFS(Donnees_generations!$I$3:$I$113,Donnees_generations!$A$3:$A$113,MAX(1915,MIN(2025,E333))))/L333,AD333*AC333*MIN(IF(AB333&gt;0,0.8/0.75,1),(L333*4+AB333)/AA333))</f>
        <v/>
      </c>
      <c r="AF333" s="14">
        <f>AE333/12</f>
        <v/>
      </c>
      <c r="AG333" s="77">
        <f>MIN(68,MAX(56,2*INT(K333/2)))</f>
        <v/>
      </c>
      <c r="AH333" s="75">
        <f>(CHOOSE((AG333-56)/2+1,SUMIFS(Donnees_generations!$U$3:$U$113,Donnees_generations!$A$3:$A$113,MAX(1915,MIN(2025,E333))),SUMIFS(Donnees_generations!$V$3:$V$113,Donnees_generations!$A$3:$A$113,MAX(1915,MIN(2025,E333))),SUMIFS(Donnees_generations!$W$3:$W$113,Donnees_generations!$A$3:$A$113,MAX(1915,MIN(2025,E333))),SUMIFS(Donnees_generations!$X$3:$X$113,Donnees_generations!$A$3:$A$113,MAX(1915,MIN(2025,E333))),SUMIFS(Donnees_generations!$Y$3:$Y$113,Donnees_generations!$A$3:$A$113,MAX(1915,MIN(2025,E333))),SUMIFS(Donnees_generations!$Z$3:$Z$113,Donnees_generations!$A$3:$A$113,MAX(1915,MIN(2025,E333))),SUMIFS(Donnees_generations!$AA$3:$AA$113,Donnees_generations!$A$3:$A$113,MAX(1915,MIN(2025,E333))),SUMIFS(Donnees_generations!$AB$3:$AB$113,Donnees_generations!$A$3:$A$113,MAX(1915,MIN(2025,E333))))+CHOOSE((AG333-56)/2+1,SUMIFS(Donnees_generations!$AC$3:$AC$113,Donnees_generations!$A$3:$A$113,MAX(1915,MIN(2025,E333))),SUMIFS(Donnees_generations!$AD$3:$AD$113,Donnees_generations!$A$3:$A$113,MAX(1915,MIN(2025,E333))),SUMIFS(Donnees_generations!$AE$3:$AE$113,Donnees_generations!$A$3:$A$113,MAX(1915,MIN(2025,E333))),SUMIFS(Donnees_generations!$AF$3:$AF$113,Donnees_generations!$A$3:$A$113,MAX(1915,MIN(2025,E333))),SUMIFS(Donnees_generations!$AG$3:$AG$113,Donnees_generations!$A$3:$A$113,MAX(1915,MIN(2025,E333))),SUMIFS(Donnees_generations!$AH$3:$AH$113,Donnees_generations!$A$3:$A$113,MAX(1915,MIN(2025,E333))),SUMIFS(Donnees_generations!$AI$3:$AI$113,Donnees_generations!$A$3:$A$113,MAX(1915,MIN(2025,E333))),SUMIFS(Donnees_generations!$AJ$3:$AJ$113,Donnees_generations!$A$3:$A$113,MAX(1915,MIN(2025,E333)))))/2</f>
        <v/>
      </c>
      <c r="AI333" s="75">
        <f>(CHOOSE(((AG333+2)-56)/2+1,SUMIFS(Donnees_generations!$U$3:$U$113,Donnees_generations!$A$3:$A$113,MAX(1915,MIN(2025,E333))),SUMIFS(Donnees_generations!$V$3:$V$113,Donnees_generations!$A$3:$A$113,MAX(1915,MIN(2025,E333))),SUMIFS(Donnees_generations!$W$3:$W$113,Donnees_generations!$A$3:$A$113,MAX(1915,MIN(2025,E333))),SUMIFS(Donnees_generations!$X$3:$X$113,Donnees_generations!$A$3:$A$113,MAX(1915,MIN(2025,E333))),SUMIFS(Donnees_generations!$Y$3:$Y$113,Donnees_generations!$A$3:$A$113,MAX(1915,MIN(2025,E333))),SUMIFS(Donnees_generations!$Z$3:$Z$113,Donnees_generations!$A$3:$A$113,MAX(1915,MIN(2025,E333))),SUMIFS(Donnees_generations!$AA$3:$AA$113,Donnees_generations!$A$3:$A$113,MAX(1915,MIN(2025,E333))),SUMIFS(Donnees_generations!$AB$3:$AB$113,Donnees_generations!$A$3:$A$113,MAX(1915,MIN(2025,E333))))+CHOOSE(((AG333+2)-56)/2+1,SUMIFS(Donnees_generations!$AC$3:$AC$113,Donnees_generations!$A$3:$A$113,MAX(1915,MIN(2025,E333))),SUMIFS(Donnees_generations!$AD$3:$AD$113,Donnees_generations!$A$3:$A$113,MAX(1915,MIN(2025,E333))),SUMIFS(Donnees_generations!$AE$3:$AE$113,Donnees_generations!$A$3:$A$113,MAX(1915,MIN(2025,E333))),SUMIFS(Donnees_generations!$AF$3:$AF$113,Donnees_generations!$A$3:$A$113,MAX(1915,MIN(2025,E333))),SUMIFS(Donnees_generations!$AG$3:$AG$113,Donnees_generations!$A$3:$A$113,MAX(1915,MIN(2025,E333))),SUMIFS(Donnees_generations!$AH$3:$AH$113,Donnees_generations!$A$3:$A$113,MAX(1915,MIN(2025,E333))),SUMIFS(Donnees_generations!$AI$3:$AI$113,Donnees_generations!$A$3:$A$113,MAX(1915,MIN(2025,E333))),SUMIFS(Donnees_generations!$AJ$3:$AJ$113,Donnees_generations!$A$3:$A$113,MAX(1915,MIN(2025,E333)))))/2</f>
        <v/>
      </c>
      <c r="AJ333" s="8">
        <f>MAX(0,AH333+(AI333-AH333)*(K333-AG333)/2)</f>
        <v/>
      </c>
      <c r="AK333" s="8">
        <f>K333+AJ333</f>
        <v/>
      </c>
      <c r="AL333" s="14">
        <f>AE333*AJ333</f>
        <v/>
      </c>
      <c r="AM333" s="17">
        <f>V333/AL333</f>
        <v/>
      </c>
      <c r="AN333" s="17">
        <f>Z333/AL333</f>
        <v/>
      </c>
      <c r="AO333" s="33">
        <f>IF(V333+Z333=0,0,Z333/(V333+Z333))</f>
        <v/>
      </c>
      <c r="AP333" s="14">
        <f>AL333/V333*100</f>
        <v/>
      </c>
      <c r="AQ333" s="8">
        <f>P333/AL333*1000</f>
        <v/>
      </c>
      <c r="AR333" s="77">
        <f>MAX(N333,M333-1)</f>
        <v/>
      </c>
      <c r="AS333" s="14">
        <f>SUMIFS(Donnees_regimes!$R$3:$R$1118,Donnees_regimes!$A$3:$A$1118,C333,Donnees_regimes!$B$3:$B$1118,"&gt;="&amp;G333,Donnees_regimes!$B$3:$B$1118,"&lt;="&amp;N333)*L333/ROUNDUP(L333,0)*SUMIFS(Donnees_annuelles!$AG$3:$AG$188,Donnees_annuelles!$A$3:$A$188,AR333)*SUMIFS(Donnees_annuelles!$AA$3:$AA$188,Donnees_annuelles!$A$3:$A$188,AR333)</f>
        <v/>
      </c>
      <c r="AT333" s="36">
        <f>AS333/V333</f>
        <v/>
      </c>
      <c r="AU333" s="14">
        <f>AL333</f>
        <v/>
      </c>
      <c r="AV333" s="39">
        <f>AS333-AL333</f>
        <v/>
      </c>
      <c r="AW333" s="9">
        <f>AS333/AL333-1</f>
        <v/>
      </c>
      <c r="AX333" s="14">
        <f>AS333/AJ333/12</f>
        <v/>
      </c>
      <c r="AY333" s="14">
        <f>AF333</f>
        <v/>
      </c>
      <c r="AZ333" s="39">
        <f>AX333-AF333</f>
        <v/>
      </c>
      <c r="BA333" s="14">
        <f>SUMIFS(Donnees_regimes!$S$3:$S$1118,Donnees_regimes!$A$3:$A$1118,C333,Donnees_regimes!$B$3:$B$1118,"&gt;="&amp;G333,Donnees_regimes!$B$3:$B$1118,"&lt;="&amp;N333)*L333/ROUNDUP(L333,0)*SUMIFS(Donnees_annuelles!$AH$3:$AH$188,Donnees_annuelles!$A$3:$A$188,AR333)*SUMIFS(Donnees_annuelles!$AA$3:$AA$188,Donnees_annuelles!$A$3:$A$188,AR333)</f>
        <v/>
      </c>
      <c r="BB333" s="39">
        <f>BA333-AL333</f>
        <v/>
      </c>
      <c r="BC333" s="7">
        <f>IF(M333+AJ333&gt;2026,IF(G333&gt;2026,"entièrement projeté","en partie projeté"),"observé")</f>
        <v/>
      </c>
    </row>
    <row r="334">
      <c r="A334" s="7" t="inlineStr">
        <is>
          <t>Génération X</t>
        </is>
      </c>
      <c r="B334" s="84" t="inlineStr">
        <is>
          <t>SNCF</t>
        </is>
      </c>
      <c r="C334" s="7">
        <f>IF(G334&gt;=SUMIFS(Regimes!$C$5:$C$10,Regimes!$A$5:$A$10,B334),"Privé",B334)</f>
        <v/>
      </c>
      <c r="D334" s="7">
        <f>INDEX(Regimes!$D$5:$D$10,MATCH(C334,Regimes!$A$5:$A$10,0))</f>
        <v/>
      </c>
      <c r="E334" s="88" t="n">
        <v>1965</v>
      </c>
      <c r="F334" s="8">
        <f>Donnees_generations!C53</f>
        <v/>
      </c>
      <c r="G334" s="77">
        <f>Donnees_generations!D53</f>
        <v/>
      </c>
      <c r="H334" s="8">
        <f>SUMIFS(Donnees_generations!$S$3:$S$113,Donnees_generations!$A$3:$A$113,MAX(1915,MIN(2025,E334)))</f>
        <v/>
      </c>
      <c r="I334" s="8">
        <f>SUMIFS(Donnees_generations!$T$3:$T$113,Donnees_generations!$A$3:$A$113,MAX(1915,MIN(2025,E334)))</f>
        <v/>
      </c>
      <c r="J334" s="8">
        <f>IF(G334&gt;=2000,MAX(I334,Parametres!$B$3),I334)</f>
        <v/>
      </c>
      <c r="K334" s="8">
        <f>IF(C334="Privé",J334,SUMIFS(Regles_regimes!$J$3:$J$2000,Regles_regimes!$A$3:$A$2000,C334,Regles_regimes!$B$3:$B$2000,D334,Regles_regimes!$C$3:$C$2000,MAX(1915,MIN(2025,E334))))</f>
        <v/>
      </c>
      <c r="L334" s="8">
        <f>IF(C334="Privé",H334,(K334-F334)*H334/(J334-F334))</f>
        <v/>
      </c>
      <c r="M334" s="77">
        <f>INT(E334+K334)</f>
        <v/>
      </c>
      <c r="N334" s="77">
        <f>G334+ROUNDUP(L334,0)-1</f>
        <v/>
      </c>
      <c r="O334" s="89">
        <f>SUMIFS(Regles_regimes!$K$3:$K$2000,Regles_regimes!$A$3:$A$2000,C334,Regles_regimes!$B$3:$B$2000,D334,Regles_regimes!$C$3:$C$2000,MAX(1915,MIN(2025,E334)))</f>
        <v/>
      </c>
      <c r="P334" s="13">
        <f>SUMIFS(Donnees_annuelles!$W$3:$W$188,Donnees_annuelles!$A$3:$A$188,"&gt;="&amp;G334,Donnees_annuelles!$A$3:$A$188,"&lt;="&amp;N334)*L334/ROUNDUP(L334,0)*O334</f>
        <v/>
      </c>
      <c r="Q334" s="13">
        <f>SUMIFS(Donnees_annuelles!$V$3:$V$188,Donnees_annuelles!$A$3:$A$188,"&gt;="&amp;G334,Donnees_annuelles!$A$3:$A$188,"&lt;="&amp;N334)*L334/ROUNDUP(L334,0)</f>
        <v/>
      </c>
      <c r="R334" s="13">
        <f>P334/L334</f>
        <v/>
      </c>
      <c r="S334" s="14">
        <f>SUMIFS(Donnees_annuelles!$D$3:$D$188,Donnees_annuelles!$A$3:$A$188,"&gt;="&amp;G334,Donnees_annuelles!$A$3:$A$188,"&lt;="&amp;N334)*L334/ROUNDUP(L334,0)</f>
        <v/>
      </c>
      <c r="T334" s="14">
        <f>SUMIFS(Donnees_regimes!$N$3:$N$1118,Donnees_regimes!$A$3:$A$1118,C334,Donnees_regimes!$B$3:$B$1118,"&gt;="&amp;G334,Donnees_regimes!$B$3:$B$1118,"&lt;="&amp;N334)*L334/ROUNDUP(L334,0)</f>
        <v/>
      </c>
      <c r="U334" s="14">
        <f>SUMIFS(Donnees_regimes!$O$3:$O$1118,Donnees_regimes!$A$3:$A$1118,C334,Donnees_regimes!$B$3:$B$1118,"&gt;="&amp;G334,Donnees_regimes!$B$3:$B$1118,"&lt;="&amp;N334)*L334/ROUNDUP(L334,0)</f>
        <v/>
      </c>
      <c r="V334" s="14">
        <f>T334+U334</f>
        <v/>
      </c>
      <c r="W334" s="33">
        <f>V334/S334</f>
        <v/>
      </c>
      <c r="X334" s="14">
        <f>S334+U334</f>
        <v/>
      </c>
      <c r="Y334" s="17">
        <f>V334/P334</f>
        <v/>
      </c>
      <c r="Z334" s="14">
        <f>SUMIFS(Donnees_regimes!$Q$3:$Q$1118,Donnees_regimes!$A$3:$A$1118,C334,Donnees_regimes!$B$3:$B$1118,"&gt;="&amp;G334,Donnees_regimes!$B$3:$B$1118,"&lt;="&amp;N334)*L334/ROUNDUP(L334,0)</f>
        <v/>
      </c>
      <c r="AA334" s="77">
        <f>SUMIFS(Regles_regimes!$F$3:$F$2000,Regles_regimes!$A$3:$A$2000,C334,Regles_regimes!$B$3:$B$2000,D334,Regles_regimes!$C$3:$C$2000,MAX(1915,MIN(2025,E334)))</f>
        <v/>
      </c>
      <c r="AB334" s="77">
        <f>IF(AND(SUMIFS(Regles_regimes!$L$3:$L$2000,Regles_regimes!$A$3:$A$2000,C334,Regles_regimes!$B$3:$B$2000,D334,Regles_regimes!$C$3:$C$2000,MAX(1915,MIN(2025,E334)))=1,G334&lt;2009,C334&lt;&gt;"Privé"),MIN(20,L334*4/5),0)</f>
        <v/>
      </c>
      <c r="AC334" s="89">
        <f>SUMIFS(Donnees_regimes!$M$3:$M$1118,Donnees_regimes!$A$3:$A$1118,C334,Donnees_regimes!$B$3:$B$1118,M334)</f>
        <v/>
      </c>
      <c r="AD334" s="14">
        <f>SUMIFS(Donnees_annuelles!$Y$3:$Y$188,Donnees_annuelles!$A$3:$A$188,M334)*SUMIFS(Donnees_generations!$I$3:$I$113,Donnees_generations!$A$3:$A$113,MAX(1915,MIN(2025,E334)))/H334</f>
        <v/>
      </c>
      <c r="AE334" s="14">
        <f>IF(C334="Privé",SUMIFS(Donnees_annuelles!$Y$3:$Y$188,Donnees_annuelles!$A$3:$A$188,M334)*MIN(L334,SUMIFS(Donnees_generations!$I$3:$I$113,Donnees_generations!$A$3:$A$113,MAX(1915,MIN(2025,E334))))/L334,AD334*AC334*MIN(IF(AB334&gt;0,0.8/0.75,1),(L334*4+AB334)/AA334))</f>
        <v/>
      </c>
      <c r="AF334" s="14">
        <f>AE334/12</f>
        <v/>
      </c>
      <c r="AG334" s="77">
        <f>MIN(68,MAX(56,2*INT(K334/2)))</f>
        <v/>
      </c>
      <c r="AH334" s="75">
        <f>(CHOOSE((AG334-56)/2+1,SUMIFS(Donnees_generations!$U$3:$U$113,Donnees_generations!$A$3:$A$113,MAX(1915,MIN(2025,E334))),SUMIFS(Donnees_generations!$V$3:$V$113,Donnees_generations!$A$3:$A$113,MAX(1915,MIN(2025,E334))),SUMIFS(Donnees_generations!$W$3:$W$113,Donnees_generations!$A$3:$A$113,MAX(1915,MIN(2025,E334))),SUMIFS(Donnees_generations!$X$3:$X$113,Donnees_generations!$A$3:$A$113,MAX(1915,MIN(2025,E334))),SUMIFS(Donnees_generations!$Y$3:$Y$113,Donnees_generations!$A$3:$A$113,MAX(1915,MIN(2025,E334))),SUMIFS(Donnees_generations!$Z$3:$Z$113,Donnees_generations!$A$3:$A$113,MAX(1915,MIN(2025,E334))),SUMIFS(Donnees_generations!$AA$3:$AA$113,Donnees_generations!$A$3:$A$113,MAX(1915,MIN(2025,E334))),SUMIFS(Donnees_generations!$AB$3:$AB$113,Donnees_generations!$A$3:$A$113,MAX(1915,MIN(2025,E334))))+CHOOSE((AG334-56)/2+1,SUMIFS(Donnees_generations!$AC$3:$AC$113,Donnees_generations!$A$3:$A$113,MAX(1915,MIN(2025,E334))),SUMIFS(Donnees_generations!$AD$3:$AD$113,Donnees_generations!$A$3:$A$113,MAX(1915,MIN(2025,E334))),SUMIFS(Donnees_generations!$AE$3:$AE$113,Donnees_generations!$A$3:$A$113,MAX(1915,MIN(2025,E334))),SUMIFS(Donnees_generations!$AF$3:$AF$113,Donnees_generations!$A$3:$A$113,MAX(1915,MIN(2025,E334))),SUMIFS(Donnees_generations!$AG$3:$AG$113,Donnees_generations!$A$3:$A$113,MAX(1915,MIN(2025,E334))),SUMIFS(Donnees_generations!$AH$3:$AH$113,Donnees_generations!$A$3:$A$113,MAX(1915,MIN(2025,E334))),SUMIFS(Donnees_generations!$AI$3:$AI$113,Donnees_generations!$A$3:$A$113,MAX(1915,MIN(2025,E334))),SUMIFS(Donnees_generations!$AJ$3:$AJ$113,Donnees_generations!$A$3:$A$113,MAX(1915,MIN(2025,E334)))))/2</f>
        <v/>
      </c>
      <c r="AI334" s="75">
        <f>(CHOOSE(((AG334+2)-56)/2+1,SUMIFS(Donnees_generations!$U$3:$U$113,Donnees_generations!$A$3:$A$113,MAX(1915,MIN(2025,E334))),SUMIFS(Donnees_generations!$V$3:$V$113,Donnees_generations!$A$3:$A$113,MAX(1915,MIN(2025,E334))),SUMIFS(Donnees_generations!$W$3:$W$113,Donnees_generations!$A$3:$A$113,MAX(1915,MIN(2025,E334))),SUMIFS(Donnees_generations!$X$3:$X$113,Donnees_generations!$A$3:$A$113,MAX(1915,MIN(2025,E334))),SUMIFS(Donnees_generations!$Y$3:$Y$113,Donnees_generations!$A$3:$A$113,MAX(1915,MIN(2025,E334))),SUMIFS(Donnees_generations!$Z$3:$Z$113,Donnees_generations!$A$3:$A$113,MAX(1915,MIN(2025,E334))),SUMIFS(Donnees_generations!$AA$3:$AA$113,Donnees_generations!$A$3:$A$113,MAX(1915,MIN(2025,E334))),SUMIFS(Donnees_generations!$AB$3:$AB$113,Donnees_generations!$A$3:$A$113,MAX(1915,MIN(2025,E334))))+CHOOSE(((AG334+2)-56)/2+1,SUMIFS(Donnees_generations!$AC$3:$AC$113,Donnees_generations!$A$3:$A$113,MAX(1915,MIN(2025,E334))),SUMIFS(Donnees_generations!$AD$3:$AD$113,Donnees_generations!$A$3:$A$113,MAX(1915,MIN(2025,E334))),SUMIFS(Donnees_generations!$AE$3:$AE$113,Donnees_generations!$A$3:$A$113,MAX(1915,MIN(2025,E334))),SUMIFS(Donnees_generations!$AF$3:$AF$113,Donnees_generations!$A$3:$A$113,MAX(1915,MIN(2025,E334))),SUMIFS(Donnees_generations!$AG$3:$AG$113,Donnees_generations!$A$3:$A$113,MAX(1915,MIN(2025,E334))),SUMIFS(Donnees_generations!$AH$3:$AH$113,Donnees_generations!$A$3:$A$113,MAX(1915,MIN(2025,E334))),SUMIFS(Donnees_generations!$AI$3:$AI$113,Donnees_generations!$A$3:$A$113,MAX(1915,MIN(2025,E334))),SUMIFS(Donnees_generations!$AJ$3:$AJ$113,Donnees_generations!$A$3:$A$113,MAX(1915,MIN(2025,E334)))))/2</f>
        <v/>
      </c>
      <c r="AJ334" s="8">
        <f>MAX(0,AH334+(AI334-AH334)*(K334-AG334)/2)</f>
        <v/>
      </c>
      <c r="AK334" s="8">
        <f>K334+AJ334</f>
        <v/>
      </c>
      <c r="AL334" s="14">
        <f>AE334*AJ334</f>
        <v/>
      </c>
      <c r="AM334" s="17">
        <f>V334/AL334</f>
        <v/>
      </c>
      <c r="AN334" s="17">
        <f>Z334/AL334</f>
        <v/>
      </c>
      <c r="AO334" s="33">
        <f>IF(V334+Z334=0,0,Z334/(V334+Z334))</f>
        <v/>
      </c>
      <c r="AP334" s="14">
        <f>AL334/V334*100</f>
        <v/>
      </c>
      <c r="AQ334" s="8">
        <f>P334/AL334*1000</f>
        <v/>
      </c>
      <c r="AR334" s="77">
        <f>MAX(N334,M334-1)</f>
        <v/>
      </c>
      <c r="AS334" s="14">
        <f>SUMIFS(Donnees_regimes!$R$3:$R$1118,Donnees_regimes!$A$3:$A$1118,C334,Donnees_regimes!$B$3:$B$1118,"&gt;="&amp;G334,Donnees_regimes!$B$3:$B$1118,"&lt;="&amp;N334)*L334/ROUNDUP(L334,0)*SUMIFS(Donnees_annuelles!$AG$3:$AG$188,Donnees_annuelles!$A$3:$A$188,AR334)*SUMIFS(Donnees_annuelles!$AA$3:$AA$188,Donnees_annuelles!$A$3:$A$188,AR334)</f>
        <v/>
      </c>
      <c r="AT334" s="36">
        <f>AS334/V334</f>
        <v/>
      </c>
      <c r="AU334" s="14">
        <f>AL334</f>
        <v/>
      </c>
      <c r="AV334" s="39">
        <f>AS334-AL334</f>
        <v/>
      </c>
      <c r="AW334" s="9">
        <f>AS334/AL334-1</f>
        <v/>
      </c>
      <c r="AX334" s="14">
        <f>AS334/AJ334/12</f>
        <v/>
      </c>
      <c r="AY334" s="14">
        <f>AF334</f>
        <v/>
      </c>
      <c r="AZ334" s="39">
        <f>AX334-AF334</f>
        <v/>
      </c>
      <c r="BA334" s="14">
        <f>SUMIFS(Donnees_regimes!$S$3:$S$1118,Donnees_regimes!$A$3:$A$1118,C334,Donnees_regimes!$B$3:$B$1118,"&gt;="&amp;G334,Donnees_regimes!$B$3:$B$1118,"&lt;="&amp;N334)*L334/ROUNDUP(L334,0)*SUMIFS(Donnees_annuelles!$AH$3:$AH$188,Donnees_annuelles!$A$3:$A$188,AR334)*SUMIFS(Donnees_annuelles!$AA$3:$AA$188,Donnees_annuelles!$A$3:$A$188,AR334)</f>
        <v/>
      </c>
      <c r="BB334" s="39">
        <f>BA334-AL334</f>
        <v/>
      </c>
      <c r="BC334" s="7">
        <f>IF(M334+AJ334&gt;2026,IF(G334&gt;2026,"entièrement projeté","en partie projeté"),"observé")</f>
        <v/>
      </c>
    </row>
    <row r="335">
      <c r="A335" s="7" t="inlineStr">
        <is>
          <t>Génération X</t>
        </is>
      </c>
      <c r="B335" s="84" t="inlineStr">
        <is>
          <t>SNCF</t>
        </is>
      </c>
      <c r="C335" s="7">
        <f>IF(G335&gt;=SUMIFS(Regimes!$C$5:$C$10,Regimes!$A$5:$A$10,B335),"Privé",B335)</f>
        <v/>
      </c>
      <c r="D335" s="7">
        <f>INDEX(Regimes!$D$5:$D$10,MATCH(C335,Regimes!$A$5:$A$10,0))</f>
        <v/>
      </c>
      <c r="E335" s="88" t="n">
        <v>1966</v>
      </c>
      <c r="F335" s="8">
        <f>Donnees_generations!C54</f>
        <v/>
      </c>
      <c r="G335" s="77">
        <f>Donnees_generations!D54</f>
        <v/>
      </c>
      <c r="H335" s="8">
        <f>SUMIFS(Donnees_generations!$S$3:$S$113,Donnees_generations!$A$3:$A$113,MAX(1915,MIN(2025,E335)))</f>
        <v/>
      </c>
      <c r="I335" s="8">
        <f>SUMIFS(Donnees_generations!$T$3:$T$113,Donnees_generations!$A$3:$A$113,MAX(1915,MIN(2025,E335)))</f>
        <v/>
      </c>
      <c r="J335" s="8">
        <f>IF(G335&gt;=2000,MAX(I335,Parametres!$B$3),I335)</f>
        <v/>
      </c>
      <c r="K335" s="8">
        <f>IF(C335="Privé",J335,SUMIFS(Regles_regimes!$J$3:$J$2000,Regles_regimes!$A$3:$A$2000,C335,Regles_regimes!$B$3:$B$2000,D335,Regles_regimes!$C$3:$C$2000,MAX(1915,MIN(2025,E335))))</f>
        <v/>
      </c>
      <c r="L335" s="8">
        <f>IF(C335="Privé",H335,(K335-F335)*H335/(J335-F335))</f>
        <v/>
      </c>
      <c r="M335" s="77">
        <f>INT(E335+K335)</f>
        <v/>
      </c>
      <c r="N335" s="77">
        <f>G335+ROUNDUP(L335,0)-1</f>
        <v/>
      </c>
      <c r="O335" s="89">
        <f>SUMIFS(Regles_regimes!$K$3:$K$2000,Regles_regimes!$A$3:$A$2000,C335,Regles_regimes!$B$3:$B$2000,D335,Regles_regimes!$C$3:$C$2000,MAX(1915,MIN(2025,E335)))</f>
        <v/>
      </c>
      <c r="P335" s="13">
        <f>SUMIFS(Donnees_annuelles!$W$3:$W$188,Donnees_annuelles!$A$3:$A$188,"&gt;="&amp;G335,Donnees_annuelles!$A$3:$A$188,"&lt;="&amp;N335)*L335/ROUNDUP(L335,0)*O335</f>
        <v/>
      </c>
      <c r="Q335" s="13">
        <f>SUMIFS(Donnees_annuelles!$V$3:$V$188,Donnees_annuelles!$A$3:$A$188,"&gt;="&amp;G335,Donnees_annuelles!$A$3:$A$188,"&lt;="&amp;N335)*L335/ROUNDUP(L335,0)</f>
        <v/>
      </c>
      <c r="R335" s="13">
        <f>P335/L335</f>
        <v/>
      </c>
      <c r="S335" s="14">
        <f>SUMIFS(Donnees_annuelles!$D$3:$D$188,Donnees_annuelles!$A$3:$A$188,"&gt;="&amp;G335,Donnees_annuelles!$A$3:$A$188,"&lt;="&amp;N335)*L335/ROUNDUP(L335,0)</f>
        <v/>
      </c>
      <c r="T335" s="14">
        <f>SUMIFS(Donnees_regimes!$N$3:$N$1118,Donnees_regimes!$A$3:$A$1118,C335,Donnees_regimes!$B$3:$B$1118,"&gt;="&amp;G335,Donnees_regimes!$B$3:$B$1118,"&lt;="&amp;N335)*L335/ROUNDUP(L335,0)</f>
        <v/>
      </c>
      <c r="U335" s="14">
        <f>SUMIFS(Donnees_regimes!$O$3:$O$1118,Donnees_regimes!$A$3:$A$1118,C335,Donnees_regimes!$B$3:$B$1118,"&gt;="&amp;G335,Donnees_regimes!$B$3:$B$1118,"&lt;="&amp;N335)*L335/ROUNDUP(L335,0)</f>
        <v/>
      </c>
      <c r="V335" s="14">
        <f>T335+U335</f>
        <v/>
      </c>
      <c r="W335" s="33">
        <f>V335/S335</f>
        <v/>
      </c>
      <c r="X335" s="14">
        <f>S335+U335</f>
        <v/>
      </c>
      <c r="Y335" s="17">
        <f>V335/P335</f>
        <v/>
      </c>
      <c r="Z335" s="14">
        <f>SUMIFS(Donnees_regimes!$Q$3:$Q$1118,Donnees_regimes!$A$3:$A$1118,C335,Donnees_regimes!$B$3:$B$1118,"&gt;="&amp;G335,Donnees_regimes!$B$3:$B$1118,"&lt;="&amp;N335)*L335/ROUNDUP(L335,0)</f>
        <v/>
      </c>
      <c r="AA335" s="77">
        <f>SUMIFS(Regles_regimes!$F$3:$F$2000,Regles_regimes!$A$3:$A$2000,C335,Regles_regimes!$B$3:$B$2000,D335,Regles_regimes!$C$3:$C$2000,MAX(1915,MIN(2025,E335)))</f>
        <v/>
      </c>
      <c r="AB335" s="77">
        <f>IF(AND(SUMIFS(Regles_regimes!$L$3:$L$2000,Regles_regimes!$A$3:$A$2000,C335,Regles_regimes!$B$3:$B$2000,D335,Regles_regimes!$C$3:$C$2000,MAX(1915,MIN(2025,E335)))=1,G335&lt;2009,C335&lt;&gt;"Privé"),MIN(20,L335*4/5),0)</f>
        <v/>
      </c>
      <c r="AC335" s="89">
        <f>SUMIFS(Donnees_regimes!$M$3:$M$1118,Donnees_regimes!$A$3:$A$1118,C335,Donnees_regimes!$B$3:$B$1118,M335)</f>
        <v/>
      </c>
      <c r="AD335" s="14">
        <f>SUMIFS(Donnees_annuelles!$Y$3:$Y$188,Donnees_annuelles!$A$3:$A$188,M335)*SUMIFS(Donnees_generations!$I$3:$I$113,Donnees_generations!$A$3:$A$113,MAX(1915,MIN(2025,E335)))/H335</f>
        <v/>
      </c>
      <c r="AE335" s="14">
        <f>IF(C335="Privé",SUMIFS(Donnees_annuelles!$Y$3:$Y$188,Donnees_annuelles!$A$3:$A$188,M335)*MIN(L335,SUMIFS(Donnees_generations!$I$3:$I$113,Donnees_generations!$A$3:$A$113,MAX(1915,MIN(2025,E335))))/L335,AD335*AC335*MIN(IF(AB335&gt;0,0.8/0.75,1),(L335*4+AB335)/AA335))</f>
        <v/>
      </c>
      <c r="AF335" s="14">
        <f>AE335/12</f>
        <v/>
      </c>
      <c r="AG335" s="77">
        <f>MIN(68,MAX(56,2*INT(K335/2)))</f>
        <v/>
      </c>
      <c r="AH335" s="75">
        <f>(CHOOSE((AG335-56)/2+1,SUMIFS(Donnees_generations!$U$3:$U$113,Donnees_generations!$A$3:$A$113,MAX(1915,MIN(2025,E335))),SUMIFS(Donnees_generations!$V$3:$V$113,Donnees_generations!$A$3:$A$113,MAX(1915,MIN(2025,E335))),SUMIFS(Donnees_generations!$W$3:$W$113,Donnees_generations!$A$3:$A$113,MAX(1915,MIN(2025,E335))),SUMIFS(Donnees_generations!$X$3:$X$113,Donnees_generations!$A$3:$A$113,MAX(1915,MIN(2025,E335))),SUMIFS(Donnees_generations!$Y$3:$Y$113,Donnees_generations!$A$3:$A$113,MAX(1915,MIN(2025,E335))),SUMIFS(Donnees_generations!$Z$3:$Z$113,Donnees_generations!$A$3:$A$113,MAX(1915,MIN(2025,E335))),SUMIFS(Donnees_generations!$AA$3:$AA$113,Donnees_generations!$A$3:$A$113,MAX(1915,MIN(2025,E335))),SUMIFS(Donnees_generations!$AB$3:$AB$113,Donnees_generations!$A$3:$A$113,MAX(1915,MIN(2025,E335))))+CHOOSE((AG335-56)/2+1,SUMIFS(Donnees_generations!$AC$3:$AC$113,Donnees_generations!$A$3:$A$113,MAX(1915,MIN(2025,E335))),SUMIFS(Donnees_generations!$AD$3:$AD$113,Donnees_generations!$A$3:$A$113,MAX(1915,MIN(2025,E335))),SUMIFS(Donnees_generations!$AE$3:$AE$113,Donnees_generations!$A$3:$A$113,MAX(1915,MIN(2025,E335))),SUMIFS(Donnees_generations!$AF$3:$AF$113,Donnees_generations!$A$3:$A$113,MAX(1915,MIN(2025,E335))),SUMIFS(Donnees_generations!$AG$3:$AG$113,Donnees_generations!$A$3:$A$113,MAX(1915,MIN(2025,E335))),SUMIFS(Donnees_generations!$AH$3:$AH$113,Donnees_generations!$A$3:$A$113,MAX(1915,MIN(2025,E335))),SUMIFS(Donnees_generations!$AI$3:$AI$113,Donnees_generations!$A$3:$A$113,MAX(1915,MIN(2025,E335))),SUMIFS(Donnees_generations!$AJ$3:$AJ$113,Donnees_generations!$A$3:$A$113,MAX(1915,MIN(2025,E335)))))/2</f>
        <v/>
      </c>
      <c r="AI335" s="75">
        <f>(CHOOSE(((AG335+2)-56)/2+1,SUMIFS(Donnees_generations!$U$3:$U$113,Donnees_generations!$A$3:$A$113,MAX(1915,MIN(2025,E335))),SUMIFS(Donnees_generations!$V$3:$V$113,Donnees_generations!$A$3:$A$113,MAX(1915,MIN(2025,E335))),SUMIFS(Donnees_generations!$W$3:$W$113,Donnees_generations!$A$3:$A$113,MAX(1915,MIN(2025,E335))),SUMIFS(Donnees_generations!$X$3:$X$113,Donnees_generations!$A$3:$A$113,MAX(1915,MIN(2025,E335))),SUMIFS(Donnees_generations!$Y$3:$Y$113,Donnees_generations!$A$3:$A$113,MAX(1915,MIN(2025,E335))),SUMIFS(Donnees_generations!$Z$3:$Z$113,Donnees_generations!$A$3:$A$113,MAX(1915,MIN(2025,E335))),SUMIFS(Donnees_generations!$AA$3:$AA$113,Donnees_generations!$A$3:$A$113,MAX(1915,MIN(2025,E335))),SUMIFS(Donnees_generations!$AB$3:$AB$113,Donnees_generations!$A$3:$A$113,MAX(1915,MIN(2025,E335))))+CHOOSE(((AG335+2)-56)/2+1,SUMIFS(Donnees_generations!$AC$3:$AC$113,Donnees_generations!$A$3:$A$113,MAX(1915,MIN(2025,E335))),SUMIFS(Donnees_generations!$AD$3:$AD$113,Donnees_generations!$A$3:$A$113,MAX(1915,MIN(2025,E335))),SUMIFS(Donnees_generations!$AE$3:$AE$113,Donnees_generations!$A$3:$A$113,MAX(1915,MIN(2025,E335))),SUMIFS(Donnees_generations!$AF$3:$AF$113,Donnees_generations!$A$3:$A$113,MAX(1915,MIN(2025,E335))),SUMIFS(Donnees_generations!$AG$3:$AG$113,Donnees_generations!$A$3:$A$113,MAX(1915,MIN(2025,E335))),SUMIFS(Donnees_generations!$AH$3:$AH$113,Donnees_generations!$A$3:$A$113,MAX(1915,MIN(2025,E335))),SUMIFS(Donnees_generations!$AI$3:$AI$113,Donnees_generations!$A$3:$A$113,MAX(1915,MIN(2025,E335))),SUMIFS(Donnees_generations!$AJ$3:$AJ$113,Donnees_generations!$A$3:$A$113,MAX(1915,MIN(2025,E335)))))/2</f>
        <v/>
      </c>
      <c r="AJ335" s="8">
        <f>MAX(0,AH335+(AI335-AH335)*(K335-AG335)/2)</f>
        <v/>
      </c>
      <c r="AK335" s="8">
        <f>K335+AJ335</f>
        <v/>
      </c>
      <c r="AL335" s="14">
        <f>AE335*AJ335</f>
        <v/>
      </c>
      <c r="AM335" s="17">
        <f>V335/AL335</f>
        <v/>
      </c>
      <c r="AN335" s="17">
        <f>Z335/AL335</f>
        <v/>
      </c>
      <c r="AO335" s="33">
        <f>IF(V335+Z335=0,0,Z335/(V335+Z335))</f>
        <v/>
      </c>
      <c r="AP335" s="14">
        <f>AL335/V335*100</f>
        <v/>
      </c>
      <c r="AQ335" s="8">
        <f>P335/AL335*1000</f>
        <v/>
      </c>
      <c r="AR335" s="77">
        <f>MAX(N335,M335-1)</f>
        <v/>
      </c>
      <c r="AS335" s="14">
        <f>SUMIFS(Donnees_regimes!$R$3:$R$1118,Donnees_regimes!$A$3:$A$1118,C335,Donnees_regimes!$B$3:$B$1118,"&gt;="&amp;G335,Donnees_regimes!$B$3:$B$1118,"&lt;="&amp;N335)*L335/ROUNDUP(L335,0)*SUMIFS(Donnees_annuelles!$AG$3:$AG$188,Donnees_annuelles!$A$3:$A$188,AR335)*SUMIFS(Donnees_annuelles!$AA$3:$AA$188,Donnees_annuelles!$A$3:$A$188,AR335)</f>
        <v/>
      </c>
      <c r="AT335" s="36">
        <f>AS335/V335</f>
        <v/>
      </c>
      <c r="AU335" s="14">
        <f>AL335</f>
        <v/>
      </c>
      <c r="AV335" s="39">
        <f>AS335-AL335</f>
        <v/>
      </c>
      <c r="AW335" s="9">
        <f>AS335/AL335-1</f>
        <v/>
      </c>
      <c r="AX335" s="14">
        <f>AS335/AJ335/12</f>
        <v/>
      </c>
      <c r="AY335" s="14">
        <f>AF335</f>
        <v/>
      </c>
      <c r="AZ335" s="39">
        <f>AX335-AF335</f>
        <v/>
      </c>
      <c r="BA335" s="14">
        <f>SUMIFS(Donnees_regimes!$S$3:$S$1118,Donnees_regimes!$A$3:$A$1118,C335,Donnees_regimes!$B$3:$B$1118,"&gt;="&amp;G335,Donnees_regimes!$B$3:$B$1118,"&lt;="&amp;N335)*L335/ROUNDUP(L335,0)*SUMIFS(Donnees_annuelles!$AH$3:$AH$188,Donnees_annuelles!$A$3:$A$188,AR335)*SUMIFS(Donnees_annuelles!$AA$3:$AA$188,Donnees_annuelles!$A$3:$A$188,AR335)</f>
        <v/>
      </c>
      <c r="BB335" s="39">
        <f>BA335-AL335</f>
        <v/>
      </c>
      <c r="BC335" s="7">
        <f>IF(M335+AJ335&gt;2026,IF(G335&gt;2026,"entièrement projeté","en partie projeté"),"observé")</f>
        <v/>
      </c>
    </row>
    <row r="336">
      <c r="A336" s="7" t="inlineStr">
        <is>
          <t>Génération X</t>
        </is>
      </c>
      <c r="B336" s="84" t="inlineStr">
        <is>
          <t>SNCF</t>
        </is>
      </c>
      <c r="C336" s="7">
        <f>IF(G336&gt;=SUMIFS(Regimes!$C$5:$C$10,Regimes!$A$5:$A$10,B336),"Privé",B336)</f>
        <v/>
      </c>
      <c r="D336" s="7">
        <f>INDEX(Regimes!$D$5:$D$10,MATCH(C336,Regimes!$A$5:$A$10,0))</f>
        <v/>
      </c>
      <c r="E336" s="88" t="n">
        <v>1967</v>
      </c>
      <c r="F336" s="8">
        <f>Donnees_generations!C55</f>
        <v/>
      </c>
      <c r="G336" s="77">
        <f>Donnees_generations!D55</f>
        <v/>
      </c>
      <c r="H336" s="8">
        <f>SUMIFS(Donnees_generations!$S$3:$S$113,Donnees_generations!$A$3:$A$113,MAX(1915,MIN(2025,E336)))</f>
        <v/>
      </c>
      <c r="I336" s="8">
        <f>SUMIFS(Donnees_generations!$T$3:$T$113,Donnees_generations!$A$3:$A$113,MAX(1915,MIN(2025,E336)))</f>
        <v/>
      </c>
      <c r="J336" s="8">
        <f>IF(G336&gt;=2000,MAX(I336,Parametres!$B$3),I336)</f>
        <v/>
      </c>
      <c r="K336" s="8">
        <f>IF(C336="Privé",J336,SUMIFS(Regles_regimes!$J$3:$J$2000,Regles_regimes!$A$3:$A$2000,C336,Regles_regimes!$B$3:$B$2000,D336,Regles_regimes!$C$3:$C$2000,MAX(1915,MIN(2025,E336))))</f>
        <v/>
      </c>
      <c r="L336" s="8">
        <f>IF(C336="Privé",H336,(K336-F336)*H336/(J336-F336))</f>
        <v/>
      </c>
      <c r="M336" s="77">
        <f>INT(E336+K336)</f>
        <v/>
      </c>
      <c r="N336" s="77">
        <f>G336+ROUNDUP(L336,0)-1</f>
        <v/>
      </c>
      <c r="O336" s="89">
        <f>SUMIFS(Regles_regimes!$K$3:$K$2000,Regles_regimes!$A$3:$A$2000,C336,Regles_regimes!$B$3:$B$2000,D336,Regles_regimes!$C$3:$C$2000,MAX(1915,MIN(2025,E336)))</f>
        <v/>
      </c>
      <c r="P336" s="13">
        <f>SUMIFS(Donnees_annuelles!$W$3:$W$188,Donnees_annuelles!$A$3:$A$188,"&gt;="&amp;G336,Donnees_annuelles!$A$3:$A$188,"&lt;="&amp;N336)*L336/ROUNDUP(L336,0)*O336</f>
        <v/>
      </c>
      <c r="Q336" s="13">
        <f>SUMIFS(Donnees_annuelles!$V$3:$V$188,Donnees_annuelles!$A$3:$A$188,"&gt;="&amp;G336,Donnees_annuelles!$A$3:$A$188,"&lt;="&amp;N336)*L336/ROUNDUP(L336,0)</f>
        <v/>
      </c>
      <c r="R336" s="13">
        <f>P336/L336</f>
        <v/>
      </c>
      <c r="S336" s="14">
        <f>SUMIFS(Donnees_annuelles!$D$3:$D$188,Donnees_annuelles!$A$3:$A$188,"&gt;="&amp;G336,Donnees_annuelles!$A$3:$A$188,"&lt;="&amp;N336)*L336/ROUNDUP(L336,0)</f>
        <v/>
      </c>
      <c r="T336" s="14">
        <f>SUMIFS(Donnees_regimes!$N$3:$N$1118,Donnees_regimes!$A$3:$A$1118,C336,Donnees_regimes!$B$3:$B$1118,"&gt;="&amp;G336,Donnees_regimes!$B$3:$B$1118,"&lt;="&amp;N336)*L336/ROUNDUP(L336,0)</f>
        <v/>
      </c>
      <c r="U336" s="14">
        <f>SUMIFS(Donnees_regimes!$O$3:$O$1118,Donnees_regimes!$A$3:$A$1118,C336,Donnees_regimes!$B$3:$B$1118,"&gt;="&amp;G336,Donnees_regimes!$B$3:$B$1118,"&lt;="&amp;N336)*L336/ROUNDUP(L336,0)</f>
        <v/>
      </c>
      <c r="V336" s="14">
        <f>T336+U336</f>
        <v/>
      </c>
      <c r="W336" s="33">
        <f>V336/S336</f>
        <v/>
      </c>
      <c r="X336" s="14">
        <f>S336+U336</f>
        <v/>
      </c>
      <c r="Y336" s="17">
        <f>V336/P336</f>
        <v/>
      </c>
      <c r="Z336" s="14">
        <f>SUMIFS(Donnees_regimes!$Q$3:$Q$1118,Donnees_regimes!$A$3:$A$1118,C336,Donnees_regimes!$B$3:$B$1118,"&gt;="&amp;G336,Donnees_regimes!$B$3:$B$1118,"&lt;="&amp;N336)*L336/ROUNDUP(L336,0)</f>
        <v/>
      </c>
      <c r="AA336" s="77">
        <f>SUMIFS(Regles_regimes!$F$3:$F$2000,Regles_regimes!$A$3:$A$2000,C336,Regles_regimes!$B$3:$B$2000,D336,Regles_regimes!$C$3:$C$2000,MAX(1915,MIN(2025,E336)))</f>
        <v/>
      </c>
      <c r="AB336" s="77">
        <f>IF(AND(SUMIFS(Regles_regimes!$L$3:$L$2000,Regles_regimes!$A$3:$A$2000,C336,Regles_regimes!$B$3:$B$2000,D336,Regles_regimes!$C$3:$C$2000,MAX(1915,MIN(2025,E336)))=1,G336&lt;2009,C336&lt;&gt;"Privé"),MIN(20,L336*4/5),0)</f>
        <v/>
      </c>
      <c r="AC336" s="89">
        <f>SUMIFS(Donnees_regimes!$M$3:$M$1118,Donnees_regimes!$A$3:$A$1118,C336,Donnees_regimes!$B$3:$B$1118,M336)</f>
        <v/>
      </c>
      <c r="AD336" s="14">
        <f>SUMIFS(Donnees_annuelles!$Y$3:$Y$188,Donnees_annuelles!$A$3:$A$188,M336)*SUMIFS(Donnees_generations!$I$3:$I$113,Donnees_generations!$A$3:$A$113,MAX(1915,MIN(2025,E336)))/H336</f>
        <v/>
      </c>
      <c r="AE336" s="14">
        <f>IF(C336="Privé",SUMIFS(Donnees_annuelles!$Y$3:$Y$188,Donnees_annuelles!$A$3:$A$188,M336)*MIN(L336,SUMIFS(Donnees_generations!$I$3:$I$113,Donnees_generations!$A$3:$A$113,MAX(1915,MIN(2025,E336))))/L336,AD336*AC336*MIN(IF(AB336&gt;0,0.8/0.75,1),(L336*4+AB336)/AA336))</f>
        <v/>
      </c>
      <c r="AF336" s="14">
        <f>AE336/12</f>
        <v/>
      </c>
      <c r="AG336" s="77">
        <f>MIN(68,MAX(56,2*INT(K336/2)))</f>
        <v/>
      </c>
      <c r="AH336" s="75">
        <f>(CHOOSE((AG336-56)/2+1,SUMIFS(Donnees_generations!$U$3:$U$113,Donnees_generations!$A$3:$A$113,MAX(1915,MIN(2025,E336))),SUMIFS(Donnees_generations!$V$3:$V$113,Donnees_generations!$A$3:$A$113,MAX(1915,MIN(2025,E336))),SUMIFS(Donnees_generations!$W$3:$W$113,Donnees_generations!$A$3:$A$113,MAX(1915,MIN(2025,E336))),SUMIFS(Donnees_generations!$X$3:$X$113,Donnees_generations!$A$3:$A$113,MAX(1915,MIN(2025,E336))),SUMIFS(Donnees_generations!$Y$3:$Y$113,Donnees_generations!$A$3:$A$113,MAX(1915,MIN(2025,E336))),SUMIFS(Donnees_generations!$Z$3:$Z$113,Donnees_generations!$A$3:$A$113,MAX(1915,MIN(2025,E336))),SUMIFS(Donnees_generations!$AA$3:$AA$113,Donnees_generations!$A$3:$A$113,MAX(1915,MIN(2025,E336))),SUMIFS(Donnees_generations!$AB$3:$AB$113,Donnees_generations!$A$3:$A$113,MAX(1915,MIN(2025,E336))))+CHOOSE((AG336-56)/2+1,SUMIFS(Donnees_generations!$AC$3:$AC$113,Donnees_generations!$A$3:$A$113,MAX(1915,MIN(2025,E336))),SUMIFS(Donnees_generations!$AD$3:$AD$113,Donnees_generations!$A$3:$A$113,MAX(1915,MIN(2025,E336))),SUMIFS(Donnees_generations!$AE$3:$AE$113,Donnees_generations!$A$3:$A$113,MAX(1915,MIN(2025,E336))),SUMIFS(Donnees_generations!$AF$3:$AF$113,Donnees_generations!$A$3:$A$113,MAX(1915,MIN(2025,E336))),SUMIFS(Donnees_generations!$AG$3:$AG$113,Donnees_generations!$A$3:$A$113,MAX(1915,MIN(2025,E336))),SUMIFS(Donnees_generations!$AH$3:$AH$113,Donnees_generations!$A$3:$A$113,MAX(1915,MIN(2025,E336))),SUMIFS(Donnees_generations!$AI$3:$AI$113,Donnees_generations!$A$3:$A$113,MAX(1915,MIN(2025,E336))),SUMIFS(Donnees_generations!$AJ$3:$AJ$113,Donnees_generations!$A$3:$A$113,MAX(1915,MIN(2025,E336)))))/2</f>
        <v/>
      </c>
      <c r="AI336" s="75">
        <f>(CHOOSE(((AG336+2)-56)/2+1,SUMIFS(Donnees_generations!$U$3:$U$113,Donnees_generations!$A$3:$A$113,MAX(1915,MIN(2025,E336))),SUMIFS(Donnees_generations!$V$3:$V$113,Donnees_generations!$A$3:$A$113,MAX(1915,MIN(2025,E336))),SUMIFS(Donnees_generations!$W$3:$W$113,Donnees_generations!$A$3:$A$113,MAX(1915,MIN(2025,E336))),SUMIFS(Donnees_generations!$X$3:$X$113,Donnees_generations!$A$3:$A$113,MAX(1915,MIN(2025,E336))),SUMIFS(Donnees_generations!$Y$3:$Y$113,Donnees_generations!$A$3:$A$113,MAX(1915,MIN(2025,E336))),SUMIFS(Donnees_generations!$Z$3:$Z$113,Donnees_generations!$A$3:$A$113,MAX(1915,MIN(2025,E336))),SUMIFS(Donnees_generations!$AA$3:$AA$113,Donnees_generations!$A$3:$A$113,MAX(1915,MIN(2025,E336))),SUMIFS(Donnees_generations!$AB$3:$AB$113,Donnees_generations!$A$3:$A$113,MAX(1915,MIN(2025,E336))))+CHOOSE(((AG336+2)-56)/2+1,SUMIFS(Donnees_generations!$AC$3:$AC$113,Donnees_generations!$A$3:$A$113,MAX(1915,MIN(2025,E336))),SUMIFS(Donnees_generations!$AD$3:$AD$113,Donnees_generations!$A$3:$A$113,MAX(1915,MIN(2025,E336))),SUMIFS(Donnees_generations!$AE$3:$AE$113,Donnees_generations!$A$3:$A$113,MAX(1915,MIN(2025,E336))),SUMIFS(Donnees_generations!$AF$3:$AF$113,Donnees_generations!$A$3:$A$113,MAX(1915,MIN(2025,E336))),SUMIFS(Donnees_generations!$AG$3:$AG$113,Donnees_generations!$A$3:$A$113,MAX(1915,MIN(2025,E336))),SUMIFS(Donnees_generations!$AH$3:$AH$113,Donnees_generations!$A$3:$A$113,MAX(1915,MIN(2025,E336))),SUMIFS(Donnees_generations!$AI$3:$AI$113,Donnees_generations!$A$3:$A$113,MAX(1915,MIN(2025,E336))),SUMIFS(Donnees_generations!$AJ$3:$AJ$113,Donnees_generations!$A$3:$A$113,MAX(1915,MIN(2025,E336)))))/2</f>
        <v/>
      </c>
      <c r="AJ336" s="8">
        <f>MAX(0,AH336+(AI336-AH336)*(K336-AG336)/2)</f>
        <v/>
      </c>
      <c r="AK336" s="8">
        <f>K336+AJ336</f>
        <v/>
      </c>
      <c r="AL336" s="14">
        <f>AE336*AJ336</f>
        <v/>
      </c>
      <c r="AM336" s="17">
        <f>V336/AL336</f>
        <v/>
      </c>
      <c r="AN336" s="17">
        <f>Z336/AL336</f>
        <v/>
      </c>
      <c r="AO336" s="33">
        <f>IF(V336+Z336=0,0,Z336/(V336+Z336))</f>
        <v/>
      </c>
      <c r="AP336" s="14">
        <f>AL336/V336*100</f>
        <v/>
      </c>
      <c r="AQ336" s="8">
        <f>P336/AL336*1000</f>
        <v/>
      </c>
      <c r="AR336" s="77">
        <f>MAX(N336,M336-1)</f>
        <v/>
      </c>
      <c r="AS336" s="14">
        <f>SUMIFS(Donnees_regimes!$R$3:$R$1118,Donnees_regimes!$A$3:$A$1118,C336,Donnees_regimes!$B$3:$B$1118,"&gt;="&amp;G336,Donnees_regimes!$B$3:$B$1118,"&lt;="&amp;N336)*L336/ROUNDUP(L336,0)*SUMIFS(Donnees_annuelles!$AG$3:$AG$188,Donnees_annuelles!$A$3:$A$188,AR336)*SUMIFS(Donnees_annuelles!$AA$3:$AA$188,Donnees_annuelles!$A$3:$A$188,AR336)</f>
        <v/>
      </c>
      <c r="AT336" s="36">
        <f>AS336/V336</f>
        <v/>
      </c>
      <c r="AU336" s="14">
        <f>AL336</f>
        <v/>
      </c>
      <c r="AV336" s="39">
        <f>AS336-AL336</f>
        <v/>
      </c>
      <c r="AW336" s="9">
        <f>AS336/AL336-1</f>
        <v/>
      </c>
      <c r="AX336" s="14">
        <f>AS336/AJ336/12</f>
        <v/>
      </c>
      <c r="AY336" s="14">
        <f>AF336</f>
        <v/>
      </c>
      <c r="AZ336" s="39">
        <f>AX336-AF336</f>
        <v/>
      </c>
      <c r="BA336" s="14">
        <f>SUMIFS(Donnees_regimes!$S$3:$S$1118,Donnees_regimes!$A$3:$A$1118,C336,Donnees_regimes!$B$3:$B$1118,"&gt;="&amp;G336,Donnees_regimes!$B$3:$B$1118,"&lt;="&amp;N336)*L336/ROUNDUP(L336,0)*SUMIFS(Donnees_annuelles!$AH$3:$AH$188,Donnees_annuelles!$A$3:$A$188,AR336)*SUMIFS(Donnees_annuelles!$AA$3:$AA$188,Donnees_annuelles!$A$3:$A$188,AR336)</f>
        <v/>
      </c>
      <c r="BB336" s="39">
        <f>BA336-AL336</f>
        <v/>
      </c>
      <c r="BC336" s="7">
        <f>IF(M336+AJ336&gt;2026,IF(G336&gt;2026,"entièrement projeté","en partie projeté"),"observé")</f>
        <v/>
      </c>
    </row>
    <row r="337">
      <c r="A337" s="7" t="inlineStr">
        <is>
          <t>Génération X</t>
        </is>
      </c>
      <c r="B337" s="84" t="inlineStr">
        <is>
          <t>SNCF</t>
        </is>
      </c>
      <c r="C337" s="7">
        <f>IF(G337&gt;=SUMIFS(Regimes!$C$5:$C$10,Regimes!$A$5:$A$10,B337),"Privé",B337)</f>
        <v/>
      </c>
      <c r="D337" s="7">
        <f>INDEX(Regimes!$D$5:$D$10,MATCH(C337,Regimes!$A$5:$A$10,0))</f>
        <v/>
      </c>
      <c r="E337" s="88" t="n">
        <v>1968</v>
      </c>
      <c r="F337" s="8">
        <f>Donnees_generations!C56</f>
        <v/>
      </c>
      <c r="G337" s="77">
        <f>Donnees_generations!D56</f>
        <v/>
      </c>
      <c r="H337" s="8">
        <f>SUMIFS(Donnees_generations!$S$3:$S$113,Donnees_generations!$A$3:$A$113,MAX(1915,MIN(2025,E337)))</f>
        <v/>
      </c>
      <c r="I337" s="8">
        <f>SUMIFS(Donnees_generations!$T$3:$T$113,Donnees_generations!$A$3:$A$113,MAX(1915,MIN(2025,E337)))</f>
        <v/>
      </c>
      <c r="J337" s="8">
        <f>IF(G337&gt;=2000,MAX(I337,Parametres!$B$3),I337)</f>
        <v/>
      </c>
      <c r="K337" s="8">
        <f>IF(C337="Privé",J337,SUMIFS(Regles_regimes!$J$3:$J$2000,Regles_regimes!$A$3:$A$2000,C337,Regles_regimes!$B$3:$B$2000,D337,Regles_regimes!$C$3:$C$2000,MAX(1915,MIN(2025,E337))))</f>
        <v/>
      </c>
      <c r="L337" s="8">
        <f>IF(C337="Privé",H337,(K337-F337)*H337/(J337-F337))</f>
        <v/>
      </c>
      <c r="M337" s="77">
        <f>INT(E337+K337)</f>
        <v/>
      </c>
      <c r="N337" s="77">
        <f>G337+ROUNDUP(L337,0)-1</f>
        <v/>
      </c>
      <c r="O337" s="89">
        <f>SUMIFS(Regles_regimes!$K$3:$K$2000,Regles_regimes!$A$3:$A$2000,C337,Regles_regimes!$B$3:$B$2000,D337,Regles_regimes!$C$3:$C$2000,MAX(1915,MIN(2025,E337)))</f>
        <v/>
      </c>
      <c r="P337" s="13">
        <f>SUMIFS(Donnees_annuelles!$W$3:$W$188,Donnees_annuelles!$A$3:$A$188,"&gt;="&amp;G337,Donnees_annuelles!$A$3:$A$188,"&lt;="&amp;N337)*L337/ROUNDUP(L337,0)*O337</f>
        <v/>
      </c>
      <c r="Q337" s="13">
        <f>SUMIFS(Donnees_annuelles!$V$3:$V$188,Donnees_annuelles!$A$3:$A$188,"&gt;="&amp;G337,Donnees_annuelles!$A$3:$A$188,"&lt;="&amp;N337)*L337/ROUNDUP(L337,0)</f>
        <v/>
      </c>
      <c r="R337" s="13">
        <f>P337/L337</f>
        <v/>
      </c>
      <c r="S337" s="14">
        <f>SUMIFS(Donnees_annuelles!$D$3:$D$188,Donnees_annuelles!$A$3:$A$188,"&gt;="&amp;G337,Donnees_annuelles!$A$3:$A$188,"&lt;="&amp;N337)*L337/ROUNDUP(L337,0)</f>
        <v/>
      </c>
      <c r="T337" s="14">
        <f>SUMIFS(Donnees_regimes!$N$3:$N$1118,Donnees_regimes!$A$3:$A$1118,C337,Donnees_regimes!$B$3:$B$1118,"&gt;="&amp;G337,Donnees_regimes!$B$3:$B$1118,"&lt;="&amp;N337)*L337/ROUNDUP(L337,0)</f>
        <v/>
      </c>
      <c r="U337" s="14">
        <f>SUMIFS(Donnees_regimes!$O$3:$O$1118,Donnees_regimes!$A$3:$A$1118,C337,Donnees_regimes!$B$3:$B$1118,"&gt;="&amp;G337,Donnees_regimes!$B$3:$B$1118,"&lt;="&amp;N337)*L337/ROUNDUP(L337,0)</f>
        <v/>
      </c>
      <c r="V337" s="14">
        <f>T337+U337</f>
        <v/>
      </c>
      <c r="W337" s="33">
        <f>V337/S337</f>
        <v/>
      </c>
      <c r="X337" s="14">
        <f>S337+U337</f>
        <v/>
      </c>
      <c r="Y337" s="17">
        <f>V337/P337</f>
        <v/>
      </c>
      <c r="Z337" s="14">
        <f>SUMIFS(Donnees_regimes!$Q$3:$Q$1118,Donnees_regimes!$A$3:$A$1118,C337,Donnees_regimes!$B$3:$B$1118,"&gt;="&amp;G337,Donnees_regimes!$B$3:$B$1118,"&lt;="&amp;N337)*L337/ROUNDUP(L337,0)</f>
        <v/>
      </c>
      <c r="AA337" s="77">
        <f>SUMIFS(Regles_regimes!$F$3:$F$2000,Regles_regimes!$A$3:$A$2000,C337,Regles_regimes!$B$3:$B$2000,D337,Regles_regimes!$C$3:$C$2000,MAX(1915,MIN(2025,E337)))</f>
        <v/>
      </c>
      <c r="AB337" s="77">
        <f>IF(AND(SUMIFS(Regles_regimes!$L$3:$L$2000,Regles_regimes!$A$3:$A$2000,C337,Regles_regimes!$B$3:$B$2000,D337,Regles_regimes!$C$3:$C$2000,MAX(1915,MIN(2025,E337)))=1,G337&lt;2009,C337&lt;&gt;"Privé"),MIN(20,L337*4/5),0)</f>
        <v/>
      </c>
      <c r="AC337" s="89">
        <f>SUMIFS(Donnees_regimes!$M$3:$M$1118,Donnees_regimes!$A$3:$A$1118,C337,Donnees_regimes!$B$3:$B$1118,M337)</f>
        <v/>
      </c>
      <c r="AD337" s="14">
        <f>SUMIFS(Donnees_annuelles!$Y$3:$Y$188,Donnees_annuelles!$A$3:$A$188,M337)*SUMIFS(Donnees_generations!$I$3:$I$113,Donnees_generations!$A$3:$A$113,MAX(1915,MIN(2025,E337)))/H337</f>
        <v/>
      </c>
      <c r="AE337" s="14">
        <f>IF(C337="Privé",SUMIFS(Donnees_annuelles!$Y$3:$Y$188,Donnees_annuelles!$A$3:$A$188,M337)*MIN(L337,SUMIFS(Donnees_generations!$I$3:$I$113,Donnees_generations!$A$3:$A$113,MAX(1915,MIN(2025,E337))))/L337,AD337*AC337*MIN(IF(AB337&gt;0,0.8/0.75,1),(L337*4+AB337)/AA337))</f>
        <v/>
      </c>
      <c r="AF337" s="14">
        <f>AE337/12</f>
        <v/>
      </c>
      <c r="AG337" s="77">
        <f>MIN(68,MAX(56,2*INT(K337/2)))</f>
        <v/>
      </c>
      <c r="AH337" s="75">
        <f>(CHOOSE((AG337-56)/2+1,SUMIFS(Donnees_generations!$U$3:$U$113,Donnees_generations!$A$3:$A$113,MAX(1915,MIN(2025,E337))),SUMIFS(Donnees_generations!$V$3:$V$113,Donnees_generations!$A$3:$A$113,MAX(1915,MIN(2025,E337))),SUMIFS(Donnees_generations!$W$3:$W$113,Donnees_generations!$A$3:$A$113,MAX(1915,MIN(2025,E337))),SUMIFS(Donnees_generations!$X$3:$X$113,Donnees_generations!$A$3:$A$113,MAX(1915,MIN(2025,E337))),SUMIFS(Donnees_generations!$Y$3:$Y$113,Donnees_generations!$A$3:$A$113,MAX(1915,MIN(2025,E337))),SUMIFS(Donnees_generations!$Z$3:$Z$113,Donnees_generations!$A$3:$A$113,MAX(1915,MIN(2025,E337))),SUMIFS(Donnees_generations!$AA$3:$AA$113,Donnees_generations!$A$3:$A$113,MAX(1915,MIN(2025,E337))),SUMIFS(Donnees_generations!$AB$3:$AB$113,Donnees_generations!$A$3:$A$113,MAX(1915,MIN(2025,E337))))+CHOOSE((AG337-56)/2+1,SUMIFS(Donnees_generations!$AC$3:$AC$113,Donnees_generations!$A$3:$A$113,MAX(1915,MIN(2025,E337))),SUMIFS(Donnees_generations!$AD$3:$AD$113,Donnees_generations!$A$3:$A$113,MAX(1915,MIN(2025,E337))),SUMIFS(Donnees_generations!$AE$3:$AE$113,Donnees_generations!$A$3:$A$113,MAX(1915,MIN(2025,E337))),SUMIFS(Donnees_generations!$AF$3:$AF$113,Donnees_generations!$A$3:$A$113,MAX(1915,MIN(2025,E337))),SUMIFS(Donnees_generations!$AG$3:$AG$113,Donnees_generations!$A$3:$A$113,MAX(1915,MIN(2025,E337))),SUMIFS(Donnees_generations!$AH$3:$AH$113,Donnees_generations!$A$3:$A$113,MAX(1915,MIN(2025,E337))),SUMIFS(Donnees_generations!$AI$3:$AI$113,Donnees_generations!$A$3:$A$113,MAX(1915,MIN(2025,E337))),SUMIFS(Donnees_generations!$AJ$3:$AJ$113,Donnees_generations!$A$3:$A$113,MAX(1915,MIN(2025,E337)))))/2</f>
        <v/>
      </c>
      <c r="AI337" s="75">
        <f>(CHOOSE(((AG337+2)-56)/2+1,SUMIFS(Donnees_generations!$U$3:$U$113,Donnees_generations!$A$3:$A$113,MAX(1915,MIN(2025,E337))),SUMIFS(Donnees_generations!$V$3:$V$113,Donnees_generations!$A$3:$A$113,MAX(1915,MIN(2025,E337))),SUMIFS(Donnees_generations!$W$3:$W$113,Donnees_generations!$A$3:$A$113,MAX(1915,MIN(2025,E337))),SUMIFS(Donnees_generations!$X$3:$X$113,Donnees_generations!$A$3:$A$113,MAX(1915,MIN(2025,E337))),SUMIFS(Donnees_generations!$Y$3:$Y$113,Donnees_generations!$A$3:$A$113,MAX(1915,MIN(2025,E337))),SUMIFS(Donnees_generations!$Z$3:$Z$113,Donnees_generations!$A$3:$A$113,MAX(1915,MIN(2025,E337))),SUMIFS(Donnees_generations!$AA$3:$AA$113,Donnees_generations!$A$3:$A$113,MAX(1915,MIN(2025,E337))),SUMIFS(Donnees_generations!$AB$3:$AB$113,Donnees_generations!$A$3:$A$113,MAX(1915,MIN(2025,E337))))+CHOOSE(((AG337+2)-56)/2+1,SUMIFS(Donnees_generations!$AC$3:$AC$113,Donnees_generations!$A$3:$A$113,MAX(1915,MIN(2025,E337))),SUMIFS(Donnees_generations!$AD$3:$AD$113,Donnees_generations!$A$3:$A$113,MAX(1915,MIN(2025,E337))),SUMIFS(Donnees_generations!$AE$3:$AE$113,Donnees_generations!$A$3:$A$113,MAX(1915,MIN(2025,E337))),SUMIFS(Donnees_generations!$AF$3:$AF$113,Donnees_generations!$A$3:$A$113,MAX(1915,MIN(2025,E337))),SUMIFS(Donnees_generations!$AG$3:$AG$113,Donnees_generations!$A$3:$A$113,MAX(1915,MIN(2025,E337))),SUMIFS(Donnees_generations!$AH$3:$AH$113,Donnees_generations!$A$3:$A$113,MAX(1915,MIN(2025,E337))),SUMIFS(Donnees_generations!$AI$3:$AI$113,Donnees_generations!$A$3:$A$113,MAX(1915,MIN(2025,E337))),SUMIFS(Donnees_generations!$AJ$3:$AJ$113,Donnees_generations!$A$3:$A$113,MAX(1915,MIN(2025,E337)))))/2</f>
        <v/>
      </c>
      <c r="AJ337" s="8">
        <f>MAX(0,AH337+(AI337-AH337)*(K337-AG337)/2)</f>
        <v/>
      </c>
      <c r="AK337" s="8">
        <f>K337+AJ337</f>
        <v/>
      </c>
      <c r="AL337" s="14">
        <f>AE337*AJ337</f>
        <v/>
      </c>
      <c r="AM337" s="17">
        <f>V337/AL337</f>
        <v/>
      </c>
      <c r="AN337" s="17">
        <f>Z337/AL337</f>
        <v/>
      </c>
      <c r="AO337" s="33">
        <f>IF(V337+Z337=0,0,Z337/(V337+Z337))</f>
        <v/>
      </c>
      <c r="AP337" s="14">
        <f>AL337/V337*100</f>
        <v/>
      </c>
      <c r="AQ337" s="8">
        <f>P337/AL337*1000</f>
        <v/>
      </c>
      <c r="AR337" s="77">
        <f>MAX(N337,M337-1)</f>
        <v/>
      </c>
      <c r="AS337" s="14">
        <f>SUMIFS(Donnees_regimes!$R$3:$R$1118,Donnees_regimes!$A$3:$A$1118,C337,Donnees_regimes!$B$3:$B$1118,"&gt;="&amp;G337,Donnees_regimes!$B$3:$B$1118,"&lt;="&amp;N337)*L337/ROUNDUP(L337,0)*SUMIFS(Donnees_annuelles!$AG$3:$AG$188,Donnees_annuelles!$A$3:$A$188,AR337)*SUMIFS(Donnees_annuelles!$AA$3:$AA$188,Donnees_annuelles!$A$3:$A$188,AR337)</f>
        <v/>
      </c>
      <c r="AT337" s="36">
        <f>AS337/V337</f>
        <v/>
      </c>
      <c r="AU337" s="14">
        <f>AL337</f>
        <v/>
      </c>
      <c r="AV337" s="39">
        <f>AS337-AL337</f>
        <v/>
      </c>
      <c r="AW337" s="9">
        <f>AS337/AL337-1</f>
        <v/>
      </c>
      <c r="AX337" s="14">
        <f>AS337/AJ337/12</f>
        <v/>
      </c>
      <c r="AY337" s="14">
        <f>AF337</f>
        <v/>
      </c>
      <c r="AZ337" s="39">
        <f>AX337-AF337</f>
        <v/>
      </c>
      <c r="BA337" s="14">
        <f>SUMIFS(Donnees_regimes!$S$3:$S$1118,Donnees_regimes!$A$3:$A$1118,C337,Donnees_regimes!$B$3:$B$1118,"&gt;="&amp;G337,Donnees_regimes!$B$3:$B$1118,"&lt;="&amp;N337)*L337/ROUNDUP(L337,0)*SUMIFS(Donnees_annuelles!$AH$3:$AH$188,Donnees_annuelles!$A$3:$A$188,AR337)*SUMIFS(Donnees_annuelles!$AA$3:$AA$188,Donnees_annuelles!$A$3:$A$188,AR337)</f>
        <v/>
      </c>
      <c r="BB337" s="39">
        <f>BA337-AL337</f>
        <v/>
      </c>
      <c r="BC337" s="7">
        <f>IF(M337+AJ337&gt;2026,IF(G337&gt;2026,"entièrement projeté","en partie projeté"),"observé")</f>
        <v/>
      </c>
    </row>
    <row r="338">
      <c r="A338" s="7" t="inlineStr">
        <is>
          <t>Génération X</t>
        </is>
      </c>
      <c r="B338" s="84" t="inlineStr">
        <is>
          <t>SNCF</t>
        </is>
      </c>
      <c r="C338" s="7">
        <f>IF(G338&gt;=SUMIFS(Regimes!$C$5:$C$10,Regimes!$A$5:$A$10,B338),"Privé",B338)</f>
        <v/>
      </c>
      <c r="D338" s="7">
        <f>INDEX(Regimes!$D$5:$D$10,MATCH(C338,Regimes!$A$5:$A$10,0))</f>
        <v/>
      </c>
      <c r="E338" s="88" t="n">
        <v>1969</v>
      </c>
      <c r="F338" s="8">
        <f>Donnees_generations!C57</f>
        <v/>
      </c>
      <c r="G338" s="77">
        <f>Donnees_generations!D57</f>
        <v/>
      </c>
      <c r="H338" s="8">
        <f>SUMIFS(Donnees_generations!$S$3:$S$113,Donnees_generations!$A$3:$A$113,MAX(1915,MIN(2025,E338)))</f>
        <v/>
      </c>
      <c r="I338" s="8">
        <f>SUMIFS(Donnees_generations!$T$3:$T$113,Donnees_generations!$A$3:$A$113,MAX(1915,MIN(2025,E338)))</f>
        <v/>
      </c>
      <c r="J338" s="8">
        <f>IF(G338&gt;=2000,MAX(I338,Parametres!$B$3),I338)</f>
        <v/>
      </c>
      <c r="K338" s="8">
        <f>IF(C338="Privé",J338,SUMIFS(Regles_regimes!$J$3:$J$2000,Regles_regimes!$A$3:$A$2000,C338,Regles_regimes!$B$3:$B$2000,D338,Regles_regimes!$C$3:$C$2000,MAX(1915,MIN(2025,E338))))</f>
        <v/>
      </c>
      <c r="L338" s="8">
        <f>IF(C338="Privé",H338,(K338-F338)*H338/(J338-F338))</f>
        <v/>
      </c>
      <c r="M338" s="77">
        <f>INT(E338+K338)</f>
        <v/>
      </c>
      <c r="N338" s="77">
        <f>G338+ROUNDUP(L338,0)-1</f>
        <v/>
      </c>
      <c r="O338" s="89">
        <f>SUMIFS(Regles_regimes!$K$3:$K$2000,Regles_regimes!$A$3:$A$2000,C338,Regles_regimes!$B$3:$B$2000,D338,Regles_regimes!$C$3:$C$2000,MAX(1915,MIN(2025,E338)))</f>
        <v/>
      </c>
      <c r="P338" s="13">
        <f>SUMIFS(Donnees_annuelles!$W$3:$W$188,Donnees_annuelles!$A$3:$A$188,"&gt;="&amp;G338,Donnees_annuelles!$A$3:$A$188,"&lt;="&amp;N338)*L338/ROUNDUP(L338,0)*O338</f>
        <v/>
      </c>
      <c r="Q338" s="13">
        <f>SUMIFS(Donnees_annuelles!$V$3:$V$188,Donnees_annuelles!$A$3:$A$188,"&gt;="&amp;G338,Donnees_annuelles!$A$3:$A$188,"&lt;="&amp;N338)*L338/ROUNDUP(L338,0)</f>
        <v/>
      </c>
      <c r="R338" s="13">
        <f>P338/L338</f>
        <v/>
      </c>
      <c r="S338" s="14">
        <f>SUMIFS(Donnees_annuelles!$D$3:$D$188,Donnees_annuelles!$A$3:$A$188,"&gt;="&amp;G338,Donnees_annuelles!$A$3:$A$188,"&lt;="&amp;N338)*L338/ROUNDUP(L338,0)</f>
        <v/>
      </c>
      <c r="T338" s="14">
        <f>SUMIFS(Donnees_regimes!$N$3:$N$1118,Donnees_regimes!$A$3:$A$1118,C338,Donnees_regimes!$B$3:$B$1118,"&gt;="&amp;G338,Donnees_regimes!$B$3:$B$1118,"&lt;="&amp;N338)*L338/ROUNDUP(L338,0)</f>
        <v/>
      </c>
      <c r="U338" s="14">
        <f>SUMIFS(Donnees_regimes!$O$3:$O$1118,Donnees_regimes!$A$3:$A$1118,C338,Donnees_regimes!$B$3:$B$1118,"&gt;="&amp;G338,Donnees_regimes!$B$3:$B$1118,"&lt;="&amp;N338)*L338/ROUNDUP(L338,0)</f>
        <v/>
      </c>
      <c r="V338" s="14">
        <f>T338+U338</f>
        <v/>
      </c>
      <c r="W338" s="33">
        <f>V338/S338</f>
        <v/>
      </c>
      <c r="X338" s="14">
        <f>S338+U338</f>
        <v/>
      </c>
      <c r="Y338" s="17">
        <f>V338/P338</f>
        <v/>
      </c>
      <c r="Z338" s="14">
        <f>SUMIFS(Donnees_regimes!$Q$3:$Q$1118,Donnees_regimes!$A$3:$A$1118,C338,Donnees_regimes!$B$3:$B$1118,"&gt;="&amp;G338,Donnees_regimes!$B$3:$B$1118,"&lt;="&amp;N338)*L338/ROUNDUP(L338,0)</f>
        <v/>
      </c>
      <c r="AA338" s="77">
        <f>SUMIFS(Regles_regimes!$F$3:$F$2000,Regles_regimes!$A$3:$A$2000,C338,Regles_regimes!$B$3:$B$2000,D338,Regles_regimes!$C$3:$C$2000,MAX(1915,MIN(2025,E338)))</f>
        <v/>
      </c>
      <c r="AB338" s="77">
        <f>IF(AND(SUMIFS(Regles_regimes!$L$3:$L$2000,Regles_regimes!$A$3:$A$2000,C338,Regles_regimes!$B$3:$B$2000,D338,Regles_regimes!$C$3:$C$2000,MAX(1915,MIN(2025,E338)))=1,G338&lt;2009,C338&lt;&gt;"Privé"),MIN(20,L338*4/5),0)</f>
        <v/>
      </c>
      <c r="AC338" s="89">
        <f>SUMIFS(Donnees_regimes!$M$3:$M$1118,Donnees_regimes!$A$3:$A$1118,C338,Donnees_regimes!$B$3:$B$1118,M338)</f>
        <v/>
      </c>
      <c r="AD338" s="14">
        <f>SUMIFS(Donnees_annuelles!$Y$3:$Y$188,Donnees_annuelles!$A$3:$A$188,M338)*SUMIFS(Donnees_generations!$I$3:$I$113,Donnees_generations!$A$3:$A$113,MAX(1915,MIN(2025,E338)))/H338</f>
        <v/>
      </c>
      <c r="AE338" s="14">
        <f>IF(C338="Privé",SUMIFS(Donnees_annuelles!$Y$3:$Y$188,Donnees_annuelles!$A$3:$A$188,M338)*MIN(L338,SUMIFS(Donnees_generations!$I$3:$I$113,Donnees_generations!$A$3:$A$113,MAX(1915,MIN(2025,E338))))/L338,AD338*AC338*MIN(IF(AB338&gt;0,0.8/0.75,1),(L338*4+AB338)/AA338))</f>
        <v/>
      </c>
      <c r="AF338" s="14">
        <f>AE338/12</f>
        <v/>
      </c>
      <c r="AG338" s="77">
        <f>MIN(68,MAX(56,2*INT(K338/2)))</f>
        <v/>
      </c>
      <c r="AH338" s="75">
        <f>(CHOOSE((AG338-56)/2+1,SUMIFS(Donnees_generations!$U$3:$U$113,Donnees_generations!$A$3:$A$113,MAX(1915,MIN(2025,E338))),SUMIFS(Donnees_generations!$V$3:$V$113,Donnees_generations!$A$3:$A$113,MAX(1915,MIN(2025,E338))),SUMIFS(Donnees_generations!$W$3:$W$113,Donnees_generations!$A$3:$A$113,MAX(1915,MIN(2025,E338))),SUMIFS(Donnees_generations!$X$3:$X$113,Donnees_generations!$A$3:$A$113,MAX(1915,MIN(2025,E338))),SUMIFS(Donnees_generations!$Y$3:$Y$113,Donnees_generations!$A$3:$A$113,MAX(1915,MIN(2025,E338))),SUMIFS(Donnees_generations!$Z$3:$Z$113,Donnees_generations!$A$3:$A$113,MAX(1915,MIN(2025,E338))),SUMIFS(Donnees_generations!$AA$3:$AA$113,Donnees_generations!$A$3:$A$113,MAX(1915,MIN(2025,E338))),SUMIFS(Donnees_generations!$AB$3:$AB$113,Donnees_generations!$A$3:$A$113,MAX(1915,MIN(2025,E338))))+CHOOSE((AG338-56)/2+1,SUMIFS(Donnees_generations!$AC$3:$AC$113,Donnees_generations!$A$3:$A$113,MAX(1915,MIN(2025,E338))),SUMIFS(Donnees_generations!$AD$3:$AD$113,Donnees_generations!$A$3:$A$113,MAX(1915,MIN(2025,E338))),SUMIFS(Donnees_generations!$AE$3:$AE$113,Donnees_generations!$A$3:$A$113,MAX(1915,MIN(2025,E338))),SUMIFS(Donnees_generations!$AF$3:$AF$113,Donnees_generations!$A$3:$A$113,MAX(1915,MIN(2025,E338))),SUMIFS(Donnees_generations!$AG$3:$AG$113,Donnees_generations!$A$3:$A$113,MAX(1915,MIN(2025,E338))),SUMIFS(Donnees_generations!$AH$3:$AH$113,Donnees_generations!$A$3:$A$113,MAX(1915,MIN(2025,E338))),SUMIFS(Donnees_generations!$AI$3:$AI$113,Donnees_generations!$A$3:$A$113,MAX(1915,MIN(2025,E338))),SUMIFS(Donnees_generations!$AJ$3:$AJ$113,Donnees_generations!$A$3:$A$113,MAX(1915,MIN(2025,E338)))))/2</f>
        <v/>
      </c>
      <c r="AI338" s="75">
        <f>(CHOOSE(((AG338+2)-56)/2+1,SUMIFS(Donnees_generations!$U$3:$U$113,Donnees_generations!$A$3:$A$113,MAX(1915,MIN(2025,E338))),SUMIFS(Donnees_generations!$V$3:$V$113,Donnees_generations!$A$3:$A$113,MAX(1915,MIN(2025,E338))),SUMIFS(Donnees_generations!$W$3:$W$113,Donnees_generations!$A$3:$A$113,MAX(1915,MIN(2025,E338))),SUMIFS(Donnees_generations!$X$3:$X$113,Donnees_generations!$A$3:$A$113,MAX(1915,MIN(2025,E338))),SUMIFS(Donnees_generations!$Y$3:$Y$113,Donnees_generations!$A$3:$A$113,MAX(1915,MIN(2025,E338))),SUMIFS(Donnees_generations!$Z$3:$Z$113,Donnees_generations!$A$3:$A$113,MAX(1915,MIN(2025,E338))),SUMIFS(Donnees_generations!$AA$3:$AA$113,Donnees_generations!$A$3:$A$113,MAX(1915,MIN(2025,E338))),SUMIFS(Donnees_generations!$AB$3:$AB$113,Donnees_generations!$A$3:$A$113,MAX(1915,MIN(2025,E338))))+CHOOSE(((AG338+2)-56)/2+1,SUMIFS(Donnees_generations!$AC$3:$AC$113,Donnees_generations!$A$3:$A$113,MAX(1915,MIN(2025,E338))),SUMIFS(Donnees_generations!$AD$3:$AD$113,Donnees_generations!$A$3:$A$113,MAX(1915,MIN(2025,E338))),SUMIFS(Donnees_generations!$AE$3:$AE$113,Donnees_generations!$A$3:$A$113,MAX(1915,MIN(2025,E338))),SUMIFS(Donnees_generations!$AF$3:$AF$113,Donnees_generations!$A$3:$A$113,MAX(1915,MIN(2025,E338))),SUMIFS(Donnees_generations!$AG$3:$AG$113,Donnees_generations!$A$3:$A$113,MAX(1915,MIN(2025,E338))),SUMIFS(Donnees_generations!$AH$3:$AH$113,Donnees_generations!$A$3:$A$113,MAX(1915,MIN(2025,E338))),SUMIFS(Donnees_generations!$AI$3:$AI$113,Donnees_generations!$A$3:$A$113,MAX(1915,MIN(2025,E338))),SUMIFS(Donnees_generations!$AJ$3:$AJ$113,Donnees_generations!$A$3:$A$113,MAX(1915,MIN(2025,E338)))))/2</f>
        <v/>
      </c>
      <c r="AJ338" s="8">
        <f>MAX(0,AH338+(AI338-AH338)*(K338-AG338)/2)</f>
        <v/>
      </c>
      <c r="AK338" s="8">
        <f>K338+AJ338</f>
        <v/>
      </c>
      <c r="AL338" s="14">
        <f>AE338*AJ338</f>
        <v/>
      </c>
      <c r="AM338" s="17">
        <f>V338/AL338</f>
        <v/>
      </c>
      <c r="AN338" s="17">
        <f>Z338/AL338</f>
        <v/>
      </c>
      <c r="AO338" s="33">
        <f>IF(V338+Z338=0,0,Z338/(V338+Z338))</f>
        <v/>
      </c>
      <c r="AP338" s="14">
        <f>AL338/V338*100</f>
        <v/>
      </c>
      <c r="AQ338" s="8">
        <f>P338/AL338*1000</f>
        <v/>
      </c>
      <c r="AR338" s="77">
        <f>MAX(N338,M338-1)</f>
        <v/>
      </c>
      <c r="AS338" s="14">
        <f>SUMIFS(Donnees_regimes!$R$3:$R$1118,Donnees_regimes!$A$3:$A$1118,C338,Donnees_regimes!$B$3:$B$1118,"&gt;="&amp;G338,Donnees_regimes!$B$3:$B$1118,"&lt;="&amp;N338)*L338/ROUNDUP(L338,0)*SUMIFS(Donnees_annuelles!$AG$3:$AG$188,Donnees_annuelles!$A$3:$A$188,AR338)*SUMIFS(Donnees_annuelles!$AA$3:$AA$188,Donnees_annuelles!$A$3:$A$188,AR338)</f>
        <v/>
      </c>
      <c r="AT338" s="36">
        <f>AS338/V338</f>
        <v/>
      </c>
      <c r="AU338" s="14">
        <f>AL338</f>
        <v/>
      </c>
      <c r="AV338" s="39">
        <f>AS338-AL338</f>
        <v/>
      </c>
      <c r="AW338" s="9">
        <f>AS338/AL338-1</f>
        <v/>
      </c>
      <c r="AX338" s="14">
        <f>AS338/AJ338/12</f>
        <v/>
      </c>
      <c r="AY338" s="14">
        <f>AF338</f>
        <v/>
      </c>
      <c r="AZ338" s="39">
        <f>AX338-AF338</f>
        <v/>
      </c>
      <c r="BA338" s="14">
        <f>SUMIFS(Donnees_regimes!$S$3:$S$1118,Donnees_regimes!$A$3:$A$1118,C338,Donnees_regimes!$B$3:$B$1118,"&gt;="&amp;G338,Donnees_regimes!$B$3:$B$1118,"&lt;="&amp;N338)*L338/ROUNDUP(L338,0)*SUMIFS(Donnees_annuelles!$AH$3:$AH$188,Donnees_annuelles!$A$3:$A$188,AR338)*SUMIFS(Donnees_annuelles!$AA$3:$AA$188,Donnees_annuelles!$A$3:$A$188,AR338)</f>
        <v/>
      </c>
      <c r="BB338" s="39">
        <f>BA338-AL338</f>
        <v/>
      </c>
      <c r="BC338" s="7">
        <f>IF(M338+AJ338&gt;2026,IF(G338&gt;2026,"entièrement projeté","en partie projeté"),"observé")</f>
        <v/>
      </c>
    </row>
    <row r="339">
      <c r="A339" s="7" t="inlineStr">
        <is>
          <t>Génération X</t>
        </is>
      </c>
      <c r="B339" s="84" t="inlineStr">
        <is>
          <t>SNCF</t>
        </is>
      </c>
      <c r="C339" s="7">
        <f>IF(G339&gt;=SUMIFS(Regimes!$C$5:$C$10,Regimes!$A$5:$A$10,B339),"Privé",B339)</f>
        <v/>
      </c>
      <c r="D339" s="7">
        <f>INDEX(Regimes!$D$5:$D$10,MATCH(C339,Regimes!$A$5:$A$10,0))</f>
        <v/>
      </c>
      <c r="E339" s="88" t="n">
        <v>1970</v>
      </c>
      <c r="F339" s="8">
        <f>Donnees_generations!C58</f>
        <v/>
      </c>
      <c r="G339" s="77">
        <f>Donnees_generations!D58</f>
        <v/>
      </c>
      <c r="H339" s="8">
        <f>SUMIFS(Donnees_generations!$S$3:$S$113,Donnees_generations!$A$3:$A$113,MAX(1915,MIN(2025,E339)))</f>
        <v/>
      </c>
      <c r="I339" s="8">
        <f>SUMIFS(Donnees_generations!$T$3:$T$113,Donnees_generations!$A$3:$A$113,MAX(1915,MIN(2025,E339)))</f>
        <v/>
      </c>
      <c r="J339" s="8">
        <f>IF(G339&gt;=2000,MAX(I339,Parametres!$B$3),I339)</f>
        <v/>
      </c>
      <c r="K339" s="8">
        <f>IF(C339="Privé",J339,SUMIFS(Regles_regimes!$J$3:$J$2000,Regles_regimes!$A$3:$A$2000,C339,Regles_regimes!$B$3:$B$2000,D339,Regles_regimes!$C$3:$C$2000,MAX(1915,MIN(2025,E339))))</f>
        <v/>
      </c>
      <c r="L339" s="8">
        <f>IF(C339="Privé",H339,(K339-F339)*H339/(J339-F339))</f>
        <v/>
      </c>
      <c r="M339" s="77">
        <f>INT(E339+K339)</f>
        <v/>
      </c>
      <c r="N339" s="77">
        <f>G339+ROUNDUP(L339,0)-1</f>
        <v/>
      </c>
      <c r="O339" s="89">
        <f>SUMIFS(Regles_regimes!$K$3:$K$2000,Regles_regimes!$A$3:$A$2000,C339,Regles_regimes!$B$3:$B$2000,D339,Regles_regimes!$C$3:$C$2000,MAX(1915,MIN(2025,E339)))</f>
        <v/>
      </c>
      <c r="P339" s="13">
        <f>SUMIFS(Donnees_annuelles!$W$3:$W$188,Donnees_annuelles!$A$3:$A$188,"&gt;="&amp;G339,Donnees_annuelles!$A$3:$A$188,"&lt;="&amp;N339)*L339/ROUNDUP(L339,0)*O339</f>
        <v/>
      </c>
      <c r="Q339" s="13">
        <f>SUMIFS(Donnees_annuelles!$V$3:$V$188,Donnees_annuelles!$A$3:$A$188,"&gt;="&amp;G339,Donnees_annuelles!$A$3:$A$188,"&lt;="&amp;N339)*L339/ROUNDUP(L339,0)</f>
        <v/>
      </c>
      <c r="R339" s="13">
        <f>P339/L339</f>
        <v/>
      </c>
      <c r="S339" s="14">
        <f>SUMIFS(Donnees_annuelles!$D$3:$D$188,Donnees_annuelles!$A$3:$A$188,"&gt;="&amp;G339,Donnees_annuelles!$A$3:$A$188,"&lt;="&amp;N339)*L339/ROUNDUP(L339,0)</f>
        <v/>
      </c>
      <c r="T339" s="14">
        <f>SUMIFS(Donnees_regimes!$N$3:$N$1118,Donnees_regimes!$A$3:$A$1118,C339,Donnees_regimes!$B$3:$B$1118,"&gt;="&amp;G339,Donnees_regimes!$B$3:$B$1118,"&lt;="&amp;N339)*L339/ROUNDUP(L339,0)</f>
        <v/>
      </c>
      <c r="U339" s="14">
        <f>SUMIFS(Donnees_regimes!$O$3:$O$1118,Donnees_regimes!$A$3:$A$1118,C339,Donnees_regimes!$B$3:$B$1118,"&gt;="&amp;G339,Donnees_regimes!$B$3:$B$1118,"&lt;="&amp;N339)*L339/ROUNDUP(L339,0)</f>
        <v/>
      </c>
      <c r="V339" s="14">
        <f>T339+U339</f>
        <v/>
      </c>
      <c r="W339" s="33">
        <f>V339/S339</f>
        <v/>
      </c>
      <c r="X339" s="14">
        <f>S339+U339</f>
        <v/>
      </c>
      <c r="Y339" s="17">
        <f>V339/P339</f>
        <v/>
      </c>
      <c r="Z339" s="14">
        <f>SUMIFS(Donnees_regimes!$Q$3:$Q$1118,Donnees_regimes!$A$3:$A$1118,C339,Donnees_regimes!$B$3:$B$1118,"&gt;="&amp;G339,Donnees_regimes!$B$3:$B$1118,"&lt;="&amp;N339)*L339/ROUNDUP(L339,0)</f>
        <v/>
      </c>
      <c r="AA339" s="77">
        <f>SUMIFS(Regles_regimes!$F$3:$F$2000,Regles_regimes!$A$3:$A$2000,C339,Regles_regimes!$B$3:$B$2000,D339,Regles_regimes!$C$3:$C$2000,MAX(1915,MIN(2025,E339)))</f>
        <v/>
      </c>
      <c r="AB339" s="77">
        <f>IF(AND(SUMIFS(Regles_regimes!$L$3:$L$2000,Regles_regimes!$A$3:$A$2000,C339,Regles_regimes!$B$3:$B$2000,D339,Regles_regimes!$C$3:$C$2000,MAX(1915,MIN(2025,E339)))=1,G339&lt;2009,C339&lt;&gt;"Privé"),MIN(20,L339*4/5),0)</f>
        <v/>
      </c>
      <c r="AC339" s="89">
        <f>SUMIFS(Donnees_regimes!$M$3:$M$1118,Donnees_regimes!$A$3:$A$1118,C339,Donnees_regimes!$B$3:$B$1118,M339)</f>
        <v/>
      </c>
      <c r="AD339" s="14">
        <f>SUMIFS(Donnees_annuelles!$Y$3:$Y$188,Donnees_annuelles!$A$3:$A$188,M339)*SUMIFS(Donnees_generations!$I$3:$I$113,Donnees_generations!$A$3:$A$113,MAX(1915,MIN(2025,E339)))/H339</f>
        <v/>
      </c>
      <c r="AE339" s="14">
        <f>IF(C339="Privé",SUMIFS(Donnees_annuelles!$Y$3:$Y$188,Donnees_annuelles!$A$3:$A$188,M339)*MIN(L339,SUMIFS(Donnees_generations!$I$3:$I$113,Donnees_generations!$A$3:$A$113,MAX(1915,MIN(2025,E339))))/L339,AD339*AC339*MIN(IF(AB339&gt;0,0.8/0.75,1),(L339*4+AB339)/AA339))</f>
        <v/>
      </c>
      <c r="AF339" s="14">
        <f>AE339/12</f>
        <v/>
      </c>
      <c r="AG339" s="77">
        <f>MIN(68,MAX(56,2*INT(K339/2)))</f>
        <v/>
      </c>
      <c r="AH339" s="75">
        <f>(CHOOSE((AG339-56)/2+1,SUMIFS(Donnees_generations!$U$3:$U$113,Donnees_generations!$A$3:$A$113,MAX(1915,MIN(2025,E339))),SUMIFS(Donnees_generations!$V$3:$V$113,Donnees_generations!$A$3:$A$113,MAX(1915,MIN(2025,E339))),SUMIFS(Donnees_generations!$W$3:$W$113,Donnees_generations!$A$3:$A$113,MAX(1915,MIN(2025,E339))),SUMIFS(Donnees_generations!$X$3:$X$113,Donnees_generations!$A$3:$A$113,MAX(1915,MIN(2025,E339))),SUMIFS(Donnees_generations!$Y$3:$Y$113,Donnees_generations!$A$3:$A$113,MAX(1915,MIN(2025,E339))),SUMIFS(Donnees_generations!$Z$3:$Z$113,Donnees_generations!$A$3:$A$113,MAX(1915,MIN(2025,E339))),SUMIFS(Donnees_generations!$AA$3:$AA$113,Donnees_generations!$A$3:$A$113,MAX(1915,MIN(2025,E339))),SUMIFS(Donnees_generations!$AB$3:$AB$113,Donnees_generations!$A$3:$A$113,MAX(1915,MIN(2025,E339))))+CHOOSE((AG339-56)/2+1,SUMIFS(Donnees_generations!$AC$3:$AC$113,Donnees_generations!$A$3:$A$113,MAX(1915,MIN(2025,E339))),SUMIFS(Donnees_generations!$AD$3:$AD$113,Donnees_generations!$A$3:$A$113,MAX(1915,MIN(2025,E339))),SUMIFS(Donnees_generations!$AE$3:$AE$113,Donnees_generations!$A$3:$A$113,MAX(1915,MIN(2025,E339))),SUMIFS(Donnees_generations!$AF$3:$AF$113,Donnees_generations!$A$3:$A$113,MAX(1915,MIN(2025,E339))),SUMIFS(Donnees_generations!$AG$3:$AG$113,Donnees_generations!$A$3:$A$113,MAX(1915,MIN(2025,E339))),SUMIFS(Donnees_generations!$AH$3:$AH$113,Donnees_generations!$A$3:$A$113,MAX(1915,MIN(2025,E339))),SUMIFS(Donnees_generations!$AI$3:$AI$113,Donnees_generations!$A$3:$A$113,MAX(1915,MIN(2025,E339))),SUMIFS(Donnees_generations!$AJ$3:$AJ$113,Donnees_generations!$A$3:$A$113,MAX(1915,MIN(2025,E339)))))/2</f>
        <v/>
      </c>
      <c r="AI339" s="75">
        <f>(CHOOSE(((AG339+2)-56)/2+1,SUMIFS(Donnees_generations!$U$3:$U$113,Donnees_generations!$A$3:$A$113,MAX(1915,MIN(2025,E339))),SUMIFS(Donnees_generations!$V$3:$V$113,Donnees_generations!$A$3:$A$113,MAX(1915,MIN(2025,E339))),SUMIFS(Donnees_generations!$W$3:$W$113,Donnees_generations!$A$3:$A$113,MAX(1915,MIN(2025,E339))),SUMIFS(Donnees_generations!$X$3:$X$113,Donnees_generations!$A$3:$A$113,MAX(1915,MIN(2025,E339))),SUMIFS(Donnees_generations!$Y$3:$Y$113,Donnees_generations!$A$3:$A$113,MAX(1915,MIN(2025,E339))),SUMIFS(Donnees_generations!$Z$3:$Z$113,Donnees_generations!$A$3:$A$113,MAX(1915,MIN(2025,E339))),SUMIFS(Donnees_generations!$AA$3:$AA$113,Donnees_generations!$A$3:$A$113,MAX(1915,MIN(2025,E339))),SUMIFS(Donnees_generations!$AB$3:$AB$113,Donnees_generations!$A$3:$A$113,MAX(1915,MIN(2025,E339))))+CHOOSE(((AG339+2)-56)/2+1,SUMIFS(Donnees_generations!$AC$3:$AC$113,Donnees_generations!$A$3:$A$113,MAX(1915,MIN(2025,E339))),SUMIFS(Donnees_generations!$AD$3:$AD$113,Donnees_generations!$A$3:$A$113,MAX(1915,MIN(2025,E339))),SUMIFS(Donnees_generations!$AE$3:$AE$113,Donnees_generations!$A$3:$A$113,MAX(1915,MIN(2025,E339))),SUMIFS(Donnees_generations!$AF$3:$AF$113,Donnees_generations!$A$3:$A$113,MAX(1915,MIN(2025,E339))),SUMIFS(Donnees_generations!$AG$3:$AG$113,Donnees_generations!$A$3:$A$113,MAX(1915,MIN(2025,E339))),SUMIFS(Donnees_generations!$AH$3:$AH$113,Donnees_generations!$A$3:$A$113,MAX(1915,MIN(2025,E339))),SUMIFS(Donnees_generations!$AI$3:$AI$113,Donnees_generations!$A$3:$A$113,MAX(1915,MIN(2025,E339))),SUMIFS(Donnees_generations!$AJ$3:$AJ$113,Donnees_generations!$A$3:$A$113,MAX(1915,MIN(2025,E339)))))/2</f>
        <v/>
      </c>
      <c r="AJ339" s="8">
        <f>MAX(0,AH339+(AI339-AH339)*(K339-AG339)/2)</f>
        <v/>
      </c>
      <c r="AK339" s="8">
        <f>K339+AJ339</f>
        <v/>
      </c>
      <c r="AL339" s="14">
        <f>AE339*AJ339</f>
        <v/>
      </c>
      <c r="AM339" s="17">
        <f>V339/AL339</f>
        <v/>
      </c>
      <c r="AN339" s="17">
        <f>Z339/AL339</f>
        <v/>
      </c>
      <c r="AO339" s="33">
        <f>IF(V339+Z339=0,0,Z339/(V339+Z339))</f>
        <v/>
      </c>
      <c r="AP339" s="14">
        <f>AL339/V339*100</f>
        <v/>
      </c>
      <c r="AQ339" s="8">
        <f>P339/AL339*1000</f>
        <v/>
      </c>
      <c r="AR339" s="77">
        <f>MAX(N339,M339-1)</f>
        <v/>
      </c>
      <c r="AS339" s="14">
        <f>SUMIFS(Donnees_regimes!$R$3:$R$1118,Donnees_regimes!$A$3:$A$1118,C339,Donnees_regimes!$B$3:$B$1118,"&gt;="&amp;G339,Donnees_regimes!$B$3:$B$1118,"&lt;="&amp;N339)*L339/ROUNDUP(L339,0)*SUMIFS(Donnees_annuelles!$AG$3:$AG$188,Donnees_annuelles!$A$3:$A$188,AR339)*SUMIFS(Donnees_annuelles!$AA$3:$AA$188,Donnees_annuelles!$A$3:$A$188,AR339)</f>
        <v/>
      </c>
      <c r="AT339" s="36">
        <f>AS339/V339</f>
        <v/>
      </c>
      <c r="AU339" s="14">
        <f>AL339</f>
        <v/>
      </c>
      <c r="AV339" s="39">
        <f>AS339-AL339</f>
        <v/>
      </c>
      <c r="AW339" s="9">
        <f>AS339/AL339-1</f>
        <v/>
      </c>
      <c r="AX339" s="14">
        <f>AS339/AJ339/12</f>
        <v/>
      </c>
      <c r="AY339" s="14">
        <f>AF339</f>
        <v/>
      </c>
      <c r="AZ339" s="39">
        <f>AX339-AF339</f>
        <v/>
      </c>
      <c r="BA339" s="14">
        <f>SUMIFS(Donnees_regimes!$S$3:$S$1118,Donnees_regimes!$A$3:$A$1118,C339,Donnees_regimes!$B$3:$B$1118,"&gt;="&amp;G339,Donnees_regimes!$B$3:$B$1118,"&lt;="&amp;N339)*L339/ROUNDUP(L339,0)*SUMIFS(Donnees_annuelles!$AH$3:$AH$188,Donnees_annuelles!$A$3:$A$188,AR339)*SUMIFS(Donnees_annuelles!$AA$3:$AA$188,Donnees_annuelles!$A$3:$A$188,AR339)</f>
        <v/>
      </c>
      <c r="BB339" s="39">
        <f>BA339-AL339</f>
        <v/>
      </c>
      <c r="BC339" s="7">
        <f>IF(M339+AJ339&gt;2026,IF(G339&gt;2026,"entièrement projeté","en partie projeté"),"observé")</f>
        <v/>
      </c>
    </row>
    <row r="340">
      <c r="A340" s="7" t="inlineStr">
        <is>
          <t>Génération X</t>
        </is>
      </c>
      <c r="B340" s="84" t="inlineStr">
        <is>
          <t>SNCF</t>
        </is>
      </c>
      <c r="C340" s="7">
        <f>IF(G340&gt;=SUMIFS(Regimes!$C$5:$C$10,Regimes!$A$5:$A$10,B340),"Privé",B340)</f>
        <v/>
      </c>
      <c r="D340" s="7">
        <f>INDEX(Regimes!$D$5:$D$10,MATCH(C340,Regimes!$A$5:$A$10,0))</f>
        <v/>
      </c>
      <c r="E340" s="88" t="n">
        <v>1971</v>
      </c>
      <c r="F340" s="8">
        <f>Donnees_generations!C59</f>
        <v/>
      </c>
      <c r="G340" s="77">
        <f>Donnees_generations!D59</f>
        <v/>
      </c>
      <c r="H340" s="8">
        <f>SUMIFS(Donnees_generations!$S$3:$S$113,Donnees_generations!$A$3:$A$113,MAX(1915,MIN(2025,E340)))</f>
        <v/>
      </c>
      <c r="I340" s="8">
        <f>SUMIFS(Donnees_generations!$T$3:$T$113,Donnees_generations!$A$3:$A$113,MAX(1915,MIN(2025,E340)))</f>
        <v/>
      </c>
      <c r="J340" s="8">
        <f>IF(G340&gt;=2000,MAX(I340,Parametres!$B$3),I340)</f>
        <v/>
      </c>
      <c r="K340" s="8">
        <f>IF(C340="Privé",J340,SUMIFS(Regles_regimes!$J$3:$J$2000,Regles_regimes!$A$3:$A$2000,C340,Regles_regimes!$B$3:$B$2000,D340,Regles_regimes!$C$3:$C$2000,MAX(1915,MIN(2025,E340))))</f>
        <v/>
      </c>
      <c r="L340" s="8">
        <f>IF(C340="Privé",H340,(K340-F340)*H340/(J340-F340))</f>
        <v/>
      </c>
      <c r="M340" s="77">
        <f>INT(E340+K340)</f>
        <v/>
      </c>
      <c r="N340" s="77">
        <f>G340+ROUNDUP(L340,0)-1</f>
        <v/>
      </c>
      <c r="O340" s="89">
        <f>SUMIFS(Regles_regimes!$K$3:$K$2000,Regles_regimes!$A$3:$A$2000,C340,Regles_regimes!$B$3:$B$2000,D340,Regles_regimes!$C$3:$C$2000,MAX(1915,MIN(2025,E340)))</f>
        <v/>
      </c>
      <c r="P340" s="13">
        <f>SUMIFS(Donnees_annuelles!$W$3:$W$188,Donnees_annuelles!$A$3:$A$188,"&gt;="&amp;G340,Donnees_annuelles!$A$3:$A$188,"&lt;="&amp;N340)*L340/ROUNDUP(L340,0)*O340</f>
        <v/>
      </c>
      <c r="Q340" s="13">
        <f>SUMIFS(Donnees_annuelles!$V$3:$V$188,Donnees_annuelles!$A$3:$A$188,"&gt;="&amp;G340,Donnees_annuelles!$A$3:$A$188,"&lt;="&amp;N340)*L340/ROUNDUP(L340,0)</f>
        <v/>
      </c>
      <c r="R340" s="13">
        <f>P340/L340</f>
        <v/>
      </c>
      <c r="S340" s="14">
        <f>SUMIFS(Donnees_annuelles!$D$3:$D$188,Donnees_annuelles!$A$3:$A$188,"&gt;="&amp;G340,Donnees_annuelles!$A$3:$A$188,"&lt;="&amp;N340)*L340/ROUNDUP(L340,0)</f>
        <v/>
      </c>
      <c r="T340" s="14">
        <f>SUMIFS(Donnees_regimes!$N$3:$N$1118,Donnees_regimes!$A$3:$A$1118,C340,Donnees_regimes!$B$3:$B$1118,"&gt;="&amp;G340,Donnees_regimes!$B$3:$B$1118,"&lt;="&amp;N340)*L340/ROUNDUP(L340,0)</f>
        <v/>
      </c>
      <c r="U340" s="14">
        <f>SUMIFS(Donnees_regimes!$O$3:$O$1118,Donnees_regimes!$A$3:$A$1118,C340,Donnees_regimes!$B$3:$B$1118,"&gt;="&amp;G340,Donnees_regimes!$B$3:$B$1118,"&lt;="&amp;N340)*L340/ROUNDUP(L340,0)</f>
        <v/>
      </c>
      <c r="V340" s="14">
        <f>T340+U340</f>
        <v/>
      </c>
      <c r="W340" s="33">
        <f>V340/S340</f>
        <v/>
      </c>
      <c r="X340" s="14">
        <f>S340+U340</f>
        <v/>
      </c>
      <c r="Y340" s="17">
        <f>V340/P340</f>
        <v/>
      </c>
      <c r="Z340" s="14">
        <f>SUMIFS(Donnees_regimes!$Q$3:$Q$1118,Donnees_regimes!$A$3:$A$1118,C340,Donnees_regimes!$B$3:$B$1118,"&gt;="&amp;G340,Donnees_regimes!$B$3:$B$1118,"&lt;="&amp;N340)*L340/ROUNDUP(L340,0)</f>
        <v/>
      </c>
      <c r="AA340" s="77">
        <f>SUMIFS(Regles_regimes!$F$3:$F$2000,Regles_regimes!$A$3:$A$2000,C340,Regles_regimes!$B$3:$B$2000,D340,Regles_regimes!$C$3:$C$2000,MAX(1915,MIN(2025,E340)))</f>
        <v/>
      </c>
      <c r="AB340" s="77">
        <f>IF(AND(SUMIFS(Regles_regimes!$L$3:$L$2000,Regles_regimes!$A$3:$A$2000,C340,Regles_regimes!$B$3:$B$2000,D340,Regles_regimes!$C$3:$C$2000,MAX(1915,MIN(2025,E340)))=1,G340&lt;2009,C340&lt;&gt;"Privé"),MIN(20,L340*4/5),0)</f>
        <v/>
      </c>
      <c r="AC340" s="89">
        <f>SUMIFS(Donnees_regimes!$M$3:$M$1118,Donnees_regimes!$A$3:$A$1118,C340,Donnees_regimes!$B$3:$B$1118,M340)</f>
        <v/>
      </c>
      <c r="AD340" s="14">
        <f>SUMIFS(Donnees_annuelles!$Y$3:$Y$188,Donnees_annuelles!$A$3:$A$188,M340)*SUMIFS(Donnees_generations!$I$3:$I$113,Donnees_generations!$A$3:$A$113,MAX(1915,MIN(2025,E340)))/H340</f>
        <v/>
      </c>
      <c r="AE340" s="14">
        <f>IF(C340="Privé",SUMIFS(Donnees_annuelles!$Y$3:$Y$188,Donnees_annuelles!$A$3:$A$188,M340)*MIN(L340,SUMIFS(Donnees_generations!$I$3:$I$113,Donnees_generations!$A$3:$A$113,MAX(1915,MIN(2025,E340))))/L340,AD340*AC340*MIN(IF(AB340&gt;0,0.8/0.75,1),(L340*4+AB340)/AA340))</f>
        <v/>
      </c>
      <c r="AF340" s="14">
        <f>AE340/12</f>
        <v/>
      </c>
      <c r="AG340" s="77">
        <f>MIN(68,MAX(56,2*INT(K340/2)))</f>
        <v/>
      </c>
      <c r="AH340" s="75">
        <f>(CHOOSE((AG340-56)/2+1,SUMIFS(Donnees_generations!$U$3:$U$113,Donnees_generations!$A$3:$A$113,MAX(1915,MIN(2025,E340))),SUMIFS(Donnees_generations!$V$3:$V$113,Donnees_generations!$A$3:$A$113,MAX(1915,MIN(2025,E340))),SUMIFS(Donnees_generations!$W$3:$W$113,Donnees_generations!$A$3:$A$113,MAX(1915,MIN(2025,E340))),SUMIFS(Donnees_generations!$X$3:$X$113,Donnees_generations!$A$3:$A$113,MAX(1915,MIN(2025,E340))),SUMIFS(Donnees_generations!$Y$3:$Y$113,Donnees_generations!$A$3:$A$113,MAX(1915,MIN(2025,E340))),SUMIFS(Donnees_generations!$Z$3:$Z$113,Donnees_generations!$A$3:$A$113,MAX(1915,MIN(2025,E340))),SUMIFS(Donnees_generations!$AA$3:$AA$113,Donnees_generations!$A$3:$A$113,MAX(1915,MIN(2025,E340))),SUMIFS(Donnees_generations!$AB$3:$AB$113,Donnees_generations!$A$3:$A$113,MAX(1915,MIN(2025,E340))))+CHOOSE((AG340-56)/2+1,SUMIFS(Donnees_generations!$AC$3:$AC$113,Donnees_generations!$A$3:$A$113,MAX(1915,MIN(2025,E340))),SUMIFS(Donnees_generations!$AD$3:$AD$113,Donnees_generations!$A$3:$A$113,MAX(1915,MIN(2025,E340))),SUMIFS(Donnees_generations!$AE$3:$AE$113,Donnees_generations!$A$3:$A$113,MAX(1915,MIN(2025,E340))),SUMIFS(Donnees_generations!$AF$3:$AF$113,Donnees_generations!$A$3:$A$113,MAX(1915,MIN(2025,E340))),SUMIFS(Donnees_generations!$AG$3:$AG$113,Donnees_generations!$A$3:$A$113,MAX(1915,MIN(2025,E340))),SUMIFS(Donnees_generations!$AH$3:$AH$113,Donnees_generations!$A$3:$A$113,MAX(1915,MIN(2025,E340))),SUMIFS(Donnees_generations!$AI$3:$AI$113,Donnees_generations!$A$3:$A$113,MAX(1915,MIN(2025,E340))),SUMIFS(Donnees_generations!$AJ$3:$AJ$113,Donnees_generations!$A$3:$A$113,MAX(1915,MIN(2025,E340)))))/2</f>
        <v/>
      </c>
      <c r="AI340" s="75">
        <f>(CHOOSE(((AG340+2)-56)/2+1,SUMIFS(Donnees_generations!$U$3:$U$113,Donnees_generations!$A$3:$A$113,MAX(1915,MIN(2025,E340))),SUMIFS(Donnees_generations!$V$3:$V$113,Donnees_generations!$A$3:$A$113,MAX(1915,MIN(2025,E340))),SUMIFS(Donnees_generations!$W$3:$W$113,Donnees_generations!$A$3:$A$113,MAX(1915,MIN(2025,E340))),SUMIFS(Donnees_generations!$X$3:$X$113,Donnees_generations!$A$3:$A$113,MAX(1915,MIN(2025,E340))),SUMIFS(Donnees_generations!$Y$3:$Y$113,Donnees_generations!$A$3:$A$113,MAX(1915,MIN(2025,E340))),SUMIFS(Donnees_generations!$Z$3:$Z$113,Donnees_generations!$A$3:$A$113,MAX(1915,MIN(2025,E340))),SUMIFS(Donnees_generations!$AA$3:$AA$113,Donnees_generations!$A$3:$A$113,MAX(1915,MIN(2025,E340))),SUMIFS(Donnees_generations!$AB$3:$AB$113,Donnees_generations!$A$3:$A$113,MAX(1915,MIN(2025,E340))))+CHOOSE(((AG340+2)-56)/2+1,SUMIFS(Donnees_generations!$AC$3:$AC$113,Donnees_generations!$A$3:$A$113,MAX(1915,MIN(2025,E340))),SUMIFS(Donnees_generations!$AD$3:$AD$113,Donnees_generations!$A$3:$A$113,MAX(1915,MIN(2025,E340))),SUMIFS(Donnees_generations!$AE$3:$AE$113,Donnees_generations!$A$3:$A$113,MAX(1915,MIN(2025,E340))),SUMIFS(Donnees_generations!$AF$3:$AF$113,Donnees_generations!$A$3:$A$113,MAX(1915,MIN(2025,E340))),SUMIFS(Donnees_generations!$AG$3:$AG$113,Donnees_generations!$A$3:$A$113,MAX(1915,MIN(2025,E340))),SUMIFS(Donnees_generations!$AH$3:$AH$113,Donnees_generations!$A$3:$A$113,MAX(1915,MIN(2025,E340))),SUMIFS(Donnees_generations!$AI$3:$AI$113,Donnees_generations!$A$3:$A$113,MAX(1915,MIN(2025,E340))),SUMIFS(Donnees_generations!$AJ$3:$AJ$113,Donnees_generations!$A$3:$A$113,MAX(1915,MIN(2025,E340)))))/2</f>
        <v/>
      </c>
      <c r="AJ340" s="8">
        <f>MAX(0,AH340+(AI340-AH340)*(K340-AG340)/2)</f>
        <v/>
      </c>
      <c r="AK340" s="8">
        <f>K340+AJ340</f>
        <v/>
      </c>
      <c r="AL340" s="14">
        <f>AE340*AJ340</f>
        <v/>
      </c>
      <c r="AM340" s="17">
        <f>V340/AL340</f>
        <v/>
      </c>
      <c r="AN340" s="17">
        <f>Z340/AL340</f>
        <v/>
      </c>
      <c r="AO340" s="33">
        <f>IF(V340+Z340=0,0,Z340/(V340+Z340))</f>
        <v/>
      </c>
      <c r="AP340" s="14">
        <f>AL340/V340*100</f>
        <v/>
      </c>
      <c r="AQ340" s="8">
        <f>P340/AL340*1000</f>
        <v/>
      </c>
      <c r="AR340" s="77">
        <f>MAX(N340,M340-1)</f>
        <v/>
      </c>
      <c r="AS340" s="14">
        <f>SUMIFS(Donnees_regimes!$R$3:$R$1118,Donnees_regimes!$A$3:$A$1118,C340,Donnees_regimes!$B$3:$B$1118,"&gt;="&amp;G340,Donnees_regimes!$B$3:$B$1118,"&lt;="&amp;N340)*L340/ROUNDUP(L340,0)*SUMIFS(Donnees_annuelles!$AG$3:$AG$188,Donnees_annuelles!$A$3:$A$188,AR340)*SUMIFS(Donnees_annuelles!$AA$3:$AA$188,Donnees_annuelles!$A$3:$A$188,AR340)</f>
        <v/>
      </c>
      <c r="AT340" s="36">
        <f>AS340/V340</f>
        <v/>
      </c>
      <c r="AU340" s="14">
        <f>AL340</f>
        <v/>
      </c>
      <c r="AV340" s="39">
        <f>AS340-AL340</f>
        <v/>
      </c>
      <c r="AW340" s="9">
        <f>AS340/AL340-1</f>
        <v/>
      </c>
      <c r="AX340" s="14">
        <f>AS340/AJ340/12</f>
        <v/>
      </c>
      <c r="AY340" s="14">
        <f>AF340</f>
        <v/>
      </c>
      <c r="AZ340" s="39">
        <f>AX340-AF340</f>
        <v/>
      </c>
      <c r="BA340" s="14">
        <f>SUMIFS(Donnees_regimes!$S$3:$S$1118,Donnees_regimes!$A$3:$A$1118,C340,Donnees_regimes!$B$3:$B$1118,"&gt;="&amp;G340,Donnees_regimes!$B$3:$B$1118,"&lt;="&amp;N340)*L340/ROUNDUP(L340,0)*SUMIFS(Donnees_annuelles!$AH$3:$AH$188,Donnees_annuelles!$A$3:$A$188,AR340)*SUMIFS(Donnees_annuelles!$AA$3:$AA$188,Donnees_annuelles!$A$3:$A$188,AR340)</f>
        <v/>
      </c>
      <c r="BB340" s="39">
        <f>BA340-AL340</f>
        <v/>
      </c>
      <c r="BC340" s="7">
        <f>IF(M340+AJ340&gt;2026,IF(G340&gt;2026,"entièrement projeté","en partie projeté"),"observé")</f>
        <v/>
      </c>
    </row>
    <row r="341">
      <c r="A341" s="7" t="inlineStr">
        <is>
          <t>Génération X</t>
        </is>
      </c>
      <c r="B341" s="84" t="inlineStr">
        <is>
          <t>SNCF</t>
        </is>
      </c>
      <c r="C341" s="7">
        <f>IF(G341&gt;=SUMIFS(Regimes!$C$5:$C$10,Regimes!$A$5:$A$10,B341),"Privé",B341)</f>
        <v/>
      </c>
      <c r="D341" s="7">
        <f>INDEX(Regimes!$D$5:$D$10,MATCH(C341,Regimes!$A$5:$A$10,0))</f>
        <v/>
      </c>
      <c r="E341" s="88" t="n">
        <v>1972</v>
      </c>
      <c r="F341" s="8">
        <f>Donnees_generations!C60</f>
        <v/>
      </c>
      <c r="G341" s="77">
        <f>Donnees_generations!D60</f>
        <v/>
      </c>
      <c r="H341" s="8">
        <f>SUMIFS(Donnees_generations!$S$3:$S$113,Donnees_generations!$A$3:$A$113,MAX(1915,MIN(2025,E341)))</f>
        <v/>
      </c>
      <c r="I341" s="8">
        <f>SUMIFS(Donnees_generations!$T$3:$T$113,Donnees_generations!$A$3:$A$113,MAX(1915,MIN(2025,E341)))</f>
        <v/>
      </c>
      <c r="J341" s="8">
        <f>IF(G341&gt;=2000,MAX(I341,Parametres!$B$3),I341)</f>
        <v/>
      </c>
      <c r="K341" s="8">
        <f>IF(C341="Privé",J341,SUMIFS(Regles_regimes!$J$3:$J$2000,Regles_regimes!$A$3:$A$2000,C341,Regles_regimes!$B$3:$B$2000,D341,Regles_regimes!$C$3:$C$2000,MAX(1915,MIN(2025,E341))))</f>
        <v/>
      </c>
      <c r="L341" s="8">
        <f>IF(C341="Privé",H341,(K341-F341)*H341/(J341-F341))</f>
        <v/>
      </c>
      <c r="M341" s="77">
        <f>INT(E341+K341)</f>
        <v/>
      </c>
      <c r="N341" s="77">
        <f>G341+ROUNDUP(L341,0)-1</f>
        <v/>
      </c>
      <c r="O341" s="89">
        <f>SUMIFS(Regles_regimes!$K$3:$K$2000,Regles_regimes!$A$3:$A$2000,C341,Regles_regimes!$B$3:$B$2000,D341,Regles_regimes!$C$3:$C$2000,MAX(1915,MIN(2025,E341)))</f>
        <v/>
      </c>
      <c r="P341" s="13">
        <f>SUMIFS(Donnees_annuelles!$W$3:$W$188,Donnees_annuelles!$A$3:$A$188,"&gt;="&amp;G341,Donnees_annuelles!$A$3:$A$188,"&lt;="&amp;N341)*L341/ROUNDUP(L341,0)*O341</f>
        <v/>
      </c>
      <c r="Q341" s="13">
        <f>SUMIFS(Donnees_annuelles!$V$3:$V$188,Donnees_annuelles!$A$3:$A$188,"&gt;="&amp;G341,Donnees_annuelles!$A$3:$A$188,"&lt;="&amp;N341)*L341/ROUNDUP(L341,0)</f>
        <v/>
      </c>
      <c r="R341" s="13">
        <f>P341/L341</f>
        <v/>
      </c>
      <c r="S341" s="14">
        <f>SUMIFS(Donnees_annuelles!$D$3:$D$188,Donnees_annuelles!$A$3:$A$188,"&gt;="&amp;G341,Donnees_annuelles!$A$3:$A$188,"&lt;="&amp;N341)*L341/ROUNDUP(L341,0)</f>
        <v/>
      </c>
      <c r="T341" s="14">
        <f>SUMIFS(Donnees_regimes!$N$3:$N$1118,Donnees_regimes!$A$3:$A$1118,C341,Donnees_regimes!$B$3:$B$1118,"&gt;="&amp;G341,Donnees_regimes!$B$3:$B$1118,"&lt;="&amp;N341)*L341/ROUNDUP(L341,0)</f>
        <v/>
      </c>
      <c r="U341" s="14">
        <f>SUMIFS(Donnees_regimes!$O$3:$O$1118,Donnees_regimes!$A$3:$A$1118,C341,Donnees_regimes!$B$3:$B$1118,"&gt;="&amp;G341,Donnees_regimes!$B$3:$B$1118,"&lt;="&amp;N341)*L341/ROUNDUP(L341,0)</f>
        <v/>
      </c>
      <c r="V341" s="14">
        <f>T341+U341</f>
        <v/>
      </c>
      <c r="W341" s="33">
        <f>V341/S341</f>
        <v/>
      </c>
      <c r="X341" s="14">
        <f>S341+U341</f>
        <v/>
      </c>
      <c r="Y341" s="17">
        <f>V341/P341</f>
        <v/>
      </c>
      <c r="Z341" s="14">
        <f>SUMIFS(Donnees_regimes!$Q$3:$Q$1118,Donnees_regimes!$A$3:$A$1118,C341,Donnees_regimes!$B$3:$B$1118,"&gt;="&amp;G341,Donnees_regimes!$B$3:$B$1118,"&lt;="&amp;N341)*L341/ROUNDUP(L341,0)</f>
        <v/>
      </c>
      <c r="AA341" s="77">
        <f>SUMIFS(Regles_regimes!$F$3:$F$2000,Regles_regimes!$A$3:$A$2000,C341,Regles_regimes!$B$3:$B$2000,D341,Regles_regimes!$C$3:$C$2000,MAX(1915,MIN(2025,E341)))</f>
        <v/>
      </c>
      <c r="AB341" s="77">
        <f>IF(AND(SUMIFS(Regles_regimes!$L$3:$L$2000,Regles_regimes!$A$3:$A$2000,C341,Regles_regimes!$B$3:$B$2000,D341,Regles_regimes!$C$3:$C$2000,MAX(1915,MIN(2025,E341)))=1,G341&lt;2009,C341&lt;&gt;"Privé"),MIN(20,L341*4/5),0)</f>
        <v/>
      </c>
      <c r="AC341" s="89">
        <f>SUMIFS(Donnees_regimes!$M$3:$M$1118,Donnees_regimes!$A$3:$A$1118,C341,Donnees_regimes!$B$3:$B$1118,M341)</f>
        <v/>
      </c>
      <c r="AD341" s="14">
        <f>SUMIFS(Donnees_annuelles!$Y$3:$Y$188,Donnees_annuelles!$A$3:$A$188,M341)*SUMIFS(Donnees_generations!$I$3:$I$113,Donnees_generations!$A$3:$A$113,MAX(1915,MIN(2025,E341)))/H341</f>
        <v/>
      </c>
      <c r="AE341" s="14">
        <f>IF(C341="Privé",SUMIFS(Donnees_annuelles!$Y$3:$Y$188,Donnees_annuelles!$A$3:$A$188,M341)*MIN(L341,SUMIFS(Donnees_generations!$I$3:$I$113,Donnees_generations!$A$3:$A$113,MAX(1915,MIN(2025,E341))))/L341,AD341*AC341*MIN(IF(AB341&gt;0,0.8/0.75,1),(L341*4+AB341)/AA341))</f>
        <v/>
      </c>
      <c r="AF341" s="14">
        <f>AE341/12</f>
        <v/>
      </c>
      <c r="AG341" s="77">
        <f>MIN(68,MAX(56,2*INT(K341/2)))</f>
        <v/>
      </c>
      <c r="AH341" s="75">
        <f>(CHOOSE((AG341-56)/2+1,SUMIFS(Donnees_generations!$U$3:$U$113,Donnees_generations!$A$3:$A$113,MAX(1915,MIN(2025,E341))),SUMIFS(Donnees_generations!$V$3:$V$113,Donnees_generations!$A$3:$A$113,MAX(1915,MIN(2025,E341))),SUMIFS(Donnees_generations!$W$3:$W$113,Donnees_generations!$A$3:$A$113,MAX(1915,MIN(2025,E341))),SUMIFS(Donnees_generations!$X$3:$X$113,Donnees_generations!$A$3:$A$113,MAX(1915,MIN(2025,E341))),SUMIFS(Donnees_generations!$Y$3:$Y$113,Donnees_generations!$A$3:$A$113,MAX(1915,MIN(2025,E341))),SUMIFS(Donnees_generations!$Z$3:$Z$113,Donnees_generations!$A$3:$A$113,MAX(1915,MIN(2025,E341))),SUMIFS(Donnees_generations!$AA$3:$AA$113,Donnees_generations!$A$3:$A$113,MAX(1915,MIN(2025,E341))),SUMIFS(Donnees_generations!$AB$3:$AB$113,Donnees_generations!$A$3:$A$113,MAX(1915,MIN(2025,E341))))+CHOOSE((AG341-56)/2+1,SUMIFS(Donnees_generations!$AC$3:$AC$113,Donnees_generations!$A$3:$A$113,MAX(1915,MIN(2025,E341))),SUMIFS(Donnees_generations!$AD$3:$AD$113,Donnees_generations!$A$3:$A$113,MAX(1915,MIN(2025,E341))),SUMIFS(Donnees_generations!$AE$3:$AE$113,Donnees_generations!$A$3:$A$113,MAX(1915,MIN(2025,E341))),SUMIFS(Donnees_generations!$AF$3:$AF$113,Donnees_generations!$A$3:$A$113,MAX(1915,MIN(2025,E341))),SUMIFS(Donnees_generations!$AG$3:$AG$113,Donnees_generations!$A$3:$A$113,MAX(1915,MIN(2025,E341))),SUMIFS(Donnees_generations!$AH$3:$AH$113,Donnees_generations!$A$3:$A$113,MAX(1915,MIN(2025,E341))),SUMIFS(Donnees_generations!$AI$3:$AI$113,Donnees_generations!$A$3:$A$113,MAX(1915,MIN(2025,E341))),SUMIFS(Donnees_generations!$AJ$3:$AJ$113,Donnees_generations!$A$3:$A$113,MAX(1915,MIN(2025,E341)))))/2</f>
        <v/>
      </c>
      <c r="AI341" s="75">
        <f>(CHOOSE(((AG341+2)-56)/2+1,SUMIFS(Donnees_generations!$U$3:$U$113,Donnees_generations!$A$3:$A$113,MAX(1915,MIN(2025,E341))),SUMIFS(Donnees_generations!$V$3:$V$113,Donnees_generations!$A$3:$A$113,MAX(1915,MIN(2025,E341))),SUMIFS(Donnees_generations!$W$3:$W$113,Donnees_generations!$A$3:$A$113,MAX(1915,MIN(2025,E341))),SUMIFS(Donnees_generations!$X$3:$X$113,Donnees_generations!$A$3:$A$113,MAX(1915,MIN(2025,E341))),SUMIFS(Donnees_generations!$Y$3:$Y$113,Donnees_generations!$A$3:$A$113,MAX(1915,MIN(2025,E341))),SUMIFS(Donnees_generations!$Z$3:$Z$113,Donnees_generations!$A$3:$A$113,MAX(1915,MIN(2025,E341))),SUMIFS(Donnees_generations!$AA$3:$AA$113,Donnees_generations!$A$3:$A$113,MAX(1915,MIN(2025,E341))),SUMIFS(Donnees_generations!$AB$3:$AB$113,Donnees_generations!$A$3:$A$113,MAX(1915,MIN(2025,E341))))+CHOOSE(((AG341+2)-56)/2+1,SUMIFS(Donnees_generations!$AC$3:$AC$113,Donnees_generations!$A$3:$A$113,MAX(1915,MIN(2025,E341))),SUMIFS(Donnees_generations!$AD$3:$AD$113,Donnees_generations!$A$3:$A$113,MAX(1915,MIN(2025,E341))),SUMIFS(Donnees_generations!$AE$3:$AE$113,Donnees_generations!$A$3:$A$113,MAX(1915,MIN(2025,E341))),SUMIFS(Donnees_generations!$AF$3:$AF$113,Donnees_generations!$A$3:$A$113,MAX(1915,MIN(2025,E341))),SUMIFS(Donnees_generations!$AG$3:$AG$113,Donnees_generations!$A$3:$A$113,MAX(1915,MIN(2025,E341))),SUMIFS(Donnees_generations!$AH$3:$AH$113,Donnees_generations!$A$3:$A$113,MAX(1915,MIN(2025,E341))),SUMIFS(Donnees_generations!$AI$3:$AI$113,Donnees_generations!$A$3:$A$113,MAX(1915,MIN(2025,E341))),SUMIFS(Donnees_generations!$AJ$3:$AJ$113,Donnees_generations!$A$3:$A$113,MAX(1915,MIN(2025,E341)))))/2</f>
        <v/>
      </c>
      <c r="AJ341" s="8">
        <f>MAX(0,AH341+(AI341-AH341)*(K341-AG341)/2)</f>
        <v/>
      </c>
      <c r="AK341" s="8">
        <f>K341+AJ341</f>
        <v/>
      </c>
      <c r="AL341" s="14">
        <f>AE341*AJ341</f>
        <v/>
      </c>
      <c r="AM341" s="17">
        <f>V341/AL341</f>
        <v/>
      </c>
      <c r="AN341" s="17">
        <f>Z341/AL341</f>
        <v/>
      </c>
      <c r="AO341" s="33">
        <f>IF(V341+Z341=0,0,Z341/(V341+Z341))</f>
        <v/>
      </c>
      <c r="AP341" s="14">
        <f>AL341/V341*100</f>
        <v/>
      </c>
      <c r="AQ341" s="8">
        <f>P341/AL341*1000</f>
        <v/>
      </c>
      <c r="AR341" s="77">
        <f>MAX(N341,M341-1)</f>
        <v/>
      </c>
      <c r="AS341" s="14">
        <f>SUMIFS(Donnees_regimes!$R$3:$R$1118,Donnees_regimes!$A$3:$A$1118,C341,Donnees_regimes!$B$3:$B$1118,"&gt;="&amp;G341,Donnees_regimes!$B$3:$B$1118,"&lt;="&amp;N341)*L341/ROUNDUP(L341,0)*SUMIFS(Donnees_annuelles!$AG$3:$AG$188,Donnees_annuelles!$A$3:$A$188,AR341)*SUMIFS(Donnees_annuelles!$AA$3:$AA$188,Donnees_annuelles!$A$3:$A$188,AR341)</f>
        <v/>
      </c>
      <c r="AT341" s="36">
        <f>AS341/V341</f>
        <v/>
      </c>
      <c r="AU341" s="14">
        <f>AL341</f>
        <v/>
      </c>
      <c r="AV341" s="39">
        <f>AS341-AL341</f>
        <v/>
      </c>
      <c r="AW341" s="9">
        <f>AS341/AL341-1</f>
        <v/>
      </c>
      <c r="AX341" s="14">
        <f>AS341/AJ341/12</f>
        <v/>
      </c>
      <c r="AY341" s="14">
        <f>AF341</f>
        <v/>
      </c>
      <c r="AZ341" s="39">
        <f>AX341-AF341</f>
        <v/>
      </c>
      <c r="BA341" s="14">
        <f>SUMIFS(Donnees_regimes!$S$3:$S$1118,Donnees_regimes!$A$3:$A$1118,C341,Donnees_regimes!$B$3:$B$1118,"&gt;="&amp;G341,Donnees_regimes!$B$3:$B$1118,"&lt;="&amp;N341)*L341/ROUNDUP(L341,0)*SUMIFS(Donnees_annuelles!$AH$3:$AH$188,Donnees_annuelles!$A$3:$A$188,AR341)*SUMIFS(Donnees_annuelles!$AA$3:$AA$188,Donnees_annuelles!$A$3:$A$188,AR341)</f>
        <v/>
      </c>
      <c r="BB341" s="39">
        <f>BA341-AL341</f>
        <v/>
      </c>
      <c r="BC341" s="7">
        <f>IF(M341+AJ341&gt;2026,IF(G341&gt;2026,"entièrement projeté","en partie projeté"),"observé")</f>
        <v/>
      </c>
    </row>
    <row r="342">
      <c r="A342" s="7" t="inlineStr">
        <is>
          <t>Génération X</t>
        </is>
      </c>
      <c r="B342" s="84" t="inlineStr">
        <is>
          <t>SNCF</t>
        </is>
      </c>
      <c r="C342" s="7">
        <f>IF(G342&gt;=SUMIFS(Regimes!$C$5:$C$10,Regimes!$A$5:$A$10,B342),"Privé",B342)</f>
        <v/>
      </c>
      <c r="D342" s="7">
        <f>INDEX(Regimes!$D$5:$D$10,MATCH(C342,Regimes!$A$5:$A$10,0))</f>
        <v/>
      </c>
      <c r="E342" s="88" t="n">
        <v>1973</v>
      </c>
      <c r="F342" s="8">
        <f>Donnees_generations!C61</f>
        <v/>
      </c>
      <c r="G342" s="77">
        <f>Donnees_generations!D61</f>
        <v/>
      </c>
      <c r="H342" s="8">
        <f>SUMIFS(Donnees_generations!$S$3:$S$113,Donnees_generations!$A$3:$A$113,MAX(1915,MIN(2025,E342)))</f>
        <v/>
      </c>
      <c r="I342" s="8">
        <f>SUMIFS(Donnees_generations!$T$3:$T$113,Donnees_generations!$A$3:$A$113,MAX(1915,MIN(2025,E342)))</f>
        <v/>
      </c>
      <c r="J342" s="8">
        <f>IF(G342&gt;=2000,MAX(I342,Parametres!$B$3),I342)</f>
        <v/>
      </c>
      <c r="K342" s="8">
        <f>IF(C342="Privé",J342,SUMIFS(Regles_regimes!$J$3:$J$2000,Regles_regimes!$A$3:$A$2000,C342,Regles_regimes!$B$3:$B$2000,D342,Regles_regimes!$C$3:$C$2000,MAX(1915,MIN(2025,E342))))</f>
        <v/>
      </c>
      <c r="L342" s="8">
        <f>IF(C342="Privé",H342,(K342-F342)*H342/(J342-F342))</f>
        <v/>
      </c>
      <c r="M342" s="77">
        <f>INT(E342+K342)</f>
        <v/>
      </c>
      <c r="N342" s="77">
        <f>G342+ROUNDUP(L342,0)-1</f>
        <v/>
      </c>
      <c r="O342" s="89">
        <f>SUMIFS(Regles_regimes!$K$3:$K$2000,Regles_regimes!$A$3:$A$2000,C342,Regles_regimes!$B$3:$B$2000,D342,Regles_regimes!$C$3:$C$2000,MAX(1915,MIN(2025,E342)))</f>
        <v/>
      </c>
      <c r="P342" s="13">
        <f>SUMIFS(Donnees_annuelles!$W$3:$W$188,Donnees_annuelles!$A$3:$A$188,"&gt;="&amp;G342,Donnees_annuelles!$A$3:$A$188,"&lt;="&amp;N342)*L342/ROUNDUP(L342,0)*O342</f>
        <v/>
      </c>
      <c r="Q342" s="13">
        <f>SUMIFS(Donnees_annuelles!$V$3:$V$188,Donnees_annuelles!$A$3:$A$188,"&gt;="&amp;G342,Donnees_annuelles!$A$3:$A$188,"&lt;="&amp;N342)*L342/ROUNDUP(L342,0)</f>
        <v/>
      </c>
      <c r="R342" s="13">
        <f>P342/L342</f>
        <v/>
      </c>
      <c r="S342" s="14">
        <f>SUMIFS(Donnees_annuelles!$D$3:$D$188,Donnees_annuelles!$A$3:$A$188,"&gt;="&amp;G342,Donnees_annuelles!$A$3:$A$188,"&lt;="&amp;N342)*L342/ROUNDUP(L342,0)</f>
        <v/>
      </c>
      <c r="T342" s="14">
        <f>SUMIFS(Donnees_regimes!$N$3:$N$1118,Donnees_regimes!$A$3:$A$1118,C342,Donnees_regimes!$B$3:$B$1118,"&gt;="&amp;G342,Donnees_regimes!$B$3:$B$1118,"&lt;="&amp;N342)*L342/ROUNDUP(L342,0)</f>
        <v/>
      </c>
      <c r="U342" s="14">
        <f>SUMIFS(Donnees_regimes!$O$3:$O$1118,Donnees_regimes!$A$3:$A$1118,C342,Donnees_regimes!$B$3:$B$1118,"&gt;="&amp;G342,Donnees_regimes!$B$3:$B$1118,"&lt;="&amp;N342)*L342/ROUNDUP(L342,0)</f>
        <v/>
      </c>
      <c r="V342" s="14">
        <f>T342+U342</f>
        <v/>
      </c>
      <c r="W342" s="33">
        <f>V342/S342</f>
        <v/>
      </c>
      <c r="X342" s="14">
        <f>S342+U342</f>
        <v/>
      </c>
      <c r="Y342" s="17">
        <f>V342/P342</f>
        <v/>
      </c>
      <c r="Z342" s="14">
        <f>SUMIFS(Donnees_regimes!$Q$3:$Q$1118,Donnees_regimes!$A$3:$A$1118,C342,Donnees_regimes!$B$3:$B$1118,"&gt;="&amp;G342,Donnees_regimes!$B$3:$B$1118,"&lt;="&amp;N342)*L342/ROUNDUP(L342,0)</f>
        <v/>
      </c>
      <c r="AA342" s="77">
        <f>SUMIFS(Regles_regimes!$F$3:$F$2000,Regles_regimes!$A$3:$A$2000,C342,Regles_regimes!$B$3:$B$2000,D342,Regles_regimes!$C$3:$C$2000,MAX(1915,MIN(2025,E342)))</f>
        <v/>
      </c>
      <c r="AB342" s="77">
        <f>IF(AND(SUMIFS(Regles_regimes!$L$3:$L$2000,Regles_regimes!$A$3:$A$2000,C342,Regles_regimes!$B$3:$B$2000,D342,Regles_regimes!$C$3:$C$2000,MAX(1915,MIN(2025,E342)))=1,G342&lt;2009,C342&lt;&gt;"Privé"),MIN(20,L342*4/5),0)</f>
        <v/>
      </c>
      <c r="AC342" s="89">
        <f>SUMIFS(Donnees_regimes!$M$3:$M$1118,Donnees_regimes!$A$3:$A$1118,C342,Donnees_regimes!$B$3:$B$1118,M342)</f>
        <v/>
      </c>
      <c r="AD342" s="14">
        <f>SUMIFS(Donnees_annuelles!$Y$3:$Y$188,Donnees_annuelles!$A$3:$A$188,M342)*SUMIFS(Donnees_generations!$I$3:$I$113,Donnees_generations!$A$3:$A$113,MAX(1915,MIN(2025,E342)))/H342</f>
        <v/>
      </c>
      <c r="AE342" s="14">
        <f>IF(C342="Privé",SUMIFS(Donnees_annuelles!$Y$3:$Y$188,Donnees_annuelles!$A$3:$A$188,M342)*MIN(L342,SUMIFS(Donnees_generations!$I$3:$I$113,Donnees_generations!$A$3:$A$113,MAX(1915,MIN(2025,E342))))/L342,AD342*AC342*MIN(IF(AB342&gt;0,0.8/0.75,1),(L342*4+AB342)/AA342))</f>
        <v/>
      </c>
      <c r="AF342" s="14">
        <f>AE342/12</f>
        <v/>
      </c>
      <c r="AG342" s="77">
        <f>MIN(68,MAX(56,2*INT(K342/2)))</f>
        <v/>
      </c>
      <c r="AH342" s="75">
        <f>(CHOOSE((AG342-56)/2+1,SUMIFS(Donnees_generations!$U$3:$U$113,Donnees_generations!$A$3:$A$113,MAX(1915,MIN(2025,E342))),SUMIFS(Donnees_generations!$V$3:$V$113,Donnees_generations!$A$3:$A$113,MAX(1915,MIN(2025,E342))),SUMIFS(Donnees_generations!$W$3:$W$113,Donnees_generations!$A$3:$A$113,MAX(1915,MIN(2025,E342))),SUMIFS(Donnees_generations!$X$3:$X$113,Donnees_generations!$A$3:$A$113,MAX(1915,MIN(2025,E342))),SUMIFS(Donnees_generations!$Y$3:$Y$113,Donnees_generations!$A$3:$A$113,MAX(1915,MIN(2025,E342))),SUMIFS(Donnees_generations!$Z$3:$Z$113,Donnees_generations!$A$3:$A$113,MAX(1915,MIN(2025,E342))),SUMIFS(Donnees_generations!$AA$3:$AA$113,Donnees_generations!$A$3:$A$113,MAX(1915,MIN(2025,E342))),SUMIFS(Donnees_generations!$AB$3:$AB$113,Donnees_generations!$A$3:$A$113,MAX(1915,MIN(2025,E342))))+CHOOSE((AG342-56)/2+1,SUMIFS(Donnees_generations!$AC$3:$AC$113,Donnees_generations!$A$3:$A$113,MAX(1915,MIN(2025,E342))),SUMIFS(Donnees_generations!$AD$3:$AD$113,Donnees_generations!$A$3:$A$113,MAX(1915,MIN(2025,E342))),SUMIFS(Donnees_generations!$AE$3:$AE$113,Donnees_generations!$A$3:$A$113,MAX(1915,MIN(2025,E342))),SUMIFS(Donnees_generations!$AF$3:$AF$113,Donnees_generations!$A$3:$A$113,MAX(1915,MIN(2025,E342))),SUMIFS(Donnees_generations!$AG$3:$AG$113,Donnees_generations!$A$3:$A$113,MAX(1915,MIN(2025,E342))),SUMIFS(Donnees_generations!$AH$3:$AH$113,Donnees_generations!$A$3:$A$113,MAX(1915,MIN(2025,E342))),SUMIFS(Donnees_generations!$AI$3:$AI$113,Donnees_generations!$A$3:$A$113,MAX(1915,MIN(2025,E342))),SUMIFS(Donnees_generations!$AJ$3:$AJ$113,Donnees_generations!$A$3:$A$113,MAX(1915,MIN(2025,E342)))))/2</f>
        <v/>
      </c>
      <c r="AI342" s="75">
        <f>(CHOOSE(((AG342+2)-56)/2+1,SUMIFS(Donnees_generations!$U$3:$U$113,Donnees_generations!$A$3:$A$113,MAX(1915,MIN(2025,E342))),SUMIFS(Donnees_generations!$V$3:$V$113,Donnees_generations!$A$3:$A$113,MAX(1915,MIN(2025,E342))),SUMIFS(Donnees_generations!$W$3:$W$113,Donnees_generations!$A$3:$A$113,MAX(1915,MIN(2025,E342))),SUMIFS(Donnees_generations!$X$3:$X$113,Donnees_generations!$A$3:$A$113,MAX(1915,MIN(2025,E342))),SUMIFS(Donnees_generations!$Y$3:$Y$113,Donnees_generations!$A$3:$A$113,MAX(1915,MIN(2025,E342))),SUMIFS(Donnees_generations!$Z$3:$Z$113,Donnees_generations!$A$3:$A$113,MAX(1915,MIN(2025,E342))),SUMIFS(Donnees_generations!$AA$3:$AA$113,Donnees_generations!$A$3:$A$113,MAX(1915,MIN(2025,E342))),SUMIFS(Donnees_generations!$AB$3:$AB$113,Donnees_generations!$A$3:$A$113,MAX(1915,MIN(2025,E342))))+CHOOSE(((AG342+2)-56)/2+1,SUMIFS(Donnees_generations!$AC$3:$AC$113,Donnees_generations!$A$3:$A$113,MAX(1915,MIN(2025,E342))),SUMIFS(Donnees_generations!$AD$3:$AD$113,Donnees_generations!$A$3:$A$113,MAX(1915,MIN(2025,E342))),SUMIFS(Donnees_generations!$AE$3:$AE$113,Donnees_generations!$A$3:$A$113,MAX(1915,MIN(2025,E342))),SUMIFS(Donnees_generations!$AF$3:$AF$113,Donnees_generations!$A$3:$A$113,MAX(1915,MIN(2025,E342))),SUMIFS(Donnees_generations!$AG$3:$AG$113,Donnees_generations!$A$3:$A$113,MAX(1915,MIN(2025,E342))),SUMIFS(Donnees_generations!$AH$3:$AH$113,Donnees_generations!$A$3:$A$113,MAX(1915,MIN(2025,E342))),SUMIFS(Donnees_generations!$AI$3:$AI$113,Donnees_generations!$A$3:$A$113,MAX(1915,MIN(2025,E342))),SUMIFS(Donnees_generations!$AJ$3:$AJ$113,Donnees_generations!$A$3:$A$113,MAX(1915,MIN(2025,E342)))))/2</f>
        <v/>
      </c>
      <c r="AJ342" s="8">
        <f>MAX(0,AH342+(AI342-AH342)*(K342-AG342)/2)</f>
        <v/>
      </c>
      <c r="AK342" s="8">
        <f>K342+AJ342</f>
        <v/>
      </c>
      <c r="AL342" s="14">
        <f>AE342*AJ342</f>
        <v/>
      </c>
      <c r="AM342" s="17">
        <f>V342/AL342</f>
        <v/>
      </c>
      <c r="AN342" s="17">
        <f>Z342/AL342</f>
        <v/>
      </c>
      <c r="AO342" s="33">
        <f>IF(V342+Z342=0,0,Z342/(V342+Z342))</f>
        <v/>
      </c>
      <c r="AP342" s="14">
        <f>AL342/V342*100</f>
        <v/>
      </c>
      <c r="AQ342" s="8">
        <f>P342/AL342*1000</f>
        <v/>
      </c>
      <c r="AR342" s="77">
        <f>MAX(N342,M342-1)</f>
        <v/>
      </c>
      <c r="AS342" s="14">
        <f>SUMIFS(Donnees_regimes!$R$3:$R$1118,Donnees_regimes!$A$3:$A$1118,C342,Donnees_regimes!$B$3:$B$1118,"&gt;="&amp;G342,Donnees_regimes!$B$3:$B$1118,"&lt;="&amp;N342)*L342/ROUNDUP(L342,0)*SUMIFS(Donnees_annuelles!$AG$3:$AG$188,Donnees_annuelles!$A$3:$A$188,AR342)*SUMIFS(Donnees_annuelles!$AA$3:$AA$188,Donnees_annuelles!$A$3:$A$188,AR342)</f>
        <v/>
      </c>
      <c r="AT342" s="36">
        <f>AS342/V342</f>
        <v/>
      </c>
      <c r="AU342" s="14">
        <f>AL342</f>
        <v/>
      </c>
      <c r="AV342" s="39">
        <f>AS342-AL342</f>
        <v/>
      </c>
      <c r="AW342" s="9">
        <f>AS342/AL342-1</f>
        <v/>
      </c>
      <c r="AX342" s="14">
        <f>AS342/AJ342/12</f>
        <v/>
      </c>
      <c r="AY342" s="14">
        <f>AF342</f>
        <v/>
      </c>
      <c r="AZ342" s="39">
        <f>AX342-AF342</f>
        <v/>
      </c>
      <c r="BA342" s="14">
        <f>SUMIFS(Donnees_regimes!$S$3:$S$1118,Donnees_regimes!$A$3:$A$1118,C342,Donnees_regimes!$B$3:$B$1118,"&gt;="&amp;G342,Donnees_regimes!$B$3:$B$1118,"&lt;="&amp;N342)*L342/ROUNDUP(L342,0)*SUMIFS(Donnees_annuelles!$AH$3:$AH$188,Donnees_annuelles!$A$3:$A$188,AR342)*SUMIFS(Donnees_annuelles!$AA$3:$AA$188,Donnees_annuelles!$A$3:$A$188,AR342)</f>
        <v/>
      </c>
      <c r="BB342" s="39">
        <f>BA342-AL342</f>
        <v/>
      </c>
      <c r="BC342" s="7">
        <f>IF(M342+AJ342&gt;2026,IF(G342&gt;2026,"entièrement projeté","en partie projeté"),"observé")</f>
        <v/>
      </c>
    </row>
    <row r="343">
      <c r="A343" s="7" t="inlineStr">
        <is>
          <t>Génération X</t>
        </is>
      </c>
      <c r="B343" s="84" t="inlineStr">
        <is>
          <t>SNCF</t>
        </is>
      </c>
      <c r="C343" s="7">
        <f>IF(G343&gt;=SUMIFS(Regimes!$C$5:$C$10,Regimes!$A$5:$A$10,B343),"Privé",B343)</f>
        <v/>
      </c>
      <c r="D343" s="7">
        <f>INDEX(Regimes!$D$5:$D$10,MATCH(C343,Regimes!$A$5:$A$10,0))</f>
        <v/>
      </c>
      <c r="E343" s="88" t="n">
        <v>1974</v>
      </c>
      <c r="F343" s="8">
        <f>Donnees_generations!C62</f>
        <v/>
      </c>
      <c r="G343" s="77">
        <f>Donnees_generations!D62</f>
        <v/>
      </c>
      <c r="H343" s="8">
        <f>SUMIFS(Donnees_generations!$S$3:$S$113,Donnees_generations!$A$3:$A$113,MAX(1915,MIN(2025,E343)))</f>
        <v/>
      </c>
      <c r="I343" s="8">
        <f>SUMIFS(Donnees_generations!$T$3:$T$113,Donnees_generations!$A$3:$A$113,MAX(1915,MIN(2025,E343)))</f>
        <v/>
      </c>
      <c r="J343" s="8">
        <f>IF(G343&gt;=2000,MAX(I343,Parametres!$B$3),I343)</f>
        <v/>
      </c>
      <c r="K343" s="8">
        <f>IF(C343="Privé",J343,SUMIFS(Regles_regimes!$J$3:$J$2000,Regles_regimes!$A$3:$A$2000,C343,Regles_regimes!$B$3:$B$2000,D343,Regles_regimes!$C$3:$C$2000,MAX(1915,MIN(2025,E343))))</f>
        <v/>
      </c>
      <c r="L343" s="8">
        <f>IF(C343="Privé",H343,(K343-F343)*H343/(J343-F343))</f>
        <v/>
      </c>
      <c r="M343" s="77">
        <f>INT(E343+K343)</f>
        <v/>
      </c>
      <c r="N343" s="77">
        <f>G343+ROUNDUP(L343,0)-1</f>
        <v/>
      </c>
      <c r="O343" s="89">
        <f>SUMIFS(Regles_regimes!$K$3:$K$2000,Regles_regimes!$A$3:$A$2000,C343,Regles_regimes!$B$3:$B$2000,D343,Regles_regimes!$C$3:$C$2000,MAX(1915,MIN(2025,E343)))</f>
        <v/>
      </c>
      <c r="P343" s="13">
        <f>SUMIFS(Donnees_annuelles!$W$3:$W$188,Donnees_annuelles!$A$3:$A$188,"&gt;="&amp;G343,Donnees_annuelles!$A$3:$A$188,"&lt;="&amp;N343)*L343/ROUNDUP(L343,0)*O343</f>
        <v/>
      </c>
      <c r="Q343" s="13">
        <f>SUMIFS(Donnees_annuelles!$V$3:$V$188,Donnees_annuelles!$A$3:$A$188,"&gt;="&amp;G343,Donnees_annuelles!$A$3:$A$188,"&lt;="&amp;N343)*L343/ROUNDUP(L343,0)</f>
        <v/>
      </c>
      <c r="R343" s="13">
        <f>P343/L343</f>
        <v/>
      </c>
      <c r="S343" s="14">
        <f>SUMIFS(Donnees_annuelles!$D$3:$D$188,Donnees_annuelles!$A$3:$A$188,"&gt;="&amp;G343,Donnees_annuelles!$A$3:$A$188,"&lt;="&amp;N343)*L343/ROUNDUP(L343,0)</f>
        <v/>
      </c>
      <c r="T343" s="14">
        <f>SUMIFS(Donnees_regimes!$N$3:$N$1118,Donnees_regimes!$A$3:$A$1118,C343,Donnees_regimes!$B$3:$B$1118,"&gt;="&amp;G343,Donnees_regimes!$B$3:$B$1118,"&lt;="&amp;N343)*L343/ROUNDUP(L343,0)</f>
        <v/>
      </c>
      <c r="U343" s="14">
        <f>SUMIFS(Donnees_regimes!$O$3:$O$1118,Donnees_regimes!$A$3:$A$1118,C343,Donnees_regimes!$B$3:$B$1118,"&gt;="&amp;G343,Donnees_regimes!$B$3:$B$1118,"&lt;="&amp;N343)*L343/ROUNDUP(L343,0)</f>
        <v/>
      </c>
      <c r="V343" s="14">
        <f>T343+U343</f>
        <v/>
      </c>
      <c r="W343" s="33">
        <f>V343/S343</f>
        <v/>
      </c>
      <c r="X343" s="14">
        <f>S343+U343</f>
        <v/>
      </c>
      <c r="Y343" s="17">
        <f>V343/P343</f>
        <v/>
      </c>
      <c r="Z343" s="14">
        <f>SUMIFS(Donnees_regimes!$Q$3:$Q$1118,Donnees_regimes!$A$3:$A$1118,C343,Donnees_regimes!$B$3:$B$1118,"&gt;="&amp;G343,Donnees_regimes!$B$3:$B$1118,"&lt;="&amp;N343)*L343/ROUNDUP(L343,0)</f>
        <v/>
      </c>
      <c r="AA343" s="77">
        <f>SUMIFS(Regles_regimes!$F$3:$F$2000,Regles_regimes!$A$3:$A$2000,C343,Regles_regimes!$B$3:$B$2000,D343,Regles_regimes!$C$3:$C$2000,MAX(1915,MIN(2025,E343)))</f>
        <v/>
      </c>
      <c r="AB343" s="77">
        <f>IF(AND(SUMIFS(Regles_regimes!$L$3:$L$2000,Regles_regimes!$A$3:$A$2000,C343,Regles_regimes!$B$3:$B$2000,D343,Regles_regimes!$C$3:$C$2000,MAX(1915,MIN(2025,E343)))=1,G343&lt;2009,C343&lt;&gt;"Privé"),MIN(20,L343*4/5),0)</f>
        <v/>
      </c>
      <c r="AC343" s="89">
        <f>SUMIFS(Donnees_regimes!$M$3:$M$1118,Donnees_regimes!$A$3:$A$1118,C343,Donnees_regimes!$B$3:$B$1118,M343)</f>
        <v/>
      </c>
      <c r="AD343" s="14">
        <f>SUMIFS(Donnees_annuelles!$Y$3:$Y$188,Donnees_annuelles!$A$3:$A$188,M343)*SUMIFS(Donnees_generations!$I$3:$I$113,Donnees_generations!$A$3:$A$113,MAX(1915,MIN(2025,E343)))/H343</f>
        <v/>
      </c>
      <c r="AE343" s="14">
        <f>IF(C343="Privé",SUMIFS(Donnees_annuelles!$Y$3:$Y$188,Donnees_annuelles!$A$3:$A$188,M343)*MIN(L343,SUMIFS(Donnees_generations!$I$3:$I$113,Donnees_generations!$A$3:$A$113,MAX(1915,MIN(2025,E343))))/L343,AD343*AC343*MIN(IF(AB343&gt;0,0.8/0.75,1),(L343*4+AB343)/AA343))</f>
        <v/>
      </c>
      <c r="AF343" s="14">
        <f>AE343/12</f>
        <v/>
      </c>
      <c r="AG343" s="77">
        <f>MIN(68,MAX(56,2*INT(K343/2)))</f>
        <v/>
      </c>
      <c r="AH343" s="75">
        <f>(CHOOSE((AG343-56)/2+1,SUMIFS(Donnees_generations!$U$3:$U$113,Donnees_generations!$A$3:$A$113,MAX(1915,MIN(2025,E343))),SUMIFS(Donnees_generations!$V$3:$V$113,Donnees_generations!$A$3:$A$113,MAX(1915,MIN(2025,E343))),SUMIFS(Donnees_generations!$W$3:$W$113,Donnees_generations!$A$3:$A$113,MAX(1915,MIN(2025,E343))),SUMIFS(Donnees_generations!$X$3:$X$113,Donnees_generations!$A$3:$A$113,MAX(1915,MIN(2025,E343))),SUMIFS(Donnees_generations!$Y$3:$Y$113,Donnees_generations!$A$3:$A$113,MAX(1915,MIN(2025,E343))),SUMIFS(Donnees_generations!$Z$3:$Z$113,Donnees_generations!$A$3:$A$113,MAX(1915,MIN(2025,E343))),SUMIFS(Donnees_generations!$AA$3:$AA$113,Donnees_generations!$A$3:$A$113,MAX(1915,MIN(2025,E343))),SUMIFS(Donnees_generations!$AB$3:$AB$113,Donnees_generations!$A$3:$A$113,MAX(1915,MIN(2025,E343))))+CHOOSE((AG343-56)/2+1,SUMIFS(Donnees_generations!$AC$3:$AC$113,Donnees_generations!$A$3:$A$113,MAX(1915,MIN(2025,E343))),SUMIFS(Donnees_generations!$AD$3:$AD$113,Donnees_generations!$A$3:$A$113,MAX(1915,MIN(2025,E343))),SUMIFS(Donnees_generations!$AE$3:$AE$113,Donnees_generations!$A$3:$A$113,MAX(1915,MIN(2025,E343))),SUMIFS(Donnees_generations!$AF$3:$AF$113,Donnees_generations!$A$3:$A$113,MAX(1915,MIN(2025,E343))),SUMIFS(Donnees_generations!$AG$3:$AG$113,Donnees_generations!$A$3:$A$113,MAX(1915,MIN(2025,E343))),SUMIFS(Donnees_generations!$AH$3:$AH$113,Donnees_generations!$A$3:$A$113,MAX(1915,MIN(2025,E343))),SUMIFS(Donnees_generations!$AI$3:$AI$113,Donnees_generations!$A$3:$A$113,MAX(1915,MIN(2025,E343))),SUMIFS(Donnees_generations!$AJ$3:$AJ$113,Donnees_generations!$A$3:$A$113,MAX(1915,MIN(2025,E343)))))/2</f>
        <v/>
      </c>
      <c r="AI343" s="75">
        <f>(CHOOSE(((AG343+2)-56)/2+1,SUMIFS(Donnees_generations!$U$3:$U$113,Donnees_generations!$A$3:$A$113,MAX(1915,MIN(2025,E343))),SUMIFS(Donnees_generations!$V$3:$V$113,Donnees_generations!$A$3:$A$113,MAX(1915,MIN(2025,E343))),SUMIFS(Donnees_generations!$W$3:$W$113,Donnees_generations!$A$3:$A$113,MAX(1915,MIN(2025,E343))),SUMIFS(Donnees_generations!$X$3:$X$113,Donnees_generations!$A$3:$A$113,MAX(1915,MIN(2025,E343))),SUMIFS(Donnees_generations!$Y$3:$Y$113,Donnees_generations!$A$3:$A$113,MAX(1915,MIN(2025,E343))),SUMIFS(Donnees_generations!$Z$3:$Z$113,Donnees_generations!$A$3:$A$113,MAX(1915,MIN(2025,E343))),SUMIFS(Donnees_generations!$AA$3:$AA$113,Donnees_generations!$A$3:$A$113,MAX(1915,MIN(2025,E343))),SUMIFS(Donnees_generations!$AB$3:$AB$113,Donnees_generations!$A$3:$A$113,MAX(1915,MIN(2025,E343))))+CHOOSE(((AG343+2)-56)/2+1,SUMIFS(Donnees_generations!$AC$3:$AC$113,Donnees_generations!$A$3:$A$113,MAX(1915,MIN(2025,E343))),SUMIFS(Donnees_generations!$AD$3:$AD$113,Donnees_generations!$A$3:$A$113,MAX(1915,MIN(2025,E343))),SUMIFS(Donnees_generations!$AE$3:$AE$113,Donnees_generations!$A$3:$A$113,MAX(1915,MIN(2025,E343))),SUMIFS(Donnees_generations!$AF$3:$AF$113,Donnees_generations!$A$3:$A$113,MAX(1915,MIN(2025,E343))),SUMIFS(Donnees_generations!$AG$3:$AG$113,Donnees_generations!$A$3:$A$113,MAX(1915,MIN(2025,E343))),SUMIFS(Donnees_generations!$AH$3:$AH$113,Donnees_generations!$A$3:$A$113,MAX(1915,MIN(2025,E343))),SUMIFS(Donnees_generations!$AI$3:$AI$113,Donnees_generations!$A$3:$A$113,MAX(1915,MIN(2025,E343))),SUMIFS(Donnees_generations!$AJ$3:$AJ$113,Donnees_generations!$A$3:$A$113,MAX(1915,MIN(2025,E343)))))/2</f>
        <v/>
      </c>
      <c r="AJ343" s="8">
        <f>MAX(0,AH343+(AI343-AH343)*(K343-AG343)/2)</f>
        <v/>
      </c>
      <c r="AK343" s="8">
        <f>K343+AJ343</f>
        <v/>
      </c>
      <c r="AL343" s="14">
        <f>AE343*AJ343</f>
        <v/>
      </c>
      <c r="AM343" s="17">
        <f>V343/AL343</f>
        <v/>
      </c>
      <c r="AN343" s="17">
        <f>Z343/AL343</f>
        <v/>
      </c>
      <c r="AO343" s="33">
        <f>IF(V343+Z343=0,0,Z343/(V343+Z343))</f>
        <v/>
      </c>
      <c r="AP343" s="14">
        <f>AL343/V343*100</f>
        <v/>
      </c>
      <c r="AQ343" s="8">
        <f>P343/AL343*1000</f>
        <v/>
      </c>
      <c r="AR343" s="77">
        <f>MAX(N343,M343-1)</f>
        <v/>
      </c>
      <c r="AS343" s="14">
        <f>SUMIFS(Donnees_regimes!$R$3:$R$1118,Donnees_regimes!$A$3:$A$1118,C343,Donnees_regimes!$B$3:$B$1118,"&gt;="&amp;G343,Donnees_regimes!$B$3:$B$1118,"&lt;="&amp;N343)*L343/ROUNDUP(L343,0)*SUMIFS(Donnees_annuelles!$AG$3:$AG$188,Donnees_annuelles!$A$3:$A$188,AR343)*SUMIFS(Donnees_annuelles!$AA$3:$AA$188,Donnees_annuelles!$A$3:$A$188,AR343)</f>
        <v/>
      </c>
      <c r="AT343" s="36">
        <f>AS343/V343</f>
        <v/>
      </c>
      <c r="AU343" s="14">
        <f>AL343</f>
        <v/>
      </c>
      <c r="AV343" s="39">
        <f>AS343-AL343</f>
        <v/>
      </c>
      <c r="AW343" s="9">
        <f>AS343/AL343-1</f>
        <v/>
      </c>
      <c r="AX343" s="14">
        <f>AS343/AJ343/12</f>
        <v/>
      </c>
      <c r="AY343" s="14">
        <f>AF343</f>
        <v/>
      </c>
      <c r="AZ343" s="39">
        <f>AX343-AF343</f>
        <v/>
      </c>
      <c r="BA343" s="14">
        <f>SUMIFS(Donnees_regimes!$S$3:$S$1118,Donnees_regimes!$A$3:$A$1118,C343,Donnees_regimes!$B$3:$B$1118,"&gt;="&amp;G343,Donnees_regimes!$B$3:$B$1118,"&lt;="&amp;N343)*L343/ROUNDUP(L343,0)*SUMIFS(Donnees_annuelles!$AH$3:$AH$188,Donnees_annuelles!$A$3:$A$188,AR343)*SUMIFS(Donnees_annuelles!$AA$3:$AA$188,Donnees_annuelles!$A$3:$A$188,AR343)</f>
        <v/>
      </c>
      <c r="BB343" s="39">
        <f>BA343-AL343</f>
        <v/>
      </c>
      <c r="BC343" s="7">
        <f>IF(M343+AJ343&gt;2026,IF(G343&gt;2026,"entièrement projeté","en partie projeté"),"observé")</f>
        <v/>
      </c>
    </row>
    <row r="344">
      <c r="A344" s="7" t="inlineStr">
        <is>
          <t>Génération X</t>
        </is>
      </c>
      <c r="B344" s="84" t="inlineStr">
        <is>
          <t>SNCF</t>
        </is>
      </c>
      <c r="C344" s="7">
        <f>IF(G344&gt;=SUMIFS(Regimes!$C$5:$C$10,Regimes!$A$5:$A$10,B344),"Privé",B344)</f>
        <v/>
      </c>
      <c r="D344" s="7">
        <f>INDEX(Regimes!$D$5:$D$10,MATCH(C344,Regimes!$A$5:$A$10,0))</f>
        <v/>
      </c>
      <c r="E344" s="88" t="n">
        <v>1975</v>
      </c>
      <c r="F344" s="8">
        <f>Donnees_generations!C63</f>
        <v/>
      </c>
      <c r="G344" s="77">
        <f>Donnees_generations!D63</f>
        <v/>
      </c>
      <c r="H344" s="8">
        <f>SUMIFS(Donnees_generations!$S$3:$S$113,Donnees_generations!$A$3:$A$113,MAX(1915,MIN(2025,E344)))</f>
        <v/>
      </c>
      <c r="I344" s="8">
        <f>SUMIFS(Donnees_generations!$T$3:$T$113,Donnees_generations!$A$3:$A$113,MAX(1915,MIN(2025,E344)))</f>
        <v/>
      </c>
      <c r="J344" s="8">
        <f>IF(G344&gt;=2000,MAX(I344,Parametres!$B$3),I344)</f>
        <v/>
      </c>
      <c r="K344" s="8">
        <f>IF(C344="Privé",J344,SUMIFS(Regles_regimes!$J$3:$J$2000,Regles_regimes!$A$3:$A$2000,C344,Regles_regimes!$B$3:$B$2000,D344,Regles_regimes!$C$3:$C$2000,MAX(1915,MIN(2025,E344))))</f>
        <v/>
      </c>
      <c r="L344" s="8">
        <f>IF(C344="Privé",H344,(K344-F344)*H344/(J344-F344))</f>
        <v/>
      </c>
      <c r="M344" s="77">
        <f>INT(E344+K344)</f>
        <v/>
      </c>
      <c r="N344" s="77">
        <f>G344+ROUNDUP(L344,0)-1</f>
        <v/>
      </c>
      <c r="O344" s="89">
        <f>SUMIFS(Regles_regimes!$K$3:$K$2000,Regles_regimes!$A$3:$A$2000,C344,Regles_regimes!$B$3:$B$2000,D344,Regles_regimes!$C$3:$C$2000,MAX(1915,MIN(2025,E344)))</f>
        <v/>
      </c>
      <c r="P344" s="13">
        <f>SUMIFS(Donnees_annuelles!$W$3:$W$188,Donnees_annuelles!$A$3:$A$188,"&gt;="&amp;G344,Donnees_annuelles!$A$3:$A$188,"&lt;="&amp;N344)*L344/ROUNDUP(L344,0)*O344</f>
        <v/>
      </c>
      <c r="Q344" s="13">
        <f>SUMIFS(Donnees_annuelles!$V$3:$V$188,Donnees_annuelles!$A$3:$A$188,"&gt;="&amp;G344,Donnees_annuelles!$A$3:$A$188,"&lt;="&amp;N344)*L344/ROUNDUP(L344,0)</f>
        <v/>
      </c>
      <c r="R344" s="13">
        <f>P344/L344</f>
        <v/>
      </c>
      <c r="S344" s="14">
        <f>SUMIFS(Donnees_annuelles!$D$3:$D$188,Donnees_annuelles!$A$3:$A$188,"&gt;="&amp;G344,Donnees_annuelles!$A$3:$A$188,"&lt;="&amp;N344)*L344/ROUNDUP(L344,0)</f>
        <v/>
      </c>
      <c r="T344" s="14">
        <f>SUMIFS(Donnees_regimes!$N$3:$N$1118,Donnees_regimes!$A$3:$A$1118,C344,Donnees_regimes!$B$3:$B$1118,"&gt;="&amp;G344,Donnees_regimes!$B$3:$B$1118,"&lt;="&amp;N344)*L344/ROUNDUP(L344,0)</f>
        <v/>
      </c>
      <c r="U344" s="14">
        <f>SUMIFS(Donnees_regimes!$O$3:$O$1118,Donnees_regimes!$A$3:$A$1118,C344,Donnees_regimes!$B$3:$B$1118,"&gt;="&amp;G344,Donnees_regimes!$B$3:$B$1118,"&lt;="&amp;N344)*L344/ROUNDUP(L344,0)</f>
        <v/>
      </c>
      <c r="V344" s="14">
        <f>T344+U344</f>
        <v/>
      </c>
      <c r="W344" s="33">
        <f>V344/S344</f>
        <v/>
      </c>
      <c r="X344" s="14">
        <f>S344+U344</f>
        <v/>
      </c>
      <c r="Y344" s="17">
        <f>V344/P344</f>
        <v/>
      </c>
      <c r="Z344" s="14">
        <f>SUMIFS(Donnees_regimes!$Q$3:$Q$1118,Donnees_regimes!$A$3:$A$1118,C344,Donnees_regimes!$B$3:$B$1118,"&gt;="&amp;G344,Donnees_regimes!$B$3:$B$1118,"&lt;="&amp;N344)*L344/ROUNDUP(L344,0)</f>
        <v/>
      </c>
      <c r="AA344" s="77">
        <f>SUMIFS(Regles_regimes!$F$3:$F$2000,Regles_regimes!$A$3:$A$2000,C344,Regles_regimes!$B$3:$B$2000,D344,Regles_regimes!$C$3:$C$2000,MAX(1915,MIN(2025,E344)))</f>
        <v/>
      </c>
      <c r="AB344" s="77">
        <f>IF(AND(SUMIFS(Regles_regimes!$L$3:$L$2000,Regles_regimes!$A$3:$A$2000,C344,Regles_regimes!$B$3:$B$2000,D344,Regles_regimes!$C$3:$C$2000,MAX(1915,MIN(2025,E344)))=1,G344&lt;2009,C344&lt;&gt;"Privé"),MIN(20,L344*4/5),0)</f>
        <v/>
      </c>
      <c r="AC344" s="89">
        <f>SUMIFS(Donnees_regimes!$M$3:$M$1118,Donnees_regimes!$A$3:$A$1118,C344,Donnees_regimes!$B$3:$B$1118,M344)</f>
        <v/>
      </c>
      <c r="AD344" s="14">
        <f>SUMIFS(Donnees_annuelles!$Y$3:$Y$188,Donnees_annuelles!$A$3:$A$188,M344)*SUMIFS(Donnees_generations!$I$3:$I$113,Donnees_generations!$A$3:$A$113,MAX(1915,MIN(2025,E344)))/H344</f>
        <v/>
      </c>
      <c r="AE344" s="14">
        <f>IF(C344="Privé",SUMIFS(Donnees_annuelles!$Y$3:$Y$188,Donnees_annuelles!$A$3:$A$188,M344)*MIN(L344,SUMIFS(Donnees_generations!$I$3:$I$113,Donnees_generations!$A$3:$A$113,MAX(1915,MIN(2025,E344))))/L344,AD344*AC344*MIN(IF(AB344&gt;0,0.8/0.75,1),(L344*4+AB344)/AA344))</f>
        <v/>
      </c>
      <c r="AF344" s="14">
        <f>AE344/12</f>
        <v/>
      </c>
      <c r="AG344" s="77">
        <f>MIN(68,MAX(56,2*INT(K344/2)))</f>
        <v/>
      </c>
      <c r="AH344" s="75">
        <f>(CHOOSE((AG344-56)/2+1,SUMIFS(Donnees_generations!$U$3:$U$113,Donnees_generations!$A$3:$A$113,MAX(1915,MIN(2025,E344))),SUMIFS(Donnees_generations!$V$3:$V$113,Donnees_generations!$A$3:$A$113,MAX(1915,MIN(2025,E344))),SUMIFS(Donnees_generations!$W$3:$W$113,Donnees_generations!$A$3:$A$113,MAX(1915,MIN(2025,E344))),SUMIFS(Donnees_generations!$X$3:$X$113,Donnees_generations!$A$3:$A$113,MAX(1915,MIN(2025,E344))),SUMIFS(Donnees_generations!$Y$3:$Y$113,Donnees_generations!$A$3:$A$113,MAX(1915,MIN(2025,E344))),SUMIFS(Donnees_generations!$Z$3:$Z$113,Donnees_generations!$A$3:$A$113,MAX(1915,MIN(2025,E344))),SUMIFS(Donnees_generations!$AA$3:$AA$113,Donnees_generations!$A$3:$A$113,MAX(1915,MIN(2025,E344))),SUMIFS(Donnees_generations!$AB$3:$AB$113,Donnees_generations!$A$3:$A$113,MAX(1915,MIN(2025,E344))))+CHOOSE((AG344-56)/2+1,SUMIFS(Donnees_generations!$AC$3:$AC$113,Donnees_generations!$A$3:$A$113,MAX(1915,MIN(2025,E344))),SUMIFS(Donnees_generations!$AD$3:$AD$113,Donnees_generations!$A$3:$A$113,MAX(1915,MIN(2025,E344))),SUMIFS(Donnees_generations!$AE$3:$AE$113,Donnees_generations!$A$3:$A$113,MAX(1915,MIN(2025,E344))),SUMIFS(Donnees_generations!$AF$3:$AF$113,Donnees_generations!$A$3:$A$113,MAX(1915,MIN(2025,E344))),SUMIFS(Donnees_generations!$AG$3:$AG$113,Donnees_generations!$A$3:$A$113,MAX(1915,MIN(2025,E344))),SUMIFS(Donnees_generations!$AH$3:$AH$113,Donnees_generations!$A$3:$A$113,MAX(1915,MIN(2025,E344))),SUMIFS(Donnees_generations!$AI$3:$AI$113,Donnees_generations!$A$3:$A$113,MAX(1915,MIN(2025,E344))),SUMIFS(Donnees_generations!$AJ$3:$AJ$113,Donnees_generations!$A$3:$A$113,MAX(1915,MIN(2025,E344)))))/2</f>
        <v/>
      </c>
      <c r="AI344" s="75">
        <f>(CHOOSE(((AG344+2)-56)/2+1,SUMIFS(Donnees_generations!$U$3:$U$113,Donnees_generations!$A$3:$A$113,MAX(1915,MIN(2025,E344))),SUMIFS(Donnees_generations!$V$3:$V$113,Donnees_generations!$A$3:$A$113,MAX(1915,MIN(2025,E344))),SUMIFS(Donnees_generations!$W$3:$W$113,Donnees_generations!$A$3:$A$113,MAX(1915,MIN(2025,E344))),SUMIFS(Donnees_generations!$X$3:$X$113,Donnees_generations!$A$3:$A$113,MAX(1915,MIN(2025,E344))),SUMIFS(Donnees_generations!$Y$3:$Y$113,Donnees_generations!$A$3:$A$113,MAX(1915,MIN(2025,E344))),SUMIFS(Donnees_generations!$Z$3:$Z$113,Donnees_generations!$A$3:$A$113,MAX(1915,MIN(2025,E344))),SUMIFS(Donnees_generations!$AA$3:$AA$113,Donnees_generations!$A$3:$A$113,MAX(1915,MIN(2025,E344))),SUMIFS(Donnees_generations!$AB$3:$AB$113,Donnees_generations!$A$3:$A$113,MAX(1915,MIN(2025,E344))))+CHOOSE(((AG344+2)-56)/2+1,SUMIFS(Donnees_generations!$AC$3:$AC$113,Donnees_generations!$A$3:$A$113,MAX(1915,MIN(2025,E344))),SUMIFS(Donnees_generations!$AD$3:$AD$113,Donnees_generations!$A$3:$A$113,MAX(1915,MIN(2025,E344))),SUMIFS(Donnees_generations!$AE$3:$AE$113,Donnees_generations!$A$3:$A$113,MAX(1915,MIN(2025,E344))),SUMIFS(Donnees_generations!$AF$3:$AF$113,Donnees_generations!$A$3:$A$113,MAX(1915,MIN(2025,E344))),SUMIFS(Donnees_generations!$AG$3:$AG$113,Donnees_generations!$A$3:$A$113,MAX(1915,MIN(2025,E344))),SUMIFS(Donnees_generations!$AH$3:$AH$113,Donnees_generations!$A$3:$A$113,MAX(1915,MIN(2025,E344))),SUMIFS(Donnees_generations!$AI$3:$AI$113,Donnees_generations!$A$3:$A$113,MAX(1915,MIN(2025,E344))),SUMIFS(Donnees_generations!$AJ$3:$AJ$113,Donnees_generations!$A$3:$A$113,MAX(1915,MIN(2025,E344)))))/2</f>
        <v/>
      </c>
      <c r="AJ344" s="8">
        <f>MAX(0,AH344+(AI344-AH344)*(K344-AG344)/2)</f>
        <v/>
      </c>
      <c r="AK344" s="8">
        <f>K344+AJ344</f>
        <v/>
      </c>
      <c r="AL344" s="14">
        <f>AE344*AJ344</f>
        <v/>
      </c>
      <c r="AM344" s="17">
        <f>V344/AL344</f>
        <v/>
      </c>
      <c r="AN344" s="17">
        <f>Z344/AL344</f>
        <v/>
      </c>
      <c r="AO344" s="33">
        <f>IF(V344+Z344=0,0,Z344/(V344+Z344))</f>
        <v/>
      </c>
      <c r="AP344" s="14">
        <f>AL344/V344*100</f>
        <v/>
      </c>
      <c r="AQ344" s="8">
        <f>P344/AL344*1000</f>
        <v/>
      </c>
      <c r="AR344" s="77">
        <f>MAX(N344,M344-1)</f>
        <v/>
      </c>
      <c r="AS344" s="14">
        <f>SUMIFS(Donnees_regimes!$R$3:$R$1118,Donnees_regimes!$A$3:$A$1118,C344,Donnees_regimes!$B$3:$B$1118,"&gt;="&amp;G344,Donnees_regimes!$B$3:$B$1118,"&lt;="&amp;N344)*L344/ROUNDUP(L344,0)*SUMIFS(Donnees_annuelles!$AG$3:$AG$188,Donnees_annuelles!$A$3:$A$188,AR344)*SUMIFS(Donnees_annuelles!$AA$3:$AA$188,Donnees_annuelles!$A$3:$A$188,AR344)</f>
        <v/>
      </c>
      <c r="AT344" s="36">
        <f>AS344/V344</f>
        <v/>
      </c>
      <c r="AU344" s="14">
        <f>AL344</f>
        <v/>
      </c>
      <c r="AV344" s="39">
        <f>AS344-AL344</f>
        <v/>
      </c>
      <c r="AW344" s="9">
        <f>AS344/AL344-1</f>
        <v/>
      </c>
      <c r="AX344" s="14">
        <f>AS344/AJ344/12</f>
        <v/>
      </c>
      <c r="AY344" s="14">
        <f>AF344</f>
        <v/>
      </c>
      <c r="AZ344" s="39">
        <f>AX344-AF344</f>
        <v/>
      </c>
      <c r="BA344" s="14">
        <f>SUMIFS(Donnees_regimes!$S$3:$S$1118,Donnees_regimes!$A$3:$A$1118,C344,Donnees_regimes!$B$3:$B$1118,"&gt;="&amp;G344,Donnees_regimes!$B$3:$B$1118,"&lt;="&amp;N344)*L344/ROUNDUP(L344,0)*SUMIFS(Donnees_annuelles!$AH$3:$AH$188,Donnees_annuelles!$A$3:$A$188,AR344)*SUMIFS(Donnees_annuelles!$AA$3:$AA$188,Donnees_annuelles!$A$3:$A$188,AR344)</f>
        <v/>
      </c>
      <c r="BB344" s="39">
        <f>BA344-AL344</f>
        <v/>
      </c>
      <c r="BC344" s="7">
        <f>IF(M344+AJ344&gt;2026,IF(G344&gt;2026,"entièrement projeté","en partie projeté"),"observé")</f>
        <v/>
      </c>
    </row>
    <row r="345">
      <c r="A345" s="7" t="inlineStr">
        <is>
          <t>Génération X</t>
        </is>
      </c>
      <c r="B345" s="84" t="inlineStr">
        <is>
          <t>SNCF</t>
        </is>
      </c>
      <c r="C345" s="7">
        <f>IF(G345&gt;=SUMIFS(Regimes!$C$5:$C$10,Regimes!$A$5:$A$10,B345),"Privé",B345)</f>
        <v/>
      </c>
      <c r="D345" s="7">
        <f>INDEX(Regimes!$D$5:$D$10,MATCH(C345,Regimes!$A$5:$A$10,0))</f>
        <v/>
      </c>
      <c r="E345" s="88" t="n">
        <v>1976</v>
      </c>
      <c r="F345" s="8">
        <f>Donnees_generations!C64</f>
        <v/>
      </c>
      <c r="G345" s="77">
        <f>Donnees_generations!D64</f>
        <v/>
      </c>
      <c r="H345" s="8">
        <f>SUMIFS(Donnees_generations!$S$3:$S$113,Donnees_generations!$A$3:$A$113,MAX(1915,MIN(2025,E345)))</f>
        <v/>
      </c>
      <c r="I345" s="8">
        <f>SUMIFS(Donnees_generations!$T$3:$T$113,Donnees_generations!$A$3:$A$113,MAX(1915,MIN(2025,E345)))</f>
        <v/>
      </c>
      <c r="J345" s="8">
        <f>IF(G345&gt;=2000,MAX(I345,Parametres!$B$3),I345)</f>
        <v/>
      </c>
      <c r="K345" s="8">
        <f>IF(C345="Privé",J345,SUMIFS(Regles_regimes!$J$3:$J$2000,Regles_regimes!$A$3:$A$2000,C345,Regles_regimes!$B$3:$B$2000,D345,Regles_regimes!$C$3:$C$2000,MAX(1915,MIN(2025,E345))))</f>
        <v/>
      </c>
      <c r="L345" s="8">
        <f>IF(C345="Privé",H345,(K345-F345)*H345/(J345-F345))</f>
        <v/>
      </c>
      <c r="M345" s="77">
        <f>INT(E345+K345)</f>
        <v/>
      </c>
      <c r="N345" s="77">
        <f>G345+ROUNDUP(L345,0)-1</f>
        <v/>
      </c>
      <c r="O345" s="89">
        <f>SUMIFS(Regles_regimes!$K$3:$K$2000,Regles_regimes!$A$3:$A$2000,C345,Regles_regimes!$B$3:$B$2000,D345,Regles_regimes!$C$3:$C$2000,MAX(1915,MIN(2025,E345)))</f>
        <v/>
      </c>
      <c r="P345" s="13">
        <f>SUMIFS(Donnees_annuelles!$W$3:$W$188,Donnees_annuelles!$A$3:$A$188,"&gt;="&amp;G345,Donnees_annuelles!$A$3:$A$188,"&lt;="&amp;N345)*L345/ROUNDUP(L345,0)*O345</f>
        <v/>
      </c>
      <c r="Q345" s="13">
        <f>SUMIFS(Donnees_annuelles!$V$3:$V$188,Donnees_annuelles!$A$3:$A$188,"&gt;="&amp;G345,Donnees_annuelles!$A$3:$A$188,"&lt;="&amp;N345)*L345/ROUNDUP(L345,0)</f>
        <v/>
      </c>
      <c r="R345" s="13">
        <f>P345/L345</f>
        <v/>
      </c>
      <c r="S345" s="14">
        <f>SUMIFS(Donnees_annuelles!$D$3:$D$188,Donnees_annuelles!$A$3:$A$188,"&gt;="&amp;G345,Donnees_annuelles!$A$3:$A$188,"&lt;="&amp;N345)*L345/ROUNDUP(L345,0)</f>
        <v/>
      </c>
      <c r="T345" s="14">
        <f>SUMIFS(Donnees_regimes!$N$3:$N$1118,Donnees_regimes!$A$3:$A$1118,C345,Donnees_regimes!$B$3:$B$1118,"&gt;="&amp;G345,Donnees_regimes!$B$3:$B$1118,"&lt;="&amp;N345)*L345/ROUNDUP(L345,0)</f>
        <v/>
      </c>
      <c r="U345" s="14">
        <f>SUMIFS(Donnees_regimes!$O$3:$O$1118,Donnees_regimes!$A$3:$A$1118,C345,Donnees_regimes!$B$3:$B$1118,"&gt;="&amp;G345,Donnees_regimes!$B$3:$B$1118,"&lt;="&amp;N345)*L345/ROUNDUP(L345,0)</f>
        <v/>
      </c>
      <c r="V345" s="14">
        <f>T345+U345</f>
        <v/>
      </c>
      <c r="W345" s="33">
        <f>V345/S345</f>
        <v/>
      </c>
      <c r="X345" s="14">
        <f>S345+U345</f>
        <v/>
      </c>
      <c r="Y345" s="17">
        <f>V345/P345</f>
        <v/>
      </c>
      <c r="Z345" s="14">
        <f>SUMIFS(Donnees_regimes!$Q$3:$Q$1118,Donnees_regimes!$A$3:$A$1118,C345,Donnees_regimes!$B$3:$B$1118,"&gt;="&amp;G345,Donnees_regimes!$B$3:$B$1118,"&lt;="&amp;N345)*L345/ROUNDUP(L345,0)</f>
        <v/>
      </c>
      <c r="AA345" s="77">
        <f>SUMIFS(Regles_regimes!$F$3:$F$2000,Regles_regimes!$A$3:$A$2000,C345,Regles_regimes!$B$3:$B$2000,D345,Regles_regimes!$C$3:$C$2000,MAX(1915,MIN(2025,E345)))</f>
        <v/>
      </c>
      <c r="AB345" s="77">
        <f>IF(AND(SUMIFS(Regles_regimes!$L$3:$L$2000,Regles_regimes!$A$3:$A$2000,C345,Regles_regimes!$B$3:$B$2000,D345,Regles_regimes!$C$3:$C$2000,MAX(1915,MIN(2025,E345)))=1,G345&lt;2009,C345&lt;&gt;"Privé"),MIN(20,L345*4/5),0)</f>
        <v/>
      </c>
      <c r="AC345" s="89">
        <f>SUMIFS(Donnees_regimes!$M$3:$M$1118,Donnees_regimes!$A$3:$A$1118,C345,Donnees_regimes!$B$3:$B$1118,M345)</f>
        <v/>
      </c>
      <c r="AD345" s="14">
        <f>SUMIFS(Donnees_annuelles!$Y$3:$Y$188,Donnees_annuelles!$A$3:$A$188,M345)*SUMIFS(Donnees_generations!$I$3:$I$113,Donnees_generations!$A$3:$A$113,MAX(1915,MIN(2025,E345)))/H345</f>
        <v/>
      </c>
      <c r="AE345" s="14">
        <f>IF(C345="Privé",SUMIFS(Donnees_annuelles!$Y$3:$Y$188,Donnees_annuelles!$A$3:$A$188,M345)*MIN(L345,SUMIFS(Donnees_generations!$I$3:$I$113,Donnees_generations!$A$3:$A$113,MAX(1915,MIN(2025,E345))))/L345,AD345*AC345*MIN(IF(AB345&gt;0,0.8/0.75,1),(L345*4+AB345)/AA345))</f>
        <v/>
      </c>
      <c r="AF345" s="14">
        <f>AE345/12</f>
        <v/>
      </c>
      <c r="AG345" s="77">
        <f>MIN(68,MAX(56,2*INT(K345/2)))</f>
        <v/>
      </c>
      <c r="AH345" s="75">
        <f>(CHOOSE((AG345-56)/2+1,SUMIFS(Donnees_generations!$U$3:$U$113,Donnees_generations!$A$3:$A$113,MAX(1915,MIN(2025,E345))),SUMIFS(Donnees_generations!$V$3:$V$113,Donnees_generations!$A$3:$A$113,MAX(1915,MIN(2025,E345))),SUMIFS(Donnees_generations!$W$3:$W$113,Donnees_generations!$A$3:$A$113,MAX(1915,MIN(2025,E345))),SUMIFS(Donnees_generations!$X$3:$X$113,Donnees_generations!$A$3:$A$113,MAX(1915,MIN(2025,E345))),SUMIFS(Donnees_generations!$Y$3:$Y$113,Donnees_generations!$A$3:$A$113,MAX(1915,MIN(2025,E345))),SUMIFS(Donnees_generations!$Z$3:$Z$113,Donnees_generations!$A$3:$A$113,MAX(1915,MIN(2025,E345))),SUMIFS(Donnees_generations!$AA$3:$AA$113,Donnees_generations!$A$3:$A$113,MAX(1915,MIN(2025,E345))),SUMIFS(Donnees_generations!$AB$3:$AB$113,Donnees_generations!$A$3:$A$113,MAX(1915,MIN(2025,E345))))+CHOOSE((AG345-56)/2+1,SUMIFS(Donnees_generations!$AC$3:$AC$113,Donnees_generations!$A$3:$A$113,MAX(1915,MIN(2025,E345))),SUMIFS(Donnees_generations!$AD$3:$AD$113,Donnees_generations!$A$3:$A$113,MAX(1915,MIN(2025,E345))),SUMIFS(Donnees_generations!$AE$3:$AE$113,Donnees_generations!$A$3:$A$113,MAX(1915,MIN(2025,E345))),SUMIFS(Donnees_generations!$AF$3:$AF$113,Donnees_generations!$A$3:$A$113,MAX(1915,MIN(2025,E345))),SUMIFS(Donnees_generations!$AG$3:$AG$113,Donnees_generations!$A$3:$A$113,MAX(1915,MIN(2025,E345))),SUMIFS(Donnees_generations!$AH$3:$AH$113,Donnees_generations!$A$3:$A$113,MAX(1915,MIN(2025,E345))),SUMIFS(Donnees_generations!$AI$3:$AI$113,Donnees_generations!$A$3:$A$113,MAX(1915,MIN(2025,E345))),SUMIFS(Donnees_generations!$AJ$3:$AJ$113,Donnees_generations!$A$3:$A$113,MAX(1915,MIN(2025,E345)))))/2</f>
        <v/>
      </c>
      <c r="AI345" s="75">
        <f>(CHOOSE(((AG345+2)-56)/2+1,SUMIFS(Donnees_generations!$U$3:$U$113,Donnees_generations!$A$3:$A$113,MAX(1915,MIN(2025,E345))),SUMIFS(Donnees_generations!$V$3:$V$113,Donnees_generations!$A$3:$A$113,MAX(1915,MIN(2025,E345))),SUMIFS(Donnees_generations!$W$3:$W$113,Donnees_generations!$A$3:$A$113,MAX(1915,MIN(2025,E345))),SUMIFS(Donnees_generations!$X$3:$X$113,Donnees_generations!$A$3:$A$113,MAX(1915,MIN(2025,E345))),SUMIFS(Donnees_generations!$Y$3:$Y$113,Donnees_generations!$A$3:$A$113,MAX(1915,MIN(2025,E345))),SUMIFS(Donnees_generations!$Z$3:$Z$113,Donnees_generations!$A$3:$A$113,MAX(1915,MIN(2025,E345))),SUMIFS(Donnees_generations!$AA$3:$AA$113,Donnees_generations!$A$3:$A$113,MAX(1915,MIN(2025,E345))),SUMIFS(Donnees_generations!$AB$3:$AB$113,Donnees_generations!$A$3:$A$113,MAX(1915,MIN(2025,E345))))+CHOOSE(((AG345+2)-56)/2+1,SUMIFS(Donnees_generations!$AC$3:$AC$113,Donnees_generations!$A$3:$A$113,MAX(1915,MIN(2025,E345))),SUMIFS(Donnees_generations!$AD$3:$AD$113,Donnees_generations!$A$3:$A$113,MAX(1915,MIN(2025,E345))),SUMIFS(Donnees_generations!$AE$3:$AE$113,Donnees_generations!$A$3:$A$113,MAX(1915,MIN(2025,E345))),SUMIFS(Donnees_generations!$AF$3:$AF$113,Donnees_generations!$A$3:$A$113,MAX(1915,MIN(2025,E345))),SUMIFS(Donnees_generations!$AG$3:$AG$113,Donnees_generations!$A$3:$A$113,MAX(1915,MIN(2025,E345))),SUMIFS(Donnees_generations!$AH$3:$AH$113,Donnees_generations!$A$3:$A$113,MAX(1915,MIN(2025,E345))),SUMIFS(Donnees_generations!$AI$3:$AI$113,Donnees_generations!$A$3:$A$113,MAX(1915,MIN(2025,E345))),SUMIFS(Donnees_generations!$AJ$3:$AJ$113,Donnees_generations!$A$3:$A$113,MAX(1915,MIN(2025,E345)))))/2</f>
        <v/>
      </c>
      <c r="AJ345" s="8">
        <f>MAX(0,AH345+(AI345-AH345)*(K345-AG345)/2)</f>
        <v/>
      </c>
      <c r="AK345" s="8">
        <f>K345+AJ345</f>
        <v/>
      </c>
      <c r="AL345" s="14">
        <f>AE345*AJ345</f>
        <v/>
      </c>
      <c r="AM345" s="17">
        <f>V345/AL345</f>
        <v/>
      </c>
      <c r="AN345" s="17">
        <f>Z345/AL345</f>
        <v/>
      </c>
      <c r="AO345" s="33">
        <f>IF(V345+Z345=0,0,Z345/(V345+Z345))</f>
        <v/>
      </c>
      <c r="AP345" s="14">
        <f>AL345/V345*100</f>
        <v/>
      </c>
      <c r="AQ345" s="8">
        <f>P345/AL345*1000</f>
        <v/>
      </c>
      <c r="AR345" s="77">
        <f>MAX(N345,M345-1)</f>
        <v/>
      </c>
      <c r="AS345" s="14">
        <f>SUMIFS(Donnees_regimes!$R$3:$R$1118,Donnees_regimes!$A$3:$A$1118,C345,Donnees_regimes!$B$3:$B$1118,"&gt;="&amp;G345,Donnees_regimes!$B$3:$B$1118,"&lt;="&amp;N345)*L345/ROUNDUP(L345,0)*SUMIFS(Donnees_annuelles!$AG$3:$AG$188,Donnees_annuelles!$A$3:$A$188,AR345)*SUMIFS(Donnees_annuelles!$AA$3:$AA$188,Donnees_annuelles!$A$3:$A$188,AR345)</f>
        <v/>
      </c>
      <c r="AT345" s="36">
        <f>AS345/V345</f>
        <v/>
      </c>
      <c r="AU345" s="14">
        <f>AL345</f>
        <v/>
      </c>
      <c r="AV345" s="39">
        <f>AS345-AL345</f>
        <v/>
      </c>
      <c r="AW345" s="9">
        <f>AS345/AL345-1</f>
        <v/>
      </c>
      <c r="AX345" s="14">
        <f>AS345/AJ345/12</f>
        <v/>
      </c>
      <c r="AY345" s="14">
        <f>AF345</f>
        <v/>
      </c>
      <c r="AZ345" s="39">
        <f>AX345-AF345</f>
        <v/>
      </c>
      <c r="BA345" s="14">
        <f>SUMIFS(Donnees_regimes!$S$3:$S$1118,Donnees_regimes!$A$3:$A$1118,C345,Donnees_regimes!$B$3:$B$1118,"&gt;="&amp;G345,Donnees_regimes!$B$3:$B$1118,"&lt;="&amp;N345)*L345/ROUNDUP(L345,0)*SUMIFS(Donnees_annuelles!$AH$3:$AH$188,Donnees_annuelles!$A$3:$A$188,AR345)*SUMIFS(Donnees_annuelles!$AA$3:$AA$188,Donnees_annuelles!$A$3:$A$188,AR345)</f>
        <v/>
      </c>
      <c r="BB345" s="39">
        <f>BA345-AL345</f>
        <v/>
      </c>
      <c r="BC345" s="7">
        <f>IF(M345+AJ345&gt;2026,IF(G345&gt;2026,"entièrement projeté","en partie projeté"),"observé")</f>
        <v/>
      </c>
    </row>
    <row r="346">
      <c r="A346" s="7" t="inlineStr">
        <is>
          <t>Génération X</t>
        </is>
      </c>
      <c r="B346" s="84" t="inlineStr">
        <is>
          <t>SNCF</t>
        </is>
      </c>
      <c r="C346" s="7">
        <f>IF(G346&gt;=SUMIFS(Regimes!$C$5:$C$10,Regimes!$A$5:$A$10,B346),"Privé",B346)</f>
        <v/>
      </c>
      <c r="D346" s="7">
        <f>INDEX(Regimes!$D$5:$D$10,MATCH(C346,Regimes!$A$5:$A$10,0))</f>
        <v/>
      </c>
      <c r="E346" s="88" t="n">
        <v>1977</v>
      </c>
      <c r="F346" s="8">
        <f>Donnees_generations!C65</f>
        <v/>
      </c>
      <c r="G346" s="77">
        <f>Donnees_generations!D65</f>
        <v/>
      </c>
      <c r="H346" s="8">
        <f>SUMIFS(Donnees_generations!$S$3:$S$113,Donnees_generations!$A$3:$A$113,MAX(1915,MIN(2025,E346)))</f>
        <v/>
      </c>
      <c r="I346" s="8">
        <f>SUMIFS(Donnees_generations!$T$3:$T$113,Donnees_generations!$A$3:$A$113,MAX(1915,MIN(2025,E346)))</f>
        <v/>
      </c>
      <c r="J346" s="8">
        <f>IF(G346&gt;=2000,MAX(I346,Parametres!$B$3),I346)</f>
        <v/>
      </c>
      <c r="K346" s="8">
        <f>IF(C346="Privé",J346,SUMIFS(Regles_regimes!$J$3:$J$2000,Regles_regimes!$A$3:$A$2000,C346,Regles_regimes!$B$3:$B$2000,D346,Regles_regimes!$C$3:$C$2000,MAX(1915,MIN(2025,E346))))</f>
        <v/>
      </c>
      <c r="L346" s="8">
        <f>IF(C346="Privé",H346,(K346-F346)*H346/(J346-F346))</f>
        <v/>
      </c>
      <c r="M346" s="77">
        <f>INT(E346+K346)</f>
        <v/>
      </c>
      <c r="N346" s="77">
        <f>G346+ROUNDUP(L346,0)-1</f>
        <v/>
      </c>
      <c r="O346" s="89">
        <f>SUMIFS(Regles_regimes!$K$3:$K$2000,Regles_regimes!$A$3:$A$2000,C346,Regles_regimes!$B$3:$B$2000,D346,Regles_regimes!$C$3:$C$2000,MAX(1915,MIN(2025,E346)))</f>
        <v/>
      </c>
      <c r="P346" s="13">
        <f>SUMIFS(Donnees_annuelles!$W$3:$W$188,Donnees_annuelles!$A$3:$A$188,"&gt;="&amp;G346,Donnees_annuelles!$A$3:$A$188,"&lt;="&amp;N346)*L346/ROUNDUP(L346,0)*O346</f>
        <v/>
      </c>
      <c r="Q346" s="13">
        <f>SUMIFS(Donnees_annuelles!$V$3:$V$188,Donnees_annuelles!$A$3:$A$188,"&gt;="&amp;G346,Donnees_annuelles!$A$3:$A$188,"&lt;="&amp;N346)*L346/ROUNDUP(L346,0)</f>
        <v/>
      </c>
      <c r="R346" s="13">
        <f>P346/L346</f>
        <v/>
      </c>
      <c r="S346" s="14">
        <f>SUMIFS(Donnees_annuelles!$D$3:$D$188,Donnees_annuelles!$A$3:$A$188,"&gt;="&amp;G346,Donnees_annuelles!$A$3:$A$188,"&lt;="&amp;N346)*L346/ROUNDUP(L346,0)</f>
        <v/>
      </c>
      <c r="T346" s="14">
        <f>SUMIFS(Donnees_regimes!$N$3:$N$1118,Donnees_regimes!$A$3:$A$1118,C346,Donnees_regimes!$B$3:$B$1118,"&gt;="&amp;G346,Donnees_regimes!$B$3:$B$1118,"&lt;="&amp;N346)*L346/ROUNDUP(L346,0)</f>
        <v/>
      </c>
      <c r="U346" s="14">
        <f>SUMIFS(Donnees_regimes!$O$3:$O$1118,Donnees_regimes!$A$3:$A$1118,C346,Donnees_regimes!$B$3:$B$1118,"&gt;="&amp;G346,Donnees_regimes!$B$3:$B$1118,"&lt;="&amp;N346)*L346/ROUNDUP(L346,0)</f>
        <v/>
      </c>
      <c r="V346" s="14">
        <f>T346+U346</f>
        <v/>
      </c>
      <c r="W346" s="33">
        <f>V346/S346</f>
        <v/>
      </c>
      <c r="X346" s="14">
        <f>S346+U346</f>
        <v/>
      </c>
      <c r="Y346" s="17">
        <f>V346/P346</f>
        <v/>
      </c>
      <c r="Z346" s="14">
        <f>SUMIFS(Donnees_regimes!$Q$3:$Q$1118,Donnees_regimes!$A$3:$A$1118,C346,Donnees_regimes!$B$3:$B$1118,"&gt;="&amp;G346,Donnees_regimes!$B$3:$B$1118,"&lt;="&amp;N346)*L346/ROUNDUP(L346,0)</f>
        <v/>
      </c>
      <c r="AA346" s="77">
        <f>SUMIFS(Regles_regimes!$F$3:$F$2000,Regles_regimes!$A$3:$A$2000,C346,Regles_regimes!$B$3:$B$2000,D346,Regles_regimes!$C$3:$C$2000,MAX(1915,MIN(2025,E346)))</f>
        <v/>
      </c>
      <c r="AB346" s="77">
        <f>IF(AND(SUMIFS(Regles_regimes!$L$3:$L$2000,Regles_regimes!$A$3:$A$2000,C346,Regles_regimes!$B$3:$B$2000,D346,Regles_regimes!$C$3:$C$2000,MAX(1915,MIN(2025,E346)))=1,G346&lt;2009,C346&lt;&gt;"Privé"),MIN(20,L346*4/5),0)</f>
        <v/>
      </c>
      <c r="AC346" s="89">
        <f>SUMIFS(Donnees_regimes!$M$3:$M$1118,Donnees_regimes!$A$3:$A$1118,C346,Donnees_regimes!$B$3:$B$1118,M346)</f>
        <v/>
      </c>
      <c r="AD346" s="14">
        <f>SUMIFS(Donnees_annuelles!$Y$3:$Y$188,Donnees_annuelles!$A$3:$A$188,M346)*SUMIFS(Donnees_generations!$I$3:$I$113,Donnees_generations!$A$3:$A$113,MAX(1915,MIN(2025,E346)))/H346</f>
        <v/>
      </c>
      <c r="AE346" s="14">
        <f>IF(C346="Privé",SUMIFS(Donnees_annuelles!$Y$3:$Y$188,Donnees_annuelles!$A$3:$A$188,M346)*MIN(L346,SUMIFS(Donnees_generations!$I$3:$I$113,Donnees_generations!$A$3:$A$113,MAX(1915,MIN(2025,E346))))/L346,AD346*AC346*MIN(IF(AB346&gt;0,0.8/0.75,1),(L346*4+AB346)/AA346))</f>
        <v/>
      </c>
      <c r="AF346" s="14">
        <f>AE346/12</f>
        <v/>
      </c>
      <c r="AG346" s="77">
        <f>MIN(68,MAX(56,2*INT(K346/2)))</f>
        <v/>
      </c>
      <c r="AH346" s="75">
        <f>(CHOOSE((AG346-56)/2+1,SUMIFS(Donnees_generations!$U$3:$U$113,Donnees_generations!$A$3:$A$113,MAX(1915,MIN(2025,E346))),SUMIFS(Donnees_generations!$V$3:$V$113,Donnees_generations!$A$3:$A$113,MAX(1915,MIN(2025,E346))),SUMIFS(Donnees_generations!$W$3:$W$113,Donnees_generations!$A$3:$A$113,MAX(1915,MIN(2025,E346))),SUMIFS(Donnees_generations!$X$3:$X$113,Donnees_generations!$A$3:$A$113,MAX(1915,MIN(2025,E346))),SUMIFS(Donnees_generations!$Y$3:$Y$113,Donnees_generations!$A$3:$A$113,MAX(1915,MIN(2025,E346))),SUMIFS(Donnees_generations!$Z$3:$Z$113,Donnees_generations!$A$3:$A$113,MAX(1915,MIN(2025,E346))),SUMIFS(Donnees_generations!$AA$3:$AA$113,Donnees_generations!$A$3:$A$113,MAX(1915,MIN(2025,E346))),SUMIFS(Donnees_generations!$AB$3:$AB$113,Donnees_generations!$A$3:$A$113,MAX(1915,MIN(2025,E346))))+CHOOSE((AG346-56)/2+1,SUMIFS(Donnees_generations!$AC$3:$AC$113,Donnees_generations!$A$3:$A$113,MAX(1915,MIN(2025,E346))),SUMIFS(Donnees_generations!$AD$3:$AD$113,Donnees_generations!$A$3:$A$113,MAX(1915,MIN(2025,E346))),SUMIFS(Donnees_generations!$AE$3:$AE$113,Donnees_generations!$A$3:$A$113,MAX(1915,MIN(2025,E346))),SUMIFS(Donnees_generations!$AF$3:$AF$113,Donnees_generations!$A$3:$A$113,MAX(1915,MIN(2025,E346))),SUMIFS(Donnees_generations!$AG$3:$AG$113,Donnees_generations!$A$3:$A$113,MAX(1915,MIN(2025,E346))),SUMIFS(Donnees_generations!$AH$3:$AH$113,Donnees_generations!$A$3:$A$113,MAX(1915,MIN(2025,E346))),SUMIFS(Donnees_generations!$AI$3:$AI$113,Donnees_generations!$A$3:$A$113,MAX(1915,MIN(2025,E346))),SUMIFS(Donnees_generations!$AJ$3:$AJ$113,Donnees_generations!$A$3:$A$113,MAX(1915,MIN(2025,E346)))))/2</f>
        <v/>
      </c>
      <c r="AI346" s="75">
        <f>(CHOOSE(((AG346+2)-56)/2+1,SUMIFS(Donnees_generations!$U$3:$U$113,Donnees_generations!$A$3:$A$113,MAX(1915,MIN(2025,E346))),SUMIFS(Donnees_generations!$V$3:$V$113,Donnees_generations!$A$3:$A$113,MAX(1915,MIN(2025,E346))),SUMIFS(Donnees_generations!$W$3:$W$113,Donnees_generations!$A$3:$A$113,MAX(1915,MIN(2025,E346))),SUMIFS(Donnees_generations!$X$3:$X$113,Donnees_generations!$A$3:$A$113,MAX(1915,MIN(2025,E346))),SUMIFS(Donnees_generations!$Y$3:$Y$113,Donnees_generations!$A$3:$A$113,MAX(1915,MIN(2025,E346))),SUMIFS(Donnees_generations!$Z$3:$Z$113,Donnees_generations!$A$3:$A$113,MAX(1915,MIN(2025,E346))),SUMIFS(Donnees_generations!$AA$3:$AA$113,Donnees_generations!$A$3:$A$113,MAX(1915,MIN(2025,E346))),SUMIFS(Donnees_generations!$AB$3:$AB$113,Donnees_generations!$A$3:$A$113,MAX(1915,MIN(2025,E346))))+CHOOSE(((AG346+2)-56)/2+1,SUMIFS(Donnees_generations!$AC$3:$AC$113,Donnees_generations!$A$3:$A$113,MAX(1915,MIN(2025,E346))),SUMIFS(Donnees_generations!$AD$3:$AD$113,Donnees_generations!$A$3:$A$113,MAX(1915,MIN(2025,E346))),SUMIFS(Donnees_generations!$AE$3:$AE$113,Donnees_generations!$A$3:$A$113,MAX(1915,MIN(2025,E346))),SUMIFS(Donnees_generations!$AF$3:$AF$113,Donnees_generations!$A$3:$A$113,MAX(1915,MIN(2025,E346))),SUMIFS(Donnees_generations!$AG$3:$AG$113,Donnees_generations!$A$3:$A$113,MAX(1915,MIN(2025,E346))),SUMIFS(Donnees_generations!$AH$3:$AH$113,Donnees_generations!$A$3:$A$113,MAX(1915,MIN(2025,E346))),SUMIFS(Donnees_generations!$AI$3:$AI$113,Donnees_generations!$A$3:$A$113,MAX(1915,MIN(2025,E346))),SUMIFS(Donnees_generations!$AJ$3:$AJ$113,Donnees_generations!$A$3:$A$113,MAX(1915,MIN(2025,E346)))))/2</f>
        <v/>
      </c>
      <c r="AJ346" s="8">
        <f>MAX(0,AH346+(AI346-AH346)*(K346-AG346)/2)</f>
        <v/>
      </c>
      <c r="AK346" s="8">
        <f>K346+AJ346</f>
        <v/>
      </c>
      <c r="AL346" s="14">
        <f>AE346*AJ346</f>
        <v/>
      </c>
      <c r="AM346" s="17">
        <f>V346/AL346</f>
        <v/>
      </c>
      <c r="AN346" s="17">
        <f>Z346/AL346</f>
        <v/>
      </c>
      <c r="AO346" s="33">
        <f>IF(V346+Z346=0,0,Z346/(V346+Z346))</f>
        <v/>
      </c>
      <c r="AP346" s="14">
        <f>AL346/V346*100</f>
        <v/>
      </c>
      <c r="AQ346" s="8">
        <f>P346/AL346*1000</f>
        <v/>
      </c>
      <c r="AR346" s="77">
        <f>MAX(N346,M346-1)</f>
        <v/>
      </c>
      <c r="AS346" s="14">
        <f>SUMIFS(Donnees_regimes!$R$3:$R$1118,Donnees_regimes!$A$3:$A$1118,C346,Donnees_regimes!$B$3:$B$1118,"&gt;="&amp;G346,Donnees_regimes!$B$3:$B$1118,"&lt;="&amp;N346)*L346/ROUNDUP(L346,0)*SUMIFS(Donnees_annuelles!$AG$3:$AG$188,Donnees_annuelles!$A$3:$A$188,AR346)*SUMIFS(Donnees_annuelles!$AA$3:$AA$188,Donnees_annuelles!$A$3:$A$188,AR346)</f>
        <v/>
      </c>
      <c r="AT346" s="36">
        <f>AS346/V346</f>
        <v/>
      </c>
      <c r="AU346" s="14">
        <f>AL346</f>
        <v/>
      </c>
      <c r="AV346" s="39">
        <f>AS346-AL346</f>
        <v/>
      </c>
      <c r="AW346" s="9">
        <f>AS346/AL346-1</f>
        <v/>
      </c>
      <c r="AX346" s="14">
        <f>AS346/AJ346/12</f>
        <v/>
      </c>
      <c r="AY346" s="14">
        <f>AF346</f>
        <v/>
      </c>
      <c r="AZ346" s="39">
        <f>AX346-AF346</f>
        <v/>
      </c>
      <c r="BA346" s="14">
        <f>SUMIFS(Donnees_regimes!$S$3:$S$1118,Donnees_regimes!$A$3:$A$1118,C346,Donnees_regimes!$B$3:$B$1118,"&gt;="&amp;G346,Donnees_regimes!$B$3:$B$1118,"&lt;="&amp;N346)*L346/ROUNDUP(L346,0)*SUMIFS(Donnees_annuelles!$AH$3:$AH$188,Donnees_annuelles!$A$3:$A$188,AR346)*SUMIFS(Donnees_annuelles!$AA$3:$AA$188,Donnees_annuelles!$A$3:$A$188,AR346)</f>
        <v/>
      </c>
      <c r="BB346" s="39">
        <f>BA346-AL346</f>
        <v/>
      </c>
      <c r="BC346" s="7">
        <f>IF(M346+AJ346&gt;2026,IF(G346&gt;2026,"entièrement projeté","en partie projeté"),"observé")</f>
        <v/>
      </c>
    </row>
    <row r="347">
      <c r="A347" s="7" t="inlineStr">
        <is>
          <t>Génération X</t>
        </is>
      </c>
      <c r="B347" s="84" t="inlineStr">
        <is>
          <t>SNCF</t>
        </is>
      </c>
      <c r="C347" s="7">
        <f>IF(G347&gt;=SUMIFS(Regimes!$C$5:$C$10,Regimes!$A$5:$A$10,B347),"Privé",B347)</f>
        <v/>
      </c>
      <c r="D347" s="7">
        <f>INDEX(Regimes!$D$5:$D$10,MATCH(C347,Regimes!$A$5:$A$10,0))</f>
        <v/>
      </c>
      <c r="E347" s="88" t="n">
        <v>1978</v>
      </c>
      <c r="F347" s="8">
        <f>Donnees_generations!C66</f>
        <v/>
      </c>
      <c r="G347" s="77">
        <f>Donnees_generations!D66</f>
        <v/>
      </c>
      <c r="H347" s="8">
        <f>SUMIFS(Donnees_generations!$S$3:$S$113,Donnees_generations!$A$3:$A$113,MAX(1915,MIN(2025,E347)))</f>
        <v/>
      </c>
      <c r="I347" s="8">
        <f>SUMIFS(Donnees_generations!$T$3:$T$113,Donnees_generations!$A$3:$A$113,MAX(1915,MIN(2025,E347)))</f>
        <v/>
      </c>
      <c r="J347" s="8">
        <f>IF(G347&gt;=2000,MAX(I347,Parametres!$B$3),I347)</f>
        <v/>
      </c>
      <c r="K347" s="8">
        <f>IF(C347="Privé",J347,SUMIFS(Regles_regimes!$J$3:$J$2000,Regles_regimes!$A$3:$A$2000,C347,Regles_regimes!$B$3:$B$2000,D347,Regles_regimes!$C$3:$C$2000,MAX(1915,MIN(2025,E347))))</f>
        <v/>
      </c>
      <c r="L347" s="8">
        <f>IF(C347="Privé",H347,(K347-F347)*H347/(J347-F347))</f>
        <v/>
      </c>
      <c r="M347" s="77">
        <f>INT(E347+K347)</f>
        <v/>
      </c>
      <c r="N347" s="77">
        <f>G347+ROUNDUP(L347,0)-1</f>
        <v/>
      </c>
      <c r="O347" s="89">
        <f>SUMIFS(Regles_regimes!$K$3:$K$2000,Regles_regimes!$A$3:$A$2000,C347,Regles_regimes!$B$3:$B$2000,D347,Regles_regimes!$C$3:$C$2000,MAX(1915,MIN(2025,E347)))</f>
        <v/>
      </c>
      <c r="P347" s="13">
        <f>SUMIFS(Donnees_annuelles!$W$3:$W$188,Donnees_annuelles!$A$3:$A$188,"&gt;="&amp;G347,Donnees_annuelles!$A$3:$A$188,"&lt;="&amp;N347)*L347/ROUNDUP(L347,0)*O347</f>
        <v/>
      </c>
      <c r="Q347" s="13">
        <f>SUMIFS(Donnees_annuelles!$V$3:$V$188,Donnees_annuelles!$A$3:$A$188,"&gt;="&amp;G347,Donnees_annuelles!$A$3:$A$188,"&lt;="&amp;N347)*L347/ROUNDUP(L347,0)</f>
        <v/>
      </c>
      <c r="R347" s="13">
        <f>P347/L347</f>
        <v/>
      </c>
      <c r="S347" s="14">
        <f>SUMIFS(Donnees_annuelles!$D$3:$D$188,Donnees_annuelles!$A$3:$A$188,"&gt;="&amp;G347,Donnees_annuelles!$A$3:$A$188,"&lt;="&amp;N347)*L347/ROUNDUP(L347,0)</f>
        <v/>
      </c>
      <c r="T347" s="14">
        <f>SUMIFS(Donnees_regimes!$N$3:$N$1118,Donnees_regimes!$A$3:$A$1118,C347,Donnees_regimes!$B$3:$B$1118,"&gt;="&amp;G347,Donnees_regimes!$B$3:$B$1118,"&lt;="&amp;N347)*L347/ROUNDUP(L347,0)</f>
        <v/>
      </c>
      <c r="U347" s="14">
        <f>SUMIFS(Donnees_regimes!$O$3:$O$1118,Donnees_regimes!$A$3:$A$1118,C347,Donnees_regimes!$B$3:$B$1118,"&gt;="&amp;G347,Donnees_regimes!$B$3:$B$1118,"&lt;="&amp;N347)*L347/ROUNDUP(L347,0)</f>
        <v/>
      </c>
      <c r="V347" s="14">
        <f>T347+U347</f>
        <v/>
      </c>
      <c r="W347" s="33">
        <f>V347/S347</f>
        <v/>
      </c>
      <c r="X347" s="14">
        <f>S347+U347</f>
        <v/>
      </c>
      <c r="Y347" s="17">
        <f>V347/P347</f>
        <v/>
      </c>
      <c r="Z347" s="14">
        <f>SUMIFS(Donnees_regimes!$Q$3:$Q$1118,Donnees_regimes!$A$3:$A$1118,C347,Donnees_regimes!$B$3:$B$1118,"&gt;="&amp;G347,Donnees_regimes!$B$3:$B$1118,"&lt;="&amp;N347)*L347/ROUNDUP(L347,0)</f>
        <v/>
      </c>
      <c r="AA347" s="77">
        <f>SUMIFS(Regles_regimes!$F$3:$F$2000,Regles_regimes!$A$3:$A$2000,C347,Regles_regimes!$B$3:$B$2000,D347,Regles_regimes!$C$3:$C$2000,MAX(1915,MIN(2025,E347)))</f>
        <v/>
      </c>
      <c r="AB347" s="77">
        <f>IF(AND(SUMIFS(Regles_regimes!$L$3:$L$2000,Regles_regimes!$A$3:$A$2000,C347,Regles_regimes!$B$3:$B$2000,D347,Regles_regimes!$C$3:$C$2000,MAX(1915,MIN(2025,E347)))=1,G347&lt;2009,C347&lt;&gt;"Privé"),MIN(20,L347*4/5),0)</f>
        <v/>
      </c>
      <c r="AC347" s="89">
        <f>SUMIFS(Donnees_regimes!$M$3:$M$1118,Donnees_regimes!$A$3:$A$1118,C347,Donnees_regimes!$B$3:$B$1118,M347)</f>
        <v/>
      </c>
      <c r="AD347" s="14">
        <f>SUMIFS(Donnees_annuelles!$Y$3:$Y$188,Donnees_annuelles!$A$3:$A$188,M347)*SUMIFS(Donnees_generations!$I$3:$I$113,Donnees_generations!$A$3:$A$113,MAX(1915,MIN(2025,E347)))/H347</f>
        <v/>
      </c>
      <c r="AE347" s="14">
        <f>IF(C347="Privé",SUMIFS(Donnees_annuelles!$Y$3:$Y$188,Donnees_annuelles!$A$3:$A$188,M347)*MIN(L347,SUMIFS(Donnees_generations!$I$3:$I$113,Donnees_generations!$A$3:$A$113,MAX(1915,MIN(2025,E347))))/L347,AD347*AC347*MIN(IF(AB347&gt;0,0.8/0.75,1),(L347*4+AB347)/AA347))</f>
        <v/>
      </c>
      <c r="AF347" s="14">
        <f>AE347/12</f>
        <v/>
      </c>
      <c r="AG347" s="77">
        <f>MIN(68,MAX(56,2*INT(K347/2)))</f>
        <v/>
      </c>
      <c r="AH347" s="75">
        <f>(CHOOSE((AG347-56)/2+1,SUMIFS(Donnees_generations!$U$3:$U$113,Donnees_generations!$A$3:$A$113,MAX(1915,MIN(2025,E347))),SUMIFS(Donnees_generations!$V$3:$V$113,Donnees_generations!$A$3:$A$113,MAX(1915,MIN(2025,E347))),SUMIFS(Donnees_generations!$W$3:$W$113,Donnees_generations!$A$3:$A$113,MAX(1915,MIN(2025,E347))),SUMIFS(Donnees_generations!$X$3:$X$113,Donnees_generations!$A$3:$A$113,MAX(1915,MIN(2025,E347))),SUMIFS(Donnees_generations!$Y$3:$Y$113,Donnees_generations!$A$3:$A$113,MAX(1915,MIN(2025,E347))),SUMIFS(Donnees_generations!$Z$3:$Z$113,Donnees_generations!$A$3:$A$113,MAX(1915,MIN(2025,E347))),SUMIFS(Donnees_generations!$AA$3:$AA$113,Donnees_generations!$A$3:$A$113,MAX(1915,MIN(2025,E347))),SUMIFS(Donnees_generations!$AB$3:$AB$113,Donnees_generations!$A$3:$A$113,MAX(1915,MIN(2025,E347))))+CHOOSE((AG347-56)/2+1,SUMIFS(Donnees_generations!$AC$3:$AC$113,Donnees_generations!$A$3:$A$113,MAX(1915,MIN(2025,E347))),SUMIFS(Donnees_generations!$AD$3:$AD$113,Donnees_generations!$A$3:$A$113,MAX(1915,MIN(2025,E347))),SUMIFS(Donnees_generations!$AE$3:$AE$113,Donnees_generations!$A$3:$A$113,MAX(1915,MIN(2025,E347))),SUMIFS(Donnees_generations!$AF$3:$AF$113,Donnees_generations!$A$3:$A$113,MAX(1915,MIN(2025,E347))),SUMIFS(Donnees_generations!$AG$3:$AG$113,Donnees_generations!$A$3:$A$113,MAX(1915,MIN(2025,E347))),SUMIFS(Donnees_generations!$AH$3:$AH$113,Donnees_generations!$A$3:$A$113,MAX(1915,MIN(2025,E347))),SUMIFS(Donnees_generations!$AI$3:$AI$113,Donnees_generations!$A$3:$A$113,MAX(1915,MIN(2025,E347))),SUMIFS(Donnees_generations!$AJ$3:$AJ$113,Donnees_generations!$A$3:$A$113,MAX(1915,MIN(2025,E347)))))/2</f>
        <v/>
      </c>
      <c r="AI347" s="75">
        <f>(CHOOSE(((AG347+2)-56)/2+1,SUMIFS(Donnees_generations!$U$3:$U$113,Donnees_generations!$A$3:$A$113,MAX(1915,MIN(2025,E347))),SUMIFS(Donnees_generations!$V$3:$V$113,Donnees_generations!$A$3:$A$113,MAX(1915,MIN(2025,E347))),SUMIFS(Donnees_generations!$W$3:$W$113,Donnees_generations!$A$3:$A$113,MAX(1915,MIN(2025,E347))),SUMIFS(Donnees_generations!$X$3:$X$113,Donnees_generations!$A$3:$A$113,MAX(1915,MIN(2025,E347))),SUMIFS(Donnees_generations!$Y$3:$Y$113,Donnees_generations!$A$3:$A$113,MAX(1915,MIN(2025,E347))),SUMIFS(Donnees_generations!$Z$3:$Z$113,Donnees_generations!$A$3:$A$113,MAX(1915,MIN(2025,E347))),SUMIFS(Donnees_generations!$AA$3:$AA$113,Donnees_generations!$A$3:$A$113,MAX(1915,MIN(2025,E347))),SUMIFS(Donnees_generations!$AB$3:$AB$113,Donnees_generations!$A$3:$A$113,MAX(1915,MIN(2025,E347))))+CHOOSE(((AG347+2)-56)/2+1,SUMIFS(Donnees_generations!$AC$3:$AC$113,Donnees_generations!$A$3:$A$113,MAX(1915,MIN(2025,E347))),SUMIFS(Donnees_generations!$AD$3:$AD$113,Donnees_generations!$A$3:$A$113,MAX(1915,MIN(2025,E347))),SUMIFS(Donnees_generations!$AE$3:$AE$113,Donnees_generations!$A$3:$A$113,MAX(1915,MIN(2025,E347))),SUMIFS(Donnees_generations!$AF$3:$AF$113,Donnees_generations!$A$3:$A$113,MAX(1915,MIN(2025,E347))),SUMIFS(Donnees_generations!$AG$3:$AG$113,Donnees_generations!$A$3:$A$113,MAX(1915,MIN(2025,E347))),SUMIFS(Donnees_generations!$AH$3:$AH$113,Donnees_generations!$A$3:$A$113,MAX(1915,MIN(2025,E347))),SUMIFS(Donnees_generations!$AI$3:$AI$113,Donnees_generations!$A$3:$A$113,MAX(1915,MIN(2025,E347))),SUMIFS(Donnees_generations!$AJ$3:$AJ$113,Donnees_generations!$A$3:$A$113,MAX(1915,MIN(2025,E347)))))/2</f>
        <v/>
      </c>
      <c r="AJ347" s="8">
        <f>MAX(0,AH347+(AI347-AH347)*(K347-AG347)/2)</f>
        <v/>
      </c>
      <c r="AK347" s="8">
        <f>K347+AJ347</f>
        <v/>
      </c>
      <c r="AL347" s="14">
        <f>AE347*AJ347</f>
        <v/>
      </c>
      <c r="AM347" s="17">
        <f>V347/AL347</f>
        <v/>
      </c>
      <c r="AN347" s="17">
        <f>Z347/AL347</f>
        <v/>
      </c>
      <c r="AO347" s="33">
        <f>IF(V347+Z347=0,0,Z347/(V347+Z347))</f>
        <v/>
      </c>
      <c r="AP347" s="14">
        <f>AL347/V347*100</f>
        <v/>
      </c>
      <c r="AQ347" s="8">
        <f>P347/AL347*1000</f>
        <v/>
      </c>
      <c r="AR347" s="77">
        <f>MAX(N347,M347-1)</f>
        <v/>
      </c>
      <c r="AS347" s="14">
        <f>SUMIFS(Donnees_regimes!$R$3:$R$1118,Donnees_regimes!$A$3:$A$1118,C347,Donnees_regimes!$B$3:$B$1118,"&gt;="&amp;G347,Donnees_regimes!$B$3:$B$1118,"&lt;="&amp;N347)*L347/ROUNDUP(L347,0)*SUMIFS(Donnees_annuelles!$AG$3:$AG$188,Donnees_annuelles!$A$3:$A$188,AR347)*SUMIFS(Donnees_annuelles!$AA$3:$AA$188,Donnees_annuelles!$A$3:$A$188,AR347)</f>
        <v/>
      </c>
      <c r="AT347" s="36">
        <f>AS347/V347</f>
        <v/>
      </c>
      <c r="AU347" s="14">
        <f>AL347</f>
        <v/>
      </c>
      <c r="AV347" s="39">
        <f>AS347-AL347</f>
        <v/>
      </c>
      <c r="AW347" s="9">
        <f>AS347/AL347-1</f>
        <v/>
      </c>
      <c r="AX347" s="14">
        <f>AS347/AJ347/12</f>
        <v/>
      </c>
      <c r="AY347" s="14">
        <f>AF347</f>
        <v/>
      </c>
      <c r="AZ347" s="39">
        <f>AX347-AF347</f>
        <v/>
      </c>
      <c r="BA347" s="14">
        <f>SUMIFS(Donnees_regimes!$S$3:$S$1118,Donnees_regimes!$A$3:$A$1118,C347,Donnees_regimes!$B$3:$B$1118,"&gt;="&amp;G347,Donnees_regimes!$B$3:$B$1118,"&lt;="&amp;N347)*L347/ROUNDUP(L347,0)*SUMIFS(Donnees_annuelles!$AH$3:$AH$188,Donnees_annuelles!$A$3:$A$188,AR347)*SUMIFS(Donnees_annuelles!$AA$3:$AA$188,Donnees_annuelles!$A$3:$A$188,AR347)</f>
        <v/>
      </c>
      <c r="BB347" s="39">
        <f>BA347-AL347</f>
        <v/>
      </c>
      <c r="BC347" s="7">
        <f>IF(M347+AJ347&gt;2026,IF(G347&gt;2026,"entièrement projeté","en partie projeté"),"observé")</f>
        <v/>
      </c>
    </row>
    <row r="348">
      <c r="A348" s="7" t="inlineStr">
        <is>
          <t>Génération X</t>
        </is>
      </c>
      <c r="B348" s="84" t="inlineStr">
        <is>
          <t>SNCF</t>
        </is>
      </c>
      <c r="C348" s="7">
        <f>IF(G348&gt;=SUMIFS(Regimes!$C$5:$C$10,Regimes!$A$5:$A$10,B348),"Privé",B348)</f>
        <v/>
      </c>
      <c r="D348" s="7">
        <f>INDEX(Regimes!$D$5:$D$10,MATCH(C348,Regimes!$A$5:$A$10,0))</f>
        <v/>
      </c>
      <c r="E348" s="88" t="n">
        <v>1979</v>
      </c>
      <c r="F348" s="8">
        <f>Donnees_generations!C67</f>
        <v/>
      </c>
      <c r="G348" s="77">
        <f>Donnees_generations!D67</f>
        <v/>
      </c>
      <c r="H348" s="8">
        <f>SUMIFS(Donnees_generations!$S$3:$S$113,Donnees_generations!$A$3:$A$113,MAX(1915,MIN(2025,E348)))</f>
        <v/>
      </c>
      <c r="I348" s="8">
        <f>SUMIFS(Donnees_generations!$T$3:$T$113,Donnees_generations!$A$3:$A$113,MAX(1915,MIN(2025,E348)))</f>
        <v/>
      </c>
      <c r="J348" s="8">
        <f>IF(G348&gt;=2000,MAX(I348,Parametres!$B$3),I348)</f>
        <v/>
      </c>
      <c r="K348" s="8">
        <f>IF(C348="Privé",J348,SUMIFS(Regles_regimes!$J$3:$J$2000,Regles_regimes!$A$3:$A$2000,C348,Regles_regimes!$B$3:$B$2000,D348,Regles_regimes!$C$3:$C$2000,MAX(1915,MIN(2025,E348))))</f>
        <v/>
      </c>
      <c r="L348" s="8">
        <f>IF(C348="Privé",H348,(K348-F348)*H348/(J348-F348))</f>
        <v/>
      </c>
      <c r="M348" s="77">
        <f>INT(E348+K348)</f>
        <v/>
      </c>
      <c r="N348" s="77">
        <f>G348+ROUNDUP(L348,0)-1</f>
        <v/>
      </c>
      <c r="O348" s="89">
        <f>SUMIFS(Regles_regimes!$K$3:$K$2000,Regles_regimes!$A$3:$A$2000,C348,Regles_regimes!$B$3:$B$2000,D348,Regles_regimes!$C$3:$C$2000,MAX(1915,MIN(2025,E348)))</f>
        <v/>
      </c>
      <c r="P348" s="13">
        <f>SUMIFS(Donnees_annuelles!$W$3:$W$188,Donnees_annuelles!$A$3:$A$188,"&gt;="&amp;G348,Donnees_annuelles!$A$3:$A$188,"&lt;="&amp;N348)*L348/ROUNDUP(L348,0)*O348</f>
        <v/>
      </c>
      <c r="Q348" s="13">
        <f>SUMIFS(Donnees_annuelles!$V$3:$V$188,Donnees_annuelles!$A$3:$A$188,"&gt;="&amp;G348,Donnees_annuelles!$A$3:$A$188,"&lt;="&amp;N348)*L348/ROUNDUP(L348,0)</f>
        <v/>
      </c>
      <c r="R348" s="13">
        <f>P348/L348</f>
        <v/>
      </c>
      <c r="S348" s="14">
        <f>SUMIFS(Donnees_annuelles!$D$3:$D$188,Donnees_annuelles!$A$3:$A$188,"&gt;="&amp;G348,Donnees_annuelles!$A$3:$A$188,"&lt;="&amp;N348)*L348/ROUNDUP(L348,0)</f>
        <v/>
      </c>
      <c r="T348" s="14">
        <f>SUMIFS(Donnees_regimes!$N$3:$N$1118,Donnees_regimes!$A$3:$A$1118,C348,Donnees_regimes!$B$3:$B$1118,"&gt;="&amp;G348,Donnees_regimes!$B$3:$B$1118,"&lt;="&amp;N348)*L348/ROUNDUP(L348,0)</f>
        <v/>
      </c>
      <c r="U348" s="14">
        <f>SUMIFS(Donnees_regimes!$O$3:$O$1118,Donnees_regimes!$A$3:$A$1118,C348,Donnees_regimes!$B$3:$B$1118,"&gt;="&amp;G348,Donnees_regimes!$B$3:$B$1118,"&lt;="&amp;N348)*L348/ROUNDUP(L348,0)</f>
        <v/>
      </c>
      <c r="V348" s="14">
        <f>T348+U348</f>
        <v/>
      </c>
      <c r="W348" s="33">
        <f>V348/S348</f>
        <v/>
      </c>
      <c r="X348" s="14">
        <f>S348+U348</f>
        <v/>
      </c>
      <c r="Y348" s="17">
        <f>V348/P348</f>
        <v/>
      </c>
      <c r="Z348" s="14">
        <f>SUMIFS(Donnees_regimes!$Q$3:$Q$1118,Donnees_regimes!$A$3:$A$1118,C348,Donnees_regimes!$B$3:$B$1118,"&gt;="&amp;G348,Donnees_regimes!$B$3:$B$1118,"&lt;="&amp;N348)*L348/ROUNDUP(L348,0)</f>
        <v/>
      </c>
      <c r="AA348" s="77">
        <f>SUMIFS(Regles_regimes!$F$3:$F$2000,Regles_regimes!$A$3:$A$2000,C348,Regles_regimes!$B$3:$B$2000,D348,Regles_regimes!$C$3:$C$2000,MAX(1915,MIN(2025,E348)))</f>
        <v/>
      </c>
      <c r="AB348" s="77">
        <f>IF(AND(SUMIFS(Regles_regimes!$L$3:$L$2000,Regles_regimes!$A$3:$A$2000,C348,Regles_regimes!$B$3:$B$2000,D348,Regles_regimes!$C$3:$C$2000,MAX(1915,MIN(2025,E348)))=1,G348&lt;2009,C348&lt;&gt;"Privé"),MIN(20,L348*4/5),0)</f>
        <v/>
      </c>
      <c r="AC348" s="89">
        <f>SUMIFS(Donnees_regimes!$M$3:$M$1118,Donnees_regimes!$A$3:$A$1118,C348,Donnees_regimes!$B$3:$B$1118,M348)</f>
        <v/>
      </c>
      <c r="AD348" s="14">
        <f>SUMIFS(Donnees_annuelles!$Y$3:$Y$188,Donnees_annuelles!$A$3:$A$188,M348)*SUMIFS(Donnees_generations!$I$3:$I$113,Donnees_generations!$A$3:$A$113,MAX(1915,MIN(2025,E348)))/H348</f>
        <v/>
      </c>
      <c r="AE348" s="14">
        <f>IF(C348="Privé",SUMIFS(Donnees_annuelles!$Y$3:$Y$188,Donnees_annuelles!$A$3:$A$188,M348)*MIN(L348,SUMIFS(Donnees_generations!$I$3:$I$113,Donnees_generations!$A$3:$A$113,MAX(1915,MIN(2025,E348))))/L348,AD348*AC348*MIN(IF(AB348&gt;0,0.8/0.75,1),(L348*4+AB348)/AA348))</f>
        <v/>
      </c>
      <c r="AF348" s="14">
        <f>AE348/12</f>
        <v/>
      </c>
      <c r="AG348" s="77">
        <f>MIN(68,MAX(56,2*INT(K348/2)))</f>
        <v/>
      </c>
      <c r="AH348" s="75">
        <f>(CHOOSE((AG348-56)/2+1,SUMIFS(Donnees_generations!$U$3:$U$113,Donnees_generations!$A$3:$A$113,MAX(1915,MIN(2025,E348))),SUMIFS(Donnees_generations!$V$3:$V$113,Donnees_generations!$A$3:$A$113,MAX(1915,MIN(2025,E348))),SUMIFS(Donnees_generations!$W$3:$W$113,Donnees_generations!$A$3:$A$113,MAX(1915,MIN(2025,E348))),SUMIFS(Donnees_generations!$X$3:$X$113,Donnees_generations!$A$3:$A$113,MAX(1915,MIN(2025,E348))),SUMIFS(Donnees_generations!$Y$3:$Y$113,Donnees_generations!$A$3:$A$113,MAX(1915,MIN(2025,E348))),SUMIFS(Donnees_generations!$Z$3:$Z$113,Donnees_generations!$A$3:$A$113,MAX(1915,MIN(2025,E348))),SUMIFS(Donnees_generations!$AA$3:$AA$113,Donnees_generations!$A$3:$A$113,MAX(1915,MIN(2025,E348))),SUMIFS(Donnees_generations!$AB$3:$AB$113,Donnees_generations!$A$3:$A$113,MAX(1915,MIN(2025,E348))))+CHOOSE((AG348-56)/2+1,SUMIFS(Donnees_generations!$AC$3:$AC$113,Donnees_generations!$A$3:$A$113,MAX(1915,MIN(2025,E348))),SUMIFS(Donnees_generations!$AD$3:$AD$113,Donnees_generations!$A$3:$A$113,MAX(1915,MIN(2025,E348))),SUMIFS(Donnees_generations!$AE$3:$AE$113,Donnees_generations!$A$3:$A$113,MAX(1915,MIN(2025,E348))),SUMIFS(Donnees_generations!$AF$3:$AF$113,Donnees_generations!$A$3:$A$113,MAX(1915,MIN(2025,E348))),SUMIFS(Donnees_generations!$AG$3:$AG$113,Donnees_generations!$A$3:$A$113,MAX(1915,MIN(2025,E348))),SUMIFS(Donnees_generations!$AH$3:$AH$113,Donnees_generations!$A$3:$A$113,MAX(1915,MIN(2025,E348))),SUMIFS(Donnees_generations!$AI$3:$AI$113,Donnees_generations!$A$3:$A$113,MAX(1915,MIN(2025,E348))),SUMIFS(Donnees_generations!$AJ$3:$AJ$113,Donnees_generations!$A$3:$A$113,MAX(1915,MIN(2025,E348)))))/2</f>
        <v/>
      </c>
      <c r="AI348" s="75">
        <f>(CHOOSE(((AG348+2)-56)/2+1,SUMIFS(Donnees_generations!$U$3:$U$113,Donnees_generations!$A$3:$A$113,MAX(1915,MIN(2025,E348))),SUMIFS(Donnees_generations!$V$3:$V$113,Donnees_generations!$A$3:$A$113,MAX(1915,MIN(2025,E348))),SUMIFS(Donnees_generations!$W$3:$W$113,Donnees_generations!$A$3:$A$113,MAX(1915,MIN(2025,E348))),SUMIFS(Donnees_generations!$X$3:$X$113,Donnees_generations!$A$3:$A$113,MAX(1915,MIN(2025,E348))),SUMIFS(Donnees_generations!$Y$3:$Y$113,Donnees_generations!$A$3:$A$113,MAX(1915,MIN(2025,E348))),SUMIFS(Donnees_generations!$Z$3:$Z$113,Donnees_generations!$A$3:$A$113,MAX(1915,MIN(2025,E348))),SUMIFS(Donnees_generations!$AA$3:$AA$113,Donnees_generations!$A$3:$A$113,MAX(1915,MIN(2025,E348))),SUMIFS(Donnees_generations!$AB$3:$AB$113,Donnees_generations!$A$3:$A$113,MAX(1915,MIN(2025,E348))))+CHOOSE(((AG348+2)-56)/2+1,SUMIFS(Donnees_generations!$AC$3:$AC$113,Donnees_generations!$A$3:$A$113,MAX(1915,MIN(2025,E348))),SUMIFS(Donnees_generations!$AD$3:$AD$113,Donnees_generations!$A$3:$A$113,MAX(1915,MIN(2025,E348))),SUMIFS(Donnees_generations!$AE$3:$AE$113,Donnees_generations!$A$3:$A$113,MAX(1915,MIN(2025,E348))),SUMIFS(Donnees_generations!$AF$3:$AF$113,Donnees_generations!$A$3:$A$113,MAX(1915,MIN(2025,E348))),SUMIFS(Donnees_generations!$AG$3:$AG$113,Donnees_generations!$A$3:$A$113,MAX(1915,MIN(2025,E348))),SUMIFS(Donnees_generations!$AH$3:$AH$113,Donnees_generations!$A$3:$A$113,MAX(1915,MIN(2025,E348))),SUMIFS(Donnees_generations!$AI$3:$AI$113,Donnees_generations!$A$3:$A$113,MAX(1915,MIN(2025,E348))),SUMIFS(Donnees_generations!$AJ$3:$AJ$113,Donnees_generations!$A$3:$A$113,MAX(1915,MIN(2025,E348)))))/2</f>
        <v/>
      </c>
      <c r="AJ348" s="8">
        <f>MAX(0,AH348+(AI348-AH348)*(K348-AG348)/2)</f>
        <v/>
      </c>
      <c r="AK348" s="8">
        <f>K348+AJ348</f>
        <v/>
      </c>
      <c r="AL348" s="14">
        <f>AE348*AJ348</f>
        <v/>
      </c>
      <c r="AM348" s="17">
        <f>V348/AL348</f>
        <v/>
      </c>
      <c r="AN348" s="17">
        <f>Z348/AL348</f>
        <v/>
      </c>
      <c r="AO348" s="33">
        <f>IF(V348+Z348=0,0,Z348/(V348+Z348))</f>
        <v/>
      </c>
      <c r="AP348" s="14">
        <f>AL348/V348*100</f>
        <v/>
      </c>
      <c r="AQ348" s="8">
        <f>P348/AL348*1000</f>
        <v/>
      </c>
      <c r="AR348" s="77">
        <f>MAX(N348,M348-1)</f>
        <v/>
      </c>
      <c r="AS348" s="14">
        <f>SUMIFS(Donnees_regimes!$R$3:$R$1118,Donnees_regimes!$A$3:$A$1118,C348,Donnees_regimes!$B$3:$B$1118,"&gt;="&amp;G348,Donnees_regimes!$B$3:$B$1118,"&lt;="&amp;N348)*L348/ROUNDUP(L348,0)*SUMIFS(Donnees_annuelles!$AG$3:$AG$188,Donnees_annuelles!$A$3:$A$188,AR348)*SUMIFS(Donnees_annuelles!$AA$3:$AA$188,Donnees_annuelles!$A$3:$A$188,AR348)</f>
        <v/>
      </c>
      <c r="AT348" s="36">
        <f>AS348/V348</f>
        <v/>
      </c>
      <c r="AU348" s="14">
        <f>AL348</f>
        <v/>
      </c>
      <c r="AV348" s="39">
        <f>AS348-AL348</f>
        <v/>
      </c>
      <c r="AW348" s="9">
        <f>AS348/AL348-1</f>
        <v/>
      </c>
      <c r="AX348" s="14">
        <f>AS348/AJ348/12</f>
        <v/>
      </c>
      <c r="AY348" s="14">
        <f>AF348</f>
        <v/>
      </c>
      <c r="AZ348" s="39">
        <f>AX348-AF348</f>
        <v/>
      </c>
      <c r="BA348" s="14">
        <f>SUMIFS(Donnees_regimes!$S$3:$S$1118,Donnees_regimes!$A$3:$A$1118,C348,Donnees_regimes!$B$3:$B$1118,"&gt;="&amp;G348,Donnees_regimes!$B$3:$B$1118,"&lt;="&amp;N348)*L348/ROUNDUP(L348,0)*SUMIFS(Donnees_annuelles!$AH$3:$AH$188,Donnees_annuelles!$A$3:$A$188,AR348)*SUMIFS(Donnees_annuelles!$AA$3:$AA$188,Donnees_annuelles!$A$3:$A$188,AR348)</f>
        <v/>
      </c>
      <c r="BB348" s="39">
        <f>BA348-AL348</f>
        <v/>
      </c>
      <c r="BC348" s="7">
        <f>IF(M348+AJ348&gt;2026,IF(G348&gt;2026,"entièrement projeté","en partie projeté"),"observé")</f>
        <v/>
      </c>
    </row>
    <row r="349">
      <c r="A349" s="7" t="inlineStr">
        <is>
          <t>Génération X</t>
        </is>
      </c>
      <c r="B349" s="84" t="inlineStr">
        <is>
          <t>SNCF</t>
        </is>
      </c>
      <c r="C349" s="7">
        <f>IF(G349&gt;=SUMIFS(Regimes!$C$5:$C$10,Regimes!$A$5:$A$10,B349),"Privé",B349)</f>
        <v/>
      </c>
      <c r="D349" s="7">
        <f>INDEX(Regimes!$D$5:$D$10,MATCH(C349,Regimes!$A$5:$A$10,0))</f>
        <v/>
      </c>
      <c r="E349" s="88" t="n">
        <v>1980</v>
      </c>
      <c r="F349" s="8">
        <f>Donnees_generations!C68</f>
        <v/>
      </c>
      <c r="G349" s="77">
        <f>Donnees_generations!D68</f>
        <v/>
      </c>
      <c r="H349" s="8">
        <f>SUMIFS(Donnees_generations!$S$3:$S$113,Donnees_generations!$A$3:$A$113,MAX(1915,MIN(2025,E349)))</f>
        <v/>
      </c>
      <c r="I349" s="8">
        <f>SUMIFS(Donnees_generations!$T$3:$T$113,Donnees_generations!$A$3:$A$113,MAX(1915,MIN(2025,E349)))</f>
        <v/>
      </c>
      <c r="J349" s="8">
        <f>IF(G349&gt;=2000,MAX(I349,Parametres!$B$3),I349)</f>
        <v/>
      </c>
      <c r="K349" s="8">
        <f>IF(C349="Privé",J349,SUMIFS(Regles_regimes!$J$3:$J$2000,Regles_regimes!$A$3:$A$2000,C349,Regles_regimes!$B$3:$B$2000,D349,Regles_regimes!$C$3:$C$2000,MAX(1915,MIN(2025,E349))))</f>
        <v/>
      </c>
      <c r="L349" s="8">
        <f>IF(C349="Privé",H349,(K349-F349)*H349/(J349-F349))</f>
        <v/>
      </c>
      <c r="M349" s="77">
        <f>INT(E349+K349)</f>
        <v/>
      </c>
      <c r="N349" s="77">
        <f>G349+ROUNDUP(L349,0)-1</f>
        <v/>
      </c>
      <c r="O349" s="89">
        <f>SUMIFS(Regles_regimes!$K$3:$K$2000,Regles_regimes!$A$3:$A$2000,C349,Regles_regimes!$B$3:$B$2000,D349,Regles_regimes!$C$3:$C$2000,MAX(1915,MIN(2025,E349)))</f>
        <v/>
      </c>
      <c r="P349" s="13">
        <f>SUMIFS(Donnees_annuelles!$W$3:$W$188,Donnees_annuelles!$A$3:$A$188,"&gt;="&amp;G349,Donnees_annuelles!$A$3:$A$188,"&lt;="&amp;N349)*L349/ROUNDUP(L349,0)*O349</f>
        <v/>
      </c>
      <c r="Q349" s="13">
        <f>SUMIFS(Donnees_annuelles!$V$3:$V$188,Donnees_annuelles!$A$3:$A$188,"&gt;="&amp;G349,Donnees_annuelles!$A$3:$A$188,"&lt;="&amp;N349)*L349/ROUNDUP(L349,0)</f>
        <v/>
      </c>
      <c r="R349" s="13">
        <f>P349/L349</f>
        <v/>
      </c>
      <c r="S349" s="14">
        <f>SUMIFS(Donnees_annuelles!$D$3:$D$188,Donnees_annuelles!$A$3:$A$188,"&gt;="&amp;G349,Donnees_annuelles!$A$3:$A$188,"&lt;="&amp;N349)*L349/ROUNDUP(L349,0)</f>
        <v/>
      </c>
      <c r="T349" s="14">
        <f>SUMIFS(Donnees_regimes!$N$3:$N$1118,Donnees_regimes!$A$3:$A$1118,C349,Donnees_regimes!$B$3:$B$1118,"&gt;="&amp;G349,Donnees_regimes!$B$3:$B$1118,"&lt;="&amp;N349)*L349/ROUNDUP(L349,0)</f>
        <v/>
      </c>
      <c r="U349" s="14">
        <f>SUMIFS(Donnees_regimes!$O$3:$O$1118,Donnees_regimes!$A$3:$A$1118,C349,Donnees_regimes!$B$3:$B$1118,"&gt;="&amp;G349,Donnees_regimes!$B$3:$B$1118,"&lt;="&amp;N349)*L349/ROUNDUP(L349,0)</f>
        <v/>
      </c>
      <c r="V349" s="14">
        <f>T349+U349</f>
        <v/>
      </c>
      <c r="W349" s="33">
        <f>V349/S349</f>
        <v/>
      </c>
      <c r="X349" s="14">
        <f>S349+U349</f>
        <v/>
      </c>
      <c r="Y349" s="17">
        <f>V349/P349</f>
        <v/>
      </c>
      <c r="Z349" s="14">
        <f>SUMIFS(Donnees_regimes!$Q$3:$Q$1118,Donnees_regimes!$A$3:$A$1118,C349,Donnees_regimes!$B$3:$B$1118,"&gt;="&amp;G349,Donnees_regimes!$B$3:$B$1118,"&lt;="&amp;N349)*L349/ROUNDUP(L349,0)</f>
        <v/>
      </c>
      <c r="AA349" s="77">
        <f>SUMIFS(Regles_regimes!$F$3:$F$2000,Regles_regimes!$A$3:$A$2000,C349,Regles_regimes!$B$3:$B$2000,D349,Regles_regimes!$C$3:$C$2000,MAX(1915,MIN(2025,E349)))</f>
        <v/>
      </c>
      <c r="AB349" s="77">
        <f>IF(AND(SUMIFS(Regles_regimes!$L$3:$L$2000,Regles_regimes!$A$3:$A$2000,C349,Regles_regimes!$B$3:$B$2000,D349,Regles_regimes!$C$3:$C$2000,MAX(1915,MIN(2025,E349)))=1,G349&lt;2009,C349&lt;&gt;"Privé"),MIN(20,L349*4/5),0)</f>
        <v/>
      </c>
      <c r="AC349" s="89">
        <f>SUMIFS(Donnees_regimes!$M$3:$M$1118,Donnees_regimes!$A$3:$A$1118,C349,Donnees_regimes!$B$3:$B$1118,M349)</f>
        <v/>
      </c>
      <c r="AD349" s="14">
        <f>SUMIFS(Donnees_annuelles!$Y$3:$Y$188,Donnees_annuelles!$A$3:$A$188,M349)*SUMIFS(Donnees_generations!$I$3:$I$113,Donnees_generations!$A$3:$A$113,MAX(1915,MIN(2025,E349)))/H349</f>
        <v/>
      </c>
      <c r="AE349" s="14">
        <f>IF(C349="Privé",SUMIFS(Donnees_annuelles!$Y$3:$Y$188,Donnees_annuelles!$A$3:$A$188,M349)*MIN(L349,SUMIFS(Donnees_generations!$I$3:$I$113,Donnees_generations!$A$3:$A$113,MAX(1915,MIN(2025,E349))))/L349,AD349*AC349*MIN(IF(AB349&gt;0,0.8/0.75,1),(L349*4+AB349)/AA349))</f>
        <v/>
      </c>
      <c r="AF349" s="14">
        <f>AE349/12</f>
        <v/>
      </c>
      <c r="AG349" s="77">
        <f>MIN(68,MAX(56,2*INT(K349/2)))</f>
        <v/>
      </c>
      <c r="AH349" s="75">
        <f>(CHOOSE((AG349-56)/2+1,SUMIFS(Donnees_generations!$U$3:$U$113,Donnees_generations!$A$3:$A$113,MAX(1915,MIN(2025,E349))),SUMIFS(Donnees_generations!$V$3:$V$113,Donnees_generations!$A$3:$A$113,MAX(1915,MIN(2025,E349))),SUMIFS(Donnees_generations!$W$3:$W$113,Donnees_generations!$A$3:$A$113,MAX(1915,MIN(2025,E349))),SUMIFS(Donnees_generations!$X$3:$X$113,Donnees_generations!$A$3:$A$113,MAX(1915,MIN(2025,E349))),SUMIFS(Donnees_generations!$Y$3:$Y$113,Donnees_generations!$A$3:$A$113,MAX(1915,MIN(2025,E349))),SUMIFS(Donnees_generations!$Z$3:$Z$113,Donnees_generations!$A$3:$A$113,MAX(1915,MIN(2025,E349))),SUMIFS(Donnees_generations!$AA$3:$AA$113,Donnees_generations!$A$3:$A$113,MAX(1915,MIN(2025,E349))),SUMIFS(Donnees_generations!$AB$3:$AB$113,Donnees_generations!$A$3:$A$113,MAX(1915,MIN(2025,E349))))+CHOOSE((AG349-56)/2+1,SUMIFS(Donnees_generations!$AC$3:$AC$113,Donnees_generations!$A$3:$A$113,MAX(1915,MIN(2025,E349))),SUMIFS(Donnees_generations!$AD$3:$AD$113,Donnees_generations!$A$3:$A$113,MAX(1915,MIN(2025,E349))),SUMIFS(Donnees_generations!$AE$3:$AE$113,Donnees_generations!$A$3:$A$113,MAX(1915,MIN(2025,E349))),SUMIFS(Donnees_generations!$AF$3:$AF$113,Donnees_generations!$A$3:$A$113,MAX(1915,MIN(2025,E349))),SUMIFS(Donnees_generations!$AG$3:$AG$113,Donnees_generations!$A$3:$A$113,MAX(1915,MIN(2025,E349))),SUMIFS(Donnees_generations!$AH$3:$AH$113,Donnees_generations!$A$3:$A$113,MAX(1915,MIN(2025,E349))),SUMIFS(Donnees_generations!$AI$3:$AI$113,Donnees_generations!$A$3:$A$113,MAX(1915,MIN(2025,E349))),SUMIFS(Donnees_generations!$AJ$3:$AJ$113,Donnees_generations!$A$3:$A$113,MAX(1915,MIN(2025,E349)))))/2</f>
        <v/>
      </c>
      <c r="AI349" s="75">
        <f>(CHOOSE(((AG349+2)-56)/2+1,SUMIFS(Donnees_generations!$U$3:$U$113,Donnees_generations!$A$3:$A$113,MAX(1915,MIN(2025,E349))),SUMIFS(Donnees_generations!$V$3:$V$113,Donnees_generations!$A$3:$A$113,MAX(1915,MIN(2025,E349))),SUMIFS(Donnees_generations!$W$3:$W$113,Donnees_generations!$A$3:$A$113,MAX(1915,MIN(2025,E349))),SUMIFS(Donnees_generations!$X$3:$X$113,Donnees_generations!$A$3:$A$113,MAX(1915,MIN(2025,E349))),SUMIFS(Donnees_generations!$Y$3:$Y$113,Donnees_generations!$A$3:$A$113,MAX(1915,MIN(2025,E349))),SUMIFS(Donnees_generations!$Z$3:$Z$113,Donnees_generations!$A$3:$A$113,MAX(1915,MIN(2025,E349))),SUMIFS(Donnees_generations!$AA$3:$AA$113,Donnees_generations!$A$3:$A$113,MAX(1915,MIN(2025,E349))),SUMIFS(Donnees_generations!$AB$3:$AB$113,Donnees_generations!$A$3:$A$113,MAX(1915,MIN(2025,E349))))+CHOOSE(((AG349+2)-56)/2+1,SUMIFS(Donnees_generations!$AC$3:$AC$113,Donnees_generations!$A$3:$A$113,MAX(1915,MIN(2025,E349))),SUMIFS(Donnees_generations!$AD$3:$AD$113,Donnees_generations!$A$3:$A$113,MAX(1915,MIN(2025,E349))),SUMIFS(Donnees_generations!$AE$3:$AE$113,Donnees_generations!$A$3:$A$113,MAX(1915,MIN(2025,E349))),SUMIFS(Donnees_generations!$AF$3:$AF$113,Donnees_generations!$A$3:$A$113,MAX(1915,MIN(2025,E349))),SUMIFS(Donnees_generations!$AG$3:$AG$113,Donnees_generations!$A$3:$A$113,MAX(1915,MIN(2025,E349))),SUMIFS(Donnees_generations!$AH$3:$AH$113,Donnees_generations!$A$3:$A$113,MAX(1915,MIN(2025,E349))),SUMIFS(Donnees_generations!$AI$3:$AI$113,Donnees_generations!$A$3:$A$113,MAX(1915,MIN(2025,E349))),SUMIFS(Donnees_generations!$AJ$3:$AJ$113,Donnees_generations!$A$3:$A$113,MAX(1915,MIN(2025,E349)))))/2</f>
        <v/>
      </c>
      <c r="AJ349" s="8">
        <f>MAX(0,AH349+(AI349-AH349)*(K349-AG349)/2)</f>
        <v/>
      </c>
      <c r="AK349" s="8">
        <f>K349+AJ349</f>
        <v/>
      </c>
      <c r="AL349" s="14">
        <f>AE349*AJ349</f>
        <v/>
      </c>
      <c r="AM349" s="17">
        <f>V349/AL349</f>
        <v/>
      </c>
      <c r="AN349" s="17">
        <f>Z349/AL349</f>
        <v/>
      </c>
      <c r="AO349" s="33">
        <f>IF(V349+Z349=0,0,Z349/(V349+Z349))</f>
        <v/>
      </c>
      <c r="AP349" s="14">
        <f>AL349/V349*100</f>
        <v/>
      </c>
      <c r="AQ349" s="8">
        <f>P349/AL349*1000</f>
        <v/>
      </c>
      <c r="AR349" s="77">
        <f>MAX(N349,M349-1)</f>
        <v/>
      </c>
      <c r="AS349" s="14">
        <f>SUMIFS(Donnees_regimes!$R$3:$R$1118,Donnees_regimes!$A$3:$A$1118,C349,Donnees_regimes!$B$3:$B$1118,"&gt;="&amp;G349,Donnees_regimes!$B$3:$B$1118,"&lt;="&amp;N349)*L349/ROUNDUP(L349,0)*SUMIFS(Donnees_annuelles!$AG$3:$AG$188,Donnees_annuelles!$A$3:$A$188,AR349)*SUMIFS(Donnees_annuelles!$AA$3:$AA$188,Donnees_annuelles!$A$3:$A$188,AR349)</f>
        <v/>
      </c>
      <c r="AT349" s="36">
        <f>AS349/V349</f>
        <v/>
      </c>
      <c r="AU349" s="14">
        <f>AL349</f>
        <v/>
      </c>
      <c r="AV349" s="39">
        <f>AS349-AL349</f>
        <v/>
      </c>
      <c r="AW349" s="9">
        <f>AS349/AL349-1</f>
        <v/>
      </c>
      <c r="AX349" s="14">
        <f>AS349/AJ349/12</f>
        <v/>
      </c>
      <c r="AY349" s="14">
        <f>AF349</f>
        <v/>
      </c>
      <c r="AZ349" s="39">
        <f>AX349-AF349</f>
        <v/>
      </c>
      <c r="BA349" s="14">
        <f>SUMIFS(Donnees_regimes!$S$3:$S$1118,Donnees_regimes!$A$3:$A$1118,C349,Donnees_regimes!$B$3:$B$1118,"&gt;="&amp;G349,Donnees_regimes!$B$3:$B$1118,"&lt;="&amp;N349)*L349/ROUNDUP(L349,0)*SUMIFS(Donnees_annuelles!$AH$3:$AH$188,Donnees_annuelles!$A$3:$A$188,AR349)*SUMIFS(Donnees_annuelles!$AA$3:$AA$188,Donnees_annuelles!$A$3:$A$188,AR349)</f>
        <v/>
      </c>
      <c r="BB349" s="39">
        <f>BA349-AL349</f>
        <v/>
      </c>
      <c r="BC349" s="7">
        <f>IF(M349+AJ349&gt;2026,IF(G349&gt;2026,"entièrement projeté","en partie projeté"),"observé")</f>
        <v/>
      </c>
    </row>
    <row r="350">
      <c r="A350" s="7" t="inlineStr">
        <is>
          <t>Génération Y</t>
        </is>
      </c>
      <c r="B350" s="84" t="inlineStr">
        <is>
          <t>SNCF</t>
        </is>
      </c>
      <c r="C350" s="7">
        <f>IF(G350&gt;=SUMIFS(Regimes!$C$5:$C$10,Regimes!$A$5:$A$10,B350),"Privé",B350)</f>
        <v/>
      </c>
      <c r="D350" s="7">
        <f>INDEX(Regimes!$D$5:$D$10,MATCH(C350,Regimes!$A$5:$A$10,0))</f>
        <v/>
      </c>
      <c r="E350" s="88" t="n">
        <v>1981</v>
      </c>
      <c r="F350" s="8">
        <f>Donnees_generations!C69</f>
        <v/>
      </c>
      <c r="G350" s="77">
        <f>Donnees_generations!D69</f>
        <v/>
      </c>
      <c r="H350" s="8">
        <f>SUMIFS(Donnees_generations!$S$3:$S$113,Donnees_generations!$A$3:$A$113,MAX(1915,MIN(2025,E350)))</f>
        <v/>
      </c>
      <c r="I350" s="8">
        <f>SUMIFS(Donnees_generations!$T$3:$T$113,Donnees_generations!$A$3:$A$113,MAX(1915,MIN(2025,E350)))</f>
        <v/>
      </c>
      <c r="J350" s="8">
        <f>IF(G350&gt;=2000,MAX(I350,Parametres!$B$3),I350)</f>
        <v/>
      </c>
      <c r="K350" s="8">
        <f>IF(C350="Privé",J350,SUMIFS(Regles_regimes!$J$3:$J$2000,Regles_regimes!$A$3:$A$2000,C350,Regles_regimes!$B$3:$B$2000,D350,Regles_regimes!$C$3:$C$2000,MAX(1915,MIN(2025,E350))))</f>
        <v/>
      </c>
      <c r="L350" s="8">
        <f>IF(C350="Privé",H350,(K350-F350)*H350/(J350-F350))</f>
        <v/>
      </c>
      <c r="M350" s="77">
        <f>INT(E350+K350)</f>
        <v/>
      </c>
      <c r="N350" s="77">
        <f>G350+ROUNDUP(L350,0)-1</f>
        <v/>
      </c>
      <c r="O350" s="89">
        <f>SUMIFS(Regles_regimes!$K$3:$K$2000,Regles_regimes!$A$3:$A$2000,C350,Regles_regimes!$B$3:$B$2000,D350,Regles_regimes!$C$3:$C$2000,MAX(1915,MIN(2025,E350)))</f>
        <v/>
      </c>
      <c r="P350" s="13">
        <f>SUMIFS(Donnees_annuelles!$W$3:$W$188,Donnees_annuelles!$A$3:$A$188,"&gt;="&amp;G350,Donnees_annuelles!$A$3:$A$188,"&lt;="&amp;N350)*L350/ROUNDUP(L350,0)*O350</f>
        <v/>
      </c>
      <c r="Q350" s="13">
        <f>SUMIFS(Donnees_annuelles!$V$3:$V$188,Donnees_annuelles!$A$3:$A$188,"&gt;="&amp;G350,Donnees_annuelles!$A$3:$A$188,"&lt;="&amp;N350)*L350/ROUNDUP(L350,0)</f>
        <v/>
      </c>
      <c r="R350" s="13">
        <f>P350/L350</f>
        <v/>
      </c>
      <c r="S350" s="14">
        <f>SUMIFS(Donnees_annuelles!$D$3:$D$188,Donnees_annuelles!$A$3:$A$188,"&gt;="&amp;G350,Donnees_annuelles!$A$3:$A$188,"&lt;="&amp;N350)*L350/ROUNDUP(L350,0)</f>
        <v/>
      </c>
      <c r="T350" s="14">
        <f>SUMIFS(Donnees_regimes!$N$3:$N$1118,Donnees_regimes!$A$3:$A$1118,C350,Donnees_regimes!$B$3:$B$1118,"&gt;="&amp;G350,Donnees_regimes!$B$3:$B$1118,"&lt;="&amp;N350)*L350/ROUNDUP(L350,0)</f>
        <v/>
      </c>
      <c r="U350" s="14">
        <f>SUMIFS(Donnees_regimes!$O$3:$O$1118,Donnees_regimes!$A$3:$A$1118,C350,Donnees_regimes!$B$3:$B$1118,"&gt;="&amp;G350,Donnees_regimes!$B$3:$B$1118,"&lt;="&amp;N350)*L350/ROUNDUP(L350,0)</f>
        <v/>
      </c>
      <c r="V350" s="14">
        <f>T350+U350</f>
        <v/>
      </c>
      <c r="W350" s="33">
        <f>V350/S350</f>
        <v/>
      </c>
      <c r="X350" s="14">
        <f>S350+U350</f>
        <v/>
      </c>
      <c r="Y350" s="17">
        <f>V350/P350</f>
        <v/>
      </c>
      <c r="Z350" s="14">
        <f>SUMIFS(Donnees_regimes!$Q$3:$Q$1118,Donnees_regimes!$A$3:$A$1118,C350,Donnees_regimes!$B$3:$B$1118,"&gt;="&amp;G350,Donnees_regimes!$B$3:$B$1118,"&lt;="&amp;N350)*L350/ROUNDUP(L350,0)</f>
        <v/>
      </c>
      <c r="AA350" s="77">
        <f>SUMIFS(Regles_regimes!$F$3:$F$2000,Regles_regimes!$A$3:$A$2000,C350,Regles_regimes!$B$3:$B$2000,D350,Regles_regimes!$C$3:$C$2000,MAX(1915,MIN(2025,E350)))</f>
        <v/>
      </c>
      <c r="AB350" s="77">
        <f>IF(AND(SUMIFS(Regles_regimes!$L$3:$L$2000,Regles_regimes!$A$3:$A$2000,C350,Regles_regimes!$B$3:$B$2000,D350,Regles_regimes!$C$3:$C$2000,MAX(1915,MIN(2025,E350)))=1,G350&lt;2009,C350&lt;&gt;"Privé"),MIN(20,L350*4/5),0)</f>
        <v/>
      </c>
      <c r="AC350" s="89">
        <f>SUMIFS(Donnees_regimes!$M$3:$M$1118,Donnees_regimes!$A$3:$A$1118,C350,Donnees_regimes!$B$3:$B$1118,M350)</f>
        <v/>
      </c>
      <c r="AD350" s="14">
        <f>SUMIFS(Donnees_annuelles!$Y$3:$Y$188,Donnees_annuelles!$A$3:$A$188,M350)*SUMIFS(Donnees_generations!$I$3:$I$113,Donnees_generations!$A$3:$A$113,MAX(1915,MIN(2025,E350)))/H350</f>
        <v/>
      </c>
      <c r="AE350" s="14">
        <f>IF(C350="Privé",SUMIFS(Donnees_annuelles!$Y$3:$Y$188,Donnees_annuelles!$A$3:$A$188,M350)*MIN(L350,SUMIFS(Donnees_generations!$I$3:$I$113,Donnees_generations!$A$3:$A$113,MAX(1915,MIN(2025,E350))))/L350,AD350*AC350*MIN(IF(AB350&gt;0,0.8/0.75,1),(L350*4+AB350)/AA350))</f>
        <v/>
      </c>
      <c r="AF350" s="14">
        <f>AE350/12</f>
        <v/>
      </c>
      <c r="AG350" s="77">
        <f>MIN(68,MAX(56,2*INT(K350/2)))</f>
        <v/>
      </c>
      <c r="AH350" s="75">
        <f>(CHOOSE((AG350-56)/2+1,SUMIFS(Donnees_generations!$U$3:$U$113,Donnees_generations!$A$3:$A$113,MAX(1915,MIN(2025,E350))),SUMIFS(Donnees_generations!$V$3:$V$113,Donnees_generations!$A$3:$A$113,MAX(1915,MIN(2025,E350))),SUMIFS(Donnees_generations!$W$3:$W$113,Donnees_generations!$A$3:$A$113,MAX(1915,MIN(2025,E350))),SUMIFS(Donnees_generations!$X$3:$X$113,Donnees_generations!$A$3:$A$113,MAX(1915,MIN(2025,E350))),SUMIFS(Donnees_generations!$Y$3:$Y$113,Donnees_generations!$A$3:$A$113,MAX(1915,MIN(2025,E350))),SUMIFS(Donnees_generations!$Z$3:$Z$113,Donnees_generations!$A$3:$A$113,MAX(1915,MIN(2025,E350))),SUMIFS(Donnees_generations!$AA$3:$AA$113,Donnees_generations!$A$3:$A$113,MAX(1915,MIN(2025,E350))),SUMIFS(Donnees_generations!$AB$3:$AB$113,Donnees_generations!$A$3:$A$113,MAX(1915,MIN(2025,E350))))+CHOOSE((AG350-56)/2+1,SUMIFS(Donnees_generations!$AC$3:$AC$113,Donnees_generations!$A$3:$A$113,MAX(1915,MIN(2025,E350))),SUMIFS(Donnees_generations!$AD$3:$AD$113,Donnees_generations!$A$3:$A$113,MAX(1915,MIN(2025,E350))),SUMIFS(Donnees_generations!$AE$3:$AE$113,Donnees_generations!$A$3:$A$113,MAX(1915,MIN(2025,E350))),SUMIFS(Donnees_generations!$AF$3:$AF$113,Donnees_generations!$A$3:$A$113,MAX(1915,MIN(2025,E350))),SUMIFS(Donnees_generations!$AG$3:$AG$113,Donnees_generations!$A$3:$A$113,MAX(1915,MIN(2025,E350))),SUMIFS(Donnees_generations!$AH$3:$AH$113,Donnees_generations!$A$3:$A$113,MAX(1915,MIN(2025,E350))),SUMIFS(Donnees_generations!$AI$3:$AI$113,Donnees_generations!$A$3:$A$113,MAX(1915,MIN(2025,E350))),SUMIFS(Donnees_generations!$AJ$3:$AJ$113,Donnees_generations!$A$3:$A$113,MAX(1915,MIN(2025,E350)))))/2</f>
        <v/>
      </c>
      <c r="AI350" s="75">
        <f>(CHOOSE(((AG350+2)-56)/2+1,SUMIFS(Donnees_generations!$U$3:$U$113,Donnees_generations!$A$3:$A$113,MAX(1915,MIN(2025,E350))),SUMIFS(Donnees_generations!$V$3:$V$113,Donnees_generations!$A$3:$A$113,MAX(1915,MIN(2025,E350))),SUMIFS(Donnees_generations!$W$3:$W$113,Donnees_generations!$A$3:$A$113,MAX(1915,MIN(2025,E350))),SUMIFS(Donnees_generations!$X$3:$X$113,Donnees_generations!$A$3:$A$113,MAX(1915,MIN(2025,E350))),SUMIFS(Donnees_generations!$Y$3:$Y$113,Donnees_generations!$A$3:$A$113,MAX(1915,MIN(2025,E350))),SUMIFS(Donnees_generations!$Z$3:$Z$113,Donnees_generations!$A$3:$A$113,MAX(1915,MIN(2025,E350))),SUMIFS(Donnees_generations!$AA$3:$AA$113,Donnees_generations!$A$3:$A$113,MAX(1915,MIN(2025,E350))),SUMIFS(Donnees_generations!$AB$3:$AB$113,Donnees_generations!$A$3:$A$113,MAX(1915,MIN(2025,E350))))+CHOOSE(((AG350+2)-56)/2+1,SUMIFS(Donnees_generations!$AC$3:$AC$113,Donnees_generations!$A$3:$A$113,MAX(1915,MIN(2025,E350))),SUMIFS(Donnees_generations!$AD$3:$AD$113,Donnees_generations!$A$3:$A$113,MAX(1915,MIN(2025,E350))),SUMIFS(Donnees_generations!$AE$3:$AE$113,Donnees_generations!$A$3:$A$113,MAX(1915,MIN(2025,E350))),SUMIFS(Donnees_generations!$AF$3:$AF$113,Donnees_generations!$A$3:$A$113,MAX(1915,MIN(2025,E350))),SUMIFS(Donnees_generations!$AG$3:$AG$113,Donnees_generations!$A$3:$A$113,MAX(1915,MIN(2025,E350))),SUMIFS(Donnees_generations!$AH$3:$AH$113,Donnees_generations!$A$3:$A$113,MAX(1915,MIN(2025,E350))),SUMIFS(Donnees_generations!$AI$3:$AI$113,Donnees_generations!$A$3:$A$113,MAX(1915,MIN(2025,E350))),SUMIFS(Donnees_generations!$AJ$3:$AJ$113,Donnees_generations!$A$3:$A$113,MAX(1915,MIN(2025,E350)))))/2</f>
        <v/>
      </c>
      <c r="AJ350" s="8">
        <f>MAX(0,AH350+(AI350-AH350)*(K350-AG350)/2)</f>
        <v/>
      </c>
      <c r="AK350" s="8">
        <f>K350+AJ350</f>
        <v/>
      </c>
      <c r="AL350" s="14">
        <f>AE350*AJ350</f>
        <v/>
      </c>
      <c r="AM350" s="17">
        <f>V350/AL350</f>
        <v/>
      </c>
      <c r="AN350" s="17">
        <f>Z350/AL350</f>
        <v/>
      </c>
      <c r="AO350" s="33">
        <f>IF(V350+Z350=0,0,Z350/(V350+Z350))</f>
        <v/>
      </c>
      <c r="AP350" s="14">
        <f>AL350/V350*100</f>
        <v/>
      </c>
      <c r="AQ350" s="8">
        <f>P350/AL350*1000</f>
        <v/>
      </c>
      <c r="AR350" s="77">
        <f>MAX(N350,M350-1)</f>
        <v/>
      </c>
      <c r="AS350" s="14">
        <f>SUMIFS(Donnees_regimes!$R$3:$R$1118,Donnees_regimes!$A$3:$A$1118,C350,Donnees_regimes!$B$3:$B$1118,"&gt;="&amp;G350,Donnees_regimes!$B$3:$B$1118,"&lt;="&amp;N350)*L350/ROUNDUP(L350,0)*SUMIFS(Donnees_annuelles!$AG$3:$AG$188,Donnees_annuelles!$A$3:$A$188,AR350)*SUMIFS(Donnees_annuelles!$AA$3:$AA$188,Donnees_annuelles!$A$3:$A$188,AR350)</f>
        <v/>
      </c>
      <c r="AT350" s="36">
        <f>AS350/V350</f>
        <v/>
      </c>
      <c r="AU350" s="14">
        <f>AL350</f>
        <v/>
      </c>
      <c r="AV350" s="39">
        <f>AS350-AL350</f>
        <v/>
      </c>
      <c r="AW350" s="9">
        <f>AS350/AL350-1</f>
        <v/>
      </c>
      <c r="AX350" s="14">
        <f>AS350/AJ350/12</f>
        <v/>
      </c>
      <c r="AY350" s="14">
        <f>AF350</f>
        <v/>
      </c>
      <c r="AZ350" s="39">
        <f>AX350-AF350</f>
        <v/>
      </c>
      <c r="BA350" s="14">
        <f>SUMIFS(Donnees_regimes!$S$3:$S$1118,Donnees_regimes!$A$3:$A$1118,C350,Donnees_regimes!$B$3:$B$1118,"&gt;="&amp;G350,Donnees_regimes!$B$3:$B$1118,"&lt;="&amp;N350)*L350/ROUNDUP(L350,0)*SUMIFS(Donnees_annuelles!$AH$3:$AH$188,Donnees_annuelles!$A$3:$A$188,AR350)*SUMIFS(Donnees_annuelles!$AA$3:$AA$188,Donnees_annuelles!$A$3:$A$188,AR350)</f>
        <v/>
      </c>
      <c r="BB350" s="39">
        <f>BA350-AL350</f>
        <v/>
      </c>
      <c r="BC350" s="7">
        <f>IF(M350+AJ350&gt;2026,IF(G350&gt;2026,"entièrement projeté","en partie projeté"),"observé")</f>
        <v/>
      </c>
    </row>
    <row r="351">
      <c r="A351" s="7" t="inlineStr">
        <is>
          <t>Génération Y</t>
        </is>
      </c>
      <c r="B351" s="84" t="inlineStr">
        <is>
          <t>SNCF</t>
        </is>
      </c>
      <c r="C351" s="7">
        <f>IF(G351&gt;=SUMIFS(Regimes!$C$5:$C$10,Regimes!$A$5:$A$10,B351),"Privé",B351)</f>
        <v/>
      </c>
      <c r="D351" s="7">
        <f>INDEX(Regimes!$D$5:$D$10,MATCH(C351,Regimes!$A$5:$A$10,0))</f>
        <v/>
      </c>
      <c r="E351" s="88" t="n">
        <v>1982</v>
      </c>
      <c r="F351" s="8">
        <f>Donnees_generations!C70</f>
        <v/>
      </c>
      <c r="G351" s="77">
        <f>Donnees_generations!D70</f>
        <v/>
      </c>
      <c r="H351" s="8">
        <f>SUMIFS(Donnees_generations!$S$3:$S$113,Donnees_generations!$A$3:$A$113,MAX(1915,MIN(2025,E351)))</f>
        <v/>
      </c>
      <c r="I351" s="8">
        <f>SUMIFS(Donnees_generations!$T$3:$T$113,Donnees_generations!$A$3:$A$113,MAX(1915,MIN(2025,E351)))</f>
        <v/>
      </c>
      <c r="J351" s="8">
        <f>IF(G351&gt;=2000,MAX(I351,Parametres!$B$3),I351)</f>
        <v/>
      </c>
      <c r="K351" s="8">
        <f>IF(C351="Privé",J351,SUMIFS(Regles_regimes!$J$3:$J$2000,Regles_regimes!$A$3:$A$2000,C351,Regles_regimes!$B$3:$B$2000,D351,Regles_regimes!$C$3:$C$2000,MAX(1915,MIN(2025,E351))))</f>
        <v/>
      </c>
      <c r="L351" s="8">
        <f>IF(C351="Privé",H351,(K351-F351)*H351/(J351-F351))</f>
        <v/>
      </c>
      <c r="M351" s="77">
        <f>INT(E351+K351)</f>
        <v/>
      </c>
      <c r="N351" s="77">
        <f>G351+ROUNDUP(L351,0)-1</f>
        <v/>
      </c>
      <c r="O351" s="89">
        <f>SUMIFS(Regles_regimes!$K$3:$K$2000,Regles_regimes!$A$3:$A$2000,C351,Regles_regimes!$B$3:$B$2000,D351,Regles_regimes!$C$3:$C$2000,MAX(1915,MIN(2025,E351)))</f>
        <v/>
      </c>
      <c r="P351" s="13">
        <f>SUMIFS(Donnees_annuelles!$W$3:$W$188,Donnees_annuelles!$A$3:$A$188,"&gt;="&amp;G351,Donnees_annuelles!$A$3:$A$188,"&lt;="&amp;N351)*L351/ROUNDUP(L351,0)*O351</f>
        <v/>
      </c>
      <c r="Q351" s="13">
        <f>SUMIFS(Donnees_annuelles!$V$3:$V$188,Donnees_annuelles!$A$3:$A$188,"&gt;="&amp;G351,Donnees_annuelles!$A$3:$A$188,"&lt;="&amp;N351)*L351/ROUNDUP(L351,0)</f>
        <v/>
      </c>
      <c r="R351" s="13">
        <f>P351/L351</f>
        <v/>
      </c>
      <c r="S351" s="14">
        <f>SUMIFS(Donnees_annuelles!$D$3:$D$188,Donnees_annuelles!$A$3:$A$188,"&gt;="&amp;G351,Donnees_annuelles!$A$3:$A$188,"&lt;="&amp;N351)*L351/ROUNDUP(L351,0)</f>
        <v/>
      </c>
      <c r="T351" s="14">
        <f>SUMIFS(Donnees_regimes!$N$3:$N$1118,Donnees_regimes!$A$3:$A$1118,C351,Donnees_regimes!$B$3:$B$1118,"&gt;="&amp;G351,Donnees_regimes!$B$3:$B$1118,"&lt;="&amp;N351)*L351/ROUNDUP(L351,0)</f>
        <v/>
      </c>
      <c r="U351" s="14">
        <f>SUMIFS(Donnees_regimes!$O$3:$O$1118,Donnees_regimes!$A$3:$A$1118,C351,Donnees_regimes!$B$3:$B$1118,"&gt;="&amp;G351,Donnees_regimes!$B$3:$B$1118,"&lt;="&amp;N351)*L351/ROUNDUP(L351,0)</f>
        <v/>
      </c>
      <c r="V351" s="14">
        <f>T351+U351</f>
        <v/>
      </c>
      <c r="W351" s="33">
        <f>V351/S351</f>
        <v/>
      </c>
      <c r="X351" s="14">
        <f>S351+U351</f>
        <v/>
      </c>
      <c r="Y351" s="17">
        <f>V351/P351</f>
        <v/>
      </c>
      <c r="Z351" s="14">
        <f>SUMIFS(Donnees_regimes!$Q$3:$Q$1118,Donnees_regimes!$A$3:$A$1118,C351,Donnees_regimes!$B$3:$B$1118,"&gt;="&amp;G351,Donnees_regimes!$B$3:$B$1118,"&lt;="&amp;N351)*L351/ROUNDUP(L351,0)</f>
        <v/>
      </c>
      <c r="AA351" s="77">
        <f>SUMIFS(Regles_regimes!$F$3:$F$2000,Regles_regimes!$A$3:$A$2000,C351,Regles_regimes!$B$3:$B$2000,D351,Regles_regimes!$C$3:$C$2000,MAX(1915,MIN(2025,E351)))</f>
        <v/>
      </c>
      <c r="AB351" s="77">
        <f>IF(AND(SUMIFS(Regles_regimes!$L$3:$L$2000,Regles_regimes!$A$3:$A$2000,C351,Regles_regimes!$B$3:$B$2000,D351,Regles_regimes!$C$3:$C$2000,MAX(1915,MIN(2025,E351)))=1,G351&lt;2009,C351&lt;&gt;"Privé"),MIN(20,L351*4/5),0)</f>
        <v/>
      </c>
      <c r="AC351" s="89">
        <f>SUMIFS(Donnees_regimes!$M$3:$M$1118,Donnees_regimes!$A$3:$A$1118,C351,Donnees_regimes!$B$3:$B$1118,M351)</f>
        <v/>
      </c>
      <c r="AD351" s="14">
        <f>SUMIFS(Donnees_annuelles!$Y$3:$Y$188,Donnees_annuelles!$A$3:$A$188,M351)*SUMIFS(Donnees_generations!$I$3:$I$113,Donnees_generations!$A$3:$A$113,MAX(1915,MIN(2025,E351)))/H351</f>
        <v/>
      </c>
      <c r="AE351" s="14">
        <f>IF(C351="Privé",SUMIFS(Donnees_annuelles!$Y$3:$Y$188,Donnees_annuelles!$A$3:$A$188,M351)*MIN(L351,SUMIFS(Donnees_generations!$I$3:$I$113,Donnees_generations!$A$3:$A$113,MAX(1915,MIN(2025,E351))))/L351,AD351*AC351*MIN(IF(AB351&gt;0,0.8/0.75,1),(L351*4+AB351)/AA351))</f>
        <v/>
      </c>
      <c r="AF351" s="14">
        <f>AE351/12</f>
        <v/>
      </c>
      <c r="AG351" s="77">
        <f>MIN(68,MAX(56,2*INT(K351/2)))</f>
        <v/>
      </c>
      <c r="AH351" s="75">
        <f>(CHOOSE((AG351-56)/2+1,SUMIFS(Donnees_generations!$U$3:$U$113,Donnees_generations!$A$3:$A$113,MAX(1915,MIN(2025,E351))),SUMIFS(Donnees_generations!$V$3:$V$113,Donnees_generations!$A$3:$A$113,MAX(1915,MIN(2025,E351))),SUMIFS(Donnees_generations!$W$3:$W$113,Donnees_generations!$A$3:$A$113,MAX(1915,MIN(2025,E351))),SUMIFS(Donnees_generations!$X$3:$X$113,Donnees_generations!$A$3:$A$113,MAX(1915,MIN(2025,E351))),SUMIFS(Donnees_generations!$Y$3:$Y$113,Donnees_generations!$A$3:$A$113,MAX(1915,MIN(2025,E351))),SUMIFS(Donnees_generations!$Z$3:$Z$113,Donnees_generations!$A$3:$A$113,MAX(1915,MIN(2025,E351))),SUMIFS(Donnees_generations!$AA$3:$AA$113,Donnees_generations!$A$3:$A$113,MAX(1915,MIN(2025,E351))),SUMIFS(Donnees_generations!$AB$3:$AB$113,Donnees_generations!$A$3:$A$113,MAX(1915,MIN(2025,E351))))+CHOOSE((AG351-56)/2+1,SUMIFS(Donnees_generations!$AC$3:$AC$113,Donnees_generations!$A$3:$A$113,MAX(1915,MIN(2025,E351))),SUMIFS(Donnees_generations!$AD$3:$AD$113,Donnees_generations!$A$3:$A$113,MAX(1915,MIN(2025,E351))),SUMIFS(Donnees_generations!$AE$3:$AE$113,Donnees_generations!$A$3:$A$113,MAX(1915,MIN(2025,E351))),SUMIFS(Donnees_generations!$AF$3:$AF$113,Donnees_generations!$A$3:$A$113,MAX(1915,MIN(2025,E351))),SUMIFS(Donnees_generations!$AG$3:$AG$113,Donnees_generations!$A$3:$A$113,MAX(1915,MIN(2025,E351))),SUMIFS(Donnees_generations!$AH$3:$AH$113,Donnees_generations!$A$3:$A$113,MAX(1915,MIN(2025,E351))),SUMIFS(Donnees_generations!$AI$3:$AI$113,Donnees_generations!$A$3:$A$113,MAX(1915,MIN(2025,E351))),SUMIFS(Donnees_generations!$AJ$3:$AJ$113,Donnees_generations!$A$3:$A$113,MAX(1915,MIN(2025,E351)))))/2</f>
        <v/>
      </c>
      <c r="AI351" s="75">
        <f>(CHOOSE(((AG351+2)-56)/2+1,SUMIFS(Donnees_generations!$U$3:$U$113,Donnees_generations!$A$3:$A$113,MAX(1915,MIN(2025,E351))),SUMIFS(Donnees_generations!$V$3:$V$113,Donnees_generations!$A$3:$A$113,MAX(1915,MIN(2025,E351))),SUMIFS(Donnees_generations!$W$3:$W$113,Donnees_generations!$A$3:$A$113,MAX(1915,MIN(2025,E351))),SUMIFS(Donnees_generations!$X$3:$X$113,Donnees_generations!$A$3:$A$113,MAX(1915,MIN(2025,E351))),SUMIFS(Donnees_generations!$Y$3:$Y$113,Donnees_generations!$A$3:$A$113,MAX(1915,MIN(2025,E351))),SUMIFS(Donnees_generations!$Z$3:$Z$113,Donnees_generations!$A$3:$A$113,MAX(1915,MIN(2025,E351))),SUMIFS(Donnees_generations!$AA$3:$AA$113,Donnees_generations!$A$3:$A$113,MAX(1915,MIN(2025,E351))),SUMIFS(Donnees_generations!$AB$3:$AB$113,Donnees_generations!$A$3:$A$113,MAX(1915,MIN(2025,E351))))+CHOOSE(((AG351+2)-56)/2+1,SUMIFS(Donnees_generations!$AC$3:$AC$113,Donnees_generations!$A$3:$A$113,MAX(1915,MIN(2025,E351))),SUMIFS(Donnees_generations!$AD$3:$AD$113,Donnees_generations!$A$3:$A$113,MAX(1915,MIN(2025,E351))),SUMIFS(Donnees_generations!$AE$3:$AE$113,Donnees_generations!$A$3:$A$113,MAX(1915,MIN(2025,E351))),SUMIFS(Donnees_generations!$AF$3:$AF$113,Donnees_generations!$A$3:$A$113,MAX(1915,MIN(2025,E351))),SUMIFS(Donnees_generations!$AG$3:$AG$113,Donnees_generations!$A$3:$A$113,MAX(1915,MIN(2025,E351))),SUMIFS(Donnees_generations!$AH$3:$AH$113,Donnees_generations!$A$3:$A$113,MAX(1915,MIN(2025,E351))),SUMIFS(Donnees_generations!$AI$3:$AI$113,Donnees_generations!$A$3:$A$113,MAX(1915,MIN(2025,E351))),SUMIFS(Donnees_generations!$AJ$3:$AJ$113,Donnees_generations!$A$3:$A$113,MAX(1915,MIN(2025,E351)))))/2</f>
        <v/>
      </c>
      <c r="AJ351" s="8">
        <f>MAX(0,AH351+(AI351-AH351)*(K351-AG351)/2)</f>
        <v/>
      </c>
      <c r="AK351" s="8">
        <f>K351+AJ351</f>
        <v/>
      </c>
      <c r="AL351" s="14">
        <f>AE351*AJ351</f>
        <v/>
      </c>
      <c r="AM351" s="17">
        <f>V351/AL351</f>
        <v/>
      </c>
      <c r="AN351" s="17">
        <f>Z351/AL351</f>
        <v/>
      </c>
      <c r="AO351" s="33">
        <f>IF(V351+Z351=0,0,Z351/(V351+Z351))</f>
        <v/>
      </c>
      <c r="AP351" s="14">
        <f>AL351/V351*100</f>
        <v/>
      </c>
      <c r="AQ351" s="8">
        <f>P351/AL351*1000</f>
        <v/>
      </c>
      <c r="AR351" s="77">
        <f>MAX(N351,M351-1)</f>
        <v/>
      </c>
      <c r="AS351" s="14">
        <f>SUMIFS(Donnees_regimes!$R$3:$R$1118,Donnees_regimes!$A$3:$A$1118,C351,Donnees_regimes!$B$3:$B$1118,"&gt;="&amp;G351,Donnees_regimes!$B$3:$B$1118,"&lt;="&amp;N351)*L351/ROUNDUP(L351,0)*SUMIFS(Donnees_annuelles!$AG$3:$AG$188,Donnees_annuelles!$A$3:$A$188,AR351)*SUMIFS(Donnees_annuelles!$AA$3:$AA$188,Donnees_annuelles!$A$3:$A$188,AR351)</f>
        <v/>
      </c>
      <c r="AT351" s="36">
        <f>AS351/V351</f>
        <v/>
      </c>
      <c r="AU351" s="14">
        <f>AL351</f>
        <v/>
      </c>
      <c r="AV351" s="39">
        <f>AS351-AL351</f>
        <v/>
      </c>
      <c r="AW351" s="9">
        <f>AS351/AL351-1</f>
        <v/>
      </c>
      <c r="AX351" s="14">
        <f>AS351/AJ351/12</f>
        <v/>
      </c>
      <c r="AY351" s="14">
        <f>AF351</f>
        <v/>
      </c>
      <c r="AZ351" s="39">
        <f>AX351-AF351</f>
        <v/>
      </c>
      <c r="BA351" s="14">
        <f>SUMIFS(Donnees_regimes!$S$3:$S$1118,Donnees_regimes!$A$3:$A$1118,C351,Donnees_regimes!$B$3:$B$1118,"&gt;="&amp;G351,Donnees_regimes!$B$3:$B$1118,"&lt;="&amp;N351)*L351/ROUNDUP(L351,0)*SUMIFS(Donnees_annuelles!$AH$3:$AH$188,Donnees_annuelles!$A$3:$A$188,AR351)*SUMIFS(Donnees_annuelles!$AA$3:$AA$188,Donnees_annuelles!$A$3:$A$188,AR351)</f>
        <v/>
      </c>
      <c r="BB351" s="39">
        <f>BA351-AL351</f>
        <v/>
      </c>
      <c r="BC351" s="7">
        <f>IF(M351+AJ351&gt;2026,IF(G351&gt;2026,"entièrement projeté","en partie projeté"),"observé")</f>
        <v/>
      </c>
    </row>
    <row r="352">
      <c r="A352" s="7" t="inlineStr">
        <is>
          <t>Génération Y</t>
        </is>
      </c>
      <c r="B352" s="84" t="inlineStr">
        <is>
          <t>SNCF</t>
        </is>
      </c>
      <c r="C352" s="7">
        <f>IF(G352&gt;=SUMIFS(Regimes!$C$5:$C$10,Regimes!$A$5:$A$10,B352),"Privé",B352)</f>
        <v/>
      </c>
      <c r="D352" s="7">
        <f>INDEX(Regimes!$D$5:$D$10,MATCH(C352,Regimes!$A$5:$A$10,0))</f>
        <v/>
      </c>
      <c r="E352" s="88" t="n">
        <v>1983</v>
      </c>
      <c r="F352" s="8">
        <f>Donnees_generations!C71</f>
        <v/>
      </c>
      <c r="G352" s="77">
        <f>Donnees_generations!D71</f>
        <v/>
      </c>
      <c r="H352" s="8">
        <f>SUMIFS(Donnees_generations!$S$3:$S$113,Donnees_generations!$A$3:$A$113,MAX(1915,MIN(2025,E352)))</f>
        <v/>
      </c>
      <c r="I352" s="8">
        <f>SUMIFS(Donnees_generations!$T$3:$T$113,Donnees_generations!$A$3:$A$113,MAX(1915,MIN(2025,E352)))</f>
        <v/>
      </c>
      <c r="J352" s="8">
        <f>IF(G352&gt;=2000,MAX(I352,Parametres!$B$3),I352)</f>
        <v/>
      </c>
      <c r="K352" s="8">
        <f>IF(C352="Privé",J352,SUMIFS(Regles_regimes!$J$3:$J$2000,Regles_regimes!$A$3:$A$2000,C352,Regles_regimes!$B$3:$B$2000,D352,Regles_regimes!$C$3:$C$2000,MAX(1915,MIN(2025,E352))))</f>
        <v/>
      </c>
      <c r="L352" s="8">
        <f>IF(C352="Privé",H352,(K352-F352)*H352/(J352-F352))</f>
        <v/>
      </c>
      <c r="M352" s="77">
        <f>INT(E352+K352)</f>
        <v/>
      </c>
      <c r="N352" s="77">
        <f>G352+ROUNDUP(L352,0)-1</f>
        <v/>
      </c>
      <c r="O352" s="89">
        <f>SUMIFS(Regles_regimes!$K$3:$K$2000,Regles_regimes!$A$3:$A$2000,C352,Regles_regimes!$B$3:$B$2000,D352,Regles_regimes!$C$3:$C$2000,MAX(1915,MIN(2025,E352)))</f>
        <v/>
      </c>
      <c r="P352" s="13">
        <f>SUMIFS(Donnees_annuelles!$W$3:$W$188,Donnees_annuelles!$A$3:$A$188,"&gt;="&amp;G352,Donnees_annuelles!$A$3:$A$188,"&lt;="&amp;N352)*L352/ROUNDUP(L352,0)*O352</f>
        <v/>
      </c>
      <c r="Q352" s="13">
        <f>SUMIFS(Donnees_annuelles!$V$3:$V$188,Donnees_annuelles!$A$3:$A$188,"&gt;="&amp;G352,Donnees_annuelles!$A$3:$A$188,"&lt;="&amp;N352)*L352/ROUNDUP(L352,0)</f>
        <v/>
      </c>
      <c r="R352" s="13">
        <f>P352/L352</f>
        <v/>
      </c>
      <c r="S352" s="14">
        <f>SUMIFS(Donnees_annuelles!$D$3:$D$188,Donnees_annuelles!$A$3:$A$188,"&gt;="&amp;G352,Donnees_annuelles!$A$3:$A$188,"&lt;="&amp;N352)*L352/ROUNDUP(L352,0)</f>
        <v/>
      </c>
      <c r="T352" s="14">
        <f>SUMIFS(Donnees_regimes!$N$3:$N$1118,Donnees_regimes!$A$3:$A$1118,C352,Donnees_regimes!$B$3:$B$1118,"&gt;="&amp;G352,Donnees_regimes!$B$3:$B$1118,"&lt;="&amp;N352)*L352/ROUNDUP(L352,0)</f>
        <v/>
      </c>
      <c r="U352" s="14">
        <f>SUMIFS(Donnees_regimes!$O$3:$O$1118,Donnees_regimes!$A$3:$A$1118,C352,Donnees_regimes!$B$3:$B$1118,"&gt;="&amp;G352,Donnees_regimes!$B$3:$B$1118,"&lt;="&amp;N352)*L352/ROUNDUP(L352,0)</f>
        <v/>
      </c>
      <c r="V352" s="14">
        <f>T352+U352</f>
        <v/>
      </c>
      <c r="W352" s="33">
        <f>V352/S352</f>
        <v/>
      </c>
      <c r="X352" s="14">
        <f>S352+U352</f>
        <v/>
      </c>
      <c r="Y352" s="17">
        <f>V352/P352</f>
        <v/>
      </c>
      <c r="Z352" s="14">
        <f>SUMIFS(Donnees_regimes!$Q$3:$Q$1118,Donnees_regimes!$A$3:$A$1118,C352,Donnees_regimes!$B$3:$B$1118,"&gt;="&amp;G352,Donnees_regimes!$B$3:$B$1118,"&lt;="&amp;N352)*L352/ROUNDUP(L352,0)</f>
        <v/>
      </c>
      <c r="AA352" s="77">
        <f>SUMIFS(Regles_regimes!$F$3:$F$2000,Regles_regimes!$A$3:$A$2000,C352,Regles_regimes!$B$3:$B$2000,D352,Regles_regimes!$C$3:$C$2000,MAX(1915,MIN(2025,E352)))</f>
        <v/>
      </c>
      <c r="AB352" s="77">
        <f>IF(AND(SUMIFS(Regles_regimes!$L$3:$L$2000,Regles_regimes!$A$3:$A$2000,C352,Regles_regimes!$B$3:$B$2000,D352,Regles_regimes!$C$3:$C$2000,MAX(1915,MIN(2025,E352)))=1,G352&lt;2009,C352&lt;&gt;"Privé"),MIN(20,L352*4/5),0)</f>
        <v/>
      </c>
      <c r="AC352" s="89">
        <f>SUMIFS(Donnees_regimes!$M$3:$M$1118,Donnees_regimes!$A$3:$A$1118,C352,Donnees_regimes!$B$3:$B$1118,M352)</f>
        <v/>
      </c>
      <c r="AD352" s="14">
        <f>SUMIFS(Donnees_annuelles!$Y$3:$Y$188,Donnees_annuelles!$A$3:$A$188,M352)*SUMIFS(Donnees_generations!$I$3:$I$113,Donnees_generations!$A$3:$A$113,MAX(1915,MIN(2025,E352)))/H352</f>
        <v/>
      </c>
      <c r="AE352" s="14">
        <f>IF(C352="Privé",SUMIFS(Donnees_annuelles!$Y$3:$Y$188,Donnees_annuelles!$A$3:$A$188,M352)*MIN(L352,SUMIFS(Donnees_generations!$I$3:$I$113,Donnees_generations!$A$3:$A$113,MAX(1915,MIN(2025,E352))))/L352,AD352*AC352*MIN(IF(AB352&gt;0,0.8/0.75,1),(L352*4+AB352)/AA352))</f>
        <v/>
      </c>
      <c r="AF352" s="14">
        <f>AE352/12</f>
        <v/>
      </c>
      <c r="AG352" s="77">
        <f>MIN(68,MAX(56,2*INT(K352/2)))</f>
        <v/>
      </c>
      <c r="AH352" s="75">
        <f>(CHOOSE((AG352-56)/2+1,SUMIFS(Donnees_generations!$U$3:$U$113,Donnees_generations!$A$3:$A$113,MAX(1915,MIN(2025,E352))),SUMIFS(Donnees_generations!$V$3:$V$113,Donnees_generations!$A$3:$A$113,MAX(1915,MIN(2025,E352))),SUMIFS(Donnees_generations!$W$3:$W$113,Donnees_generations!$A$3:$A$113,MAX(1915,MIN(2025,E352))),SUMIFS(Donnees_generations!$X$3:$X$113,Donnees_generations!$A$3:$A$113,MAX(1915,MIN(2025,E352))),SUMIFS(Donnees_generations!$Y$3:$Y$113,Donnees_generations!$A$3:$A$113,MAX(1915,MIN(2025,E352))),SUMIFS(Donnees_generations!$Z$3:$Z$113,Donnees_generations!$A$3:$A$113,MAX(1915,MIN(2025,E352))),SUMIFS(Donnees_generations!$AA$3:$AA$113,Donnees_generations!$A$3:$A$113,MAX(1915,MIN(2025,E352))),SUMIFS(Donnees_generations!$AB$3:$AB$113,Donnees_generations!$A$3:$A$113,MAX(1915,MIN(2025,E352))))+CHOOSE((AG352-56)/2+1,SUMIFS(Donnees_generations!$AC$3:$AC$113,Donnees_generations!$A$3:$A$113,MAX(1915,MIN(2025,E352))),SUMIFS(Donnees_generations!$AD$3:$AD$113,Donnees_generations!$A$3:$A$113,MAX(1915,MIN(2025,E352))),SUMIFS(Donnees_generations!$AE$3:$AE$113,Donnees_generations!$A$3:$A$113,MAX(1915,MIN(2025,E352))),SUMIFS(Donnees_generations!$AF$3:$AF$113,Donnees_generations!$A$3:$A$113,MAX(1915,MIN(2025,E352))),SUMIFS(Donnees_generations!$AG$3:$AG$113,Donnees_generations!$A$3:$A$113,MAX(1915,MIN(2025,E352))),SUMIFS(Donnees_generations!$AH$3:$AH$113,Donnees_generations!$A$3:$A$113,MAX(1915,MIN(2025,E352))),SUMIFS(Donnees_generations!$AI$3:$AI$113,Donnees_generations!$A$3:$A$113,MAX(1915,MIN(2025,E352))),SUMIFS(Donnees_generations!$AJ$3:$AJ$113,Donnees_generations!$A$3:$A$113,MAX(1915,MIN(2025,E352)))))/2</f>
        <v/>
      </c>
      <c r="AI352" s="75">
        <f>(CHOOSE(((AG352+2)-56)/2+1,SUMIFS(Donnees_generations!$U$3:$U$113,Donnees_generations!$A$3:$A$113,MAX(1915,MIN(2025,E352))),SUMIFS(Donnees_generations!$V$3:$V$113,Donnees_generations!$A$3:$A$113,MAX(1915,MIN(2025,E352))),SUMIFS(Donnees_generations!$W$3:$W$113,Donnees_generations!$A$3:$A$113,MAX(1915,MIN(2025,E352))),SUMIFS(Donnees_generations!$X$3:$X$113,Donnees_generations!$A$3:$A$113,MAX(1915,MIN(2025,E352))),SUMIFS(Donnees_generations!$Y$3:$Y$113,Donnees_generations!$A$3:$A$113,MAX(1915,MIN(2025,E352))),SUMIFS(Donnees_generations!$Z$3:$Z$113,Donnees_generations!$A$3:$A$113,MAX(1915,MIN(2025,E352))),SUMIFS(Donnees_generations!$AA$3:$AA$113,Donnees_generations!$A$3:$A$113,MAX(1915,MIN(2025,E352))),SUMIFS(Donnees_generations!$AB$3:$AB$113,Donnees_generations!$A$3:$A$113,MAX(1915,MIN(2025,E352))))+CHOOSE(((AG352+2)-56)/2+1,SUMIFS(Donnees_generations!$AC$3:$AC$113,Donnees_generations!$A$3:$A$113,MAX(1915,MIN(2025,E352))),SUMIFS(Donnees_generations!$AD$3:$AD$113,Donnees_generations!$A$3:$A$113,MAX(1915,MIN(2025,E352))),SUMIFS(Donnees_generations!$AE$3:$AE$113,Donnees_generations!$A$3:$A$113,MAX(1915,MIN(2025,E352))),SUMIFS(Donnees_generations!$AF$3:$AF$113,Donnees_generations!$A$3:$A$113,MAX(1915,MIN(2025,E352))),SUMIFS(Donnees_generations!$AG$3:$AG$113,Donnees_generations!$A$3:$A$113,MAX(1915,MIN(2025,E352))),SUMIFS(Donnees_generations!$AH$3:$AH$113,Donnees_generations!$A$3:$A$113,MAX(1915,MIN(2025,E352))),SUMIFS(Donnees_generations!$AI$3:$AI$113,Donnees_generations!$A$3:$A$113,MAX(1915,MIN(2025,E352))),SUMIFS(Donnees_generations!$AJ$3:$AJ$113,Donnees_generations!$A$3:$A$113,MAX(1915,MIN(2025,E352)))))/2</f>
        <v/>
      </c>
      <c r="AJ352" s="8">
        <f>MAX(0,AH352+(AI352-AH352)*(K352-AG352)/2)</f>
        <v/>
      </c>
      <c r="AK352" s="8">
        <f>K352+AJ352</f>
        <v/>
      </c>
      <c r="AL352" s="14">
        <f>AE352*AJ352</f>
        <v/>
      </c>
      <c r="AM352" s="17">
        <f>V352/AL352</f>
        <v/>
      </c>
      <c r="AN352" s="17">
        <f>Z352/AL352</f>
        <v/>
      </c>
      <c r="AO352" s="33">
        <f>IF(V352+Z352=0,0,Z352/(V352+Z352))</f>
        <v/>
      </c>
      <c r="AP352" s="14">
        <f>AL352/V352*100</f>
        <v/>
      </c>
      <c r="AQ352" s="8">
        <f>P352/AL352*1000</f>
        <v/>
      </c>
      <c r="AR352" s="77">
        <f>MAX(N352,M352-1)</f>
        <v/>
      </c>
      <c r="AS352" s="14">
        <f>SUMIFS(Donnees_regimes!$R$3:$R$1118,Donnees_regimes!$A$3:$A$1118,C352,Donnees_regimes!$B$3:$B$1118,"&gt;="&amp;G352,Donnees_regimes!$B$3:$B$1118,"&lt;="&amp;N352)*L352/ROUNDUP(L352,0)*SUMIFS(Donnees_annuelles!$AG$3:$AG$188,Donnees_annuelles!$A$3:$A$188,AR352)*SUMIFS(Donnees_annuelles!$AA$3:$AA$188,Donnees_annuelles!$A$3:$A$188,AR352)</f>
        <v/>
      </c>
      <c r="AT352" s="36">
        <f>AS352/V352</f>
        <v/>
      </c>
      <c r="AU352" s="14">
        <f>AL352</f>
        <v/>
      </c>
      <c r="AV352" s="39">
        <f>AS352-AL352</f>
        <v/>
      </c>
      <c r="AW352" s="9">
        <f>AS352/AL352-1</f>
        <v/>
      </c>
      <c r="AX352" s="14">
        <f>AS352/AJ352/12</f>
        <v/>
      </c>
      <c r="AY352" s="14">
        <f>AF352</f>
        <v/>
      </c>
      <c r="AZ352" s="39">
        <f>AX352-AF352</f>
        <v/>
      </c>
      <c r="BA352" s="14">
        <f>SUMIFS(Donnees_regimes!$S$3:$S$1118,Donnees_regimes!$A$3:$A$1118,C352,Donnees_regimes!$B$3:$B$1118,"&gt;="&amp;G352,Donnees_regimes!$B$3:$B$1118,"&lt;="&amp;N352)*L352/ROUNDUP(L352,0)*SUMIFS(Donnees_annuelles!$AH$3:$AH$188,Donnees_annuelles!$A$3:$A$188,AR352)*SUMIFS(Donnees_annuelles!$AA$3:$AA$188,Donnees_annuelles!$A$3:$A$188,AR352)</f>
        <v/>
      </c>
      <c r="BB352" s="39">
        <f>BA352-AL352</f>
        <v/>
      </c>
      <c r="BC352" s="7">
        <f>IF(M352+AJ352&gt;2026,IF(G352&gt;2026,"entièrement projeté","en partie projeté"),"observé")</f>
        <v/>
      </c>
    </row>
    <row r="353">
      <c r="A353" s="7" t="inlineStr">
        <is>
          <t>Génération Y</t>
        </is>
      </c>
      <c r="B353" s="84" t="inlineStr">
        <is>
          <t>SNCF</t>
        </is>
      </c>
      <c r="C353" s="7">
        <f>IF(G353&gt;=SUMIFS(Regimes!$C$5:$C$10,Regimes!$A$5:$A$10,B353),"Privé",B353)</f>
        <v/>
      </c>
      <c r="D353" s="7">
        <f>INDEX(Regimes!$D$5:$D$10,MATCH(C353,Regimes!$A$5:$A$10,0))</f>
        <v/>
      </c>
      <c r="E353" s="88" t="n">
        <v>1984</v>
      </c>
      <c r="F353" s="8">
        <f>Donnees_generations!C72</f>
        <v/>
      </c>
      <c r="G353" s="77">
        <f>Donnees_generations!D72</f>
        <v/>
      </c>
      <c r="H353" s="8">
        <f>SUMIFS(Donnees_generations!$S$3:$S$113,Donnees_generations!$A$3:$A$113,MAX(1915,MIN(2025,E353)))</f>
        <v/>
      </c>
      <c r="I353" s="8">
        <f>SUMIFS(Donnees_generations!$T$3:$T$113,Donnees_generations!$A$3:$A$113,MAX(1915,MIN(2025,E353)))</f>
        <v/>
      </c>
      <c r="J353" s="8">
        <f>IF(G353&gt;=2000,MAX(I353,Parametres!$B$3),I353)</f>
        <v/>
      </c>
      <c r="K353" s="8">
        <f>IF(C353="Privé",J353,SUMIFS(Regles_regimes!$J$3:$J$2000,Regles_regimes!$A$3:$A$2000,C353,Regles_regimes!$B$3:$B$2000,D353,Regles_regimes!$C$3:$C$2000,MAX(1915,MIN(2025,E353))))</f>
        <v/>
      </c>
      <c r="L353" s="8">
        <f>IF(C353="Privé",H353,(K353-F353)*H353/(J353-F353))</f>
        <v/>
      </c>
      <c r="M353" s="77">
        <f>INT(E353+K353)</f>
        <v/>
      </c>
      <c r="N353" s="77">
        <f>G353+ROUNDUP(L353,0)-1</f>
        <v/>
      </c>
      <c r="O353" s="89">
        <f>SUMIFS(Regles_regimes!$K$3:$K$2000,Regles_regimes!$A$3:$A$2000,C353,Regles_regimes!$B$3:$B$2000,D353,Regles_regimes!$C$3:$C$2000,MAX(1915,MIN(2025,E353)))</f>
        <v/>
      </c>
      <c r="P353" s="13">
        <f>SUMIFS(Donnees_annuelles!$W$3:$W$188,Donnees_annuelles!$A$3:$A$188,"&gt;="&amp;G353,Donnees_annuelles!$A$3:$A$188,"&lt;="&amp;N353)*L353/ROUNDUP(L353,0)*O353</f>
        <v/>
      </c>
      <c r="Q353" s="13">
        <f>SUMIFS(Donnees_annuelles!$V$3:$V$188,Donnees_annuelles!$A$3:$A$188,"&gt;="&amp;G353,Donnees_annuelles!$A$3:$A$188,"&lt;="&amp;N353)*L353/ROUNDUP(L353,0)</f>
        <v/>
      </c>
      <c r="R353" s="13">
        <f>P353/L353</f>
        <v/>
      </c>
      <c r="S353" s="14">
        <f>SUMIFS(Donnees_annuelles!$D$3:$D$188,Donnees_annuelles!$A$3:$A$188,"&gt;="&amp;G353,Donnees_annuelles!$A$3:$A$188,"&lt;="&amp;N353)*L353/ROUNDUP(L353,0)</f>
        <v/>
      </c>
      <c r="T353" s="14">
        <f>SUMIFS(Donnees_regimes!$N$3:$N$1118,Donnees_regimes!$A$3:$A$1118,C353,Donnees_regimes!$B$3:$B$1118,"&gt;="&amp;G353,Donnees_regimes!$B$3:$B$1118,"&lt;="&amp;N353)*L353/ROUNDUP(L353,0)</f>
        <v/>
      </c>
      <c r="U353" s="14">
        <f>SUMIFS(Donnees_regimes!$O$3:$O$1118,Donnees_regimes!$A$3:$A$1118,C353,Donnees_regimes!$B$3:$B$1118,"&gt;="&amp;G353,Donnees_regimes!$B$3:$B$1118,"&lt;="&amp;N353)*L353/ROUNDUP(L353,0)</f>
        <v/>
      </c>
      <c r="V353" s="14">
        <f>T353+U353</f>
        <v/>
      </c>
      <c r="W353" s="33">
        <f>V353/S353</f>
        <v/>
      </c>
      <c r="X353" s="14">
        <f>S353+U353</f>
        <v/>
      </c>
      <c r="Y353" s="17">
        <f>V353/P353</f>
        <v/>
      </c>
      <c r="Z353" s="14">
        <f>SUMIFS(Donnees_regimes!$Q$3:$Q$1118,Donnees_regimes!$A$3:$A$1118,C353,Donnees_regimes!$B$3:$B$1118,"&gt;="&amp;G353,Donnees_regimes!$B$3:$B$1118,"&lt;="&amp;N353)*L353/ROUNDUP(L353,0)</f>
        <v/>
      </c>
      <c r="AA353" s="77">
        <f>SUMIFS(Regles_regimes!$F$3:$F$2000,Regles_regimes!$A$3:$A$2000,C353,Regles_regimes!$B$3:$B$2000,D353,Regles_regimes!$C$3:$C$2000,MAX(1915,MIN(2025,E353)))</f>
        <v/>
      </c>
      <c r="AB353" s="77">
        <f>IF(AND(SUMIFS(Regles_regimes!$L$3:$L$2000,Regles_regimes!$A$3:$A$2000,C353,Regles_regimes!$B$3:$B$2000,D353,Regles_regimes!$C$3:$C$2000,MAX(1915,MIN(2025,E353)))=1,G353&lt;2009,C353&lt;&gt;"Privé"),MIN(20,L353*4/5),0)</f>
        <v/>
      </c>
      <c r="AC353" s="89">
        <f>SUMIFS(Donnees_regimes!$M$3:$M$1118,Donnees_regimes!$A$3:$A$1118,C353,Donnees_regimes!$B$3:$B$1118,M353)</f>
        <v/>
      </c>
      <c r="AD353" s="14">
        <f>SUMIFS(Donnees_annuelles!$Y$3:$Y$188,Donnees_annuelles!$A$3:$A$188,M353)*SUMIFS(Donnees_generations!$I$3:$I$113,Donnees_generations!$A$3:$A$113,MAX(1915,MIN(2025,E353)))/H353</f>
        <v/>
      </c>
      <c r="AE353" s="14">
        <f>IF(C353="Privé",SUMIFS(Donnees_annuelles!$Y$3:$Y$188,Donnees_annuelles!$A$3:$A$188,M353)*MIN(L353,SUMIFS(Donnees_generations!$I$3:$I$113,Donnees_generations!$A$3:$A$113,MAX(1915,MIN(2025,E353))))/L353,AD353*AC353*MIN(IF(AB353&gt;0,0.8/0.75,1),(L353*4+AB353)/AA353))</f>
        <v/>
      </c>
      <c r="AF353" s="14">
        <f>AE353/12</f>
        <v/>
      </c>
      <c r="AG353" s="77">
        <f>MIN(68,MAX(56,2*INT(K353/2)))</f>
        <v/>
      </c>
      <c r="AH353" s="75">
        <f>(CHOOSE((AG353-56)/2+1,SUMIFS(Donnees_generations!$U$3:$U$113,Donnees_generations!$A$3:$A$113,MAX(1915,MIN(2025,E353))),SUMIFS(Donnees_generations!$V$3:$V$113,Donnees_generations!$A$3:$A$113,MAX(1915,MIN(2025,E353))),SUMIFS(Donnees_generations!$W$3:$W$113,Donnees_generations!$A$3:$A$113,MAX(1915,MIN(2025,E353))),SUMIFS(Donnees_generations!$X$3:$X$113,Donnees_generations!$A$3:$A$113,MAX(1915,MIN(2025,E353))),SUMIFS(Donnees_generations!$Y$3:$Y$113,Donnees_generations!$A$3:$A$113,MAX(1915,MIN(2025,E353))),SUMIFS(Donnees_generations!$Z$3:$Z$113,Donnees_generations!$A$3:$A$113,MAX(1915,MIN(2025,E353))),SUMIFS(Donnees_generations!$AA$3:$AA$113,Donnees_generations!$A$3:$A$113,MAX(1915,MIN(2025,E353))),SUMIFS(Donnees_generations!$AB$3:$AB$113,Donnees_generations!$A$3:$A$113,MAX(1915,MIN(2025,E353))))+CHOOSE((AG353-56)/2+1,SUMIFS(Donnees_generations!$AC$3:$AC$113,Donnees_generations!$A$3:$A$113,MAX(1915,MIN(2025,E353))),SUMIFS(Donnees_generations!$AD$3:$AD$113,Donnees_generations!$A$3:$A$113,MAX(1915,MIN(2025,E353))),SUMIFS(Donnees_generations!$AE$3:$AE$113,Donnees_generations!$A$3:$A$113,MAX(1915,MIN(2025,E353))),SUMIFS(Donnees_generations!$AF$3:$AF$113,Donnees_generations!$A$3:$A$113,MAX(1915,MIN(2025,E353))),SUMIFS(Donnees_generations!$AG$3:$AG$113,Donnees_generations!$A$3:$A$113,MAX(1915,MIN(2025,E353))),SUMIFS(Donnees_generations!$AH$3:$AH$113,Donnees_generations!$A$3:$A$113,MAX(1915,MIN(2025,E353))),SUMIFS(Donnees_generations!$AI$3:$AI$113,Donnees_generations!$A$3:$A$113,MAX(1915,MIN(2025,E353))),SUMIFS(Donnees_generations!$AJ$3:$AJ$113,Donnees_generations!$A$3:$A$113,MAX(1915,MIN(2025,E353)))))/2</f>
        <v/>
      </c>
      <c r="AI353" s="75">
        <f>(CHOOSE(((AG353+2)-56)/2+1,SUMIFS(Donnees_generations!$U$3:$U$113,Donnees_generations!$A$3:$A$113,MAX(1915,MIN(2025,E353))),SUMIFS(Donnees_generations!$V$3:$V$113,Donnees_generations!$A$3:$A$113,MAX(1915,MIN(2025,E353))),SUMIFS(Donnees_generations!$W$3:$W$113,Donnees_generations!$A$3:$A$113,MAX(1915,MIN(2025,E353))),SUMIFS(Donnees_generations!$X$3:$X$113,Donnees_generations!$A$3:$A$113,MAX(1915,MIN(2025,E353))),SUMIFS(Donnees_generations!$Y$3:$Y$113,Donnees_generations!$A$3:$A$113,MAX(1915,MIN(2025,E353))),SUMIFS(Donnees_generations!$Z$3:$Z$113,Donnees_generations!$A$3:$A$113,MAX(1915,MIN(2025,E353))),SUMIFS(Donnees_generations!$AA$3:$AA$113,Donnees_generations!$A$3:$A$113,MAX(1915,MIN(2025,E353))),SUMIFS(Donnees_generations!$AB$3:$AB$113,Donnees_generations!$A$3:$A$113,MAX(1915,MIN(2025,E353))))+CHOOSE(((AG353+2)-56)/2+1,SUMIFS(Donnees_generations!$AC$3:$AC$113,Donnees_generations!$A$3:$A$113,MAX(1915,MIN(2025,E353))),SUMIFS(Donnees_generations!$AD$3:$AD$113,Donnees_generations!$A$3:$A$113,MAX(1915,MIN(2025,E353))),SUMIFS(Donnees_generations!$AE$3:$AE$113,Donnees_generations!$A$3:$A$113,MAX(1915,MIN(2025,E353))),SUMIFS(Donnees_generations!$AF$3:$AF$113,Donnees_generations!$A$3:$A$113,MAX(1915,MIN(2025,E353))),SUMIFS(Donnees_generations!$AG$3:$AG$113,Donnees_generations!$A$3:$A$113,MAX(1915,MIN(2025,E353))),SUMIFS(Donnees_generations!$AH$3:$AH$113,Donnees_generations!$A$3:$A$113,MAX(1915,MIN(2025,E353))),SUMIFS(Donnees_generations!$AI$3:$AI$113,Donnees_generations!$A$3:$A$113,MAX(1915,MIN(2025,E353))),SUMIFS(Donnees_generations!$AJ$3:$AJ$113,Donnees_generations!$A$3:$A$113,MAX(1915,MIN(2025,E353)))))/2</f>
        <v/>
      </c>
      <c r="AJ353" s="8">
        <f>MAX(0,AH353+(AI353-AH353)*(K353-AG353)/2)</f>
        <v/>
      </c>
      <c r="AK353" s="8">
        <f>K353+AJ353</f>
        <v/>
      </c>
      <c r="AL353" s="14">
        <f>AE353*AJ353</f>
        <v/>
      </c>
      <c r="AM353" s="17">
        <f>V353/AL353</f>
        <v/>
      </c>
      <c r="AN353" s="17">
        <f>Z353/AL353</f>
        <v/>
      </c>
      <c r="AO353" s="33">
        <f>IF(V353+Z353=0,0,Z353/(V353+Z353))</f>
        <v/>
      </c>
      <c r="AP353" s="14">
        <f>AL353/V353*100</f>
        <v/>
      </c>
      <c r="AQ353" s="8">
        <f>P353/AL353*1000</f>
        <v/>
      </c>
      <c r="AR353" s="77">
        <f>MAX(N353,M353-1)</f>
        <v/>
      </c>
      <c r="AS353" s="14">
        <f>SUMIFS(Donnees_regimes!$R$3:$R$1118,Donnees_regimes!$A$3:$A$1118,C353,Donnees_regimes!$B$3:$B$1118,"&gt;="&amp;G353,Donnees_regimes!$B$3:$B$1118,"&lt;="&amp;N353)*L353/ROUNDUP(L353,0)*SUMIFS(Donnees_annuelles!$AG$3:$AG$188,Donnees_annuelles!$A$3:$A$188,AR353)*SUMIFS(Donnees_annuelles!$AA$3:$AA$188,Donnees_annuelles!$A$3:$A$188,AR353)</f>
        <v/>
      </c>
      <c r="AT353" s="36">
        <f>AS353/V353</f>
        <v/>
      </c>
      <c r="AU353" s="14">
        <f>AL353</f>
        <v/>
      </c>
      <c r="AV353" s="39">
        <f>AS353-AL353</f>
        <v/>
      </c>
      <c r="AW353" s="9">
        <f>AS353/AL353-1</f>
        <v/>
      </c>
      <c r="AX353" s="14">
        <f>AS353/AJ353/12</f>
        <v/>
      </c>
      <c r="AY353" s="14">
        <f>AF353</f>
        <v/>
      </c>
      <c r="AZ353" s="39">
        <f>AX353-AF353</f>
        <v/>
      </c>
      <c r="BA353" s="14">
        <f>SUMIFS(Donnees_regimes!$S$3:$S$1118,Donnees_regimes!$A$3:$A$1118,C353,Donnees_regimes!$B$3:$B$1118,"&gt;="&amp;G353,Donnees_regimes!$B$3:$B$1118,"&lt;="&amp;N353)*L353/ROUNDUP(L353,0)*SUMIFS(Donnees_annuelles!$AH$3:$AH$188,Donnees_annuelles!$A$3:$A$188,AR353)*SUMIFS(Donnees_annuelles!$AA$3:$AA$188,Donnees_annuelles!$A$3:$A$188,AR353)</f>
        <v/>
      </c>
      <c r="BB353" s="39">
        <f>BA353-AL353</f>
        <v/>
      </c>
      <c r="BC353" s="7">
        <f>IF(M353+AJ353&gt;2026,IF(G353&gt;2026,"entièrement projeté","en partie projeté"),"observé")</f>
        <v/>
      </c>
    </row>
    <row r="354">
      <c r="A354" s="7" t="inlineStr">
        <is>
          <t>Génération Y</t>
        </is>
      </c>
      <c r="B354" s="84" t="inlineStr">
        <is>
          <t>SNCF</t>
        </is>
      </c>
      <c r="C354" s="7">
        <f>IF(G354&gt;=SUMIFS(Regimes!$C$5:$C$10,Regimes!$A$5:$A$10,B354),"Privé",B354)</f>
        <v/>
      </c>
      <c r="D354" s="7">
        <f>INDEX(Regimes!$D$5:$D$10,MATCH(C354,Regimes!$A$5:$A$10,0))</f>
        <v/>
      </c>
      <c r="E354" s="88" t="n">
        <v>1985</v>
      </c>
      <c r="F354" s="8">
        <f>Donnees_generations!C73</f>
        <v/>
      </c>
      <c r="G354" s="77">
        <f>Donnees_generations!D73</f>
        <v/>
      </c>
      <c r="H354" s="8">
        <f>SUMIFS(Donnees_generations!$S$3:$S$113,Donnees_generations!$A$3:$A$113,MAX(1915,MIN(2025,E354)))</f>
        <v/>
      </c>
      <c r="I354" s="8">
        <f>SUMIFS(Donnees_generations!$T$3:$T$113,Donnees_generations!$A$3:$A$113,MAX(1915,MIN(2025,E354)))</f>
        <v/>
      </c>
      <c r="J354" s="8">
        <f>IF(G354&gt;=2000,MAX(I354,Parametres!$B$3),I354)</f>
        <v/>
      </c>
      <c r="K354" s="8">
        <f>IF(C354="Privé",J354,SUMIFS(Regles_regimes!$J$3:$J$2000,Regles_regimes!$A$3:$A$2000,C354,Regles_regimes!$B$3:$B$2000,D354,Regles_regimes!$C$3:$C$2000,MAX(1915,MIN(2025,E354))))</f>
        <v/>
      </c>
      <c r="L354" s="8">
        <f>IF(C354="Privé",H354,(K354-F354)*H354/(J354-F354))</f>
        <v/>
      </c>
      <c r="M354" s="77">
        <f>INT(E354+K354)</f>
        <v/>
      </c>
      <c r="N354" s="77">
        <f>G354+ROUNDUP(L354,0)-1</f>
        <v/>
      </c>
      <c r="O354" s="89">
        <f>SUMIFS(Regles_regimes!$K$3:$K$2000,Regles_regimes!$A$3:$A$2000,C354,Regles_regimes!$B$3:$B$2000,D354,Regles_regimes!$C$3:$C$2000,MAX(1915,MIN(2025,E354)))</f>
        <v/>
      </c>
      <c r="P354" s="13">
        <f>SUMIFS(Donnees_annuelles!$W$3:$W$188,Donnees_annuelles!$A$3:$A$188,"&gt;="&amp;G354,Donnees_annuelles!$A$3:$A$188,"&lt;="&amp;N354)*L354/ROUNDUP(L354,0)*O354</f>
        <v/>
      </c>
      <c r="Q354" s="13">
        <f>SUMIFS(Donnees_annuelles!$V$3:$V$188,Donnees_annuelles!$A$3:$A$188,"&gt;="&amp;G354,Donnees_annuelles!$A$3:$A$188,"&lt;="&amp;N354)*L354/ROUNDUP(L354,0)</f>
        <v/>
      </c>
      <c r="R354" s="13">
        <f>P354/L354</f>
        <v/>
      </c>
      <c r="S354" s="14">
        <f>SUMIFS(Donnees_annuelles!$D$3:$D$188,Donnees_annuelles!$A$3:$A$188,"&gt;="&amp;G354,Donnees_annuelles!$A$3:$A$188,"&lt;="&amp;N354)*L354/ROUNDUP(L354,0)</f>
        <v/>
      </c>
      <c r="T354" s="14">
        <f>SUMIFS(Donnees_regimes!$N$3:$N$1118,Donnees_regimes!$A$3:$A$1118,C354,Donnees_regimes!$B$3:$B$1118,"&gt;="&amp;G354,Donnees_regimes!$B$3:$B$1118,"&lt;="&amp;N354)*L354/ROUNDUP(L354,0)</f>
        <v/>
      </c>
      <c r="U354" s="14">
        <f>SUMIFS(Donnees_regimes!$O$3:$O$1118,Donnees_regimes!$A$3:$A$1118,C354,Donnees_regimes!$B$3:$B$1118,"&gt;="&amp;G354,Donnees_regimes!$B$3:$B$1118,"&lt;="&amp;N354)*L354/ROUNDUP(L354,0)</f>
        <v/>
      </c>
      <c r="V354" s="14">
        <f>T354+U354</f>
        <v/>
      </c>
      <c r="W354" s="33">
        <f>V354/S354</f>
        <v/>
      </c>
      <c r="X354" s="14">
        <f>S354+U354</f>
        <v/>
      </c>
      <c r="Y354" s="17">
        <f>V354/P354</f>
        <v/>
      </c>
      <c r="Z354" s="14">
        <f>SUMIFS(Donnees_regimes!$Q$3:$Q$1118,Donnees_regimes!$A$3:$A$1118,C354,Donnees_regimes!$B$3:$B$1118,"&gt;="&amp;G354,Donnees_regimes!$B$3:$B$1118,"&lt;="&amp;N354)*L354/ROUNDUP(L354,0)</f>
        <v/>
      </c>
      <c r="AA354" s="77">
        <f>SUMIFS(Regles_regimes!$F$3:$F$2000,Regles_regimes!$A$3:$A$2000,C354,Regles_regimes!$B$3:$B$2000,D354,Regles_regimes!$C$3:$C$2000,MAX(1915,MIN(2025,E354)))</f>
        <v/>
      </c>
      <c r="AB354" s="77">
        <f>IF(AND(SUMIFS(Regles_regimes!$L$3:$L$2000,Regles_regimes!$A$3:$A$2000,C354,Regles_regimes!$B$3:$B$2000,D354,Regles_regimes!$C$3:$C$2000,MAX(1915,MIN(2025,E354)))=1,G354&lt;2009,C354&lt;&gt;"Privé"),MIN(20,L354*4/5),0)</f>
        <v/>
      </c>
      <c r="AC354" s="89">
        <f>SUMIFS(Donnees_regimes!$M$3:$M$1118,Donnees_regimes!$A$3:$A$1118,C354,Donnees_regimes!$B$3:$B$1118,M354)</f>
        <v/>
      </c>
      <c r="AD354" s="14">
        <f>SUMIFS(Donnees_annuelles!$Y$3:$Y$188,Donnees_annuelles!$A$3:$A$188,M354)*SUMIFS(Donnees_generations!$I$3:$I$113,Donnees_generations!$A$3:$A$113,MAX(1915,MIN(2025,E354)))/H354</f>
        <v/>
      </c>
      <c r="AE354" s="14">
        <f>IF(C354="Privé",SUMIFS(Donnees_annuelles!$Y$3:$Y$188,Donnees_annuelles!$A$3:$A$188,M354)*MIN(L354,SUMIFS(Donnees_generations!$I$3:$I$113,Donnees_generations!$A$3:$A$113,MAX(1915,MIN(2025,E354))))/L354,AD354*AC354*MIN(IF(AB354&gt;0,0.8/0.75,1),(L354*4+AB354)/AA354))</f>
        <v/>
      </c>
      <c r="AF354" s="14">
        <f>AE354/12</f>
        <v/>
      </c>
      <c r="AG354" s="77">
        <f>MIN(68,MAX(56,2*INT(K354/2)))</f>
        <v/>
      </c>
      <c r="AH354" s="75">
        <f>(CHOOSE((AG354-56)/2+1,SUMIFS(Donnees_generations!$U$3:$U$113,Donnees_generations!$A$3:$A$113,MAX(1915,MIN(2025,E354))),SUMIFS(Donnees_generations!$V$3:$V$113,Donnees_generations!$A$3:$A$113,MAX(1915,MIN(2025,E354))),SUMIFS(Donnees_generations!$W$3:$W$113,Donnees_generations!$A$3:$A$113,MAX(1915,MIN(2025,E354))),SUMIFS(Donnees_generations!$X$3:$X$113,Donnees_generations!$A$3:$A$113,MAX(1915,MIN(2025,E354))),SUMIFS(Donnees_generations!$Y$3:$Y$113,Donnees_generations!$A$3:$A$113,MAX(1915,MIN(2025,E354))),SUMIFS(Donnees_generations!$Z$3:$Z$113,Donnees_generations!$A$3:$A$113,MAX(1915,MIN(2025,E354))),SUMIFS(Donnees_generations!$AA$3:$AA$113,Donnees_generations!$A$3:$A$113,MAX(1915,MIN(2025,E354))),SUMIFS(Donnees_generations!$AB$3:$AB$113,Donnees_generations!$A$3:$A$113,MAX(1915,MIN(2025,E354))))+CHOOSE((AG354-56)/2+1,SUMIFS(Donnees_generations!$AC$3:$AC$113,Donnees_generations!$A$3:$A$113,MAX(1915,MIN(2025,E354))),SUMIFS(Donnees_generations!$AD$3:$AD$113,Donnees_generations!$A$3:$A$113,MAX(1915,MIN(2025,E354))),SUMIFS(Donnees_generations!$AE$3:$AE$113,Donnees_generations!$A$3:$A$113,MAX(1915,MIN(2025,E354))),SUMIFS(Donnees_generations!$AF$3:$AF$113,Donnees_generations!$A$3:$A$113,MAX(1915,MIN(2025,E354))),SUMIFS(Donnees_generations!$AG$3:$AG$113,Donnees_generations!$A$3:$A$113,MAX(1915,MIN(2025,E354))),SUMIFS(Donnees_generations!$AH$3:$AH$113,Donnees_generations!$A$3:$A$113,MAX(1915,MIN(2025,E354))),SUMIFS(Donnees_generations!$AI$3:$AI$113,Donnees_generations!$A$3:$A$113,MAX(1915,MIN(2025,E354))),SUMIFS(Donnees_generations!$AJ$3:$AJ$113,Donnees_generations!$A$3:$A$113,MAX(1915,MIN(2025,E354)))))/2</f>
        <v/>
      </c>
      <c r="AI354" s="75">
        <f>(CHOOSE(((AG354+2)-56)/2+1,SUMIFS(Donnees_generations!$U$3:$U$113,Donnees_generations!$A$3:$A$113,MAX(1915,MIN(2025,E354))),SUMIFS(Donnees_generations!$V$3:$V$113,Donnees_generations!$A$3:$A$113,MAX(1915,MIN(2025,E354))),SUMIFS(Donnees_generations!$W$3:$W$113,Donnees_generations!$A$3:$A$113,MAX(1915,MIN(2025,E354))),SUMIFS(Donnees_generations!$X$3:$X$113,Donnees_generations!$A$3:$A$113,MAX(1915,MIN(2025,E354))),SUMIFS(Donnees_generations!$Y$3:$Y$113,Donnees_generations!$A$3:$A$113,MAX(1915,MIN(2025,E354))),SUMIFS(Donnees_generations!$Z$3:$Z$113,Donnees_generations!$A$3:$A$113,MAX(1915,MIN(2025,E354))),SUMIFS(Donnees_generations!$AA$3:$AA$113,Donnees_generations!$A$3:$A$113,MAX(1915,MIN(2025,E354))),SUMIFS(Donnees_generations!$AB$3:$AB$113,Donnees_generations!$A$3:$A$113,MAX(1915,MIN(2025,E354))))+CHOOSE(((AG354+2)-56)/2+1,SUMIFS(Donnees_generations!$AC$3:$AC$113,Donnees_generations!$A$3:$A$113,MAX(1915,MIN(2025,E354))),SUMIFS(Donnees_generations!$AD$3:$AD$113,Donnees_generations!$A$3:$A$113,MAX(1915,MIN(2025,E354))),SUMIFS(Donnees_generations!$AE$3:$AE$113,Donnees_generations!$A$3:$A$113,MAX(1915,MIN(2025,E354))),SUMIFS(Donnees_generations!$AF$3:$AF$113,Donnees_generations!$A$3:$A$113,MAX(1915,MIN(2025,E354))),SUMIFS(Donnees_generations!$AG$3:$AG$113,Donnees_generations!$A$3:$A$113,MAX(1915,MIN(2025,E354))),SUMIFS(Donnees_generations!$AH$3:$AH$113,Donnees_generations!$A$3:$A$113,MAX(1915,MIN(2025,E354))),SUMIFS(Donnees_generations!$AI$3:$AI$113,Donnees_generations!$A$3:$A$113,MAX(1915,MIN(2025,E354))),SUMIFS(Donnees_generations!$AJ$3:$AJ$113,Donnees_generations!$A$3:$A$113,MAX(1915,MIN(2025,E354)))))/2</f>
        <v/>
      </c>
      <c r="AJ354" s="8">
        <f>MAX(0,AH354+(AI354-AH354)*(K354-AG354)/2)</f>
        <v/>
      </c>
      <c r="AK354" s="8">
        <f>K354+AJ354</f>
        <v/>
      </c>
      <c r="AL354" s="14">
        <f>AE354*AJ354</f>
        <v/>
      </c>
      <c r="AM354" s="17">
        <f>V354/AL354</f>
        <v/>
      </c>
      <c r="AN354" s="17">
        <f>Z354/AL354</f>
        <v/>
      </c>
      <c r="AO354" s="33">
        <f>IF(V354+Z354=0,0,Z354/(V354+Z354))</f>
        <v/>
      </c>
      <c r="AP354" s="14">
        <f>AL354/V354*100</f>
        <v/>
      </c>
      <c r="AQ354" s="8">
        <f>P354/AL354*1000</f>
        <v/>
      </c>
      <c r="AR354" s="77">
        <f>MAX(N354,M354-1)</f>
        <v/>
      </c>
      <c r="AS354" s="14">
        <f>SUMIFS(Donnees_regimes!$R$3:$R$1118,Donnees_regimes!$A$3:$A$1118,C354,Donnees_regimes!$B$3:$B$1118,"&gt;="&amp;G354,Donnees_regimes!$B$3:$B$1118,"&lt;="&amp;N354)*L354/ROUNDUP(L354,0)*SUMIFS(Donnees_annuelles!$AG$3:$AG$188,Donnees_annuelles!$A$3:$A$188,AR354)*SUMIFS(Donnees_annuelles!$AA$3:$AA$188,Donnees_annuelles!$A$3:$A$188,AR354)</f>
        <v/>
      </c>
      <c r="AT354" s="36">
        <f>AS354/V354</f>
        <v/>
      </c>
      <c r="AU354" s="14">
        <f>AL354</f>
        <v/>
      </c>
      <c r="AV354" s="39">
        <f>AS354-AL354</f>
        <v/>
      </c>
      <c r="AW354" s="9">
        <f>AS354/AL354-1</f>
        <v/>
      </c>
      <c r="AX354" s="14">
        <f>AS354/AJ354/12</f>
        <v/>
      </c>
      <c r="AY354" s="14">
        <f>AF354</f>
        <v/>
      </c>
      <c r="AZ354" s="39">
        <f>AX354-AF354</f>
        <v/>
      </c>
      <c r="BA354" s="14">
        <f>SUMIFS(Donnees_regimes!$S$3:$S$1118,Donnees_regimes!$A$3:$A$1118,C354,Donnees_regimes!$B$3:$B$1118,"&gt;="&amp;G354,Donnees_regimes!$B$3:$B$1118,"&lt;="&amp;N354)*L354/ROUNDUP(L354,0)*SUMIFS(Donnees_annuelles!$AH$3:$AH$188,Donnees_annuelles!$A$3:$A$188,AR354)*SUMIFS(Donnees_annuelles!$AA$3:$AA$188,Donnees_annuelles!$A$3:$A$188,AR354)</f>
        <v/>
      </c>
      <c r="BB354" s="39">
        <f>BA354-AL354</f>
        <v/>
      </c>
      <c r="BC354" s="7">
        <f>IF(M354+AJ354&gt;2026,IF(G354&gt;2026,"entièrement projeté","en partie projeté"),"observé")</f>
        <v/>
      </c>
    </row>
    <row r="355">
      <c r="A355" s="7" t="inlineStr">
        <is>
          <t>Génération Y</t>
        </is>
      </c>
      <c r="B355" s="84" t="inlineStr">
        <is>
          <t>SNCF</t>
        </is>
      </c>
      <c r="C355" s="7">
        <f>IF(G355&gt;=SUMIFS(Regimes!$C$5:$C$10,Regimes!$A$5:$A$10,B355),"Privé",B355)</f>
        <v/>
      </c>
      <c r="D355" s="7">
        <f>INDEX(Regimes!$D$5:$D$10,MATCH(C355,Regimes!$A$5:$A$10,0))</f>
        <v/>
      </c>
      <c r="E355" s="88" t="n">
        <v>1986</v>
      </c>
      <c r="F355" s="8">
        <f>Donnees_generations!C74</f>
        <v/>
      </c>
      <c r="G355" s="77">
        <f>Donnees_generations!D74</f>
        <v/>
      </c>
      <c r="H355" s="8">
        <f>SUMIFS(Donnees_generations!$S$3:$S$113,Donnees_generations!$A$3:$A$113,MAX(1915,MIN(2025,E355)))</f>
        <v/>
      </c>
      <c r="I355" s="8">
        <f>SUMIFS(Donnees_generations!$T$3:$T$113,Donnees_generations!$A$3:$A$113,MAX(1915,MIN(2025,E355)))</f>
        <v/>
      </c>
      <c r="J355" s="8">
        <f>IF(G355&gt;=2000,MAX(I355,Parametres!$B$3),I355)</f>
        <v/>
      </c>
      <c r="K355" s="8">
        <f>IF(C355="Privé",J355,SUMIFS(Regles_regimes!$J$3:$J$2000,Regles_regimes!$A$3:$A$2000,C355,Regles_regimes!$B$3:$B$2000,D355,Regles_regimes!$C$3:$C$2000,MAX(1915,MIN(2025,E355))))</f>
        <v/>
      </c>
      <c r="L355" s="8">
        <f>IF(C355="Privé",H355,(K355-F355)*H355/(J355-F355))</f>
        <v/>
      </c>
      <c r="M355" s="77">
        <f>INT(E355+K355)</f>
        <v/>
      </c>
      <c r="N355" s="77">
        <f>G355+ROUNDUP(L355,0)-1</f>
        <v/>
      </c>
      <c r="O355" s="89">
        <f>SUMIFS(Regles_regimes!$K$3:$K$2000,Regles_regimes!$A$3:$A$2000,C355,Regles_regimes!$B$3:$B$2000,D355,Regles_regimes!$C$3:$C$2000,MAX(1915,MIN(2025,E355)))</f>
        <v/>
      </c>
      <c r="P355" s="13">
        <f>SUMIFS(Donnees_annuelles!$W$3:$W$188,Donnees_annuelles!$A$3:$A$188,"&gt;="&amp;G355,Donnees_annuelles!$A$3:$A$188,"&lt;="&amp;N355)*L355/ROUNDUP(L355,0)*O355</f>
        <v/>
      </c>
      <c r="Q355" s="13">
        <f>SUMIFS(Donnees_annuelles!$V$3:$V$188,Donnees_annuelles!$A$3:$A$188,"&gt;="&amp;G355,Donnees_annuelles!$A$3:$A$188,"&lt;="&amp;N355)*L355/ROUNDUP(L355,0)</f>
        <v/>
      </c>
      <c r="R355" s="13">
        <f>P355/L355</f>
        <v/>
      </c>
      <c r="S355" s="14">
        <f>SUMIFS(Donnees_annuelles!$D$3:$D$188,Donnees_annuelles!$A$3:$A$188,"&gt;="&amp;G355,Donnees_annuelles!$A$3:$A$188,"&lt;="&amp;N355)*L355/ROUNDUP(L355,0)</f>
        <v/>
      </c>
      <c r="T355" s="14">
        <f>SUMIFS(Donnees_regimes!$N$3:$N$1118,Donnees_regimes!$A$3:$A$1118,C355,Donnees_regimes!$B$3:$B$1118,"&gt;="&amp;G355,Donnees_regimes!$B$3:$B$1118,"&lt;="&amp;N355)*L355/ROUNDUP(L355,0)</f>
        <v/>
      </c>
      <c r="U355" s="14">
        <f>SUMIFS(Donnees_regimes!$O$3:$O$1118,Donnees_regimes!$A$3:$A$1118,C355,Donnees_regimes!$B$3:$B$1118,"&gt;="&amp;G355,Donnees_regimes!$B$3:$B$1118,"&lt;="&amp;N355)*L355/ROUNDUP(L355,0)</f>
        <v/>
      </c>
      <c r="V355" s="14">
        <f>T355+U355</f>
        <v/>
      </c>
      <c r="W355" s="33">
        <f>V355/S355</f>
        <v/>
      </c>
      <c r="X355" s="14">
        <f>S355+U355</f>
        <v/>
      </c>
      <c r="Y355" s="17">
        <f>V355/P355</f>
        <v/>
      </c>
      <c r="Z355" s="14">
        <f>SUMIFS(Donnees_regimes!$Q$3:$Q$1118,Donnees_regimes!$A$3:$A$1118,C355,Donnees_regimes!$B$3:$B$1118,"&gt;="&amp;G355,Donnees_regimes!$B$3:$B$1118,"&lt;="&amp;N355)*L355/ROUNDUP(L355,0)</f>
        <v/>
      </c>
      <c r="AA355" s="77">
        <f>SUMIFS(Regles_regimes!$F$3:$F$2000,Regles_regimes!$A$3:$A$2000,C355,Regles_regimes!$B$3:$B$2000,D355,Regles_regimes!$C$3:$C$2000,MAX(1915,MIN(2025,E355)))</f>
        <v/>
      </c>
      <c r="AB355" s="77">
        <f>IF(AND(SUMIFS(Regles_regimes!$L$3:$L$2000,Regles_regimes!$A$3:$A$2000,C355,Regles_regimes!$B$3:$B$2000,D355,Regles_regimes!$C$3:$C$2000,MAX(1915,MIN(2025,E355)))=1,G355&lt;2009,C355&lt;&gt;"Privé"),MIN(20,L355*4/5),0)</f>
        <v/>
      </c>
      <c r="AC355" s="89">
        <f>SUMIFS(Donnees_regimes!$M$3:$M$1118,Donnees_regimes!$A$3:$A$1118,C355,Donnees_regimes!$B$3:$B$1118,M355)</f>
        <v/>
      </c>
      <c r="AD355" s="14">
        <f>SUMIFS(Donnees_annuelles!$Y$3:$Y$188,Donnees_annuelles!$A$3:$A$188,M355)*SUMIFS(Donnees_generations!$I$3:$I$113,Donnees_generations!$A$3:$A$113,MAX(1915,MIN(2025,E355)))/H355</f>
        <v/>
      </c>
      <c r="AE355" s="14">
        <f>IF(C355="Privé",SUMIFS(Donnees_annuelles!$Y$3:$Y$188,Donnees_annuelles!$A$3:$A$188,M355)*MIN(L355,SUMIFS(Donnees_generations!$I$3:$I$113,Donnees_generations!$A$3:$A$113,MAX(1915,MIN(2025,E355))))/L355,AD355*AC355*MIN(IF(AB355&gt;0,0.8/0.75,1),(L355*4+AB355)/AA355))</f>
        <v/>
      </c>
      <c r="AF355" s="14">
        <f>AE355/12</f>
        <v/>
      </c>
      <c r="AG355" s="77">
        <f>MIN(68,MAX(56,2*INT(K355/2)))</f>
        <v/>
      </c>
      <c r="AH355" s="75">
        <f>(CHOOSE((AG355-56)/2+1,SUMIFS(Donnees_generations!$U$3:$U$113,Donnees_generations!$A$3:$A$113,MAX(1915,MIN(2025,E355))),SUMIFS(Donnees_generations!$V$3:$V$113,Donnees_generations!$A$3:$A$113,MAX(1915,MIN(2025,E355))),SUMIFS(Donnees_generations!$W$3:$W$113,Donnees_generations!$A$3:$A$113,MAX(1915,MIN(2025,E355))),SUMIFS(Donnees_generations!$X$3:$X$113,Donnees_generations!$A$3:$A$113,MAX(1915,MIN(2025,E355))),SUMIFS(Donnees_generations!$Y$3:$Y$113,Donnees_generations!$A$3:$A$113,MAX(1915,MIN(2025,E355))),SUMIFS(Donnees_generations!$Z$3:$Z$113,Donnees_generations!$A$3:$A$113,MAX(1915,MIN(2025,E355))),SUMIFS(Donnees_generations!$AA$3:$AA$113,Donnees_generations!$A$3:$A$113,MAX(1915,MIN(2025,E355))),SUMIFS(Donnees_generations!$AB$3:$AB$113,Donnees_generations!$A$3:$A$113,MAX(1915,MIN(2025,E355))))+CHOOSE((AG355-56)/2+1,SUMIFS(Donnees_generations!$AC$3:$AC$113,Donnees_generations!$A$3:$A$113,MAX(1915,MIN(2025,E355))),SUMIFS(Donnees_generations!$AD$3:$AD$113,Donnees_generations!$A$3:$A$113,MAX(1915,MIN(2025,E355))),SUMIFS(Donnees_generations!$AE$3:$AE$113,Donnees_generations!$A$3:$A$113,MAX(1915,MIN(2025,E355))),SUMIFS(Donnees_generations!$AF$3:$AF$113,Donnees_generations!$A$3:$A$113,MAX(1915,MIN(2025,E355))),SUMIFS(Donnees_generations!$AG$3:$AG$113,Donnees_generations!$A$3:$A$113,MAX(1915,MIN(2025,E355))),SUMIFS(Donnees_generations!$AH$3:$AH$113,Donnees_generations!$A$3:$A$113,MAX(1915,MIN(2025,E355))),SUMIFS(Donnees_generations!$AI$3:$AI$113,Donnees_generations!$A$3:$A$113,MAX(1915,MIN(2025,E355))),SUMIFS(Donnees_generations!$AJ$3:$AJ$113,Donnees_generations!$A$3:$A$113,MAX(1915,MIN(2025,E355)))))/2</f>
        <v/>
      </c>
      <c r="AI355" s="75">
        <f>(CHOOSE(((AG355+2)-56)/2+1,SUMIFS(Donnees_generations!$U$3:$U$113,Donnees_generations!$A$3:$A$113,MAX(1915,MIN(2025,E355))),SUMIFS(Donnees_generations!$V$3:$V$113,Donnees_generations!$A$3:$A$113,MAX(1915,MIN(2025,E355))),SUMIFS(Donnees_generations!$W$3:$W$113,Donnees_generations!$A$3:$A$113,MAX(1915,MIN(2025,E355))),SUMIFS(Donnees_generations!$X$3:$X$113,Donnees_generations!$A$3:$A$113,MAX(1915,MIN(2025,E355))),SUMIFS(Donnees_generations!$Y$3:$Y$113,Donnees_generations!$A$3:$A$113,MAX(1915,MIN(2025,E355))),SUMIFS(Donnees_generations!$Z$3:$Z$113,Donnees_generations!$A$3:$A$113,MAX(1915,MIN(2025,E355))),SUMIFS(Donnees_generations!$AA$3:$AA$113,Donnees_generations!$A$3:$A$113,MAX(1915,MIN(2025,E355))),SUMIFS(Donnees_generations!$AB$3:$AB$113,Donnees_generations!$A$3:$A$113,MAX(1915,MIN(2025,E355))))+CHOOSE(((AG355+2)-56)/2+1,SUMIFS(Donnees_generations!$AC$3:$AC$113,Donnees_generations!$A$3:$A$113,MAX(1915,MIN(2025,E355))),SUMIFS(Donnees_generations!$AD$3:$AD$113,Donnees_generations!$A$3:$A$113,MAX(1915,MIN(2025,E355))),SUMIFS(Donnees_generations!$AE$3:$AE$113,Donnees_generations!$A$3:$A$113,MAX(1915,MIN(2025,E355))),SUMIFS(Donnees_generations!$AF$3:$AF$113,Donnees_generations!$A$3:$A$113,MAX(1915,MIN(2025,E355))),SUMIFS(Donnees_generations!$AG$3:$AG$113,Donnees_generations!$A$3:$A$113,MAX(1915,MIN(2025,E355))),SUMIFS(Donnees_generations!$AH$3:$AH$113,Donnees_generations!$A$3:$A$113,MAX(1915,MIN(2025,E355))),SUMIFS(Donnees_generations!$AI$3:$AI$113,Donnees_generations!$A$3:$A$113,MAX(1915,MIN(2025,E355))),SUMIFS(Donnees_generations!$AJ$3:$AJ$113,Donnees_generations!$A$3:$A$113,MAX(1915,MIN(2025,E355)))))/2</f>
        <v/>
      </c>
      <c r="AJ355" s="8">
        <f>MAX(0,AH355+(AI355-AH355)*(K355-AG355)/2)</f>
        <v/>
      </c>
      <c r="AK355" s="8">
        <f>K355+AJ355</f>
        <v/>
      </c>
      <c r="AL355" s="14">
        <f>AE355*AJ355</f>
        <v/>
      </c>
      <c r="AM355" s="17">
        <f>V355/AL355</f>
        <v/>
      </c>
      <c r="AN355" s="17">
        <f>Z355/AL355</f>
        <v/>
      </c>
      <c r="AO355" s="33">
        <f>IF(V355+Z355=0,0,Z355/(V355+Z355))</f>
        <v/>
      </c>
      <c r="AP355" s="14">
        <f>AL355/V355*100</f>
        <v/>
      </c>
      <c r="AQ355" s="8">
        <f>P355/AL355*1000</f>
        <v/>
      </c>
      <c r="AR355" s="77">
        <f>MAX(N355,M355-1)</f>
        <v/>
      </c>
      <c r="AS355" s="14">
        <f>SUMIFS(Donnees_regimes!$R$3:$R$1118,Donnees_regimes!$A$3:$A$1118,C355,Donnees_regimes!$B$3:$B$1118,"&gt;="&amp;G355,Donnees_regimes!$B$3:$B$1118,"&lt;="&amp;N355)*L355/ROUNDUP(L355,0)*SUMIFS(Donnees_annuelles!$AG$3:$AG$188,Donnees_annuelles!$A$3:$A$188,AR355)*SUMIFS(Donnees_annuelles!$AA$3:$AA$188,Donnees_annuelles!$A$3:$A$188,AR355)</f>
        <v/>
      </c>
      <c r="AT355" s="36">
        <f>AS355/V355</f>
        <v/>
      </c>
      <c r="AU355" s="14">
        <f>AL355</f>
        <v/>
      </c>
      <c r="AV355" s="39">
        <f>AS355-AL355</f>
        <v/>
      </c>
      <c r="AW355" s="9">
        <f>AS355/AL355-1</f>
        <v/>
      </c>
      <c r="AX355" s="14">
        <f>AS355/AJ355/12</f>
        <v/>
      </c>
      <c r="AY355" s="14">
        <f>AF355</f>
        <v/>
      </c>
      <c r="AZ355" s="39">
        <f>AX355-AF355</f>
        <v/>
      </c>
      <c r="BA355" s="14">
        <f>SUMIFS(Donnees_regimes!$S$3:$S$1118,Donnees_regimes!$A$3:$A$1118,C355,Donnees_regimes!$B$3:$B$1118,"&gt;="&amp;G355,Donnees_regimes!$B$3:$B$1118,"&lt;="&amp;N355)*L355/ROUNDUP(L355,0)*SUMIFS(Donnees_annuelles!$AH$3:$AH$188,Donnees_annuelles!$A$3:$A$188,AR355)*SUMIFS(Donnees_annuelles!$AA$3:$AA$188,Donnees_annuelles!$A$3:$A$188,AR355)</f>
        <v/>
      </c>
      <c r="BB355" s="39">
        <f>BA355-AL355</f>
        <v/>
      </c>
      <c r="BC355" s="7">
        <f>IF(M355+AJ355&gt;2026,IF(G355&gt;2026,"entièrement projeté","en partie projeté"),"observé")</f>
        <v/>
      </c>
    </row>
    <row r="356">
      <c r="A356" s="7" t="inlineStr">
        <is>
          <t>Génération Y</t>
        </is>
      </c>
      <c r="B356" s="84" t="inlineStr">
        <is>
          <t>SNCF</t>
        </is>
      </c>
      <c r="C356" s="7">
        <f>IF(G356&gt;=SUMIFS(Regimes!$C$5:$C$10,Regimes!$A$5:$A$10,B356),"Privé",B356)</f>
        <v/>
      </c>
      <c r="D356" s="7">
        <f>INDEX(Regimes!$D$5:$D$10,MATCH(C356,Regimes!$A$5:$A$10,0))</f>
        <v/>
      </c>
      <c r="E356" s="88" t="n">
        <v>1987</v>
      </c>
      <c r="F356" s="8">
        <f>Donnees_generations!C75</f>
        <v/>
      </c>
      <c r="G356" s="77">
        <f>Donnees_generations!D75</f>
        <v/>
      </c>
      <c r="H356" s="8">
        <f>SUMIFS(Donnees_generations!$S$3:$S$113,Donnees_generations!$A$3:$A$113,MAX(1915,MIN(2025,E356)))</f>
        <v/>
      </c>
      <c r="I356" s="8">
        <f>SUMIFS(Donnees_generations!$T$3:$T$113,Donnees_generations!$A$3:$A$113,MAX(1915,MIN(2025,E356)))</f>
        <v/>
      </c>
      <c r="J356" s="8">
        <f>IF(G356&gt;=2000,MAX(I356,Parametres!$B$3),I356)</f>
        <v/>
      </c>
      <c r="K356" s="8">
        <f>IF(C356="Privé",J356,SUMIFS(Regles_regimes!$J$3:$J$2000,Regles_regimes!$A$3:$A$2000,C356,Regles_regimes!$B$3:$B$2000,D356,Regles_regimes!$C$3:$C$2000,MAX(1915,MIN(2025,E356))))</f>
        <v/>
      </c>
      <c r="L356" s="8">
        <f>IF(C356="Privé",H356,(K356-F356)*H356/(J356-F356))</f>
        <v/>
      </c>
      <c r="M356" s="77">
        <f>INT(E356+K356)</f>
        <v/>
      </c>
      <c r="N356" s="77">
        <f>G356+ROUNDUP(L356,0)-1</f>
        <v/>
      </c>
      <c r="O356" s="89">
        <f>SUMIFS(Regles_regimes!$K$3:$K$2000,Regles_regimes!$A$3:$A$2000,C356,Regles_regimes!$B$3:$B$2000,D356,Regles_regimes!$C$3:$C$2000,MAX(1915,MIN(2025,E356)))</f>
        <v/>
      </c>
      <c r="P356" s="13">
        <f>SUMIFS(Donnees_annuelles!$W$3:$W$188,Donnees_annuelles!$A$3:$A$188,"&gt;="&amp;G356,Donnees_annuelles!$A$3:$A$188,"&lt;="&amp;N356)*L356/ROUNDUP(L356,0)*O356</f>
        <v/>
      </c>
      <c r="Q356" s="13">
        <f>SUMIFS(Donnees_annuelles!$V$3:$V$188,Donnees_annuelles!$A$3:$A$188,"&gt;="&amp;G356,Donnees_annuelles!$A$3:$A$188,"&lt;="&amp;N356)*L356/ROUNDUP(L356,0)</f>
        <v/>
      </c>
      <c r="R356" s="13">
        <f>P356/L356</f>
        <v/>
      </c>
      <c r="S356" s="14">
        <f>SUMIFS(Donnees_annuelles!$D$3:$D$188,Donnees_annuelles!$A$3:$A$188,"&gt;="&amp;G356,Donnees_annuelles!$A$3:$A$188,"&lt;="&amp;N356)*L356/ROUNDUP(L356,0)</f>
        <v/>
      </c>
      <c r="T356" s="14">
        <f>SUMIFS(Donnees_regimes!$N$3:$N$1118,Donnees_regimes!$A$3:$A$1118,C356,Donnees_regimes!$B$3:$B$1118,"&gt;="&amp;G356,Donnees_regimes!$B$3:$B$1118,"&lt;="&amp;N356)*L356/ROUNDUP(L356,0)</f>
        <v/>
      </c>
      <c r="U356" s="14">
        <f>SUMIFS(Donnees_regimes!$O$3:$O$1118,Donnees_regimes!$A$3:$A$1118,C356,Donnees_regimes!$B$3:$B$1118,"&gt;="&amp;G356,Donnees_regimes!$B$3:$B$1118,"&lt;="&amp;N356)*L356/ROUNDUP(L356,0)</f>
        <v/>
      </c>
      <c r="V356" s="14">
        <f>T356+U356</f>
        <v/>
      </c>
      <c r="W356" s="33">
        <f>V356/S356</f>
        <v/>
      </c>
      <c r="X356" s="14">
        <f>S356+U356</f>
        <v/>
      </c>
      <c r="Y356" s="17">
        <f>V356/P356</f>
        <v/>
      </c>
      <c r="Z356" s="14">
        <f>SUMIFS(Donnees_regimes!$Q$3:$Q$1118,Donnees_regimes!$A$3:$A$1118,C356,Donnees_regimes!$B$3:$B$1118,"&gt;="&amp;G356,Donnees_regimes!$B$3:$B$1118,"&lt;="&amp;N356)*L356/ROUNDUP(L356,0)</f>
        <v/>
      </c>
      <c r="AA356" s="77">
        <f>SUMIFS(Regles_regimes!$F$3:$F$2000,Regles_regimes!$A$3:$A$2000,C356,Regles_regimes!$B$3:$B$2000,D356,Regles_regimes!$C$3:$C$2000,MAX(1915,MIN(2025,E356)))</f>
        <v/>
      </c>
      <c r="AB356" s="77">
        <f>IF(AND(SUMIFS(Regles_regimes!$L$3:$L$2000,Regles_regimes!$A$3:$A$2000,C356,Regles_regimes!$B$3:$B$2000,D356,Regles_regimes!$C$3:$C$2000,MAX(1915,MIN(2025,E356)))=1,G356&lt;2009,C356&lt;&gt;"Privé"),MIN(20,L356*4/5),0)</f>
        <v/>
      </c>
      <c r="AC356" s="89">
        <f>SUMIFS(Donnees_regimes!$M$3:$M$1118,Donnees_regimes!$A$3:$A$1118,C356,Donnees_regimes!$B$3:$B$1118,M356)</f>
        <v/>
      </c>
      <c r="AD356" s="14">
        <f>SUMIFS(Donnees_annuelles!$Y$3:$Y$188,Donnees_annuelles!$A$3:$A$188,M356)*SUMIFS(Donnees_generations!$I$3:$I$113,Donnees_generations!$A$3:$A$113,MAX(1915,MIN(2025,E356)))/H356</f>
        <v/>
      </c>
      <c r="AE356" s="14">
        <f>IF(C356="Privé",SUMIFS(Donnees_annuelles!$Y$3:$Y$188,Donnees_annuelles!$A$3:$A$188,M356)*MIN(L356,SUMIFS(Donnees_generations!$I$3:$I$113,Donnees_generations!$A$3:$A$113,MAX(1915,MIN(2025,E356))))/L356,AD356*AC356*MIN(IF(AB356&gt;0,0.8/0.75,1),(L356*4+AB356)/AA356))</f>
        <v/>
      </c>
      <c r="AF356" s="14">
        <f>AE356/12</f>
        <v/>
      </c>
      <c r="AG356" s="77">
        <f>MIN(68,MAX(56,2*INT(K356/2)))</f>
        <v/>
      </c>
      <c r="AH356" s="75">
        <f>(CHOOSE((AG356-56)/2+1,SUMIFS(Donnees_generations!$U$3:$U$113,Donnees_generations!$A$3:$A$113,MAX(1915,MIN(2025,E356))),SUMIFS(Donnees_generations!$V$3:$V$113,Donnees_generations!$A$3:$A$113,MAX(1915,MIN(2025,E356))),SUMIFS(Donnees_generations!$W$3:$W$113,Donnees_generations!$A$3:$A$113,MAX(1915,MIN(2025,E356))),SUMIFS(Donnees_generations!$X$3:$X$113,Donnees_generations!$A$3:$A$113,MAX(1915,MIN(2025,E356))),SUMIFS(Donnees_generations!$Y$3:$Y$113,Donnees_generations!$A$3:$A$113,MAX(1915,MIN(2025,E356))),SUMIFS(Donnees_generations!$Z$3:$Z$113,Donnees_generations!$A$3:$A$113,MAX(1915,MIN(2025,E356))),SUMIFS(Donnees_generations!$AA$3:$AA$113,Donnees_generations!$A$3:$A$113,MAX(1915,MIN(2025,E356))),SUMIFS(Donnees_generations!$AB$3:$AB$113,Donnees_generations!$A$3:$A$113,MAX(1915,MIN(2025,E356))))+CHOOSE((AG356-56)/2+1,SUMIFS(Donnees_generations!$AC$3:$AC$113,Donnees_generations!$A$3:$A$113,MAX(1915,MIN(2025,E356))),SUMIFS(Donnees_generations!$AD$3:$AD$113,Donnees_generations!$A$3:$A$113,MAX(1915,MIN(2025,E356))),SUMIFS(Donnees_generations!$AE$3:$AE$113,Donnees_generations!$A$3:$A$113,MAX(1915,MIN(2025,E356))),SUMIFS(Donnees_generations!$AF$3:$AF$113,Donnees_generations!$A$3:$A$113,MAX(1915,MIN(2025,E356))),SUMIFS(Donnees_generations!$AG$3:$AG$113,Donnees_generations!$A$3:$A$113,MAX(1915,MIN(2025,E356))),SUMIFS(Donnees_generations!$AH$3:$AH$113,Donnees_generations!$A$3:$A$113,MAX(1915,MIN(2025,E356))),SUMIFS(Donnees_generations!$AI$3:$AI$113,Donnees_generations!$A$3:$A$113,MAX(1915,MIN(2025,E356))),SUMIFS(Donnees_generations!$AJ$3:$AJ$113,Donnees_generations!$A$3:$A$113,MAX(1915,MIN(2025,E356)))))/2</f>
        <v/>
      </c>
      <c r="AI356" s="75">
        <f>(CHOOSE(((AG356+2)-56)/2+1,SUMIFS(Donnees_generations!$U$3:$U$113,Donnees_generations!$A$3:$A$113,MAX(1915,MIN(2025,E356))),SUMIFS(Donnees_generations!$V$3:$V$113,Donnees_generations!$A$3:$A$113,MAX(1915,MIN(2025,E356))),SUMIFS(Donnees_generations!$W$3:$W$113,Donnees_generations!$A$3:$A$113,MAX(1915,MIN(2025,E356))),SUMIFS(Donnees_generations!$X$3:$X$113,Donnees_generations!$A$3:$A$113,MAX(1915,MIN(2025,E356))),SUMIFS(Donnees_generations!$Y$3:$Y$113,Donnees_generations!$A$3:$A$113,MAX(1915,MIN(2025,E356))),SUMIFS(Donnees_generations!$Z$3:$Z$113,Donnees_generations!$A$3:$A$113,MAX(1915,MIN(2025,E356))),SUMIFS(Donnees_generations!$AA$3:$AA$113,Donnees_generations!$A$3:$A$113,MAX(1915,MIN(2025,E356))),SUMIFS(Donnees_generations!$AB$3:$AB$113,Donnees_generations!$A$3:$A$113,MAX(1915,MIN(2025,E356))))+CHOOSE(((AG356+2)-56)/2+1,SUMIFS(Donnees_generations!$AC$3:$AC$113,Donnees_generations!$A$3:$A$113,MAX(1915,MIN(2025,E356))),SUMIFS(Donnees_generations!$AD$3:$AD$113,Donnees_generations!$A$3:$A$113,MAX(1915,MIN(2025,E356))),SUMIFS(Donnees_generations!$AE$3:$AE$113,Donnees_generations!$A$3:$A$113,MAX(1915,MIN(2025,E356))),SUMIFS(Donnees_generations!$AF$3:$AF$113,Donnees_generations!$A$3:$A$113,MAX(1915,MIN(2025,E356))),SUMIFS(Donnees_generations!$AG$3:$AG$113,Donnees_generations!$A$3:$A$113,MAX(1915,MIN(2025,E356))),SUMIFS(Donnees_generations!$AH$3:$AH$113,Donnees_generations!$A$3:$A$113,MAX(1915,MIN(2025,E356))),SUMIFS(Donnees_generations!$AI$3:$AI$113,Donnees_generations!$A$3:$A$113,MAX(1915,MIN(2025,E356))),SUMIFS(Donnees_generations!$AJ$3:$AJ$113,Donnees_generations!$A$3:$A$113,MAX(1915,MIN(2025,E356)))))/2</f>
        <v/>
      </c>
      <c r="AJ356" s="8">
        <f>MAX(0,AH356+(AI356-AH356)*(K356-AG356)/2)</f>
        <v/>
      </c>
      <c r="AK356" s="8">
        <f>K356+AJ356</f>
        <v/>
      </c>
      <c r="AL356" s="14">
        <f>AE356*AJ356</f>
        <v/>
      </c>
      <c r="AM356" s="17">
        <f>V356/AL356</f>
        <v/>
      </c>
      <c r="AN356" s="17">
        <f>Z356/AL356</f>
        <v/>
      </c>
      <c r="AO356" s="33">
        <f>IF(V356+Z356=0,0,Z356/(V356+Z356))</f>
        <v/>
      </c>
      <c r="AP356" s="14">
        <f>AL356/V356*100</f>
        <v/>
      </c>
      <c r="AQ356" s="8">
        <f>P356/AL356*1000</f>
        <v/>
      </c>
      <c r="AR356" s="77">
        <f>MAX(N356,M356-1)</f>
        <v/>
      </c>
      <c r="AS356" s="14">
        <f>SUMIFS(Donnees_regimes!$R$3:$R$1118,Donnees_regimes!$A$3:$A$1118,C356,Donnees_regimes!$B$3:$B$1118,"&gt;="&amp;G356,Donnees_regimes!$B$3:$B$1118,"&lt;="&amp;N356)*L356/ROUNDUP(L356,0)*SUMIFS(Donnees_annuelles!$AG$3:$AG$188,Donnees_annuelles!$A$3:$A$188,AR356)*SUMIFS(Donnees_annuelles!$AA$3:$AA$188,Donnees_annuelles!$A$3:$A$188,AR356)</f>
        <v/>
      </c>
      <c r="AT356" s="36">
        <f>AS356/V356</f>
        <v/>
      </c>
      <c r="AU356" s="14">
        <f>AL356</f>
        <v/>
      </c>
      <c r="AV356" s="39">
        <f>AS356-AL356</f>
        <v/>
      </c>
      <c r="AW356" s="9">
        <f>AS356/AL356-1</f>
        <v/>
      </c>
      <c r="AX356" s="14">
        <f>AS356/AJ356/12</f>
        <v/>
      </c>
      <c r="AY356" s="14">
        <f>AF356</f>
        <v/>
      </c>
      <c r="AZ356" s="39">
        <f>AX356-AF356</f>
        <v/>
      </c>
      <c r="BA356" s="14">
        <f>SUMIFS(Donnees_regimes!$S$3:$S$1118,Donnees_regimes!$A$3:$A$1118,C356,Donnees_regimes!$B$3:$B$1118,"&gt;="&amp;G356,Donnees_regimes!$B$3:$B$1118,"&lt;="&amp;N356)*L356/ROUNDUP(L356,0)*SUMIFS(Donnees_annuelles!$AH$3:$AH$188,Donnees_annuelles!$A$3:$A$188,AR356)*SUMIFS(Donnees_annuelles!$AA$3:$AA$188,Donnees_annuelles!$A$3:$A$188,AR356)</f>
        <v/>
      </c>
      <c r="BB356" s="39">
        <f>BA356-AL356</f>
        <v/>
      </c>
      <c r="BC356" s="7">
        <f>IF(M356+AJ356&gt;2026,IF(G356&gt;2026,"entièrement projeté","en partie projeté"),"observé")</f>
        <v/>
      </c>
    </row>
    <row r="357">
      <c r="A357" s="7" t="inlineStr">
        <is>
          <t>Génération Y</t>
        </is>
      </c>
      <c r="B357" s="84" t="inlineStr">
        <is>
          <t>SNCF</t>
        </is>
      </c>
      <c r="C357" s="7">
        <f>IF(G357&gt;=SUMIFS(Regimes!$C$5:$C$10,Regimes!$A$5:$A$10,B357),"Privé",B357)</f>
        <v/>
      </c>
      <c r="D357" s="7">
        <f>INDEX(Regimes!$D$5:$D$10,MATCH(C357,Regimes!$A$5:$A$10,0))</f>
        <v/>
      </c>
      <c r="E357" s="88" t="n">
        <v>1988</v>
      </c>
      <c r="F357" s="8">
        <f>Donnees_generations!C76</f>
        <v/>
      </c>
      <c r="G357" s="77">
        <f>Donnees_generations!D76</f>
        <v/>
      </c>
      <c r="H357" s="8">
        <f>SUMIFS(Donnees_generations!$S$3:$S$113,Donnees_generations!$A$3:$A$113,MAX(1915,MIN(2025,E357)))</f>
        <v/>
      </c>
      <c r="I357" s="8">
        <f>SUMIFS(Donnees_generations!$T$3:$T$113,Donnees_generations!$A$3:$A$113,MAX(1915,MIN(2025,E357)))</f>
        <v/>
      </c>
      <c r="J357" s="8">
        <f>IF(G357&gt;=2000,MAX(I357,Parametres!$B$3),I357)</f>
        <v/>
      </c>
      <c r="K357" s="8">
        <f>IF(C357="Privé",J357,SUMIFS(Regles_regimes!$J$3:$J$2000,Regles_regimes!$A$3:$A$2000,C357,Regles_regimes!$B$3:$B$2000,D357,Regles_regimes!$C$3:$C$2000,MAX(1915,MIN(2025,E357))))</f>
        <v/>
      </c>
      <c r="L357" s="8">
        <f>IF(C357="Privé",H357,(K357-F357)*H357/(J357-F357))</f>
        <v/>
      </c>
      <c r="M357" s="77">
        <f>INT(E357+K357)</f>
        <v/>
      </c>
      <c r="N357" s="77">
        <f>G357+ROUNDUP(L357,0)-1</f>
        <v/>
      </c>
      <c r="O357" s="89">
        <f>SUMIFS(Regles_regimes!$K$3:$K$2000,Regles_regimes!$A$3:$A$2000,C357,Regles_regimes!$B$3:$B$2000,D357,Regles_regimes!$C$3:$C$2000,MAX(1915,MIN(2025,E357)))</f>
        <v/>
      </c>
      <c r="P357" s="13">
        <f>SUMIFS(Donnees_annuelles!$W$3:$W$188,Donnees_annuelles!$A$3:$A$188,"&gt;="&amp;G357,Donnees_annuelles!$A$3:$A$188,"&lt;="&amp;N357)*L357/ROUNDUP(L357,0)*O357</f>
        <v/>
      </c>
      <c r="Q357" s="13">
        <f>SUMIFS(Donnees_annuelles!$V$3:$V$188,Donnees_annuelles!$A$3:$A$188,"&gt;="&amp;G357,Donnees_annuelles!$A$3:$A$188,"&lt;="&amp;N357)*L357/ROUNDUP(L357,0)</f>
        <v/>
      </c>
      <c r="R357" s="13">
        <f>P357/L357</f>
        <v/>
      </c>
      <c r="S357" s="14">
        <f>SUMIFS(Donnees_annuelles!$D$3:$D$188,Donnees_annuelles!$A$3:$A$188,"&gt;="&amp;G357,Donnees_annuelles!$A$3:$A$188,"&lt;="&amp;N357)*L357/ROUNDUP(L357,0)</f>
        <v/>
      </c>
      <c r="T357" s="14">
        <f>SUMIFS(Donnees_regimes!$N$3:$N$1118,Donnees_regimes!$A$3:$A$1118,C357,Donnees_regimes!$B$3:$B$1118,"&gt;="&amp;G357,Donnees_regimes!$B$3:$B$1118,"&lt;="&amp;N357)*L357/ROUNDUP(L357,0)</f>
        <v/>
      </c>
      <c r="U357" s="14">
        <f>SUMIFS(Donnees_regimes!$O$3:$O$1118,Donnees_regimes!$A$3:$A$1118,C357,Donnees_regimes!$B$3:$B$1118,"&gt;="&amp;G357,Donnees_regimes!$B$3:$B$1118,"&lt;="&amp;N357)*L357/ROUNDUP(L357,0)</f>
        <v/>
      </c>
      <c r="V357" s="14">
        <f>T357+U357</f>
        <v/>
      </c>
      <c r="W357" s="33">
        <f>V357/S357</f>
        <v/>
      </c>
      <c r="X357" s="14">
        <f>S357+U357</f>
        <v/>
      </c>
      <c r="Y357" s="17">
        <f>V357/P357</f>
        <v/>
      </c>
      <c r="Z357" s="14">
        <f>SUMIFS(Donnees_regimes!$Q$3:$Q$1118,Donnees_regimes!$A$3:$A$1118,C357,Donnees_regimes!$B$3:$B$1118,"&gt;="&amp;G357,Donnees_regimes!$B$3:$B$1118,"&lt;="&amp;N357)*L357/ROUNDUP(L357,0)</f>
        <v/>
      </c>
      <c r="AA357" s="77">
        <f>SUMIFS(Regles_regimes!$F$3:$F$2000,Regles_regimes!$A$3:$A$2000,C357,Regles_regimes!$B$3:$B$2000,D357,Regles_regimes!$C$3:$C$2000,MAX(1915,MIN(2025,E357)))</f>
        <v/>
      </c>
      <c r="AB357" s="77">
        <f>IF(AND(SUMIFS(Regles_regimes!$L$3:$L$2000,Regles_regimes!$A$3:$A$2000,C357,Regles_regimes!$B$3:$B$2000,D357,Regles_regimes!$C$3:$C$2000,MAX(1915,MIN(2025,E357)))=1,G357&lt;2009,C357&lt;&gt;"Privé"),MIN(20,L357*4/5),0)</f>
        <v/>
      </c>
      <c r="AC357" s="89">
        <f>SUMIFS(Donnees_regimes!$M$3:$M$1118,Donnees_regimes!$A$3:$A$1118,C357,Donnees_regimes!$B$3:$B$1118,M357)</f>
        <v/>
      </c>
      <c r="AD357" s="14">
        <f>SUMIFS(Donnees_annuelles!$Y$3:$Y$188,Donnees_annuelles!$A$3:$A$188,M357)*SUMIFS(Donnees_generations!$I$3:$I$113,Donnees_generations!$A$3:$A$113,MAX(1915,MIN(2025,E357)))/H357</f>
        <v/>
      </c>
      <c r="AE357" s="14">
        <f>IF(C357="Privé",SUMIFS(Donnees_annuelles!$Y$3:$Y$188,Donnees_annuelles!$A$3:$A$188,M357)*MIN(L357,SUMIFS(Donnees_generations!$I$3:$I$113,Donnees_generations!$A$3:$A$113,MAX(1915,MIN(2025,E357))))/L357,AD357*AC357*MIN(IF(AB357&gt;0,0.8/0.75,1),(L357*4+AB357)/AA357))</f>
        <v/>
      </c>
      <c r="AF357" s="14">
        <f>AE357/12</f>
        <v/>
      </c>
      <c r="AG357" s="77">
        <f>MIN(68,MAX(56,2*INT(K357/2)))</f>
        <v/>
      </c>
      <c r="AH357" s="75">
        <f>(CHOOSE((AG357-56)/2+1,SUMIFS(Donnees_generations!$U$3:$U$113,Donnees_generations!$A$3:$A$113,MAX(1915,MIN(2025,E357))),SUMIFS(Donnees_generations!$V$3:$V$113,Donnees_generations!$A$3:$A$113,MAX(1915,MIN(2025,E357))),SUMIFS(Donnees_generations!$W$3:$W$113,Donnees_generations!$A$3:$A$113,MAX(1915,MIN(2025,E357))),SUMIFS(Donnees_generations!$X$3:$X$113,Donnees_generations!$A$3:$A$113,MAX(1915,MIN(2025,E357))),SUMIFS(Donnees_generations!$Y$3:$Y$113,Donnees_generations!$A$3:$A$113,MAX(1915,MIN(2025,E357))),SUMIFS(Donnees_generations!$Z$3:$Z$113,Donnees_generations!$A$3:$A$113,MAX(1915,MIN(2025,E357))),SUMIFS(Donnees_generations!$AA$3:$AA$113,Donnees_generations!$A$3:$A$113,MAX(1915,MIN(2025,E357))),SUMIFS(Donnees_generations!$AB$3:$AB$113,Donnees_generations!$A$3:$A$113,MAX(1915,MIN(2025,E357))))+CHOOSE((AG357-56)/2+1,SUMIFS(Donnees_generations!$AC$3:$AC$113,Donnees_generations!$A$3:$A$113,MAX(1915,MIN(2025,E357))),SUMIFS(Donnees_generations!$AD$3:$AD$113,Donnees_generations!$A$3:$A$113,MAX(1915,MIN(2025,E357))),SUMIFS(Donnees_generations!$AE$3:$AE$113,Donnees_generations!$A$3:$A$113,MAX(1915,MIN(2025,E357))),SUMIFS(Donnees_generations!$AF$3:$AF$113,Donnees_generations!$A$3:$A$113,MAX(1915,MIN(2025,E357))),SUMIFS(Donnees_generations!$AG$3:$AG$113,Donnees_generations!$A$3:$A$113,MAX(1915,MIN(2025,E357))),SUMIFS(Donnees_generations!$AH$3:$AH$113,Donnees_generations!$A$3:$A$113,MAX(1915,MIN(2025,E357))),SUMIFS(Donnees_generations!$AI$3:$AI$113,Donnees_generations!$A$3:$A$113,MAX(1915,MIN(2025,E357))),SUMIFS(Donnees_generations!$AJ$3:$AJ$113,Donnees_generations!$A$3:$A$113,MAX(1915,MIN(2025,E357)))))/2</f>
        <v/>
      </c>
      <c r="AI357" s="75">
        <f>(CHOOSE(((AG357+2)-56)/2+1,SUMIFS(Donnees_generations!$U$3:$U$113,Donnees_generations!$A$3:$A$113,MAX(1915,MIN(2025,E357))),SUMIFS(Donnees_generations!$V$3:$V$113,Donnees_generations!$A$3:$A$113,MAX(1915,MIN(2025,E357))),SUMIFS(Donnees_generations!$W$3:$W$113,Donnees_generations!$A$3:$A$113,MAX(1915,MIN(2025,E357))),SUMIFS(Donnees_generations!$X$3:$X$113,Donnees_generations!$A$3:$A$113,MAX(1915,MIN(2025,E357))),SUMIFS(Donnees_generations!$Y$3:$Y$113,Donnees_generations!$A$3:$A$113,MAX(1915,MIN(2025,E357))),SUMIFS(Donnees_generations!$Z$3:$Z$113,Donnees_generations!$A$3:$A$113,MAX(1915,MIN(2025,E357))),SUMIFS(Donnees_generations!$AA$3:$AA$113,Donnees_generations!$A$3:$A$113,MAX(1915,MIN(2025,E357))),SUMIFS(Donnees_generations!$AB$3:$AB$113,Donnees_generations!$A$3:$A$113,MAX(1915,MIN(2025,E357))))+CHOOSE(((AG357+2)-56)/2+1,SUMIFS(Donnees_generations!$AC$3:$AC$113,Donnees_generations!$A$3:$A$113,MAX(1915,MIN(2025,E357))),SUMIFS(Donnees_generations!$AD$3:$AD$113,Donnees_generations!$A$3:$A$113,MAX(1915,MIN(2025,E357))),SUMIFS(Donnees_generations!$AE$3:$AE$113,Donnees_generations!$A$3:$A$113,MAX(1915,MIN(2025,E357))),SUMIFS(Donnees_generations!$AF$3:$AF$113,Donnees_generations!$A$3:$A$113,MAX(1915,MIN(2025,E357))),SUMIFS(Donnees_generations!$AG$3:$AG$113,Donnees_generations!$A$3:$A$113,MAX(1915,MIN(2025,E357))),SUMIFS(Donnees_generations!$AH$3:$AH$113,Donnees_generations!$A$3:$A$113,MAX(1915,MIN(2025,E357))),SUMIFS(Donnees_generations!$AI$3:$AI$113,Donnees_generations!$A$3:$A$113,MAX(1915,MIN(2025,E357))),SUMIFS(Donnees_generations!$AJ$3:$AJ$113,Donnees_generations!$A$3:$A$113,MAX(1915,MIN(2025,E357)))))/2</f>
        <v/>
      </c>
      <c r="AJ357" s="8">
        <f>MAX(0,AH357+(AI357-AH357)*(K357-AG357)/2)</f>
        <v/>
      </c>
      <c r="AK357" s="8">
        <f>K357+AJ357</f>
        <v/>
      </c>
      <c r="AL357" s="14">
        <f>AE357*AJ357</f>
        <v/>
      </c>
      <c r="AM357" s="17">
        <f>V357/AL357</f>
        <v/>
      </c>
      <c r="AN357" s="17">
        <f>Z357/AL357</f>
        <v/>
      </c>
      <c r="AO357" s="33">
        <f>IF(V357+Z357=0,0,Z357/(V357+Z357))</f>
        <v/>
      </c>
      <c r="AP357" s="14">
        <f>AL357/V357*100</f>
        <v/>
      </c>
      <c r="AQ357" s="8">
        <f>P357/AL357*1000</f>
        <v/>
      </c>
      <c r="AR357" s="77">
        <f>MAX(N357,M357-1)</f>
        <v/>
      </c>
      <c r="AS357" s="14">
        <f>SUMIFS(Donnees_regimes!$R$3:$R$1118,Donnees_regimes!$A$3:$A$1118,C357,Donnees_regimes!$B$3:$B$1118,"&gt;="&amp;G357,Donnees_regimes!$B$3:$B$1118,"&lt;="&amp;N357)*L357/ROUNDUP(L357,0)*SUMIFS(Donnees_annuelles!$AG$3:$AG$188,Donnees_annuelles!$A$3:$A$188,AR357)*SUMIFS(Donnees_annuelles!$AA$3:$AA$188,Donnees_annuelles!$A$3:$A$188,AR357)</f>
        <v/>
      </c>
      <c r="AT357" s="36">
        <f>AS357/V357</f>
        <v/>
      </c>
      <c r="AU357" s="14">
        <f>AL357</f>
        <v/>
      </c>
      <c r="AV357" s="39">
        <f>AS357-AL357</f>
        <v/>
      </c>
      <c r="AW357" s="9">
        <f>AS357/AL357-1</f>
        <v/>
      </c>
      <c r="AX357" s="14">
        <f>AS357/AJ357/12</f>
        <v/>
      </c>
      <c r="AY357" s="14">
        <f>AF357</f>
        <v/>
      </c>
      <c r="AZ357" s="39">
        <f>AX357-AF357</f>
        <v/>
      </c>
      <c r="BA357" s="14">
        <f>SUMIFS(Donnees_regimes!$S$3:$S$1118,Donnees_regimes!$A$3:$A$1118,C357,Donnees_regimes!$B$3:$B$1118,"&gt;="&amp;G357,Donnees_regimes!$B$3:$B$1118,"&lt;="&amp;N357)*L357/ROUNDUP(L357,0)*SUMIFS(Donnees_annuelles!$AH$3:$AH$188,Donnees_annuelles!$A$3:$A$188,AR357)*SUMIFS(Donnees_annuelles!$AA$3:$AA$188,Donnees_annuelles!$A$3:$A$188,AR357)</f>
        <v/>
      </c>
      <c r="BB357" s="39">
        <f>BA357-AL357</f>
        <v/>
      </c>
      <c r="BC357" s="7">
        <f>IF(M357+AJ357&gt;2026,IF(G357&gt;2026,"entièrement projeté","en partie projeté"),"observé")</f>
        <v/>
      </c>
    </row>
    <row r="358">
      <c r="A358" s="7" t="inlineStr">
        <is>
          <t>Génération Y</t>
        </is>
      </c>
      <c r="B358" s="84" t="inlineStr">
        <is>
          <t>SNCF</t>
        </is>
      </c>
      <c r="C358" s="7">
        <f>IF(G358&gt;=SUMIFS(Regimes!$C$5:$C$10,Regimes!$A$5:$A$10,B358),"Privé",B358)</f>
        <v/>
      </c>
      <c r="D358" s="7">
        <f>INDEX(Regimes!$D$5:$D$10,MATCH(C358,Regimes!$A$5:$A$10,0))</f>
        <v/>
      </c>
      <c r="E358" s="88" t="n">
        <v>1989</v>
      </c>
      <c r="F358" s="8">
        <f>Donnees_generations!C77</f>
        <v/>
      </c>
      <c r="G358" s="77">
        <f>Donnees_generations!D77</f>
        <v/>
      </c>
      <c r="H358" s="8">
        <f>SUMIFS(Donnees_generations!$S$3:$S$113,Donnees_generations!$A$3:$A$113,MAX(1915,MIN(2025,E358)))</f>
        <v/>
      </c>
      <c r="I358" s="8">
        <f>SUMIFS(Donnees_generations!$T$3:$T$113,Donnees_generations!$A$3:$A$113,MAX(1915,MIN(2025,E358)))</f>
        <v/>
      </c>
      <c r="J358" s="8">
        <f>IF(G358&gt;=2000,MAX(I358,Parametres!$B$3),I358)</f>
        <v/>
      </c>
      <c r="K358" s="8">
        <f>IF(C358="Privé",J358,SUMIFS(Regles_regimes!$J$3:$J$2000,Regles_regimes!$A$3:$A$2000,C358,Regles_regimes!$B$3:$B$2000,D358,Regles_regimes!$C$3:$C$2000,MAX(1915,MIN(2025,E358))))</f>
        <v/>
      </c>
      <c r="L358" s="8">
        <f>IF(C358="Privé",H358,(K358-F358)*H358/(J358-F358))</f>
        <v/>
      </c>
      <c r="M358" s="77">
        <f>INT(E358+K358)</f>
        <v/>
      </c>
      <c r="N358" s="77">
        <f>G358+ROUNDUP(L358,0)-1</f>
        <v/>
      </c>
      <c r="O358" s="89">
        <f>SUMIFS(Regles_regimes!$K$3:$K$2000,Regles_regimes!$A$3:$A$2000,C358,Regles_regimes!$B$3:$B$2000,D358,Regles_regimes!$C$3:$C$2000,MAX(1915,MIN(2025,E358)))</f>
        <v/>
      </c>
      <c r="P358" s="13">
        <f>SUMIFS(Donnees_annuelles!$W$3:$W$188,Donnees_annuelles!$A$3:$A$188,"&gt;="&amp;G358,Donnees_annuelles!$A$3:$A$188,"&lt;="&amp;N358)*L358/ROUNDUP(L358,0)*O358</f>
        <v/>
      </c>
      <c r="Q358" s="13">
        <f>SUMIFS(Donnees_annuelles!$V$3:$V$188,Donnees_annuelles!$A$3:$A$188,"&gt;="&amp;G358,Donnees_annuelles!$A$3:$A$188,"&lt;="&amp;N358)*L358/ROUNDUP(L358,0)</f>
        <v/>
      </c>
      <c r="R358" s="13">
        <f>P358/L358</f>
        <v/>
      </c>
      <c r="S358" s="14">
        <f>SUMIFS(Donnees_annuelles!$D$3:$D$188,Donnees_annuelles!$A$3:$A$188,"&gt;="&amp;G358,Donnees_annuelles!$A$3:$A$188,"&lt;="&amp;N358)*L358/ROUNDUP(L358,0)</f>
        <v/>
      </c>
      <c r="T358" s="14">
        <f>SUMIFS(Donnees_regimes!$N$3:$N$1118,Donnees_regimes!$A$3:$A$1118,C358,Donnees_regimes!$B$3:$B$1118,"&gt;="&amp;G358,Donnees_regimes!$B$3:$B$1118,"&lt;="&amp;N358)*L358/ROUNDUP(L358,0)</f>
        <v/>
      </c>
      <c r="U358" s="14">
        <f>SUMIFS(Donnees_regimes!$O$3:$O$1118,Donnees_regimes!$A$3:$A$1118,C358,Donnees_regimes!$B$3:$B$1118,"&gt;="&amp;G358,Donnees_regimes!$B$3:$B$1118,"&lt;="&amp;N358)*L358/ROUNDUP(L358,0)</f>
        <v/>
      </c>
      <c r="V358" s="14">
        <f>T358+U358</f>
        <v/>
      </c>
      <c r="W358" s="33">
        <f>V358/S358</f>
        <v/>
      </c>
      <c r="X358" s="14">
        <f>S358+U358</f>
        <v/>
      </c>
      <c r="Y358" s="17">
        <f>V358/P358</f>
        <v/>
      </c>
      <c r="Z358" s="14">
        <f>SUMIFS(Donnees_regimes!$Q$3:$Q$1118,Donnees_regimes!$A$3:$A$1118,C358,Donnees_regimes!$B$3:$B$1118,"&gt;="&amp;G358,Donnees_regimes!$B$3:$B$1118,"&lt;="&amp;N358)*L358/ROUNDUP(L358,0)</f>
        <v/>
      </c>
      <c r="AA358" s="77">
        <f>SUMIFS(Regles_regimes!$F$3:$F$2000,Regles_regimes!$A$3:$A$2000,C358,Regles_regimes!$B$3:$B$2000,D358,Regles_regimes!$C$3:$C$2000,MAX(1915,MIN(2025,E358)))</f>
        <v/>
      </c>
      <c r="AB358" s="77">
        <f>IF(AND(SUMIFS(Regles_regimes!$L$3:$L$2000,Regles_regimes!$A$3:$A$2000,C358,Regles_regimes!$B$3:$B$2000,D358,Regles_regimes!$C$3:$C$2000,MAX(1915,MIN(2025,E358)))=1,G358&lt;2009,C358&lt;&gt;"Privé"),MIN(20,L358*4/5),0)</f>
        <v/>
      </c>
      <c r="AC358" s="89">
        <f>SUMIFS(Donnees_regimes!$M$3:$M$1118,Donnees_regimes!$A$3:$A$1118,C358,Donnees_regimes!$B$3:$B$1118,M358)</f>
        <v/>
      </c>
      <c r="AD358" s="14">
        <f>SUMIFS(Donnees_annuelles!$Y$3:$Y$188,Donnees_annuelles!$A$3:$A$188,M358)*SUMIFS(Donnees_generations!$I$3:$I$113,Donnees_generations!$A$3:$A$113,MAX(1915,MIN(2025,E358)))/H358</f>
        <v/>
      </c>
      <c r="AE358" s="14">
        <f>IF(C358="Privé",SUMIFS(Donnees_annuelles!$Y$3:$Y$188,Donnees_annuelles!$A$3:$A$188,M358)*MIN(L358,SUMIFS(Donnees_generations!$I$3:$I$113,Donnees_generations!$A$3:$A$113,MAX(1915,MIN(2025,E358))))/L358,AD358*AC358*MIN(IF(AB358&gt;0,0.8/0.75,1),(L358*4+AB358)/AA358))</f>
        <v/>
      </c>
      <c r="AF358" s="14">
        <f>AE358/12</f>
        <v/>
      </c>
      <c r="AG358" s="77">
        <f>MIN(68,MAX(56,2*INT(K358/2)))</f>
        <v/>
      </c>
      <c r="AH358" s="75">
        <f>(CHOOSE((AG358-56)/2+1,SUMIFS(Donnees_generations!$U$3:$U$113,Donnees_generations!$A$3:$A$113,MAX(1915,MIN(2025,E358))),SUMIFS(Donnees_generations!$V$3:$V$113,Donnees_generations!$A$3:$A$113,MAX(1915,MIN(2025,E358))),SUMIFS(Donnees_generations!$W$3:$W$113,Donnees_generations!$A$3:$A$113,MAX(1915,MIN(2025,E358))),SUMIFS(Donnees_generations!$X$3:$X$113,Donnees_generations!$A$3:$A$113,MAX(1915,MIN(2025,E358))),SUMIFS(Donnees_generations!$Y$3:$Y$113,Donnees_generations!$A$3:$A$113,MAX(1915,MIN(2025,E358))),SUMIFS(Donnees_generations!$Z$3:$Z$113,Donnees_generations!$A$3:$A$113,MAX(1915,MIN(2025,E358))),SUMIFS(Donnees_generations!$AA$3:$AA$113,Donnees_generations!$A$3:$A$113,MAX(1915,MIN(2025,E358))),SUMIFS(Donnees_generations!$AB$3:$AB$113,Donnees_generations!$A$3:$A$113,MAX(1915,MIN(2025,E358))))+CHOOSE((AG358-56)/2+1,SUMIFS(Donnees_generations!$AC$3:$AC$113,Donnees_generations!$A$3:$A$113,MAX(1915,MIN(2025,E358))),SUMIFS(Donnees_generations!$AD$3:$AD$113,Donnees_generations!$A$3:$A$113,MAX(1915,MIN(2025,E358))),SUMIFS(Donnees_generations!$AE$3:$AE$113,Donnees_generations!$A$3:$A$113,MAX(1915,MIN(2025,E358))),SUMIFS(Donnees_generations!$AF$3:$AF$113,Donnees_generations!$A$3:$A$113,MAX(1915,MIN(2025,E358))),SUMIFS(Donnees_generations!$AG$3:$AG$113,Donnees_generations!$A$3:$A$113,MAX(1915,MIN(2025,E358))),SUMIFS(Donnees_generations!$AH$3:$AH$113,Donnees_generations!$A$3:$A$113,MAX(1915,MIN(2025,E358))),SUMIFS(Donnees_generations!$AI$3:$AI$113,Donnees_generations!$A$3:$A$113,MAX(1915,MIN(2025,E358))),SUMIFS(Donnees_generations!$AJ$3:$AJ$113,Donnees_generations!$A$3:$A$113,MAX(1915,MIN(2025,E358)))))/2</f>
        <v/>
      </c>
      <c r="AI358" s="75">
        <f>(CHOOSE(((AG358+2)-56)/2+1,SUMIFS(Donnees_generations!$U$3:$U$113,Donnees_generations!$A$3:$A$113,MAX(1915,MIN(2025,E358))),SUMIFS(Donnees_generations!$V$3:$V$113,Donnees_generations!$A$3:$A$113,MAX(1915,MIN(2025,E358))),SUMIFS(Donnees_generations!$W$3:$W$113,Donnees_generations!$A$3:$A$113,MAX(1915,MIN(2025,E358))),SUMIFS(Donnees_generations!$X$3:$X$113,Donnees_generations!$A$3:$A$113,MAX(1915,MIN(2025,E358))),SUMIFS(Donnees_generations!$Y$3:$Y$113,Donnees_generations!$A$3:$A$113,MAX(1915,MIN(2025,E358))),SUMIFS(Donnees_generations!$Z$3:$Z$113,Donnees_generations!$A$3:$A$113,MAX(1915,MIN(2025,E358))),SUMIFS(Donnees_generations!$AA$3:$AA$113,Donnees_generations!$A$3:$A$113,MAX(1915,MIN(2025,E358))),SUMIFS(Donnees_generations!$AB$3:$AB$113,Donnees_generations!$A$3:$A$113,MAX(1915,MIN(2025,E358))))+CHOOSE(((AG358+2)-56)/2+1,SUMIFS(Donnees_generations!$AC$3:$AC$113,Donnees_generations!$A$3:$A$113,MAX(1915,MIN(2025,E358))),SUMIFS(Donnees_generations!$AD$3:$AD$113,Donnees_generations!$A$3:$A$113,MAX(1915,MIN(2025,E358))),SUMIFS(Donnees_generations!$AE$3:$AE$113,Donnees_generations!$A$3:$A$113,MAX(1915,MIN(2025,E358))),SUMIFS(Donnees_generations!$AF$3:$AF$113,Donnees_generations!$A$3:$A$113,MAX(1915,MIN(2025,E358))),SUMIFS(Donnees_generations!$AG$3:$AG$113,Donnees_generations!$A$3:$A$113,MAX(1915,MIN(2025,E358))),SUMIFS(Donnees_generations!$AH$3:$AH$113,Donnees_generations!$A$3:$A$113,MAX(1915,MIN(2025,E358))),SUMIFS(Donnees_generations!$AI$3:$AI$113,Donnees_generations!$A$3:$A$113,MAX(1915,MIN(2025,E358))),SUMIFS(Donnees_generations!$AJ$3:$AJ$113,Donnees_generations!$A$3:$A$113,MAX(1915,MIN(2025,E358)))))/2</f>
        <v/>
      </c>
      <c r="AJ358" s="8">
        <f>MAX(0,AH358+(AI358-AH358)*(K358-AG358)/2)</f>
        <v/>
      </c>
      <c r="AK358" s="8">
        <f>K358+AJ358</f>
        <v/>
      </c>
      <c r="AL358" s="14">
        <f>AE358*AJ358</f>
        <v/>
      </c>
      <c r="AM358" s="17">
        <f>V358/AL358</f>
        <v/>
      </c>
      <c r="AN358" s="17">
        <f>Z358/AL358</f>
        <v/>
      </c>
      <c r="AO358" s="33">
        <f>IF(V358+Z358=0,0,Z358/(V358+Z358))</f>
        <v/>
      </c>
      <c r="AP358" s="14">
        <f>AL358/V358*100</f>
        <v/>
      </c>
      <c r="AQ358" s="8">
        <f>P358/AL358*1000</f>
        <v/>
      </c>
      <c r="AR358" s="77">
        <f>MAX(N358,M358-1)</f>
        <v/>
      </c>
      <c r="AS358" s="14">
        <f>SUMIFS(Donnees_regimes!$R$3:$R$1118,Donnees_regimes!$A$3:$A$1118,C358,Donnees_regimes!$B$3:$B$1118,"&gt;="&amp;G358,Donnees_regimes!$B$3:$B$1118,"&lt;="&amp;N358)*L358/ROUNDUP(L358,0)*SUMIFS(Donnees_annuelles!$AG$3:$AG$188,Donnees_annuelles!$A$3:$A$188,AR358)*SUMIFS(Donnees_annuelles!$AA$3:$AA$188,Donnees_annuelles!$A$3:$A$188,AR358)</f>
        <v/>
      </c>
      <c r="AT358" s="36">
        <f>AS358/V358</f>
        <v/>
      </c>
      <c r="AU358" s="14">
        <f>AL358</f>
        <v/>
      </c>
      <c r="AV358" s="39">
        <f>AS358-AL358</f>
        <v/>
      </c>
      <c r="AW358" s="9">
        <f>AS358/AL358-1</f>
        <v/>
      </c>
      <c r="AX358" s="14">
        <f>AS358/AJ358/12</f>
        <v/>
      </c>
      <c r="AY358" s="14">
        <f>AF358</f>
        <v/>
      </c>
      <c r="AZ358" s="39">
        <f>AX358-AF358</f>
        <v/>
      </c>
      <c r="BA358" s="14">
        <f>SUMIFS(Donnees_regimes!$S$3:$S$1118,Donnees_regimes!$A$3:$A$1118,C358,Donnees_regimes!$B$3:$B$1118,"&gt;="&amp;G358,Donnees_regimes!$B$3:$B$1118,"&lt;="&amp;N358)*L358/ROUNDUP(L358,0)*SUMIFS(Donnees_annuelles!$AH$3:$AH$188,Donnees_annuelles!$A$3:$A$188,AR358)*SUMIFS(Donnees_annuelles!$AA$3:$AA$188,Donnees_annuelles!$A$3:$A$188,AR358)</f>
        <v/>
      </c>
      <c r="BB358" s="39">
        <f>BA358-AL358</f>
        <v/>
      </c>
      <c r="BC358" s="7">
        <f>IF(M358+AJ358&gt;2026,IF(G358&gt;2026,"entièrement projeté","en partie projeté"),"observé")</f>
        <v/>
      </c>
    </row>
    <row r="359">
      <c r="A359" s="7" t="inlineStr">
        <is>
          <t>Génération Y</t>
        </is>
      </c>
      <c r="B359" s="84" t="inlineStr">
        <is>
          <t>SNCF</t>
        </is>
      </c>
      <c r="C359" s="7">
        <f>IF(G359&gt;=SUMIFS(Regimes!$C$5:$C$10,Regimes!$A$5:$A$10,B359),"Privé",B359)</f>
        <v/>
      </c>
      <c r="D359" s="7">
        <f>INDEX(Regimes!$D$5:$D$10,MATCH(C359,Regimes!$A$5:$A$10,0))</f>
        <v/>
      </c>
      <c r="E359" s="88" t="n">
        <v>1990</v>
      </c>
      <c r="F359" s="8">
        <f>Donnees_generations!C78</f>
        <v/>
      </c>
      <c r="G359" s="77">
        <f>Donnees_generations!D78</f>
        <v/>
      </c>
      <c r="H359" s="8">
        <f>SUMIFS(Donnees_generations!$S$3:$S$113,Donnees_generations!$A$3:$A$113,MAX(1915,MIN(2025,E359)))</f>
        <v/>
      </c>
      <c r="I359" s="8">
        <f>SUMIFS(Donnees_generations!$T$3:$T$113,Donnees_generations!$A$3:$A$113,MAX(1915,MIN(2025,E359)))</f>
        <v/>
      </c>
      <c r="J359" s="8">
        <f>IF(G359&gt;=2000,MAX(I359,Parametres!$B$3),I359)</f>
        <v/>
      </c>
      <c r="K359" s="8">
        <f>IF(C359="Privé",J359,SUMIFS(Regles_regimes!$J$3:$J$2000,Regles_regimes!$A$3:$A$2000,C359,Regles_regimes!$B$3:$B$2000,D359,Regles_regimes!$C$3:$C$2000,MAX(1915,MIN(2025,E359))))</f>
        <v/>
      </c>
      <c r="L359" s="8">
        <f>IF(C359="Privé",H359,(K359-F359)*H359/(J359-F359))</f>
        <v/>
      </c>
      <c r="M359" s="77">
        <f>INT(E359+K359)</f>
        <v/>
      </c>
      <c r="N359" s="77">
        <f>G359+ROUNDUP(L359,0)-1</f>
        <v/>
      </c>
      <c r="O359" s="89">
        <f>SUMIFS(Regles_regimes!$K$3:$K$2000,Regles_regimes!$A$3:$A$2000,C359,Regles_regimes!$B$3:$B$2000,D359,Regles_regimes!$C$3:$C$2000,MAX(1915,MIN(2025,E359)))</f>
        <v/>
      </c>
      <c r="P359" s="13">
        <f>SUMIFS(Donnees_annuelles!$W$3:$W$188,Donnees_annuelles!$A$3:$A$188,"&gt;="&amp;G359,Donnees_annuelles!$A$3:$A$188,"&lt;="&amp;N359)*L359/ROUNDUP(L359,0)*O359</f>
        <v/>
      </c>
      <c r="Q359" s="13">
        <f>SUMIFS(Donnees_annuelles!$V$3:$V$188,Donnees_annuelles!$A$3:$A$188,"&gt;="&amp;G359,Donnees_annuelles!$A$3:$A$188,"&lt;="&amp;N359)*L359/ROUNDUP(L359,0)</f>
        <v/>
      </c>
      <c r="R359" s="13">
        <f>P359/L359</f>
        <v/>
      </c>
      <c r="S359" s="14">
        <f>SUMIFS(Donnees_annuelles!$D$3:$D$188,Donnees_annuelles!$A$3:$A$188,"&gt;="&amp;G359,Donnees_annuelles!$A$3:$A$188,"&lt;="&amp;N359)*L359/ROUNDUP(L359,0)</f>
        <v/>
      </c>
      <c r="T359" s="14">
        <f>SUMIFS(Donnees_regimes!$N$3:$N$1118,Donnees_regimes!$A$3:$A$1118,C359,Donnees_regimes!$B$3:$B$1118,"&gt;="&amp;G359,Donnees_regimes!$B$3:$B$1118,"&lt;="&amp;N359)*L359/ROUNDUP(L359,0)</f>
        <v/>
      </c>
      <c r="U359" s="14">
        <f>SUMIFS(Donnees_regimes!$O$3:$O$1118,Donnees_regimes!$A$3:$A$1118,C359,Donnees_regimes!$B$3:$B$1118,"&gt;="&amp;G359,Donnees_regimes!$B$3:$B$1118,"&lt;="&amp;N359)*L359/ROUNDUP(L359,0)</f>
        <v/>
      </c>
      <c r="V359" s="14">
        <f>T359+U359</f>
        <v/>
      </c>
      <c r="W359" s="33">
        <f>V359/S359</f>
        <v/>
      </c>
      <c r="X359" s="14">
        <f>S359+U359</f>
        <v/>
      </c>
      <c r="Y359" s="17">
        <f>V359/P359</f>
        <v/>
      </c>
      <c r="Z359" s="14">
        <f>SUMIFS(Donnees_regimes!$Q$3:$Q$1118,Donnees_regimes!$A$3:$A$1118,C359,Donnees_regimes!$B$3:$B$1118,"&gt;="&amp;G359,Donnees_regimes!$B$3:$B$1118,"&lt;="&amp;N359)*L359/ROUNDUP(L359,0)</f>
        <v/>
      </c>
      <c r="AA359" s="77">
        <f>SUMIFS(Regles_regimes!$F$3:$F$2000,Regles_regimes!$A$3:$A$2000,C359,Regles_regimes!$B$3:$B$2000,D359,Regles_regimes!$C$3:$C$2000,MAX(1915,MIN(2025,E359)))</f>
        <v/>
      </c>
      <c r="AB359" s="77">
        <f>IF(AND(SUMIFS(Regles_regimes!$L$3:$L$2000,Regles_regimes!$A$3:$A$2000,C359,Regles_regimes!$B$3:$B$2000,D359,Regles_regimes!$C$3:$C$2000,MAX(1915,MIN(2025,E359)))=1,G359&lt;2009,C359&lt;&gt;"Privé"),MIN(20,L359*4/5),0)</f>
        <v/>
      </c>
      <c r="AC359" s="89">
        <f>SUMIFS(Donnees_regimes!$M$3:$M$1118,Donnees_regimes!$A$3:$A$1118,C359,Donnees_regimes!$B$3:$B$1118,M359)</f>
        <v/>
      </c>
      <c r="AD359" s="14">
        <f>SUMIFS(Donnees_annuelles!$Y$3:$Y$188,Donnees_annuelles!$A$3:$A$188,M359)*SUMIFS(Donnees_generations!$I$3:$I$113,Donnees_generations!$A$3:$A$113,MAX(1915,MIN(2025,E359)))/H359</f>
        <v/>
      </c>
      <c r="AE359" s="14">
        <f>IF(C359="Privé",SUMIFS(Donnees_annuelles!$Y$3:$Y$188,Donnees_annuelles!$A$3:$A$188,M359)*MIN(L359,SUMIFS(Donnees_generations!$I$3:$I$113,Donnees_generations!$A$3:$A$113,MAX(1915,MIN(2025,E359))))/L359,AD359*AC359*MIN(IF(AB359&gt;0,0.8/0.75,1),(L359*4+AB359)/AA359))</f>
        <v/>
      </c>
      <c r="AF359" s="14">
        <f>AE359/12</f>
        <v/>
      </c>
      <c r="AG359" s="77">
        <f>MIN(68,MAX(56,2*INT(K359/2)))</f>
        <v/>
      </c>
      <c r="AH359" s="75">
        <f>(CHOOSE((AG359-56)/2+1,SUMIFS(Donnees_generations!$U$3:$U$113,Donnees_generations!$A$3:$A$113,MAX(1915,MIN(2025,E359))),SUMIFS(Donnees_generations!$V$3:$V$113,Donnees_generations!$A$3:$A$113,MAX(1915,MIN(2025,E359))),SUMIFS(Donnees_generations!$W$3:$W$113,Donnees_generations!$A$3:$A$113,MAX(1915,MIN(2025,E359))),SUMIFS(Donnees_generations!$X$3:$X$113,Donnees_generations!$A$3:$A$113,MAX(1915,MIN(2025,E359))),SUMIFS(Donnees_generations!$Y$3:$Y$113,Donnees_generations!$A$3:$A$113,MAX(1915,MIN(2025,E359))),SUMIFS(Donnees_generations!$Z$3:$Z$113,Donnees_generations!$A$3:$A$113,MAX(1915,MIN(2025,E359))),SUMIFS(Donnees_generations!$AA$3:$AA$113,Donnees_generations!$A$3:$A$113,MAX(1915,MIN(2025,E359))),SUMIFS(Donnees_generations!$AB$3:$AB$113,Donnees_generations!$A$3:$A$113,MAX(1915,MIN(2025,E359))))+CHOOSE((AG359-56)/2+1,SUMIFS(Donnees_generations!$AC$3:$AC$113,Donnees_generations!$A$3:$A$113,MAX(1915,MIN(2025,E359))),SUMIFS(Donnees_generations!$AD$3:$AD$113,Donnees_generations!$A$3:$A$113,MAX(1915,MIN(2025,E359))),SUMIFS(Donnees_generations!$AE$3:$AE$113,Donnees_generations!$A$3:$A$113,MAX(1915,MIN(2025,E359))),SUMIFS(Donnees_generations!$AF$3:$AF$113,Donnees_generations!$A$3:$A$113,MAX(1915,MIN(2025,E359))),SUMIFS(Donnees_generations!$AG$3:$AG$113,Donnees_generations!$A$3:$A$113,MAX(1915,MIN(2025,E359))),SUMIFS(Donnees_generations!$AH$3:$AH$113,Donnees_generations!$A$3:$A$113,MAX(1915,MIN(2025,E359))),SUMIFS(Donnees_generations!$AI$3:$AI$113,Donnees_generations!$A$3:$A$113,MAX(1915,MIN(2025,E359))),SUMIFS(Donnees_generations!$AJ$3:$AJ$113,Donnees_generations!$A$3:$A$113,MAX(1915,MIN(2025,E359)))))/2</f>
        <v/>
      </c>
      <c r="AI359" s="75">
        <f>(CHOOSE(((AG359+2)-56)/2+1,SUMIFS(Donnees_generations!$U$3:$U$113,Donnees_generations!$A$3:$A$113,MAX(1915,MIN(2025,E359))),SUMIFS(Donnees_generations!$V$3:$V$113,Donnees_generations!$A$3:$A$113,MAX(1915,MIN(2025,E359))),SUMIFS(Donnees_generations!$W$3:$W$113,Donnees_generations!$A$3:$A$113,MAX(1915,MIN(2025,E359))),SUMIFS(Donnees_generations!$X$3:$X$113,Donnees_generations!$A$3:$A$113,MAX(1915,MIN(2025,E359))),SUMIFS(Donnees_generations!$Y$3:$Y$113,Donnees_generations!$A$3:$A$113,MAX(1915,MIN(2025,E359))),SUMIFS(Donnees_generations!$Z$3:$Z$113,Donnees_generations!$A$3:$A$113,MAX(1915,MIN(2025,E359))),SUMIFS(Donnees_generations!$AA$3:$AA$113,Donnees_generations!$A$3:$A$113,MAX(1915,MIN(2025,E359))),SUMIFS(Donnees_generations!$AB$3:$AB$113,Donnees_generations!$A$3:$A$113,MAX(1915,MIN(2025,E359))))+CHOOSE(((AG359+2)-56)/2+1,SUMIFS(Donnees_generations!$AC$3:$AC$113,Donnees_generations!$A$3:$A$113,MAX(1915,MIN(2025,E359))),SUMIFS(Donnees_generations!$AD$3:$AD$113,Donnees_generations!$A$3:$A$113,MAX(1915,MIN(2025,E359))),SUMIFS(Donnees_generations!$AE$3:$AE$113,Donnees_generations!$A$3:$A$113,MAX(1915,MIN(2025,E359))),SUMIFS(Donnees_generations!$AF$3:$AF$113,Donnees_generations!$A$3:$A$113,MAX(1915,MIN(2025,E359))),SUMIFS(Donnees_generations!$AG$3:$AG$113,Donnees_generations!$A$3:$A$113,MAX(1915,MIN(2025,E359))),SUMIFS(Donnees_generations!$AH$3:$AH$113,Donnees_generations!$A$3:$A$113,MAX(1915,MIN(2025,E359))),SUMIFS(Donnees_generations!$AI$3:$AI$113,Donnees_generations!$A$3:$A$113,MAX(1915,MIN(2025,E359))),SUMIFS(Donnees_generations!$AJ$3:$AJ$113,Donnees_generations!$A$3:$A$113,MAX(1915,MIN(2025,E359)))))/2</f>
        <v/>
      </c>
      <c r="AJ359" s="8">
        <f>MAX(0,AH359+(AI359-AH359)*(K359-AG359)/2)</f>
        <v/>
      </c>
      <c r="AK359" s="8">
        <f>K359+AJ359</f>
        <v/>
      </c>
      <c r="AL359" s="14">
        <f>AE359*AJ359</f>
        <v/>
      </c>
      <c r="AM359" s="17">
        <f>V359/AL359</f>
        <v/>
      </c>
      <c r="AN359" s="17">
        <f>Z359/AL359</f>
        <v/>
      </c>
      <c r="AO359" s="33">
        <f>IF(V359+Z359=0,0,Z359/(V359+Z359))</f>
        <v/>
      </c>
      <c r="AP359" s="14">
        <f>AL359/V359*100</f>
        <v/>
      </c>
      <c r="AQ359" s="8">
        <f>P359/AL359*1000</f>
        <v/>
      </c>
      <c r="AR359" s="77">
        <f>MAX(N359,M359-1)</f>
        <v/>
      </c>
      <c r="AS359" s="14">
        <f>SUMIFS(Donnees_regimes!$R$3:$R$1118,Donnees_regimes!$A$3:$A$1118,C359,Donnees_regimes!$B$3:$B$1118,"&gt;="&amp;G359,Donnees_regimes!$B$3:$B$1118,"&lt;="&amp;N359)*L359/ROUNDUP(L359,0)*SUMIFS(Donnees_annuelles!$AG$3:$AG$188,Donnees_annuelles!$A$3:$A$188,AR359)*SUMIFS(Donnees_annuelles!$AA$3:$AA$188,Donnees_annuelles!$A$3:$A$188,AR359)</f>
        <v/>
      </c>
      <c r="AT359" s="36">
        <f>AS359/V359</f>
        <v/>
      </c>
      <c r="AU359" s="14">
        <f>AL359</f>
        <v/>
      </c>
      <c r="AV359" s="39">
        <f>AS359-AL359</f>
        <v/>
      </c>
      <c r="AW359" s="9">
        <f>AS359/AL359-1</f>
        <v/>
      </c>
      <c r="AX359" s="14">
        <f>AS359/AJ359/12</f>
        <v/>
      </c>
      <c r="AY359" s="14">
        <f>AF359</f>
        <v/>
      </c>
      <c r="AZ359" s="39">
        <f>AX359-AF359</f>
        <v/>
      </c>
      <c r="BA359" s="14">
        <f>SUMIFS(Donnees_regimes!$S$3:$S$1118,Donnees_regimes!$A$3:$A$1118,C359,Donnees_regimes!$B$3:$B$1118,"&gt;="&amp;G359,Donnees_regimes!$B$3:$B$1118,"&lt;="&amp;N359)*L359/ROUNDUP(L359,0)*SUMIFS(Donnees_annuelles!$AH$3:$AH$188,Donnees_annuelles!$A$3:$A$188,AR359)*SUMIFS(Donnees_annuelles!$AA$3:$AA$188,Donnees_annuelles!$A$3:$A$188,AR359)</f>
        <v/>
      </c>
      <c r="BB359" s="39">
        <f>BA359-AL359</f>
        <v/>
      </c>
      <c r="BC359" s="7">
        <f>IF(M359+AJ359&gt;2026,IF(G359&gt;2026,"entièrement projeté","en partie projeté"),"observé")</f>
        <v/>
      </c>
    </row>
    <row r="360">
      <c r="A360" s="7" t="inlineStr">
        <is>
          <t>Génération Y</t>
        </is>
      </c>
      <c r="B360" s="84" t="inlineStr">
        <is>
          <t>SNCF</t>
        </is>
      </c>
      <c r="C360" s="7">
        <f>IF(G360&gt;=SUMIFS(Regimes!$C$5:$C$10,Regimes!$A$5:$A$10,B360),"Privé",B360)</f>
        <v/>
      </c>
      <c r="D360" s="7">
        <f>INDEX(Regimes!$D$5:$D$10,MATCH(C360,Regimes!$A$5:$A$10,0))</f>
        <v/>
      </c>
      <c r="E360" s="88" t="n">
        <v>1991</v>
      </c>
      <c r="F360" s="8">
        <f>Donnees_generations!C79</f>
        <v/>
      </c>
      <c r="G360" s="77">
        <f>Donnees_generations!D79</f>
        <v/>
      </c>
      <c r="H360" s="8">
        <f>SUMIFS(Donnees_generations!$S$3:$S$113,Donnees_generations!$A$3:$A$113,MAX(1915,MIN(2025,E360)))</f>
        <v/>
      </c>
      <c r="I360" s="8">
        <f>SUMIFS(Donnees_generations!$T$3:$T$113,Donnees_generations!$A$3:$A$113,MAX(1915,MIN(2025,E360)))</f>
        <v/>
      </c>
      <c r="J360" s="8">
        <f>IF(G360&gt;=2000,MAX(I360,Parametres!$B$3),I360)</f>
        <v/>
      </c>
      <c r="K360" s="8">
        <f>IF(C360="Privé",J360,SUMIFS(Regles_regimes!$J$3:$J$2000,Regles_regimes!$A$3:$A$2000,C360,Regles_regimes!$B$3:$B$2000,D360,Regles_regimes!$C$3:$C$2000,MAX(1915,MIN(2025,E360))))</f>
        <v/>
      </c>
      <c r="L360" s="8">
        <f>IF(C360="Privé",H360,(K360-F360)*H360/(J360-F360))</f>
        <v/>
      </c>
      <c r="M360" s="77">
        <f>INT(E360+K360)</f>
        <v/>
      </c>
      <c r="N360" s="77">
        <f>G360+ROUNDUP(L360,0)-1</f>
        <v/>
      </c>
      <c r="O360" s="89">
        <f>SUMIFS(Regles_regimes!$K$3:$K$2000,Regles_regimes!$A$3:$A$2000,C360,Regles_regimes!$B$3:$B$2000,D360,Regles_regimes!$C$3:$C$2000,MAX(1915,MIN(2025,E360)))</f>
        <v/>
      </c>
      <c r="P360" s="13">
        <f>SUMIFS(Donnees_annuelles!$W$3:$W$188,Donnees_annuelles!$A$3:$A$188,"&gt;="&amp;G360,Donnees_annuelles!$A$3:$A$188,"&lt;="&amp;N360)*L360/ROUNDUP(L360,0)*O360</f>
        <v/>
      </c>
      <c r="Q360" s="13">
        <f>SUMIFS(Donnees_annuelles!$V$3:$V$188,Donnees_annuelles!$A$3:$A$188,"&gt;="&amp;G360,Donnees_annuelles!$A$3:$A$188,"&lt;="&amp;N360)*L360/ROUNDUP(L360,0)</f>
        <v/>
      </c>
      <c r="R360" s="13">
        <f>P360/L360</f>
        <v/>
      </c>
      <c r="S360" s="14">
        <f>SUMIFS(Donnees_annuelles!$D$3:$D$188,Donnees_annuelles!$A$3:$A$188,"&gt;="&amp;G360,Donnees_annuelles!$A$3:$A$188,"&lt;="&amp;N360)*L360/ROUNDUP(L360,0)</f>
        <v/>
      </c>
      <c r="T360" s="14">
        <f>SUMIFS(Donnees_regimes!$N$3:$N$1118,Donnees_regimes!$A$3:$A$1118,C360,Donnees_regimes!$B$3:$B$1118,"&gt;="&amp;G360,Donnees_regimes!$B$3:$B$1118,"&lt;="&amp;N360)*L360/ROUNDUP(L360,0)</f>
        <v/>
      </c>
      <c r="U360" s="14">
        <f>SUMIFS(Donnees_regimes!$O$3:$O$1118,Donnees_regimes!$A$3:$A$1118,C360,Donnees_regimes!$B$3:$B$1118,"&gt;="&amp;G360,Donnees_regimes!$B$3:$B$1118,"&lt;="&amp;N360)*L360/ROUNDUP(L360,0)</f>
        <v/>
      </c>
      <c r="V360" s="14">
        <f>T360+U360</f>
        <v/>
      </c>
      <c r="W360" s="33">
        <f>V360/S360</f>
        <v/>
      </c>
      <c r="X360" s="14">
        <f>S360+U360</f>
        <v/>
      </c>
      <c r="Y360" s="17">
        <f>V360/P360</f>
        <v/>
      </c>
      <c r="Z360" s="14">
        <f>SUMIFS(Donnees_regimes!$Q$3:$Q$1118,Donnees_regimes!$A$3:$A$1118,C360,Donnees_regimes!$B$3:$B$1118,"&gt;="&amp;G360,Donnees_regimes!$B$3:$B$1118,"&lt;="&amp;N360)*L360/ROUNDUP(L360,0)</f>
        <v/>
      </c>
      <c r="AA360" s="77">
        <f>SUMIFS(Regles_regimes!$F$3:$F$2000,Regles_regimes!$A$3:$A$2000,C360,Regles_regimes!$B$3:$B$2000,D360,Regles_regimes!$C$3:$C$2000,MAX(1915,MIN(2025,E360)))</f>
        <v/>
      </c>
      <c r="AB360" s="77">
        <f>IF(AND(SUMIFS(Regles_regimes!$L$3:$L$2000,Regles_regimes!$A$3:$A$2000,C360,Regles_regimes!$B$3:$B$2000,D360,Regles_regimes!$C$3:$C$2000,MAX(1915,MIN(2025,E360)))=1,G360&lt;2009,C360&lt;&gt;"Privé"),MIN(20,L360*4/5),0)</f>
        <v/>
      </c>
      <c r="AC360" s="89">
        <f>SUMIFS(Donnees_regimes!$M$3:$M$1118,Donnees_regimes!$A$3:$A$1118,C360,Donnees_regimes!$B$3:$B$1118,M360)</f>
        <v/>
      </c>
      <c r="AD360" s="14">
        <f>SUMIFS(Donnees_annuelles!$Y$3:$Y$188,Donnees_annuelles!$A$3:$A$188,M360)*SUMIFS(Donnees_generations!$I$3:$I$113,Donnees_generations!$A$3:$A$113,MAX(1915,MIN(2025,E360)))/H360</f>
        <v/>
      </c>
      <c r="AE360" s="14">
        <f>IF(C360="Privé",SUMIFS(Donnees_annuelles!$Y$3:$Y$188,Donnees_annuelles!$A$3:$A$188,M360)*MIN(L360,SUMIFS(Donnees_generations!$I$3:$I$113,Donnees_generations!$A$3:$A$113,MAX(1915,MIN(2025,E360))))/L360,AD360*AC360*MIN(IF(AB360&gt;0,0.8/0.75,1),(L360*4+AB360)/AA360))</f>
        <v/>
      </c>
      <c r="AF360" s="14">
        <f>AE360/12</f>
        <v/>
      </c>
      <c r="AG360" s="77">
        <f>MIN(68,MAX(56,2*INT(K360/2)))</f>
        <v/>
      </c>
      <c r="AH360" s="75">
        <f>(CHOOSE((AG360-56)/2+1,SUMIFS(Donnees_generations!$U$3:$U$113,Donnees_generations!$A$3:$A$113,MAX(1915,MIN(2025,E360))),SUMIFS(Donnees_generations!$V$3:$V$113,Donnees_generations!$A$3:$A$113,MAX(1915,MIN(2025,E360))),SUMIFS(Donnees_generations!$W$3:$W$113,Donnees_generations!$A$3:$A$113,MAX(1915,MIN(2025,E360))),SUMIFS(Donnees_generations!$X$3:$X$113,Donnees_generations!$A$3:$A$113,MAX(1915,MIN(2025,E360))),SUMIFS(Donnees_generations!$Y$3:$Y$113,Donnees_generations!$A$3:$A$113,MAX(1915,MIN(2025,E360))),SUMIFS(Donnees_generations!$Z$3:$Z$113,Donnees_generations!$A$3:$A$113,MAX(1915,MIN(2025,E360))),SUMIFS(Donnees_generations!$AA$3:$AA$113,Donnees_generations!$A$3:$A$113,MAX(1915,MIN(2025,E360))),SUMIFS(Donnees_generations!$AB$3:$AB$113,Donnees_generations!$A$3:$A$113,MAX(1915,MIN(2025,E360))))+CHOOSE((AG360-56)/2+1,SUMIFS(Donnees_generations!$AC$3:$AC$113,Donnees_generations!$A$3:$A$113,MAX(1915,MIN(2025,E360))),SUMIFS(Donnees_generations!$AD$3:$AD$113,Donnees_generations!$A$3:$A$113,MAX(1915,MIN(2025,E360))),SUMIFS(Donnees_generations!$AE$3:$AE$113,Donnees_generations!$A$3:$A$113,MAX(1915,MIN(2025,E360))),SUMIFS(Donnees_generations!$AF$3:$AF$113,Donnees_generations!$A$3:$A$113,MAX(1915,MIN(2025,E360))),SUMIFS(Donnees_generations!$AG$3:$AG$113,Donnees_generations!$A$3:$A$113,MAX(1915,MIN(2025,E360))),SUMIFS(Donnees_generations!$AH$3:$AH$113,Donnees_generations!$A$3:$A$113,MAX(1915,MIN(2025,E360))),SUMIFS(Donnees_generations!$AI$3:$AI$113,Donnees_generations!$A$3:$A$113,MAX(1915,MIN(2025,E360))),SUMIFS(Donnees_generations!$AJ$3:$AJ$113,Donnees_generations!$A$3:$A$113,MAX(1915,MIN(2025,E360)))))/2</f>
        <v/>
      </c>
      <c r="AI360" s="75">
        <f>(CHOOSE(((AG360+2)-56)/2+1,SUMIFS(Donnees_generations!$U$3:$U$113,Donnees_generations!$A$3:$A$113,MAX(1915,MIN(2025,E360))),SUMIFS(Donnees_generations!$V$3:$V$113,Donnees_generations!$A$3:$A$113,MAX(1915,MIN(2025,E360))),SUMIFS(Donnees_generations!$W$3:$W$113,Donnees_generations!$A$3:$A$113,MAX(1915,MIN(2025,E360))),SUMIFS(Donnees_generations!$X$3:$X$113,Donnees_generations!$A$3:$A$113,MAX(1915,MIN(2025,E360))),SUMIFS(Donnees_generations!$Y$3:$Y$113,Donnees_generations!$A$3:$A$113,MAX(1915,MIN(2025,E360))),SUMIFS(Donnees_generations!$Z$3:$Z$113,Donnees_generations!$A$3:$A$113,MAX(1915,MIN(2025,E360))),SUMIFS(Donnees_generations!$AA$3:$AA$113,Donnees_generations!$A$3:$A$113,MAX(1915,MIN(2025,E360))),SUMIFS(Donnees_generations!$AB$3:$AB$113,Donnees_generations!$A$3:$A$113,MAX(1915,MIN(2025,E360))))+CHOOSE(((AG360+2)-56)/2+1,SUMIFS(Donnees_generations!$AC$3:$AC$113,Donnees_generations!$A$3:$A$113,MAX(1915,MIN(2025,E360))),SUMIFS(Donnees_generations!$AD$3:$AD$113,Donnees_generations!$A$3:$A$113,MAX(1915,MIN(2025,E360))),SUMIFS(Donnees_generations!$AE$3:$AE$113,Donnees_generations!$A$3:$A$113,MAX(1915,MIN(2025,E360))),SUMIFS(Donnees_generations!$AF$3:$AF$113,Donnees_generations!$A$3:$A$113,MAX(1915,MIN(2025,E360))),SUMIFS(Donnees_generations!$AG$3:$AG$113,Donnees_generations!$A$3:$A$113,MAX(1915,MIN(2025,E360))),SUMIFS(Donnees_generations!$AH$3:$AH$113,Donnees_generations!$A$3:$A$113,MAX(1915,MIN(2025,E360))),SUMIFS(Donnees_generations!$AI$3:$AI$113,Donnees_generations!$A$3:$A$113,MAX(1915,MIN(2025,E360))),SUMIFS(Donnees_generations!$AJ$3:$AJ$113,Donnees_generations!$A$3:$A$113,MAX(1915,MIN(2025,E360)))))/2</f>
        <v/>
      </c>
      <c r="AJ360" s="8">
        <f>MAX(0,AH360+(AI360-AH360)*(K360-AG360)/2)</f>
        <v/>
      </c>
      <c r="AK360" s="8">
        <f>K360+AJ360</f>
        <v/>
      </c>
      <c r="AL360" s="14">
        <f>AE360*AJ360</f>
        <v/>
      </c>
      <c r="AM360" s="17">
        <f>V360/AL360</f>
        <v/>
      </c>
      <c r="AN360" s="17">
        <f>Z360/AL360</f>
        <v/>
      </c>
      <c r="AO360" s="33">
        <f>IF(V360+Z360=0,0,Z360/(V360+Z360))</f>
        <v/>
      </c>
      <c r="AP360" s="14">
        <f>AL360/V360*100</f>
        <v/>
      </c>
      <c r="AQ360" s="8">
        <f>P360/AL360*1000</f>
        <v/>
      </c>
      <c r="AR360" s="77">
        <f>MAX(N360,M360-1)</f>
        <v/>
      </c>
      <c r="AS360" s="14">
        <f>SUMIFS(Donnees_regimes!$R$3:$R$1118,Donnees_regimes!$A$3:$A$1118,C360,Donnees_regimes!$B$3:$B$1118,"&gt;="&amp;G360,Donnees_regimes!$B$3:$B$1118,"&lt;="&amp;N360)*L360/ROUNDUP(L360,0)*SUMIFS(Donnees_annuelles!$AG$3:$AG$188,Donnees_annuelles!$A$3:$A$188,AR360)*SUMIFS(Donnees_annuelles!$AA$3:$AA$188,Donnees_annuelles!$A$3:$A$188,AR360)</f>
        <v/>
      </c>
      <c r="AT360" s="36">
        <f>AS360/V360</f>
        <v/>
      </c>
      <c r="AU360" s="14">
        <f>AL360</f>
        <v/>
      </c>
      <c r="AV360" s="39">
        <f>AS360-AL360</f>
        <v/>
      </c>
      <c r="AW360" s="9">
        <f>AS360/AL360-1</f>
        <v/>
      </c>
      <c r="AX360" s="14">
        <f>AS360/AJ360/12</f>
        <v/>
      </c>
      <c r="AY360" s="14">
        <f>AF360</f>
        <v/>
      </c>
      <c r="AZ360" s="39">
        <f>AX360-AF360</f>
        <v/>
      </c>
      <c r="BA360" s="14">
        <f>SUMIFS(Donnees_regimes!$S$3:$S$1118,Donnees_regimes!$A$3:$A$1118,C360,Donnees_regimes!$B$3:$B$1118,"&gt;="&amp;G360,Donnees_regimes!$B$3:$B$1118,"&lt;="&amp;N360)*L360/ROUNDUP(L360,0)*SUMIFS(Donnees_annuelles!$AH$3:$AH$188,Donnees_annuelles!$A$3:$A$188,AR360)*SUMIFS(Donnees_annuelles!$AA$3:$AA$188,Donnees_annuelles!$A$3:$A$188,AR360)</f>
        <v/>
      </c>
      <c r="BB360" s="39">
        <f>BA360-AL360</f>
        <v/>
      </c>
      <c r="BC360" s="7">
        <f>IF(M360+AJ360&gt;2026,IF(G360&gt;2026,"entièrement projeté","en partie projeté"),"observé")</f>
        <v/>
      </c>
    </row>
    <row r="361">
      <c r="A361" s="7" t="inlineStr">
        <is>
          <t>Génération Y</t>
        </is>
      </c>
      <c r="B361" s="84" t="inlineStr">
        <is>
          <t>SNCF</t>
        </is>
      </c>
      <c r="C361" s="7">
        <f>IF(G361&gt;=SUMIFS(Regimes!$C$5:$C$10,Regimes!$A$5:$A$10,B361),"Privé",B361)</f>
        <v/>
      </c>
      <c r="D361" s="7">
        <f>INDEX(Regimes!$D$5:$D$10,MATCH(C361,Regimes!$A$5:$A$10,0))</f>
        <v/>
      </c>
      <c r="E361" s="88" t="n">
        <v>1992</v>
      </c>
      <c r="F361" s="8">
        <f>Donnees_generations!C80</f>
        <v/>
      </c>
      <c r="G361" s="77">
        <f>Donnees_generations!D80</f>
        <v/>
      </c>
      <c r="H361" s="8">
        <f>SUMIFS(Donnees_generations!$S$3:$S$113,Donnees_generations!$A$3:$A$113,MAX(1915,MIN(2025,E361)))</f>
        <v/>
      </c>
      <c r="I361" s="8">
        <f>SUMIFS(Donnees_generations!$T$3:$T$113,Donnees_generations!$A$3:$A$113,MAX(1915,MIN(2025,E361)))</f>
        <v/>
      </c>
      <c r="J361" s="8">
        <f>IF(G361&gt;=2000,MAX(I361,Parametres!$B$3),I361)</f>
        <v/>
      </c>
      <c r="K361" s="8">
        <f>IF(C361="Privé",J361,SUMIFS(Regles_regimes!$J$3:$J$2000,Regles_regimes!$A$3:$A$2000,C361,Regles_regimes!$B$3:$B$2000,D361,Regles_regimes!$C$3:$C$2000,MAX(1915,MIN(2025,E361))))</f>
        <v/>
      </c>
      <c r="L361" s="8">
        <f>IF(C361="Privé",H361,(K361-F361)*H361/(J361-F361))</f>
        <v/>
      </c>
      <c r="M361" s="77">
        <f>INT(E361+K361)</f>
        <v/>
      </c>
      <c r="N361" s="77">
        <f>G361+ROUNDUP(L361,0)-1</f>
        <v/>
      </c>
      <c r="O361" s="89">
        <f>SUMIFS(Regles_regimes!$K$3:$K$2000,Regles_regimes!$A$3:$A$2000,C361,Regles_regimes!$B$3:$B$2000,D361,Regles_regimes!$C$3:$C$2000,MAX(1915,MIN(2025,E361)))</f>
        <v/>
      </c>
      <c r="P361" s="13">
        <f>SUMIFS(Donnees_annuelles!$W$3:$W$188,Donnees_annuelles!$A$3:$A$188,"&gt;="&amp;G361,Donnees_annuelles!$A$3:$A$188,"&lt;="&amp;N361)*L361/ROUNDUP(L361,0)*O361</f>
        <v/>
      </c>
      <c r="Q361" s="13">
        <f>SUMIFS(Donnees_annuelles!$V$3:$V$188,Donnees_annuelles!$A$3:$A$188,"&gt;="&amp;G361,Donnees_annuelles!$A$3:$A$188,"&lt;="&amp;N361)*L361/ROUNDUP(L361,0)</f>
        <v/>
      </c>
      <c r="R361" s="13">
        <f>P361/L361</f>
        <v/>
      </c>
      <c r="S361" s="14">
        <f>SUMIFS(Donnees_annuelles!$D$3:$D$188,Donnees_annuelles!$A$3:$A$188,"&gt;="&amp;G361,Donnees_annuelles!$A$3:$A$188,"&lt;="&amp;N361)*L361/ROUNDUP(L361,0)</f>
        <v/>
      </c>
      <c r="T361" s="14">
        <f>SUMIFS(Donnees_regimes!$N$3:$N$1118,Donnees_regimes!$A$3:$A$1118,C361,Donnees_regimes!$B$3:$B$1118,"&gt;="&amp;G361,Donnees_regimes!$B$3:$B$1118,"&lt;="&amp;N361)*L361/ROUNDUP(L361,0)</f>
        <v/>
      </c>
      <c r="U361" s="14">
        <f>SUMIFS(Donnees_regimes!$O$3:$O$1118,Donnees_regimes!$A$3:$A$1118,C361,Donnees_regimes!$B$3:$B$1118,"&gt;="&amp;G361,Donnees_regimes!$B$3:$B$1118,"&lt;="&amp;N361)*L361/ROUNDUP(L361,0)</f>
        <v/>
      </c>
      <c r="V361" s="14">
        <f>T361+U361</f>
        <v/>
      </c>
      <c r="W361" s="33">
        <f>V361/S361</f>
        <v/>
      </c>
      <c r="X361" s="14">
        <f>S361+U361</f>
        <v/>
      </c>
      <c r="Y361" s="17">
        <f>V361/P361</f>
        <v/>
      </c>
      <c r="Z361" s="14">
        <f>SUMIFS(Donnees_regimes!$Q$3:$Q$1118,Donnees_regimes!$A$3:$A$1118,C361,Donnees_regimes!$B$3:$B$1118,"&gt;="&amp;G361,Donnees_regimes!$B$3:$B$1118,"&lt;="&amp;N361)*L361/ROUNDUP(L361,0)</f>
        <v/>
      </c>
      <c r="AA361" s="77">
        <f>SUMIFS(Regles_regimes!$F$3:$F$2000,Regles_regimes!$A$3:$A$2000,C361,Regles_regimes!$B$3:$B$2000,D361,Regles_regimes!$C$3:$C$2000,MAX(1915,MIN(2025,E361)))</f>
        <v/>
      </c>
      <c r="AB361" s="77">
        <f>IF(AND(SUMIFS(Regles_regimes!$L$3:$L$2000,Regles_regimes!$A$3:$A$2000,C361,Regles_regimes!$B$3:$B$2000,D361,Regles_regimes!$C$3:$C$2000,MAX(1915,MIN(2025,E361)))=1,G361&lt;2009,C361&lt;&gt;"Privé"),MIN(20,L361*4/5),0)</f>
        <v/>
      </c>
      <c r="AC361" s="89">
        <f>SUMIFS(Donnees_regimes!$M$3:$M$1118,Donnees_regimes!$A$3:$A$1118,C361,Donnees_regimes!$B$3:$B$1118,M361)</f>
        <v/>
      </c>
      <c r="AD361" s="14">
        <f>SUMIFS(Donnees_annuelles!$Y$3:$Y$188,Donnees_annuelles!$A$3:$A$188,M361)*SUMIFS(Donnees_generations!$I$3:$I$113,Donnees_generations!$A$3:$A$113,MAX(1915,MIN(2025,E361)))/H361</f>
        <v/>
      </c>
      <c r="AE361" s="14">
        <f>IF(C361="Privé",SUMIFS(Donnees_annuelles!$Y$3:$Y$188,Donnees_annuelles!$A$3:$A$188,M361)*MIN(L361,SUMIFS(Donnees_generations!$I$3:$I$113,Donnees_generations!$A$3:$A$113,MAX(1915,MIN(2025,E361))))/L361,AD361*AC361*MIN(IF(AB361&gt;0,0.8/0.75,1),(L361*4+AB361)/AA361))</f>
        <v/>
      </c>
      <c r="AF361" s="14">
        <f>AE361/12</f>
        <v/>
      </c>
      <c r="AG361" s="77">
        <f>MIN(68,MAX(56,2*INT(K361/2)))</f>
        <v/>
      </c>
      <c r="AH361" s="75">
        <f>(CHOOSE((AG361-56)/2+1,SUMIFS(Donnees_generations!$U$3:$U$113,Donnees_generations!$A$3:$A$113,MAX(1915,MIN(2025,E361))),SUMIFS(Donnees_generations!$V$3:$V$113,Donnees_generations!$A$3:$A$113,MAX(1915,MIN(2025,E361))),SUMIFS(Donnees_generations!$W$3:$W$113,Donnees_generations!$A$3:$A$113,MAX(1915,MIN(2025,E361))),SUMIFS(Donnees_generations!$X$3:$X$113,Donnees_generations!$A$3:$A$113,MAX(1915,MIN(2025,E361))),SUMIFS(Donnees_generations!$Y$3:$Y$113,Donnees_generations!$A$3:$A$113,MAX(1915,MIN(2025,E361))),SUMIFS(Donnees_generations!$Z$3:$Z$113,Donnees_generations!$A$3:$A$113,MAX(1915,MIN(2025,E361))),SUMIFS(Donnees_generations!$AA$3:$AA$113,Donnees_generations!$A$3:$A$113,MAX(1915,MIN(2025,E361))),SUMIFS(Donnees_generations!$AB$3:$AB$113,Donnees_generations!$A$3:$A$113,MAX(1915,MIN(2025,E361))))+CHOOSE((AG361-56)/2+1,SUMIFS(Donnees_generations!$AC$3:$AC$113,Donnees_generations!$A$3:$A$113,MAX(1915,MIN(2025,E361))),SUMIFS(Donnees_generations!$AD$3:$AD$113,Donnees_generations!$A$3:$A$113,MAX(1915,MIN(2025,E361))),SUMIFS(Donnees_generations!$AE$3:$AE$113,Donnees_generations!$A$3:$A$113,MAX(1915,MIN(2025,E361))),SUMIFS(Donnees_generations!$AF$3:$AF$113,Donnees_generations!$A$3:$A$113,MAX(1915,MIN(2025,E361))),SUMIFS(Donnees_generations!$AG$3:$AG$113,Donnees_generations!$A$3:$A$113,MAX(1915,MIN(2025,E361))),SUMIFS(Donnees_generations!$AH$3:$AH$113,Donnees_generations!$A$3:$A$113,MAX(1915,MIN(2025,E361))),SUMIFS(Donnees_generations!$AI$3:$AI$113,Donnees_generations!$A$3:$A$113,MAX(1915,MIN(2025,E361))),SUMIFS(Donnees_generations!$AJ$3:$AJ$113,Donnees_generations!$A$3:$A$113,MAX(1915,MIN(2025,E361)))))/2</f>
        <v/>
      </c>
      <c r="AI361" s="75">
        <f>(CHOOSE(((AG361+2)-56)/2+1,SUMIFS(Donnees_generations!$U$3:$U$113,Donnees_generations!$A$3:$A$113,MAX(1915,MIN(2025,E361))),SUMIFS(Donnees_generations!$V$3:$V$113,Donnees_generations!$A$3:$A$113,MAX(1915,MIN(2025,E361))),SUMIFS(Donnees_generations!$W$3:$W$113,Donnees_generations!$A$3:$A$113,MAX(1915,MIN(2025,E361))),SUMIFS(Donnees_generations!$X$3:$X$113,Donnees_generations!$A$3:$A$113,MAX(1915,MIN(2025,E361))),SUMIFS(Donnees_generations!$Y$3:$Y$113,Donnees_generations!$A$3:$A$113,MAX(1915,MIN(2025,E361))),SUMIFS(Donnees_generations!$Z$3:$Z$113,Donnees_generations!$A$3:$A$113,MAX(1915,MIN(2025,E361))),SUMIFS(Donnees_generations!$AA$3:$AA$113,Donnees_generations!$A$3:$A$113,MAX(1915,MIN(2025,E361))),SUMIFS(Donnees_generations!$AB$3:$AB$113,Donnees_generations!$A$3:$A$113,MAX(1915,MIN(2025,E361))))+CHOOSE(((AG361+2)-56)/2+1,SUMIFS(Donnees_generations!$AC$3:$AC$113,Donnees_generations!$A$3:$A$113,MAX(1915,MIN(2025,E361))),SUMIFS(Donnees_generations!$AD$3:$AD$113,Donnees_generations!$A$3:$A$113,MAX(1915,MIN(2025,E361))),SUMIFS(Donnees_generations!$AE$3:$AE$113,Donnees_generations!$A$3:$A$113,MAX(1915,MIN(2025,E361))),SUMIFS(Donnees_generations!$AF$3:$AF$113,Donnees_generations!$A$3:$A$113,MAX(1915,MIN(2025,E361))),SUMIFS(Donnees_generations!$AG$3:$AG$113,Donnees_generations!$A$3:$A$113,MAX(1915,MIN(2025,E361))),SUMIFS(Donnees_generations!$AH$3:$AH$113,Donnees_generations!$A$3:$A$113,MAX(1915,MIN(2025,E361))),SUMIFS(Donnees_generations!$AI$3:$AI$113,Donnees_generations!$A$3:$A$113,MAX(1915,MIN(2025,E361))),SUMIFS(Donnees_generations!$AJ$3:$AJ$113,Donnees_generations!$A$3:$A$113,MAX(1915,MIN(2025,E361)))))/2</f>
        <v/>
      </c>
      <c r="AJ361" s="8">
        <f>MAX(0,AH361+(AI361-AH361)*(K361-AG361)/2)</f>
        <v/>
      </c>
      <c r="AK361" s="8">
        <f>K361+AJ361</f>
        <v/>
      </c>
      <c r="AL361" s="14">
        <f>AE361*AJ361</f>
        <v/>
      </c>
      <c r="AM361" s="17">
        <f>V361/AL361</f>
        <v/>
      </c>
      <c r="AN361" s="17">
        <f>Z361/AL361</f>
        <v/>
      </c>
      <c r="AO361" s="33">
        <f>IF(V361+Z361=0,0,Z361/(V361+Z361))</f>
        <v/>
      </c>
      <c r="AP361" s="14">
        <f>AL361/V361*100</f>
        <v/>
      </c>
      <c r="AQ361" s="8">
        <f>P361/AL361*1000</f>
        <v/>
      </c>
      <c r="AR361" s="77">
        <f>MAX(N361,M361-1)</f>
        <v/>
      </c>
      <c r="AS361" s="14">
        <f>SUMIFS(Donnees_regimes!$R$3:$R$1118,Donnees_regimes!$A$3:$A$1118,C361,Donnees_regimes!$B$3:$B$1118,"&gt;="&amp;G361,Donnees_regimes!$B$3:$B$1118,"&lt;="&amp;N361)*L361/ROUNDUP(L361,0)*SUMIFS(Donnees_annuelles!$AG$3:$AG$188,Donnees_annuelles!$A$3:$A$188,AR361)*SUMIFS(Donnees_annuelles!$AA$3:$AA$188,Donnees_annuelles!$A$3:$A$188,AR361)</f>
        <v/>
      </c>
      <c r="AT361" s="36">
        <f>AS361/V361</f>
        <v/>
      </c>
      <c r="AU361" s="14">
        <f>AL361</f>
        <v/>
      </c>
      <c r="AV361" s="39">
        <f>AS361-AL361</f>
        <v/>
      </c>
      <c r="AW361" s="9">
        <f>AS361/AL361-1</f>
        <v/>
      </c>
      <c r="AX361" s="14">
        <f>AS361/AJ361/12</f>
        <v/>
      </c>
      <c r="AY361" s="14">
        <f>AF361</f>
        <v/>
      </c>
      <c r="AZ361" s="39">
        <f>AX361-AF361</f>
        <v/>
      </c>
      <c r="BA361" s="14">
        <f>SUMIFS(Donnees_regimes!$S$3:$S$1118,Donnees_regimes!$A$3:$A$1118,C361,Donnees_regimes!$B$3:$B$1118,"&gt;="&amp;G361,Donnees_regimes!$B$3:$B$1118,"&lt;="&amp;N361)*L361/ROUNDUP(L361,0)*SUMIFS(Donnees_annuelles!$AH$3:$AH$188,Donnees_annuelles!$A$3:$A$188,AR361)*SUMIFS(Donnees_annuelles!$AA$3:$AA$188,Donnees_annuelles!$A$3:$A$188,AR361)</f>
        <v/>
      </c>
      <c r="BB361" s="39">
        <f>BA361-AL361</f>
        <v/>
      </c>
      <c r="BC361" s="7">
        <f>IF(M361+AJ361&gt;2026,IF(G361&gt;2026,"entièrement projeté","en partie projeté"),"observé")</f>
        <v/>
      </c>
    </row>
    <row r="362">
      <c r="A362" s="7" t="inlineStr">
        <is>
          <t>Génération Y</t>
        </is>
      </c>
      <c r="B362" s="84" t="inlineStr">
        <is>
          <t>SNCF</t>
        </is>
      </c>
      <c r="C362" s="7">
        <f>IF(G362&gt;=SUMIFS(Regimes!$C$5:$C$10,Regimes!$A$5:$A$10,B362),"Privé",B362)</f>
        <v/>
      </c>
      <c r="D362" s="7">
        <f>INDEX(Regimes!$D$5:$D$10,MATCH(C362,Regimes!$A$5:$A$10,0))</f>
        <v/>
      </c>
      <c r="E362" s="88" t="n">
        <v>1993</v>
      </c>
      <c r="F362" s="8">
        <f>Donnees_generations!C81</f>
        <v/>
      </c>
      <c r="G362" s="77">
        <f>Donnees_generations!D81</f>
        <v/>
      </c>
      <c r="H362" s="8">
        <f>SUMIFS(Donnees_generations!$S$3:$S$113,Donnees_generations!$A$3:$A$113,MAX(1915,MIN(2025,E362)))</f>
        <v/>
      </c>
      <c r="I362" s="8">
        <f>SUMIFS(Donnees_generations!$T$3:$T$113,Donnees_generations!$A$3:$A$113,MAX(1915,MIN(2025,E362)))</f>
        <v/>
      </c>
      <c r="J362" s="8">
        <f>IF(G362&gt;=2000,MAX(I362,Parametres!$B$3),I362)</f>
        <v/>
      </c>
      <c r="K362" s="8">
        <f>IF(C362="Privé",J362,SUMIFS(Regles_regimes!$J$3:$J$2000,Regles_regimes!$A$3:$A$2000,C362,Regles_regimes!$B$3:$B$2000,D362,Regles_regimes!$C$3:$C$2000,MAX(1915,MIN(2025,E362))))</f>
        <v/>
      </c>
      <c r="L362" s="8">
        <f>IF(C362="Privé",H362,(K362-F362)*H362/(J362-F362))</f>
        <v/>
      </c>
      <c r="M362" s="77">
        <f>INT(E362+K362)</f>
        <v/>
      </c>
      <c r="N362" s="77">
        <f>G362+ROUNDUP(L362,0)-1</f>
        <v/>
      </c>
      <c r="O362" s="89">
        <f>SUMIFS(Regles_regimes!$K$3:$K$2000,Regles_regimes!$A$3:$A$2000,C362,Regles_regimes!$B$3:$B$2000,D362,Regles_regimes!$C$3:$C$2000,MAX(1915,MIN(2025,E362)))</f>
        <v/>
      </c>
      <c r="P362" s="13">
        <f>SUMIFS(Donnees_annuelles!$W$3:$W$188,Donnees_annuelles!$A$3:$A$188,"&gt;="&amp;G362,Donnees_annuelles!$A$3:$A$188,"&lt;="&amp;N362)*L362/ROUNDUP(L362,0)*O362</f>
        <v/>
      </c>
      <c r="Q362" s="13">
        <f>SUMIFS(Donnees_annuelles!$V$3:$V$188,Donnees_annuelles!$A$3:$A$188,"&gt;="&amp;G362,Donnees_annuelles!$A$3:$A$188,"&lt;="&amp;N362)*L362/ROUNDUP(L362,0)</f>
        <v/>
      </c>
      <c r="R362" s="13">
        <f>P362/L362</f>
        <v/>
      </c>
      <c r="S362" s="14">
        <f>SUMIFS(Donnees_annuelles!$D$3:$D$188,Donnees_annuelles!$A$3:$A$188,"&gt;="&amp;G362,Donnees_annuelles!$A$3:$A$188,"&lt;="&amp;N362)*L362/ROUNDUP(L362,0)</f>
        <v/>
      </c>
      <c r="T362" s="14">
        <f>SUMIFS(Donnees_regimes!$N$3:$N$1118,Donnees_regimes!$A$3:$A$1118,C362,Donnees_regimes!$B$3:$B$1118,"&gt;="&amp;G362,Donnees_regimes!$B$3:$B$1118,"&lt;="&amp;N362)*L362/ROUNDUP(L362,0)</f>
        <v/>
      </c>
      <c r="U362" s="14">
        <f>SUMIFS(Donnees_regimes!$O$3:$O$1118,Donnees_regimes!$A$3:$A$1118,C362,Donnees_regimes!$B$3:$B$1118,"&gt;="&amp;G362,Donnees_regimes!$B$3:$B$1118,"&lt;="&amp;N362)*L362/ROUNDUP(L362,0)</f>
        <v/>
      </c>
      <c r="V362" s="14">
        <f>T362+U362</f>
        <v/>
      </c>
      <c r="W362" s="33">
        <f>V362/S362</f>
        <v/>
      </c>
      <c r="X362" s="14">
        <f>S362+U362</f>
        <v/>
      </c>
      <c r="Y362" s="17">
        <f>V362/P362</f>
        <v/>
      </c>
      <c r="Z362" s="14">
        <f>SUMIFS(Donnees_regimes!$Q$3:$Q$1118,Donnees_regimes!$A$3:$A$1118,C362,Donnees_regimes!$B$3:$B$1118,"&gt;="&amp;G362,Donnees_regimes!$B$3:$B$1118,"&lt;="&amp;N362)*L362/ROUNDUP(L362,0)</f>
        <v/>
      </c>
      <c r="AA362" s="77">
        <f>SUMIFS(Regles_regimes!$F$3:$F$2000,Regles_regimes!$A$3:$A$2000,C362,Regles_regimes!$B$3:$B$2000,D362,Regles_regimes!$C$3:$C$2000,MAX(1915,MIN(2025,E362)))</f>
        <v/>
      </c>
      <c r="AB362" s="77">
        <f>IF(AND(SUMIFS(Regles_regimes!$L$3:$L$2000,Regles_regimes!$A$3:$A$2000,C362,Regles_regimes!$B$3:$B$2000,D362,Regles_regimes!$C$3:$C$2000,MAX(1915,MIN(2025,E362)))=1,G362&lt;2009,C362&lt;&gt;"Privé"),MIN(20,L362*4/5),0)</f>
        <v/>
      </c>
      <c r="AC362" s="89">
        <f>SUMIFS(Donnees_regimes!$M$3:$M$1118,Donnees_regimes!$A$3:$A$1118,C362,Donnees_regimes!$B$3:$B$1118,M362)</f>
        <v/>
      </c>
      <c r="AD362" s="14">
        <f>SUMIFS(Donnees_annuelles!$Y$3:$Y$188,Donnees_annuelles!$A$3:$A$188,M362)*SUMIFS(Donnees_generations!$I$3:$I$113,Donnees_generations!$A$3:$A$113,MAX(1915,MIN(2025,E362)))/H362</f>
        <v/>
      </c>
      <c r="AE362" s="14">
        <f>IF(C362="Privé",SUMIFS(Donnees_annuelles!$Y$3:$Y$188,Donnees_annuelles!$A$3:$A$188,M362)*MIN(L362,SUMIFS(Donnees_generations!$I$3:$I$113,Donnees_generations!$A$3:$A$113,MAX(1915,MIN(2025,E362))))/L362,AD362*AC362*MIN(IF(AB362&gt;0,0.8/0.75,1),(L362*4+AB362)/AA362))</f>
        <v/>
      </c>
      <c r="AF362" s="14">
        <f>AE362/12</f>
        <v/>
      </c>
      <c r="AG362" s="77">
        <f>MIN(68,MAX(56,2*INT(K362/2)))</f>
        <v/>
      </c>
      <c r="AH362" s="75">
        <f>(CHOOSE((AG362-56)/2+1,SUMIFS(Donnees_generations!$U$3:$U$113,Donnees_generations!$A$3:$A$113,MAX(1915,MIN(2025,E362))),SUMIFS(Donnees_generations!$V$3:$V$113,Donnees_generations!$A$3:$A$113,MAX(1915,MIN(2025,E362))),SUMIFS(Donnees_generations!$W$3:$W$113,Donnees_generations!$A$3:$A$113,MAX(1915,MIN(2025,E362))),SUMIFS(Donnees_generations!$X$3:$X$113,Donnees_generations!$A$3:$A$113,MAX(1915,MIN(2025,E362))),SUMIFS(Donnees_generations!$Y$3:$Y$113,Donnees_generations!$A$3:$A$113,MAX(1915,MIN(2025,E362))),SUMIFS(Donnees_generations!$Z$3:$Z$113,Donnees_generations!$A$3:$A$113,MAX(1915,MIN(2025,E362))),SUMIFS(Donnees_generations!$AA$3:$AA$113,Donnees_generations!$A$3:$A$113,MAX(1915,MIN(2025,E362))),SUMIFS(Donnees_generations!$AB$3:$AB$113,Donnees_generations!$A$3:$A$113,MAX(1915,MIN(2025,E362))))+CHOOSE((AG362-56)/2+1,SUMIFS(Donnees_generations!$AC$3:$AC$113,Donnees_generations!$A$3:$A$113,MAX(1915,MIN(2025,E362))),SUMIFS(Donnees_generations!$AD$3:$AD$113,Donnees_generations!$A$3:$A$113,MAX(1915,MIN(2025,E362))),SUMIFS(Donnees_generations!$AE$3:$AE$113,Donnees_generations!$A$3:$A$113,MAX(1915,MIN(2025,E362))),SUMIFS(Donnees_generations!$AF$3:$AF$113,Donnees_generations!$A$3:$A$113,MAX(1915,MIN(2025,E362))),SUMIFS(Donnees_generations!$AG$3:$AG$113,Donnees_generations!$A$3:$A$113,MAX(1915,MIN(2025,E362))),SUMIFS(Donnees_generations!$AH$3:$AH$113,Donnees_generations!$A$3:$A$113,MAX(1915,MIN(2025,E362))),SUMIFS(Donnees_generations!$AI$3:$AI$113,Donnees_generations!$A$3:$A$113,MAX(1915,MIN(2025,E362))),SUMIFS(Donnees_generations!$AJ$3:$AJ$113,Donnees_generations!$A$3:$A$113,MAX(1915,MIN(2025,E362)))))/2</f>
        <v/>
      </c>
      <c r="AI362" s="75">
        <f>(CHOOSE(((AG362+2)-56)/2+1,SUMIFS(Donnees_generations!$U$3:$U$113,Donnees_generations!$A$3:$A$113,MAX(1915,MIN(2025,E362))),SUMIFS(Donnees_generations!$V$3:$V$113,Donnees_generations!$A$3:$A$113,MAX(1915,MIN(2025,E362))),SUMIFS(Donnees_generations!$W$3:$W$113,Donnees_generations!$A$3:$A$113,MAX(1915,MIN(2025,E362))),SUMIFS(Donnees_generations!$X$3:$X$113,Donnees_generations!$A$3:$A$113,MAX(1915,MIN(2025,E362))),SUMIFS(Donnees_generations!$Y$3:$Y$113,Donnees_generations!$A$3:$A$113,MAX(1915,MIN(2025,E362))),SUMIFS(Donnees_generations!$Z$3:$Z$113,Donnees_generations!$A$3:$A$113,MAX(1915,MIN(2025,E362))),SUMIFS(Donnees_generations!$AA$3:$AA$113,Donnees_generations!$A$3:$A$113,MAX(1915,MIN(2025,E362))),SUMIFS(Donnees_generations!$AB$3:$AB$113,Donnees_generations!$A$3:$A$113,MAX(1915,MIN(2025,E362))))+CHOOSE(((AG362+2)-56)/2+1,SUMIFS(Donnees_generations!$AC$3:$AC$113,Donnees_generations!$A$3:$A$113,MAX(1915,MIN(2025,E362))),SUMIFS(Donnees_generations!$AD$3:$AD$113,Donnees_generations!$A$3:$A$113,MAX(1915,MIN(2025,E362))),SUMIFS(Donnees_generations!$AE$3:$AE$113,Donnees_generations!$A$3:$A$113,MAX(1915,MIN(2025,E362))),SUMIFS(Donnees_generations!$AF$3:$AF$113,Donnees_generations!$A$3:$A$113,MAX(1915,MIN(2025,E362))),SUMIFS(Donnees_generations!$AG$3:$AG$113,Donnees_generations!$A$3:$A$113,MAX(1915,MIN(2025,E362))),SUMIFS(Donnees_generations!$AH$3:$AH$113,Donnees_generations!$A$3:$A$113,MAX(1915,MIN(2025,E362))),SUMIFS(Donnees_generations!$AI$3:$AI$113,Donnees_generations!$A$3:$A$113,MAX(1915,MIN(2025,E362))),SUMIFS(Donnees_generations!$AJ$3:$AJ$113,Donnees_generations!$A$3:$A$113,MAX(1915,MIN(2025,E362)))))/2</f>
        <v/>
      </c>
      <c r="AJ362" s="8">
        <f>MAX(0,AH362+(AI362-AH362)*(K362-AG362)/2)</f>
        <v/>
      </c>
      <c r="AK362" s="8">
        <f>K362+AJ362</f>
        <v/>
      </c>
      <c r="AL362" s="14">
        <f>AE362*AJ362</f>
        <v/>
      </c>
      <c r="AM362" s="17">
        <f>V362/AL362</f>
        <v/>
      </c>
      <c r="AN362" s="17">
        <f>Z362/AL362</f>
        <v/>
      </c>
      <c r="AO362" s="33">
        <f>IF(V362+Z362=0,0,Z362/(V362+Z362))</f>
        <v/>
      </c>
      <c r="AP362" s="14">
        <f>AL362/V362*100</f>
        <v/>
      </c>
      <c r="AQ362" s="8">
        <f>P362/AL362*1000</f>
        <v/>
      </c>
      <c r="AR362" s="77">
        <f>MAX(N362,M362-1)</f>
        <v/>
      </c>
      <c r="AS362" s="14">
        <f>SUMIFS(Donnees_regimes!$R$3:$R$1118,Donnees_regimes!$A$3:$A$1118,C362,Donnees_regimes!$B$3:$B$1118,"&gt;="&amp;G362,Donnees_regimes!$B$3:$B$1118,"&lt;="&amp;N362)*L362/ROUNDUP(L362,0)*SUMIFS(Donnees_annuelles!$AG$3:$AG$188,Donnees_annuelles!$A$3:$A$188,AR362)*SUMIFS(Donnees_annuelles!$AA$3:$AA$188,Donnees_annuelles!$A$3:$A$188,AR362)</f>
        <v/>
      </c>
      <c r="AT362" s="36">
        <f>AS362/V362</f>
        <v/>
      </c>
      <c r="AU362" s="14">
        <f>AL362</f>
        <v/>
      </c>
      <c r="AV362" s="39">
        <f>AS362-AL362</f>
        <v/>
      </c>
      <c r="AW362" s="9">
        <f>AS362/AL362-1</f>
        <v/>
      </c>
      <c r="AX362" s="14">
        <f>AS362/AJ362/12</f>
        <v/>
      </c>
      <c r="AY362" s="14">
        <f>AF362</f>
        <v/>
      </c>
      <c r="AZ362" s="39">
        <f>AX362-AF362</f>
        <v/>
      </c>
      <c r="BA362" s="14">
        <f>SUMIFS(Donnees_regimes!$S$3:$S$1118,Donnees_regimes!$A$3:$A$1118,C362,Donnees_regimes!$B$3:$B$1118,"&gt;="&amp;G362,Donnees_regimes!$B$3:$B$1118,"&lt;="&amp;N362)*L362/ROUNDUP(L362,0)*SUMIFS(Donnees_annuelles!$AH$3:$AH$188,Donnees_annuelles!$A$3:$A$188,AR362)*SUMIFS(Donnees_annuelles!$AA$3:$AA$188,Donnees_annuelles!$A$3:$A$188,AR362)</f>
        <v/>
      </c>
      <c r="BB362" s="39">
        <f>BA362-AL362</f>
        <v/>
      </c>
      <c r="BC362" s="7">
        <f>IF(M362+AJ362&gt;2026,IF(G362&gt;2026,"entièrement projeté","en partie projeté"),"observé")</f>
        <v/>
      </c>
    </row>
    <row r="363">
      <c r="A363" s="7" t="inlineStr">
        <is>
          <t>Génération Y</t>
        </is>
      </c>
      <c r="B363" s="84" t="inlineStr">
        <is>
          <t>SNCF</t>
        </is>
      </c>
      <c r="C363" s="7">
        <f>IF(G363&gt;=SUMIFS(Regimes!$C$5:$C$10,Regimes!$A$5:$A$10,B363),"Privé",B363)</f>
        <v/>
      </c>
      <c r="D363" s="7">
        <f>INDEX(Regimes!$D$5:$D$10,MATCH(C363,Regimes!$A$5:$A$10,0))</f>
        <v/>
      </c>
      <c r="E363" s="88" t="n">
        <v>1994</v>
      </c>
      <c r="F363" s="8">
        <f>Donnees_generations!C82</f>
        <v/>
      </c>
      <c r="G363" s="77">
        <f>Donnees_generations!D82</f>
        <v/>
      </c>
      <c r="H363" s="8">
        <f>SUMIFS(Donnees_generations!$S$3:$S$113,Donnees_generations!$A$3:$A$113,MAX(1915,MIN(2025,E363)))</f>
        <v/>
      </c>
      <c r="I363" s="8">
        <f>SUMIFS(Donnees_generations!$T$3:$T$113,Donnees_generations!$A$3:$A$113,MAX(1915,MIN(2025,E363)))</f>
        <v/>
      </c>
      <c r="J363" s="8">
        <f>IF(G363&gt;=2000,MAX(I363,Parametres!$B$3),I363)</f>
        <v/>
      </c>
      <c r="K363" s="8">
        <f>IF(C363="Privé",J363,SUMIFS(Regles_regimes!$J$3:$J$2000,Regles_regimes!$A$3:$A$2000,C363,Regles_regimes!$B$3:$B$2000,D363,Regles_regimes!$C$3:$C$2000,MAX(1915,MIN(2025,E363))))</f>
        <v/>
      </c>
      <c r="L363" s="8">
        <f>IF(C363="Privé",H363,(K363-F363)*H363/(J363-F363))</f>
        <v/>
      </c>
      <c r="M363" s="77">
        <f>INT(E363+K363)</f>
        <v/>
      </c>
      <c r="N363" s="77">
        <f>G363+ROUNDUP(L363,0)-1</f>
        <v/>
      </c>
      <c r="O363" s="89">
        <f>SUMIFS(Regles_regimes!$K$3:$K$2000,Regles_regimes!$A$3:$A$2000,C363,Regles_regimes!$B$3:$B$2000,D363,Regles_regimes!$C$3:$C$2000,MAX(1915,MIN(2025,E363)))</f>
        <v/>
      </c>
      <c r="P363" s="13">
        <f>SUMIFS(Donnees_annuelles!$W$3:$W$188,Donnees_annuelles!$A$3:$A$188,"&gt;="&amp;G363,Donnees_annuelles!$A$3:$A$188,"&lt;="&amp;N363)*L363/ROUNDUP(L363,0)*O363</f>
        <v/>
      </c>
      <c r="Q363" s="13">
        <f>SUMIFS(Donnees_annuelles!$V$3:$V$188,Donnees_annuelles!$A$3:$A$188,"&gt;="&amp;G363,Donnees_annuelles!$A$3:$A$188,"&lt;="&amp;N363)*L363/ROUNDUP(L363,0)</f>
        <v/>
      </c>
      <c r="R363" s="13">
        <f>P363/L363</f>
        <v/>
      </c>
      <c r="S363" s="14">
        <f>SUMIFS(Donnees_annuelles!$D$3:$D$188,Donnees_annuelles!$A$3:$A$188,"&gt;="&amp;G363,Donnees_annuelles!$A$3:$A$188,"&lt;="&amp;N363)*L363/ROUNDUP(L363,0)</f>
        <v/>
      </c>
      <c r="T363" s="14">
        <f>SUMIFS(Donnees_regimes!$N$3:$N$1118,Donnees_regimes!$A$3:$A$1118,C363,Donnees_regimes!$B$3:$B$1118,"&gt;="&amp;G363,Donnees_regimes!$B$3:$B$1118,"&lt;="&amp;N363)*L363/ROUNDUP(L363,0)</f>
        <v/>
      </c>
      <c r="U363" s="14">
        <f>SUMIFS(Donnees_regimes!$O$3:$O$1118,Donnees_regimes!$A$3:$A$1118,C363,Donnees_regimes!$B$3:$B$1118,"&gt;="&amp;G363,Donnees_regimes!$B$3:$B$1118,"&lt;="&amp;N363)*L363/ROUNDUP(L363,0)</f>
        <v/>
      </c>
      <c r="V363" s="14">
        <f>T363+U363</f>
        <v/>
      </c>
      <c r="W363" s="33">
        <f>V363/S363</f>
        <v/>
      </c>
      <c r="X363" s="14">
        <f>S363+U363</f>
        <v/>
      </c>
      <c r="Y363" s="17">
        <f>V363/P363</f>
        <v/>
      </c>
      <c r="Z363" s="14">
        <f>SUMIFS(Donnees_regimes!$Q$3:$Q$1118,Donnees_regimes!$A$3:$A$1118,C363,Donnees_regimes!$B$3:$B$1118,"&gt;="&amp;G363,Donnees_regimes!$B$3:$B$1118,"&lt;="&amp;N363)*L363/ROUNDUP(L363,0)</f>
        <v/>
      </c>
      <c r="AA363" s="77">
        <f>SUMIFS(Regles_regimes!$F$3:$F$2000,Regles_regimes!$A$3:$A$2000,C363,Regles_regimes!$B$3:$B$2000,D363,Regles_regimes!$C$3:$C$2000,MAX(1915,MIN(2025,E363)))</f>
        <v/>
      </c>
      <c r="AB363" s="77">
        <f>IF(AND(SUMIFS(Regles_regimes!$L$3:$L$2000,Regles_regimes!$A$3:$A$2000,C363,Regles_regimes!$B$3:$B$2000,D363,Regles_regimes!$C$3:$C$2000,MAX(1915,MIN(2025,E363)))=1,G363&lt;2009,C363&lt;&gt;"Privé"),MIN(20,L363*4/5),0)</f>
        <v/>
      </c>
      <c r="AC363" s="89">
        <f>SUMIFS(Donnees_regimes!$M$3:$M$1118,Donnees_regimes!$A$3:$A$1118,C363,Donnees_regimes!$B$3:$B$1118,M363)</f>
        <v/>
      </c>
      <c r="AD363" s="14">
        <f>SUMIFS(Donnees_annuelles!$Y$3:$Y$188,Donnees_annuelles!$A$3:$A$188,M363)*SUMIFS(Donnees_generations!$I$3:$I$113,Donnees_generations!$A$3:$A$113,MAX(1915,MIN(2025,E363)))/H363</f>
        <v/>
      </c>
      <c r="AE363" s="14">
        <f>IF(C363="Privé",SUMIFS(Donnees_annuelles!$Y$3:$Y$188,Donnees_annuelles!$A$3:$A$188,M363)*MIN(L363,SUMIFS(Donnees_generations!$I$3:$I$113,Donnees_generations!$A$3:$A$113,MAX(1915,MIN(2025,E363))))/L363,AD363*AC363*MIN(IF(AB363&gt;0,0.8/0.75,1),(L363*4+AB363)/AA363))</f>
        <v/>
      </c>
      <c r="AF363" s="14">
        <f>AE363/12</f>
        <v/>
      </c>
      <c r="AG363" s="77">
        <f>MIN(68,MAX(56,2*INT(K363/2)))</f>
        <v/>
      </c>
      <c r="AH363" s="75">
        <f>(CHOOSE((AG363-56)/2+1,SUMIFS(Donnees_generations!$U$3:$U$113,Donnees_generations!$A$3:$A$113,MAX(1915,MIN(2025,E363))),SUMIFS(Donnees_generations!$V$3:$V$113,Donnees_generations!$A$3:$A$113,MAX(1915,MIN(2025,E363))),SUMIFS(Donnees_generations!$W$3:$W$113,Donnees_generations!$A$3:$A$113,MAX(1915,MIN(2025,E363))),SUMIFS(Donnees_generations!$X$3:$X$113,Donnees_generations!$A$3:$A$113,MAX(1915,MIN(2025,E363))),SUMIFS(Donnees_generations!$Y$3:$Y$113,Donnees_generations!$A$3:$A$113,MAX(1915,MIN(2025,E363))),SUMIFS(Donnees_generations!$Z$3:$Z$113,Donnees_generations!$A$3:$A$113,MAX(1915,MIN(2025,E363))),SUMIFS(Donnees_generations!$AA$3:$AA$113,Donnees_generations!$A$3:$A$113,MAX(1915,MIN(2025,E363))),SUMIFS(Donnees_generations!$AB$3:$AB$113,Donnees_generations!$A$3:$A$113,MAX(1915,MIN(2025,E363))))+CHOOSE((AG363-56)/2+1,SUMIFS(Donnees_generations!$AC$3:$AC$113,Donnees_generations!$A$3:$A$113,MAX(1915,MIN(2025,E363))),SUMIFS(Donnees_generations!$AD$3:$AD$113,Donnees_generations!$A$3:$A$113,MAX(1915,MIN(2025,E363))),SUMIFS(Donnees_generations!$AE$3:$AE$113,Donnees_generations!$A$3:$A$113,MAX(1915,MIN(2025,E363))),SUMIFS(Donnees_generations!$AF$3:$AF$113,Donnees_generations!$A$3:$A$113,MAX(1915,MIN(2025,E363))),SUMIFS(Donnees_generations!$AG$3:$AG$113,Donnees_generations!$A$3:$A$113,MAX(1915,MIN(2025,E363))),SUMIFS(Donnees_generations!$AH$3:$AH$113,Donnees_generations!$A$3:$A$113,MAX(1915,MIN(2025,E363))),SUMIFS(Donnees_generations!$AI$3:$AI$113,Donnees_generations!$A$3:$A$113,MAX(1915,MIN(2025,E363))),SUMIFS(Donnees_generations!$AJ$3:$AJ$113,Donnees_generations!$A$3:$A$113,MAX(1915,MIN(2025,E363)))))/2</f>
        <v/>
      </c>
      <c r="AI363" s="75">
        <f>(CHOOSE(((AG363+2)-56)/2+1,SUMIFS(Donnees_generations!$U$3:$U$113,Donnees_generations!$A$3:$A$113,MAX(1915,MIN(2025,E363))),SUMIFS(Donnees_generations!$V$3:$V$113,Donnees_generations!$A$3:$A$113,MAX(1915,MIN(2025,E363))),SUMIFS(Donnees_generations!$W$3:$W$113,Donnees_generations!$A$3:$A$113,MAX(1915,MIN(2025,E363))),SUMIFS(Donnees_generations!$X$3:$X$113,Donnees_generations!$A$3:$A$113,MAX(1915,MIN(2025,E363))),SUMIFS(Donnees_generations!$Y$3:$Y$113,Donnees_generations!$A$3:$A$113,MAX(1915,MIN(2025,E363))),SUMIFS(Donnees_generations!$Z$3:$Z$113,Donnees_generations!$A$3:$A$113,MAX(1915,MIN(2025,E363))),SUMIFS(Donnees_generations!$AA$3:$AA$113,Donnees_generations!$A$3:$A$113,MAX(1915,MIN(2025,E363))),SUMIFS(Donnees_generations!$AB$3:$AB$113,Donnees_generations!$A$3:$A$113,MAX(1915,MIN(2025,E363))))+CHOOSE(((AG363+2)-56)/2+1,SUMIFS(Donnees_generations!$AC$3:$AC$113,Donnees_generations!$A$3:$A$113,MAX(1915,MIN(2025,E363))),SUMIFS(Donnees_generations!$AD$3:$AD$113,Donnees_generations!$A$3:$A$113,MAX(1915,MIN(2025,E363))),SUMIFS(Donnees_generations!$AE$3:$AE$113,Donnees_generations!$A$3:$A$113,MAX(1915,MIN(2025,E363))),SUMIFS(Donnees_generations!$AF$3:$AF$113,Donnees_generations!$A$3:$A$113,MAX(1915,MIN(2025,E363))),SUMIFS(Donnees_generations!$AG$3:$AG$113,Donnees_generations!$A$3:$A$113,MAX(1915,MIN(2025,E363))),SUMIFS(Donnees_generations!$AH$3:$AH$113,Donnees_generations!$A$3:$A$113,MAX(1915,MIN(2025,E363))),SUMIFS(Donnees_generations!$AI$3:$AI$113,Donnees_generations!$A$3:$A$113,MAX(1915,MIN(2025,E363))),SUMIFS(Donnees_generations!$AJ$3:$AJ$113,Donnees_generations!$A$3:$A$113,MAX(1915,MIN(2025,E363)))))/2</f>
        <v/>
      </c>
      <c r="AJ363" s="8">
        <f>MAX(0,AH363+(AI363-AH363)*(K363-AG363)/2)</f>
        <v/>
      </c>
      <c r="AK363" s="8">
        <f>K363+AJ363</f>
        <v/>
      </c>
      <c r="AL363" s="14">
        <f>AE363*AJ363</f>
        <v/>
      </c>
      <c r="AM363" s="17">
        <f>V363/AL363</f>
        <v/>
      </c>
      <c r="AN363" s="17">
        <f>Z363/AL363</f>
        <v/>
      </c>
      <c r="AO363" s="33">
        <f>IF(V363+Z363=0,0,Z363/(V363+Z363))</f>
        <v/>
      </c>
      <c r="AP363" s="14">
        <f>AL363/V363*100</f>
        <v/>
      </c>
      <c r="AQ363" s="8">
        <f>P363/AL363*1000</f>
        <v/>
      </c>
      <c r="AR363" s="77">
        <f>MAX(N363,M363-1)</f>
        <v/>
      </c>
      <c r="AS363" s="14">
        <f>SUMIFS(Donnees_regimes!$R$3:$R$1118,Donnees_regimes!$A$3:$A$1118,C363,Donnees_regimes!$B$3:$B$1118,"&gt;="&amp;G363,Donnees_regimes!$B$3:$B$1118,"&lt;="&amp;N363)*L363/ROUNDUP(L363,0)*SUMIFS(Donnees_annuelles!$AG$3:$AG$188,Donnees_annuelles!$A$3:$A$188,AR363)*SUMIFS(Donnees_annuelles!$AA$3:$AA$188,Donnees_annuelles!$A$3:$A$188,AR363)</f>
        <v/>
      </c>
      <c r="AT363" s="36">
        <f>AS363/V363</f>
        <v/>
      </c>
      <c r="AU363" s="14">
        <f>AL363</f>
        <v/>
      </c>
      <c r="AV363" s="39">
        <f>AS363-AL363</f>
        <v/>
      </c>
      <c r="AW363" s="9">
        <f>AS363/AL363-1</f>
        <v/>
      </c>
      <c r="AX363" s="14">
        <f>AS363/AJ363/12</f>
        <v/>
      </c>
      <c r="AY363" s="14">
        <f>AF363</f>
        <v/>
      </c>
      <c r="AZ363" s="39">
        <f>AX363-AF363</f>
        <v/>
      </c>
      <c r="BA363" s="14">
        <f>SUMIFS(Donnees_regimes!$S$3:$S$1118,Donnees_regimes!$A$3:$A$1118,C363,Donnees_regimes!$B$3:$B$1118,"&gt;="&amp;G363,Donnees_regimes!$B$3:$B$1118,"&lt;="&amp;N363)*L363/ROUNDUP(L363,0)*SUMIFS(Donnees_annuelles!$AH$3:$AH$188,Donnees_annuelles!$A$3:$A$188,AR363)*SUMIFS(Donnees_annuelles!$AA$3:$AA$188,Donnees_annuelles!$A$3:$A$188,AR363)</f>
        <v/>
      </c>
      <c r="BB363" s="39">
        <f>BA363-AL363</f>
        <v/>
      </c>
      <c r="BC363" s="7">
        <f>IF(M363+AJ363&gt;2026,IF(G363&gt;2026,"entièrement projeté","en partie projeté"),"observé")</f>
        <v/>
      </c>
    </row>
    <row r="364">
      <c r="A364" s="7" t="inlineStr">
        <is>
          <t>Génération Y</t>
        </is>
      </c>
      <c r="B364" s="84" t="inlineStr">
        <is>
          <t>SNCF</t>
        </is>
      </c>
      <c r="C364" s="7">
        <f>IF(G364&gt;=SUMIFS(Regimes!$C$5:$C$10,Regimes!$A$5:$A$10,B364),"Privé",B364)</f>
        <v/>
      </c>
      <c r="D364" s="7">
        <f>INDEX(Regimes!$D$5:$D$10,MATCH(C364,Regimes!$A$5:$A$10,0))</f>
        <v/>
      </c>
      <c r="E364" s="88" t="n">
        <v>1995</v>
      </c>
      <c r="F364" s="8">
        <f>Donnees_generations!C83</f>
        <v/>
      </c>
      <c r="G364" s="77">
        <f>Donnees_generations!D83</f>
        <v/>
      </c>
      <c r="H364" s="8">
        <f>SUMIFS(Donnees_generations!$S$3:$S$113,Donnees_generations!$A$3:$A$113,MAX(1915,MIN(2025,E364)))</f>
        <v/>
      </c>
      <c r="I364" s="8">
        <f>SUMIFS(Donnees_generations!$T$3:$T$113,Donnees_generations!$A$3:$A$113,MAX(1915,MIN(2025,E364)))</f>
        <v/>
      </c>
      <c r="J364" s="8">
        <f>IF(G364&gt;=2000,MAX(I364,Parametres!$B$3),I364)</f>
        <v/>
      </c>
      <c r="K364" s="8">
        <f>IF(C364="Privé",J364,SUMIFS(Regles_regimes!$J$3:$J$2000,Regles_regimes!$A$3:$A$2000,C364,Regles_regimes!$B$3:$B$2000,D364,Regles_regimes!$C$3:$C$2000,MAX(1915,MIN(2025,E364))))</f>
        <v/>
      </c>
      <c r="L364" s="8">
        <f>IF(C364="Privé",H364,(K364-F364)*H364/(J364-F364))</f>
        <v/>
      </c>
      <c r="M364" s="77">
        <f>INT(E364+K364)</f>
        <v/>
      </c>
      <c r="N364" s="77">
        <f>G364+ROUNDUP(L364,0)-1</f>
        <v/>
      </c>
      <c r="O364" s="89">
        <f>SUMIFS(Regles_regimes!$K$3:$K$2000,Regles_regimes!$A$3:$A$2000,C364,Regles_regimes!$B$3:$B$2000,D364,Regles_regimes!$C$3:$C$2000,MAX(1915,MIN(2025,E364)))</f>
        <v/>
      </c>
      <c r="P364" s="13">
        <f>SUMIFS(Donnees_annuelles!$W$3:$W$188,Donnees_annuelles!$A$3:$A$188,"&gt;="&amp;G364,Donnees_annuelles!$A$3:$A$188,"&lt;="&amp;N364)*L364/ROUNDUP(L364,0)*O364</f>
        <v/>
      </c>
      <c r="Q364" s="13">
        <f>SUMIFS(Donnees_annuelles!$V$3:$V$188,Donnees_annuelles!$A$3:$A$188,"&gt;="&amp;G364,Donnees_annuelles!$A$3:$A$188,"&lt;="&amp;N364)*L364/ROUNDUP(L364,0)</f>
        <v/>
      </c>
      <c r="R364" s="13">
        <f>P364/L364</f>
        <v/>
      </c>
      <c r="S364" s="14">
        <f>SUMIFS(Donnees_annuelles!$D$3:$D$188,Donnees_annuelles!$A$3:$A$188,"&gt;="&amp;G364,Donnees_annuelles!$A$3:$A$188,"&lt;="&amp;N364)*L364/ROUNDUP(L364,0)</f>
        <v/>
      </c>
      <c r="T364" s="14">
        <f>SUMIFS(Donnees_regimes!$N$3:$N$1118,Donnees_regimes!$A$3:$A$1118,C364,Donnees_regimes!$B$3:$B$1118,"&gt;="&amp;G364,Donnees_regimes!$B$3:$B$1118,"&lt;="&amp;N364)*L364/ROUNDUP(L364,0)</f>
        <v/>
      </c>
      <c r="U364" s="14">
        <f>SUMIFS(Donnees_regimes!$O$3:$O$1118,Donnees_regimes!$A$3:$A$1118,C364,Donnees_regimes!$B$3:$B$1118,"&gt;="&amp;G364,Donnees_regimes!$B$3:$B$1118,"&lt;="&amp;N364)*L364/ROUNDUP(L364,0)</f>
        <v/>
      </c>
      <c r="V364" s="14">
        <f>T364+U364</f>
        <v/>
      </c>
      <c r="W364" s="33">
        <f>V364/S364</f>
        <v/>
      </c>
      <c r="X364" s="14">
        <f>S364+U364</f>
        <v/>
      </c>
      <c r="Y364" s="17">
        <f>V364/P364</f>
        <v/>
      </c>
      <c r="Z364" s="14">
        <f>SUMIFS(Donnees_regimes!$Q$3:$Q$1118,Donnees_regimes!$A$3:$A$1118,C364,Donnees_regimes!$B$3:$B$1118,"&gt;="&amp;G364,Donnees_regimes!$B$3:$B$1118,"&lt;="&amp;N364)*L364/ROUNDUP(L364,0)</f>
        <v/>
      </c>
      <c r="AA364" s="77">
        <f>SUMIFS(Regles_regimes!$F$3:$F$2000,Regles_regimes!$A$3:$A$2000,C364,Regles_regimes!$B$3:$B$2000,D364,Regles_regimes!$C$3:$C$2000,MAX(1915,MIN(2025,E364)))</f>
        <v/>
      </c>
      <c r="AB364" s="77">
        <f>IF(AND(SUMIFS(Regles_regimes!$L$3:$L$2000,Regles_regimes!$A$3:$A$2000,C364,Regles_regimes!$B$3:$B$2000,D364,Regles_regimes!$C$3:$C$2000,MAX(1915,MIN(2025,E364)))=1,G364&lt;2009,C364&lt;&gt;"Privé"),MIN(20,L364*4/5),0)</f>
        <v/>
      </c>
      <c r="AC364" s="89">
        <f>SUMIFS(Donnees_regimes!$M$3:$M$1118,Donnees_regimes!$A$3:$A$1118,C364,Donnees_regimes!$B$3:$B$1118,M364)</f>
        <v/>
      </c>
      <c r="AD364" s="14">
        <f>SUMIFS(Donnees_annuelles!$Y$3:$Y$188,Donnees_annuelles!$A$3:$A$188,M364)*SUMIFS(Donnees_generations!$I$3:$I$113,Donnees_generations!$A$3:$A$113,MAX(1915,MIN(2025,E364)))/H364</f>
        <v/>
      </c>
      <c r="AE364" s="14">
        <f>IF(C364="Privé",SUMIFS(Donnees_annuelles!$Y$3:$Y$188,Donnees_annuelles!$A$3:$A$188,M364)*MIN(L364,SUMIFS(Donnees_generations!$I$3:$I$113,Donnees_generations!$A$3:$A$113,MAX(1915,MIN(2025,E364))))/L364,AD364*AC364*MIN(IF(AB364&gt;0,0.8/0.75,1),(L364*4+AB364)/AA364))</f>
        <v/>
      </c>
      <c r="AF364" s="14">
        <f>AE364/12</f>
        <v/>
      </c>
      <c r="AG364" s="77">
        <f>MIN(68,MAX(56,2*INT(K364/2)))</f>
        <v/>
      </c>
      <c r="AH364" s="75">
        <f>(CHOOSE((AG364-56)/2+1,SUMIFS(Donnees_generations!$U$3:$U$113,Donnees_generations!$A$3:$A$113,MAX(1915,MIN(2025,E364))),SUMIFS(Donnees_generations!$V$3:$V$113,Donnees_generations!$A$3:$A$113,MAX(1915,MIN(2025,E364))),SUMIFS(Donnees_generations!$W$3:$W$113,Donnees_generations!$A$3:$A$113,MAX(1915,MIN(2025,E364))),SUMIFS(Donnees_generations!$X$3:$X$113,Donnees_generations!$A$3:$A$113,MAX(1915,MIN(2025,E364))),SUMIFS(Donnees_generations!$Y$3:$Y$113,Donnees_generations!$A$3:$A$113,MAX(1915,MIN(2025,E364))),SUMIFS(Donnees_generations!$Z$3:$Z$113,Donnees_generations!$A$3:$A$113,MAX(1915,MIN(2025,E364))),SUMIFS(Donnees_generations!$AA$3:$AA$113,Donnees_generations!$A$3:$A$113,MAX(1915,MIN(2025,E364))),SUMIFS(Donnees_generations!$AB$3:$AB$113,Donnees_generations!$A$3:$A$113,MAX(1915,MIN(2025,E364))))+CHOOSE((AG364-56)/2+1,SUMIFS(Donnees_generations!$AC$3:$AC$113,Donnees_generations!$A$3:$A$113,MAX(1915,MIN(2025,E364))),SUMIFS(Donnees_generations!$AD$3:$AD$113,Donnees_generations!$A$3:$A$113,MAX(1915,MIN(2025,E364))),SUMIFS(Donnees_generations!$AE$3:$AE$113,Donnees_generations!$A$3:$A$113,MAX(1915,MIN(2025,E364))),SUMIFS(Donnees_generations!$AF$3:$AF$113,Donnees_generations!$A$3:$A$113,MAX(1915,MIN(2025,E364))),SUMIFS(Donnees_generations!$AG$3:$AG$113,Donnees_generations!$A$3:$A$113,MAX(1915,MIN(2025,E364))),SUMIFS(Donnees_generations!$AH$3:$AH$113,Donnees_generations!$A$3:$A$113,MAX(1915,MIN(2025,E364))),SUMIFS(Donnees_generations!$AI$3:$AI$113,Donnees_generations!$A$3:$A$113,MAX(1915,MIN(2025,E364))),SUMIFS(Donnees_generations!$AJ$3:$AJ$113,Donnees_generations!$A$3:$A$113,MAX(1915,MIN(2025,E364)))))/2</f>
        <v/>
      </c>
      <c r="AI364" s="75">
        <f>(CHOOSE(((AG364+2)-56)/2+1,SUMIFS(Donnees_generations!$U$3:$U$113,Donnees_generations!$A$3:$A$113,MAX(1915,MIN(2025,E364))),SUMIFS(Donnees_generations!$V$3:$V$113,Donnees_generations!$A$3:$A$113,MAX(1915,MIN(2025,E364))),SUMIFS(Donnees_generations!$W$3:$W$113,Donnees_generations!$A$3:$A$113,MAX(1915,MIN(2025,E364))),SUMIFS(Donnees_generations!$X$3:$X$113,Donnees_generations!$A$3:$A$113,MAX(1915,MIN(2025,E364))),SUMIFS(Donnees_generations!$Y$3:$Y$113,Donnees_generations!$A$3:$A$113,MAX(1915,MIN(2025,E364))),SUMIFS(Donnees_generations!$Z$3:$Z$113,Donnees_generations!$A$3:$A$113,MAX(1915,MIN(2025,E364))),SUMIFS(Donnees_generations!$AA$3:$AA$113,Donnees_generations!$A$3:$A$113,MAX(1915,MIN(2025,E364))),SUMIFS(Donnees_generations!$AB$3:$AB$113,Donnees_generations!$A$3:$A$113,MAX(1915,MIN(2025,E364))))+CHOOSE(((AG364+2)-56)/2+1,SUMIFS(Donnees_generations!$AC$3:$AC$113,Donnees_generations!$A$3:$A$113,MAX(1915,MIN(2025,E364))),SUMIFS(Donnees_generations!$AD$3:$AD$113,Donnees_generations!$A$3:$A$113,MAX(1915,MIN(2025,E364))),SUMIFS(Donnees_generations!$AE$3:$AE$113,Donnees_generations!$A$3:$A$113,MAX(1915,MIN(2025,E364))),SUMIFS(Donnees_generations!$AF$3:$AF$113,Donnees_generations!$A$3:$A$113,MAX(1915,MIN(2025,E364))),SUMIFS(Donnees_generations!$AG$3:$AG$113,Donnees_generations!$A$3:$A$113,MAX(1915,MIN(2025,E364))),SUMIFS(Donnees_generations!$AH$3:$AH$113,Donnees_generations!$A$3:$A$113,MAX(1915,MIN(2025,E364))),SUMIFS(Donnees_generations!$AI$3:$AI$113,Donnees_generations!$A$3:$A$113,MAX(1915,MIN(2025,E364))),SUMIFS(Donnees_generations!$AJ$3:$AJ$113,Donnees_generations!$A$3:$A$113,MAX(1915,MIN(2025,E364)))))/2</f>
        <v/>
      </c>
      <c r="AJ364" s="8">
        <f>MAX(0,AH364+(AI364-AH364)*(K364-AG364)/2)</f>
        <v/>
      </c>
      <c r="AK364" s="8">
        <f>K364+AJ364</f>
        <v/>
      </c>
      <c r="AL364" s="14">
        <f>AE364*AJ364</f>
        <v/>
      </c>
      <c r="AM364" s="17">
        <f>V364/AL364</f>
        <v/>
      </c>
      <c r="AN364" s="17">
        <f>Z364/AL364</f>
        <v/>
      </c>
      <c r="AO364" s="33">
        <f>IF(V364+Z364=0,0,Z364/(V364+Z364))</f>
        <v/>
      </c>
      <c r="AP364" s="14">
        <f>AL364/V364*100</f>
        <v/>
      </c>
      <c r="AQ364" s="8">
        <f>P364/AL364*1000</f>
        <v/>
      </c>
      <c r="AR364" s="77">
        <f>MAX(N364,M364-1)</f>
        <v/>
      </c>
      <c r="AS364" s="14">
        <f>SUMIFS(Donnees_regimes!$R$3:$R$1118,Donnees_regimes!$A$3:$A$1118,C364,Donnees_regimes!$B$3:$B$1118,"&gt;="&amp;G364,Donnees_regimes!$B$3:$B$1118,"&lt;="&amp;N364)*L364/ROUNDUP(L364,0)*SUMIFS(Donnees_annuelles!$AG$3:$AG$188,Donnees_annuelles!$A$3:$A$188,AR364)*SUMIFS(Donnees_annuelles!$AA$3:$AA$188,Donnees_annuelles!$A$3:$A$188,AR364)</f>
        <v/>
      </c>
      <c r="AT364" s="36">
        <f>AS364/V364</f>
        <v/>
      </c>
      <c r="AU364" s="14">
        <f>AL364</f>
        <v/>
      </c>
      <c r="AV364" s="39">
        <f>AS364-AL364</f>
        <v/>
      </c>
      <c r="AW364" s="9">
        <f>AS364/AL364-1</f>
        <v/>
      </c>
      <c r="AX364" s="14">
        <f>AS364/AJ364/12</f>
        <v/>
      </c>
      <c r="AY364" s="14">
        <f>AF364</f>
        <v/>
      </c>
      <c r="AZ364" s="39">
        <f>AX364-AF364</f>
        <v/>
      </c>
      <c r="BA364" s="14">
        <f>SUMIFS(Donnees_regimes!$S$3:$S$1118,Donnees_regimes!$A$3:$A$1118,C364,Donnees_regimes!$B$3:$B$1118,"&gt;="&amp;G364,Donnees_regimes!$B$3:$B$1118,"&lt;="&amp;N364)*L364/ROUNDUP(L364,0)*SUMIFS(Donnees_annuelles!$AH$3:$AH$188,Donnees_annuelles!$A$3:$A$188,AR364)*SUMIFS(Donnees_annuelles!$AA$3:$AA$188,Donnees_annuelles!$A$3:$A$188,AR364)</f>
        <v/>
      </c>
      <c r="BB364" s="39">
        <f>BA364-AL364</f>
        <v/>
      </c>
      <c r="BC364" s="7">
        <f>IF(M364+AJ364&gt;2026,IF(G364&gt;2026,"entièrement projeté","en partie projeté"),"observé")</f>
        <v/>
      </c>
    </row>
    <row r="365">
      <c r="A365" s="7" t="inlineStr">
        <is>
          <t>Génération Y</t>
        </is>
      </c>
      <c r="B365" s="84" t="inlineStr">
        <is>
          <t>SNCF</t>
        </is>
      </c>
      <c r="C365" s="7">
        <f>IF(G365&gt;=SUMIFS(Regimes!$C$5:$C$10,Regimes!$A$5:$A$10,B365),"Privé",B365)</f>
        <v/>
      </c>
      <c r="D365" s="7">
        <f>INDEX(Regimes!$D$5:$D$10,MATCH(C365,Regimes!$A$5:$A$10,0))</f>
        <v/>
      </c>
      <c r="E365" s="88" t="n">
        <v>1996</v>
      </c>
      <c r="F365" s="8">
        <f>Donnees_generations!C84</f>
        <v/>
      </c>
      <c r="G365" s="77">
        <f>Donnees_generations!D84</f>
        <v/>
      </c>
      <c r="H365" s="8">
        <f>SUMIFS(Donnees_generations!$S$3:$S$113,Donnees_generations!$A$3:$A$113,MAX(1915,MIN(2025,E365)))</f>
        <v/>
      </c>
      <c r="I365" s="8">
        <f>SUMIFS(Donnees_generations!$T$3:$T$113,Donnees_generations!$A$3:$A$113,MAX(1915,MIN(2025,E365)))</f>
        <v/>
      </c>
      <c r="J365" s="8">
        <f>IF(G365&gt;=2000,MAX(I365,Parametres!$B$3),I365)</f>
        <v/>
      </c>
      <c r="K365" s="8">
        <f>IF(C365="Privé",J365,SUMIFS(Regles_regimes!$J$3:$J$2000,Regles_regimes!$A$3:$A$2000,C365,Regles_regimes!$B$3:$B$2000,D365,Regles_regimes!$C$3:$C$2000,MAX(1915,MIN(2025,E365))))</f>
        <v/>
      </c>
      <c r="L365" s="8">
        <f>IF(C365="Privé",H365,(K365-F365)*H365/(J365-F365))</f>
        <v/>
      </c>
      <c r="M365" s="77">
        <f>INT(E365+K365)</f>
        <v/>
      </c>
      <c r="N365" s="77">
        <f>G365+ROUNDUP(L365,0)-1</f>
        <v/>
      </c>
      <c r="O365" s="89">
        <f>SUMIFS(Regles_regimes!$K$3:$K$2000,Regles_regimes!$A$3:$A$2000,C365,Regles_regimes!$B$3:$B$2000,D365,Regles_regimes!$C$3:$C$2000,MAX(1915,MIN(2025,E365)))</f>
        <v/>
      </c>
      <c r="P365" s="13">
        <f>SUMIFS(Donnees_annuelles!$W$3:$W$188,Donnees_annuelles!$A$3:$A$188,"&gt;="&amp;G365,Donnees_annuelles!$A$3:$A$188,"&lt;="&amp;N365)*L365/ROUNDUP(L365,0)*O365</f>
        <v/>
      </c>
      <c r="Q365" s="13">
        <f>SUMIFS(Donnees_annuelles!$V$3:$V$188,Donnees_annuelles!$A$3:$A$188,"&gt;="&amp;G365,Donnees_annuelles!$A$3:$A$188,"&lt;="&amp;N365)*L365/ROUNDUP(L365,0)</f>
        <v/>
      </c>
      <c r="R365" s="13">
        <f>P365/L365</f>
        <v/>
      </c>
      <c r="S365" s="14">
        <f>SUMIFS(Donnees_annuelles!$D$3:$D$188,Donnees_annuelles!$A$3:$A$188,"&gt;="&amp;G365,Donnees_annuelles!$A$3:$A$188,"&lt;="&amp;N365)*L365/ROUNDUP(L365,0)</f>
        <v/>
      </c>
      <c r="T365" s="14">
        <f>SUMIFS(Donnees_regimes!$N$3:$N$1118,Donnees_regimes!$A$3:$A$1118,C365,Donnees_regimes!$B$3:$B$1118,"&gt;="&amp;G365,Donnees_regimes!$B$3:$B$1118,"&lt;="&amp;N365)*L365/ROUNDUP(L365,0)</f>
        <v/>
      </c>
      <c r="U365" s="14">
        <f>SUMIFS(Donnees_regimes!$O$3:$O$1118,Donnees_regimes!$A$3:$A$1118,C365,Donnees_regimes!$B$3:$B$1118,"&gt;="&amp;G365,Donnees_regimes!$B$3:$B$1118,"&lt;="&amp;N365)*L365/ROUNDUP(L365,0)</f>
        <v/>
      </c>
      <c r="V365" s="14">
        <f>T365+U365</f>
        <v/>
      </c>
      <c r="W365" s="33">
        <f>V365/S365</f>
        <v/>
      </c>
      <c r="X365" s="14">
        <f>S365+U365</f>
        <v/>
      </c>
      <c r="Y365" s="17">
        <f>V365/P365</f>
        <v/>
      </c>
      <c r="Z365" s="14">
        <f>SUMIFS(Donnees_regimes!$Q$3:$Q$1118,Donnees_regimes!$A$3:$A$1118,C365,Donnees_regimes!$B$3:$B$1118,"&gt;="&amp;G365,Donnees_regimes!$B$3:$B$1118,"&lt;="&amp;N365)*L365/ROUNDUP(L365,0)</f>
        <v/>
      </c>
      <c r="AA365" s="77">
        <f>SUMIFS(Regles_regimes!$F$3:$F$2000,Regles_regimes!$A$3:$A$2000,C365,Regles_regimes!$B$3:$B$2000,D365,Regles_regimes!$C$3:$C$2000,MAX(1915,MIN(2025,E365)))</f>
        <v/>
      </c>
      <c r="AB365" s="77">
        <f>IF(AND(SUMIFS(Regles_regimes!$L$3:$L$2000,Regles_regimes!$A$3:$A$2000,C365,Regles_regimes!$B$3:$B$2000,D365,Regles_regimes!$C$3:$C$2000,MAX(1915,MIN(2025,E365)))=1,G365&lt;2009,C365&lt;&gt;"Privé"),MIN(20,L365*4/5),0)</f>
        <v/>
      </c>
      <c r="AC365" s="89">
        <f>SUMIFS(Donnees_regimes!$M$3:$M$1118,Donnees_regimes!$A$3:$A$1118,C365,Donnees_regimes!$B$3:$B$1118,M365)</f>
        <v/>
      </c>
      <c r="AD365" s="14">
        <f>SUMIFS(Donnees_annuelles!$Y$3:$Y$188,Donnees_annuelles!$A$3:$A$188,M365)*SUMIFS(Donnees_generations!$I$3:$I$113,Donnees_generations!$A$3:$A$113,MAX(1915,MIN(2025,E365)))/H365</f>
        <v/>
      </c>
      <c r="AE365" s="14">
        <f>IF(C365="Privé",SUMIFS(Donnees_annuelles!$Y$3:$Y$188,Donnees_annuelles!$A$3:$A$188,M365)*MIN(L365,SUMIFS(Donnees_generations!$I$3:$I$113,Donnees_generations!$A$3:$A$113,MAX(1915,MIN(2025,E365))))/L365,AD365*AC365*MIN(IF(AB365&gt;0,0.8/0.75,1),(L365*4+AB365)/AA365))</f>
        <v/>
      </c>
      <c r="AF365" s="14">
        <f>AE365/12</f>
        <v/>
      </c>
      <c r="AG365" s="77">
        <f>MIN(68,MAX(56,2*INT(K365/2)))</f>
        <v/>
      </c>
      <c r="AH365" s="75">
        <f>(CHOOSE((AG365-56)/2+1,SUMIFS(Donnees_generations!$U$3:$U$113,Donnees_generations!$A$3:$A$113,MAX(1915,MIN(2025,E365))),SUMIFS(Donnees_generations!$V$3:$V$113,Donnees_generations!$A$3:$A$113,MAX(1915,MIN(2025,E365))),SUMIFS(Donnees_generations!$W$3:$W$113,Donnees_generations!$A$3:$A$113,MAX(1915,MIN(2025,E365))),SUMIFS(Donnees_generations!$X$3:$X$113,Donnees_generations!$A$3:$A$113,MAX(1915,MIN(2025,E365))),SUMIFS(Donnees_generations!$Y$3:$Y$113,Donnees_generations!$A$3:$A$113,MAX(1915,MIN(2025,E365))),SUMIFS(Donnees_generations!$Z$3:$Z$113,Donnees_generations!$A$3:$A$113,MAX(1915,MIN(2025,E365))),SUMIFS(Donnees_generations!$AA$3:$AA$113,Donnees_generations!$A$3:$A$113,MAX(1915,MIN(2025,E365))),SUMIFS(Donnees_generations!$AB$3:$AB$113,Donnees_generations!$A$3:$A$113,MAX(1915,MIN(2025,E365))))+CHOOSE((AG365-56)/2+1,SUMIFS(Donnees_generations!$AC$3:$AC$113,Donnees_generations!$A$3:$A$113,MAX(1915,MIN(2025,E365))),SUMIFS(Donnees_generations!$AD$3:$AD$113,Donnees_generations!$A$3:$A$113,MAX(1915,MIN(2025,E365))),SUMIFS(Donnees_generations!$AE$3:$AE$113,Donnees_generations!$A$3:$A$113,MAX(1915,MIN(2025,E365))),SUMIFS(Donnees_generations!$AF$3:$AF$113,Donnees_generations!$A$3:$A$113,MAX(1915,MIN(2025,E365))),SUMIFS(Donnees_generations!$AG$3:$AG$113,Donnees_generations!$A$3:$A$113,MAX(1915,MIN(2025,E365))),SUMIFS(Donnees_generations!$AH$3:$AH$113,Donnees_generations!$A$3:$A$113,MAX(1915,MIN(2025,E365))),SUMIFS(Donnees_generations!$AI$3:$AI$113,Donnees_generations!$A$3:$A$113,MAX(1915,MIN(2025,E365))),SUMIFS(Donnees_generations!$AJ$3:$AJ$113,Donnees_generations!$A$3:$A$113,MAX(1915,MIN(2025,E365)))))/2</f>
        <v/>
      </c>
      <c r="AI365" s="75">
        <f>(CHOOSE(((AG365+2)-56)/2+1,SUMIFS(Donnees_generations!$U$3:$U$113,Donnees_generations!$A$3:$A$113,MAX(1915,MIN(2025,E365))),SUMIFS(Donnees_generations!$V$3:$V$113,Donnees_generations!$A$3:$A$113,MAX(1915,MIN(2025,E365))),SUMIFS(Donnees_generations!$W$3:$W$113,Donnees_generations!$A$3:$A$113,MAX(1915,MIN(2025,E365))),SUMIFS(Donnees_generations!$X$3:$X$113,Donnees_generations!$A$3:$A$113,MAX(1915,MIN(2025,E365))),SUMIFS(Donnees_generations!$Y$3:$Y$113,Donnees_generations!$A$3:$A$113,MAX(1915,MIN(2025,E365))),SUMIFS(Donnees_generations!$Z$3:$Z$113,Donnees_generations!$A$3:$A$113,MAX(1915,MIN(2025,E365))),SUMIFS(Donnees_generations!$AA$3:$AA$113,Donnees_generations!$A$3:$A$113,MAX(1915,MIN(2025,E365))),SUMIFS(Donnees_generations!$AB$3:$AB$113,Donnees_generations!$A$3:$A$113,MAX(1915,MIN(2025,E365))))+CHOOSE(((AG365+2)-56)/2+1,SUMIFS(Donnees_generations!$AC$3:$AC$113,Donnees_generations!$A$3:$A$113,MAX(1915,MIN(2025,E365))),SUMIFS(Donnees_generations!$AD$3:$AD$113,Donnees_generations!$A$3:$A$113,MAX(1915,MIN(2025,E365))),SUMIFS(Donnees_generations!$AE$3:$AE$113,Donnees_generations!$A$3:$A$113,MAX(1915,MIN(2025,E365))),SUMIFS(Donnees_generations!$AF$3:$AF$113,Donnees_generations!$A$3:$A$113,MAX(1915,MIN(2025,E365))),SUMIFS(Donnees_generations!$AG$3:$AG$113,Donnees_generations!$A$3:$A$113,MAX(1915,MIN(2025,E365))),SUMIFS(Donnees_generations!$AH$3:$AH$113,Donnees_generations!$A$3:$A$113,MAX(1915,MIN(2025,E365))),SUMIFS(Donnees_generations!$AI$3:$AI$113,Donnees_generations!$A$3:$A$113,MAX(1915,MIN(2025,E365))),SUMIFS(Donnees_generations!$AJ$3:$AJ$113,Donnees_generations!$A$3:$A$113,MAX(1915,MIN(2025,E365)))))/2</f>
        <v/>
      </c>
      <c r="AJ365" s="8">
        <f>MAX(0,AH365+(AI365-AH365)*(K365-AG365)/2)</f>
        <v/>
      </c>
      <c r="AK365" s="8">
        <f>K365+AJ365</f>
        <v/>
      </c>
      <c r="AL365" s="14">
        <f>AE365*AJ365</f>
        <v/>
      </c>
      <c r="AM365" s="17">
        <f>V365/AL365</f>
        <v/>
      </c>
      <c r="AN365" s="17">
        <f>Z365/AL365</f>
        <v/>
      </c>
      <c r="AO365" s="33">
        <f>IF(V365+Z365=0,0,Z365/(V365+Z365))</f>
        <v/>
      </c>
      <c r="AP365" s="14">
        <f>AL365/V365*100</f>
        <v/>
      </c>
      <c r="AQ365" s="8">
        <f>P365/AL365*1000</f>
        <v/>
      </c>
      <c r="AR365" s="77">
        <f>MAX(N365,M365-1)</f>
        <v/>
      </c>
      <c r="AS365" s="14">
        <f>SUMIFS(Donnees_regimes!$R$3:$R$1118,Donnees_regimes!$A$3:$A$1118,C365,Donnees_regimes!$B$3:$B$1118,"&gt;="&amp;G365,Donnees_regimes!$B$3:$B$1118,"&lt;="&amp;N365)*L365/ROUNDUP(L365,0)*SUMIFS(Donnees_annuelles!$AG$3:$AG$188,Donnees_annuelles!$A$3:$A$188,AR365)*SUMIFS(Donnees_annuelles!$AA$3:$AA$188,Donnees_annuelles!$A$3:$A$188,AR365)</f>
        <v/>
      </c>
      <c r="AT365" s="36">
        <f>AS365/V365</f>
        <v/>
      </c>
      <c r="AU365" s="14">
        <f>AL365</f>
        <v/>
      </c>
      <c r="AV365" s="39">
        <f>AS365-AL365</f>
        <v/>
      </c>
      <c r="AW365" s="9">
        <f>AS365/AL365-1</f>
        <v/>
      </c>
      <c r="AX365" s="14">
        <f>AS365/AJ365/12</f>
        <v/>
      </c>
      <c r="AY365" s="14">
        <f>AF365</f>
        <v/>
      </c>
      <c r="AZ365" s="39">
        <f>AX365-AF365</f>
        <v/>
      </c>
      <c r="BA365" s="14">
        <f>SUMIFS(Donnees_regimes!$S$3:$S$1118,Donnees_regimes!$A$3:$A$1118,C365,Donnees_regimes!$B$3:$B$1118,"&gt;="&amp;G365,Donnees_regimes!$B$3:$B$1118,"&lt;="&amp;N365)*L365/ROUNDUP(L365,0)*SUMIFS(Donnees_annuelles!$AH$3:$AH$188,Donnees_annuelles!$A$3:$A$188,AR365)*SUMIFS(Donnees_annuelles!$AA$3:$AA$188,Donnees_annuelles!$A$3:$A$188,AR365)</f>
        <v/>
      </c>
      <c r="BB365" s="39">
        <f>BA365-AL365</f>
        <v/>
      </c>
      <c r="BC365" s="7">
        <f>IF(M365+AJ365&gt;2026,IF(G365&gt;2026,"entièrement projeté","en partie projeté"),"observé")</f>
        <v/>
      </c>
    </row>
    <row r="366">
      <c r="A366" s="7" t="inlineStr">
        <is>
          <t>Génération Z</t>
        </is>
      </c>
      <c r="B366" s="84" t="inlineStr">
        <is>
          <t>SNCF</t>
        </is>
      </c>
      <c r="C366" s="7">
        <f>IF(G366&gt;=SUMIFS(Regimes!$C$5:$C$10,Regimes!$A$5:$A$10,B366),"Privé",B366)</f>
        <v/>
      </c>
      <c r="D366" s="7">
        <f>INDEX(Regimes!$D$5:$D$10,MATCH(C366,Regimes!$A$5:$A$10,0))</f>
        <v/>
      </c>
      <c r="E366" s="88" t="n">
        <v>1997</v>
      </c>
      <c r="F366" s="8">
        <f>Donnees_generations!C85</f>
        <v/>
      </c>
      <c r="G366" s="77">
        <f>Donnees_generations!D85</f>
        <v/>
      </c>
      <c r="H366" s="8">
        <f>SUMIFS(Donnees_generations!$S$3:$S$113,Donnees_generations!$A$3:$A$113,MAX(1915,MIN(2025,E366)))</f>
        <v/>
      </c>
      <c r="I366" s="8">
        <f>SUMIFS(Donnees_generations!$T$3:$T$113,Donnees_generations!$A$3:$A$113,MAX(1915,MIN(2025,E366)))</f>
        <v/>
      </c>
      <c r="J366" s="8">
        <f>IF(G366&gt;=2000,MAX(I366,Parametres!$B$3),I366)</f>
        <v/>
      </c>
      <c r="K366" s="8">
        <f>IF(C366="Privé",J366,SUMIFS(Regles_regimes!$J$3:$J$2000,Regles_regimes!$A$3:$A$2000,C366,Regles_regimes!$B$3:$B$2000,D366,Regles_regimes!$C$3:$C$2000,MAX(1915,MIN(2025,E366))))</f>
        <v/>
      </c>
      <c r="L366" s="8">
        <f>IF(C366="Privé",H366,(K366-F366)*H366/(J366-F366))</f>
        <v/>
      </c>
      <c r="M366" s="77">
        <f>INT(E366+K366)</f>
        <v/>
      </c>
      <c r="N366" s="77">
        <f>G366+ROUNDUP(L366,0)-1</f>
        <v/>
      </c>
      <c r="O366" s="89">
        <f>SUMIFS(Regles_regimes!$K$3:$K$2000,Regles_regimes!$A$3:$A$2000,C366,Regles_regimes!$B$3:$B$2000,D366,Regles_regimes!$C$3:$C$2000,MAX(1915,MIN(2025,E366)))</f>
        <v/>
      </c>
      <c r="P366" s="13">
        <f>SUMIFS(Donnees_annuelles!$W$3:$W$188,Donnees_annuelles!$A$3:$A$188,"&gt;="&amp;G366,Donnees_annuelles!$A$3:$A$188,"&lt;="&amp;N366)*L366/ROUNDUP(L366,0)*O366</f>
        <v/>
      </c>
      <c r="Q366" s="13">
        <f>SUMIFS(Donnees_annuelles!$V$3:$V$188,Donnees_annuelles!$A$3:$A$188,"&gt;="&amp;G366,Donnees_annuelles!$A$3:$A$188,"&lt;="&amp;N366)*L366/ROUNDUP(L366,0)</f>
        <v/>
      </c>
      <c r="R366" s="13">
        <f>P366/L366</f>
        <v/>
      </c>
      <c r="S366" s="14">
        <f>SUMIFS(Donnees_annuelles!$D$3:$D$188,Donnees_annuelles!$A$3:$A$188,"&gt;="&amp;G366,Donnees_annuelles!$A$3:$A$188,"&lt;="&amp;N366)*L366/ROUNDUP(L366,0)</f>
        <v/>
      </c>
      <c r="T366" s="14">
        <f>SUMIFS(Donnees_regimes!$N$3:$N$1118,Donnees_regimes!$A$3:$A$1118,C366,Donnees_regimes!$B$3:$B$1118,"&gt;="&amp;G366,Donnees_regimes!$B$3:$B$1118,"&lt;="&amp;N366)*L366/ROUNDUP(L366,0)</f>
        <v/>
      </c>
      <c r="U366" s="14">
        <f>SUMIFS(Donnees_regimes!$O$3:$O$1118,Donnees_regimes!$A$3:$A$1118,C366,Donnees_regimes!$B$3:$B$1118,"&gt;="&amp;G366,Donnees_regimes!$B$3:$B$1118,"&lt;="&amp;N366)*L366/ROUNDUP(L366,0)</f>
        <v/>
      </c>
      <c r="V366" s="14">
        <f>T366+U366</f>
        <v/>
      </c>
      <c r="W366" s="33">
        <f>V366/S366</f>
        <v/>
      </c>
      <c r="X366" s="14">
        <f>S366+U366</f>
        <v/>
      </c>
      <c r="Y366" s="17">
        <f>V366/P366</f>
        <v/>
      </c>
      <c r="Z366" s="14">
        <f>SUMIFS(Donnees_regimes!$Q$3:$Q$1118,Donnees_regimes!$A$3:$A$1118,C366,Donnees_regimes!$B$3:$B$1118,"&gt;="&amp;G366,Donnees_regimes!$B$3:$B$1118,"&lt;="&amp;N366)*L366/ROUNDUP(L366,0)</f>
        <v/>
      </c>
      <c r="AA366" s="77">
        <f>SUMIFS(Regles_regimes!$F$3:$F$2000,Regles_regimes!$A$3:$A$2000,C366,Regles_regimes!$B$3:$B$2000,D366,Regles_regimes!$C$3:$C$2000,MAX(1915,MIN(2025,E366)))</f>
        <v/>
      </c>
      <c r="AB366" s="77">
        <f>IF(AND(SUMIFS(Regles_regimes!$L$3:$L$2000,Regles_regimes!$A$3:$A$2000,C366,Regles_regimes!$B$3:$B$2000,D366,Regles_regimes!$C$3:$C$2000,MAX(1915,MIN(2025,E366)))=1,G366&lt;2009,C366&lt;&gt;"Privé"),MIN(20,L366*4/5),0)</f>
        <v/>
      </c>
      <c r="AC366" s="89">
        <f>SUMIFS(Donnees_regimes!$M$3:$M$1118,Donnees_regimes!$A$3:$A$1118,C366,Donnees_regimes!$B$3:$B$1118,M366)</f>
        <v/>
      </c>
      <c r="AD366" s="14">
        <f>SUMIFS(Donnees_annuelles!$Y$3:$Y$188,Donnees_annuelles!$A$3:$A$188,M366)*SUMIFS(Donnees_generations!$I$3:$I$113,Donnees_generations!$A$3:$A$113,MAX(1915,MIN(2025,E366)))/H366</f>
        <v/>
      </c>
      <c r="AE366" s="14">
        <f>IF(C366="Privé",SUMIFS(Donnees_annuelles!$Y$3:$Y$188,Donnees_annuelles!$A$3:$A$188,M366)*MIN(L366,SUMIFS(Donnees_generations!$I$3:$I$113,Donnees_generations!$A$3:$A$113,MAX(1915,MIN(2025,E366))))/L366,AD366*AC366*MIN(IF(AB366&gt;0,0.8/0.75,1),(L366*4+AB366)/AA366))</f>
        <v/>
      </c>
      <c r="AF366" s="14">
        <f>AE366/12</f>
        <v/>
      </c>
      <c r="AG366" s="77">
        <f>MIN(68,MAX(56,2*INT(K366/2)))</f>
        <v/>
      </c>
      <c r="AH366" s="75">
        <f>(CHOOSE((AG366-56)/2+1,SUMIFS(Donnees_generations!$U$3:$U$113,Donnees_generations!$A$3:$A$113,MAX(1915,MIN(2025,E366))),SUMIFS(Donnees_generations!$V$3:$V$113,Donnees_generations!$A$3:$A$113,MAX(1915,MIN(2025,E366))),SUMIFS(Donnees_generations!$W$3:$W$113,Donnees_generations!$A$3:$A$113,MAX(1915,MIN(2025,E366))),SUMIFS(Donnees_generations!$X$3:$X$113,Donnees_generations!$A$3:$A$113,MAX(1915,MIN(2025,E366))),SUMIFS(Donnees_generations!$Y$3:$Y$113,Donnees_generations!$A$3:$A$113,MAX(1915,MIN(2025,E366))),SUMIFS(Donnees_generations!$Z$3:$Z$113,Donnees_generations!$A$3:$A$113,MAX(1915,MIN(2025,E366))),SUMIFS(Donnees_generations!$AA$3:$AA$113,Donnees_generations!$A$3:$A$113,MAX(1915,MIN(2025,E366))),SUMIFS(Donnees_generations!$AB$3:$AB$113,Donnees_generations!$A$3:$A$113,MAX(1915,MIN(2025,E366))))+CHOOSE((AG366-56)/2+1,SUMIFS(Donnees_generations!$AC$3:$AC$113,Donnees_generations!$A$3:$A$113,MAX(1915,MIN(2025,E366))),SUMIFS(Donnees_generations!$AD$3:$AD$113,Donnees_generations!$A$3:$A$113,MAX(1915,MIN(2025,E366))),SUMIFS(Donnees_generations!$AE$3:$AE$113,Donnees_generations!$A$3:$A$113,MAX(1915,MIN(2025,E366))),SUMIFS(Donnees_generations!$AF$3:$AF$113,Donnees_generations!$A$3:$A$113,MAX(1915,MIN(2025,E366))),SUMIFS(Donnees_generations!$AG$3:$AG$113,Donnees_generations!$A$3:$A$113,MAX(1915,MIN(2025,E366))),SUMIFS(Donnees_generations!$AH$3:$AH$113,Donnees_generations!$A$3:$A$113,MAX(1915,MIN(2025,E366))),SUMIFS(Donnees_generations!$AI$3:$AI$113,Donnees_generations!$A$3:$A$113,MAX(1915,MIN(2025,E366))),SUMIFS(Donnees_generations!$AJ$3:$AJ$113,Donnees_generations!$A$3:$A$113,MAX(1915,MIN(2025,E366)))))/2</f>
        <v/>
      </c>
      <c r="AI366" s="75">
        <f>(CHOOSE(((AG366+2)-56)/2+1,SUMIFS(Donnees_generations!$U$3:$U$113,Donnees_generations!$A$3:$A$113,MAX(1915,MIN(2025,E366))),SUMIFS(Donnees_generations!$V$3:$V$113,Donnees_generations!$A$3:$A$113,MAX(1915,MIN(2025,E366))),SUMIFS(Donnees_generations!$W$3:$W$113,Donnees_generations!$A$3:$A$113,MAX(1915,MIN(2025,E366))),SUMIFS(Donnees_generations!$X$3:$X$113,Donnees_generations!$A$3:$A$113,MAX(1915,MIN(2025,E366))),SUMIFS(Donnees_generations!$Y$3:$Y$113,Donnees_generations!$A$3:$A$113,MAX(1915,MIN(2025,E366))),SUMIFS(Donnees_generations!$Z$3:$Z$113,Donnees_generations!$A$3:$A$113,MAX(1915,MIN(2025,E366))),SUMIFS(Donnees_generations!$AA$3:$AA$113,Donnees_generations!$A$3:$A$113,MAX(1915,MIN(2025,E366))),SUMIFS(Donnees_generations!$AB$3:$AB$113,Donnees_generations!$A$3:$A$113,MAX(1915,MIN(2025,E366))))+CHOOSE(((AG366+2)-56)/2+1,SUMIFS(Donnees_generations!$AC$3:$AC$113,Donnees_generations!$A$3:$A$113,MAX(1915,MIN(2025,E366))),SUMIFS(Donnees_generations!$AD$3:$AD$113,Donnees_generations!$A$3:$A$113,MAX(1915,MIN(2025,E366))),SUMIFS(Donnees_generations!$AE$3:$AE$113,Donnees_generations!$A$3:$A$113,MAX(1915,MIN(2025,E366))),SUMIFS(Donnees_generations!$AF$3:$AF$113,Donnees_generations!$A$3:$A$113,MAX(1915,MIN(2025,E366))),SUMIFS(Donnees_generations!$AG$3:$AG$113,Donnees_generations!$A$3:$A$113,MAX(1915,MIN(2025,E366))),SUMIFS(Donnees_generations!$AH$3:$AH$113,Donnees_generations!$A$3:$A$113,MAX(1915,MIN(2025,E366))),SUMIFS(Donnees_generations!$AI$3:$AI$113,Donnees_generations!$A$3:$A$113,MAX(1915,MIN(2025,E366))),SUMIFS(Donnees_generations!$AJ$3:$AJ$113,Donnees_generations!$A$3:$A$113,MAX(1915,MIN(2025,E366)))))/2</f>
        <v/>
      </c>
      <c r="AJ366" s="8">
        <f>MAX(0,AH366+(AI366-AH366)*(K366-AG366)/2)</f>
        <v/>
      </c>
      <c r="AK366" s="8">
        <f>K366+AJ366</f>
        <v/>
      </c>
      <c r="AL366" s="14">
        <f>AE366*AJ366</f>
        <v/>
      </c>
      <c r="AM366" s="17">
        <f>V366/AL366</f>
        <v/>
      </c>
      <c r="AN366" s="17">
        <f>Z366/AL366</f>
        <v/>
      </c>
      <c r="AO366" s="33">
        <f>IF(V366+Z366=0,0,Z366/(V366+Z366))</f>
        <v/>
      </c>
      <c r="AP366" s="14">
        <f>AL366/V366*100</f>
        <v/>
      </c>
      <c r="AQ366" s="8">
        <f>P366/AL366*1000</f>
        <v/>
      </c>
      <c r="AR366" s="77">
        <f>MAX(N366,M366-1)</f>
        <v/>
      </c>
      <c r="AS366" s="14">
        <f>SUMIFS(Donnees_regimes!$R$3:$R$1118,Donnees_regimes!$A$3:$A$1118,C366,Donnees_regimes!$B$3:$B$1118,"&gt;="&amp;G366,Donnees_regimes!$B$3:$B$1118,"&lt;="&amp;N366)*L366/ROUNDUP(L366,0)*SUMIFS(Donnees_annuelles!$AG$3:$AG$188,Donnees_annuelles!$A$3:$A$188,AR366)*SUMIFS(Donnees_annuelles!$AA$3:$AA$188,Donnees_annuelles!$A$3:$A$188,AR366)</f>
        <v/>
      </c>
      <c r="AT366" s="36">
        <f>AS366/V366</f>
        <v/>
      </c>
      <c r="AU366" s="14">
        <f>AL366</f>
        <v/>
      </c>
      <c r="AV366" s="39">
        <f>AS366-AL366</f>
        <v/>
      </c>
      <c r="AW366" s="9">
        <f>AS366/AL366-1</f>
        <v/>
      </c>
      <c r="AX366" s="14">
        <f>AS366/AJ366/12</f>
        <v/>
      </c>
      <c r="AY366" s="14">
        <f>AF366</f>
        <v/>
      </c>
      <c r="AZ366" s="39">
        <f>AX366-AF366</f>
        <v/>
      </c>
      <c r="BA366" s="14">
        <f>SUMIFS(Donnees_regimes!$S$3:$S$1118,Donnees_regimes!$A$3:$A$1118,C366,Donnees_regimes!$B$3:$B$1118,"&gt;="&amp;G366,Donnees_regimes!$B$3:$B$1118,"&lt;="&amp;N366)*L366/ROUNDUP(L366,0)*SUMIFS(Donnees_annuelles!$AH$3:$AH$188,Donnees_annuelles!$A$3:$A$188,AR366)*SUMIFS(Donnees_annuelles!$AA$3:$AA$188,Donnees_annuelles!$A$3:$A$188,AR366)</f>
        <v/>
      </c>
      <c r="BB366" s="39">
        <f>BA366-AL366</f>
        <v/>
      </c>
      <c r="BC366" s="7">
        <f>IF(M366+AJ366&gt;2026,IF(G366&gt;2026,"entièrement projeté","en partie projeté"),"observé")</f>
        <v/>
      </c>
    </row>
    <row r="367">
      <c r="A367" s="7" t="inlineStr">
        <is>
          <t>Génération Z</t>
        </is>
      </c>
      <c r="B367" s="84" t="inlineStr">
        <is>
          <t>SNCF</t>
        </is>
      </c>
      <c r="C367" s="7">
        <f>IF(G367&gt;=SUMIFS(Regimes!$C$5:$C$10,Regimes!$A$5:$A$10,B367),"Privé",B367)</f>
        <v/>
      </c>
      <c r="D367" s="7">
        <f>INDEX(Regimes!$D$5:$D$10,MATCH(C367,Regimes!$A$5:$A$10,0))</f>
        <v/>
      </c>
      <c r="E367" s="88" t="n">
        <v>1998</v>
      </c>
      <c r="F367" s="8">
        <f>Donnees_generations!C86</f>
        <v/>
      </c>
      <c r="G367" s="77">
        <f>Donnees_generations!D86</f>
        <v/>
      </c>
      <c r="H367" s="8">
        <f>SUMIFS(Donnees_generations!$S$3:$S$113,Donnees_generations!$A$3:$A$113,MAX(1915,MIN(2025,E367)))</f>
        <v/>
      </c>
      <c r="I367" s="8">
        <f>SUMIFS(Donnees_generations!$T$3:$T$113,Donnees_generations!$A$3:$A$113,MAX(1915,MIN(2025,E367)))</f>
        <v/>
      </c>
      <c r="J367" s="8">
        <f>IF(G367&gt;=2000,MAX(I367,Parametres!$B$3),I367)</f>
        <v/>
      </c>
      <c r="K367" s="8">
        <f>IF(C367="Privé",J367,SUMIFS(Regles_regimes!$J$3:$J$2000,Regles_regimes!$A$3:$A$2000,C367,Regles_regimes!$B$3:$B$2000,D367,Regles_regimes!$C$3:$C$2000,MAX(1915,MIN(2025,E367))))</f>
        <v/>
      </c>
      <c r="L367" s="8">
        <f>IF(C367="Privé",H367,(K367-F367)*H367/(J367-F367))</f>
        <v/>
      </c>
      <c r="M367" s="77">
        <f>INT(E367+K367)</f>
        <v/>
      </c>
      <c r="N367" s="77">
        <f>G367+ROUNDUP(L367,0)-1</f>
        <v/>
      </c>
      <c r="O367" s="89">
        <f>SUMIFS(Regles_regimes!$K$3:$K$2000,Regles_regimes!$A$3:$A$2000,C367,Regles_regimes!$B$3:$B$2000,D367,Regles_regimes!$C$3:$C$2000,MAX(1915,MIN(2025,E367)))</f>
        <v/>
      </c>
      <c r="P367" s="13">
        <f>SUMIFS(Donnees_annuelles!$W$3:$W$188,Donnees_annuelles!$A$3:$A$188,"&gt;="&amp;G367,Donnees_annuelles!$A$3:$A$188,"&lt;="&amp;N367)*L367/ROUNDUP(L367,0)*O367</f>
        <v/>
      </c>
      <c r="Q367" s="13">
        <f>SUMIFS(Donnees_annuelles!$V$3:$V$188,Donnees_annuelles!$A$3:$A$188,"&gt;="&amp;G367,Donnees_annuelles!$A$3:$A$188,"&lt;="&amp;N367)*L367/ROUNDUP(L367,0)</f>
        <v/>
      </c>
      <c r="R367" s="13">
        <f>P367/L367</f>
        <v/>
      </c>
      <c r="S367" s="14">
        <f>SUMIFS(Donnees_annuelles!$D$3:$D$188,Donnees_annuelles!$A$3:$A$188,"&gt;="&amp;G367,Donnees_annuelles!$A$3:$A$188,"&lt;="&amp;N367)*L367/ROUNDUP(L367,0)</f>
        <v/>
      </c>
      <c r="T367" s="14">
        <f>SUMIFS(Donnees_regimes!$N$3:$N$1118,Donnees_regimes!$A$3:$A$1118,C367,Donnees_regimes!$B$3:$B$1118,"&gt;="&amp;G367,Donnees_regimes!$B$3:$B$1118,"&lt;="&amp;N367)*L367/ROUNDUP(L367,0)</f>
        <v/>
      </c>
      <c r="U367" s="14">
        <f>SUMIFS(Donnees_regimes!$O$3:$O$1118,Donnees_regimes!$A$3:$A$1118,C367,Donnees_regimes!$B$3:$B$1118,"&gt;="&amp;G367,Donnees_regimes!$B$3:$B$1118,"&lt;="&amp;N367)*L367/ROUNDUP(L367,0)</f>
        <v/>
      </c>
      <c r="V367" s="14">
        <f>T367+U367</f>
        <v/>
      </c>
      <c r="W367" s="33">
        <f>V367/S367</f>
        <v/>
      </c>
      <c r="X367" s="14">
        <f>S367+U367</f>
        <v/>
      </c>
      <c r="Y367" s="17">
        <f>V367/P367</f>
        <v/>
      </c>
      <c r="Z367" s="14">
        <f>SUMIFS(Donnees_regimes!$Q$3:$Q$1118,Donnees_regimes!$A$3:$A$1118,C367,Donnees_regimes!$B$3:$B$1118,"&gt;="&amp;G367,Donnees_regimes!$B$3:$B$1118,"&lt;="&amp;N367)*L367/ROUNDUP(L367,0)</f>
        <v/>
      </c>
      <c r="AA367" s="77">
        <f>SUMIFS(Regles_regimes!$F$3:$F$2000,Regles_regimes!$A$3:$A$2000,C367,Regles_regimes!$B$3:$B$2000,D367,Regles_regimes!$C$3:$C$2000,MAX(1915,MIN(2025,E367)))</f>
        <v/>
      </c>
      <c r="AB367" s="77">
        <f>IF(AND(SUMIFS(Regles_regimes!$L$3:$L$2000,Regles_regimes!$A$3:$A$2000,C367,Regles_regimes!$B$3:$B$2000,D367,Regles_regimes!$C$3:$C$2000,MAX(1915,MIN(2025,E367)))=1,G367&lt;2009,C367&lt;&gt;"Privé"),MIN(20,L367*4/5),0)</f>
        <v/>
      </c>
      <c r="AC367" s="89">
        <f>SUMIFS(Donnees_regimes!$M$3:$M$1118,Donnees_regimes!$A$3:$A$1118,C367,Donnees_regimes!$B$3:$B$1118,M367)</f>
        <v/>
      </c>
      <c r="AD367" s="14">
        <f>SUMIFS(Donnees_annuelles!$Y$3:$Y$188,Donnees_annuelles!$A$3:$A$188,M367)*SUMIFS(Donnees_generations!$I$3:$I$113,Donnees_generations!$A$3:$A$113,MAX(1915,MIN(2025,E367)))/H367</f>
        <v/>
      </c>
      <c r="AE367" s="14">
        <f>IF(C367="Privé",SUMIFS(Donnees_annuelles!$Y$3:$Y$188,Donnees_annuelles!$A$3:$A$188,M367)*MIN(L367,SUMIFS(Donnees_generations!$I$3:$I$113,Donnees_generations!$A$3:$A$113,MAX(1915,MIN(2025,E367))))/L367,AD367*AC367*MIN(IF(AB367&gt;0,0.8/0.75,1),(L367*4+AB367)/AA367))</f>
        <v/>
      </c>
      <c r="AF367" s="14">
        <f>AE367/12</f>
        <v/>
      </c>
      <c r="AG367" s="77">
        <f>MIN(68,MAX(56,2*INT(K367/2)))</f>
        <v/>
      </c>
      <c r="AH367" s="75">
        <f>(CHOOSE((AG367-56)/2+1,SUMIFS(Donnees_generations!$U$3:$U$113,Donnees_generations!$A$3:$A$113,MAX(1915,MIN(2025,E367))),SUMIFS(Donnees_generations!$V$3:$V$113,Donnees_generations!$A$3:$A$113,MAX(1915,MIN(2025,E367))),SUMIFS(Donnees_generations!$W$3:$W$113,Donnees_generations!$A$3:$A$113,MAX(1915,MIN(2025,E367))),SUMIFS(Donnees_generations!$X$3:$X$113,Donnees_generations!$A$3:$A$113,MAX(1915,MIN(2025,E367))),SUMIFS(Donnees_generations!$Y$3:$Y$113,Donnees_generations!$A$3:$A$113,MAX(1915,MIN(2025,E367))),SUMIFS(Donnees_generations!$Z$3:$Z$113,Donnees_generations!$A$3:$A$113,MAX(1915,MIN(2025,E367))),SUMIFS(Donnees_generations!$AA$3:$AA$113,Donnees_generations!$A$3:$A$113,MAX(1915,MIN(2025,E367))),SUMIFS(Donnees_generations!$AB$3:$AB$113,Donnees_generations!$A$3:$A$113,MAX(1915,MIN(2025,E367))))+CHOOSE((AG367-56)/2+1,SUMIFS(Donnees_generations!$AC$3:$AC$113,Donnees_generations!$A$3:$A$113,MAX(1915,MIN(2025,E367))),SUMIFS(Donnees_generations!$AD$3:$AD$113,Donnees_generations!$A$3:$A$113,MAX(1915,MIN(2025,E367))),SUMIFS(Donnees_generations!$AE$3:$AE$113,Donnees_generations!$A$3:$A$113,MAX(1915,MIN(2025,E367))),SUMIFS(Donnees_generations!$AF$3:$AF$113,Donnees_generations!$A$3:$A$113,MAX(1915,MIN(2025,E367))),SUMIFS(Donnees_generations!$AG$3:$AG$113,Donnees_generations!$A$3:$A$113,MAX(1915,MIN(2025,E367))),SUMIFS(Donnees_generations!$AH$3:$AH$113,Donnees_generations!$A$3:$A$113,MAX(1915,MIN(2025,E367))),SUMIFS(Donnees_generations!$AI$3:$AI$113,Donnees_generations!$A$3:$A$113,MAX(1915,MIN(2025,E367))),SUMIFS(Donnees_generations!$AJ$3:$AJ$113,Donnees_generations!$A$3:$A$113,MAX(1915,MIN(2025,E367)))))/2</f>
        <v/>
      </c>
      <c r="AI367" s="75">
        <f>(CHOOSE(((AG367+2)-56)/2+1,SUMIFS(Donnees_generations!$U$3:$U$113,Donnees_generations!$A$3:$A$113,MAX(1915,MIN(2025,E367))),SUMIFS(Donnees_generations!$V$3:$V$113,Donnees_generations!$A$3:$A$113,MAX(1915,MIN(2025,E367))),SUMIFS(Donnees_generations!$W$3:$W$113,Donnees_generations!$A$3:$A$113,MAX(1915,MIN(2025,E367))),SUMIFS(Donnees_generations!$X$3:$X$113,Donnees_generations!$A$3:$A$113,MAX(1915,MIN(2025,E367))),SUMIFS(Donnees_generations!$Y$3:$Y$113,Donnees_generations!$A$3:$A$113,MAX(1915,MIN(2025,E367))),SUMIFS(Donnees_generations!$Z$3:$Z$113,Donnees_generations!$A$3:$A$113,MAX(1915,MIN(2025,E367))),SUMIFS(Donnees_generations!$AA$3:$AA$113,Donnees_generations!$A$3:$A$113,MAX(1915,MIN(2025,E367))),SUMIFS(Donnees_generations!$AB$3:$AB$113,Donnees_generations!$A$3:$A$113,MAX(1915,MIN(2025,E367))))+CHOOSE(((AG367+2)-56)/2+1,SUMIFS(Donnees_generations!$AC$3:$AC$113,Donnees_generations!$A$3:$A$113,MAX(1915,MIN(2025,E367))),SUMIFS(Donnees_generations!$AD$3:$AD$113,Donnees_generations!$A$3:$A$113,MAX(1915,MIN(2025,E367))),SUMIFS(Donnees_generations!$AE$3:$AE$113,Donnees_generations!$A$3:$A$113,MAX(1915,MIN(2025,E367))),SUMIFS(Donnees_generations!$AF$3:$AF$113,Donnees_generations!$A$3:$A$113,MAX(1915,MIN(2025,E367))),SUMIFS(Donnees_generations!$AG$3:$AG$113,Donnees_generations!$A$3:$A$113,MAX(1915,MIN(2025,E367))),SUMIFS(Donnees_generations!$AH$3:$AH$113,Donnees_generations!$A$3:$A$113,MAX(1915,MIN(2025,E367))),SUMIFS(Donnees_generations!$AI$3:$AI$113,Donnees_generations!$A$3:$A$113,MAX(1915,MIN(2025,E367))),SUMIFS(Donnees_generations!$AJ$3:$AJ$113,Donnees_generations!$A$3:$A$113,MAX(1915,MIN(2025,E367)))))/2</f>
        <v/>
      </c>
      <c r="AJ367" s="8">
        <f>MAX(0,AH367+(AI367-AH367)*(K367-AG367)/2)</f>
        <v/>
      </c>
      <c r="AK367" s="8">
        <f>K367+AJ367</f>
        <v/>
      </c>
      <c r="AL367" s="14">
        <f>AE367*AJ367</f>
        <v/>
      </c>
      <c r="AM367" s="17">
        <f>V367/AL367</f>
        <v/>
      </c>
      <c r="AN367" s="17">
        <f>Z367/AL367</f>
        <v/>
      </c>
      <c r="AO367" s="33">
        <f>IF(V367+Z367=0,0,Z367/(V367+Z367))</f>
        <v/>
      </c>
      <c r="AP367" s="14">
        <f>AL367/V367*100</f>
        <v/>
      </c>
      <c r="AQ367" s="8">
        <f>P367/AL367*1000</f>
        <v/>
      </c>
      <c r="AR367" s="77">
        <f>MAX(N367,M367-1)</f>
        <v/>
      </c>
      <c r="AS367" s="14">
        <f>SUMIFS(Donnees_regimes!$R$3:$R$1118,Donnees_regimes!$A$3:$A$1118,C367,Donnees_regimes!$B$3:$B$1118,"&gt;="&amp;G367,Donnees_regimes!$B$3:$B$1118,"&lt;="&amp;N367)*L367/ROUNDUP(L367,0)*SUMIFS(Donnees_annuelles!$AG$3:$AG$188,Donnees_annuelles!$A$3:$A$188,AR367)*SUMIFS(Donnees_annuelles!$AA$3:$AA$188,Donnees_annuelles!$A$3:$A$188,AR367)</f>
        <v/>
      </c>
      <c r="AT367" s="36">
        <f>AS367/V367</f>
        <v/>
      </c>
      <c r="AU367" s="14">
        <f>AL367</f>
        <v/>
      </c>
      <c r="AV367" s="39">
        <f>AS367-AL367</f>
        <v/>
      </c>
      <c r="AW367" s="9">
        <f>AS367/AL367-1</f>
        <v/>
      </c>
      <c r="AX367" s="14">
        <f>AS367/AJ367/12</f>
        <v/>
      </c>
      <c r="AY367" s="14">
        <f>AF367</f>
        <v/>
      </c>
      <c r="AZ367" s="39">
        <f>AX367-AF367</f>
        <v/>
      </c>
      <c r="BA367" s="14">
        <f>SUMIFS(Donnees_regimes!$S$3:$S$1118,Donnees_regimes!$A$3:$A$1118,C367,Donnees_regimes!$B$3:$B$1118,"&gt;="&amp;G367,Donnees_regimes!$B$3:$B$1118,"&lt;="&amp;N367)*L367/ROUNDUP(L367,0)*SUMIFS(Donnees_annuelles!$AH$3:$AH$188,Donnees_annuelles!$A$3:$A$188,AR367)*SUMIFS(Donnees_annuelles!$AA$3:$AA$188,Donnees_annuelles!$A$3:$A$188,AR367)</f>
        <v/>
      </c>
      <c r="BB367" s="39">
        <f>BA367-AL367</f>
        <v/>
      </c>
      <c r="BC367" s="7">
        <f>IF(M367+AJ367&gt;2026,IF(G367&gt;2026,"entièrement projeté","en partie projeté"),"observé")</f>
        <v/>
      </c>
    </row>
    <row r="368">
      <c r="A368" s="7" t="inlineStr">
        <is>
          <t>Génération Z</t>
        </is>
      </c>
      <c r="B368" s="84" t="inlineStr">
        <is>
          <t>SNCF</t>
        </is>
      </c>
      <c r="C368" s="7">
        <f>IF(G368&gt;=SUMIFS(Regimes!$C$5:$C$10,Regimes!$A$5:$A$10,B368),"Privé",B368)</f>
        <v/>
      </c>
      <c r="D368" s="7">
        <f>INDEX(Regimes!$D$5:$D$10,MATCH(C368,Regimes!$A$5:$A$10,0))</f>
        <v/>
      </c>
      <c r="E368" s="88" t="n">
        <v>1999</v>
      </c>
      <c r="F368" s="8">
        <f>Donnees_generations!C87</f>
        <v/>
      </c>
      <c r="G368" s="77">
        <f>Donnees_generations!D87</f>
        <v/>
      </c>
      <c r="H368" s="8">
        <f>SUMIFS(Donnees_generations!$S$3:$S$113,Donnees_generations!$A$3:$A$113,MAX(1915,MIN(2025,E368)))</f>
        <v/>
      </c>
      <c r="I368" s="8">
        <f>SUMIFS(Donnees_generations!$T$3:$T$113,Donnees_generations!$A$3:$A$113,MAX(1915,MIN(2025,E368)))</f>
        <v/>
      </c>
      <c r="J368" s="8">
        <f>IF(G368&gt;=2000,MAX(I368,Parametres!$B$3),I368)</f>
        <v/>
      </c>
      <c r="K368" s="8">
        <f>IF(C368="Privé",J368,SUMIFS(Regles_regimes!$J$3:$J$2000,Regles_regimes!$A$3:$A$2000,C368,Regles_regimes!$B$3:$B$2000,D368,Regles_regimes!$C$3:$C$2000,MAX(1915,MIN(2025,E368))))</f>
        <v/>
      </c>
      <c r="L368" s="8">
        <f>IF(C368="Privé",H368,(K368-F368)*H368/(J368-F368))</f>
        <v/>
      </c>
      <c r="M368" s="77">
        <f>INT(E368+K368)</f>
        <v/>
      </c>
      <c r="N368" s="77">
        <f>G368+ROUNDUP(L368,0)-1</f>
        <v/>
      </c>
      <c r="O368" s="89">
        <f>SUMIFS(Regles_regimes!$K$3:$K$2000,Regles_regimes!$A$3:$A$2000,C368,Regles_regimes!$B$3:$B$2000,D368,Regles_regimes!$C$3:$C$2000,MAX(1915,MIN(2025,E368)))</f>
        <v/>
      </c>
      <c r="P368" s="13">
        <f>SUMIFS(Donnees_annuelles!$W$3:$W$188,Donnees_annuelles!$A$3:$A$188,"&gt;="&amp;G368,Donnees_annuelles!$A$3:$A$188,"&lt;="&amp;N368)*L368/ROUNDUP(L368,0)*O368</f>
        <v/>
      </c>
      <c r="Q368" s="13">
        <f>SUMIFS(Donnees_annuelles!$V$3:$V$188,Donnees_annuelles!$A$3:$A$188,"&gt;="&amp;G368,Donnees_annuelles!$A$3:$A$188,"&lt;="&amp;N368)*L368/ROUNDUP(L368,0)</f>
        <v/>
      </c>
      <c r="R368" s="13">
        <f>P368/L368</f>
        <v/>
      </c>
      <c r="S368" s="14">
        <f>SUMIFS(Donnees_annuelles!$D$3:$D$188,Donnees_annuelles!$A$3:$A$188,"&gt;="&amp;G368,Donnees_annuelles!$A$3:$A$188,"&lt;="&amp;N368)*L368/ROUNDUP(L368,0)</f>
        <v/>
      </c>
      <c r="T368" s="14">
        <f>SUMIFS(Donnees_regimes!$N$3:$N$1118,Donnees_regimes!$A$3:$A$1118,C368,Donnees_regimes!$B$3:$B$1118,"&gt;="&amp;G368,Donnees_regimes!$B$3:$B$1118,"&lt;="&amp;N368)*L368/ROUNDUP(L368,0)</f>
        <v/>
      </c>
      <c r="U368" s="14">
        <f>SUMIFS(Donnees_regimes!$O$3:$O$1118,Donnees_regimes!$A$3:$A$1118,C368,Donnees_regimes!$B$3:$B$1118,"&gt;="&amp;G368,Donnees_regimes!$B$3:$B$1118,"&lt;="&amp;N368)*L368/ROUNDUP(L368,0)</f>
        <v/>
      </c>
      <c r="V368" s="14">
        <f>T368+U368</f>
        <v/>
      </c>
      <c r="W368" s="33">
        <f>V368/S368</f>
        <v/>
      </c>
      <c r="X368" s="14">
        <f>S368+U368</f>
        <v/>
      </c>
      <c r="Y368" s="17">
        <f>V368/P368</f>
        <v/>
      </c>
      <c r="Z368" s="14">
        <f>SUMIFS(Donnees_regimes!$Q$3:$Q$1118,Donnees_regimes!$A$3:$A$1118,C368,Donnees_regimes!$B$3:$B$1118,"&gt;="&amp;G368,Donnees_regimes!$B$3:$B$1118,"&lt;="&amp;N368)*L368/ROUNDUP(L368,0)</f>
        <v/>
      </c>
      <c r="AA368" s="77">
        <f>SUMIFS(Regles_regimes!$F$3:$F$2000,Regles_regimes!$A$3:$A$2000,C368,Regles_regimes!$B$3:$B$2000,D368,Regles_regimes!$C$3:$C$2000,MAX(1915,MIN(2025,E368)))</f>
        <v/>
      </c>
      <c r="AB368" s="77">
        <f>IF(AND(SUMIFS(Regles_regimes!$L$3:$L$2000,Regles_regimes!$A$3:$A$2000,C368,Regles_regimes!$B$3:$B$2000,D368,Regles_regimes!$C$3:$C$2000,MAX(1915,MIN(2025,E368)))=1,G368&lt;2009,C368&lt;&gt;"Privé"),MIN(20,L368*4/5),0)</f>
        <v/>
      </c>
      <c r="AC368" s="89">
        <f>SUMIFS(Donnees_regimes!$M$3:$M$1118,Donnees_regimes!$A$3:$A$1118,C368,Donnees_regimes!$B$3:$B$1118,M368)</f>
        <v/>
      </c>
      <c r="AD368" s="14">
        <f>SUMIFS(Donnees_annuelles!$Y$3:$Y$188,Donnees_annuelles!$A$3:$A$188,M368)*SUMIFS(Donnees_generations!$I$3:$I$113,Donnees_generations!$A$3:$A$113,MAX(1915,MIN(2025,E368)))/H368</f>
        <v/>
      </c>
      <c r="AE368" s="14">
        <f>IF(C368="Privé",SUMIFS(Donnees_annuelles!$Y$3:$Y$188,Donnees_annuelles!$A$3:$A$188,M368)*MIN(L368,SUMIFS(Donnees_generations!$I$3:$I$113,Donnees_generations!$A$3:$A$113,MAX(1915,MIN(2025,E368))))/L368,AD368*AC368*MIN(IF(AB368&gt;0,0.8/0.75,1),(L368*4+AB368)/AA368))</f>
        <v/>
      </c>
      <c r="AF368" s="14">
        <f>AE368/12</f>
        <v/>
      </c>
      <c r="AG368" s="77">
        <f>MIN(68,MAX(56,2*INT(K368/2)))</f>
        <v/>
      </c>
      <c r="AH368" s="75">
        <f>(CHOOSE((AG368-56)/2+1,SUMIFS(Donnees_generations!$U$3:$U$113,Donnees_generations!$A$3:$A$113,MAX(1915,MIN(2025,E368))),SUMIFS(Donnees_generations!$V$3:$V$113,Donnees_generations!$A$3:$A$113,MAX(1915,MIN(2025,E368))),SUMIFS(Donnees_generations!$W$3:$W$113,Donnees_generations!$A$3:$A$113,MAX(1915,MIN(2025,E368))),SUMIFS(Donnees_generations!$X$3:$X$113,Donnees_generations!$A$3:$A$113,MAX(1915,MIN(2025,E368))),SUMIFS(Donnees_generations!$Y$3:$Y$113,Donnees_generations!$A$3:$A$113,MAX(1915,MIN(2025,E368))),SUMIFS(Donnees_generations!$Z$3:$Z$113,Donnees_generations!$A$3:$A$113,MAX(1915,MIN(2025,E368))),SUMIFS(Donnees_generations!$AA$3:$AA$113,Donnees_generations!$A$3:$A$113,MAX(1915,MIN(2025,E368))),SUMIFS(Donnees_generations!$AB$3:$AB$113,Donnees_generations!$A$3:$A$113,MAX(1915,MIN(2025,E368))))+CHOOSE((AG368-56)/2+1,SUMIFS(Donnees_generations!$AC$3:$AC$113,Donnees_generations!$A$3:$A$113,MAX(1915,MIN(2025,E368))),SUMIFS(Donnees_generations!$AD$3:$AD$113,Donnees_generations!$A$3:$A$113,MAX(1915,MIN(2025,E368))),SUMIFS(Donnees_generations!$AE$3:$AE$113,Donnees_generations!$A$3:$A$113,MAX(1915,MIN(2025,E368))),SUMIFS(Donnees_generations!$AF$3:$AF$113,Donnees_generations!$A$3:$A$113,MAX(1915,MIN(2025,E368))),SUMIFS(Donnees_generations!$AG$3:$AG$113,Donnees_generations!$A$3:$A$113,MAX(1915,MIN(2025,E368))),SUMIFS(Donnees_generations!$AH$3:$AH$113,Donnees_generations!$A$3:$A$113,MAX(1915,MIN(2025,E368))),SUMIFS(Donnees_generations!$AI$3:$AI$113,Donnees_generations!$A$3:$A$113,MAX(1915,MIN(2025,E368))),SUMIFS(Donnees_generations!$AJ$3:$AJ$113,Donnees_generations!$A$3:$A$113,MAX(1915,MIN(2025,E368)))))/2</f>
        <v/>
      </c>
      <c r="AI368" s="75">
        <f>(CHOOSE(((AG368+2)-56)/2+1,SUMIFS(Donnees_generations!$U$3:$U$113,Donnees_generations!$A$3:$A$113,MAX(1915,MIN(2025,E368))),SUMIFS(Donnees_generations!$V$3:$V$113,Donnees_generations!$A$3:$A$113,MAX(1915,MIN(2025,E368))),SUMIFS(Donnees_generations!$W$3:$W$113,Donnees_generations!$A$3:$A$113,MAX(1915,MIN(2025,E368))),SUMIFS(Donnees_generations!$X$3:$X$113,Donnees_generations!$A$3:$A$113,MAX(1915,MIN(2025,E368))),SUMIFS(Donnees_generations!$Y$3:$Y$113,Donnees_generations!$A$3:$A$113,MAX(1915,MIN(2025,E368))),SUMIFS(Donnees_generations!$Z$3:$Z$113,Donnees_generations!$A$3:$A$113,MAX(1915,MIN(2025,E368))),SUMIFS(Donnees_generations!$AA$3:$AA$113,Donnees_generations!$A$3:$A$113,MAX(1915,MIN(2025,E368))),SUMIFS(Donnees_generations!$AB$3:$AB$113,Donnees_generations!$A$3:$A$113,MAX(1915,MIN(2025,E368))))+CHOOSE(((AG368+2)-56)/2+1,SUMIFS(Donnees_generations!$AC$3:$AC$113,Donnees_generations!$A$3:$A$113,MAX(1915,MIN(2025,E368))),SUMIFS(Donnees_generations!$AD$3:$AD$113,Donnees_generations!$A$3:$A$113,MAX(1915,MIN(2025,E368))),SUMIFS(Donnees_generations!$AE$3:$AE$113,Donnees_generations!$A$3:$A$113,MAX(1915,MIN(2025,E368))),SUMIFS(Donnees_generations!$AF$3:$AF$113,Donnees_generations!$A$3:$A$113,MAX(1915,MIN(2025,E368))),SUMIFS(Donnees_generations!$AG$3:$AG$113,Donnees_generations!$A$3:$A$113,MAX(1915,MIN(2025,E368))),SUMIFS(Donnees_generations!$AH$3:$AH$113,Donnees_generations!$A$3:$A$113,MAX(1915,MIN(2025,E368))),SUMIFS(Donnees_generations!$AI$3:$AI$113,Donnees_generations!$A$3:$A$113,MAX(1915,MIN(2025,E368))),SUMIFS(Donnees_generations!$AJ$3:$AJ$113,Donnees_generations!$A$3:$A$113,MAX(1915,MIN(2025,E368)))))/2</f>
        <v/>
      </c>
      <c r="AJ368" s="8">
        <f>MAX(0,AH368+(AI368-AH368)*(K368-AG368)/2)</f>
        <v/>
      </c>
      <c r="AK368" s="8">
        <f>K368+AJ368</f>
        <v/>
      </c>
      <c r="AL368" s="14">
        <f>AE368*AJ368</f>
        <v/>
      </c>
      <c r="AM368" s="17">
        <f>V368/AL368</f>
        <v/>
      </c>
      <c r="AN368" s="17">
        <f>Z368/AL368</f>
        <v/>
      </c>
      <c r="AO368" s="33">
        <f>IF(V368+Z368=0,0,Z368/(V368+Z368))</f>
        <v/>
      </c>
      <c r="AP368" s="14">
        <f>AL368/V368*100</f>
        <v/>
      </c>
      <c r="AQ368" s="8">
        <f>P368/AL368*1000</f>
        <v/>
      </c>
      <c r="AR368" s="77">
        <f>MAX(N368,M368-1)</f>
        <v/>
      </c>
      <c r="AS368" s="14">
        <f>SUMIFS(Donnees_regimes!$R$3:$R$1118,Donnees_regimes!$A$3:$A$1118,C368,Donnees_regimes!$B$3:$B$1118,"&gt;="&amp;G368,Donnees_regimes!$B$3:$B$1118,"&lt;="&amp;N368)*L368/ROUNDUP(L368,0)*SUMIFS(Donnees_annuelles!$AG$3:$AG$188,Donnees_annuelles!$A$3:$A$188,AR368)*SUMIFS(Donnees_annuelles!$AA$3:$AA$188,Donnees_annuelles!$A$3:$A$188,AR368)</f>
        <v/>
      </c>
      <c r="AT368" s="36">
        <f>AS368/V368</f>
        <v/>
      </c>
      <c r="AU368" s="14">
        <f>AL368</f>
        <v/>
      </c>
      <c r="AV368" s="39">
        <f>AS368-AL368</f>
        <v/>
      </c>
      <c r="AW368" s="9">
        <f>AS368/AL368-1</f>
        <v/>
      </c>
      <c r="AX368" s="14">
        <f>AS368/AJ368/12</f>
        <v/>
      </c>
      <c r="AY368" s="14">
        <f>AF368</f>
        <v/>
      </c>
      <c r="AZ368" s="39">
        <f>AX368-AF368</f>
        <v/>
      </c>
      <c r="BA368" s="14">
        <f>SUMIFS(Donnees_regimes!$S$3:$S$1118,Donnees_regimes!$A$3:$A$1118,C368,Donnees_regimes!$B$3:$B$1118,"&gt;="&amp;G368,Donnees_regimes!$B$3:$B$1118,"&lt;="&amp;N368)*L368/ROUNDUP(L368,0)*SUMIFS(Donnees_annuelles!$AH$3:$AH$188,Donnees_annuelles!$A$3:$A$188,AR368)*SUMIFS(Donnees_annuelles!$AA$3:$AA$188,Donnees_annuelles!$A$3:$A$188,AR368)</f>
        <v/>
      </c>
      <c r="BB368" s="39">
        <f>BA368-AL368</f>
        <v/>
      </c>
      <c r="BC368" s="7">
        <f>IF(M368+AJ368&gt;2026,IF(G368&gt;2026,"entièrement projeté","en partie projeté"),"observé")</f>
        <v/>
      </c>
    </row>
    <row r="369">
      <c r="A369" s="7" t="inlineStr">
        <is>
          <t>Génération Z</t>
        </is>
      </c>
      <c r="B369" s="84" t="inlineStr">
        <is>
          <t>SNCF</t>
        </is>
      </c>
      <c r="C369" s="7">
        <f>IF(G369&gt;=SUMIFS(Regimes!$C$5:$C$10,Regimes!$A$5:$A$10,B369),"Privé",B369)</f>
        <v/>
      </c>
      <c r="D369" s="7">
        <f>INDEX(Regimes!$D$5:$D$10,MATCH(C369,Regimes!$A$5:$A$10,0))</f>
        <v/>
      </c>
      <c r="E369" s="88" t="n">
        <v>2000</v>
      </c>
      <c r="F369" s="8">
        <f>Donnees_generations!C88</f>
        <v/>
      </c>
      <c r="G369" s="77">
        <f>Donnees_generations!D88</f>
        <v/>
      </c>
      <c r="H369" s="8">
        <f>SUMIFS(Donnees_generations!$S$3:$S$113,Donnees_generations!$A$3:$A$113,MAX(1915,MIN(2025,E369)))</f>
        <v/>
      </c>
      <c r="I369" s="8">
        <f>SUMIFS(Donnees_generations!$T$3:$T$113,Donnees_generations!$A$3:$A$113,MAX(1915,MIN(2025,E369)))</f>
        <v/>
      </c>
      <c r="J369" s="8">
        <f>IF(G369&gt;=2000,MAX(I369,Parametres!$B$3),I369)</f>
        <v/>
      </c>
      <c r="K369" s="8">
        <f>IF(C369="Privé",J369,SUMIFS(Regles_regimes!$J$3:$J$2000,Regles_regimes!$A$3:$A$2000,C369,Regles_regimes!$B$3:$B$2000,D369,Regles_regimes!$C$3:$C$2000,MAX(1915,MIN(2025,E369))))</f>
        <v/>
      </c>
      <c r="L369" s="8">
        <f>IF(C369="Privé",H369,(K369-F369)*H369/(J369-F369))</f>
        <v/>
      </c>
      <c r="M369" s="77">
        <f>INT(E369+K369)</f>
        <v/>
      </c>
      <c r="N369" s="77">
        <f>G369+ROUNDUP(L369,0)-1</f>
        <v/>
      </c>
      <c r="O369" s="89">
        <f>SUMIFS(Regles_regimes!$K$3:$K$2000,Regles_regimes!$A$3:$A$2000,C369,Regles_regimes!$B$3:$B$2000,D369,Regles_regimes!$C$3:$C$2000,MAX(1915,MIN(2025,E369)))</f>
        <v/>
      </c>
      <c r="P369" s="13">
        <f>SUMIFS(Donnees_annuelles!$W$3:$W$188,Donnees_annuelles!$A$3:$A$188,"&gt;="&amp;G369,Donnees_annuelles!$A$3:$A$188,"&lt;="&amp;N369)*L369/ROUNDUP(L369,0)*O369</f>
        <v/>
      </c>
      <c r="Q369" s="13">
        <f>SUMIFS(Donnees_annuelles!$V$3:$V$188,Donnees_annuelles!$A$3:$A$188,"&gt;="&amp;G369,Donnees_annuelles!$A$3:$A$188,"&lt;="&amp;N369)*L369/ROUNDUP(L369,0)</f>
        <v/>
      </c>
      <c r="R369" s="13">
        <f>P369/L369</f>
        <v/>
      </c>
      <c r="S369" s="14">
        <f>SUMIFS(Donnees_annuelles!$D$3:$D$188,Donnees_annuelles!$A$3:$A$188,"&gt;="&amp;G369,Donnees_annuelles!$A$3:$A$188,"&lt;="&amp;N369)*L369/ROUNDUP(L369,0)</f>
        <v/>
      </c>
      <c r="T369" s="14">
        <f>SUMIFS(Donnees_regimes!$N$3:$N$1118,Donnees_regimes!$A$3:$A$1118,C369,Donnees_regimes!$B$3:$B$1118,"&gt;="&amp;G369,Donnees_regimes!$B$3:$B$1118,"&lt;="&amp;N369)*L369/ROUNDUP(L369,0)</f>
        <v/>
      </c>
      <c r="U369" s="14">
        <f>SUMIFS(Donnees_regimes!$O$3:$O$1118,Donnees_regimes!$A$3:$A$1118,C369,Donnees_regimes!$B$3:$B$1118,"&gt;="&amp;G369,Donnees_regimes!$B$3:$B$1118,"&lt;="&amp;N369)*L369/ROUNDUP(L369,0)</f>
        <v/>
      </c>
      <c r="V369" s="14">
        <f>T369+U369</f>
        <v/>
      </c>
      <c r="W369" s="33">
        <f>V369/S369</f>
        <v/>
      </c>
      <c r="X369" s="14">
        <f>S369+U369</f>
        <v/>
      </c>
      <c r="Y369" s="17">
        <f>V369/P369</f>
        <v/>
      </c>
      <c r="Z369" s="14">
        <f>SUMIFS(Donnees_regimes!$Q$3:$Q$1118,Donnees_regimes!$A$3:$A$1118,C369,Donnees_regimes!$B$3:$B$1118,"&gt;="&amp;G369,Donnees_regimes!$B$3:$B$1118,"&lt;="&amp;N369)*L369/ROUNDUP(L369,0)</f>
        <v/>
      </c>
      <c r="AA369" s="77">
        <f>SUMIFS(Regles_regimes!$F$3:$F$2000,Regles_regimes!$A$3:$A$2000,C369,Regles_regimes!$B$3:$B$2000,D369,Regles_regimes!$C$3:$C$2000,MAX(1915,MIN(2025,E369)))</f>
        <v/>
      </c>
      <c r="AB369" s="77">
        <f>IF(AND(SUMIFS(Regles_regimes!$L$3:$L$2000,Regles_regimes!$A$3:$A$2000,C369,Regles_regimes!$B$3:$B$2000,D369,Regles_regimes!$C$3:$C$2000,MAX(1915,MIN(2025,E369)))=1,G369&lt;2009,C369&lt;&gt;"Privé"),MIN(20,L369*4/5),0)</f>
        <v/>
      </c>
      <c r="AC369" s="89">
        <f>SUMIFS(Donnees_regimes!$M$3:$M$1118,Donnees_regimes!$A$3:$A$1118,C369,Donnees_regimes!$B$3:$B$1118,M369)</f>
        <v/>
      </c>
      <c r="AD369" s="14">
        <f>SUMIFS(Donnees_annuelles!$Y$3:$Y$188,Donnees_annuelles!$A$3:$A$188,M369)*SUMIFS(Donnees_generations!$I$3:$I$113,Donnees_generations!$A$3:$A$113,MAX(1915,MIN(2025,E369)))/H369</f>
        <v/>
      </c>
      <c r="AE369" s="14">
        <f>IF(C369="Privé",SUMIFS(Donnees_annuelles!$Y$3:$Y$188,Donnees_annuelles!$A$3:$A$188,M369)*MIN(L369,SUMIFS(Donnees_generations!$I$3:$I$113,Donnees_generations!$A$3:$A$113,MAX(1915,MIN(2025,E369))))/L369,AD369*AC369*MIN(IF(AB369&gt;0,0.8/0.75,1),(L369*4+AB369)/AA369))</f>
        <v/>
      </c>
      <c r="AF369" s="14">
        <f>AE369/12</f>
        <v/>
      </c>
      <c r="AG369" s="77">
        <f>MIN(68,MAX(56,2*INT(K369/2)))</f>
        <v/>
      </c>
      <c r="AH369" s="75">
        <f>(CHOOSE((AG369-56)/2+1,SUMIFS(Donnees_generations!$U$3:$U$113,Donnees_generations!$A$3:$A$113,MAX(1915,MIN(2025,E369))),SUMIFS(Donnees_generations!$V$3:$V$113,Donnees_generations!$A$3:$A$113,MAX(1915,MIN(2025,E369))),SUMIFS(Donnees_generations!$W$3:$W$113,Donnees_generations!$A$3:$A$113,MAX(1915,MIN(2025,E369))),SUMIFS(Donnees_generations!$X$3:$X$113,Donnees_generations!$A$3:$A$113,MAX(1915,MIN(2025,E369))),SUMIFS(Donnees_generations!$Y$3:$Y$113,Donnees_generations!$A$3:$A$113,MAX(1915,MIN(2025,E369))),SUMIFS(Donnees_generations!$Z$3:$Z$113,Donnees_generations!$A$3:$A$113,MAX(1915,MIN(2025,E369))),SUMIFS(Donnees_generations!$AA$3:$AA$113,Donnees_generations!$A$3:$A$113,MAX(1915,MIN(2025,E369))),SUMIFS(Donnees_generations!$AB$3:$AB$113,Donnees_generations!$A$3:$A$113,MAX(1915,MIN(2025,E369))))+CHOOSE((AG369-56)/2+1,SUMIFS(Donnees_generations!$AC$3:$AC$113,Donnees_generations!$A$3:$A$113,MAX(1915,MIN(2025,E369))),SUMIFS(Donnees_generations!$AD$3:$AD$113,Donnees_generations!$A$3:$A$113,MAX(1915,MIN(2025,E369))),SUMIFS(Donnees_generations!$AE$3:$AE$113,Donnees_generations!$A$3:$A$113,MAX(1915,MIN(2025,E369))),SUMIFS(Donnees_generations!$AF$3:$AF$113,Donnees_generations!$A$3:$A$113,MAX(1915,MIN(2025,E369))),SUMIFS(Donnees_generations!$AG$3:$AG$113,Donnees_generations!$A$3:$A$113,MAX(1915,MIN(2025,E369))),SUMIFS(Donnees_generations!$AH$3:$AH$113,Donnees_generations!$A$3:$A$113,MAX(1915,MIN(2025,E369))),SUMIFS(Donnees_generations!$AI$3:$AI$113,Donnees_generations!$A$3:$A$113,MAX(1915,MIN(2025,E369))),SUMIFS(Donnees_generations!$AJ$3:$AJ$113,Donnees_generations!$A$3:$A$113,MAX(1915,MIN(2025,E369)))))/2</f>
        <v/>
      </c>
      <c r="AI369" s="75">
        <f>(CHOOSE(((AG369+2)-56)/2+1,SUMIFS(Donnees_generations!$U$3:$U$113,Donnees_generations!$A$3:$A$113,MAX(1915,MIN(2025,E369))),SUMIFS(Donnees_generations!$V$3:$V$113,Donnees_generations!$A$3:$A$113,MAX(1915,MIN(2025,E369))),SUMIFS(Donnees_generations!$W$3:$W$113,Donnees_generations!$A$3:$A$113,MAX(1915,MIN(2025,E369))),SUMIFS(Donnees_generations!$X$3:$X$113,Donnees_generations!$A$3:$A$113,MAX(1915,MIN(2025,E369))),SUMIFS(Donnees_generations!$Y$3:$Y$113,Donnees_generations!$A$3:$A$113,MAX(1915,MIN(2025,E369))),SUMIFS(Donnees_generations!$Z$3:$Z$113,Donnees_generations!$A$3:$A$113,MAX(1915,MIN(2025,E369))),SUMIFS(Donnees_generations!$AA$3:$AA$113,Donnees_generations!$A$3:$A$113,MAX(1915,MIN(2025,E369))),SUMIFS(Donnees_generations!$AB$3:$AB$113,Donnees_generations!$A$3:$A$113,MAX(1915,MIN(2025,E369))))+CHOOSE(((AG369+2)-56)/2+1,SUMIFS(Donnees_generations!$AC$3:$AC$113,Donnees_generations!$A$3:$A$113,MAX(1915,MIN(2025,E369))),SUMIFS(Donnees_generations!$AD$3:$AD$113,Donnees_generations!$A$3:$A$113,MAX(1915,MIN(2025,E369))),SUMIFS(Donnees_generations!$AE$3:$AE$113,Donnees_generations!$A$3:$A$113,MAX(1915,MIN(2025,E369))),SUMIFS(Donnees_generations!$AF$3:$AF$113,Donnees_generations!$A$3:$A$113,MAX(1915,MIN(2025,E369))),SUMIFS(Donnees_generations!$AG$3:$AG$113,Donnees_generations!$A$3:$A$113,MAX(1915,MIN(2025,E369))),SUMIFS(Donnees_generations!$AH$3:$AH$113,Donnees_generations!$A$3:$A$113,MAX(1915,MIN(2025,E369))),SUMIFS(Donnees_generations!$AI$3:$AI$113,Donnees_generations!$A$3:$A$113,MAX(1915,MIN(2025,E369))),SUMIFS(Donnees_generations!$AJ$3:$AJ$113,Donnees_generations!$A$3:$A$113,MAX(1915,MIN(2025,E369)))))/2</f>
        <v/>
      </c>
      <c r="AJ369" s="8">
        <f>MAX(0,AH369+(AI369-AH369)*(K369-AG369)/2)</f>
        <v/>
      </c>
      <c r="AK369" s="8">
        <f>K369+AJ369</f>
        <v/>
      </c>
      <c r="AL369" s="14">
        <f>AE369*AJ369</f>
        <v/>
      </c>
      <c r="AM369" s="17">
        <f>V369/AL369</f>
        <v/>
      </c>
      <c r="AN369" s="17">
        <f>Z369/AL369</f>
        <v/>
      </c>
      <c r="AO369" s="33">
        <f>IF(V369+Z369=0,0,Z369/(V369+Z369))</f>
        <v/>
      </c>
      <c r="AP369" s="14">
        <f>AL369/V369*100</f>
        <v/>
      </c>
      <c r="AQ369" s="8">
        <f>P369/AL369*1000</f>
        <v/>
      </c>
      <c r="AR369" s="77">
        <f>MAX(N369,M369-1)</f>
        <v/>
      </c>
      <c r="AS369" s="14">
        <f>SUMIFS(Donnees_regimes!$R$3:$R$1118,Donnees_regimes!$A$3:$A$1118,C369,Donnees_regimes!$B$3:$B$1118,"&gt;="&amp;G369,Donnees_regimes!$B$3:$B$1118,"&lt;="&amp;N369)*L369/ROUNDUP(L369,0)*SUMIFS(Donnees_annuelles!$AG$3:$AG$188,Donnees_annuelles!$A$3:$A$188,AR369)*SUMIFS(Donnees_annuelles!$AA$3:$AA$188,Donnees_annuelles!$A$3:$A$188,AR369)</f>
        <v/>
      </c>
      <c r="AT369" s="36">
        <f>AS369/V369</f>
        <v/>
      </c>
      <c r="AU369" s="14">
        <f>AL369</f>
        <v/>
      </c>
      <c r="AV369" s="39">
        <f>AS369-AL369</f>
        <v/>
      </c>
      <c r="AW369" s="9">
        <f>AS369/AL369-1</f>
        <v/>
      </c>
      <c r="AX369" s="14">
        <f>AS369/AJ369/12</f>
        <v/>
      </c>
      <c r="AY369" s="14">
        <f>AF369</f>
        <v/>
      </c>
      <c r="AZ369" s="39">
        <f>AX369-AF369</f>
        <v/>
      </c>
      <c r="BA369" s="14">
        <f>SUMIFS(Donnees_regimes!$S$3:$S$1118,Donnees_regimes!$A$3:$A$1118,C369,Donnees_regimes!$B$3:$B$1118,"&gt;="&amp;G369,Donnees_regimes!$B$3:$B$1118,"&lt;="&amp;N369)*L369/ROUNDUP(L369,0)*SUMIFS(Donnees_annuelles!$AH$3:$AH$188,Donnees_annuelles!$A$3:$A$188,AR369)*SUMIFS(Donnees_annuelles!$AA$3:$AA$188,Donnees_annuelles!$A$3:$A$188,AR369)</f>
        <v/>
      </c>
      <c r="BB369" s="39">
        <f>BA369-AL369</f>
        <v/>
      </c>
      <c r="BC369" s="7">
        <f>IF(M369+AJ369&gt;2026,IF(G369&gt;2026,"entièrement projeté","en partie projeté"),"observé")</f>
        <v/>
      </c>
    </row>
    <row r="370">
      <c r="A370" s="7" t="inlineStr">
        <is>
          <t>Génération Z</t>
        </is>
      </c>
      <c r="B370" s="84" t="inlineStr">
        <is>
          <t>SNCF</t>
        </is>
      </c>
      <c r="C370" s="7">
        <f>IF(G370&gt;=SUMIFS(Regimes!$C$5:$C$10,Regimes!$A$5:$A$10,B370),"Privé",B370)</f>
        <v/>
      </c>
      <c r="D370" s="7">
        <f>INDEX(Regimes!$D$5:$D$10,MATCH(C370,Regimes!$A$5:$A$10,0))</f>
        <v/>
      </c>
      <c r="E370" s="88" t="n">
        <v>2001</v>
      </c>
      <c r="F370" s="8">
        <f>Donnees_generations!C89</f>
        <v/>
      </c>
      <c r="G370" s="77">
        <f>Donnees_generations!D89</f>
        <v/>
      </c>
      <c r="H370" s="8">
        <f>SUMIFS(Donnees_generations!$S$3:$S$113,Donnees_generations!$A$3:$A$113,MAX(1915,MIN(2025,E370)))</f>
        <v/>
      </c>
      <c r="I370" s="8">
        <f>SUMIFS(Donnees_generations!$T$3:$T$113,Donnees_generations!$A$3:$A$113,MAX(1915,MIN(2025,E370)))</f>
        <v/>
      </c>
      <c r="J370" s="8">
        <f>IF(G370&gt;=2000,MAX(I370,Parametres!$B$3),I370)</f>
        <v/>
      </c>
      <c r="K370" s="8">
        <f>IF(C370="Privé",J370,SUMIFS(Regles_regimes!$J$3:$J$2000,Regles_regimes!$A$3:$A$2000,C370,Regles_regimes!$B$3:$B$2000,D370,Regles_regimes!$C$3:$C$2000,MAX(1915,MIN(2025,E370))))</f>
        <v/>
      </c>
      <c r="L370" s="8">
        <f>IF(C370="Privé",H370,(K370-F370)*H370/(J370-F370))</f>
        <v/>
      </c>
      <c r="M370" s="77">
        <f>INT(E370+K370)</f>
        <v/>
      </c>
      <c r="N370" s="77">
        <f>G370+ROUNDUP(L370,0)-1</f>
        <v/>
      </c>
      <c r="O370" s="89">
        <f>SUMIFS(Regles_regimes!$K$3:$K$2000,Regles_regimes!$A$3:$A$2000,C370,Regles_regimes!$B$3:$B$2000,D370,Regles_regimes!$C$3:$C$2000,MAX(1915,MIN(2025,E370)))</f>
        <v/>
      </c>
      <c r="P370" s="13">
        <f>SUMIFS(Donnees_annuelles!$W$3:$W$188,Donnees_annuelles!$A$3:$A$188,"&gt;="&amp;G370,Donnees_annuelles!$A$3:$A$188,"&lt;="&amp;N370)*L370/ROUNDUP(L370,0)*O370</f>
        <v/>
      </c>
      <c r="Q370" s="13">
        <f>SUMIFS(Donnees_annuelles!$V$3:$V$188,Donnees_annuelles!$A$3:$A$188,"&gt;="&amp;G370,Donnees_annuelles!$A$3:$A$188,"&lt;="&amp;N370)*L370/ROUNDUP(L370,0)</f>
        <v/>
      </c>
      <c r="R370" s="13">
        <f>P370/L370</f>
        <v/>
      </c>
      <c r="S370" s="14">
        <f>SUMIFS(Donnees_annuelles!$D$3:$D$188,Donnees_annuelles!$A$3:$A$188,"&gt;="&amp;G370,Donnees_annuelles!$A$3:$A$188,"&lt;="&amp;N370)*L370/ROUNDUP(L370,0)</f>
        <v/>
      </c>
      <c r="T370" s="14">
        <f>SUMIFS(Donnees_regimes!$N$3:$N$1118,Donnees_regimes!$A$3:$A$1118,C370,Donnees_regimes!$B$3:$B$1118,"&gt;="&amp;G370,Donnees_regimes!$B$3:$B$1118,"&lt;="&amp;N370)*L370/ROUNDUP(L370,0)</f>
        <v/>
      </c>
      <c r="U370" s="14">
        <f>SUMIFS(Donnees_regimes!$O$3:$O$1118,Donnees_regimes!$A$3:$A$1118,C370,Donnees_regimes!$B$3:$B$1118,"&gt;="&amp;G370,Donnees_regimes!$B$3:$B$1118,"&lt;="&amp;N370)*L370/ROUNDUP(L370,0)</f>
        <v/>
      </c>
      <c r="V370" s="14">
        <f>T370+U370</f>
        <v/>
      </c>
      <c r="W370" s="33">
        <f>V370/S370</f>
        <v/>
      </c>
      <c r="X370" s="14">
        <f>S370+U370</f>
        <v/>
      </c>
      <c r="Y370" s="17">
        <f>V370/P370</f>
        <v/>
      </c>
      <c r="Z370" s="14">
        <f>SUMIFS(Donnees_regimes!$Q$3:$Q$1118,Donnees_regimes!$A$3:$A$1118,C370,Donnees_regimes!$B$3:$B$1118,"&gt;="&amp;G370,Donnees_regimes!$B$3:$B$1118,"&lt;="&amp;N370)*L370/ROUNDUP(L370,0)</f>
        <v/>
      </c>
      <c r="AA370" s="77">
        <f>SUMIFS(Regles_regimes!$F$3:$F$2000,Regles_regimes!$A$3:$A$2000,C370,Regles_regimes!$B$3:$B$2000,D370,Regles_regimes!$C$3:$C$2000,MAX(1915,MIN(2025,E370)))</f>
        <v/>
      </c>
      <c r="AB370" s="77">
        <f>IF(AND(SUMIFS(Regles_regimes!$L$3:$L$2000,Regles_regimes!$A$3:$A$2000,C370,Regles_regimes!$B$3:$B$2000,D370,Regles_regimes!$C$3:$C$2000,MAX(1915,MIN(2025,E370)))=1,G370&lt;2009,C370&lt;&gt;"Privé"),MIN(20,L370*4/5),0)</f>
        <v/>
      </c>
      <c r="AC370" s="89">
        <f>SUMIFS(Donnees_regimes!$M$3:$M$1118,Donnees_regimes!$A$3:$A$1118,C370,Donnees_regimes!$B$3:$B$1118,M370)</f>
        <v/>
      </c>
      <c r="AD370" s="14">
        <f>SUMIFS(Donnees_annuelles!$Y$3:$Y$188,Donnees_annuelles!$A$3:$A$188,M370)*SUMIFS(Donnees_generations!$I$3:$I$113,Donnees_generations!$A$3:$A$113,MAX(1915,MIN(2025,E370)))/H370</f>
        <v/>
      </c>
      <c r="AE370" s="14">
        <f>IF(C370="Privé",SUMIFS(Donnees_annuelles!$Y$3:$Y$188,Donnees_annuelles!$A$3:$A$188,M370)*MIN(L370,SUMIFS(Donnees_generations!$I$3:$I$113,Donnees_generations!$A$3:$A$113,MAX(1915,MIN(2025,E370))))/L370,AD370*AC370*MIN(IF(AB370&gt;0,0.8/0.75,1),(L370*4+AB370)/AA370))</f>
        <v/>
      </c>
      <c r="AF370" s="14">
        <f>AE370/12</f>
        <v/>
      </c>
      <c r="AG370" s="77">
        <f>MIN(68,MAX(56,2*INT(K370/2)))</f>
        <v/>
      </c>
      <c r="AH370" s="75">
        <f>(CHOOSE((AG370-56)/2+1,SUMIFS(Donnees_generations!$U$3:$U$113,Donnees_generations!$A$3:$A$113,MAX(1915,MIN(2025,E370))),SUMIFS(Donnees_generations!$V$3:$V$113,Donnees_generations!$A$3:$A$113,MAX(1915,MIN(2025,E370))),SUMIFS(Donnees_generations!$W$3:$W$113,Donnees_generations!$A$3:$A$113,MAX(1915,MIN(2025,E370))),SUMIFS(Donnees_generations!$X$3:$X$113,Donnees_generations!$A$3:$A$113,MAX(1915,MIN(2025,E370))),SUMIFS(Donnees_generations!$Y$3:$Y$113,Donnees_generations!$A$3:$A$113,MAX(1915,MIN(2025,E370))),SUMIFS(Donnees_generations!$Z$3:$Z$113,Donnees_generations!$A$3:$A$113,MAX(1915,MIN(2025,E370))),SUMIFS(Donnees_generations!$AA$3:$AA$113,Donnees_generations!$A$3:$A$113,MAX(1915,MIN(2025,E370))),SUMIFS(Donnees_generations!$AB$3:$AB$113,Donnees_generations!$A$3:$A$113,MAX(1915,MIN(2025,E370))))+CHOOSE((AG370-56)/2+1,SUMIFS(Donnees_generations!$AC$3:$AC$113,Donnees_generations!$A$3:$A$113,MAX(1915,MIN(2025,E370))),SUMIFS(Donnees_generations!$AD$3:$AD$113,Donnees_generations!$A$3:$A$113,MAX(1915,MIN(2025,E370))),SUMIFS(Donnees_generations!$AE$3:$AE$113,Donnees_generations!$A$3:$A$113,MAX(1915,MIN(2025,E370))),SUMIFS(Donnees_generations!$AF$3:$AF$113,Donnees_generations!$A$3:$A$113,MAX(1915,MIN(2025,E370))),SUMIFS(Donnees_generations!$AG$3:$AG$113,Donnees_generations!$A$3:$A$113,MAX(1915,MIN(2025,E370))),SUMIFS(Donnees_generations!$AH$3:$AH$113,Donnees_generations!$A$3:$A$113,MAX(1915,MIN(2025,E370))),SUMIFS(Donnees_generations!$AI$3:$AI$113,Donnees_generations!$A$3:$A$113,MAX(1915,MIN(2025,E370))),SUMIFS(Donnees_generations!$AJ$3:$AJ$113,Donnees_generations!$A$3:$A$113,MAX(1915,MIN(2025,E370)))))/2</f>
        <v/>
      </c>
      <c r="AI370" s="75">
        <f>(CHOOSE(((AG370+2)-56)/2+1,SUMIFS(Donnees_generations!$U$3:$U$113,Donnees_generations!$A$3:$A$113,MAX(1915,MIN(2025,E370))),SUMIFS(Donnees_generations!$V$3:$V$113,Donnees_generations!$A$3:$A$113,MAX(1915,MIN(2025,E370))),SUMIFS(Donnees_generations!$W$3:$W$113,Donnees_generations!$A$3:$A$113,MAX(1915,MIN(2025,E370))),SUMIFS(Donnees_generations!$X$3:$X$113,Donnees_generations!$A$3:$A$113,MAX(1915,MIN(2025,E370))),SUMIFS(Donnees_generations!$Y$3:$Y$113,Donnees_generations!$A$3:$A$113,MAX(1915,MIN(2025,E370))),SUMIFS(Donnees_generations!$Z$3:$Z$113,Donnees_generations!$A$3:$A$113,MAX(1915,MIN(2025,E370))),SUMIFS(Donnees_generations!$AA$3:$AA$113,Donnees_generations!$A$3:$A$113,MAX(1915,MIN(2025,E370))),SUMIFS(Donnees_generations!$AB$3:$AB$113,Donnees_generations!$A$3:$A$113,MAX(1915,MIN(2025,E370))))+CHOOSE(((AG370+2)-56)/2+1,SUMIFS(Donnees_generations!$AC$3:$AC$113,Donnees_generations!$A$3:$A$113,MAX(1915,MIN(2025,E370))),SUMIFS(Donnees_generations!$AD$3:$AD$113,Donnees_generations!$A$3:$A$113,MAX(1915,MIN(2025,E370))),SUMIFS(Donnees_generations!$AE$3:$AE$113,Donnees_generations!$A$3:$A$113,MAX(1915,MIN(2025,E370))),SUMIFS(Donnees_generations!$AF$3:$AF$113,Donnees_generations!$A$3:$A$113,MAX(1915,MIN(2025,E370))),SUMIFS(Donnees_generations!$AG$3:$AG$113,Donnees_generations!$A$3:$A$113,MAX(1915,MIN(2025,E370))),SUMIFS(Donnees_generations!$AH$3:$AH$113,Donnees_generations!$A$3:$A$113,MAX(1915,MIN(2025,E370))),SUMIFS(Donnees_generations!$AI$3:$AI$113,Donnees_generations!$A$3:$A$113,MAX(1915,MIN(2025,E370))),SUMIFS(Donnees_generations!$AJ$3:$AJ$113,Donnees_generations!$A$3:$A$113,MAX(1915,MIN(2025,E370)))))/2</f>
        <v/>
      </c>
      <c r="AJ370" s="8">
        <f>MAX(0,AH370+(AI370-AH370)*(K370-AG370)/2)</f>
        <v/>
      </c>
      <c r="AK370" s="8">
        <f>K370+AJ370</f>
        <v/>
      </c>
      <c r="AL370" s="14">
        <f>AE370*AJ370</f>
        <v/>
      </c>
      <c r="AM370" s="17">
        <f>V370/AL370</f>
        <v/>
      </c>
      <c r="AN370" s="17">
        <f>Z370/AL370</f>
        <v/>
      </c>
      <c r="AO370" s="33">
        <f>IF(V370+Z370=0,0,Z370/(V370+Z370))</f>
        <v/>
      </c>
      <c r="AP370" s="14">
        <f>AL370/V370*100</f>
        <v/>
      </c>
      <c r="AQ370" s="8">
        <f>P370/AL370*1000</f>
        <v/>
      </c>
      <c r="AR370" s="77">
        <f>MAX(N370,M370-1)</f>
        <v/>
      </c>
      <c r="AS370" s="14">
        <f>SUMIFS(Donnees_regimes!$R$3:$R$1118,Donnees_regimes!$A$3:$A$1118,C370,Donnees_regimes!$B$3:$B$1118,"&gt;="&amp;G370,Donnees_regimes!$B$3:$B$1118,"&lt;="&amp;N370)*L370/ROUNDUP(L370,0)*SUMIFS(Donnees_annuelles!$AG$3:$AG$188,Donnees_annuelles!$A$3:$A$188,AR370)*SUMIFS(Donnees_annuelles!$AA$3:$AA$188,Donnees_annuelles!$A$3:$A$188,AR370)</f>
        <v/>
      </c>
      <c r="AT370" s="36">
        <f>AS370/V370</f>
        <v/>
      </c>
      <c r="AU370" s="14">
        <f>AL370</f>
        <v/>
      </c>
      <c r="AV370" s="39">
        <f>AS370-AL370</f>
        <v/>
      </c>
      <c r="AW370" s="9">
        <f>AS370/AL370-1</f>
        <v/>
      </c>
      <c r="AX370" s="14">
        <f>AS370/AJ370/12</f>
        <v/>
      </c>
      <c r="AY370" s="14">
        <f>AF370</f>
        <v/>
      </c>
      <c r="AZ370" s="39">
        <f>AX370-AF370</f>
        <v/>
      </c>
      <c r="BA370" s="14">
        <f>SUMIFS(Donnees_regimes!$S$3:$S$1118,Donnees_regimes!$A$3:$A$1118,C370,Donnees_regimes!$B$3:$B$1118,"&gt;="&amp;G370,Donnees_regimes!$B$3:$B$1118,"&lt;="&amp;N370)*L370/ROUNDUP(L370,0)*SUMIFS(Donnees_annuelles!$AH$3:$AH$188,Donnees_annuelles!$A$3:$A$188,AR370)*SUMIFS(Donnees_annuelles!$AA$3:$AA$188,Donnees_annuelles!$A$3:$A$188,AR370)</f>
        <v/>
      </c>
      <c r="BB370" s="39">
        <f>BA370-AL370</f>
        <v/>
      </c>
      <c r="BC370" s="7">
        <f>IF(M370+AJ370&gt;2026,IF(G370&gt;2026,"entièrement projeté","en partie projeté"),"observé")</f>
        <v/>
      </c>
    </row>
    <row r="371">
      <c r="A371" s="7" t="inlineStr">
        <is>
          <t>Génération Z</t>
        </is>
      </c>
      <c r="B371" s="84" t="inlineStr">
        <is>
          <t>SNCF</t>
        </is>
      </c>
      <c r="C371" s="7">
        <f>IF(G371&gt;=SUMIFS(Regimes!$C$5:$C$10,Regimes!$A$5:$A$10,B371),"Privé",B371)</f>
        <v/>
      </c>
      <c r="D371" s="7">
        <f>INDEX(Regimes!$D$5:$D$10,MATCH(C371,Regimes!$A$5:$A$10,0))</f>
        <v/>
      </c>
      <c r="E371" s="88" t="n">
        <v>2002</v>
      </c>
      <c r="F371" s="8">
        <f>Donnees_generations!C90</f>
        <v/>
      </c>
      <c r="G371" s="77">
        <f>Donnees_generations!D90</f>
        <v/>
      </c>
      <c r="H371" s="8">
        <f>SUMIFS(Donnees_generations!$S$3:$S$113,Donnees_generations!$A$3:$A$113,MAX(1915,MIN(2025,E371)))</f>
        <v/>
      </c>
      <c r="I371" s="8">
        <f>SUMIFS(Donnees_generations!$T$3:$T$113,Donnees_generations!$A$3:$A$113,MAX(1915,MIN(2025,E371)))</f>
        <v/>
      </c>
      <c r="J371" s="8">
        <f>IF(G371&gt;=2000,MAX(I371,Parametres!$B$3),I371)</f>
        <v/>
      </c>
      <c r="K371" s="8">
        <f>IF(C371="Privé",J371,SUMIFS(Regles_regimes!$J$3:$J$2000,Regles_regimes!$A$3:$A$2000,C371,Regles_regimes!$B$3:$B$2000,D371,Regles_regimes!$C$3:$C$2000,MAX(1915,MIN(2025,E371))))</f>
        <v/>
      </c>
      <c r="L371" s="8">
        <f>IF(C371="Privé",H371,(K371-F371)*H371/(J371-F371))</f>
        <v/>
      </c>
      <c r="M371" s="77">
        <f>INT(E371+K371)</f>
        <v/>
      </c>
      <c r="N371" s="77">
        <f>G371+ROUNDUP(L371,0)-1</f>
        <v/>
      </c>
      <c r="O371" s="89">
        <f>SUMIFS(Regles_regimes!$K$3:$K$2000,Regles_regimes!$A$3:$A$2000,C371,Regles_regimes!$B$3:$B$2000,D371,Regles_regimes!$C$3:$C$2000,MAX(1915,MIN(2025,E371)))</f>
        <v/>
      </c>
      <c r="P371" s="13">
        <f>SUMIFS(Donnees_annuelles!$W$3:$W$188,Donnees_annuelles!$A$3:$A$188,"&gt;="&amp;G371,Donnees_annuelles!$A$3:$A$188,"&lt;="&amp;N371)*L371/ROUNDUP(L371,0)*O371</f>
        <v/>
      </c>
      <c r="Q371" s="13">
        <f>SUMIFS(Donnees_annuelles!$V$3:$V$188,Donnees_annuelles!$A$3:$A$188,"&gt;="&amp;G371,Donnees_annuelles!$A$3:$A$188,"&lt;="&amp;N371)*L371/ROUNDUP(L371,0)</f>
        <v/>
      </c>
      <c r="R371" s="13">
        <f>P371/L371</f>
        <v/>
      </c>
      <c r="S371" s="14">
        <f>SUMIFS(Donnees_annuelles!$D$3:$D$188,Donnees_annuelles!$A$3:$A$188,"&gt;="&amp;G371,Donnees_annuelles!$A$3:$A$188,"&lt;="&amp;N371)*L371/ROUNDUP(L371,0)</f>
        <v/>
      </c>
      <c r="T371" s="14">
        <f>SUMIFS(Donnees_regimes!$N$3:$N$1118,Donnees_regimes!$A$3:$A$1118,C371,Donnees_regimes!$B$3:$B$1118,"&gt;="&amp;G371,Donnees_regimes!$B$3:$B$1118,"&lt;="&amp;N371)*L371/ROUNDUP(L371,0)</f>
        <v/>
      </c>
      <c r="U371" s="14">
        <f>SUMIFS(Donnees_regimes!$O$3:$O$1118,Donnees_regimes!$A$3:$A$1118,C371,Donnees_regimes!$B$3:$B$1118,"&gt;="&amp;G371,Donnees_regimes!$B$3:$B$1118,"&lt;="&amp;N371)*L371/ROUNDUP(L371,0)</f>
        <v/>
      </c>
      <c r="V371" s="14">
        <f>T371+U371</f>
        <v/>
      </c>
      <c r="W371" s="33">
        <f>V371/S371</f>
        <v/>
      </c>
      <c r="X371" s="14">
        <f>S371+U371</f>
        <v/>
      </c>
      <c r="Y371" s="17">
        <f>V371/P371</f>
        <v/>
      </c>
      <c r="Z371" s="14">
        <f>SUMIFS(Donnees_regimes!$Q$3:$Q$1118,Donnees_regimes!$A$3:$A$1118,C371,Donnees_regimes!$B$3:$B$1118,"&gt;="&amp;G371,Donnees_regimes!$B$3:$B$1118,"&lt;="&amp;N371)*L371/ROUNDUP(L371,0)</f>
        <v/>
      </c>
      <c r="AA371" s="77">
        <f>SUMIFS(Regles_regimes!$F$3:$F$2000,Regles_regimes!$A$3:$A$2000,C371,Regles_regimes!$B$3:$B$2000,D371,Regles_regimes!$C$3:$C$2000,MAX(1915,MIN(2025,E371)))</f>
        <v/>
      </c>
      <c r="AB371" s="77">
        <f>IF(AND(SUMIFS(Regles_regimes!$L$3:$L$2000,Regles_regimes!$A$3:$A$2000,C371,Regles_regimes!$B$3:$B$2000,D371,Regles_regimes!$C$3:$C$2000,MAX(1915,MIN(2025,E371)))=1,G371&lt;2009,C371&lt;&gt;"Privé"),MIN(20,L371*4/5),0)</f>
        <v/>
      </c>
      <c r="AC371" s="89">
        <f>SUMIFS(Donnees_regimes!$M$3:$M$1118,Donnees_regimes!$A$3:$A$1118,C371,Donnees_regimes!$B$3:$B$1118,M371)</f>
        <v/>
      </c>
      <c r="AD371" s="14">
        <f>SUMIFS(Donnees_annuelles!$Y$3:$Y$188,Donnees_annuelles!$A$3:$A$188,M371)*SUMIFS(Donnees_generations!$I$3:$I$113,Donnees_generations!$A$3:$A$113,MAX(1915,MIN(2025,E371)))/H371</f>
        <v/>
      </c>
      <c r="AE371" s="14">
        <f>IF(C371="Privé",SUMIFS(Donnees_annuelles!$Y$3:$Y$188,Donnees_annuelles!$A$3:$A$188,M371)*MIN(L371,SUMIFS(Donnees_generations!$I$3:$I$113,Donnees_generations!$A$3:$A$113,MAX(1915,MIN(2025,E371))))/L371,AD371*AC371*MIN(IF(AB371&gt;0,0.8/0.75,1),(L371*4+AB371)/AA371))</f>
        <v/>
      </c>
      <c r="AF371" s="14">
        <f>AE371/12</f>
        <v/>
      </c>
      <c r="AG371" s="77">
        <f>MIN(68,MAX(56,2*INT(K371/2)))</f>
        <v/>
      </c>
      <c r="AH371" s="75">
        <f>(CHOOSE((AG371-56)/2+1,SUMIFS(Donnees_generations!$U$3:$U$113,Donnees_generations!$A$3:$A$113,MAX(1915,MIN(2025,E371))),SUMIFS(Donnees_generations!$V$3:$V$113,Donnees_generations!$A$3:$A$113,MAX(1915,MIN(2025,E371))),SUMIFS(Donnees_generations!$W$3:$W$113,Donnees_generations!$A$3:$A$113,MAX(1915,MIN(2025,E371))),SUMIFS(Donnees_generations!$X$3:$X$113,Donnees_generations!$A$3:$A$113,MAX(1915,MIN(2025,E371))),SUMIFS(Donnees_generations!$Y$3:$Y$113,Donnees_generations!$A$3:$A$113,MAX(1915,MIN(2025,E371))),SUMIFS(Donnees_generations!$Z$3:$Z$113,Donnees_generations!$A$3:$A$113,MAX(1915,MIN(2025,E371))),SUMIFS(Donnees_generations!$AA$3:$AA$113,Donnees_generations!$A$3:$A$113,MAX(1915,MIN(2025,E371))),SUMIFS(Donnees_generations!$AB$3:$AB$113,Donnees_generations!$A$3:$A$113,MAX(1915,MIN(2025,E371))))+CHOOSE((AG371-56)/2+1,SUMIFS(Donnees_generations!$AC$3:$AC$113,Donnees_generations!$A$3:$A$113,MAX(1915,MIN(2025,E371))),SUMIFS(Donnees_generations!$AD$3:$AD$113,Donnees_generations!$A$3:$A$113,MAX(1915,MIN(2025,E371))),SUMIFS(Donnees_generations!$AE$3:$AE$113,Donnees_generations!$A$3:$A$113,MAX(1915,MIN(2025,E371))),SUMIFS(Donnees_generations!$AF$3:$AF$113,Donnees_generations!$A$3:$A$113,MAX(1915,MIN(2025,E371))),SUMIFS(Donnees_generations!$AG$3:$AG$113,Donnees_generations!$A$3:$A$113,MAX(1915,MIN(2025,E371))),SUMIFS(Donnees_generations!$AH$3:$AH$113,Donnees_generations!$A$3:$A$113,MAX(1915,MIN(2025,E371))),SUMIFS(Donnees_generations!$AI$3:$AI$113,Donnees_generations!$A$3:$A$113,MAX(1915,MIN(2025,E371))),SUMIFS(Donnees_generations!$AJ$3:$AJ$113,Donnees_generations!$A$3:$A$113,MAX(1915,MIN(2025,E371)))))/2</f>
        <v/>
      </c>
      <c r="AI371" s="75">
        <f>(CHOOSE(((AG371+2)-56)/2+1,SUMIFS(Donnees_generations!$U$3:$U$113,Donnees_generations!$A$3:$A$113,MAX(1915,MIN(2025,E371))),SUMIFS(Donnees_generations!$V$3:$V$113,Donnees_generations!$A$3:$A$113,MAX(1915,MIN(2025,E371))),SUMIFS(Donnees_generations!$W$3:$W$113,Donnees_generations!$A$3:$A$113,MAX(1915,MIN(2025,E371))),SUMIFS(Donnees_generations!$X$3:$X$113,Donnees_generations!$A$3:$A$113,MAX(1915,MIN(2025,E371))),SUMIFS(Donnees_generations!$Y$3:$Y$113,Donnees_generations!$A$3:$A$113,MAX(1915,MIN(2025,E371))),SUMIFS(Donnees_generations!$Z$3:$Z$113,Donnees_generations!$A$3:$A$113,MAX(1915,MIN(2025,E371))),SUMIFS(Donnees_generations!$AA$3:$AA$113,Donnees_generations!$A$3:$A$113,MAX(1915,MIN(2025,E371))),SUMIFS(Donnees_generations!$AB$3:$AB$113,Donnees_generations!$A$3:$A$113,MAX(1915,MIN(2025,E371))))+CHOOSE(((AG371+2)-56)/2+1,SUMIFS(Donnees_generations!$AC$3:$AC$113,Donnees_generations!$A$3:$A$113,MAX(1915,MIN(2025,E371))),SUMIFS(Donnees_generations!$AD$3:$AD$113,Donnees_generations!$A$3:$A$113,MAX(1915,MIN(2025,E371))),SUMIFS(Donnees_generations!$AE$3:$AE$113,Donnees_generations!$A$3:$A$113,MAX(1915,MIN(2025,E371))),SUMIFS(Donnees_generations!$AF$3:$AF$113,Donnees_generations!$A$3:$A$113,MAX(1915,MIN(2025,E371))),SUMIFS(Donnees_generations!$AG$3:$AG$113,Donnees_generations!$A$3:$A$113,MAX(1915,MIN(2025,E371))),SUMIFS(Donnees_generations!$AH$3:$AH$113,Donnees_generations!$A$3:$A$113,MAX(1915,MIN(2025,E371))),SUMIFS(Donnees_generations!$AI$3:$AI$113,Donnees_generations!$A$3:$A$113,MAX(1915,MIN(2025,E371))),SUMIFS(Donnees_generations!$AJ$3:$AJ$113,Donnees_generations!$A$3:$A$113,MAX(1915,MIN(2025,E371)))))/2</f>
        <v/>
      </c>
      <c r="AJ371" s="8">
        <f>MAX(0,AH371+(AI371-AH371)*(K371-AG371)/2)</f>
        <v/>
      </c>
      <c r="AK371" s="8">
        <f>K371+AJ371</f>
        <v/>
      </c>
      <c r="AL371" s="14">
        <f>AE371*AJ371</f>
        <v/>
      </c>
      <c r="AM371" s="17">
        <f>V371/AL371</f>
        <v/>
      </c>
      <c r="AN371" s="17">
        <f>Z371/AL371</f>
        <v/>
      </c>
      <c r="AO371" s="33">
        <f>IF(V371+Z371=0,0,Z371/(V371+Z371))</f>
        <v/>
      </c>
      <c r="AP371" s="14">
        <f>AL371/V371*100</f>
        <v/>
      </c>
      <c r="AQ371" s="8">
        <f>P371/AL371*1000</f>
        <v/>
      </c>
      <c r="AR371" s="77">
        <f>MAX(N371,M371-1)</f>
        <v/>
      </c>
      <c r="AS371" s="14">
        <f>SUMIFS(Donnees_regimes!$R$3:$R$1118,Donnees_regimes!$A$3:$A$1118,C371,Donnees_regimes!$B$3:$B$1118,"&gt;="&amp;G371,Donnees_regimes!$B$3:$B$1118,"&lt;="&amp;N371)*L371/ROUNDUP(L371,0)*SUMIFS(Donnees_annuelles!$AG$3:$AG$188,Donnees_annuelles!$A$3:$A$188,AR371)*SUMIFS(Donnees_annuelles!$AA$3:$AA$188,Donnees_annuelles!$A$3:$A$188,AR371)</f>
        <v/>
      </c>
      <c r="AT371" s="36">
        <f>AS371/V371</f>
        <v/>
      </c>
      <c r="AU371" s="14">
        <f>AL371</f>
        <v/>
      </c>
      <c r="AV371" s="39">
        <f>AS371-AL371</f>
        <v/>
      </c>
      <c r="AW371" s="9">
        <f>AS371/AL371-1</f>
        <v/>
      </c>
      <c r="AX371" s="14">
        <f>AS371/AJ371/12</f>
        <v/>
      </c>
      <c r="AY371" s="14">
        <f>AF371</f>
        <v/>
      </c>
      <c r="AZ371" s="39">
        <f>AX371-AF371</f>
        <v/>
      </c>
      <c r="BA371" s="14">
        <f>SUMIFS(Donnees_regimes!$S$3:$S$1118,Donnees_regimes!$A$3:$A$1118,C371,Donnees_regimes!$B$3:$B$1118,"&gt;="&amp;G371,Donnees_regimes!$B$3:$B$1118,"&lt;="&amp;N371)*L371/ROUNDUP(L371,0)*SUMIFS(Donnees_annuelles!$AH$3:$AH$188,Donnees_annuelles!$A$3:$A$188,AR371)*SUMIFS(Donnees_annuelles!$AA$3:$AA$188,Donnees_annuelles!$A$3:$A$188,AR371)</f>
        <v/>
      </c>
      <c r="BB371" s="39">
        <f>BA371-AL371</f>
        <v/>
      </c>
      <c r="BC371" s="7">
        <f>IF(M371+AJ371&gt;2026,IF(G371&gt;2026,"entièrement projeté","en partie projeté"),"observé")</f>
        <v/>
      </c>
    </row>
    <row r="372">
      <c r="A372" s="7" t="inlineStr">
        <is>
          <t>Génération Z</t>
        </is>
      </c>
      <c r="B372" s="84" t="inlineStr">
        <is>
          <t>SNCF</t>
        </is>
      </c>
      <c r="C372" s="7">
        <f>IF(G372&gt;=SUMIFS(Regimes!$C$5:$C$10,Regimes!$A$5:$A$10,B372),"Privé",B372)</f>
        <v/>
      </c>
      <c r="D372" s="7">
        <f>INDEX(Regimes!$D$5:$D$10,MATCH(C372,Regimes!$A$5:$A$10,0))</f>
        <v/>
      </c>
      <c r="E372" s="88" t="n">
        <v>2003</v>
      </c>
      <c r="F372" s="8">
        <f>Donnees_generations!C91</f>
        <v/>
      </c>
      <c r="G372" s="77">
        <f>Donnees_generations!D91</f>
        <v/>
      </c>
      <c r="H372" s="8">
        <f>SUMIFS(Donnees_generations!$S$3:$S$113,Donnees_generations!$A$3:$A$113,MAX(1915,MIN(2025,E372)))</f>
        <v/>
      </c>
      <c r="I372" s="8">
        <f>SUMIFS(Donnees_generations!$T$3:$T$113,Donnees_generations!$A$3:$A$113,MAX(1915,MIN(2025,E372)))</f>
        <v/>
      </c>
      <c r="J372" s="8">
        <f>IF(G372&gt;=2000,MAX(I372,Parametres!$B$3),I372)</f>
        <v/>
      </c>
      <c r="K372" s="8">
        <f>IF(C372="Privé",J372,SUMIFS(Regles_regimes!$J$3:$J$2000,Regles_regimes!$A$3:$A$2000,C372,Regles_regimes!$B$3:$B$2000,D372,Regles_regimes!$C$3:$C$2000,MAX(1915,MIN(2025,E372))))</f>
        <v/>
      </c>
      <c r="L372" s="8">
        <f>IF(C372="Privé",H372,(K372-F372)*H372/(J372-F372))</f>
        <v/>
      </c>
      <c r="M372" s="77">
        <f>INT(E372+K372)</f>
        <v/>
      </c>
      <c r="N372" s="77">
        <f>G372+ROUNDUP(L372,0)-1</f>
        <v/>
      </c>
      <c r="O372" s="89">
        <f>SUMIFS(Regles_regimes!$K$3:$K$2000,Regles_regimes!$A$3:$A$2000,C372,Regles_regimes!$B$3:$B$2000,D372,Regles_regimes!$C$3:$C$2000,MAX(1915,MIN(2025,E372)))</f>
        <v/>
      </c>
      <c r="P372" s="13">
        <f>SUMIFS(Donnees_annuelles!$W$3:$W$188,Donnees_annuelles!$A$3:$A$188,"&gt;="&amp;G372,Donnees_annuelles!$A$3:$A$188,"&lt;="&amp;N372)*L372/ROUNDUP(L372,0)*O372</f>
        <v/>
      </c>
      <c r="Q372" s="13">
        <f>SUMIFS(Donnees_annuelles!$V$3:$V$188,Donnees_annuelles!$A$3:$A$188,"&gt;="&amp;G372,Donnees_annuelles!$A$3:$A$188,"&lt;="&amp;N372)*L372/ROUNDUP(L372,0)</f>
        <v/>
      </c>
      <c r="R372" s="13">
        <f>P372/L372</f>
        <v/>
      </c>
      <c r="S372" s="14">
        <f>SUMIFS(Donnees_annuelles!$D$3:$D$188,Donnees_annuelles!$A$3:$A$188,"&gt;="&amp;G372,Donnees_annuelles!$A$3:$A$188,"&lt;="&amp;N372)*L372/ROUNDUP(L372,0)</f>
        <v/>
      </c>
      <c r="T372" s="14">
        <f>SUMIFS(Donnees_regimes!$N$3:$N$1118,Donnees_regimes!$A$3:$A$1118,C372,Donnees_regimes!$B$3:$B$1118,"&gt;="&amp;G372,Donnees_regimes!$B$3:$B$1118,"&lt;="&amp;N372)*L372/ROUNDUP(L372,0)</f>
        <v/>
      </c>
      <c r="U372" s="14">
        <f>SUMIFS(Donnees_regimes!$O$3:$O$1118,Donnees_regimes!$A$3:$A$1118,C372,Donnees_regimes!$B$3:$B$1118,"&gt;="&amp;G372,Donnees_regimes!$B$3:$B$1118,"&lt;="&amp;N372)*L372/ROUNDUP(L372,0)</f>
        <v/>
      </c>
      <c r="V372" s="14">
        <f>T372+U372</f>
        <v/>
      </c>
      <c r="W372" s="33">
        <f>V372/S372</f>
        <v/>
      </c>
      <c r="X372" s="14">
        <f>S372+U372</f>
        <v/>
      </c>
      <c r="Y372" s="17">
        <f>V372/P372</f>
        <v/>
      </c>
      <c r="Z372" s="14">
        <f>SUMIFS(Donnees_regimes!$Q$3:$Q$1118,Donnees_regimes!$A$3:$A$1118,C372,Donnees_regimes!$B$3:$B$1118,"&gt;="&amp;G372,Donnees_regimes!$B$3:$B$1118,"&lt;="&amp;N372)*L372/ROUNDUP(L372,0)</f>
        <v/>
      </c>
      <c r="AA372" s="77">
        <f>SUMIFS(Regles_regimes!$F$3:$F$2000,Regles_regimes!$A$3:$A$2000,C372,Regles_regimes!$B$3:$B$2000,D372,Regles_regimes!$C$3:$C$2000,MAX(1915,MIN(2025,E372)))</f>
        <v/>
      </c>
      <c r="AB372" s="77">
        <f>IF(AND(SUMIFS(Regles_regimes!$L$3:$L$2000,Regles_regimes!$A$3:$A$2000,C372,Regles_regimes!$B$3:$B$2000,D372,Regles_regimes!$C$3:$C$2000,MAX(1915,MIN(2025,E372)))=1,G372&lt;2009,C372&lt;&gt;"Privé"),MIN(20,L372*4/5),0)</f>
        <v/>
      </c>
      <c r="AC372" s="89">
        <f>SUMIFS(Donnees_regimes!$M$3:$M$1118,Donnees_regimes!$A$3:$A$1118,C372,Donnees_regimes!$B$3:$B$1118,M372)</f>
        <v/>
      </c>
      <c r="AD372" s="14">
        <f>SUMIFS(Donnees_annuelles!$Y$3:$Y$188,Donnees_annuelles!$A$3:$A$188,M372)*SUMIFS(Donnees_generations!$I$3:$I$113,Donnees_generations!$A$3:$A$113,MAX(1915,MIN(2025,E372)))/H372</f>
        <v/>
      </c>
      <c r="AE372" s="14">
        <f>IF(C372="Privé",SUMIFS(Donnees_annuelles!$Y$3:$Y$188,Donnees_annuelles!$A$3:$A$188,M372)*MIN(L372,SUMIFS(Donnees_generations!$I$3:$I$113,Donnees_generations!$A$3:$A$113,MAX(1915,MIN(2025,E372))))/L372,AD372*AC372*MIN(IF(AB372&gt;0,0.8/0.75,1),(L372*4+AB372)/AA372))</f>
        <v/>
      </c>
      <c r="AF372" s="14">
        <f>AE372/12</f>
        <v/>
      </c>
      <c r="AG372" s="77">
        <f>MIN(68,MAX(56,2*INT(K372/2)))</f>
        <v/>
      </c>
      <c r="AH372" s="75">
        <f>(CHOOSE((AG372-56)/2+1,SUMIFS(Donnees_generations!$U$3:$U$113,Donnees_generations!$A$3:$A$113,MAX(1915,MIN(2025,E372))),SUMIFS(Donnees_generations!$V$3:$V$113,Donnees_generations!$A$3:$A$113,MAX(1915,MIN(2025,E372))),SUMIFS(Donnees_generations!$W$3:$W$113,Donnees_generations!$A$3:$A$113,MAX(1915,MIN(2025,E372))),SUMIFS(Donnees_generations!$X$3:$X$113,Donnees_generations!$A$3:$A$113,MAX(1915,MIN(2025,E372))),SUMIFS(Donnees_generations!$Y$3:$Y$113,Donnees_generations!$A$3:$A$113,MAX(1915,MIN(2025,E372))),SUMIFS(Donnees_generations!$Z$3:$Z$113,Donnees_generations!$A$3:$A$113,MAX(1915,MIN(2025,E372))),SUMIFS(Donnees_generations!$AA$3:$AA$113,Donnees_generations!$A$3:$A$113,MAX(1915,MIN(2025,E372))),SUMIFS(Donnees_generations!$AB$3:$AB$113,Donnees_generations!$A$3:$A$113,MAX(1915,MIN(2025,E372))))+CHOOSE((AG372-56)/2+1,SUMIFS(Donnees_generations!$AC$3:$AC$113,Donnees_generations!$A$3:$A$113,MAX(1915,MIN(2025,E372))),SUMIFS(Donnees_generations!$AD$3:$AD$113,Donnees_generations!$A$3:$A$113,MAX(1915,MIN(2025,E372))),SUMIFS(Donnees_generations!$AE$3:$AE$113,Donnees_generations!$A$3:$A$113,MAX(1915,MIN(2025,E372))),SUMIFS(Donnees_generations!$AF$3:$AF$113,Donnees_generations!$A$3:$A$113,MAX(1915,MIN(2025,E372))),SUMIFS(Donnees_generations!$AG$3:$AG$113,Donnees_generations!$A$3:$A$113,MAX(1915,MIN(2025,E372))),SUMIFS(Donnees_generations!$AH$3:$AH$113,Donnees_generations!$A$3:$A$113,MAX(1915,MIN(2025,E372))),SUMIFS(Donnees_generations!$AI$3:$AI$113,Donnees_generations!$A$3:$A$113,MAX(1915,MIN(2025,E372))),SUMIFS(Donnees_generations!$AJ$3:$AJ$113,Donnees_generations!$A$3:$A$113,MAX(1915,MIN(2025,E372)))))/2</f>
        <v/>
      </c>
      <c r="AI372" s="75">
        <f>(CHOOSE(((AG372+2)-56)/2+1,SUMIFS(Donnees_generations!$U$3:$U$113,Donnees_generations!$A$3:$A$113,MAX(1915,MIN(2025,E372))),SUMIFS(Donnees_generations!$V$3:$V$113,Donnees_generations!$A$3:$A$113,MAX(1915,MIN(2025,E372))),SUMIFS(Donnees_generations!$W$3:$W$113,Donnees_generations!$A$3:$A$113,MAX(1915,MIN(2025,E372))),SUMIFS(Donnees_generations!$X$3:$X$113,Donnees_generations!$A$3:$A$113,MAX(1915,MIN(2025,E372))),SUMIFS(Donnees_generations!$Y$3:$Y$113,Donnees_generations!$A$3:$A$113,MAX(1915,MIN(2025,E372))),SUMIFS(Donnees_generations!$Z$3:$Z$113,Donnees_generations!$A$3:$A$113,MAX(1915,MIN(2025,E372))),SUMIFS(Donnees_generations!$AA$3:$AA$113,Donnees_generations!$A$3:$A$113,MAX(1915,MIN(2025,E372))),SUMIFS(Donnees_generations!$AB$3:$AB$113,Donnees_generations!$A$3:$A$113,MAX(1915,MIN(2025,E372))))+CHOOSE(((AG372+2)-56)/2+1,SUMIFS(Donnees_generations!$AC$3:$AC$113,Donnees_generations!$A$3:$A$113,MAX(1915,MIN(2025,E372))),SUMIFS(Donnees_generations!$AD$3:$AD$113,Donnees_generations!$A$3:$A$113,MAX(1915,MIN(2025,E372))),SUMIFS(Donnees_generations!$AE$3:$AE$113,Donnees_generations!$A$3:$A$113,MAX(1915,MIN(2025,E372))),SUMIFS(Donnees_generations!$AF$3:$AF$113,Donnees_generations!$A$3:$A$113,MAX(1915,MIN(2025,E372))),SUMIFS(Donnees_generations!$AG$3:$AG$113,Donnees_generations!$A$3:$A$113,MAX(1915,MIN(2025,E372))),SUMIFS(Donnees_generations!$AH$3:$AH$113,Donnees_generations!$A$3:$A$113,MAX(1915,MIN(2025,E372))),SUMIFS(Donnees_generations!$AI$3:$AI$113,Donnees_generations!$A$3:$A$113,MAX(1915,MIN(2025,E372))),SUMIFS(Donnees_generations!$AJ$3:$AJ$113,Donnees_generations!$A$3:$A$113,MAX(1915,MIN(2025,E372)))))/2</f>
        <v/>
      </c>
      <c r="AJ372" s="8">
        <f>MAX(0,AH372+(AI372-AH372)*(K372-AG372)/2)</f>
        <v/>
      </c>
      <c r="AK372" s="8">
        <f>K372+AJ372</f>
        <v/>
      </c>
      <c r="AL372" s="14">
        <f>AE372*AJ372</f>
        <v/>
      </c>
      <c r="AM372" s="17">
        <f>V372/AL372</f>
        <v/>
      </c>
      <c r="AN372" s="17">
        <f>Z372/AL372</f>
        <v/>
      </c>
      <c r="AO372" s="33">
        <f>IF(V372+Z372=0,0,Z372/(V372+Z372))</f>
        <v/>
      </c>
      <c r="AP372" s="14">
        <f>AL372/V372*100</f>
        <v/>
      </c>
      <c r="AQ372" s="8">
        <f>P372/AL372*1000</f>
        <v/>
      </c>
      <c r="AR372" s="77">
        <f>MAX(N372,M372-1)</f>
        <v/>
      </c>
      <c r="AS372" s="14">
        <f>SUMIFS(Donnees_regimes!$R$3:$R$1118,Donnees_regimes!$A$3:$A$1118,C372,Donnees_regimes!$B$3:$B$1118,"&gt;="&amp;G372,Donnees_regimes!$B$3:$B$1118,"&lt;="&amp;N372)*L372/ROUNDUP(L372,0)*SUMIFS(Donnees_annuelles!$AG$3:$AG$188,Donnees_annuelles!$A$3:$A$188,AR372)*SUMIFS(Donnees_annuelles!$AA$3:$AA$188,Donnees_annuelles!$A$3:$A$188,AR372)</f>
        <v/>
      </c>
      <c r="AT372" s="36">
        <f>AS372/V372</f>
        <v/>
      </c>
      <c r="AU372" s="14">
        <f>AL372</f>
        <v/>
      </c>
      <c r="AV372" s="39">
        <f>AS372-AL372</f>
        <v/>
      </c>
      <c r="AW372" s="9">
        <f>AS372/AL372-1</f>
        <v/>
      </c>
      <c r="AX372" s="14">
        <f>AS372/AJ372/12</f>
        <v/>
      </c>
      <c r="AY372" s="14">
        <f>AF372</f>
        <v/>
      </c>
      <c r="AZ372" s="39">
        <f>AX372-AF372</f>
        <v/>
      </c>
      <c r="BA372" s="14">
        <f>SUMIFS(Donnees_regimes!$S$3:$S$1118,Donnees_regimes!$A$3:$A$1118,C372,Donnees_regimes!$B$3:$B$1118,"&gt;="&amp;G372,Donnees_regimes!$B$3:$B$1118,"&lt;="&amp;N372)*L372/ROUNDUP(L372,0)*SUMIFS(Donnees_annuelles!$AH$3:$AH$188,Donnees_annuelles!$A$3:$A$188,AR372)*SUMIFS(Donnees_annuelles!$AA$3:$AA$188,Donnees_annuelles!$A$3:$A$188,AR372)</f>
        <v/>
      </c>
      <c r="BB372" s="39">
        <f>BA372-AL372</f>
        <v/>
      </c>
      <c r="BC372" s="7">
        <f>IF(M372+AJ372&gt;2026,IF(G372&gt;2026,"entièrement projeté","en partie projeté"),"observé")</f>
        <v/>
      </c>
    </row>
    <row r="373">
      <c r="A373" s="7" t="inlineStr">
        <is>
          <t>Génération Z</t>
        </is>
      </c>
      <c r="B373" s="84" t="inlineStr">
        <is>
          <t>SNCF</t>
        </is>
      </c>
      <c r="C373" s="7">
        <f>IF(G373&gt;=SUMIFS(Regimes!$C$5:$C$10,Regimes!$A$5:$A$10,B373),"Privé",B373)</f>
        <v/>
      </c>
      <c r="D373" s="7">
        <f>INDEX(Regimes!$D$5:$D$10,MATCH(C373,Regimes!$A$5:$A$10,0))</f>
        <v/>
      </c>
      <c r="E373" s="88" t="n">
        <v>2004</v>
      </c>
      <c r="F373" s="8">
        <f>Donnees_generations!C92</f>
        <v/>
      </c>
      <c r="G373" s="77">
        <f>Donnees_generations!D92</f>
        <v/>
      </c>
      <c r="H373" s="8">
        <f>SUMIFS(Donnees_generations!$S$3:$S$113,Donnees_generations!$A$3:$A$113,MAX(1915,MIN(2025,E373)))</f>
        <v/>
      </c>
      <c r="I373" s="8">
        <f>SUMIFS(Donnees_generations!$T$3:$T$113,Donnees_generations!$A$3:$A$113,MAX(1915,MIN(2025,E373)))</f>
        <v/>
      </c>
      <c r="J373" s="8">
        <f>IF(G373&gt;=2000,MAX(I373,Parametres!$B$3),I373)</f>
        <v/>
      </c>
      <c r="K373" s="8">
        <f>IF(C373="Privé",J373,SUMIFS(Regles_regimes!$J$3:$J$2000,Regles_regimes!$A$3:$A$2000,C373,Regles_regimes!$B$3:$B$2000,D373,Regles_regimes!$C$3:$C$2000,MAX(1915,MIN(2025,E373))))</f>
        <v/>
      </c>
      <c r="L373" s="8">
        <f>IF(C373="Privé",H373,(K373-F373)*H373/(J373-F373))</f>
        <v/>
      </c>
      <c r="M373" s="77">
        <f>INT(E373+K373)</f>
        <v/>
      </c>
      <c r="N373" s="77">
        <f>G373+ROUNDUP(L373,0)-1</f>
        <v/>
      </c>
      <c r="O373" s="89">
        <f>SUMIFS(Regles_regimes!$K$3:$K$2000,Regles_regimes!$A$3:$A$2000,C373,Regles_regimes!$B$3:$B$2000,D373,Regles_regimes!$C$3:$C$2000,MAX(1915,MIN(2025,E373)))</f>
        <v/>
      </c>
      <c r="P373" s="13">
        <f>SUMIFS(Donnees_annuelles!$W$3:$W$188,Donnees_annuelles!$A$3:$A$188,"&gt;="&amp;G373,Donnees_annuelles!$A$3:$A$188,"&lt;="&amp;N373)*L373/ROUNDUP(L373,0)*O373</f>
        <v/>
      </c>
      <c r="Q373" s="13">
        <f>SUMIFS(Donnees_annuelles!$V$3:$V$188,Donnees_annuelles!$A$3:$A$188,"&gt;="&amp;G373,Donnees_annuelles!$A$3:$A$188,"&lt;="&amp;N373)*L373/ROUNDUP(L373,0)</f>
        <v/>
      </c>
      <c r="R373" s="13">
        <f>P373/L373</f>
        <v/>
      </c>
      <c r="S373" s="14">
        <f>SUMIFS(Donnees_annuelles!$D$3:$D$188,Donnees_annuelles!$A$3:$A$188,"&gt;="&amp;G373,Donnees_annuelles!$A$3:$A$188,"&lt;="&amp;N373)*L373/ROUNDUP(L373,0)</f>
        <v/>
      </c>
      <c r="T373" s="14">
        <f>SUMIFS(Donnees_regimes!$N$3:$N$1118,Donnees_regimes!$A$3:$A$1118,C373,Donnees_regimes!$B$3:$B$1118,"&gt;="&amp;G373,Donnees_regimes!$B$3:$B$1118,"&lt;="&amp;N373)*L373/ROUNDUP(L373,0)</f>
        <v/>
      </c>
      <c r="U373" s="14">
        <f>SUMIFS(Donnees_regimes!$O$3:$O$1118,Donnees_regimes!$A$3:$A$1118,C373,Donnees_regimes!$B$3:$B$1118,"&gt;="&amp;G373,Donnees_regimes!$B$3:$B$1118,"&lt;="&amp;N373)*L373/ROUNDUP(L373,0)</f>
        <v/>
      </c>
      <c r="V373" s="14">
        <f>T373+U373</f>
        <v/>
      </c>
      <c r="W373" s="33">
        <f>V373/S373</f>
        <v/>
      </c>
      <c r="X373" s="14">
        <f>S373+U373</f>
        <v/>
      </c>
      <c r="Y373" s="17">
        <f>V373/P373</f>
        <v/>
      </c>
      <c r="Z373" s="14">
        <f>SUMIFS(Donnees_regimes!$Q$3:$Q$1118,Donnees_regimes!$A$3:$A$1118,C373,Donnees_regimes!$B$3:$B$1118,"&gt;="&amp;G373,Donnees_regimes!$B$3:$B$1118,"&lt;="&amp;N373)*L373/ROUNDUP(L373,0)</f>
        <v/>
      </c>
      <c r="AA373" s="77">
        <f>SUMIFS(Regles_regimes!$F$3:$F$2000,Regles_regimes!$A$3:$A$2000,C373,Regles_regimes!$B$3:$B$2000,D373,Regles_regimes!$C$3:$C$2000,MAX(1915,MIN(2025,E373)))</f>
        <v/>
      </c>
      <c r="AB373" s="77">
        <f>IF(AND(SUMIFS(Regles_regimes!$L$3:$L$2000,Regles_regimes!$A$3:$A$2000,C373,Regles_regimes!$B$3:$B$2000,D373,Regles_regimes!$C$3:$C$2000,MAX(1915,MIN(2025,E373)))=1,G373&lt;2009,C373&lt;&gt;"Privé"),MIN(20,L373*4/5),0)</f>
        <v/>
      </c>
      <c r="AC373" s="89">
        <f>SUMIFS(Donnees_regimes!$M$3:$M$1118,Donnees_regimes!$A$3:$A$1118,C373,Donnees_regimes!$B$3:$B$1118,M373)</f>
        <v/>
      </c>
      <c r="AD373" s="14">
        <f>SUMIFS(Donnees_annuelles!$Y$3:$Y$188,Donnees_annuelles!$A$3:$A$188,M373)*SUMIFS(Donnees_generations!$I$3:$I$113,Donnees_generations!$A$3:$A$113,MAX(1915,MIN(2025,E373)))/H373</f>
        <v/>
      </c>
      <c r="AE373" s="14">
        <f>IF(C373="Privé",SUMIFS(Donnees_annuelles!$Y$3:$Y$188,Donnees_annuelles!$A$3:$A$188,M373)*MIN(L373,SUMIFS(Donnees_generations!$I$3:$I$113,Donnees_generations!$A$3:$A$113,MAX(1915,MIN(2025,E373))))/L373,AD373*AC373*MIN(IF(AB373&gt;0,0.8/0.75,1),(L373*4+AB373)/AA373))</f>
        <v/>
      </c>
      <c r="AF373" s="14">
        <f>AE373/12</f>
        <v/>
      </c>
      <c r="AG373" s="77">
        <f>MIN(68,MAX(56,2*INT(K373/2)))</f>
        <v/>
      </c>
      <c r="AH373" s="75">
        <f>(CHOOSE((AG373-56)/2+1,SUMIFS(Donnees_generations!$U$3:$U$113,Donnees_generations!$A$3:$A$113,MAX(1915,MIN(2025,E373))),SUMIFS(Donnees_generations!$V$3:$V$113,Donnees_generations!$A$3:$A$113,MAX(1915,MIN(2025,E373))),SUMIFS(Donnees_generations!$W$3:$W$113,Donnees_generations!$A$3:$A$113,MAX(1915,MIN(2025,E373))),SUMIFS(Donnees_generations!$X$3:$X$113,Donnees_generations!$A$3:$A$113,MAX(1915,MIN(2025,E373))),SUMIFS(Donnees_generations!$Y$3:$Y$113,Donnees_generations!$A$3:$A$113,MAX(1915,MIN(2025,E373))),SUMIFS(Donnees_generations!$Z$3:$Z$113,Donnees_generations!$A$3:$A$113,MAX(1915,MIN(2025,E373))),SUMIFS(Donnees_generations!$AA$3:$AA$113,Donnees_generations!$A$3:$A$113,MAX(1915,MIN(2025,E373))),SUMIFS(Donnees_generations!$AB$3:$AB$113,Donnees_generations!$A$3:$A$113,MAX(1915,MIN(2025,E373))))+CHOOSE((AG373-56)/2+1,SUMIFS(Donnees_generations!$AC$3:$AC$113,Donnees_generations!$A$3:$A$113,MAX(1915,MIN(2025,E373))),SUMIFS(Donnees_generations!$AD$3:$AD$113,Donnees_generations!$A$3:$A$113,MAX(1915,MIN(2025,E373))),SUMIFS(Donnees_generations!$AE$3:$AE$113,Donnees_generations!$A$3:$A$113,MAX(1915,MIN(2025,E373))),SUMIFS(Donnees_generations!$AF$3:$AF$113,Donnees_generations!$A$3:$A$113,MAX(1915,MIN(2025,E373))),SUMIFS(Donnees_generations!$AG$3:$AG$113,Donnees_generations!$A$3:$A$113,MAX(1915,MIN(2025,E373))),SUMIFS(Donnees_generations!$AH$3:$AH$113,Donnees_generations!$A$3:$A$113,MAX(1915,MIN(2025,E373))),SUMIFS(Donnees_generations!$AI$3:$AI$113,Donnees_generations!$A$3:$A$113,MAX(1915,MIN(2025,E373))),SUMIFS(Donnees_generations!$AJ$3:$AJ$113,Donnees_generations!$A$3:$A$113,MAX(1915,MIN(2025,E373)))))/2</f>
        <v/>
      </c>
      <c r="AI373" s="75">
        <f>(CHOOSE(((AG373+2)-56)/2+1,SUMIFS(Donnees_generations!$U$3:$U$113,Donnees_generations!$A$3:$A$113,MAX(1915,MIN(2025,E373))),SUMIFS(Donnees_generations!$V$3:$V$113,Donnees_generations!$A$3:$A$113,MAX(1915,MIN(2025,E373))),SUMIFS(Donnees_generations!$W$3:$W$113,Donnees_generations!$A$3:$A$113,MAX(1915,MIN(2025,E373))),SUMIFS(Donnees_generations!$X$3:$X$113,Donnees_generations!$A$3:$A$113,MAX(1915,MIN(2025,E373))),SUMIFS(Donnees_generations!$Y$3:$Y$113,Donnees_generations!$A$3:$A$113,MAX(1915,MIN(2025,E373))),SUMIFS(Donnees_generations!$Z$3:$Z$113,Donnees_generations!$A$3:$A$113,MAX(1915,MIN(2025,E373))),SUMIFS(Donnees_generations!$AA$3:$AA$113,Donnees_generations!$A$3:$A$113,MAX(1915,MIN(2025,E373))),SUMIFS(Donnees_generations!$AB$3:$AB$113,Donnees_generations!$A$3:$A$113,MAX(1915,MIN(2025,E373))))+CHOOSE(((AG373+2)-56)/2+1,SUMIFS(Donnees_generations!$AC$3:$AC$113,Donnees_generations!$A$3:$A$113,MAX(1915,MIN(2025,E373))),SUMIFS(Donnees_generations!$AD$3:$AD$113,Donnees_generations!$A$3:$A$113,MAX(1915,MIN(2025,E373))),SUMIFS(Donnees_generations!$AE$3:$AE$113,Donnees_generations!$A$3:$A$113,MAX(1915,MIN(2025,E373))),SUMIFS(Donnees_generations!$AF$3:$AF$113,Donnees_generations!$A$3:$A$113,MAX(1915,MIN(2025,E373))),SUMIFS(Donnees_generations!$AG$3:$AG$113,Donnees_generations!$A$3:$A$113,MAX(1915,MIN(2025,E373))),SUMIFS(Donnees_generations!$AH$3:$AH$113,Donnees_generations!$A$3:$A$113,MAX(1915,MIN(2025,E373))),SUMIFS(Donnees_generations!$AI$3:$AI$113,Donnees_generations!$A$3:$A$113,MAX(1915,MIN(2025,E373))),SUMIFS(Donnees_generations!$AJ$3:$AJ$113,Donnees_generations!$A$3:$A$113,MAX(1915,MIN(2025,E373)))))/2</f>
        <v/>
      </c>
      <c r="AJ373" s="8">
        <f>MAX(0,AH373+(AI373-AH373)*(K373-AG373)/2)</f>
        <v/>
      </c>
      <c r="AK373" s="8">
        <f>K373+AJ373</f>
        <v/>
      </c>
      <c r="AL373" s="14">
        <f>AE373*AJ373</f>
        <v/>
      </c>
      <c r="AM373" s="17">
        <f>V373/AL373</f>
        <v/>
      </c>
      <c r="AN373" s="17">
        <f>Z373/AL373</f>
        <v/>
      </c>
      <c r="AO373" s="33">
        <f>IF(V373+Z373=0,0,Z373/(V373+Z373))</f>
        <v/>
      </c>
      <c r="AP373" s="14">
        <f>AL373/V373*100</f>
        <v/>
      </c>
      <c r="AQ373" s="8">
        <f>P373/AL373*1000</f>
        <v/>
      </c>
      <c r="AR373" s="77">
        <f>MAX(N373,M373-1)</f>
        <v/>
      </c>
      <c r="AS373" s="14">
        <f>SUMIFS(Donnees_regimes!$R$3:$R$1118,Donnees_regimes!$A$3:$A$1118,C373,Donnees_regimes!$B$3:$B$1118,"&gt;="&amp;G373,Donnees_regimes!$B$3:$B$1118,"&lt;="&amp;N373)*L373/ROUNDUP(L373,0)*SUMIFS(Donnees_annuelles!$AG$3:$AG$188,Donnees_annuelles!$A$3:$A$188,AR373)*SUMIFS(Donnees_annuelles!$AA$3:$AA$188,Donnees_annuelles!$A$3:$A$188,AR373)</f>
        <v/>
      </c>
      <c r="AT373" s="36">
        <f>AS373/V373</f>
        <v/>
      </c>
      <c r="AU373" s="14">
        <f>AL373</f>
        <v/>
      </c>
      <c r="AV373" s="39">
        <f>AS373-AL373</f>
        <v/>
      </c>
      <c r="AW373" s="9">
        <f>AS373/AL373-1</f>
        <v/>
      </c>
      <c r="AX373" s="14">
        <f>AS373/AJ373/12</f>
        <v/>
      </c>
      <c r="AY373" s="14">
        <f>AF373</f>
        <v/>
      </c>
      <c r="AZ373" s="39">
        <f>AX373-AF373</f>
        <v/>
      </c>
      <c r="BA373" s="14">
        <f>SUMIFS(Donnees_regimes!$S$3:$S$1118,Donnees_regimes!$A$3:$A$1118,C373,Donnees_regimes!$B$3:$B$1118,"&gt;="&amp;G373,Donnees_regimes!$B$3:$B$1118,"&lt;="&amp;N373)*L373/ROUNDUP(L373,0)*SUMIFS(Donnees_annuelles!$AH$3:$AH$188,Donnees_annuelles!$A$3:$A$188,AR373)*SUMIFS(Donnees_annuelles!$AA$3:$AA$188,Donnees_annuelles!$A$3:$A$188,AR373)</f>
        <v/>
      </c>
      <c r="BB373" s="39">
        <f>BA373-AL373</f>
        <v/>
      </c>
      <c r="BC373" s="7">
        <f>IF(M373+AJ373&gt;2026,IF(G373&gt;2026,"entièrement projeté","en partie projeté"),"observé")</f>
        <v/>
      </c>
    </row>
    <row r="374">
      <c r="A374" s="7" t="inlineStr">
        <is>
          <t>Génération Z</t>
        </is>
      </c>
      <c r="B374" s="84" t="inlineStr">
        <is>
          <t>SNCF</t>
        </is>
      </c>
      <c r="C374" s="7">
        <f>IF(G374&gt;=SUMIFS(Regimes!$C$5:$C$10,Regimes!$A$5:$A$10,B374),"Privé",B374)</f>
        <v/>
      </c>
      <c r="D374" s="7">
        <f>INDEX(Regimes!$D$5:$D$10,MATCH(C374,Regimes!$A$5:$A$10,0))</f>
        <v/>
      </c>
      <c r="E374" s="88" t="n">
        <v>2005</v>
      </c>
      <c r="F374" s="8">
        <f>Donnees_generations!C93</f>
        <v/>
      </c>
      <c r="G374" s="77">
        <f>Donnees_generations!D93</f>
        <v/>
      </c>
      <c r="H374" s="8">
        <f>SUMIFS(Donnees_generations!$S$3:$S$113,Donnees_generations!$A$3:$A$113,MAX(1915,MIN(2025,E374)))</f>
        <v/>
      </c>
      <c r="I374" s="8">
        <f>SUMIFS(Donnees_generations!$T$3:$T$113,Donnees_generations!$A$3:$A$113,MAX(1915,MIN(2025,E374)))</f>
        <v/>
      </c>
      <c r="J374" s="8">
        <f>IF(G374&gt;=2000,MAX(I374,Parametres!$B$3),I374)</f>
        <v/>
      </c>
      <c r="K374" s="8">
        <f>IF(C374="Privé",J374,SUMIFS(Regles_regimes!$J$3:$J$2000,Regles_regimes!$A$3:$A$2000,C374,Regles_regimes!$B$3:$B$2000,D374,Regles_regimes!$C$3:$C$2000,MAX(1915,MIN(2025,E374))))</f>
        <v/>
      </c>
      <c r="L374" s="8">
        <f>IF(C374="Privé",H374,(K374-F374)*H374/(J374-F374))</f>
        <v/>
      </c>
      <c r="M374" s="77">
        <f>INT(E374+K374)</f>
        <v/>
      </c>
      <c r="N374" s="77">
        <f>G374+ROUNDUP(L374,0)-1</f>
        <v/>
      </c>
      <c r="O374" s="89">
        <f>SUMIFS(Regles_regimes!$K$3:$K$2000,Regles_regimes!$A$3:$A$2000,C374,Regles_regimes!$B$3:$B$2000,D374,Regles_regimes!$C$3:$C$2000,MAX(1915,MIN(2025,E374)))</f>
        <v/>
      </c>
      <c r="P374" s="13">
        <f>SUMIFS(Donnees_annuelles!$W$3:$W$188,Donnees_annuelles!$A$3:$A$188,"&gt;="&amp;G374,Donnees_annuelles!$A$3:$A$188,"&lt;="&amp;N374)*L374/ROUNDUP(L374,0)*O374</f>
        <v/>
      </c>
      <c r="Q374" s="13">
        <f>SUMIFS(Donnees_annuelles!$V$3:$V$188,Donnees_annuelles!$A$3:$A$188,"&gt;="&amp;G374,Donnees_annuelles!$A$3:$A$188,"&lt;="&amp;N374)*L374/ROUNDUP(L374,0)</f>
        <v/>
      </c>
      <c r="R374" s="13">
        <f>P374/L374</f>
        <v/>
      </c>
      <c r="S374" s="14">
        <f>SUMIFS(Donnees_annuelles!$D$3:$D$188,Donnees_annuelles!$A$3:$A$188,"&gt;="&amp;G374,Donnees_annuelles!$A$3:$A$188,"&lt;="&amp;N374)*L374/ROUNDUP(L374,0)</f>
        <v/>
      </c>
      <c r="T374" s="14">
        <f>SUMIFS(Donnees_regimes!$N$3:$N$1118,Donnees_regimes!$A$3:$A$1118,C374,Donnees_regimes!$B$3:$B$1118,"&gt;="&amp;G374,Donnees_regimes!$B$3:$B$1118,"&lt;="&amp;N374)*L374/ROUNDUP(L374,0)</f>
        <v/>
      </c>
      <c r="U374" s="14">
        <f>SUMIFS(Donnees_regimes!$O$3:$O$1118,Donnees_regimes!$A$3:$A$1118,C374,Donnees_regimes!$B$3:$B$1118,"&gt;="&amp;G374,Donnees_regimes!$B$3:$B$1118,"&lt;="&amp;N374)*L374/ROUNDUP(L374,0)</f>
        <v/>
      </c>
      <c r="V374" s="14">
        <f>T374+U374</f>
        <v/>
      </c>
      <c r="W374" s="33">
        <f>V374/S374</f>
        <v/>
      </c>
      <c r="X374" s="14">
        <f>S374+U374</f>
        <v/>
      </c>
      <c r="Y374" s="17">
        <f>V374/P374</f>
        <v/>
      </c>
      <c r="Z374" s="14">
        <f>SUMIFS(Donnees_regimes!$Q$3:$Q$1118,Donnees_regimes!$A$3:$A$1118,C374,Donnees_regimes!$B$3:$B$1118,"&gt;="&amp;G374,Donnees_regimes!$B$3:$B$1118,"&lt;="&amp;N374)*L374/ROUNDUP(L374,0)</f>
        <v/>
      </c>
      <c r="AA374" s="77">
        <f>SUMIFS(Regles_regimes!$F$3:$F$2000,Regles_regimes!$A$3:$A$2000,C374,Regles_regimes!$B$3:$B$2000,D374,Regles_regimes!$C$3:$C$2000,MAX(1915,MIN(2025,E374)))</f>
        <v/>
      </c>
      <c r="AB374" s="77">
        <f>IF(AND(SUMIFS(Regles_regimes!$L$3:$L$2000,Regles_regimes!$A$3:$A$2000,C374,Regles_regimes!$B$3:$B$2000,D374,Regles_regimes!$C$3:$C$2000,MAX(1915,MIN(2025,E374)))=1,G374&lt;2009,C374&lt;&gt;"Privé"),MIN(20,L374*4/5),0)</f>
        <v/>
      </c>
      <c r="AC374" s="89">
        <f>SUMIFS(Donnees_regimes!$M$3:$M$1118,Donnees_regimes!$A$3:$A$1118,C374,Donnees_regimes!$B$3:$B$1118,M374)</f>
        <v/>
      </c>
      <c r="AD374" s="14">
        <f>SUMIFS(Donnees_annuelles!$Y$3:$Y$188,Donnees_annuelles!$A$3:$A$188,M374)*SUMIFS(Donnees_generations!$I$3:$I$113,Donnees_generations!$A$3:$A$113,MAX(1915,MIN(2025,E374)))/H374</f>
        <v/>
      </c>
      <c r="AE374" s="14">
        <f>IF(C374="Privé",SUMIFS(Donnees_annuelles!$Y$3:$Y$188,Donnees_annuelles!$A$3:$A$188,M374)*MIN(L374,SUMIFS(Donnees_generations!$I$3:$I$113,Donnees_generations!$A$3:$A$113,MAX(1915,MIN(2025,E374))))/L374,AD374*AC374*MIN(IF(AB374&gt;0,0.8/0.75,1),(L374*4+AB374)/AA374))</f>
        <v/>
      </c>
      <c r="AF374" s="14">
        <f>AE374/12</f>
        <v/>
      </c>
      <c r="AG374" s="77">
        <f>MIN(68,MAX(56,2*INT(K374/2)))</f>
        <v/>
      </c>
      <c r="AH374" s="75">
        <f>(CHOOSE((AG374-56)/2+1,SUMIFS(Donnees_generations!$U$3:$U$113,Donnees_generations!$A$3:$A$113,MAX(1915,MIN(2025,E374))),SUMIFS(Donnees_generations!$V$3:$V$113,Donnees_generations!$A$3:$A$113,MAX(1915,MIN(2025,E374))),SUMIFS(Donnees_generations!$W$3:$W$113,Donnees_generations!$A$3:$A$113,MAX(1915,MIN(2025,E374))),SUMIFS(Donnees_generations!$X$3:$X$113,Donnees_generations!$A$3:$A$113,MAX(1915,MIN(2025,E374))),SUMIFS(Donnees_generations!$Y$3:$Y$113,Donnees_generations!$A$3:$A$113,MAX(1915,MIN(2025,E374))),SUMIFS(Donnees_generations!$Z$3:$Z$113,Donnees_generations!$A$3:$A$113,MAX(1915,MIN(2025,E374))),SUMIFS(Donnees_generations!$AA$3:$AA$113,Donnees_generations!$A$3:$A$113,MAX(1915,MIN(2025,E374))),SUMIFS(Donnees_generations!$AB$3:$AB$113,Donnees_generations!$A$3:$A$113,MAX(1915,MIN(2025,E374))))+CHOOSE((AG374-56)/2+1,SUMIFS(Donnees_generations!$AC$3:$AC$113,Donnees_generations!$A$3:$A$113,MAX(1915,MIN(2025,E374))),SUMIFS(Donnees_generations!$AD$3:$AD$113,Donnees_generations!$A$3:$A$113,MAX(1915,MIN(2025,E374))),SUMIFS(Donnees_generations!$AE$3:$AE$113,Donnees_generations!$A$3:$A$113,MAX(1915,MIN(2025,E374))),SUMIFS(Donnees_generations!$AF$3:$AF$113,Donnees_generations!$A$3:$A$113,MAX(1915,MIN(2025,E374))),SUMIFS(Donnees_generations!$AG$3:$AG$113,Donnees_generations!$A$3:$A$113,MAX(1915,MIN(2025,E374))),SUMIFS(Donnees_generations!$AH$3:$AH$113,Donnees_generations!$A$3:$A$113,MAX(1915,MIN(2025,E374))),SUMIFS(Donnees_generations!$AI$3:$AI$113,Donnees_generations!$A$3:$A$113,MAX(1915,MIN(2025,E374))),SUMIFS(Donnees_generations!$AJ$3:$AJ$113,Donnees_generations!$A$3:$A$113,MAX(1915,MIN(2025,E374)))))/2</f>
        <v/>
      </c>
      <c r="AI374" s="75">
        <f>(CHOOSE(((AG374+2)-56)/2+1,SUMIFS(Donnees_generations!$U$3:$U$113,Donnees_generations!$A$3:$A$113,MAX(1915,MIN(2025,E374))),SUMIFS(Donnees_generations!$V$3:$V$113,Donnees_generations!$A$3:$A$113,MAX(1915,MIN(2025,E374))),SUMIFS(Donnees_generations!$W$3:$W$113,Donnees_generations!$A$3:$A$113,MAX(1915,MIN(2025,E374))),SUMIFS(Donnees_generations!$X$3:$X$113,Donnees_generations!$A$3:$A$113,MAX(1915,MIN(2025,E374))),SUMIFS(Donnees_generations!$Y$3:$Y$113,Donnees_generations!$A$3:$A$113,MAX(1915,MIN(2025,E374))),SUMIFS(Donnees_generations!$Z$3:$Z$113,Donnees_generations!$A$3:$A$113,MAX(1915,MIN(2025,E374))),SUMIFS(Donnees_generations!$AA$3:$AA$113,Donnees_generations!$A$3:$A$113,MAX(1915,MIN(2025,E374))),SUMIFS(Donnees_generations!$AB$3:$AB$113,Donnees_generations!$A$3:$A$113,MAX(1915,MIN(2025,E374))))+CHOOSE(((AG374+2)-56)/2+1,SUMIFS(Donnees_generations!$AC$3:$AC$113,Donnees_generations!$A$3:$A$113,MAX(1915,MIN(2025,E374))),SUMIFS(Donnees_generations!$AD$3:$AD$113,Donnees_generations!$A$3:$A$113,MAX(1915,MIN(2025,E374))),SUMIFS(Donnees_generations!$AE$3:$AE$113,Donnees_generations!$A$3:$A$113,MAX(1915,MIN(2025,E374))),SUMIFS(Donnees_generations!$AF$3:$AF$113,Donnees_generations!$A$3:$A$113,MAX(1915,MIN(2025,E374))),SUMIFS(Donnees_generations!$AG$3:$AG$113,Donnees_generations!$A$3:$A$113,MAX(1915,MIN(2025,E374))),SUMIFS(Donnees_generations!$AH$3:$AH$113,Donnees_generations!$A$3:$A$113,MAX(1915,MIN(2025,E374))),SUMIFS(Donnees_generations!$AI$3:$AI$113,Donnees_generations!$A$3:$A$113,MAX(1915,MIN(2025,E374))),SUMIFS(Donnees_generations!$AJ$3:$AJ$113,Donnees_generations!$A$3:$A$113,MAX(1915,MIN(2025,E374)))))/2</f>
        <v/>
      </c>
      <c r="AJ374" s="8">
        <f>MAX(0,AH374+(AI374-AH374)*(K374-AG374)/2)</f>
        <v/>
      </c>
      <c r="AK374" s="8">
        <f>K374+AJ374</f>
        <v/>
      </c>
      <c r="AL374" s="14">
        <f>AE374*AJ374</f>
        <v/>
      </c>
      <c r="AM374" s="17">
        <f>V374/AL374</f>
        <v/>
      </c>
      <c r="AN374" s="17">
        <f>Z374/AL374</f>
        <v/>
      </c>
      <c r="AO374" s="33">
        <f>IF(V374+Z374=0,0,Z374/(V374+Z374))</f>
        <v/>
      </c>
      <c r="AP374" s="14">
        <f>AL374/V374*100</f>
        <v/>
      </c>
      <c r="AQ374" s="8">
        <f>P374/AL374*1000</f>
        <v/>
      </c>
      <c r="AR374" s="77">
        <f>MAX(N374,M374-1)</f>
        <v/>
      </c>
      <c r="AS374" s="14">
        <f>SUMIFS(Donnees_regimes!$R$3:$R$1118,Donnees_regimes!$A$3:$A$1118,C374,Donnees_regimes!$B$3:$B$1118,"&gt;="&amp;G374,Donnees_regimes!$B$3:$B$1118,"&lt;="&amp;N374)*L374/ROUNDUP(L374,0)*SUMIFS(Donnees_annuelles!$AG$3:$AG$188,Donnees_annuelles!$A$3:$A$188,AR374)*SUMIFS(Donnees_annuelles!$AA$3:$AA$188,Donnees_annuelles!$A$3:$A$188,AR374)</f>
        <v/>
      </c>
      <c r="AT374" s="36">
        <f>AS374/V374</f>
        <v/>
      </c>
      <c r="AU374" s="14">
        <f>AL374</f>
        <v/>
      </c>
      <c r="AV374" s="39">
        <f>AS374-AL374</f>
        <v/>
      </c>
      <c r="AW374" s="9">
        <f>AS374/AL374-1</f>
        <v/>
      </c>
      <c r="AX374" s="14">
        <f>AS374/AJ374/12</f>
        <v/>
      </c>
      <c r="AY374" s="14">
        <f>AF374</f>
        <v/>
      </c>
      <c r="AZ374" s="39">
        <f>AX374-AF374</f>
        <v/>
      </c>
      <c r="BA374" s="14">
        <f>SUMIFS(Donnees_regimes!$S$3:$S$1118,Donnees_regimes!$A$3:$A$1118,C374,Donnees_regimes!$B$3:$B$1118,"&gt;="&amp;G374,Donnees_regimes!$B$3:$B$1118,"&lt;="&amp;N374)*L374/ROUNDUP(L374,0)*SUMIFS(Donnees_annuelles!$AH$3:$AH$188,Donnees_annuelles!$A$3:$A$188,AR374)*SUMIFS(Donnees_annuelles!$AA$3:$AA$188,Donnees_annuelles!$A$3:$A$188,AR374)</f>
        <v/>
      </c>
      <c r="BB374" s="39">
        <f>BA374-AL374</f>
        <v/>
      </c>
      <c r="BC374" s="7">
        <f>IF(M374+AJ374&gt;2026,IF(G374&gt;2026,"entièrement projeté","en partie projeté"),"observé")</f>
        <v/>
      </c>
    </row>
    <row r="375">
      <c r="A375" s="7" t="inlineStr">
        <is>
          <t>Génération Z</t>
        </is>
      </c>
      <c r="B375" s="84" t="inlineStr">
        <is>
          <t>SNCF</t>
        </is>
      </c>
      <c r="C375" s="7">
        <f>IF(G375&gt;=SUMIFS(Regimes!$C$5:$C$10,Regimes!$A$5:$A$10,B375),"Privé",B375)</f>
        <v/>
      </c>
      <c r="D375" s="7">
        <f>INDEX(Regimes!$D$5:$D$10,MATCH(C375,Regimes!$A$5:$A$10,0))</f>
        <v/>
      </c>
      <c r="E375" s="88" t="n">
        <v>2006</v>
      </c>
      <c r="F375" s="8">
        <f>Donnees_generations!C94</f>
        <v/>
      </c>
      <c r="G375" s="77">
        <f>Donnees_generations!D94</f>
        <v/>
      </c>
      <c r="H375" s="8">
        <f>SUMIFS(Donnees_generations!$S$3:$S$113,Donnees_generations!$A$3:$A$113,MAX(1915,MIN(2025,E375)))</f>
        <v/>
      </c>
      <c r="I375" s="8">
        <f>SUMIFS(Donnees_generations!$T$3:$T$113,Donnees_generations!$A$3:$A$113,MAX(1915,MIN(2025,E375)))</f>
        <v/>
      </c>
      <c r="J375" s="8">
        <f>IF(G375&gt;=2000,MAX(I375,Parametres!$B$3),I375)</f>
        <v/>
      </c>
      <c r="K375" s="8">
        <f>IF(C375="Privé",J375,SUMIFS(Regles_regimes!$J$3:$J$2000,Regles_regimes!$A$3:$A$2000,C375,Regles_regimes!$B$3:$B$2000,D375,Regles_regimes!$C$3:$C$2000,MAX(1915,MIN(2025,E375))))</f>
        <v/>
      </c>
      <c r="L375" s="8">
        <f>IF(C375="Privé",H375,(K375-F375)*H375/(J375-F375))</f>
        <v/>
      </c>
      <c r="M375" s="77">
        <f>INT(E375+K375)</f>
        <v/>
      </c>
      <c r="N375" s="77">
        <f>G375+ROUNDUP(L375,0)-1</f>
        <v/>
      </c>
      <c r="O375" s="89">
        <f>SUMIFS(Regles_regimes!$K$3:$K$2000,Regles_regimes!$A$3:$A$2000,C375,Regles_regimes!$B$3:$B$2000,D375,Regles_regimes!$C$3:$C$2000,MAX(1915,MIN(2025,E375)))</f>
        <v/>
      </c>
      <c r="P375" s="13">
        <f>SUMIFS(Donnees_annuelles!$W$3:$W$188,Donnees_annuelles!$A$3:$A$188,"&gt;="&amp;G375,Donnees_annuelles!$A$3:$A$188,"&lt;="&amp;N375)*L375/ROUNDUP(L375,0)*O375</f>
        <v/>
      </c>
      <c r="Q375" s="13">
        <f>SUMIFS(Donnees_annuelles!$V$3:$V$188,Donnees_annuelles!$A$3:$A$188,"&gt;="&amp;G375,Donnees_annuelles!$A$3:$A$188,"&lt;="&amp;N375)*L375/ROUNDUP(L375,0)</f>
        <v/>
      </c>
      <c r="R375" s="13">
        <f>P375/L375</f>
        <v/>
      </c>
      <c r="S375" s="14">
        <f>SUMIFS(Donnees_annuelles!$D$3:$D$188,Donnees_annuelles!$A$3:$A$188,"&gt;="&amp;G375,Donnees_annuelles!$A$3:$A$188,"&lt;="&amp;N375)*L375/ROUNDUP(L375,0)</f>
        <v/>
      </c>
      <c r="T375" s="14">
        <f>SUMIFS(Donnees_regimes!$N$3:$N$1118,Donnees_regimes!$A$3:$A$1118,C375,Donnees_regimes!$B$3:$B$1118,"&gt;="&amp;G375,Donnees_regimes!$B$3:$B$1118,"&lt;="&amp;N375)*L375/ROUNDUP(L375,0)</f>
        <v/>
      </c>
      <c r="U375" s="14">
        <f>SUMIFS(Donnees_regimes!$O$3:$O$1118,Donnees_regimes!$A$3:$A$1118,C375,Donnees_regimes!$B$3:$B$1118,"&gt;="&amp;G375,Donnees_regimes!$B$3:$B$1118,"&lt;="&amp;N375)*L375/ROUNDUP(L375,0)</f>
        <v/>
      </c>
      <c r="V375" s="14">
        <f>T375+U375</f>
        <v/>
      </c>
      <c r="W375" s="33">
        <f>V375/S375</f>
        <v/>
      </c>
      <c r="X375" s="14">
        <f>S375+U375</f>
        <v/>
      </c>
      <c r="Y375" s="17">
        <f>V375/P375</f>
        <v/>
      </c>
      <c r="Z375" s="14">
        <f>SUMIFS(Donnees_regimes!$Q$3:$Q$1118,Donnees_regimes!$A$3:$A$1118,C375,Donnees_regimes!$B$3:$B$1118,"&gt;="&amp;G375,Donnees_regimes!$B$3:$B$1118,"&lt;="&amp;N375)*L375/ROUNDUP(L375,0)</f>
        <v/>
      </c>
      <c r="AA375" s="77">
        <f>SUMIFS(Regles_regimes!$F$3:$F$2000,Regles_regimes!$A$3:$A$2000,C375,Regles_regimes!$B$3:$B$2000,D375,Regles_regimes!$C$3:$C$2000,MAX(1915,MIN(2025,E375)))</f>
        <v/>
      </c>
      <c r="AB375" s="77">
        <f>IF(AND(SUMIFS(Regles_regimes!$L$3:$L$2000,Regles_regimes!$A$3:$A$2000,C375,Regles_regimes!$B$3:$B$2000,D375,Regles_regimes!$C$3:$C$2000,MAX(1915,MIN(2025,E375)))=1,G375&lt;2009,C375&lt;&gt;"Privé"),MIN(20,L375*4/5),0)</f>
        <v/>
      </c>
      <c r="AC375" s="89">
        <f>SUMIFS(Donnees_regimes!$M$3:$M$1118,Donnees_regimes!$A$3:$A$1118,C375,Donnees_regimes!$B$3:$B$1118,M375)</f>
        <v/>
      </c>
      <c r="AD375" s="14">
        <f>SUMIFS(Donnees_annuelles!$Y$3:$Y$188,Donnees_annuelles!$A$3:$A$188,M375)*SUMIFS(Donnees_generations!$I$3:$I$113,Donnees_generations!$A$3:$A$113,MAX(1915,MIN(2025,E375)))/H375</f>
        <v/>
      </c>
      <c r="AE375" s="14">
        <f>IF(C375="Privé",SUMIFS(Donnees_annuelles!$Y$3:$Y$188,Donnees_annuelles!$A$3:$A$188,M375)*MIN(L375,SUMIFS(Donnees_generations!$I$3:$I$113,Donnees_generations!$A$3:$A$113,MAX(1915,MIN(2025,E375))))/L375,AD375*AC375*MIN(IF(AB375&gt;0,0.8/0.75,1),(L375*4+AB375)/AA375))</f>
        <v/>
      </c>
      <c r="AF375" s="14">
        <f>AE375/12</f>
        <v/>
      </c>
      <c r="AG375" s="77">
        <f>MIN(68,MAX(56,2*INT(K375/2)))</f>
        <v/>
      </c>
      <c r="AH375" s="75">
        <f>(CHOOSE((AG375-56)/2+1,SUMIFS(Donnees_generations!$U$3:$U$113,Donnees_generations!$A$3:$A$113,MAX(1915,MIN(2025,E375))),SUMIFS(Donnees_generations!$V$3:$V$113,Donnees_generations!$A$3:$A$113,MAX(1915,MIN(2025,E375))),SUMIFS(Donnees_generations!$W$3:$W$113,Donnees_generations!$A$3:$A$113,MAX(1915,MIN(2025,E375))),SUMIFS(Donnees_generations!$X$3:$X$113,Donnees_generations!$A$3:$A$113,MAX(1915,MIN(2025,E375))),SUMIFS(Donnees_generations!$Y$3:$Y$113,Donnees_generations!$A$3:$A$113,MAX(1915,MIN(2025,E375))),SUMIFS(Donnees_generations!$Z$3:$Z$113,Donnees_generations!$A$3:$A$113,MAX(1915,MIN(2025,E375))),SUMIFS(Donnees_generations!$AA$3:$AA$113,Donnees_generations!$A$3:$A$113,MAX(1915,MIN(2025,E375))),SUMIFS(Donnees_generations!$AB$3:$AB$113,Donnees_generations!$A$3:$A$113,MAX(1915,MIN(2025,E375))))+CHOOSE((AG375-56)/2+1,SUMIFS(Donnees_generations!$AC$3:$AC$113,Donnees_generations!$A$3:$A$113,MAX(1915,MIN(2025,E375))),SUMIFS(Donnees_generations!$AD$3:$AD$113,Donnees_generations!$A$3:$A$113,MAX(1915,MIN(2025,E375))),SUMIFS(Donnees_generations!$AE$3:$AE$113,Donnees_generations!$A$3:$A$113,MAX(1915,MIN(2025,E375))),SUMIFS(Donnees_generations!$AF$3:$AF$113,Donnees_generations!$A$3:$A$113,MAX(1915,MIN(2025,E375))),SUMIFS(Donnees_generations!$AG$3:$AG$113,Donnees_generations!$A$3:$A$113,MAX(1915,MIN(2025,E375))),SUMIFS(Donnees_generations!$AH$3:$AH$113,Donnees_generations!$A$3:$A$113,MAX(1915,MIN(2025,E375))),SUMIFS(Donnees_generations!$AI$3:$AI$113,Donnees_generations!$A$3:$A$113,MAX(1915,MIN(2025,E375))),SUMIFS(Donnees_generations!$AJ$3:$AJ$113,Donnees_generations!$A$3:$A$113,MAX(1915,MIN(2025,E375)))))/2</f>
        <v/>
      </c>
      <c r="AI375" s="75">
        <f>(CHOOSE(((AG375+2)-56)/2+1,SUMIFS(Donnees_generations!$U$3:$U$113,Donnees_generations!$A$3:$A$113,MAX(1915,MIN(2025,E375))),SUMIFS(Donnees_generations!$V$3:$V$113,Donnees_generations!$A$3:$A$113,MAX(1915,MIN(2025,E375))),SUMIFS(Donnees_generations!$W$3:$W$113,Donnees_generations!$A$3:$A$113,MAX(1915,MIN(2025,E375))),SUMIFS(Donnees_generations!$X$3:$X$113,Donnees_generations!$A$3:$A$113,MAX(1915,MIN(2025,E375))),SUMIFS(Donnees_generations!$Y$3:$Y$113,Donnees_generations!$A$3:$A$113,MAX(1915,MIN(2025,E375))),SUMIFS(Donnees_generations!$Z$3:$Z$113,Donnees_generations!$A$3:$A$113,MAX(1915,MIN(2025,E375))),SUMIFS(Donnees_generations!$AA$3:$AA$113,Donnees_generations!$A$3:$A$113,MAX(1915,MIN(2025,E375))),SUMIFS(Donnees_generations!$AB$3:$AB$113,Donnees_generations!$A$3:$A$113,MAX(1915,MIN(2025,E375))))+CHOOSE(((AG375+2)-56)/2+1,SUMIFS(Donnees_generations!$AC$3:$AC$113,Donnees_generations!$A$3:$A$113,MAX(1915,MIN(2025,E375))),SUMIFS(Donnees_generations!$AD$3:$AD$113,Donnees_generations!$A$3:$A$113,MAX(1915,MIN(2025,E375))),SUMIFS(Donnees_generations!$AE$3:$AE$113,Donnees_generations!$A$3:$A$113,MAX(1915,MIN(2025,E375))),SUMIFS(Donnees_generations!$AF$3:$AF$113,Donnees_generations!$A$3:$A$113,MAX(1915,MIN(2025,E375))),SUMIFS(Donnees_generations!$AG$3:$AG$113,Donnees_generations!$A$3:$A$113,MAX(1915,MIN(2025,E375))),SUMIFS(Donnees_generations!$AH$3:$AH$113,Donnees_generations!$A$3:$A$113,MAX(1915,MIN(2025,E375))),SUMIFS(Donnees_generations!$AI$3:$AI$113,Donnees_generations!$A$3:$A$113,MAX(1915,MIN(2025,E375))),SUMIFS(Donnees_generations!$AJ$3:$AJ$113,Donnees_generations!$A$3:$A$113,MAX(1915,MIN(2025,E375)))))/2</f>
        <v/>
      </c>
      <c r="AJ375" s="8">
        <f>MAX(0,AH375+(AI375-AH375)*(K375-AG375)/2)</f>
        <v/>
      </c>
      <c r="AK375" s="8">
        <f>K375+AJ375</f>
        <v/>
      </c>
      <c r="AL375" s="14">
        <f>AE375*AJ375</f>
        <v/>
      </c>
      <c r="AM375" s="17">
        <f>V375/AL375</f>
        <v/>
      </c>
      <c r="AN375" s="17">
        <f>Z375/AL375</f>
        <v/>
      </c>
      <c r="AO375" s="33">
        <f>IF(V375+Z375=0,0,Z375/(V375+Z375))</f>
        <v/>
      </c>
      <c r="AP375" s="14">
        <f>AL375/V375*100</f>
        <v/>
      </c>
      <c r="AQ375" s="8">
        <f>P375/AL375*1000</f>
        <v/>
      </c>
      <c r="AR375" s="77">
        <f>MAX(N375,M375-1)</f>
        <v/>
      </c>
      <c r="AS375" s="14">
        <f>SUMIFS(Donnees_regimes!$R$3:$R$1118,Donnees_regimes!$A$3:$A$1118,C375,Donnees_regimes!$B$3:$B$1118,"&gt;="&amp;G375,Donnees_regimes!$B$3:$B$1118,"&lt;="&amp;N375)*L375/ROUNDUP(L375,0)*SUMIFS(Donnees_annuelles!$AG$3:$AG$188,Donnees_annuelles!$A$3:$A$188,AR375)*SUMIFS(Donnees_annuelles!$AA$3:$AA$188,Donnees_annuelles!$A$3:$A$188,AR375)</f>
        <v/>
      </c>
      <c r="AT375" s="36">
        <f>AS375/V375</f>
        <v/>
      </c>
      <c r="AU375" s="14">
        <f>AL375</f>
        <v/>
      </c>
      <c r="AV375" s="39">
        <f>AS375-AL375</f>
        <v/>
      </c>
      <c r="AW375" s="9">
        <f>AS375/AL375-1</f>
        <v/>
      </c>
      <c r="AX375" s="14">
        <f>AS375/AJ375/12</f>
        <v/>
      </c>
      <c r="AY375" s="14">
        <f>AF375</f>
        <v/>
      </c>
      <c r="AZ375" s="39">
        <f>AX375-AF375</f>
        <v/>
      </c>
      <c r="BA375" s="14">
        <f>SUMIFS(Donnees_regimes!$S$3:$S$1118,Donnees_regimes!$A$3:$A$1118,C375,Donnees_regimes!$B$3:$B$1118,"&gt;="&amp;G375,Donnees_regimes!$B$3:$B$1118,"&lt;="&amp;N375)*L375/ROUNDUP(L375,0)*SUMIFS(Donnees_annuelles!$AH$3:$AH$188,Donnees_annuelles!$A$3:$A$188,AR375)*SUMIFS(Donnees_annuelles!$AA$3:$AA$188,Donnees_annuelles!$A$3:$A$188,AR375)</f>
        <v/>
      </c>
      <c r="BB375" s="39">
        <f>BA375-AL375</f>
        <v/>
      </c>
      <c r="BC375" s="7">
        <f>IF(M375+AJ375&gt;2026,IF(G375&gt;2026,"entièrement projeté","en partie projeté"),"observé")</f>
        <v/>
      </c>
    </row>
    <row r="376">
      <c r="A376" s="7" t="inlineStr">
        <is>
          <t>Génération Z</t>
        </is>
      </c>
      <c r="B376" s="84" t="inlineStr">
        <is>
          <t>SNCF</t>
        </is>
      </c>
      <c r="C376" s="7">
        <f>IF(G376&gt;=SUMIFS(Regimes!$C$5:$C$10,Regimes!$A$5:$A$10,B376),"Privé",B376)</f>
        <v/>
      </c>
      <c r="D376" s="7">
        <f>INDEX(Regimes!$D$5:$D$10,MATCH(C376,Regimes!$A$5:$A$10,0))</f>
        <v/>
      </c>
      <c r="E376" s="88" t="n">
        <v>2007</v>
      </c>
      <c r="F376" s="8">
        <f>Donnees_generations!C95</f>
        <v/>
      </c>
      <c r="G376" s="77">
        <f>Donnees_generations!D95</f>
        <v/>
      </c>
      <c r="H376" s="8">
        <f>SUMIFS(Donnees_generations!$S$3:$S$113,Donnees_generations!$A$3:$A$113,MAX(1915,MIN(2025,E376)))</f>
        <v/>
      </c>
      <c r="I376" s="8">
        <f>SUMIFS(Donnees_generations!$T$3:$T$113,Donnees_generations!$A$3:$A$113,MAX(1915,MIN(2025,E376)))</f>
        <v/>
      </c>
      <c r="J376" s="8">
        <f>IF(G376&gt;=2000,MAX(I376,Parametres!$B$3),I376)</f>
        <v/>
      </c>
      <c r="K376" s="8">
        <f>IF(C376="Privé",J376,SUMIFS(Regles_regimes!$J$3:$J$2000,Regles_regimes!$A$3:$A$2000,C376,Regles_regimes!$B$3:$B$2000,D376,Regles_regimes!$C$3:$C$2000,MAX(1915,MIN(2025,E376))))</f>
        <v/>
      </c>
      <c r="L376" s="8">
        <f>IF(C376="Privé",H376,(K376-F376)*H376/(J376-F376))</f>
        <v/>
      </c>
      <c r="M376" s="77">
        <f>INT(E376+K376)</f>
        <v/>
      </c>
      <c r="N376" s="77">
        <f>G376+ROUNDUP(L376,0)-1</f>
        <v/>
      </c>
      <c r="O376" s="89">
        <f>SUMIFS(Regles_regimes!$K$3:$K$2000,Regles_regimes!$A$3:$A$2000,C376,Regles_regimes!$B$3:$B$2000,D376,Regles_regimes!$C$3:$C$2000,MAX(1915,MIN(2025,E376)))</f>
        <v/>
      </c>
      <c r="P376" s="13">
        <f>SUMIFS(Donnees_annuelles!$W$3:$W$188,Donnees_annuelles!$A$3:$A$188,"&gt;="&amp;G376,Donnees_annuelles!$A$3:$A$188,"&lt;="&amp;N376)*L376/ROUNDUP(L376,0)*O376</f>
        <v/>
      </c>
      <c r="Q376" s="13">
        <f>SUMIFS(Donnees_annuelles!$V$3:$V$188,Donnees_annuelles!$A$3:$A$188,"&gt;="&amp;G376,Donnees_annuelles!$A$3:$A$188,"&lt;="&amp;N376)*L376/ROUNDUP(L376,0)</f>
        <v/>
      </c>
      <c r="R376" s="13">
        <f>P376/L376</f>
        <v/>
      </c>
      <c r="S376" s="14">
        <f>SUMIFS(Donnees_annuelles!$D$3:$D$188,Donnees_annuelles!$A$3:$A$188,"&gt;="&amp;G376,Donnees_annuelles!$A$3:$A$188,"&lt;="&amp;N376)*L376/ROUNDUP(L376,0)</f>
        <v/>
      </c>
      <c r="T376" s="14">
        <f>SUMIFS(Donnees_regimes!$N$3:$N$1118,Donnees_regimes!$A$3:$A$1118,C376,Donnees_regimes!$B$3:$B$1118,"&gt;="&amp;G376,Donnees_regimes!$B$3:$B$1118,"&lt;="&amp;N376)*L376/ROUNDUP(L376,0)</f>
        <v/>
      </c>
      <c r="U376" s="14">
        <f>SUMIFS(Donnees_regimes!$O$3:$O$1118,Donnees_regimes!$A$3:$A$1118,C376,Donnees_regimes!$B$3:$B$1118,"&gt;="&amp;G376,Donnees_regimes!$B$3:$B$1118,"&lt;="&amp;N376)*L376/ROUNDUP(L376,0)</f>
        <v/>
      </c>
      <c r="V376" s="14">
        <f>T376+U376</f>
        <v/>
      </c>
      <c r="W376" s="33">
        <f>V376/S376</f>
        <v/>
      </c>
      <c r="X376" s="14">
        <f>S376+U376</f>
        <v/>
      </c>
      <c r="Y376" s="17">
        <f>V376/P376</f>
        <v/>
      </c>
      <c r="Z376" s="14">
        <f>SUMIFS(Donnees_regimes!$Q$3:$Q$1118,Donnees_regimes!$A$3:$A$1118,C376,Donnees_regimes!$B$3:$B$1118,"&gt;="&amp;G376,Donnees_regimes!$B$3:$B$1118,"&lt;="&amp;N376)*L376/ROUNDUP(L376,0)</f>
        <v/>
      </c>
      <c r="AA376" s="77">
        <f>SUMIFS(Regles_regimes!$F$3:$F$2000,Regles_regimes!$A$3:$A$2000,C376,Regles_regimes!$B$3:$B$2000,D376,Regles_regimes!$C$3:$C$2000,MAX(1915,MIN(2025,E376)))</f>
        <v/>
      </c>
      <c r="AB376" s="77">
        <f>IF(AND(SUMIFS(Regles_regimes!$L$3:$L$2000,Regles_regimes!$A$3:$A$2000,C376,Regles_regimes!$B$3:$B$2000,D376,Regles_regimes!$C$3:$C$2000,MAX(1915,MIN(2025,E376)))=1,G376&lt;2009,C376&lt;&gt;"Privé"),MIN(20,L376*4/5),0)</f>
        <v/>
      </c>
      <c r="AC376" s="89">
        <f>SUMIFS(Donnees_regimes!$M$3:$M$1118,Donnees_regimes!$A$3:$A$1118,C376,Donnees_regimes!$B$3:$B$1118,M376)</f>
        <v/>
      </c>
      <c r="AD376" s="14">
        <f>SUMIFS(Donnees_annuelles!$Y$3:$Y$188,Donnees_annuelles!$A$3:$A$188,M376)*SUMIFS(Donnees_generations!$I$3:$I$113,Donnees_generations!$A$3:$A$113,MAX(1915,MIN(2025,E376)))/H376</f>
        <v/>
      </c>
      <c r="AE376" s="14">
        <f>IF(C376="Privé",SUMIFS(Donnees_annuelles!$Y$3:$Y$188,Donnees_annuelles!$A$3:$A$188,M376)*MIN(L376,SUMIFS(Donnees_generations!$I$3:$I$113,Donnees_generations!$A$3:$A$113,MAX(1915,MIN(2025,E376))))/L376,AD376*AC376*MIN(IF(AB376&gt;0,0.8/0.75,1),(L376*4+AB376)/AA376))</f>
        <v/>
      </c>
      <c r="AF376" s="14">
        <f>AE376/12</f>
        <v/>
      </c>
      <c r="AG376" s="77">
        <f>MIN(68,MAX(56,2*INT(K376/2)))</f>
        <v/>
      </c>
      <c r="AH376" s="75">
        <f>(CHOOSE((AG376-56)/2+1,SUMIFS(Donnees_generations!$U$3:$U$113,Donnees_generations!$A$3:$A$113,MAX(1915,MIN(2025,E376))),SUMIFS(Donnees_generations!$V$3:$V$113,Donnees_generations!$A$3:$A$113,MAX(1915,MIN(2025,E376))),SUMIFS(Donnees_generations!$W$3:$W$113,Donnees_generations!$A$3:$A$113,MAX(1915,MIN(2025,E376))),SUMIFS(Donnees_generations!$X$3:$X$113,Donnees_generations!$A$3:$A$113,MAX(1915,MIN(2025,E376))),SUMIFS(Donnees_generations!$Y$3:$Y$113,Donnees_generations!$A$3:$A$113,MAX(1915,MIN(2025,E376))),SUMIFS(Donnees_generations!$Z$3:$Z$113,Donnees_generations!$A$3:$A$113,MAX(1915,MIN(2025,E376))),SUMIFS(Donnees_generations!$AA$3:$AA$113,Donnees_generations!$A$3:$A$113,MAX(1915,MIN(2025,E376))),SUMIFS(Donnees_generations!$AB$3:$AB$113,Donnees_generations!$A$3:$A$113,MAX(1915,MIN(2025,E376))))+CHOOSE((AG376-56)/2+1,SUMIFS(Donnees_generations!$AC$3:$AC$113,Donnees_generations!$A$3:$A$113,MAX(1915,MIN(2025,E376))),SUMIFS(Donnees_generations!$AD$3:$AD$113,Donnees_generations!$A$3:$A$113,MAX(1915,MIN(2025,E376))),SUMIFS(Donnees_generations!$AE$3:$AE$113,Donnees_generations!$A$3:$A$113,MAX(1915,MIN(2025,E376))),SUMIFS(Donnees_generations!$AF$3:$AF$113,Donnees_generations!$A$3:$A$113,MAX(1915,MIN(2025,E376))),SUMIFS(Donnees_generations!$AG$3:$AG$113,Donnees_generations!$A$3:$A$113,MAX(1915,MIN(2025,E376))),SUMIFS(Donnees_generations!$AH$3:$AH$113,Donnees_generations!$A$3:$A$113,MAX(1915,MIN(2025,E376))),SUMIFS(Donnees_generations!$AI$3:$AI$113,Donnees_generations!$A$3:$A$113,MAX(1915,MIN(2025,E376))),SUMIFS(Donnees_generations!$AJ$3:$AJ$113,Donnees_generations!$A$3:$A$113,MAX(1915,MIN(2025,E376)))))/2</f>
        <v/>
      </c>
      <c r="AI376" s="75">
        <f>(CHOOSE(((AG376+2)-56)/2+1,SUMIFS(Donnees_generations!$U$3:$U$113,Donnees_generations!$A$3:$A$113,MAX(1915,MIN(2025,E376))),SUMIFS(Donnees_generations!$V$3:$V$113,Donnees_generations!$A$3:$A$113,MAX(1915,MIN(2025,E376))),SUMIFS(Donnees_generations!$W$3:$W$113,Donnees_generations!$A$3:$A$113,MAX(1915,MIN(2025,E376))),SUMIFS(Donnees_generations!$X$3:$X$113,Donnees_generations!$A$3:$A$113,MAX(1915,MIN(2025,E376))),SUMIFS(Donnees_generations!$Y$3:$Y$113,Donnees_generations!$A$3:$A$113,MAX(1915,MIN(2025,E376))),SUMIFS(Donnees_generations!$Z$3:$Z$113,Donnees_generations!$A$3:$A$113,MAX(1915,MIN(2025,E376))),SUMIFS(Donnees_generations!$AA$3:$AA$113,Donnees_generations!$A$3:$A$113,MAX(1915,MIN(2025,E376))),SUMIFS(Donnees_generations!$AB$3:$AB$113,Donnees_generations!$A$3:$A$113,MAX(1915,MIN(2025,E376))))+CHOOSE(((AG376+2)-56)/2+1,SUMIFS(Donnees_generations!$AC$3:$AC$113,Donnees_generations!$A$3:$A$113,MAX(1915,MIN(2025,E376))),SUMIFS(Donnees_generations!$AD$3:$AD$113,Donnees_generations!$A$3:$A$113,MAX(1915,MIN(2025,E376))),SUMIFS(Donnees_generations!$AE$3:$AE$113,Donnees_generations!$A$3:$A$113,MAX(1915,MIN(2025,E376))),SUMIFS(Donnees_generations!$AF$3:$AF$113,Donnees_generations!$A$3:$A$113,MAX(1915,MIN(2025,E376))),SUMIFS(Donnees_generations!$AG$3:$AG$113,Donnees_generations!$A$3:$A$113,MAX(1915,MIN(2025,E376))),SUMIFS(Donnees_generations!$AH$3:$AH$113,Donnees_generations!$A$3:$A$113,MAX(1915,MIN(2025,E376))),SUMIFS(Donnees_generations!$AI$3:$AI$113,Donnees_generations!$A$3:$A$113,MAX(1915,MIN(2025,E376))),SUMIFS(Donnees_generations!$AJ$3:$AJ$113,Donnees_generations!$A$3:$A$113,MAX(1915,MIN(2025,E376)))))/2</f>
        <v/>
      </c>
      <c r="AJ376" s="8">
        <f>MAX(0,AH376+(AI376-AH376)*(K376-AG376)/2)</f>
        <v/>
      </c>
      <c r="AK376" s="8">
        <f>K376+AJ376</f>
        <v/>
      </c>
      <c r="AL376" s="14">
        <f>AE376*AJ376</f>
        <v/>
      </c>
      <c r="AM376" s="17">
        <f>V376/AL376</f>
        <v/>
      </c>
      <c r="AN376" s="17">
        <f>Z376/AL376</f>
        <v/>
      </c>
      <c r="AO376" s="33">
        <f>IF(V376+Z376=0,0,Z376/(V376+Z376))</f>
        <v/>
      </c>
      <c r="AP376" s="14">
        <f>AL376/V376*100</f>
        <v/>
      </c>
      <c r="AQ376" s="8">
        <f>P376/AL376*1000</f>
        <v/>
      </c>
      <c r="AR376" s="77">
        <f>MAX(N376,M376-1)</f>
        <v/>
      </c>
      <c r="AS376" s="14">
        <f>SUMIFS(Donnees_regimes!$R$3:$R$1118,Donnees_regimes!$A$3:$A$1118,C376,Donnees_regimes!$B$3:$B$1118,"&gt;="&amp;G376,Donnees_regimes!$B$3:$B$1118,"&lt;="&amp;N376)*L376/ROUNDUP(L376,0)*SUMIFS(Donnees_annuelles!$AG$3:$AG$188,Donnees_annuelles!$A$3:$A$188,AR376)*SUMIFS(Donnees_annuelles!$AA$3:$AA$188,Donnees_annuelles!$A$3:$A$188,AR376)</f>
        <v/>
      </c>
      <c r="AT376" s="36">
        <f>AS376/V376</f>
        <v/>
      </c>
      <c r="AU376" s="14">
        <f>AL376</f>
        <v/>
      </c>
      <c r="AV376" s="39">
        <f>AS376-AL376</f>
        <v/>
      </c>
      <c r="AW376" s="9">
        <f>AS376/AL376-1</f>
        <v/>
      </c>
      <c r="AX376" s="14">
        <f>AS376/AJ376/12</f>
        <v/>
      </c>
      <c r="AY376" s="14">
        <f>AF376</f>
        <v/>
      </c>
      <c r="AZ376" s="39">
        <f>AX376-AF376</f>
        <v/>
      </c>
      <c r="BA376" s="14">
        <f>SUMIFS(Donnees_regimes!$S$3:$S$1118,Donnees_regimes!$A$3:$A$1118,C376,Donnees_regimes!$B$3:$B$1118,"&gt;="&amp;G376,Donnees_regimes!$B$3:$B$1118,"&lt;="&amp;N376)*L376/ROUNDUP(L376,0)*SUMIFS(Donnees_annuelles!$AH$3:$AH$188,Donnees_annuelles!$A$3:$A$188,AR376)*SUMIFS(Donnees_annuelles!$AA$3:$AA$188,Donnees_annuelles!$A$3:$A$188,AR376)</f>
        <v/>
      </c>
      <c r="BB376" s="39">
        <f>BA376-AL376</f>
        <v/>
      </c>
      <c r="BC376" s="7">
        <f>IF(M376+AJ376&gt;2026,IF(G376&gt;2026,"entièrement projeté","en partie projeté"),"observé")</f>
        <v/>
      </c>
    </row>
    <row r="377">
      <c r="A377" s="7" t="inlineStr">
        <is>
          <t>Génération Z</t>
        </is>
      </c>
      <c r="B377" s="84" t="inlineStr">
        <is>
          <t>SNCF</t>
        </is>
      </c>
      <c r="C377" s="7">
        <f>IF(G377&gt;=SUMIFS(Regimes!$C$5:$C$10,Regimes!$A$5:$A$10,B377),"Privé",B377)</f>
        <v/>
      </c>
      <c r="D377" s="7">
        <f>INDEX(Regimes!$D$5:$D$10,MATCH(C377,Regimes!$A$5:$A$10,0))</f>
        <v/>
      </c>
      <c r="E377" s="88" t="n">
        <v>2008</v>
      </c>
      <c r="F377" s="8">
        <f>Donnees_generations!C96</f>
        <v/>
      </c>
      <c r="G377" s="77">
        <f>Donnees_generations!D96</f>
        <v/>
      </c>
      <c r="H377" s="8">
        <f>SUMIFS(Donnees_generations!$S$3:$S$113,Donnees_generations!$A$3:$A$113,MAX(1915,MIN(2025,E377)))</f>
        <v/>
      </c>
      <c r="I377" s="8">
        <f>SUMIFS(Donnees_generations!$T$3:$T$113,Donnees_generations!$A$3:$A$113,MAX(1915,MIN(2025,E377)))</f>
        <v/>
      </c>
      <c r="J377" s="8">
        <f>IF(G377&gt;=2000,MAX(I377,Parametres!$B$3),I377)</f>
        <v/>
      </c>
      <c r="K377" s="8">
        <f>IF(C377="Privé",J377,SUMIFS(Regles_regimes!$J$3:$J$2000,Regles_regimes!$A$3:$A$2000,C377,Regles_regimes!$B$3:$B$2000,D377,Regles_regimes!$C$3:$C$2000,MAX(1915,MIN(2025,E377))))</f>
        <v/>
      </c>
      <c r="L377" s="8">
        <f>IF(C377="Privé",H377,(K377-F377)*H377/(J377-F377))</f>
        <v/>
      </c>
      <c r="M377" s="77">
        <f>INT(E377+K377)</f>
        <v/>
      </c>
      <c r="N377" s="77">
        <f>G377+ROUNDUP(L377,0)-1</f>
        <v/>
      </c>
      <c r="O377" s="89">
        <f>SUMIFS(Regles_regimes!$K$3:$K$2000,Regles_regimes!$A$3:$A$2000,C377,Regles_regimes!$B$3:$B$2000,D377,Regles_regimes!$C$3:$C$2000,MAX(1915,MIN(2025,E377)))</f>
        <v/>
      </c>
      <c r="P377" s="13">
        <f>SUMIFS(Donnees_annuelles!$W$3:$W$188,Donnees_annuelles!$A$3:$A$188,"&gt;="&amp;G377,Donnees_annuelles!$A$3:$A$188,"&lt;="&amp;N377)*L377/ROUNDUP(L377,0)*O377</f>
        <v/>
      </c>
      <c r="Q377" s="13">
        <f>SUMIFS(Donnees_annuelles!$V$3:$V$188,Donnees_annuelles!$A$3:$A$188,"&gt;="&amp;G377,Donnees_annuelles!$A$3:$A$188,"&lt;="&amp;N377)*L377/ROUNDUP(L377,0)</f>
        <v/>
      </c>
      <c r="R377" s="13">
        <f>P377/L377</f>
        <v/>
      </c>
      <c r="S377" s="14">
        <f>SUMIFS(Donnees_annuelles!$D$3:$D$188,Donnees_annuelles!$A$3:$A$188,"&gt;="&amp;G377,Donnees_annuelles!$A$3:$A$188,"&lt;="&amp;N377)*L377/ROUNDUP(L377,0)</f>
        <v/>
      </c>
      <c r="T377" s="14">
        <f>SUMIFS(Donnees_regimes!$N$3:$N$1118,Donnees_regimes!$A$3:$A$1118,C377,Donnees_regimes!$B$3:$B$1118,"&gt;="&amp;G377,Donnees_regimes!$B$3:$B$1118,"&lt;="&amp;N377)*L377/ROUNDUP(L377,0)</f>
        <v/>
      </c>
      <c r="U377" s="14">
        <f>SUMIFS(Donnees_regimes!$O$3:$O$1118,Donnees_regimes!$A$3:$A$1118,C377,Donnees_regimes!$B$3:$B$1118,"&gt;="&amp;G377,Donnees_regimes!$B$3:$B$1118,"&lt;="&amp;N377)*L377/ROUNDUP(L377,0)</f>
        <v/>
      </c>
      <c r="V377" s="14">
        <f>T377+U377</f>
        <v/>
      </c>
      <c r="W377" s="33">
        <f>V377/S377</f>
        <v/>
      </c>
      <c r="X377" s="14">
        <f>S377+U377</f>
        <v/>
      </c>
      <c r="Y377" s="17">
        <f>V377/P377</f>
        <v/>
      </c>
      <c r="Z377" s="14">
        <f>SUMIFS(Donnees_regimes!$Q$3:$Q$1118,Donnees_regimes!$A$3:$A$1118,C377,Donnees_regimes!$B$3:$B$1118,"&gt;="&amp;G377,Donnees_regimes!$B$3:$B$1118,"&lt;="&amp;N377)*L377/ROUNDUP(L377,0)</f>
        <v/>
      </c>
      <c r="AA377" s="77">
        <f>SUMIFS(Regles_regimes!$F$3:$F$2000,Regles_regimes!$A$3:$A$2000,C377,Regles_regimes!$B$3:$B$2000,D377,Regles_regimes!$C$3:$C$2000,MAX(1915,MIN(2025,E377)))</f>
        <v/>
      </c>
      <c r="AB377" s="77">
        <f>IF(AND(SUMIFS(Regles_regimes!$L$3:$L$2000,Regles_regimes!$A$3:$A$2000,C377,Regles_regimes!$B$3:$B$2000,D377,Regles_regimes!$C$3:$C$2000,MAX(1915,MIN(2025,E377)))=1,G377&lt;2009,C377&lt;&gt;"Privé"),MIN(20,L377*4/5),0)</f>
        <v/>
      </c>
      <c r="AC377" s="89">
        <f>SUMIFS(Donnees_regimes!$M$3:$M$1118,Donnees_regimes!$A$3:$A$1118,C377,Donnees_regimes!$B$3:$B$1118,M377)</f>
        <v/>
      </c>
      <c r="AD377" s="14">
        <f>SUMIFS(Donnees_annuelles!$Y$3:$Y$188,Donnees_annuelles!$A$3:$A$188,M377)*SUMIFS(Donnees_generations!$I$3:$I$113,Donnees_generations!$A$3:$A$113,MAX(1915,MIN(2025,E377)))/H377</f>
        <v/>
      </c>
      <c r="AE377" s="14">
        <f>IF(C377="Privé",SUMIFS(Donnees_annuelles!$Y$3:$Y$188,Donnees_annuelles!$A$3:$A$188,M377)*MIN(L377,SUMIFS(Donnees_generations!$I$3:$I$113,Donnees_generations!$A$3:$A$113,MAX(1915,MIN(2025,E377))))/L377,AD377*AC377*MIN(IF(AB377&gt;0,0.8/0.75,1),(L377*4+AB377)/AA377))</f>
        <v/>
      </c>
      <c r="AF377" s="14">
        <f>AE377/12</f>
        <v/>
      </c>
      <c r="AG377" s="77">
        <f>MIN(68,MAX(56,2*INT(K377/2)))</f>
        <v/>
      </c>
      <c r="AH377" s="75">
        <f>(CHOOSE((AG377-56)/2+1,SUMIFS(Donnees_generations!$U$3:$U$113,Donnees_generations!$A$3:$A$113,MAX(1915,MIN(2025,E377))),SUMIFS(Donnees_generations!$V$3:$V$113,Donnees_generations!$A$3:$A$113,MAX(1915,MIN(2025,E377))),SUMIFS(Donnees_generations!$W$3:$W$113,Donnees_generations!$A$3:$A$113,MAX(1915,MIN(2025,E377))),SUMIFS(Donnees_generations!$X$3:$X$113,Donnees_generations!$A$3:$A$113,MAX(1915,MIN(2025,E377))),SUMIFS(Donnees_generations!$Y$3:$Y$113,Donnees_generations!$A$3:$A$113,MAX(1915,MIN(2025,E377))),SUMIFS(Donnees_generations!$Z$3:$Z$113,Donnees_generations!$A$3:$A$113,MAX(1915,MIN(2025,E377))),SUMIFS(Donnees_generations!$AA$3:$AA$113,Donnees_generations!$A$3:$A$113,MAX(1915,MIN(2025,E377))),SUMIFS(Donnees_generations!$AB$3:$AB$113,Donnees_generations!$A$3:$A$113,MAX(1915,MIN(2025,E377))))+CHOOSE((AG377-56)/2+1,SUMIFS(Donnees_generations!$AC$3:$AC$113,Donnees_generations!$A$3:$A$113,MAX(1915,MIN(2025,E377))),SUMIFS(Donnees_generations!$AD$3:$AD$113,Donnees_generations!$A$3:$A$113,MAX(1915,MIN(2025,E377))),SUMIFS(Donnees_generations!$AE$3:$AE$113,Donnees_generations!$A$3:$A$113,MAX(1915,MIN(2025,E377))),SUMIFS(Donnees_generations!$AF$3:$AF$113,Donnees_generations!$A$3:$A$113,MAX(1915,MIN(2025,E377))),SUMIFS(Donnees_generations!$AG$3:$AG$113,Donnees_generations!$A$3:$A$113,MAX(1915,MIN(2025,E377))),SUMIFS(Donnees_generations!$AH$3:$AH$113,Donnees_generations!$A$3:$A$113,MAX(1915,MIN(2025,E377))),SUMIFS(Donnees_generations!$AI$3:$AI$113,Donnees_generations!$A$3:$A$113,MAX(1915,MIN(2025,E377))),SUMIFS(Donnees_generations!$AJ$3:$AJ$113,Donnees_generations!$A$3:$A$113,MAX(1915,MIN(2025,E377)))))/2</f>
        <v/>
      </c>
      <c r="AI377" s="75">
        <f>(CHOOSE(((AG377+2)-56)/2+1,SUMIFS(Donnees_generations!$U$3:$U$113,Donnees_generations!$A$3:$A$113,MAX(1915,MIN(2025,E377))),SUMIFS(Donnees_generations!$V$3:$V$113,Donnees_generations!$A$3:$A$113,MAX(1915,MIN(2025,E377))),SUMIFS(Donnees_generations!$W$3:$W$113,Donnees_generations!$A$3:$A$113,MAX(1915,MIN(2025,E377))),SUMIFS(Donnees_generations!$X$3:$X$113,Donnees_generations!$A$3:$A$113,MAX(1915,MIN(2025,E377))),SUMIFS(Donnees_generations!$Y$3:$Y$113,Donnees_generations!$A$3:$A$113,MAX(1915,MIN(2025,E377))),SUMIFS(Donnees_generations!$Z$3:$Z$113,Donnees_generations!$A$3:$A$113,MAX(1915,MIN(2025,E377))),SUMIFS(Donnees_generations!$AA$3:$AA$113,Donnees_generations!$A$3:$A$113,MAX(1915,MIN(2025,E377))),SUMIFS(Donnees_generations!$AB$3:$AB$113,Donnees_generations!$A$3:$A$113,MAX(1915,MIN(2025,E377))))+CHOOSE(((AG377+2)-56)/2+1,SUMIFS(Donnees_generations!$AC$3:$AC$113,Donnees_generations!$A$3:$A$113,MAX(1915,MIN(2025,E377))),SUMIFS(Donnees_generations!$AD$3:$AD$113,Donnees_generations!$A$3:$A$113,MAX(1915,MIN(2025,E377))),SUMIFS(Donnees_generations!$AE$3:$AE$113,Donnees_generations!$A$3:$A$113,MAX(1915,MIN(2025,E377))),SUMIFS(Donnees_generations!$AF$3:$AF$113,Donnees_generations!$A$3:$A$113,MAX(1915,MIN(2025,E377))),SUMIFS(Donnees_generations!$AG$3:$AG$113,Donnees_generations!$A$3:$A$113,MAX(1915,MIN(2025,E377))),SUMIFS(Donnees_generations!$AH$3:$AH$113,Donnees_generations!$A$3:$A$113,MAX(1915,MIN(2025,E377))),SUMIFS(Donnees_generations!$AI$3:$AI$113,Donnees_generations!$A$3:$A$113,MAX(1915,MIN(2025,E377))),SUMIFS(Donnees_generations!$AJ$3:$AJ$113,Donnees_generations!$A$3:$A$113,MAX(1915,MIN(2025,E377)))))/2</f>
        <v/>
      </c>
      <c r="AJ377" s="8">
        <f>MAX(0,AH377+(AI377-AH377)*(K377-AG377)/2)</f>
        <v/>
      </c>
      <c r="AK377" s="8">
        <f>K377+AJ377</f>
        <v/>
      </c>
      <c r="AL377" s="14">
        <f>AE377*AJ377</f>
        <v/>
      </c>
      <c r="AM377" s="17">
        <f>V377/AL377</f>
        <v/>
      </c>
      <c r="AN377" s="17">
        <f>Z377/AL377</f>
        <v/>
      </c>
      <c r="AO377" s="33">
        <f>IF(V377+Z377=0,0,Z377/(V377+Z377))</f>
        <v/>
      </c>
      <c r="AP377" s="14">
        <f>AL377/V377*100</f>
        <v/>
      </c>
      <c r="AQ377" s="8">
        <f>P377/AL377*1000</f>
        <v/>
      </c>
      <c r="AR377" s="77">
        <f>MAX(N377,M377-1)</f>
        <v/>
      </c>
      <c r="AS377" s="14">
        <f>SUMIFS(Donnees_regimes!$R$3:$R$1118,Donnees_regimes!$A$3:$A$1118,C377,Donnees_regimes!$B$3:$B$1118,"&gt;="&amp;G377,Donnees_regimes!$B$3:$B$1118,"&lt;="&amp;N377)*L377/ROUNDUP(L377,0)*SUMIFS(Donnees_annuelles!$AG$3:$AG$188,Donnees_annuelles!$A$3:$A$188,AR377)*SUMIFS(Donnees_annuelles!$AA$3:$AA$188,Donnees_annuelles!$A$3:$A$188,AR377)</f>
        <v/>
      </c>
      <c r="AT377" s="36">
        <f>AS377/V377</f>
        <v/>
      </c>
      <c r="AU377" s="14">
        <f>AL377</f>
        <v/>
      </c>
      <c r="AV377" s="39">
        <f>AS377-AL377</f>
        <v/>
      </c>
      <c r="AW377" s="9">
        <f>AS377/AL377-1</f>
        <v/>
      </c>
      <c r="AX377" s="14">
        <f>AS377/AJ377/12</f>
        <v/>
      </c>
      <c r="AY377" s="14">
        <f>AF377</f>
        <v/>
      </c>
      <c r="AZ377" s="39">
        <f>AX377-AF377</f>
        <v/>
      </c>
      <c r="BA377" s="14">
        <f>SUMIFS(Donnees_regimes!$S$3:$S$1118,Donnees_regimes!$A$3:$A$1118,C377,Donnees_regimes!$B$3:$B$1118,"&gt;="&amp;G377,Donnees_regimes!$B$3:$B$1118,"&lt;="&amp;N377)*L377/ROUNDUP(L377,0)*SUMIFS(Donnees_annuelles!$AH$3:$AH$188,Donnees_annuelles!$A$3:$A$188,AR377)*SUMIFS(Donnees_annuelles!$AA$3:$AA$188,Donnees_annuelles!$A$3:$A$188,AR377)</f>
        <v/>
      </c>
      <c r="BB377" s="39">
        <f>BA377-AL377</f>
        <v/>
      </c>
      <c r="BC377" s="7">
        <f>IF(M377+AJ377&gt;2026,IF(G377&gt;2026,"entièrement projeté","en partie projeté"),"observé")</f>
        <v/>
      </c>
    </row>
    <row r="378">
      <c r="A378" s="7" t="inlineStr">
        <is>
          <t>Génération Z</t>
        </is>
      </c>
      <c r="B378" s="84" t="inlineStr">
        <is>
          <t>SNCF</t>
        </is>
      </c>
      <c r="C378" s="7">
        <f>IF(G378&gt;=SUMIFS(Regimes!$C$5:$C$10,Regimes!$A$5:$A$10,B378),"Privé",B378)</f>
        <v/>
      </c>
      <c r="D378" s="7">
        <f>INDEX(Regimes!$D$5:$D$10,MATCH(C378,Regimes!$A$5:$A$10,0))</f>
        <v/>
      </c>
      <c r="E378" s="88" t="n">
        <v>2009</v>
      </c>
      <c r="F378" s="8">
        <f>Donnees_generations!C97</f>
        <v/>
      </c>
      <c r="G378" s="77">
        <f>Donnees_generations!D97</f>
        <v/>
      </c>
      <c r="H378" s="8">
        <f>SUMIFS(Donnees_generations!$S$3:$S$113,Donnees_generations!$A$3:$A$113,MAX(1915,MIN(2025,E378)))</f>
        <v/>
      </c>
      <c r="I378" s="8">
        <f>SUMIFS(Donnees_generations!$T$3:$T$113,Donnees_generations!$A$3:$A$113,MAX(1915,MIN(2025,E378)))</f>
        <v/>
      </c>
      <c r="J378" s="8">
        <f>IF(G378&gt;=2000,MAX(I378,Parametres!$B$3),I378)</f>
        <v/>
      </c>
      <c r="K378" s="8">
        <f>IF(C378="Privé",J378,SUMIFS(Regles_regimes!$J$3:$J$2000,Regles_regimes!$A$3:$A$2000,C378,Regles_regimes!$B$3:$B$2000,D378,Regles_regimes!$C$3:$C$2000,MAX(1915,MIN(2025,E378))))</f>
        <v/>
      </c>
      <c r="L378" s="8">
        <f>IF(C378="Privé",H378,(K378-F378)*H378/(J378-F378))</f>
        <v/>
      </c>
      <c r="M378" s="77">
        <f>INT(E378+K378)</f>
        <v/>
      </c>
      <c r="N378" s="77">
        <f>G378+ROUNDUP(L378,0)-1</f>
        <v/>
      </c>
      <c r="O378" s="89">
        <f>SUMIFS(Regles_regimes!$K$3:$K$2000,Regles_regimes!$A$3:$A$2000,C378,Regles_regimes!$B$3:$B$2000,D378,Regles_regimes!$C$3:$C$2000,MAX(1915,MIN(2025,E378)))</f>
        <v/>
      </c>
      <c r="P378" s="13">
        <f>SUMIFS(Donnees_annuelles!$W$3:$W$188,Donnees_annuelles!$A$3:$A$188,"&gt;="&amp;G378,Donnees_annuelles!$A$3:$A$188,"&lt;="&amp;N378)*L378/ROUNDUP(L378,0)*O378</f>
        <v/>
      </c>
      <c r="Q378" s="13">
        <f>SUMIFS(Donnees_annuelles!$V$3:$V$188,Donnees_annuelles!$A$3:$A$188,"&gt;="&amp;G378,Donnees_annuelles!$A$3:$A$188,"&lt;="&amp;N378)*L378/ROUNDUP(L378,0)</f>
        <v/>
      </c>
      <c r="R378" s="13">
        <f>P378/L378</f>
        <v/>
      </c>
      <c r="S378" s="14">
        <f>SUMIFS(Donnees_annuelles!$D$3:$D$188,Donnees_annuelles!$A$3:$A$188,"&gt;="&amp;G378,Donnees_annuelles!$A$3:$A$188,"&lt;="&amp;N378)*L378/ROUNDUP(L378,0)</f>
        <v/>
      </c>
      <c r="T378" s="14">
        <f>SUMIFS(Donnees_regimes!$N$3:$N$1118,Donnees_regimes!$A$3:$A$1118,C378,Donnees_regimes!$B$3:$B$1118,"&gt;="&amp;G378,Donnees_regimes!$B$3:$B$1118,"&lt;="&amp;N378)*L378/ROUNDUP(L378,0)</f>
        <v/>
      </c>
      <c r="U378" s="14">
        <f>SUMIFS(Donnees_regimes!$O$3:$O$1118,Donnees_regimes!$A$3:$A$1118,C378,Donnees_regimes!$B$3:$B$1118,"&gt;="&amp;G378,Donnees_regimes!$B$3:$B$1118,"&lt;="&amp;N378)*L378/ROUNDUP(L378,0)</f>
        <v/>
      </c>
      <c r="V378" s="14">
        <f>T378+U378</f>
        <v/>
      </c>
      <c r="W378" s="33">
        <f>V378/S378</f>
        <v/>
      </c>
      <c r="X378" s="14">
        <f>S378+U378</f>
        <v/>
      </c>
      <c r="Y378" s="17">
        <f>V378/P378</f>
        <v/>
      </c>
      <c r="Z378" s="14">
        <f>SUMIFS(Donnees_regimes!$Q$3:$Q$1118,Donnees_regimes!$A$3:$A$1118,C378,Donnees_regimes!$B$3:$B$1118,"&gt;="&amp;G378,Donnees_regimes!$B$3:$B$1118,"&lt;="&amp;N378)*L378/ROUNDUP(L378,0)</f>
        <v/>
      </c>
      <c r="AA378" s="77">
        <f>SUMIFS(Regles_regimes!$F$3:$F$2000,Regles_regimes!$A$3:$A$2000,C378,Regles_regimes!$B$3:$B$2000,D378,Regles_regimes!$C$3:$C$2000,MAX(1915,MIN(2025,E378)))</f>
        <v/>
      </c>
      <c r="AB378" s="77">
        <f>IF(AND(SUMIFS(Regles_regimes!$L$3:$L$2000,Regles_regimes!$A$3:$A$2000,C378,Regles_regimes!$B$3:$B$2000,D378,Regles_regimes!$C$3:$C$2000,MAX(1915,MIN(2025,E378)))=1,G378&lt;2009,C378&lt;&gt;"Privé"),MIN(20,L378*4/5),0)</f>
        <v/>
      </c>
      <c r="AC378" s="89">
        <f>SUMIFS(Donnees_regimes!$M$3:$M$1118,Donnees_regimes!$A$3:$A$1118,C378,Donnees_regimes!$B$3:$B$1118,M378)</f>
        <v/>
      </c>
      <c r="AD378" s="14">
        <f>SUMIFS(Donnees_annuelles!$Y$3:$Y$188,Donnees_annuelles!$A$3:$A$188,M378)*SUMIFS(Donnees_generations!$I$3:$I$113,Donnees_generations!$A$3:$A$113,MAX(1915,MIN(2025,E378)))/H378</f>
        <v/>
      </c>
      <c r="AE378" s="14">
        <f>IF(C378="Privé",SUMIFS(Donnees_annuelles!$Y$3:$Y$188,Donnees_annuelles!$A$3:$A$188,M378)*MIN(L378,SUMIFS(Donnees_generations!$I$3:$I$113,Donnees_generations!$A$3:$A$113,MAX(1915,MIN(2025,E378))))/L378,AD378*AC378*MIN(IF(AB378&gt;0,0.8/0.75,1),(L378*4+AB378)/AA378))</f>
        <v/>
      </c>
      <c r="AF378" s="14">
        <f>AE378/12</f>
        <v/>
      </c>
      <c r="AG378" s="77">
        <f>MIN(68,MAX(56,2*INT(K378/2)))</f>
        <v/>
      </c>
      <c r="AH378" s="75">
        <f>(CHOOSE((AG378-56)/2+1,SUMIFS(Donnees_generations!$U$3:$U$113,Donnees_generations!$A$3:$A$113,MAX(1915,MIN(2025,E378))),SUMIFS(Donnees_generations!$V$3:$V$113,Donnees_generations!$A$3:$A$113,MAX(1915,MIN(2025,E378))),SUMIFS(Donnees_generations!$W$3:$W$113,Donnees_generations!$A$3:$A$113,MAX(1915,MIN(2025,E378))),SUMIFS(Donnees_generations!$X$3:$X$113,Donnees_generations!$A$3:$A$113,MAX(1915,MIN(2025,E378))),SUMIFS(Donnees_generations!$Y$3:$Y$113,Donnees_generations!$A$3:$A$113,MAX(1915,MIN(2025,E378))),SUMIFS(Donnees_generations!$Z$3:$Z$113,Donnees_generations!$A$3:$A$113,MAX(1915,MIN(2025,E378))),SUMIFS(Donnees_generations!$AA$3:$AA$113,Donnees_generations!$A$3:$A$113,MAX(1915,MIN(2025,E378))),SUMIFS(Donnees_generations!$AB$3:$AB$113,Donnees_generations!$A$3:$A$113,MAX(1915,MIN(2025,E378))))+CHOOSE((AG378-56)/2+1,SUMIFS(Donnees_generations!$AC$3:$AC$113,Donnees_generations!$A$3:$A$113,MAX(1915,MIN(2025,E378))),SUMIFS(Donnees_generations!$AD$3:$AD$113,Donnees_generations!$A$3:$A$113,MAX(1915,MIN(2025,E378))),SUMIFS(Donnees_generations!$AE$3:$AE$113,Donnees_generations!$A$3:$A$113,MAX(1915,MIN(2025,E378))),SUMIFS(Donnees_generations!$AF$3:$AF$113,Donnees_generations!$A$3:$A$113,MAX(1915,MIN(2025,E378))),SUMIFS(Donnees_generations!$AG$3:$AG$113,Donnees_generations!$A$3:$A$113,MAX(1915,MIN(2025,E378))),SUMIFS(Donnees_generations!$AH$3:$AH$113,Donnees_generations!$A$3:$A$113,MAX(1915,MIN(2025,E378))),SUMIFS(Donnees_generations!$AI$3:$AI$113,Donnees_generations!$A$3:$A$113,MAX(1915,MIN(2025,E378))),SUMIFS(Donnees_generations!$AJ$3:$AJ$113,Donnees_generations!$A$3:$A$113,MAX(1915,MIN(2025,E378)))))/2</f>
        <v/>
      </c>
      <c r="AI378" s="75">
        <f>(CHOOSE(((AG378+2)-56)/2+1,SUMIFS(Donnees_generations!$U$3:$U$113,Donnees_generations!$A$3:$A$113,MAX(1915,MIN(2025,E378))),SUMIFS(Donnees_generations!$V$3:$V$113,Donnees_generations!$A$3:$A$113,MAX(1915,MIN(2025,E378))),SUMIFS(Donnees_generations!$W$3:$W$113,Donnees_generations!$A$3:$A$113,MAX(1915,MIN(2025,E378))),SUMIFS(Donnees_generations!$X$3:$X$113,Donnees_generations!$A$3:$A$113,MAX(1915,MIN(2025,E378))),SUMIFS(Donnees_generations!$Y$3:$Y$113,Donnees_generations!$A$3:$A$113,MAX(1915,MIN(2025,E378))),SUMIFS(Donnees_generations!$Z$3:$Z$113,Donnees_generations!$A$3:$A$113,MAX(1915,MIN(2025,E378))),SUMIFS(Donnees_generations!$AA$3:$AA$113,Donnees_generations!$A$3:$A$113,MAX(1915,MIN(2025,E378))),SUMIFS(Donnees_generations!$AB$3:$AB$113,Donnees_generations!$A$3:$A$113,MAX(1915,MIN(2025,E378))))+CHOOSE(((AG378+2)-56)/2+1,SUMIFS(Donnees_generations!$AC$3:$AC$113,Donnees_generations!$A$3:$A$113,MAX(1915,MIN(2025,E378))),SUMIFS(Donnees_generations!$AD$3:$AD$113,Donnees_generations!$A$3:$A$113,MAX(1915,MIN(2025,E378))),SUMIFS(Donnees_generations!$AE$3:$AE$113,Donnees_generations!$A$3:$A$113,MAX(1915,MIN(2025,E378))),SUMIFS(Donnees_generations!$AF$3:$AF$113,Donnees_generations!$A$3:$A$113,MAX(1915,MIN(2025,E378))),SUMIFS(Donnees_generations!$AG$3:$AG$113,Donnees_generations!$A$3:$A$113,MAX(1915,MIN(2025,E378))),SUMIFS(Donnees_generations!$AH$3:$AH$113,Donnees_generations!$A$3:$A$113,MAX(1915,MIN(2025,E378))),SUMIFS(Donnees_generations!$AI$3:$AI$113,Donnees_generations!$A$3:$A$113,MAX(1915,MIN(2025,E378))),SUMIFS(Donnees_generations!$AJ$3:$AJ$113,Donnees_generations!$A$3:$A$113,MAX(1915,MIN(2025,E378)))))/2</f>
        <v/>
      </c>
      <c r="AJ378" s="8">
        <f>MAX(0,AH378+(AI378-AH378)*(K378-AG378)/2)</f>
        <v/>
      </c>
      <c r="AK378" s="8">
        <f>K378+AJ378</f>
        <v/>
      </c>
      <c r="AL378" s="14">
        <f>AE378*AJ378</f>
        <v/>
      </c>
      <c r="AM378" s="17">
        <f>V378/AL378</f>
        <v/>
      </c>
      <c r="AN378" s="17">
        <f>Z378/AL378</f>
        <v/>
      </c>
      <c r="AO378" s="33">
        <f>IF(V378+Z378=0,0,Z378/(V378+Z378))</f>
        <v/>
      </c>
      <c r="AP378" s="14">
        <f>AL378/V378*100</f>
        <v/>
      </c>
      <c r="AQ378" s="8">
        <f>P378/AL378*1000</f>
        <v/>
      </c>
      <c r="AR378" s="77">
        <f>MAX(N378,M378-1)</f>
        <v/>
      </c>
      <c r="AS378" s="14">
        <f>SUMIFS(Donnees_regimes!$R$3:$R$1118,Donnees_regimes!$A$3:$A$1118,C378,Donnees_regimes!$B$3:$B$1118,"&gt;="&amp;G378,Donnees_regimes!$B$3:$B$1118,"&lt;="&amp;N378)*L378/ROUNDUP(L378,0)*SUMIFS(Donnees_annuelles!$AG$3:$AG$188,Donnees_annuelles!$A$3:$A$188,AR378)*SUMIFS(Donnees_annuelles!$AA$3:$AA$188,Donnees_annuelles!$A$3:$A$188,AR378)</f>
        <v/>
      </c>
      <c r="AT378" s="36">
        <f>AS378/V378</f>
        <v/>
      </c>
      <c r="AU378" s="14">
        <f>AL378</f>
        <v/>
      </c>
      <c r="AV378" s="39">
        <f>AS378-AL378</f>
        <v/>
      </c>
      <c r="AW378" s="9">
        <f>AS378/AL378-1</f>
        <v/>
      </c>
      <c r="AX378" s="14">
        <f>AS378/AJ378/12</f>
        <v/>
      </c>
      <c r="AY378" s="14">
        <f>AF378</f>
        <v/>
      </c>
      <c r="AZ378" s="39">
        <f>AX378-AF378</f>
        <v/>
      </c>
      <c r="BA378" s="14">
        <f>SUMIFS(Donnees_regimes!$S$3:$S$1118,Donnees_regimes!$A$3:$A$1118,C378,Donnees_regimes!$B$3:$B$1118,"&gt;="&amp;G378,Donnees_regimes!$B$3:$B$1118,"&lt;="&amp;N378)*L378/ROUNDUP(L378,0)*SUMIFS(Donnees_annuelles!$AH$3:$AH$188,Donnees_annuelles!$A$3:$A$188,AR378)*SUMIFS(Donnees_annuelles!$AA$3:$AA$188,Donnees_annuelles!$A$3:$A$188,AR378)</f>
        <v/>
      </c>
      <c r="BB378" s="39">
        <f>BA378-AL378</f>
        <v/>
      </c>
      <c r="BC378" s="7">
        <f>IF(M378+AJ378&gt;2026,IF(G378&gt;2026,"entièrement projeté","en partie projeté"),"observé")</f>
        <v/>
      </c>
    </row>
    <row r="379">
      <c r="A379" s="7" t="inlineStr">
        <is>
          <t>Génération Z</t>
        </is>
      </c>
      <c r="B379" s="84" t="inlineStr">
        <is>
          <t>SNCF</t>
        </is>
      </c>
      <c r="C379" s="7">
        <f>IF(G379&gt;=SUMIFS(Regimes!$C$5:$C$10,Regimes!$A$5:$A$10,B379),"Privé",B379)</f>
        <v/>
      </c>
      <c r="D379" s="7">
        <f>INDEX(Regimes!$D$5:$D$10,MATCH(C379,Regimes!$A$5:$A$10,0))</f>
        <v/>
      </c>
      <c r="E379" s="88" t="n">
        <v>2010</v>
      </c>
      <c r="F379" s="8">
        <f>Donnees_generations!C98</f>
        <v/>
      </c>
      <c r="G379" s="77">
        <f>Donnees_generations!D98</f>
        <v/>
      </c>
      <c r="H379" s="8">
        <f>SUMIFS(Donnees_generations!$S$3:$S$113,Donnees_generations!$A$3:$A$113,MAX(1915,MIN(2025,E379)))</f>
        <v/>
      </c>
      <c r="I379" s="8">
        <f>SUMIFS(Donnees_generations!$T$3:$T$113,Donnees_generations!$A$3:$A$113,MAX(1915,MIN(2025,E379)))</f>
        <v/>
      </c>
      <c r="J379" s="8">
        <f>IF(G379&gt;=2000,MAX(I379,Parametres!$B$3),I379)</f>
        <v/>
      </c>
      <c r="K379" s="8">
        <f>IF(C379="Privé",J379,SUMIFS(Regles_regimes!$J$3:$J$2000,Regles_regimes!$A$3:$A$2000,C379,Regles_regimes!$B$3:$B$2000,D379,Regles_regimes!$C$3:$C$2000,MAX(1915,MIN(2025,E379))))</f>
        <v/>
      </c>
      <c r="L379" s="8">
        <f>IF(C379="Privé",H379,(K379-F379)*H379/(J379-F379))</f>
        <v/>
      </c>
      <c r="M379" s="77">
        <f>INT(E379+K379)</f>
        <v/>
      </c>
      <c r="N379" s="77">
        <f>G379+ROUNDUP(L379,0)-1</f>
        <v/>
      </c>
      <c r="O379" s="89">
        <f>SUMIFS(Regles_regimes!$K$3:$K$2000,Regles_regimes!$A$3:$A$2000,C379,Regles_regimes!$B$3:$B$2000,D379,Regles_regimes!$C$3:$C$2000,MAX(1915,MIN(2025,E379)))</f>
        <v/>
      </c>
      <c r="P379" s="13">
        <f>SUMIFS(Donnees_annuelles!$W$3:$W$188,Donnees_annuelles!$A$3:$A$188,"&gt;="&amp;G379,Donnees_annuelles!$A$3:$A$188,"&lt;="&amp;N379)*L379/ROUNDUP(L379,0)*O379</f>
        <v/>
      </c>
      <c r="Q379" s="13">
        <f>SUMIFS(Donnees_annuelles!$V$3:$V$188,Donnees_annuelles!$A$3:$A$188,"&gt;="&amp;G379,Donnees_annuelles!$A$3:$A$188,"&lt;="&amp;N379)*L379/ROUNDUP(L379,0)</f>
        <v/>
      </c>
      <c r="R379" s="13">
        <f>P379/L379</f>
        <v/>
      </c>
      <c r="S379" s="14">
        <f>SUMIFS(Donnees_annuelles!$D$3:$D$188,Donnees_annuelles!$A$3:$A$188,"&gt;="&amp;G379,Donnees_annuelles!$A$3:$A$188,"&lt;="&amp;N379)*L379/ROUNDUP(L379,0)</f>
        <v/>
      </c>
      <c r="T379" s="14">
        <f>SUMIFS(Donnees_regimes!$N$3:$N$1118,Donnees_regimes!$A$3:$A$1118,C379,Donnees_regimes!$B$3:$B$1118,"&gt;="&amp;G379,Donnees_regimes!$B$3:$B$1118,"&lt;="&amp;N379)*L379/ROUNDUP(L379,0)</f>
        <v/>
      </c>
      <c r="U379" s="14">
        <f>SUMIFS(Donnees_regimes!$O$3:$O$1118,Donnees_regimes!$A$3:$A$1118,C379,Donnees_regimes!$B$3:$B$1118,"&gt;="&amp;G379,Donnees_regimes!$B$3:$B$1118,"&lt;="&amp;N379)*L379/ROUNDUP(L379,0)</f>
        <v/>
      </c>
      <c r="V379" s="14">
        <f>T379+U379</f>
        <v/>
      </c>
      <c r="W379" s="33">
        <f>V379/S379</f>
        <v/>
      </c>
      <c r="X379" s="14">
        <f>S379+U379</f>
        <v/>
      </c>
      <c r="Y379" s="17">
        <f>V379/P379</f>
        <v/>
      </c>
      <c r="Z379" s="14">
        <f>SUMIFS(Donnees_regimes!$Q$3:$Q$1118,Donnees_regimes!$A$3:$A$1118,C379,Donnees_regimes!$B$3:$B$1118,"&gt;="&amp;G379,Donnees_regimes!$B$3:$B$1118,"&lt;="&amp;N379)*L379/ROUNDUP(L379,0)</f>
        <v/>
      </c>
      <c r="AA379" s="77">
        <f>SUMIFS(Regles_regimes!$F$3:$F$2000,Regles_regimes!$A$3:$A$2000,C379,Regles_regimes!$B$3:$B$2000,D379,Regles_regimes!$C$3:$C$2000,MAX(1915,MIN(2025,E379)))</f>
        <v/>
      </c>
      <c r="AB379" s="77">
        <f>IF(AND(SUMIFS(Regles_regimes!$L$3:$L$2000,Regles_regimes!$A$3:$A$2000,C379,Regles_regimes!$B$3:$B$2000,D379,Regles_regimes!$C$3:$C$2000,MAX(1915,MIN(2025,E379)))=1,G379&lt;2009,C379&lt;&gt;"Privé"),MIN(20,L379*4/5),0)</f>
        <v/>
      </c>
      <c r="AC379" s="89">
        <f>SUMIFS(Donnees_regimes!$M$3:$M$1118,Donnees_regimes!$A$3:$A$1118,C379,Donnees_regimes!$B$3:$B$1118,M379)</f>
        <v/>
      </c>
      <c r="AD379" s="14">
        <f>SUMIFS(Donnees_annuelles!$Y$3:$Y$188,Donnees_annuelles!$A$3:$A$188,M379)*SUMIFS(Donnees_generations!$I$3:$I$113,Donnees_generations!$A$3:$A$113,MAX(1915,MIN(2025,E379)))/H379</f>
        <v/>
      </c>
      <c r="AE379" s="14">
        <f>IF(C379="Privé",SUMIFS(Donnees_annuelles!$Y$3:$Y$188,Donnees_annuelles!$A$3:$A$188,M379)*MIN(L379,SUMIFS(Donnees_generations!$I$3:$I$113,Donnees_generations!$A$3:$A$113,MAX(1915,MIN(2025,E379))))/L379,AD379*AC379*MIN(IF(AB379&gt;0,0.8/0.75,1),(L379*4+AB379)/AA379))</f>
        <v/>
      </c>
      <c r="AF379" s="14">
        <f>AE379/12</f>
        <v/>
      </c>
      <c r="AG379" s="77">
        <f>MIN(68,MAX(56,2*INT(K379/2)))</f>
        <v/>
      </c>
      <c r="AH379" s="75">
        <f>(CHOOSE((AG379-56)/2+1,SUMIFS(Donnees_generations!$U$3:$U$113,Donnees_generations!$A$3:$A$113,MAX(1915,MIN(2025,E379))),SUMIFS(Donnees_generations!$V$3:$V$113,Donnees_generations!$A$3:$A$113,MAX(1915,MIN(2025,E379))),SUMIFS(Donnees_generations!$W$3:$W$113,Donnees_generations!$A$3:$A$113,MAX(1915,MIN(2025,E379))),SUMIFS(Donnees_generations!$X$3:$X$113,Donnees_generations!$A$3:$A$113,MAX(1915,MIN(2025,E379))),SUMIFS(Donnees_generations!$Y$3:$Y$113,Donnees_generations!$A$3:$A$113,MAX(1915,MIN(2025,E379))),SUMIFS(Donnees_generations!$Z$3:$Z$113,Donnees_generations!$A$3:$A$113,MAX(1915,MIN(2025,E379))),SUMIFS(Donnees_generations!$AA$3:$AA$113,Donnees_generations!$A$3:$A$113,MAX(1915,MIN(2025,E379))),SUMIFS(Donnees_generations!$AB$3:$AB$113,Donnees_generations!$A$3:$A$113,MAX(1915,MIN(2025,E379))))+CHOOSE((AG379-56)/2+1,SUMIFS(Donnees_generations!$AC$3:$AC$113,Donnees_generations!$A$3:$A$113,MAX(1915,MIN(2025,E379))),SUMIFS(Donnees_generations!$AD$3:$AD$113,Donnees_generations!$A$3:$A$113,MAX(1915,MIN(2025,E379))),SUMIFS(Donnees_generations!$AE$3:$AE$113,Donnees_generations!$A$3:$A$113,MAX(1915,MIN(2025,E379))),SUMIFS(Donnees_generations!$AF$3:$AF$113,Donnees_generations!$A$3:$A$113,MAX(1915,MIN(2025,E379))),SUMIFS(Donnees_generations!$AG$3:$AG$113,Donnees_generations!$A$3:$A$113,MAX(1915,MIN(2025,E379))),SUMIFS(Donnees_generations!$AH$3:$AH$113,Donnees_generations!$A$3:$A$113,MAX(1915,MIN(2025,E379))),SUMIFS(Donnees_generations!$AI$3:$AI$113,Donnees_generations!$A$3:$A$113,MAX(1915,MIN(2025,E379))),SUMIFS(Donnees_generations!$AJ$3:$AJ$113,Donnees_generations!$A$3:$A$113,MAX(1915,MIN(2025,E379)))))/2</f>
        <v/>
      </c>
      <c r="AI379" s="75">
        <f>(CHOOSE(((AG379+2)-56)/2+1,SUMIFS(Donnees_generations!$U$3:$U$113,Donnees_generations!$A$3:$A$113,MAX(1915,MIN(2025,E379))),SUMIFS(Donnees_generations!$V$3:$V$113,Donnees_generations!$A$3:$A$113,MAX(1915,MIN(2025,E379))),SUMIFS(Donnees_generations!$W$3:$W$113,Donnees_generations!$A$3:$A$113,MAX(1915,MIN(2025,E379))),SUMIFS(Donnees_generations!$X$3:$X$113,Donnees_generations!$A$3:$A$113,MAX(1915,MIN(2025,E379))),SUMIFS(Donnees_generations!$Y$3:$Y$113,Donnees_generations!$A$3:$A$113,MAX(1915,MIN(2025,E379))),SUMIFS(Donnees_generations!$Z$3:$Z$113,Donnees_generations!$A$3:$A$113,MAX(1915,MIN(2025,E379))),SUMIFS(Donnees_generations!$AA$3:$AA$113,Donnees_generations!$A$3:$A$113,MAX(1915,MIN(2025,E379))),SUMIFS(Donnees_generations!$AB$3:$AB$113,Donnees_generations!$A$3:$A$113,MAX(1915,MIN(2025,E379))))+CHOOSE(((AG379+2)-56)/2+1,SUMIFS(Donnees_generations!$AC$3:$AC$113,Donnees_generations!$A$3:$A$113,MAX(1915,MIN(2025,E379))),SUMIFS(Donnees_generations!$AD$3:$AD$113,Donnees_generations!$A$3:$A$113,MAX(1915,MIN(2025,E379))),SUMIFS(Donnees_generations!$AE$3:$AE$113,Donnees_generations!$A$3:$A$113,MAX(1915,MIN(2025,E379))),SUMIFS(Donnees_generations!$AF$3:$AF$113,Donnees_generations!$A$3:$A$113,MAX(1915,MIN(2025,E379))),SUMIFS(Donnees_generations!$AG$3:$AG$113,Donnees_generations!$A$3:$A$113,MAX(1915,MIN(2025,E379))),SUMIFS(Donnees_generations!$AH$3:$AH$113,Donnees_generations!$A$3:$A$113,MAX(1915,MIN(2025,E379))),SUMIFS(Donnees_generations!$AI$3:$AI$113,Donnees_generations!$A$3:$A$113,MAX(1915,MIN(2025,E379))),SUMIFS(Donnees_generations!$AJ$3:$AJ$113,Donnees_generations!$A$3:$A$113,MAX(1915,MIN(2025,E379)))))/2</f>
        <v/>
      </c>
      <c r="AJ379" s="8">
        <f>MAX(0,AH379+(AI379-AH379)*(K379-AG379)/2)</f>
        <v/>
      </c>
      <c r="AK379" s="8">
        <f>K379+AJ379</f>
        <v/>
      </c>
      <c r="AL379" s="14">
        <f>AE379*AJ379</f>
        <v/>
      </c>
      <c r="AM379" s="17">
        <f>V379/AL379</f>
        <v/>
      </c>
      <c r="AN379" s="17">
        <f>Z379/AL379</f>
        <v/>
      </c>
      <c r="AO379" s="33">
        <f>IF(V379+Z379=0,0,Z379/(V379+Z379))</f>
        <v/>
      </c>
      <c r="AP379" s="14">
        <f>AL379/V379*100</f>
        <v/>
      </c>
      <c r="AQ379" s="8">
        <f>P379/AL379*1000</f>
        <v/>
      </c>
      <c r="AR379" s="77">
        <f>MAX(N379,M379-1)</f>
        <v/>
      </c>
      <c r="AS379" s="14">
        <f>SUMIFS(Donnees_regimes!$R$3:$R$1118,Donnees_regimes!$A$3:$A$1118,C379,Donnees_regimes!$B$3:$B$1118,"&gt;="&amp;G379,Donnees_regimes!$B$3:$B$1118,"&lt;="&amp;N379)*L379/ROUNDUP(L379,0)*SUMIFS(Donnees_annuelles!$AG$3:$AG$188,Donnees_annuelles!$A$3:$A$188,AR379)*SUMIFS(Donnees_annuelles!$AA$3:$AA$188,Donnees_annuelles!$A$3:$A$188,AR379)</f>
        <v/>
      </c>
      <c r="AT379" s="36">
        <f>AS379/V379</f>
        <v/>
      </c>
      <c r="AU379" s="14">
        <f>AL379</f>
        <v/>
      </c>
      <c r="AV379" s="39">
        <f>AS379-AL379</f>
        <v/>
      </c>
      <c r="AW379" s="9">
        <f>AS379/AL379-1</f>
        <v/>
      </c>
      <c r="AX379" s="14">
        <f>AS379/AJ379/12</f>
        <v/>
      </c>
      <c r="AY379" s="14">
        <f>AF379</f>
        <v/>
      </c>
      <c r="AZ379" s="39">
        <f>AX379-AF379</f>
        <v/>
      </c>
      <c r="BA379" s="14">
        <f>SUMIFS(Donnees_regimes!$S$3:$S$1118,Donnees_regimes!$A$3:$A$1118,C379,Donnees_regimes!$B$3:$B$1118,"&gt;="&amp;G379,Donnees_regimes!$B$3:$B$1118,"&lt;="&amp;N379)*L379/ROUNDUP(L379,0)*SUMIFS(Donnees_annuelles!$AH$3:$AH$188,Donnees_annuelles!$A$3:$A$188,AR379)*SUMIFS(Donnees_annuelles!$AA$3:$AA$188,Donnees_annuelles!$A$3:$A$188,AR379)</f>
        <v/>
      </c>
      <c r="BB379" s="39">
        <f>BA379-AL379</f>
        <v/>
      </c>
      <c r="BC379" s="7">
        <f>IF(M379+AJ379&gt;2026,IF(G379&gt;2026,"entièrement projeté","en partie projeté"),"observé")</f>
        <v/>
      </c>
    </row>
    <row r="380">
      <c r="A380" s="7" t="inlineStr">
        <is>
          <t>Génération Z</t>
        </is>
      </c>
      <c r="B380" s="84" t="inlineStr">
        <is>
          <t>SNCF</t>
        </is>
      </c>
      <c r="C380" s="7">
        <f>IF(G380&gt;=SUMIFS(Regimes!$C$5:$C$10,Regimes!$A$5:$A$10,B380),"Privé",B380)</f>
        <v/>
      </c>
      <c r="D380" s="7">
        <f>INDEX(Regimes!$D$5:$D$10,MATCH(C380,Regimes!$A$5:$A$10,0))</f>
        <v/>
      </c>
      <c r="E380" s="88" t="n">
        <v>2011</v>
      </c>
      <c r="F380" s="8">
        <f>Donnees_generations!C99</f>
        <v/>
      </c>
      <c r="G380" s="77">
        <f>Donnees_generations!D99</f>
        <v/>
      </c>
      <c r="H380" s="8">
        <f>SUMIFS(Donnees_generations!$S$3:$S$113,Donnees_generations!$A$3:$A$113,MAX(1915,MIN(2025,E380)))</f>
        <v/>
      </c>
      <c r="I380" s="8">
        <f>SUMIFS(Donnees_generations!$T$3:$T$113,Donnees_generations!$A$3:$A$113,MAX(1915,MIN(2025,E380)))</f>
        <v/>
      </c>
      <c r="J380" s="8">
        <f>IF(G380&gt;=2000,MAX(I380,Parametres!$B$3),I380)</f>
        <v/>
      </c>
      <c r="K380" s="8">
        <f>IF(C380="Privé",J380,SUMIFS(Regles_regimes!$J$3:$J$2000,Regles_regimes!$A$3:$A$2000,C380,Regles_regimes!$B$3:$B$2000,D380,Regles_regimes!$C$3:$C$2000,MAX(1915,MIN(2025,E380))))</f>
        <v/>
      </c>
      <c r="L380" s="8">
        <f>IF(C380="Privé",H380,(K380-F380)*H380/(J380-F380))</f>
        <v/>
      </c>
      <c r="M380" s="77">
        <f>INT(E380+K380)</f>
        <v/>
      </c>
      <c r="N380" s="77">
        <f>G380+ROUNDUP(L380,0)-1</f>
        <v/>
      </c>
      <c r="O380" s="89">
        <f>SUMIFS(Regles_regimes!$K$3:$K$2000,Regles_regimes!$A$3:$A$2000,C380,Regles_regimes!$B$3:$B$2000,D380,Regles_regimes!$C$3:$C$2000,MAX(1915,MIN(2025,E380)))</f>
        <v/>
      </c>
      <c r="P380" s="13">
        <f>SUMIFS(Donnees_annuelles!$W$3:$W$188,Donnees_annuelles!$A$3:$A$188,"&gt;="&amp;G380,Donnees_annuelles!$A$3:$A$188,"&lt;="&amp;N380)*L380/ROUNDUP(L380,0)*O380</f>
        <v/>
      </c>
      <c r="Q380" s="13">
        <f>SUMIFS(Donnees_annuelles!$V$3:$V$188,Donnees_annuelles!$A$3:$A$188,"&gt;="&amp;G380,Donnees_annuelles!$A$3:$A$188,"&lt;="&amp;N380)*L380/ROUNDUP(L380,0)</f>
        <v/>
      </c>
      <c r="R380" s="13">
        <f>P380/L380</f>
        <v/>
      </c>
      <c r="S380" s="14">
        <f>SUMIFS(Donnees_annuelles!$D$3:$D$188,Donnees_annuelles!$A$3:$A$188,"&gt;="&amp;G380,Donnees_annuelles!$A$3:$A$188,"&lt;="&amp;N380)*L380/ROUNDUP(L380,0)</f>
        <v/>
      </c>
      <c r="T380" s="14">
        <f>SUMIFS(Donnees_regimes!$N$3:$N$1118,Donnees_regimes!$A$3:$A$1118,C380,Donnees_regimes!$B$3:$B$1118,"&gt;="&amp;G380,Donnees_regimes!$B$3:$B$1118,"&lt;="&amp;N380)*L380/ROUNDUP(L380,0)</f>
        <v/>
      </c>
      <c r="U380" s="14">
        <f>SUMIFS(Donnees_regimes!$O$3:$O$1118,Donnees_regimes!$A$3:$A$1118,C380,Donnees_regimes!$B$3:$B$1118,"&gt;="&amp;G380,Donnees_regimes!$B$3:$B$1118,"&lt;="&amp;N380)*L380/ROUNDUP(L380,0)</f>
        <v/>
      </c>
      <c r="V380" s="14">
        <f>T380+U380</f>
        <v/>
      </c>
      <c r="W380" s="33">
        <f>V380/S380</f>
        <v/>
      </c>
      <c r="X380" s="14">
        <f>S380+U380</f>
        <v/>
      </c>
      <c r="Y380" s="17">
        <f>V380/P380</f>
        <v/>
      </c>
      <c r="Z380" s="14">
        <f>SUMIFS(Donnees_regimes!$Q$3:$Q$1118,Donnees_regimes!$A$3:$A$1118,C380,Donnees_regimes!$B$3:$B$1118,"&gt;="&amp;G380,Donnees_regimes!$B$3:$B$1118,"&lt;="&amp;N380)*L380/ROUNDUP(L380,0)</f>
        <v/>
      </c>
      <c r="AA380" s="77">
        <f>SUMIFS(Regles_regimes!$F$3:$F$2000,Regles_regimes!$A$3:$A$2000,C380,Regles_regimes!$B$3:$B$2000,D380,Regles_regimes!$C$3:$C$2000,MAX(1915,MIN(2025,E380)))</f>
        <v/>
      </c>
      <c r="AB380" s="77">
        <f>IF(AND(SUMIFS(Regles_regimes!$L$3:$L$2000,Regles_regimes!$A$3:$A$2000,C380,Regles_regimes!$B$3:$B$2000,D380,Regles_regimes!$C$3:$C$2000,MAX(1915,MIN(2025,E380)))=1,G380&lt;2009,C380&lt;&gt;"Privé"),MIN(20,L380*4/5),0)</f>
        <v/>
      </c>
      <c r="AC380" s="89">
        <f>SUMIFS(Donnees_regimes!$M$3:$M$1118,Donnees_regimes!$A$3:$A$1118,C380,Donnees_regimes!$B$3:$B$1118,M380)</f>
        <v/>
      </c>
      <c r="AD380" s="14">
        <f>SUMIFS(Donnees_annuelles!$Y$3:$Y$188,Donnees_annuelles!$A$3:$A$188,M380)*SUMIFS(Donnees_generations!$I$3:$I$113,Donnees_generations!$A$3:$A$113,MAX(1915,MIN(2025,E380)))/H380</f>
        <v/>
      </c>
      <c r="AE380" s="14">
        <f>IF(C380="Privé",SUMIFS(Donnees_annuelles!$Y$3:$Y$188,Donnees_annuelles!$A$3:$A$188,M380)*MIN(L380,SUMIFS(Donnees_generations!$I$3:$I$113,Donnees_generations!$A$3:$A$113,MAX(1915,MIN(2025,E380))))/L380,AD380*AC380*MIN(IF(AB380&gt;0,0.8/0.75,1),(L380*4+AB380)/AA380))</f>
        <v/>
      </c>
      <c r="AF380" s="14">
        <f>AE380/12</f>
        <v/>
      </c>
      <c r="AG380" s="77">
        <f>MIN(68,MAX(56,2*INT(K380/2)))</f>
        <v/>
      </c>
      <c r="AH380" s="75">
        <f>(CHOOSE((AG380-56)/2+1,SUMIFS(Donnees_generations!$U$3:$U$113,Donnees_generations!$A$3:$A$113,MAX(1915,MIN(2025,E380))),SUMIFS(Donnees_generations!$V$3:$V$113,Donnees_generations!$A$3:$A$113,MAX(1915,MIN(2025,E380))),SUMIFS(Donnees_generations!$W$3:$W$113,Donnees_generations!$A$3:$A$113,MAX(1915,MIN(2025,E380))),SUMIFS(Donnees_generations!$X$3:$X$113,Donnees_generations!$A$3:$A$113,MAX(1915,MIN(2025,E380))),SUMIFS(Donnees_generations!$Y$3:$Y$113,Donnees_generations!$A$3:$A$113,MAX(1915,MIN(2025,E380))),SUMIFS(Donnees_generations!$Z$3:$Z$113,Donnees_generations!$A$3:$A$113,MAX(1915,MIN(2025,E380))),SUMIFS(Donnees_generations!$AA$3:$AA$113,Donnees_generations!$A$3:$A$113,MAX(1915,MIN(2025,E380))),SUMIFS(Donnees_generations!$AB$3:$AB$113,Donnees_generations!$A$3:$A$113,MAX(1915,MIN(2025,E380))))+CHOOSE((AG380-56)/2+1,SUMIFS(Donnees_generations!$AC$3:$AC$113,Donnees_generations!$A$3:$A$113,MAX(1915,MIN(2025,E380))),SUMIFS(Donnees_generations!$AD$3:$AD$113,Donnees_generations!$A$3:$A$113,MAX(1915,MIN(2025,E380))),SUMIFS(Donnees_generations!$AE$3:$AE$113,Donnees_generations!$A$3:$A$113,MAX(1915,MIN(2025,E380))),SUMIFS(Donnees_generations!$AF$3:$AF$113,Donnees_generations!$A$3:$A$113,MAX(1915,MIN(2025,E380))),SUMIFS(Donnees_generations!$AG$3:$AG$113,Donnees_generations!$A$3:$A$113,MAX(1915,MIN(2025,E380))),SUMIFS(Donnees_generations!$AH$3:$AH$113,Donnees_generations!$A$3:$A$113,MAX(1915,MIN(2025,E380))),SUMIFS(Donnees_generations!$AI$3:$AI$113,Donnees_generations!$A$3:$A$113,MAX(1915,MIN(2025,E380))),SUMIFS(Donnees_generations!$AJ$3:$AJ$113,Donnees_generations!$A$3:$A$113,MAX(1915,MIN(2025,E380)))))/2</f>
        <v/>
      </c>
      <c r="AI380" s="75">
        <f>(CHOOSE(((AG380+2)-56)/2+1,SUMIFS(Donnees_generations!$U$3:$U$113,Donnees_generations!$A$3:$A$113,MAX(1915,MIN(2025,E380))),SUMIFS(Donnees_generations!$V$3:$V$113,Donnees_generations!$A$3:$A$113,MAX(1915,MIN(2025,E380))),SUMIFS(Donnees_generations!$W$3:$W$113,Donnees_generations!$A$3:$A$113,MAX(1915,MIN(2025,E380))),SUMIFS(Donnees_generations!$X$3:$X$113,Donnees_generations!$A$3:$A$113,MAX(1915,MIN(2025,E380))),SUMIFS(Donnees_generations!$Y$3:$Y$113,Donnees_generations!$A$3:$A$113,MAX(1915,MIN(2025,E380))),SUMIFS(Donnees_generations!$Z$3:$Z$113,Donnees_generations!$A$3:$A$113,MAX(1915,MIN(2025,E380))),SUMIFS(Donnees_generations!$AA$3:$AA$113,Donnees_generations!$A$3:$A$113,MAX(1915,MIN(2025,E380))),SUMIFS(Donnees_generations!$AB$3:$AB$113,Donnees_generations!$A$3:$A$113,MAX(1915,MIN(2025,E380))))+CHOOSE(((AG380+2)-56)/2+1,SUMIFS(Donnees_generations!$AC$3:$AC$113,Donnees_generations!$A$3:$A$113,MAX(1915,MIN(2025,E380))),SUMIFS(Donnees_generations!$AD$3:$AD$113,Donnees_generations!$A$3:$A$113,MAX(1915,MIN(2025,E380))),SUMIFS(Donnees_generations!$AE$3:$AE$113,Donnees_generations!$A$3:$A$113,MAX(1915,MIN(2025,E380))),SUMIFS(Donnees_generations!$AF$3:$AF$113,Donnees_generations!$A$3:$A$113,MAX(1915,MIN(2025,E380))),SUMIFS(Donnees_generations!$AG$3:$AG$113,Donnees_generations!$A$3:$A$113,MAX(1915,MIN(2025,E380))),SUMIFS(Donnees_generations!$AH$3:$AH$113,Donnees_generations!$A$3:$A$113,MAX(1915,MIN(2025,E380))),SUMIFS(Donnees_generations!$AI$3:$AI$113,Donnees_generations!$A$3:$A$113,MAX(1915,MIN(2025,E380))),SUMIFS(Donnees_generations!$AJ$3:$AJ$113,Donnees_generations!$A$3:$A$113,MAX(1915,MIN(2025,E380)))))/2</f>
        <v/>
      </c>
      <c r="AJ380" s="8">
        <f>MAX(0,AH380+(AI380-AH380)*(K380-AG380)/2)</f>
        <v/>
      </c>
      <c r="AK380" s="8">
        <f>K380+AJ380</f>
        <v/>
      </c>
      <c r="AL380" s="14">
        <f>AE380*AJ380</f>
        <v/>
      </c>
      <c r="AM380" s="17">
        <f>V380/AL380</f>
        <v/>
      </c>
      <c r="AN380" s="17">
        <f>Z380/AL380</f>
        <v/>
      </c>
      <c r="AO380" s="33">
        <f>IF(V380+Z380=0,0,Z380/(V380+Z380))</f>
        <v/>
      </c>
      <c r="AP380" s="14">
        <f>AL380/V380*100</f>
        <v/>
      </c>
      <c r="AQ380" s="8">
        <f>P380/AL380*1000</f>
        <v/>
      </c>
      <c r="AR380" s="77">
        <f>MAX(N380,M380-1)</f>
        <v/>
      </c>
      <c r="AS380" s="14">
        <f>SUMIFS(Donnees_regimes!$R$3:$R$1118,Donnees_regimes!$A$3:$A$1118,C380,Donnees_regimes!$B$3:$B$1118,"&gt;="&amp;G380,Donnees_regimes!$B$3:$B$1118,"&lt;="&amp;N380)*L380/ROUNDUP(L380,0)*SUMIFS(Donnees_annuelles!$AG$3:$AG$188,Donnees_annuelles!$A$3:$A$188,AR380)*SUMIFS(Donnees_annuelles!$AA$3:$AA$188,Donnees_annuelles!$A$3:$A$188,AR380)</f>
        <v/>
      </c>
      <c r="AT380" s="36">
        <f>AS380/V380</f>
        <v/>
      </c>
      <c r="AU380" s="14">
        <f>AL380</f>
        <v/>
      </c>
      <c r="AV380" s="39">
        <f>AS380-AL380</f>
        <v/>
      </c>
      <c r="AW380" s="9">
        <f>AS380/AL380-1</f>
        <v/>
      </c>
      <c r="AX380" s="14">
        <f>AS380/AJ380/12</f>
        <v/>
      </c>
      <c r="AY380" s="14">
        <f>AF380</f>
        <v/>
      </c>
      <c r="AZ380" s="39">
        <f>AX380-AF380</f>
        <v/>
      </c>
      <c r="BA380" s="14">
        <f>SUMIFS(Donnees_regimes!$S$3:$S$1118,Donnees_regimes!$A$3:$A$1118,C380,Donnees_regimes!$B$3:$B$1118,"&gt;="&amp;G380,Donnees_regimes!$B$3:$B$1118,"&lt;="&amp;N380)*L380/ROUNDUP(L380,0)*SUMIFS(Donnees_annuelles!$AH$3:$AH$188,Donnees_annuelles!$A$3:$A$188,AR380)*SUMIFS(Donnees_annuelles!$AA$3:$AA$188,Donnees_annuelles!$A$3:$A$188,AR380)</f>
        <v/>
      </c>
      <c r="BB380" s="39">
        <f>BA380-AL380</f>
        <v/>
      </c>
      <c r="BC380" s="7">
        <f>IF(M380+AJ380&gt;2026,IF(G380&gt;2026,"entièrement projeté","en partie projeté"),"observé")</f>
        <v/>
      </c>
    </row>
    <row r="381">
      <c r="A381" s="7" t="inlineStr">
        <is>
          <t>Génération Z</t>
        </is>
      </c>
      <c r="B381" s="84" t="inlineStr">
        <is>
          <t>SNCF</t>
        </is>
      </c>
      <c r="C381" s="7">
        <f>IF(G381&gt;=SUMIFS(Regimes!$C$5:$C$10,Regimes!$A$5:$A$10,B381),"Privé",B381)</f>
        <v/>
      </c>
      <c r="D381" s="7">
        <f>INDEX(Regimes!$D$5:$D$10,MATCH(C381,Regimes!$A$5:$A$10,0))</f>
        <v/>
      </c>
      <c r="E381" s="88" t="n">
        <v>2012</v>
      </c>
      <c r="F381" s="8">
        <f>Donnees_generations!C100</f>
        <v/>
      </c>
      <c r="G381" s="77">
        <f>Donnees_generations!D100</f>
        <v/>
      </c>
      <c r="H381" s="8">
        <f>SUMIFS(Donnees_generations!$S$3:$S$113,Donnees_generations!$A$3:$A$113,MAX(1915,MIN(2025,E381)))</f>
        <v/>
      </c>
      <c r="I381" s="8">
        <f>SUMIFS(Donnees_generations!$T$3:$T$113,Donnees_generations!$A$3:$A$113,MAX(1915,MIN(2025,E381)))</f>
        <v/>
      </c>
      <c r="J381" s="8">
        <f>IF(G381&gt;=2000,MAX(I381,Parametres!$B$3),I381)</f>
        <v/>
      </c>
      <c r="K381" s="8">
        <f>IF(C381="Privé",J381,SUMIFS(Regles_regimes!$J$3:$J$2000,Regles_regimes!$A$3:$A$2000,C381,Regles_regimes!$B$3:$B$2000,D381,Regles_regimes!$C$3:$C$2000,MAX(1915,MIN(2025,E381))))</f>
        <v/>
      </c>
      <c r="L381" s="8">
        <f>IF(C381="Privé",H381,(K381-F381)*H381/(J381-F381))</f>
        <v/>
      </c>
      <c r="M381" s="77">
        <f>INT(E381+K381)</f>
        <v/>
      </c>
      <c r="N381" s="77">
        <f>G381+ROUNDUP(L381,0)-1</f>
        <v/>
      </c>
      <c r="O381" s="89">
        <f>SUMIFS(Regles_regimes!$K$3:$K$2000,Regles_regimes!$A$3:$A$2000,C381,Regles_regimes!$B$3:$B$2000,D381,Regles_regimes!$C$3:$C$2000,MAX(1915,MIN(2025,E381)))</f>
        <v/>
      </c>
      <c r="P381" s="13">
        <f>SUMIFS(Donnees_annuelles!$W$3:$W$188,Donnees_annuelles!$A$3:$A$188,"&gt;="&amp;G381,Donnees_annuelles!$A$3:$A$188,"&lt;="&amp;N381)*L381/ROUNDUP(L381,0)*O381</f>
        <v/>
      </c>
      <c r="Q381" s="13">
        <f>SUMIFS(Donnees_annuelles!$V$3:$V$188,Donnees_annuelles!$A$3:$A$188,"&gt;="&amp;G381,Donnees_annuelles!$A$3:$A$188,"&lt;="&amp;N381)*L381/ROUNDUP(L381,0)</f>
        <v/>
      </c>
      <c r="R381" s="13">
        <f>P381/L381</f>
        <v/>
      </c>
      <c r="S381" s="14">
        <f>SUMIFS(Donnees_annuelles!$D$3:$D$188,Donnees_annuelles!$A$3:$A$188,"&gt;="&amp;G381,Donnees_annuelles!$A$3:$A$188,"&lt;="&amp;N381)*L381/ROUNDUP(L381,0)</f>
        <v/>
      </c>
      <c r="T381" s="14">
        <f>SUMIFS(Donnees_regimes!$N$3:$N$1118,Donnees_regimes!$A$3:$A$1118,C381,Donnees_regimes!$B$3:$B$1118,"&gt;="&amp;G381,Donnees_regimes!$B$3:$B$1118,"&lt;="&amp;N381)*L381/ROUNDUP(L381,0)</f>
        <v/>
      </c>
      <c r="U381" s="14">
        <f>SUMIFS(Donnees_regimes!$O$3:$O$1118,Donnees_regimes!$A$3:$A$1118,C381,Donnees_regimes!$B$3:$B$1118,"&gt;="&amp;G381,Donnees_regimes!$B$3:$B$1118,"&lt;="&amp;N381)*L381/ROUNDUP(L381,0)</f>
        <v/>
      </c>
      <c r="V381" s="14">
        <f>T381+U381</f>
        <v/>
      </c>
      <c r="W381" s="33">
        <f>V381/S381</f>
        <v/>
      </c>
      <c r="X381" s="14">
        <f>S381+U381</f>
        <v/>
      </c>
      <c r="Y381" s="17">
        <f>V381/P381</f>
        <v/>
      </c>
      <c r="Z381" s="14">
        <f>SUMIFS(Donnees_regimes!$Q$3:$Q$1118,Donnees_regimes!$A$3:$A$1118,C381,Donnees_regimes!$B$3:$B$1118,"&gt;="&amp;G381,Donnees_regimes!$B$3:$B$1118,"&lt;="&amp;N381)*L381/ROUNDUP(L381,0)</f>
        <v/>
      </c>
      <c r="AA381" s="77">
        <f>SUMIFS(Regles_regimes!$F$3:$F$2000,Regles_regimes!$A$3:$A$2000,C381,Regles_regimes!$B$3:$B$2000,D381,Regles_regimes!$C$3:$C$2000,MAX(1915,MIN(2025,E381)))</f>
        <v/>
      </c>
      <c r="AB381" s="77">
        <f>IF(AND(SUMIFS(Regles_regimes!$L$3:$L$2000,Regles_regimes!$A$3:$A$2000,C381,Regles_regimes!$B$3:$B$2000,D381,Regles_regimes!$C$3:$C$2000,MAX(1915,MIN(2025,E381)))=1,G381&lt;2009,C381&lt;&gt;"Privé"),MIN(20,L381*4/5),0)</f>
        <v/>
      </c>
      <c r="AC381" s="89">
        <f>SUMIFS(Donnees_regimes!$M$3:$M$1118,Donnees_regimes!$A$3:$A$1118,C381,Donnees_regimes!$B$3:$B$1118,M381)</f>
        <v/>
      </c>
      <c r="AD381" s="14">
        <f>SUMIFS(Donnees_annuelles!$Y$3:$Y$188,Donnees_annuelles!$A$3:$A$188,M381)*SUMIFS(Donnees_generations!$I$3:$I$113,Donnees_generations!$A$3:$A$113,MAX(1915,MIN(2025,E381)))/H381</f>
        <v/>
      </c>
      <c r="AE381" s="14">
        <f>IF(C381="Privé",SUMIFS(Donnees_annuelles!$Y$3:$Y$188,Donnees_annuelles!$A$3:$A$188,M381)*MIN(L381,SUMIFS(Donnees_generations!$I$3:$I$113,Donnees_generations!$A$3:$A$113,MAX(1915,MIN(2025,E381))))/L381,AD381*AC381*MIN(IF(AB381&gt;0,0.8/0.75,1),(L381*4+AB381)/AA381))</f>
        <v/>
      </c>
      <c r="AF381" s="14">
        <f>AE381/12</f>
        <v/>
      </c>
      <c r="AG381" s="77">
        <f>MIN(68,MAX(56,2*INT(K381/2)))</f>
        <v/>
      </c>
      <c r="AH381" s="75">
        <f>(CHOOSE((AG381-56)/2+1,SUMIFS(Donnees_generations!$U$3:$U$113,Donnees_generations!$A$3:$A$113,MAX(1915,MIN(2025,E381))),SUMIFS(Donnees_generations!$V$3:$V$113,Donnees_generations!$A$3:$A$113,MAX(1915,MIN(2025,E381))),SUMIFS(Donnees_generations!$W$3:$W$113,Donnees_generations!$A$3:$A$113,MAX(1915,MIN(2025,E381))),SUMIFS(Donnees_generations!$X$3:$X$113,Donnees_generations!$A$3:$A$113,MAX(1915,MIN(2025,E381))),SUMIFS(Donnees_generations!$Y$3:$Y$113,Donnees_generations!$A$3:$A$113,MAX(1915,MIN(2025,E381))),SUMIFS(Donnees_generations!$Z$3:$Z$113,Donnees_generations!$A$3:$A$113,MAX(1915,MIN(2025,E381))),SUMIFS(Donnees_generations!$AA$3:$AA$113,Donnees_generations!$A$3:$A$113,MAX(1915,MIN(2025,E381))),SUMIFS(Donnees_generations!$AB$3:$AB$113,Donnees_generations!$A$3:$A$113,MAX(1915,MIN(2025,E381))))+CHOOSE((AG381-56)/2+1,SUMIFS(Donnees_generations!$AC$3:$AC$113,Donnees_generations!$A$3:$A$113,MAX(1915,MIN(2025,E381))),SUMIFS(Donnees_generations!$AD$3:$AD$113,Donnees_generations!$A$3:$A$113,MAX(1915,MIN(2025,E381))),SUMIFS(Donnees_generations!$AE$3:$AE$113,Donnees_generations!$A$3:$A$113,MAX(1915,MIN(2025,E381))),SUMIFS(Donnees_generations!$AF$3:$AF$113,Donnees_generations!$A$3:$A$113,MAX(1915,MIN(2025,E381))),SUMIFS(Donnees_generations!$AG$3:$AG$113,Donnees_generations!$A$3:$A$113,MAX(1915,MIN(2025,E381))),SUMIFS(Donnees_generations!$AH$3:$AH$113,Donnees_generations!$A$3:$A$113,MAX(1915,MIN(2025,E381))),SUMIFS(Donnees_generations!$AI$3:$AI$113,Donnees_generations!$A$3:$A$113,MAX(1915,MIN(2025,E381))),SUMIFS(Donnees_generations!$AJ$3:$AJ$113,Donnees_generations!$A$3:$A$113,MAX(1915,MIN(2025,E381)))))/2</f>
        <v/>
      </c>
      <c r="AI381" s="75">
        <f>(CHOOSE(((AG381+2)-56)/2+1,SUMIFS(Donnees_generations!$U$3:$U$113,Donnees_generations!$A$3:$A$113,MAX(1915,MIN(2025,E381))),SUMIFS(Donnees_generations!$V$3:$V$113,Donnees_generations!$A$3:$A$113,MAX(1915,MIN(2025,E381))),SUMIFS(Donnees_generations!$W$3:$W$113,Donnees_generations!$A$3:$A$113,MAX(1915,MIN(2025,E381))),SUMIFS(Donnees_generations!$X$3:$X$113,Donnees_generations!$A$3:$A$113,MAX(1915,MIN(2025,E381))),SUMIFS(Donnees_generations!$Y$3:$Y$113,Donnees_generations!$A$3:$A$113,MAX(1915,MIN(2025,E381))),SUMIFS(Donnees_generations!$Z$3:$Z$113,Donnees_generations!$A$3:$A$113,MAX(1915,MIN(2025,E381))),SUMIFS(Donnees_generations!$AA$3:$AA$113,Donnees_generations!$A$3:$A$113,MAX(1915,MIN(2025,E381))),SUMIFS(Donnees_generations!$AB$3:$AB$113,Donnees_generations!$A$3:$A$113,MAX(1915,MIN(2025,E381))))+CHOOSE(((AG381+2)-56)/2+1,SUMIFS(Donnees_generations!$AC$3:$AC$113,Donnees_generations!$A$3:$A$113,MAX(1915,MIN(2025,E381))),SUMIFS(Donnees_generations!$AD$3:$AD$113,Donnees_generations!$A$3:$A$113,MAX(1915,MIN(2025,E381))),SUMIFS(Donnees_generations!$AE$3:$AE$113,Donnees_generations!$A$3:$A$113,MAX(1915,MIN(2025,E381))),SUMIFS(Donnees_generations!$AF$3:$AF$113,Donnees_generations!$A$3:$A$113,MAX(1915,MIN(2025,E381))),SUMIFS(Donnees_generations!$AG$3:$AG$113,Donnees_generations!$A$3:$A$113,MAX(1915,MIN(2025,E381))),SUMIFS(Donnees_generations!$AH$3:$AH$113,Donnees_generations!$A$3:$A$113,MAX(1915,MIN(2025,E381))),SUMIFS(Donnees_generations!$AI$3:$AI$113,Donnees_generations!$A$3:$A$113,MAX(1915,MIN(2025,E381))),SUMIFS(Donnees_generations!$AJ$3:$AJ$113,Donnees_generations!$A$3:$A$113,MAX(1915,MIN(2025,E381)))))/2</f>
        <v/>
      </c>
      <c r="AJ381" s="8">
        <f>MAX(0,AH381+(AI381-AH381)*(K381-AG381)/2)</f>
        <v/>
      </c>
      <c r="AK381" s="8">
        <f>K381+AJ381</f>
        <v/>
      </c>
      <c r="AL381" s="14">
        <f>AE381*AJ381</f>
        <v/>
      </c>
      <c r="AM381" s="17">
        <f>V381/AL381</f>
        <v/>
      </c>
      <c r="AN381" s="17">
        <f>Z381/AL381</f>
        <v/>
      </c>
      <c r="AO381" s="33">
        <f>IF(V381+Z381=0,0,Z381/(V381+Z381))</f>
        <v/>
      </c>
      <c r="AP381" s="14">
        <f>AL381/V381*100</f>
        <v/>
      </c>
      <c r="AQ381" s="8">
        <f>P381/AL381*1000</f>
        <v/>
      </c>
      <c r="AR381" s="77">
        <f>MAX(N381,M381-1)</f>
        <v/>
      </c>
      <c r="AS381" s="14">
        <f>SUMIFS(Donnees_regimes!$R$3:$R$1118,Donnees_regimes!$A$3:$A$1118,C381,Donnees_regimes!$B$3:$B$1118,"&gt;="&amp;G381,Donnees_regimes!$B$3:$B$1118,"&lt;="&amp;N381)*L381/ROUNDUP(L381,0)*SUMIFS(Donnees_annuelles!$AG$3:$AG$188,Donnees_annuelles!$A$3:$A$188,AR381)*SUMIFS(Donnees_annuelles!$AA$3:$AA$188,Donnees_annuelles!$A$3:$A$188,AR381)</f>
        <v/>
      </c>
      <c r="AT381" s="36">
        <f>AS381/V381</f>
        <v/>
      </c>
      <c r="AU381" s="14">
        <f>AL381</f>
        <v/>
      </c>
      <c r="AV381" s="39">
        <f>AS381-AL381</f>
        <v/>
      </c>
      <c r="AW381" s="9">
        <f>AS381/AL381-1</f>
        <v/>
      </c>
      <c r="AX381" s="14">
        <f>AS381/AJ381/12</f>
        <v/>
      </c>
      <c r="AY381" s="14">
        <f>AF381</f>
        <v/>
      </c>
      <c r="AZ381" s="39">
        <f>AX381-AF381</f>
        <v/>
      </c>
      <c r="BA381" s="14">
        <f>SUMIFS(Donnees_regimes!$S$3:$S$1118,Donnees_regimes!$A$3:$A$1118,C381,Donnees_regimes!$B$3:$B$1118,"&gt;="&amp;G381,Donnees_regimes!$B$3:$B$1118,"&lt;="&amp;N381)*L381/ROUNDUP(L381,0)*SUMIFS(Donnees_annuelles!$AH$3:$AH$188,Donnees_annuelles!$A$3:$A$188,AR381)*SUMIFS(Donnees_annuelles!$AA$3:$AA$188,Donnees_annuelles!$A$3:$A$188,AR381)</f>
        <v/>
      </c>
      <c r="BB381" s="39">
        <f>BA381-AL381</f>
        <v/>
      </c>
      <c r="BC381" s="7">
        <f>IF(M381+AJ381&gt;2026,IF(G381&gt;2026,"entièrement projeté","en partie projeté"),"observé")</f>
        <v/>
      </c>
    </row>
    <row r="382">
      <c r="A382" s="7" t="inlineStr">
        <is>
          <t>Génération Alpha</t>
        </is>
      </c>
      <c r="B382" s="84" t="inlineStr">
        <is>
          <t>SNCF</t>
        </is>
      </c>
      <c r="C382" s="7">
        <f>IF(G382&gt;=SUMIFS(Regimes!$C$5:$C$10,Regimes!$A$5:$A$10,B382),"Privé",B382)</f>
        <v/>
      </c>
      <c r="D382" s="7">
        <f>INDEX(Regimes!$D$5:$D$10,MATCH(C382,Regimes!$A$5:$A$10,0))</f>
        <v/>
      </c>
      <c r="E382" s="88" t="n">
        <v>2013</v>
      </c>
      <c r="F382" s="8">
        <f>Donnees_generations!C101</f>
        <v/>
      </c>
      <c r="G382" s="77">
        <f>Donnees_generations!D101</f>
        <v/>
      </c>
      <c r="H382" s="8">
        <f>SUMIFS(Donnees_generations!$S$3:$S$113,Donnees_generations!$A$3:$A$113,MAX(1915,MIN(2025,E382)))</f>
        <v/>
      </c>
      <c r="I382" s="8">
        <f>SUMIFS(Donnees_generations!$T$3:$T$113,Donnees_generations!$A$3:$A$113,MAX(1915,MIN(2025,E382)))</f>
        <v/>
      </c>
      <c r="J382" s="8">
        <f>IF(G382&gt;=2000,MAX(I382,Parametres!$B$3),I382)</f>
        <v/>
      </c>
      <c r="K382" s="8">
        <f>IF(C382="Privé",J382,SUMIFS(Regles_regimes!$J$3:$J$2000,Regles_regimes!$A$3:$A$2000,C382,Regles_regimes!$B$3:$B$2000,D382,Regles_regimes!$C$3:$C$2000,MAX(1915,MIN(2025,E382))))</f>
        <v/>
      </c>
      <c r="L382" s="8">
        <f>IF(C382="Privé",H382,(K382-F382)*H382/(J382-F382))</f>
        <v/>
      </c>
      <c r="M382" s="77">
        <f>INT(E382+K382)</f>
        <v/>
      </c>
      <c r="N382" s="77">
        <f>G382+ROUNDUP(L382,0)-1</f>
        <v/>
      </c>
      <c r="O382" s="89">
        <f>SUMIFS(Regles_regimes!$K$3:$K$2000,Regles_regimes!$A$3:$A$2000,C382,Regles_regimes!$B$3:$B$2000,D382,Regles_regimes!$C$3:$C$2000,MAX(1915,MIN(2025,E382)))</f>
        <v/>
      </c>
      <c r="P382" s="13">
        <f>SUMIFS(Donnees_annuelles!$W$3:$W$188,Donnees_annuelles!$A$3:$A$188,"&gt;="&amp;G382,Donnees_annuelles!$A$3:$A$188,"&lt;="&amp;N382)*L382/ROUNDUP(L382,0)*O382</f>
        <v/>
      </c>
      <c r="Q382" s="13">
        <f>SUMIFS(Donnees_annuelles!$V$3:$V$188,Donnees_annuelles!$A$3:$A$188,"&gt;="&amp;G382,Donnees_annuelles!$A$3:$A$188,"&lt;="&amp;N382)*L382/ROUNDUP(L382,0)</f>
        <v/>
      </c>
      <c r="R382" s="13">
        <f>P382/L382</f>
        <v/>
      </c>
      <c r="S382" s="14">
        <f>SUMIFS(Donnees_annuelles!$D$3:$D$188,Donnees_annuelles!$A$3:$A$188,"&gt;="&amp;G382,Donnees_annuelles!$A$3:$A$188,"&lt;="&amp;N382)*L382/ROUNDUP(L382,0)</f>
        <v/>
      </c>
      <c r="T382" s="14">
        <f>SUMIFS(Donnees_regimes!$N$3:$N$1118,Donnees_regimes!$A$3:$A$1118,C382,Donnees_regimes!$B$3:$B$1118,"&gt;="&amp;G382,Donnees_regimes!$B$3:$B$1118,"&lt;="&amp;N382)*L382/ROUNDUP(L382,0)</f>
        <v/>
      </c>
      <c r="U382" s="14">
        <f>SUMIFS(Donnees_regimes!$O$3:$O$1118,Donnees_regimes!$A$3:$A$1118,C382,Donnees_regimes!$B$3:$B$1118,"&gt;="&amp;G382,Donnees_regimes!$B$3:$B$1118,"&lt;="&amp;N382)*L382/ROUNDUP(L382,0)</f>
        <v/>
      </c>
      <c r="V382" s="14">
        <f>T382+U382</f>
        <v/>
      </c>
      <c r="W382" s="33">
        <f>V382/S382</f>
        <v/>
      </c>
      <c r="X382" s="14">
        <f>S382+U382</f>
        <v/>
      </c>
      <c r="Y382" s="17">
        <f>V382/P382</f>
        <v/>
      </c>
      <c r="Z382" s="14">
        <f>SUMIFS(Donnees_regimes!$Q$3:$Q$1118,Donnees_regimes!$A$3:$A$1118,C382,Donnees_regimes!$B$3:$B$1118,"&gt;="&amp;G382,Donnees_regimes!$B$3:$B$1118,"&lt;="&amp;N382)*L382/ROUNDUP(L382,0)</f>
        <v/>
      </c>
      <c r="AA382" s="77">
        <f>SUMIFS(Regles_regimes!$F$3:$F$2000,Regles_regimes!$A$3:$A$2000,C382,Regles_regimes!$B$3:$B$2000,D382,Regles_regimes!$C$3:$C$2000,MAX(1915,MIN(2025,E382)))</f>
        <v/>
      </c>
      <c r="AB382" s="77">
        <f>IF(AND(SUMIFS(Regles_regimes!$L$3:$L$2000,Regles_regimes!$A$3:$A$2000,C382,Regles_regimes!$B$3:$B$2000,D382,Regles_regimes!$C$3:$C$2000,MAX(1915,MIN(2025,E382)))=1,G382&lt;2009,C382&lt;&gt;"Privé"),MIN(20,L382*4/5),0)</f>
        <v/>
      </c>
      <c r="AC382" s="89">
        <f>SUMIFS(Donnees_regimes!$M$3:$M$1118,Donnees_regimes!$A$3:$A$1118,C382,Donnees_regimes!$B$3:$B$1118,M382)</f>
        <v/>
      </c>
      <c r="AD382" s="14">
        <f>SUMIFS(Donnees_annuelles!$Y$3:$Y$188,Donnees_annuelles!$A$3:$A$188,M382)*SUMIFS(Donnees_generations!$I$3:$I$113,Donnees_generations!$A$3:$A$113,MAX(1915,MIN(2025,E382)))/H382</f>
        <v/>
      </c>
      <c r="AE382" s="14">
        <f>IF(C382="Privé",SUMIFS(Donnees_annuelles!$Y$3:$Y$188,Donnees_annuelles!$A$3:$A$188,M382)*MIN(L382,SUMIFS(Donnees_generations!$I$3:$I$113,Donnees_generations!$A$3:$A$113,MAX(1915,MIN(2025,E382))))/L382,AD382*AC382*MIN(IF(AB382&gt;0,0.8/0.75,1),(L382*4+AB382)/AA382))</f>
        <v/>
      </c>
      <c r="AF382" s="14">
        <f>AE382/12</f>
        <v/>
      </c>
      <c r="AG382" s="77">
        <f>MIN(68,MAX(56,2*INT(K382/2)))</f>
        <v/>
      </c>
      <c r="AH382" s="75">
        <f>(CHOOSE((AG382-56)/2+1,SUMIFS(Donnees_generations!$U$3:$U$113,Donnees_generations!$A$3:$A$113,MAX(1915,MIN(2025,E382))),SUMIFS(Donnees_generations!$V$3:$V$113,Donnees_generations!$A$3:$A$113,MAX(1915,MIN(2025,E382))),SUMIFS(Donnees_generations!$W$3:$W$113,Donnees_generations!$A$3:$A$113,MAX(1915,MIN(2025,E382))),SUMIFS(Donnees_generations!$X$3:$X$113,Donnees_generations!$A$3:$A$113,MAX(1915,MIN(2025,E382))),SUMIFS(Donnees_generations!$Y$3:$Y$113,Donnees_generations!$A$3:$A$113,MAX(1915,MIN(2025,E382))),SUMIFS(Donnees_generations!$Z$3:$Z$113,Donnees_generations!$A$3:$A$113,MAX(1915,MIN(2025,E382))),SUMIFS(Donnees_generations!$AA$3:$AA$113,Donnees_generations!$A$3:$A$113,MAX(1915,MIN(2025,E382))),SUMIFS(Donnees_generations!$AB$3:$AB$113,Donnees_generations!$A$3:$A$113,MAX(1915,MIN(2025,E382))))+CHOOSE((AG382-56)/2+1,SUMIFS(Donnees_generations!$AC$3:$AC$113,Donnees_generations!$A$3:$A$113,MAX(1915,MIN(2025,E382))),SUMIFS(Donnees_generations!$AD$3:$AD$113,Donnees_generations!$A$3:$A$113,MAX(1915,MIN(2025,E382))),SUMIFS(Donnees_generations!$AE$3:$AE$113,Donnees_generations!$A$3:$A$113,MAX(1915,MIN(2025,E382))),SUMIFS(Donnees_generations!$AF$3:$AF$113,Donnees_generations!$A$3:$A$113,MAX(1915,MIN(2025,E382))),SUMIFS(Donnees_generations!$AG$3:$AG$113,Donnees_generations!$A$3:$A$113,MAX(1915,MIN(2025,E382))),SUMIFS(Donnees_generations!$AH$3:$AH$113,Donnees_generations!$A$3:$A$113,MAX(1915,MIN(2025,E382))),SUMIFS(Donnees_generations!$AI$3:$AI$113,Donnees_generations!$A$3:$A$113,MAX(1915,MIN(2025,E382))),SUMIFS(Donnees_generations!$AJ$3:$AJ$113,Donnees_generations!$A$3:$A$113,MAX(1915,MIN(2025,E382)))))/2</f>
        <v/>
      </c>
      <c r="AI382" s="75">
        <f>(CHOOSE(((AG382+2)-56)/2+1,SUMIFS(Donnees_generations!$U$3:$U$113,Donnees_generations!$A$3:$A$113,MAX(1915,MIN(2025,E382))),SUMIFS(Donnees_generations!$V$3:$V$113,Donnees_generations!$A$3:$A$113,MAX(1915,MIN(2025,E382))),SUMIFS(Donnees_generations!$W$3:$W$113,Donnees_generations!$A$3:$A$113,MAX(1915,MIN(2025,E382))),SUMIFS(Donnees_generations!$X$3:$X$113,Donnees_generations!$A$3:$A$113,MAX(1915,MIN(2025,E382))),SUMIFS(Donnees_generations!$Y$3:$Y$113,Donnees_generations!$A$3:$A$113,MAX(1915,MIN(2025,E382))),SUMIFS(Donnees_generations!$Z$3:$Z$113,Donnees_generations!$A$3:$A$113,MAX(1915,MIN(2025,E382))),SUMIFS(Donnees_generations!$AA$3:$AA$113,Donnees_generations!$A$3:$A$113,MAX(1915,MIN(2025,E382))),SUMIFS(Donnees_generations!$AB$3:$AB$113,Donnees_generations!$A$3:$A$113,MAX(1915,MIN(2025,E382))))+CHOOSE(((AG382+2)-56)/2+1,SUMIFS(Donnees_generations!$AC$3:$AC$113,Donnees_generations!$A$3:$A$113,MAX(1915,MIN(2025,E382))),SUMIFS(Donnees_generations!$AD$3:$AD$113,Donnees_generations!$A$3:$A$113,MAX(1915,MIN(2025,E382))),SUMIFS(Donnees_generations!$AE$3:$AE$113,Donnees_generations!$A$3:$A$113,MAX(1915,MIN(2025,E382))),SUMIFS(Donnees_generations!$AF$3:$AF$113,Donnees_generations!$A$3:$A$113,MAX(1915,MIN(2025,E382))),SUMIFS(Donnees_generations!$AG$3:$AG$113,Donnees_generations!$A$3:$A$113,MAX(1915,MIN(2025,E382))),SUMIFS(Donnees_generations!$AH$3:$AH$113,Donnees_generations!$A$3:$A$113,MAX(1915,MIN(2025,E382))),SUMIFS(Donnees_generations!$AI$3:$AI$113,Donnees_generations!$A$3:$A$113,MAX(1915,MIN(2025,E382))),SUMIFS(Donnees_generations!$AJ$3:$AJ$113,Donnees_generations!$A$3:$A$113,MAX(1915,MIN(2025,E382)))))/2</f>
        <v/>
      </c>
      <c r="AJ382" s="8">
        <f>MAX(0,AH382+(AI382-AH382)*(K382-AG382)/2)</f>
        <v/>
      </c>
      <c r="AK382" s="8">
        <f>K382+AJ382</f>
        <v/>
      </c>
      <c r="AL382" s="14">
        <f>AE382*AJ382</f>
        <v/>
      </c>
      <c r="AM382" s="17">
        <f>V382/AL382</f>
        <v/>
      </c>
      <c r="AN382" s="17">
        <f>Z382/AL382</f>
        <v/>
      </c>
      <c r="AO382" s="33">
        <f>IF(V382+Z382=0,0,Z382/(V382+Z382))</f>
        <v/>
      </c>
      <c r="AP382" s="14">
        <f>AL382/V382*100</f>
        <v/>
      </c>
      <c r="AQ382" s="8">
        <f>P382/AL382*1000</f>
        <v/>
      </c>
      <c r="AR382" s="77">
        <f>MAX(N382,M382-1)</f>
        <v/>
      </c>
      <c r="AS382" s="14">
        <f>SUMIFS(Donnees_regimes!$R$3:$R$1118,Donnees_regimes!$A$3:$A$1118,C382,Donnees_regimes!$B$3:$B$1118,"&gt;="&amp;G382,Donnees_regimes!$B$3:$B$1118,"&lt;="&amp;N382)*L382/ROUNDUP(L382,0)*SUMIFS(Donnees_annuelles!$AG$3:$AG$188,Donnees_annuelles!$A$3:$A$188,AR382)*SUMIFS(Donnees_annuelles!$AA$3:$AA$188,Donnees_annuelles!$A$3:$A$188,AR382)</f>
        <v/>
      </c>
      <c r="AT382" s="36">
        <f>AS382/V382</f>
        <v/>
      </c>
      <c r="AU382" s="14">
        <f>AL382</f>
        <v/>
      </c>
      <c r="AV382" s="39">
        <f>AS382-AL382</f>
        <v/>
      </c>
      <c r="AW382" s="9">
        <f>AS382/AL382-1</f>
        <v/>
      </c>
      <c r="AX382" s="14">
        <f>AS382/AJ382/12</f>
        <v/>
      </c>
      <c r="AY382" s="14">
        <f>AF382</f>
        <v/>
      </c>
      <c r="AZ382" s="39">
        <f>AX382-AF382</f>
        <v/>
      </c>
      <c r="BA382" s="14">
        <f>SUMIFS(Donnees_regimes!$S$3:$S$1118,Donnees_regimes!$A$3:$A$1118,C382,Donnees_regimes!$B$3:$B$1118,"&gt;="&amp;G382,Donnees_regimes!$B$3:$B$1118,"&lt;="&amp;N382)*L382/ROUNDUP(L382,0)*SUMIFS(Donnees_annuelles!$AH$3:$AH$188,Donnees_annuelles!$A$3:$A$188,AR382)*SUMIFS(Donnees_annuelles!$AA$3:$AA$188,Donnees_annuelles!$A$3:$A$188,AR382)</f>
        <v/>
      </c>
      <c r="BB382" s="39">
        <f>BA382-AL382</f>
        <v/>
      </c>
      <c r="BC382" s="7">
        <f>IF(M382+AJ382&gt;2026,IF(G382&gt;2026,"entièrement projeté","en partie projeté"),"observé")</f>
        <v/>
      </c>
    </row>
    <row r="383">
      <c r="A383" s="7" t="inlineStr">
        <is>
          <t>Génération Alpha</t>
        </is>
      </c>
      <c r="B383" s="84" t="inlineStr">
        <is>
          <t>SNCF</t>
        </is>
      </c>
      <c r="C383" s="7">
        <f>IF(G383&gt;=SUMIFS(Regimes!$C$5:$C$10,Regimes!$A$5:$A$10,B383),"Privé",B383)</f>
        <v/>
      </c>
      <c r="D383" s="7">
        <f>INDEX(Regimes!$D$5:$D$10,MATCH(C383,Regimes!$A$5:$A$10,0))</f>
        <v/>
      </c>
      <c r="E383" s="88" t="n">
        <v>2014</v>
      </c>
      <c r="F383" s="8">
        <f>Donnees_generations!C102</f>
        <v/>
      </c>
      <c r="G383" s="77">
        <f>Donnees_generations!D102</f>
        <v/>
      </c>
      <c r="H383" s="8">
        <f>SUMIFS(Donnees_generations!$S$3:$S$113,Donnees_generations!$A$3:$A$113,MAX(1915,MIN(2025,E383)))</f>
        <v/>
      </c>
      <c r="I383" s="8">
        <f>SUMIFS(Donnees_generations!$T$3:$T$113,Donnees_generations!$A$3:$A$113,MAX(1915,MIN(2025,E383)))</f>
        <v/>
      </c>
      <c r="J383" s="8">
        <f>IF(G383&gt;=2000,MAX(I383,Parametres!$B$3),I383)</f>
        <v/>
      </c>
      <c r="K383" s="8">
        <f>IF(C383="Privé",J383,SUMIFS(Regles_regimes!$J$3:$J$2000,Regles_regimes!$A$3:$A$2000,C383,Regles_regimes!$B$3:$B$2000,D383,Regles_regimes!$C$3:$C$2000,MAX(1915,MIN(2025,E383))))</f>
        <v/>
      </c>
      <c r="L383" s="8">
        <f>IF(C383="Privé",H383,(K383-F383)*H383/(J383-F383))</f>
        <v/>
      </c>
      <c r="M383" s="77">
        <f>INT(E383+K383)</f>
        <v/>
      </c>
      <c r="N383" s="77">
        <f>G383+ROUNDUP(L383,0)-1</f>
        <v/>
      </c>
      <c r="O383" s="89">
        <f>SUMIFS(Regles_regimes!$K$3:$K$2000,Regles_regimes!$A$3:$A$2000,C383,Regles_regimes!$B$3:$B$2000,D383,Regles_regimes!$C$3:$C$2000,MAX(1915,MIN(2025,E383)))</f>
        <v/>
      </c>
      <c r="P383" s="13">
        <f>SUMIFS(Donnees_annuelles!$W$3:$W$188,Donnees_annuelles!$A$3:$A$188,"&gt;="&amp;G383,Donnees_annuelles!$A$3:$A$188,"&lt;="&amp;N383)*L383/ROUNDUP(L383,0)*O383</f>
        <v/>
      </c>
      <c r="Q383" s="13">
        <f>SUMIFS(Donnees_annuelles!$V$3:$V$188,Donnees_annuelles!$A$3:$A$188,"&gt;="&amp;G383,Donnees_annuelles!$A$3:$A$188,"&lt;="&amp;N383)*L383/ROUNDUP(L383,0)</f>
        <v/>
      </c>
      <c r="R383" s="13">
        <f>P383/L383</f>
        <v/>
      </c>
      <c r="S383" s="14">
        <f>SUMIFS(Donnees_annuelles!$D$3:$D$188,Donnees_annuelles!$A$3:$A$188,"&gt;="&amp;G383,Donnees_annuelles!$A$3:$A$188,"&lt;="&amp;N383)*L383/ROUNDUP(L383,0)</f>
        <v/>
      </c>
      <c r="T383" s="14">
        <f>SUMIFS(Donnees_regimes!$N$3:$N$1118,Donnees_regimes!$A$3:$A$1118,C383,Donnees_regimes!$B$3:$B$1118,"&gt;="&amp;G383,Donnees_regimes!$B$3:$B$1118,"&lt;="&amp;N383)*L383/ROUNDUP(L383,0)</f>
        <v/>
      </c>
      <c r="U383" s="14">
        <f>SUMIFS(Donnees_regimes!$O$3:$O$1118,Donnees_regimes!$A$3:$A$1118,C383,Donnees_regimes!$B$3:$B$1118,"&gt;="&amp;G383,Donnees_regimes!$B$3:$B$1118,"&lt;="&amp;N383)*L383/ROUNDUP(L383,0)</f>
        <v/>
      </c>
      <c r="V383" s="14">
        <f>T383+U383</f>
        <v/>
      </c>
      <c r="W383" s="33">
        <f>V383/S383</f>
        <v/>
      </c>
      <c r="X383" s="14">
        <f>S383+U383</f>
        <v/>
      </c>
      <c r="Y383" s="17">
        <f>V383/P383</f>
        <v/>
      </c>
      <c r="Z383" s="14">
        <f>SUMIFS(Donnees_regimes!$Q$3:$Q$1118,Donnees_regimes!$A$3:$A$1118,C383,Donnees_regimes!$B$3:$B$1118,"&gt;="&amp;G383,Donnees_regimes!$B$3:$B$1118,"&lt;="&amp;N383)*L383/ROUNDUP(L383,0)</f>
        <v/>
      </c>
      <c r="AA383" s="77">
        <f>SUMIFS(Regles_regimes!$F$3:$F$2000,Regles_regimes!$A$3:$A$2000,C383,Regles_regimes!$B$3:$B$2000,D383,Regles_regimes!$C$3:$C$2000,MAX(1915,MIN(2025,E383)))</f>
        <v/>
      </c>
      <c r="AB383" s="77">
        <f>IF(AND(SUMIFS(Regles_regimes!$L$3:$L$2000,Regles_regimes!$A$3:$A$2000,C383,Regles_regimes!$B$3:$B$2000,D383,Regles_regimes!$C$3:$C$2000,MAX(1915,MIN(2025,E383)))=1,G383&lt;2009,C383&lt;&gt;"Privé"),MIN(20,L383*4/5),0)</f>
        <v/>
      </c>
      <c r="AC383" s="89">
        <f>SUMIFS(Donnees_regimes!$M$3:$M$1118,Donnees_regimes!$A$3:$A$1118,C383,Donnees_regimes!$B$3:$B$1118,M383)</f>
        <v/>
      </c>
      <c r="AD383" s="14">
        <f>SUMIFS(Donnees_annuelles!$Y$3:$Y$188,Donnees_annuelles!$A$3:$A$188,M383)*SUMIFS(Donnees_generations!$I$3:$I$113,Donnees_generations!$A$3:$A$113,MAX(1915,MIN(2025,E383)))/H383</f>
        <v/>
      </c>
      <c r="AE383" s="14">
        <f>IF(C383="Privé",SUMIFS(Donnees_annuelles!$Y$3:$Y$188,Donnees_annuelles!$A$3:$A$188,M383)*MIN(L383,SUMIFS(Donnees_generations!$I$3:$I$113,Donnees_generations!$A$3:$A$113,MAX(1915,MIN(2025,E383))))/L383,AD383*AC383*MIN(IF(AB383&gt;0,0.8/0.75,1),(L383*4+AB383)/AA383))</f>
        <v/>
      </c>
      <c r="AF383" s="14">
        <f>AE383/12</f>
        <v/>
      </c>
      <c r="AG383" s="77">
        <f>MIN(68,MAX(56,2*INT(K383/2)))</f>
        <v/>
      </c>
      <c r="AH383" s="75">
        <f>(CHOOSE((AG383-56)/2+1,SUMIFS(Donnees_generations!$U$3:$U$113,Donnees_generations!$A$3:$A$113,MAX(1915,MIN(2025,E383))),SUMIFS(Donnees_generations!$V$3:$V$113,Donnees_generations!$A$3:$A$113,MAX(1915,MIN(2025,E383))),SUMIFS(Donnees_generations!$W$3:$W$113,Donnees_generations!$A$3:$A$113,MAX(1915,MIN(2025,E383))),SUMIFS(Donnees_generations!$X$3:$X$113,Donnees_generations!$A$3:$A$113,MAX(1915,MIN(2025,E383))),SUMIFS(Donnees_generations!$Y$3:$Y$113,Donnees_generations!$A$3:$A$113,MAX(1915,MIN(2025,E383))),SUMIFS(Donnees_generations!$Z$3:$Z$113,Donnees_generations!$A$3:$A$113,MAX(1915,MIN(2025,E383))),SUMIFS(Donnees_generations!$AA$3:$AA$113,Donnees_generations!$A$3:$A$113,MAX(1915,MIN(2025,E383))),SUMIFS(Donnees_generations!$AB$3:$AB$113,Donnees_generations!$A$3:$A$113,MAX(1915,MIN(2025,E383))))+CHOOSE((AG383-56)/2+1,SUMIFS(Donnees_generations!$AC$3:$AC$113,Donnees_generations!$A$3:$A$113,MAX(1915,MIN(2025,E383))),SUMIFS(Donnees_generations!$AD$3:$AD$113,Donnees_generations!$A$3:$A$113,MAX(1915,MIN(2025,E383))),SUMIFS(Donnees_generations!$AE$3:$AE$113,Donnees_generations!$A$3:$A$113,MAX(1915,MIN(2025,E383))),SUMIFS(Donnees_generations!$AF$3:$AF$113,Donnees_generations!$A$3:$A$113,MAX(1915,MIN(2025,E383))),SUMIFS(Donnees_generations!$AG$3:$AG$113,Donnees_generations!$A$3:$A$113,MAX(1915,MIN(2025,E383))),SUMIFS(Donnees_generations!$AH$3:$AH$113,Donnees_generations!$A$3:$A$113,MAX(1915,MIN(2025,E383))),SUMIFS(Donnees_generations!$AI$3:$AI$113,Donnees_generations!$A$3:$A$113,MAX(1915,MIN(2025,E383))),SUMIFS(Donnees_generations!$AJ$3:$AJ$113,Donnees_generations!$A$3:$A$113,MAX(1915,MIN(2025,E383)))))/2</f>
        <v/>
      </c>
      <c r="AI383" s="75">
        <f>(CHOOSE(((AG383+2)-56)/2+1,SUMIFS(Donnees_generations!$U$3:$U$113,Donnees_generations!$A$3:$A$113,MAX(1915,MIN(2025,E383))),SUMIFS(Donnees_generations!$V$3:$V$113,Donnees_generations!$A$3:$A$113,MAX(1915,MIN(2025,E383))),SUMIFS(Donnees_generations!$W$3:$W$113,Donnees_generations!$A$3:$A$113,MAX(1915,MIN(2025,E383))),SUMIFS(Donnees_generations!$X$3:$X$113,Donnees_generations!$A$3:$A$113,MAX(1915,MIN(2025,E383))),SUMIFS(Donnees_generations!$Y$3:$Y$113,Donnees_generations!$A$3:$A$113,MAX(1915,MIN(2025,E383))),SUMIFS(Donnees_generations!$Z$3:$Z$113,Donnees_generations!$A$3:$A$113,MAX(1915,MIN(2025,E383))),SUMIFS(Donnees_generations!$AA$3:$AA$113,Donnees_generations!$A$3:$A$113,MAX(1915,MIN(2025,E383))),SUMIFS(Donnees_generations!$AB$3:$AB$113,Donnees_generations!$A$3:$A$113,MAX(1915,MIN(2025,E383))))+CHOOSE(((AG383+2)-56)/2+1,SUMIFS(Donnees_generations!$AC$3:$AC$113,Donnees_generations!$A$3:$A$113,MAX(1915,MIN(2025,E383))),SUMIFS(Donnees_generations!$AD$3:$AD$113,Donnees_generations!$A$3:$A$113,MAX(1915,MIN(2025,E383))),SUMIFS(Donnees_generations!$AE$3:$AE$113,Donnees_generations!$A$3:$A$113,MAX(1915,MIN(2025,E383))),SUMIFS(Donnees_generations!$AF$3:$AF$113,Donnees_generations!$A$3:$A$113,MAX(1915,MIN(2025,E383))),SUMIFS(Donnees_generations!$AG$3:$AG$113,Donnees_generations!$A$3:$A$113,MAX(1915,MIN(2025,E383))),SUMIFS(Donnees_generations!$AH$3:$AH$113,Donnees_generations!$A$3:$A$113,MAX(1915,MIN(2025,E383))),SUMIFS(Donnees_generations!$AI$3:$AI$113,Donnees_generations!$A$3:$A$113,MAX(1915,MIN(2025,E383))),SUMIFS(Donnees_generations!$AJ$3:$AJ$113,Donnees_generations!$A$3:$A$113,MAX(1915,MIN(2025,E383)))))/2</f>
        <v/>
      </c>
      <c r="AJ383" s="8">
        <f>MAX(0,AH383+(AI383-AH383)*(K383-AG383)/2)</f>
        <v/>
      </c>
      <c r="AK383" s="8">
        <f>K383+AJ383</f>
        <v/>
      </c>
      <c r="AL383" s="14">
        <f>AE383*AJ383</f>
        <v/>
      </c>
      <c r="AM383" s="17">
        <f>V383/AL383</f>
        <v/>
      </c>
      <c r="AN383" s="17">
        <f>Z383/AL383</f>
        <v/>
      </c>
      <c r="AO383" s="33">
        <f>IF(V383+Z383=0,0,Z383/(V383+Z383))</f>
        <v/>
      </c>
      <c r="AP383" s="14">
        <f>AL383/V383*100</f>
        <v/>
      </c>
      <c r="AQ383" s="8">
        <f>P383/AL383*1000</f>
        <v/>
      </c>
      <c r="AR383" s="77">
        <f>MAX(N383,M383-1)</f>
        <v/>
      </c>
      <c r="AS383" s="14">
        <f>SUMIFS(Donnees_regimes!$R$3:$R$1118,Donnees_regimes!$A$3:$A$1118,C383,Donnees_regimes!$B$3:$B$1118,"&gt;="&amp;G383,Donnees_regimes!$B$3:$B$1118,"&lt;="&amp;N383)*L383/ROUNDUP(L383,0)*SUMIFS(Donnees_annuelles!$AG$3:$AG$188,Donnees_annuelles!$A$3:$A$188,AR383)*SUMIFS(Donnees_annuelles!$AA$3:$AA$188,Donnees_annuelles!$A$3:$A$188,AR383)</f>
        <v/>
      </c>
      <c r="AT383" s="36">
        <f>AS383/V383</f>
        <v/>
      </c>
      <c r="AU383" s="14">
        <f>AL383</f>
        <v/>
      </c>
      <c r="AV383" s="39">
        <f>AS383-AL383</f>
        <v/>
      </c>
      <c r="AW383" s="9">
        <f>AS383/AL383-1</f>
        <v/>
      </c>
      <c r="AX383" s="14">
        <f>AS383/AJ383/12</f>
        <v/>
      </c>
      <c r="AY383" s="14">
        <f>AF383</f>
        <v/>
      </c>
      <c r="AZ383" s="39">
        <f>AX383-AF383</f>
        <v/>
      </c>
      <c r="BA383" s="14">
        <f>SUMIFS(Donnees_regimes!$S$3:$S$1118,Donnees_regimes!$A$3:$A$1118,C383,Donnees_regimes!$B$3:$B$1118,"&gt;="&amp;G383,Donnees_regimes!$B$3:$B$1118,"&lt;="&amp;N383)*L383/ROUNDUP(L383,0)*SUMIFS(Donnees_annuelles!$AH$3:$AH$188,Donnees_annuelles!$A$3:$A$188,AR383)*SUMIFS(Donnees_annuelles!$AA$3:$AA$188,Donnees_annuelles!$A$3:$A$188,AR383)</f>
        <v/>
      </c>
      <c r="BB383" s="39">
        <f>BA383-AL383</f>
        <v/>
      </c>
      <c r="BC383" s="7">
        <f>IF(M383+AJ383&gt;2026,IF(G383&gt;2026,"entièrement projeté","en partie projeté"),"observé")</f>
        <v/>
      </c>
    </row>
    <row r="384">
      <c r="A384" s="7" t="inlineStr">
        <is>
          <t>Génération Alpha</t>
        </is>
      </c>
      <c r="B384" s="84" t="inlineStr">
        <is>
          <t>SNCF</t>
        </is>
      </c>
      <c r="C384" s="7">
        <f>IF(G384&gt;=SUMIFS(Regimes!$C$5:$C$10,Regimes!$A$5:$A$10,B384),"Privé",B384)</f>
        <v/>
      </c>
      <c r="D384" s="7">
        <f>INDEX(Regimes!$D$5:$D$10,MATCH(C384,Regimes!$A$5:$A$10,0))</f>
        <v/>
      </c>
      <c r="E384" s="88" t="n">
        <v>2015</v>
      </c>
      <c r="F384" s="8">
        <f>Donnees_generations!C103</f>
        <v/>
      </c>
      <c r="G384" s="77">
        <f>Donnees_generations!D103</f>
        <v/>
      </c>
      <c r="H384" s="8">
        <f>SUMIFS(Donnees_generations!$S$3:$S$113,Donnees_generations!$A$3:$A$113,MAX(1915,MIN(2025,E384)))</f>
        <v/>
      </c>
      <c r="I384" s="8">
        <f>SUMIFS(Donnees_generations!$T$3:$T$113,Donnees_generations!$A$3:$A$113,MAX(1915,MIN(2025,E384)))</f>
        <v/>
      </c>
      <c r="J384" s="8">
        <f>IF(G384&gt;=2000,MAX(I384,Parametres!$B$3),I384)</f>
        <v/>
      </c>
      <c r="K384" s="8">
        <f>IF(C384="Privé",J384,SUMIFS(Regles_regimes!$J$3:$J$2000,Regles_regimes!$A$3:$A$2000,C384,Regles_regimes!$B$3:$B$2000,D384,Regles_regimes!$C$3:$C$2000,MAX(1915,MIN(2025,E384))))</f>
        <v/>
      </c>
      <c r="L384" s="8">
        <f>IF(C384="Privé",H384,(K384-F384)*H384/(J384-F384))</f>
        <v/>
      </c>
      <c r="M384" s="77">
        <f>INT(E384+K384)</f>
        <v/>
      </c>
      <c r="N384" s="77">
        <f>G384+ROUNDUP(L384,0)-1</f>
        <v/>
      </c>
      <c r="O384" s="89">
        <f>SUMIFS(Regles_regimes!$K$3:$K$2000,Regles_regimes!$A$3:$A$2000,C384,Regles_regimes!$B$3:$B$2000,D384,Regles_regimes!$C$3:$C$2000,MAX(1915,MIN(2025,E384)))</f>
        <v/>
      </c>
      <c r="P384" s="13">
        <f>SUMIFS(Donnees_annuelles!$W$3:$W$188,Donnees_annuelles!$A$3:$A$188,"&gt;="&amp;G384,Donnees_annuelles!$A$3:$A$188,"&lt;="&amp;N384)*L384/ROUNDUP(L384,0)*O384</f>
        <v/>
      </c>
      <c r="Q384" s="13">
        <f>SUMIFS(Donnees_annuelles!$V$3:$V$188,Donnees_annuelles!$A$3:$A$188,"&gt;="&amp;G384,Donnees_annuelles!$A$3:$A$188,"&lt;="&amp;N384)*L384/ROUNDUP(L384,0)</f>
        <v/>
      </c>
      <c r="R384" s="13">
        <f>P384/L384</f>
        <v/>
      </c>
      <c r="S384" s="14">
        <f>SUMIFS(Donnees_annuelles!$D$3:$D$188,Donnees_annuelles!$A$3:$A$188,"&gt;="&amp;G384,Donnees_annuelles!$A$3:$A$188,"&lt;="&amp;N384)*L384/ROUNDUP(L384,0)</f>
        <v/>
      </c>
      <c r="T384" s="14">
        <f>SUMIFS(Donnees_regimes!$N$3:$N$1118,Donnees_regimes!$A$3:$A$1118,C384,Donnees_regimes!$B$3:$B$1118,"&gt;="&amp;G384,Donnees_regimes!$B$3:$B$1118,"&lt;="&amp;N384)*L384/ROUNDUP(L384,0)</f>
        <v/>
      </c>
      <c r="U384" s="14">
        <f>SUMIFS(Donnees_regimes!$O$3:$O$1118,Donnees_regimes!$A$3:$A$1118,C384,Donnees_regimes!$B$3:$B$1118,"&gt;="&amp;G384,Donnees_regimes!$B$3:$B$1118,"&lt;="&amp;N384)*L384/ROUNDUP(L384,0)</f>
        <v/>
      </c>
      <c r="V384" s="14">
        <f>T384+U384</f>
        <v/>
      </c>
      <c r="W384" s="33">
        <f>V384/S384</f>
        <v/>
      </c>
      <c r="X384" s="14">
        <f>S384+U384</f>
        <v/>
      </c>
      <c r="Y384" s="17">
        <f>V384/P384</f>
        <v/>
      </c>
      <c r="Z384" s="14">
        <f>SUMIFS(Donnees_regimes!$Q$3:$Q$1118,Donnees_regimes!$A$3:$A$1118,C384,Donnees_regimes!$B$3:$B$1118,"&gt;="&amp;G384,Donnees_regimes!$B$3:$B$1118,"&lt;="&amp;N384)*L384/ROUNDUP(L384,0)</f>
        <v/>
      </c>
      <c r="AA384" s="77">
        <f>SUMIFS(Regles_regimes!$F$3:$F$2000,Regles_regimes!$A$3:$A$2000,C384,Regles_regimes!$B$3:$B$2000,D384,Regles_regimes!$C$3:$C$2000,MAX(1915,MIN(2025,E384)))</f>
        <v/>
      </c>
      <c r="AB384" s="77">
        <f>IF(AND(SUMIFS(Regles_regimes!$L$3:$L$2000,Regles_regimes!$A$3:$A$2000,C384,Regles_regimes!$B$3:$B$2000,D384,Regles_regimes!$C$3:$C$2000,MAX(1915,MIN(2025,E384)))=1,G384&lt;2009,C384&lt;&gt;"Privé"),MIN(20,L384*4/5),0)</f>
        <v/>
      </c>
      <c r="AC384" s="89">
        <f>SUMIFS(Donnees_regimes!$M$3:$M$1118,Donnees_regimes!$A$3:$A$1118,C384,Donnees_regimes!$B$3:$B$1118,M384)</f>
        <v/>
      </c>
      <c r="AD384" s="14">
        <f>SUMIFS(Donnees_annuelles!$Y$3:$Y$188,Donnees_annuelles!$A$3:$A$188,M384)*SUMIFS(Donnees_generations!$I$3:$I$113,Donnees_generations!$A$3:$A$113,MAX(1915,MIN(2025,E384)))/H384</f>
        <v/>
      </c>
      <c r="AE384" s="14">
        <f>IF(C384="Privé",SUMIFS(Donnees_annuelles!$Y$3:$Y$188,Donnees_annuelles!$A$3:$A$188,M384)*MIN(L384,SUMIFS(Donnees_generations!$I$3:$I$113,Donnees_generations!$A$3:$A$113,MAX(1915,MIN(2025,E384))))/L384,AD384*AC384*MIN(IF(AB384&gt;0,0.8/0.75,1),(L384*4+AB384)/AA384))</f>
        <v/>
      </c>
      <c r="AF384" s="14">
        <f>AE384/12</f>
        <v/>
      </c>
      <c r="AG384" s="77">
        <f>MIN(68,MAX(56,2*INT(K384/2)))</f>
        <v/>
      </c>
      <c r="AH384" s="75">
        <f>(CHOOSE((AG384-56)/2+1,SUMIFS(Donnees_generations!$U$3:$U$113,Donnees_generations!$A$3:$A$113,MAX(1915,MIN(2025,E384))),SUMIFS(Donnees_generations!$V$3:$V$113,Donnees_generations!$A$3:$A$113,MAX(1915,MIN(2025,E384))),SUMIFS(Donnees_generations!$W$3:$W$113,Donnees_generations!$A$3:$A$113,MAX(1915,MIN(2025,E384))),SUMIFS(Donnees_generations!$X$3:$X$113,Donnees_generations!$A$3:$A$113,MAX(1915,MIN(2025,E384))),SUMIFS(Donnees_generations!$Y$3:$Y$113,Donnees_generations!$A$3:$A$113,MAX(1915,MIN(2025,E384))),SUMIFS(Donnees_generations!$Z$3:$Z$113,Donnees_generations!$A$3:$A$113,MAX(1915,MIN(2025,E384))),SUMIFS(Donnees_generations!$AA$3:$AA$113,Donnees_generations!$A$3:$A$113,MAX(1915,MIN(2025,E384))),SUMIFS(Donnees_generations!$AB$3:$AB$113,Donnees_generations!$A$3:$A$113,MAX(1915,MIN(2025,E384))))+CHOOSE((AG384-56)/2+1,SUMIFS(Donnees_generations!$AC$3:$AC$113,Donnees_generations!$A$3:$A$113,MAX(1915,MIN(2025,E384))),SUMIFS(Donnees_generations!$AD$3:$AD$113,Donnees_generations!$A$3:$A$113,MAX(1915,MIN(2025,E384))),SUMIFS(Donnees_generations!$AE$3:$AE$113,Donnees_generations!$A$3:$A$113,MAX(1915,MIN(2025,E384))),SUMIFS(Donnees_generations!$AF$3:$AF$113,Donnees_generations!$A$3:$A$113,MAX(1915,MIN(2025,E384))),SUMIFS(Donnees_generations!$AG$3:$AG$113,Donnees_generations!$A$3:$A$113,MAX(1915,MIN(2025,E384))),SUMIFS(Donnees_generations!$AH$3:$AH$113,Donnees_generations!$A$3:$A$113,MAX(1915,MIN(2025,E384))),SUMIFS(Donnees_generations!$AI$3:$AI$113,Donnees_generations!$A$3:$A$113,MAX(1915,MIN(2025,E384))),SUMIFS(Donnees_generations!$AJ$3:$AJ$113,Donnees_generations!$A$3:$A$113,MAX(1915,MIN(2025,E384)))))/2</f>
        <v/>
      </c>
      <c r="AI384" s="75">
        <f>(CHOOSE(((AG384+2)-56)/2+1,SUMIFS(Donnees_generations!$U$3:$U$113,Donnees_generations!$A$3:$A$113,MAX(1915,MIN(2025,E384))),SUMIFS(Donnees_generations!$V$3:$V$113,Donnees_generations!$A$3:$A$113,MAX(1915,MIN(2025,E384))),SUMIFS(Donnees_generations!$W$3:$W$113,Donnees_generations!$A$3:$A$113,MAX(1915,MIN(2025,E384))),SUMIFS(Donnees_generations!$X$3:$X$113,Donnees_generations!$A$3:$A$113,MAX(1915,MIN(2025,E384))),SUMIFS(Donnees_generations!$Y$3:$Y$113,Donnees_generations!$A$3:$A$113,MAX(1915,MIN(2025,E384))),SUMIFS(Donnees_generations!$Z$3:$Z$113,Donnees_generations!$A$3:$A$113,MAX(1915,MIN(2025,E384))),SUMIFS(Donnees_generations!$AA$3:$AA$113,Donnees_generations!$A$3:$A$113,MAX(1915,MIN(2025,E384))),SUMIFS(Donnees_generations!$AB$3:$AB$113,Donnees_generations!$A$3:$A$113,MAX(1915,MIN(2025,E384))))+CHOOSE(((AG384+2)-56)/2+1,SUMIFS(Donnees_generations!$AC$3:$AC$113,Donnees_generations!$A$3:$A$113,MAX(1915,MIN(2025,E384))),SUMIFS(Donnees_generations!$AD$3:$AD$113,Donnees_generations!$A$3:$A$113,MAX(1915,MIN(2025,E384))),SUMIFS(Donnees_generations!$AE$3:$AE$113,Donnees_generations!$A$3:$A$113,MAX(1915,MIN(2025,E384))),SUMIFS(Donnees_generations!$AF$3:$AF$113,Donnees_generations!$A$3:$A$113,MAX(1915,MIN(2025,E384))),SUMIFS(Donnees_generations!$AG$3:$AG$113,Donnees_generations!$A$3:$A$113,MAX(1915,MIN(2025,E384))),SUMIFS(Donnees_generations!$AH$3:$AH$113,Donnees_generations!$A$3:$A$113,MAX(1915,MIN(2025,E384))),SUMIFS(Donnees_generations!$AI$3:$AI$113,Donnees_generations!$A$3:$A$113,MAX(1915,MIN(2025,E384))),SUMIFS(Donnees_generations!$AJ$3:$AJ$113,Donnees_generations!$A$3:$A$113,MAX(1915,MIN(2025,E384)))))/2</f>
        <v/>
      </c>
      <c r="AJ384" s="8">
        <f>MAX(0,AH384+(AI384-AH384)*(K384-AG384)/2)</f>
        <v/>
      </c>
      <c r="AK384" s="8">
        <f>K384+AJ384</f>
        <v/>
      </c>
      <c r="AL384" s="14">
        <f>AE384*AJ384</f>
        <v/>
      </c>
      <c r="AM384" s="17">
        <f>V384/AL384</f>
        <v/>
      </c>
      <c r="AN384" s="17">
        <f>Z384/AL384</f>
        <v/>
      </c>
      <c r="AO384" s="33">
        <f>IF(V384+Z384=0,0,Z384/(V384+Z384))</f>
        <v/>
      </c>
      <c r="AP384" s="14">
        <f>AL384/V384*100</f>
        <v/>
      </c>
      <c r="AQ384" s="8">
        <f>P384/AL384*1000</f>
        <v/>
      </c>
      <c r="AR384" s="77">
        <f>MAX(N384,M384-1)</f>
        <v/>
      </c>
      <c r="AS384" s="14">
        <f>SUMIFS(Donnees_regimes!$R$3:$R$1118,Donnees_regimes!$A$3:$A$1118,C384,Donnees_regimes!$B$3:$B$1118,"&gt;="&amp;G384,Donnees_regimes!$B$3:$B$1118,"&lt;="&amp;N384)*L384/ROUNDUP(L384,0)*SUMIFS(Donnees_annuelles!$AG$3:$AG$188,Donnees_annuelles!$A$3:$A$188,AR384)*SUMIFS(Donnees_annuelles!$AA$3:$AA$188,Donnees_annuelles!$A$3:$A$188,AR384)</f>
        <v/>
      </c>
      <c r="AT384" s="36">
        <f>AS384/V384</f>
        <v/>
      </c>
      <c r="AU384" s="14">
        <f>AL384</f>
        <v/>
      </c>
      <c r="AV384" s="39">
        <f>AS384-AL384</f>
        <v/>
      </c>
      <c r="AW384" s="9">
        <f>AS384/AL384-1</f>
        <v/>
      </c>
      <c r="AX384" s="14">
        <f>AS384/AJ384/12</f>
        <v/>
      </c>
      <c r="AY384" s="14">
        <f>AF384</f>
        <v/>
      </c>
      <c r="AZ384" s="39">
        <f>AX384-AF384</f>
        <v/>
      </c>
      <c r="BA384" s="14">
        <f>SUMIFS(Donnees_regimes!$S$3:$S$1118,Donnees_regimes!$A$3:$A$1118,C384,Donnees_regimes!$B$3:$B$1118,"&gt;="&amp;G384,Donnees_regimes!$B$3:$B$1118,"&lt;="&amp;N384)*L384/ROUNDUP(L384,0)*SUMIFS(Donnees_annuelles!$AH$3:$AH$188,Donnees_annuelles!$A$3:$A$188,AR384)*SUMIFS(Donnees_annuelles!$AA$3:$AA$188,Donnees_annuelles!$A$3:$A$188,AR384)</f>
        <v/>
      </c>
      <c r="BB384" s="39">
        <f>BA384-AL384</f>
        <v/>
      </c>
      <c r="BC384" s="7">
        <f>IF(M384+AJ384&gt;2026,IF(G384&gt;2026,"entièrement projeté","en partie projeté"),"observé")</f>
        <v/>
      </c>
    </row>
    <row r="385">
      <c r="A385" s="7" t="inlineStr">
        <is>
          <t>Génération Alpha</t>
        </is>
      </c>
      <c r="B385" s="84" t="inlineStr">
        <is>
          <t>SNCF</t>
        </is>
      </c>
      <c r="C385" s="7">
        <f>IF(G385&gt;=SUMIFS(Regimes!$C$5:$C$10,Regimes!$A$5:$A$10,B385),"Privé",B385)</f>
        <v/>
      </c>
      <c r="D385" s="7">
        <f>INDEX(Regimes!$D$5:$D$10,MATCH(C385,Regimes!$A$5:$A$10,0))</f>
        <v/>
      </c>
      <c r="E385" s="88" t="n">
        <v>2016</v>
      </c>
      <c r="F385" s="8">
        <f>Donnees_generations!C104</f>
        <v/>
      </c>
      <c r="G385" s="77">
        <f>Donnees_generations!D104</f>
        <v/>
      </c>
      <c r="H385" s="8">
        <f>SUMIFS(Donnees_generations!$S$3:$S$113,Donnees_generations!$A$3:$A$113,MAX(1915,MIN(2025,E385)))</f>
        <v/>
      </c>
      <c r="I385" s="8">
        <f>SUMIFS(Donnees_generations!$T$3:$T$113,Donnees_generations!$A$3:$A$113,MAX(1915,MIN(2025,E385)))</f>
        <v/>
      </c>
      <c r="J385" s="8">
        <f>IF(G385&gt;=2000,MAX(I385,Parametres!$B$3),I385)</f>
        <v/>
      </c>
      <c r="K385" s="8">
        <f>IF(C385="Privé",J385,SUMIFS(Regles_regimes!$J$3:$J$2000,Regles_regimes!$A$3:$A$2000,C385,Regles_regimes!$B$3:$B$2000,D385,Regles_regimes!$C$3:$C$2000,MAX(1915,MIN(2025,E385))))</f>
        <v/>
      </c>
      <c r="L385" s="8">
        <f>IF(C385="Privé",H385,(K385-F385)*H385/(J385-F385))</f>
        <v/>
      </c>
      <c r="M385" s="77">
        <f>INT(E385+K385)</f>
        <v/>
      </c>
      <c r="N385" s="77">
        <f>G385+ROUNDUP(L385,0)-1</f>
        <v/>
      </c>
      <c r="O385" s="89">
        <f>SUMIFS(Regles_regimes!$K$3:$K$2000,Regles_regimes!$A$3:$A$2000,C385,Regles_regimes!$B$3:$B$2000,D385,Regles_regimes!$C$3:$C$2000,MAX(1915,MIN(2025,E385)))</f>
        <v/>
      </c>
      <c r="P385" s="13">
        <f>SUMIFS(Donnees_annuelles!$W$3:$W$188,Donnees_annuelles!$A$3:$A$188,"&gt;="&amp;G385,Donnees_annuelles!$A$3:$A$188,"&lt;="&amp;N385)*L385/ROUNDUP(L385,0)*O385</f>
        <v/>
      </c>
      <c r="Q385" s="13">
        <f>SUMIFS(Donnees_annuelles!$V$3:$V$188,Donnees_annuelles!$A$3:$A$188,"&gt;="&amp;G385,Donnees_annuelles!$A$3:$A$188,"&lt;="&amp;N385)*L385/ROUNDUP(L385,0)</f>
        <v/>
      </c>
      <c r="R385" s="13">
        <f>P385/L385</f>
        <v/>
      </c>
      <c r="S385" s="14">
        <f>SUMIFS(Donnees_annuelles!$D$3:$D$188,Donnees_annuelles!$A$3:$A$188,"&gt;="&amp;G385,Donnees_annuelles!$A$3:$A$188,"&lt;="&amp;N385)*L385/ROUNDUP(L385,0)</f>
        <v/>
      </c>
      <c r="T385" s="14">
        <f>SUMIFS(Donnees_regimes!$N$3:$N$1118,Donnees_regimes!$A$3:$A$1118,C385,Donnees_regimes!$B$3:$B$1118,"&gt;="&amp;G385,Donnees_regimes!$B$3:$B$1118,"&lt;="&amp;N385)*L385/ROUNDUP(L385,0)</f>
        <v/>
      </c>
      <c r="U385" s="14">
        <f>SUMIFS(Donnees_regimes!$O$3:$O$1118,Donnees_regimes!$A$3:$A$1118,C385,Donnees_regimes!$B$3:$B$1118,"&gt;="&amp;G385,Donnees_regimes!$B$3:$B$1118,"&lt;="&amp;N385)*L385/ROUNDUP(L385,0)</f>
        <v/>
      </c>
      <c r="V385" s="14">
        <f>T385+U385</f>
        <v/>
      </c>
      <c r="W385" s="33">
        <f>V385/S385</f>
        <v/>
      </c>
      <c r="X385" s="14">
        <f>S385+U385</f>
        <v/>
      </c>
      <c r="Y385" s="17">
        <f>V385/P385</f>
        <v/>
      </c>
      <c r="Z385" s="14">
        <f>SUMIFS(Donnees_regimes!$Q$3:$Q$1118,Donnees_regimes!$A$3:$A$1118,C385,Donnees_regimes!$B$3:$B$1118,"&gt;="&amp;G385,Donnees_regimes!$B$3:$B$1118,"&lt;="&amp;N385)*L385/ROUNDUP(L385,0)</f>
        <v/>
      </c>
      <c r="AA385" s="77">
        <f>SUMIFS(Regles_regimes!$F$3:$F$2000,Regles_regimes!$A$3:$A$2000,C385,Regles_regimes!$B$3:$B$2000,D385,Regles_regimes!$C$3:$C$2000,MAX(1915,MIN(2025,E385)))</f>
        <v/>
      </c>
      <c r="AB385" s="77">
        <f>IF(AND(SUMIFS(Regles_regimes!$L$3:$L$2000,Regles_regimes!$A$3:$A$2000,C385,Regles_regimes!$B$3:$B$2000,D385,Regles_regimes!$C$3:$C$2000,MAX(1915,MIN(2025,E385)))=1,G385&lt;2009,C385&lt;&gt;"Privé"),MIN(20,L385*4/5),0)</f>
        <v/>
      </c>
      <c r="AC385" s="89">
        <f>SUMIFS(Donnees_regimes!$M$3:$M$1118,Donnees_regimes!$A$3:$A$1118,C385,Donnees_regimes!$B$3:$B$1118,M385)</f>
        <v/>
      </c>
      <c r="AD385" s="14">
        <f>SUMIFS(Donnees_annuelles!$Y$3:$Y$188,Donnees_annuelles!$A$3:$A$188,M385)*SUMIFS(Donnees_generations!$I$3:$I$113,Donnees_generations!$A$3:$A$113,MAX(1915,MIN(2025,E385)))/H385</f>
        <v/>
      </c>
      <c r="AE385" s="14">
        <f>IF(C385="Privé",SUMIFS(Donnees_annuelles!$Y$3:$Y$188,Donnees_annuelles!$A$3:$A$188,M385)*MIN(L385,SUMIFS(Donnees_generations!$I$3:$I$113,Donnees_generations!$A$3:$A$113,MAX(1915,MIN(2025,E385))))/L385,AD385*AC385*MIN(IF(AB385&gt;0,0.8/0.75,1),(L385*4+AB385)/AA385))</f>
        <v/>
      </c>
      <c r="AF385" s="14">
        <f>AE385/12</f>
        <v/>
      </c>
      <c r="AG385" s="77">
        <f>MIN(68,MAX(56,2*INT(K385/2)))</f>
        <v/>
      </c>
      <c r="AH385" s="75">
        <f>(CHOOSE((AG385-56)/2+1,SUMIFS(Donnees_generations!$U$3:$U$113,Donnees_generations!$A$3:$A$113,MAX(1915,MIN(2025,E385))),SUMIFS(Donnees_generations!$V$3:$V$113,Donnees_generations!$A$3:$A$113,MAX(1915,MIN(2025,E385))),SUMIFS(Donnees_generations!$W$3:$W$113,Donnees_generations!$A$3:$A$113,MAX(1915,MIN(2025,E385))),SUMIFS(Donnees_generations!$X$3:$X$113,Donnees_generations!$A$3:$A$113,MAX(1915,MIN(2025,E385))),SUMIFS(Donnees_generations!$Y$3:$Y$113,Donnees_generations!$A$3:$A$113,MAX(1915,MIN(2025,E385))),SUMIFS(Donnees_generations!$Z$3:$Z$113,Donnees_generations!$A$3:$A$113,MAX(1915,MIN(2025,E385))),SUMIFS(Donnees_generations!$AA$3:$AA$113,Donnees_generations!$A$3:$A$113,MAX(1915,MIN(2025,E385))),SUMIFS(Donnees_generations!$AB$3:$AB$113,Donnees_generations!$A$3:$A$113,MAX(1915,MIN(2025,E385))))+CHOOSE((AG385-56)/2+1,SUMIFS(Donnees_generations!$AC$3:$AC$113,Donnees_generations!$A$3:$A$113,MAX(1915,MIN(2025,E385))),SUMIFS(Donnees_generations!$AD$3:$AD$113,Donnees_generations!$A$3:$A$113,MAX(1915,MIN(2025,E385))),SUMIFS(Donnees_generations!$AE$3:$AE$113,Donnees_generations!$A$3:$A$113,MAX(1915,MIN(2025,E385))),SUMIFS(Donnees_generations!$AF$3:$AF$113,Donnees_generations!$A$3:$A$113,MAX(1915,MIN(2025,E385))),SUMIFS(Donnees_generations!$AG$3:$AG$113,Donnees_generations!$A$3:$A$113,MAX(1915,MIN(2025,E385))),SUMIFS(Donnees_generations!$AH$3:$AH$113,Donnees_generations!$A$3:$A$113,MAX(1915,MIN(2025,E385))),SUMIFS(Donnees_generations!$AI$3:$AI$113,Donnees_generations!$A$3:$A$113,MAX(1915,MIN(2025,E385))),SUMIFS(Donnees_generations!$AJ$3:$AJ$113,Donnees_generations!$A$3:$A$113,MAX(1915,MIN(2025,E385)))))/2</f>
        <v/>
      </c>
      <c r="AI385" s="75">
        <f>(CHOOSE(((AG385+2)-56)/2+1,SUMIFS(Donnees_generations!$U$3:$U$113,Donnees_generations!$A$3:$A$113,MAX(1915,MIN(2025,E385))),SUMIFS(Donnees_generations!$V$3:$V$113,Donnees_generations!$A$3:$A$113,MAX(1915,MIN(2025,E385))),SUMIFS(Donnees_generations!$W$3:$W$113,Donnees_generations!$A$3:$A$113,MAX(1915,MIN(2025,E385))),SUMIFS(Donnees_generations!$X$3:$X$113,Donnees_generations!$A$3:$A$113,MAX(1915,MIN(2025,E385))),SUMIFS(Donnees_generations!$Y$3:$Y$113,Donnees_generations!$A$3:$A$113,MAX(1915,MIN(2025,E385))),SUMIFS(Donnees_generations!$Z$3:$Z$113,Donnees_generations!$A$3:$A$113,MAX(1915,MIN(2025,E385))),SUMIFS(Donnees_generations!$AA$3:$AA$113,Donnees_generations!$A$3:$A$113,MAX(1915,MIN(2025,E385))),SUMIFS(Donnees_generations!$AB$3:$AB$113,Donnees_generations!$A$3:$A$113,MAX(1915,MIN(2025,E385))))+CHOOSE(((AG385+2)-56)/2+1,SUMIFS(Donnees_generations!$AC$3:$AC$113,Donnees_generations!$A$3:$A$113,MAX(1915,MIN(2025,E385))),SUMIFS(Donnees_generations!$AD$3:$AD$113,Donnees_generations!$A$3:$A$113,MAX(1915,MIN(2025,E385))),SUMIFS(Donnees_generations!$AE$3:$AE$113,Donnees_generations!$A$3:$A$113,MAX(1915,MIN(2025,E385))),SUMIFS(Donnees_generations!$AF$3:$AF$113,Donnees_generations!$A$3:$A$113,MAX(1915,MIN(2025,E385))),SUMIFS(Donnees_generations!$AG$3:$AG$113,Donnees_generations!$A$3:$A$113,MAX(1915,MIN(2025,E385))),SUMIFS(Donnees_generations!$AH$3:$AH$113,Donnees_generations!$A$3:$A$113,MAX(1915,MIN(2025,E385))),SUMIFS(Donnees_generations!$AI$3:$AI$113,Donnees_generations!$A$3:$A$113,MAX(1915,MIN(2025,E385))),SUMIFS(Donnees_generations!$AJ$3:$AJ$113,Donnees_generations!$A$3:$A$113,MAX(1915,MIN(2025,E385)))))/2</f>
        <v/>
      </c>
      <c r="AJ385" s="8">
        <f>MAX(0,AH385+(AI385-AH385)*(K385-AG385)/2)</f>
        <v/>
      </c>
      <c r="AK385" s="8">
        <f>K385+AJ385</f>
        <v/>
      </c>
      <c r="AL385" s="14">
        <f>AE385*AJ385</f>
        <v/>
      </c>
      <c r="AM385" s="17">
        <f>V385/AL385</f>
        <v/>
      </c>
      <c r="AN385" s="17">
        <f>Z385/AL385</f>
        <v/>
      </c>
      <c r="AO385" s="33">
        <f>IF(V385+Z385=0,0,Z385/(V385+Z385))</f>
        <v/>
      </c>
      <c r="AP385" s="14">
        <f>AL385/V385*100</f>
        <v/>
      </c>
      <c r="AQ385" s="8">
        <f>P385/AL385*1000</f>
        <v/>
      </c>
      <c r="AR385" s="77">
        <f>MAX(N385,M385-1)</f>
        <v/>
      </c>
      <c r="AS385" s="14">
        <f>SUMIFS(Donnees_regimes!$R$3:$R$1118,Donnees_regimes!$A$3:$A$1118,C385,Donnees_regimes!$B$3:$B$1118,"&gt;="&amp;G385,Donnees_regimes!$B$3:$B$1118,"&lt;="&amp;N385)*L385/ROUNDUP(L385,0)*SUMIFS(Donnees_annuelles!$AG$3:$AG$188,Donnees_annuelles!$A$3:$A$188,AR385)*SUMIFS(Donnees_annuelles!$AA$3:$AA$188,Donnees_annuelles!$A$3:$A$188,AR385)</f>
        <v/>
      </c>
      <c r="AT385" s="36">
        <f>AS385/V385</f>
        <v/>
      </c>
      <c r="AU385" s="14">
        <f>AL385</f>
        <v/>
      </c>
      <c r="AV385" s="39">
        <f>AS385-AL385</f>
        <v/>
      </c>
      <c r="AW385" s="9">
        <f>AS385/AL385-1</f>
        <v/>
      </c>
      <c r="AX385" s="14">
        <f>AS385/AJ385/12</f>
        <v/>
      </c>
      <c r="AY385" s="14">
        <f>AF385</f>
        <v/>
      </c>
      <c r="AZ385" s="39">
        <f>AX385-AF385</f>
        <v/>
      </c>
      <c r="BA385" s="14">
        <f>SUMIFS(Donnees_regimes!$S$3:$S$1118,Donnees_regimes!$A$3:$A$1118,C385,Donnees_regimes!$B$3:$B$1118,"&gt;="&amp;G385,Donnees_regimes!$B$3:$B$1118,"&lt;="&amp;N385)*L385/ROUNDUP(L385,0)*SUMIFS(Donnees_annuelles!$AH$3:$AH$188,Donnees_annuelles!$A$3:$A$188,AR385)*SUMIFS(Donnees_annuelles!$AA$3:$AA$188,Donnees_annuelles!$A$3:$A$188,AR385)</f>
        <v/>
      </c>
      <c r="BB385" s="39">
        <f>BA385-AL385</f>
        <v/>
      </c>
      <c r="BC385" s="7">
        <f>IF(M385+AJ385&gt;2026,IF(G385&gt;2026,"entièrement projeté","en partie projeté"),"observé")</f>
        <v/>
      </c>
    </row>
    <row r="386">
      <c r="A386" s="7" t="inlineStr">
        <is>
          <t>Génération Alpha</t>
        </is>
      </c>
      <c r="B386" s="84" t="inlineStr">
        <is>
          <t>SNCF</t>
        </is>
      </c>
      <c r="C386" s="7">
        <f>IF(G386&gt;=SUMIFS(Regimes!$C$5:$C$10,Regimes!$A$5:$A$10,B386),"Privé",B386)</f>
        <v/>
      </c>
      <c r="D386" s="7">
        <f>INDEX(Regimes!$D$5:$D$10,MATCH(C386,Regimes!$A$5:$A$10,0))</f>
        <v/>
      </c>
      <c r="E386" s="88" t="n">
        <v>2017</v>
      </c>
      <c r="F386" s="8">
        <f>Donnees_generations!C105</f>
        <v/>
      </c>
      <c r="G386" s="77">
        <f>Donnees_generations!D105</f>
        <v/>
      </c>
      <c r="H386" s="8">
        <f>SUMIFS(Donnees_generations!$S$3:$S$113,Donnees_generations!$A$3:$A$113,MAX(1915,MIN(2025,E386)))</f>
        <v/>
      </c>
      <c r="I386" s="8">
        <f>SUMIFS(Donnees_generations!$T$3:$T$113,Donnees_generations!$A$3:$A$113,MAX(1915,MIN(2025,E386)))</f>
        <v/>
      </c>
      <c r="J386" s="8">
        <f>IF(G386&gt;=2000,MAX(I386,Parametres!$B$3),I386)</f>
        <v/>
      </c>
      <c r="K386" s="8">
        <f>IF(C386="Privé",J386,SUMIFS(Regles_regimes!$J$3:$J$2000,Regles_regimes!$A$3:$A$2000,C386,Regles_regimes!$B$3:$B$2000,D386,Regles_regimes!$C$3:$C$2000,MAX(1915,MIN(2025,E386))))</f>
        <v/>
      </c>
      <c r="L386" s="8">
        <f>IF(C386="Privé",H386,(K386-F386)*H386/(J386-F386))</f>
        <v/>
      </c>
      <c r="M386" s="77">
        <f>INT(E386+K386)</f>
        <v/>
      </c>
      <c r="N386" s="77">
        <f>G386+ROUNDUP(L386,0)-1</f>
        <v/>
      </c>
      <c r="O386" s="89">
        <f>SUMIFS(Regles_regimes!$K$3:$K$2000,Regles_regimes!$A$3:$A$2000,C386,Regles_regimes!$B$3:$B$2000,D386,Regles_regimes!$C$3:$C$2000,MAX(1915,MIN(2025,E386)))</f>
        <v/>
      </c>
      <c r="P386" s="13">
        <f>SUMIFS(Donnees_annuelles!$W$3:$W$188,Donnees_annuelles!$A$3:$A$188,"&gt;="&amp;G386,Donnees_annuelles!$A$3:$A$188,"&lt;="&amp;N386)*L386/ROUNDUP(L386,0)*O386</f>
        <v/>
      </c>
      <c r="Q386" s="13">
        <f>SUMIFS(Donnees_annuelles!$V$3:$V$188,Donnees_annuelles!$A$3:$A$188,"&gt;="&amp;G386,Donnees_annuelles!$A$3:$A$188,"&lt;="&amp;N386)*L386/ROUNDUP(L386,0)</f>
        <v/>
      </c>
      <c r="R386" s="13">
        <f>P386/L386</f>
        <v/>
      </c>
      <c r="S386" s="14">
        <f>SUMIFS(Donnees_annuelles!$D$3:$D$188,Donnees_annuelles!$A$3:$A$188,"&gt;="&amp;G386,Donnees_annuelles!$A$3:$A$188,"&lt;="&amp;N386)*L386/ROUNDUP(L386,0)</f>
        <v/>
      </c>
      <c r="T386" s="14">
        <f>SUMIFS(Donnees_regimes!$N$3:$N$1118,Donnees_regimes!$A$3:$A$1118,C386,Donnees_regimes!$B$3:$B$1118,"&gt;="&amp;G386,Donnees_regimes!$B$3:$B$1118,"&lt;="&amp;N386)*L386/ROUNDUP(L386,0)</f>
        <v/>
      </c>
      <c r="U386" s="14">
        <f>SUMIFS(Donnees_regimes!$O$3:$O$1118,Donnees_regimes!$A$3:$A$1118,C386,Donnees_regimes!$B$3:$B$1118,"&gt;="&amp;G386,Donnees_regimes!$B$3:$B$1118,"&lt;="&amp;N386)*L386/ROUNDUP(L386,0)</f>
        <v/>
      </c>
      <c r="V386" s="14">
        <f>T386+U386</f>
        <v/>
      </c>
      <c r="W386" s="33">
        <f>V386/S386</f>
        <v/>
      </c>
      <c r="X386" s="14">
        <f>S386+U386</f>
        <v/>
      </c>
      <c r="Y386" s="17">
        <f>V386/P386</f>
        <v/>
      </c>
      <c r="Z386" s="14">
        <f>SUMIFS(Donnees_regimes!$Q$3:$Q$1118,Donnees_regimes!$A$3:$A$1118,C386,Donnees_regimes!$B$3:$B$1118,"&gt;="&amp;G386,Donnees_regimes!$B$3:$B$1118,"&lt;="&amp;N386)*L386/ROUNDUP(L386,0)</f>
        <v/>
      </c>
      <c r="AA386" s="77">
        <f>SUMIFS(Regles_regimes!$F$3:$F$2000,Regles_regimes!$A$3:$A$2000,C386,Regles_regimes!$B$3:$B$2000,D386,Regles_regimes!$C$3:$C$2000,MAX(1915,MIN(2025,E386)))</f>
        <v/>
      </c>
      <c r="AB386" s="77">
        <f>IF(AND(SUMIFS(Regles_regimes!$L$3:$L$2000,Regles_regimes!$A$3:$A$2000,C386,Regles_regimes!$B$3:$B$2000,D386,Regles_regimes!$C$3:$C$2000,MAX(1915,MIN(2025,E386)))=1,G386&lt;2009,C386&lt;&gt;"Privé"),MIN(20,L386*4/5),0)</f>
        <v/>
      </c>
      <c r="AC386" s="89">
        <f>SUMIFS(Donnees_regimes!$M$3:$M$1118,Donnees_regimes!$A$3:$A$1118,C386,Donnees_regimes!$B$3:$B$1118,M386)</f>
        <v/>
      </c>
      <c r="AD386" s="14">
        <f>SUMIFS(Donnees_annuelles!$Y$3:$Y$188,Donnees_annuelles!$A$3:$A$188,M386)*SUMIFS(Donnees_generations!$I$3:$I$113,Donnees_generations!$A$3:$A$113,MAX(1915,MIN(2025,E386)))/H386</f>
        <v/>
      </c>
      <c r="AE386" s="14">
        <f>IF(C386="Privé",SUMIFS(Donnees_annuelles!$Y$3:$Y$188,Donnees_annuelles!$A$3:$A$188,M386)*MIN(L386,SUMIFS(Donnees_generations!$I$3:$I$113,Donnees_generations!$A$3:$A$113,MAX(1915,MIN(2025,E386))))/L386,AD386*AC386*MIN(IF(AB386&gt;0,0.8/0.75,1),(L386*4+AB386)/AA386))</f>
        <v/>
      </c>
      <c r="AF386" s="14">
        <f>AE386/12</f>
        <v/>
      </c>
      <c r="AG386" s="77">
        <f>MIN(68,MAX(56,2*INT(K386/2)))</f>
        <v/>
      </c>
      <c r="AH386" s="75">
        <f>(CHOOSE((AG386-56)/2+1,SUMIFS(Donnees_generations!$U$3:$U$113,Donnees_generations!$A$3:$A$113,MAX(1915,MIN(2025,E386))),SUMIFS(Donnees_generations!$V$3:$V$113,Donnees_generations!$A$3:$A$113,MAX(1915,MIN(2025,E386))),SUMIFS(Donnees_generations!$W$3:$W$113,Donnees_generations!$A$3:$A$113,MAX(1915,MIN(2025,E386))),SUMIFS(Donnees_generations!$X$3:$X$113,Donnees_generations!$A$3:$A$113,MAX(1915,MIN(2025,E386))),SUMIFS(Donnees_generations!$Y$3:$Y$113,Donnees_generations!$A$3:$A$113,MAX(1915,MIN(2025,E386))),SUMIFS(Donnees_generations!$Z$3:$Z$113,Donnees_generations!$A$3:$A$113,MAX(1915,MIN(2025,E386))),SUMIFS(Donnees_generations!$AA$3:$AA$113,Donnees_generations!$A$3:$A$113,MAX(1915,MIN(2025,E386))),SUMIFS(Donnees_generations!$AB$3:$AB$113,Donnees_generations!$A$3:$A$113,MAX(1915,MIN(2025,E386))))+CHOOSE((AG386-56)/2+1,SUMIFS(Donnees_generations!$AC$3:$AC$113,Donnees_generations!$A$3:$A$113,MAX(1915,MIN(2025,E386))),SUMIFS(Donnees_generations!$AD$3:$AD$113,Donnees_generations!$A$3:$A$113,MAX(1915,MIN(2025,E386))),SUMIFS(Donnees_generations!$AE$3:$AE$113,Donnees_generations!$A$3:$A$113,MAX(1915,MIN(2025,E386))),SUMIFS(Donnees_generations!$AF$3:$AF$113,Donnees_generations!$A$3:$A$113,MAX(1915,MIN(2025,E386))),SUMIFS(Donnees_generations!$AG$3:$AG$113,Donnees_generations!$A$3:$A$113,MAX(1915,MIN(2025,E386))),SUMIFS(Donnees_generations!$AH$3:$AH$113,Donnees_generations!$A$3:$A$113,MAX(1915,MIN(2025,E386))),SUMIFS(Donnees_generations!$AI$3:$AI$113,Donnees_generations!$A$3:$A$113,MAX(1915,MIN(2025,E386))),SUMIFS(Donnees_generations!$AJ$3:$AJ$113,Donnees_generations!$A$3:$A$113,MAX(1915,MIN(2025,E386)))))/2</f>
        <v/>
      </c>
      <c r="AI386" s="75">
        <f>(CHOOSE(((AG386+2)-56)/2+1,SUMIFS(Donnees_generations!$U$3:$U$113,Donnees_generations!$A$3:$A$113,MAX(1915,MIN(2025,E386))),SUMIFS(Donnees_generations!$V$3:$V$113,Donnees_generations!$A$3:$A$113,MAX(1915,MIN(2025,E386))),SUMIFS(Donnees_generations!$W$3:$W$113,Donnees_generations!$A$3:$A$113,MAX(1915,MIN(2025,E386))),SUMIFS(Donnees_generations!$X$3:$X$113,Donnees_generations!$A$3:$A$113,MAX(1915,MIN(2025,E386))),SUMIFS(Donnees_generations!$Y$3:$Y$113,Donnees_generations!$A$3:$A$113,MAX(1915,MIN(2025,E386))),SUMIFS(Donnees_generations!$Z$3:$Z$113,Donnees_generations!$A$3:$A$113,MAX(1915,MIN(2025,E386))),SUMIFS(Donnees_generations!$AA$3:$AA$113,Donnees_generations!$A$3:$A$113,MAX(1915,MIN(2025,E386))),SUMIFS(Donnees_generations!$AB$3:$AB$113,Donnees_generations!$A$3:$A$113,MAX(1915,MIN(2025,E386))))+CHOOSE(((AG386+2)-56)/2+1,SUMIFS(Donnees_generations!$AC$3:$AC$113,Donnees_generations!$A$3:$A$113,MAX(1915,MIN(2025,E386))),SUMIFS(Donnees_generations!$AD$3:$AD$113,Donnees_generations!$A$3:$A$113,MAX(1915,MIN(2025,E386))),SUMIFS(Donnees_generations!$AE$3:$AE$113,Donnees_generations!$A$3:$A$113,MAX(1915,MIN(2025,E386))),SUMIFS(Donnees_generations!$AF$3:$AF$113,Donnees_generations!$A$3:$A$113,MAX(1915,MIN(2025,E386))),SUMIFS(Donnees_generations!$AG$3:$AG$113,Donnees_generations!$A$3:$A$113,MAX(1915,MIN(2025,E386))),SUMIFS(Donnees_generations!$AH$3:$AH$113,Donnees_generations!$A$3:$A$113,MAX(1915,MIN(2025,E386))),SUMIFS(Donnees_generations!$AI$3:$AI$113,Donnees_generations!$A$3:$A$113,MAX(1915,MIN(2025,E386))),SUMIFS(Donnees_generations!$AJ$3:$AJ$113,Donnees_generations!$A$3:$A$113,MAX(1915,MIN(2025,E386)))))/2</f>
        <v/>
      </c>
      <c r="AJ386" s="8">
        <f>MAX(0,AH386+(AI386-AH386)*(K386-AG386)/2)</f>
        <v/>
      </c>
      <c r="AK386" s="8">
        <f>K386+AJ386</f>
        <v/>
      </c>
      <c r="AL386" s="14">
        <f>AE386*AJ386</f>
        <v/>
      </c>
      <c r="AM386" s="17">
        <f>V386/AL386</f>
        <v/>
      </c>
      <c r="AN386" s="17">
        <f>Z386/AL386</f>
        <v/>
      </c>
      <c r="AO386" s="33">
        <f>IF(V386+Z386=0,0,Z386/(V386+Z386))</f>
        <v/>
      </c>
      <c r="AP386" s="14">
        <f>AL386/V386*100</f>
        <v/>
      </c>
      <c r="AQ386" s="8">
        <f>P386/AL386*1000</f>
        <v/>
      </c>
      <c r="AR386" s="77">
        <f>MAX(N386,M386-1)</f>
        <v/>
      </c>
      <c r="AS386" s="14">
        <f>SUMIFS(Donnees_regimes!$R$3:$R$1118,Donnees_regimes!$A$3:$A$1118,C386,Donnees_regimes!$B$3:$B$1118,"&gt;="&amp;G386,Donnees_regimes!$B$3:$B$1118,"&lt;="&amp;N386)*L386/ROUNDUP(L386,0)*SUMIFS(Donnees_annuelles!$AG$3:$AG$188,Donnees_annuelles!$A$3:$A$188,AR386)*SUMIFS(Donnees_annuelles!$AA$3:$AA$188,Donnees_annuelles!$A$3:$A$188,AR386)</f>
        <v/>
      </c>
      <c r="AT386" s="36">
        <f>AS386/V386</f>
        <v/>
      </c>
      <c r="AU386" s="14">
        <f>AL386</f>
        <v/>
      </c>
      <c r="AV386" s="39">
        <f>AS386-AL386</f>
        <v/>
      </c>
      <c r="AW386" s="9">
        <f>AS386/AL386-1</f>
        <v/>
      </c>
      <c r="AX386" s="14">
        <f>AS386/AJ386/12</f>
        <v/>
      </c>
      <c r="AY386" s="14">
        <f>AF386</f>
        <v/>
      </c>
      <c r="AZ386" s="39">
        <f>AX386-AF386</f>
        <v/>
      </c>
      <c r="BA386" s="14">
        <f>SUMIFS(Donnees_regimes!$S$3:$S$1118,Donnees_regimes!$A$3:$A$1118,C386,Donnees_regimes!$B$3:$B$1118,"&gt;="&amp;G386,Donnees_regimes!$B$3:$B$1118,"&lt;="&amp;N386)*L386/ROUNDUP(L386,0)*SUMIFS(Donnees_annuelles!$AH$3:$AH$188,Donnees_annuelles!$A$3:$A$188,AR386)*SUMIFS(Donnees_annuelles!$AA$3:$AA$188,Donnees_annuelles!$A$3:$A$188,AR386)</f>
        <v/>
      </c>
      <c r="BB386" s="39">
        <f>BA386-AL386</f>
        <v/>
      </c>
      <c r="BC386" s="7">
        <f>IF(M386+AJ386&gt;2026,IF(G386&gt;2026,"entièrement projeté","en partie projeté"),"observé")</f>
        <v/>
      </c>
    </row>
    <row r="387">
      <c r="A387" s="7" t="inlineStr">
        <is>
          <t>Génération Alpha</t>
        </is>
      </c>
      <c r="B387" s="84" t="inlineStr">
        <is>
          <t>SNCF</t>
        </is>
      </c>
      <c r="C387" s="7">
        <f>IF(G387&gt;=SUMIFS(Regimes!$C$5:$C$10,Regimes!$A$5:$A$10,B387),"Privé",B387)</f>
        <v/>
      </c>
      <c r="D387" s="7">
        <f>INDEX(Regimes!$D$5:$D$10,MATCH(C387,Regimes!$A$5:$A$10,0))</f>
        <v/>
      </c>
      <c r="E387" s="88" t="n">
        <v>2018</v>
      </c>
      <c r="F387" s="8">
        <f>Donnees_generations!C106</f>
        <v/>
      </c>
      <c r="G387" s="77">
        <f>Donnees_generations!D106</f>
        <v/>
      </c>
      <c r="H387" s="8">
        <f>SUMIFS(Donnees_generations!$S$3:$S$113,Donnees_generations!$A$3:$A$113,MAX(1915,MIN(2025,E387)))</f>
        <v/>
      </c>
      <c r="I387" s="8">
        <f>SUMIFS(Donnees_generations!$T$3:$T$113,Donnees_generations!$A$3:$A$113,MAX(1915,MIN(2025,E387)))</f>
        <v/>
      </c>
      <c r="J387" s="8">
        <f>IF(G387&gt;=2000,MAX(I387,Parametres!$B$3),I387)</f>
        <v/>
      </c>
      <c r="K387" s="8">
        <f>IF(C387="Privé",J387,SUMIFS(Regles_regimes!$J$3:$J$2000,Regles_regimes!$A$3:$A$2000,C387,Regles_regimes!$B$3:$B$2000,D387,Regles_regimes!$C$3:$C$2000,MAX(1915,MIN(2025,E387))))</f>
        <v/>
      </c>
      <c r="L387" s="8">
        <f>IF(C387="Privé",H387,(K387-F387)*H387/(J387-F387))</f>
        <v/>
      </c>
      <c r="M387" s="77">
        <f>INT(E387+K387)</f>
        <v/>
      </c>
      <c r="N387" s="77">
        <f>G387+ROUNDUP(L387,0)-1</f>
        <v/>
      </c>
      <c r="O387" s="89">
        <f>SUMIFS(Regles_regimes!$K$3:$K$2000,Regles_regimes!$A$3:$A$2000,C387,Regles_regimes!$B$3:$B$2000,D387,Regles_regimes!$C$3:$C$2000,MAX(1915,MIN(2025,E387)))</f>
        <v/>
      </c>
      <c r="P387" s="13">
        <f>SUMIFS(Donnees_annuelles!$W$3:$W$188,Donnees_annuelles!$A$3:$A$188,"&gt;="&amp;G387,Donnees_annuelles!$A$3:$A$188,"&lt;="&amp;N387)*L387/ROUNDUP(L387,0)*O387</f>
        <v/>
      </c>
      <c r="Q387" s="13">
        <f>SUMIFS(Donnees_annuelles!$V$3:$V$188,Donnees_annuelles!$A$3:$A$188,"&gt;="&amp;G387,Donnees_annuelles!$A$3:$A$188,"&lt;="&amp;N387)*L387/ROUNDUP(L387,0)</f>
        <v/>
      </c>
      <c r="R387" s="13">
        <f>P387/L387</f>
        <v/>
      </c>
      <c r="S387" s="14">
        <f>SUMIFS(Donnees_annuelles!$D$3:$D$188,Donnees_annuelles!$A$3:$A$188,"&gt;="&amp;G387,Donnees_annuelles!$A$3:$A$188,"&lt;="&amp;N387)*L387/ROUNDUP(L387,0)</f>
        <v/>
      </c>
      <c r="T387" s="14">
        <f>SUMIFS(Donnees_regimes!$N$3:$N$1118,Donnees_regimes!$A$3:$A$1118,C387,Donnees_regimes!$B$3:$B$1118,"&gt;="&amp;G387,Donnees_regimes!$B$3:$B$1118,"&lt;="&amp;N387)*L387/ROUNDUP(L387,0)</f>
        <v/>
      </c>
      <c r="U387" s="14">
        <f>SUMIFS(Donnees_regimes!$O$3:$O$1118,Donnees_regimes!$A$3:$A$1118,C387,Donnees_regimes!$B$3:$B$1118,"&gt;="&amp;G387,Donnees_regimes!$B$3:$B$1118,"&lt;="&amp;N387)*L387/ROUNDUP(L387,0)</f>
        <v/>
      </c>
      <c r="V387" s="14">
        <f>T387+U387</f>
        <v/>
      </c>
      <c r="W387" s="33">
        <f>V387/S387</f>
        <v/>
      </c>
      <c r="X387" s="14">
        <f>S387+U387</f>
        <v/>
      </c>
      <c r="Y387" s="17">
        <f>V387/P387</f>
        <v/>
      </c>
      <c r="Z387" s="14">
        <f>SUMIFS(Donnees_regimes!$Q$3:$Q$1118,Donnees_regimes!$A$3:$A$1118,C387,Donnees_regimes!$B$3:$B$1118,"&gt;="&amp;G387,Donnees_regimes!$B$3:$B$1118,"&lt;="&amp;N387)*L387/ROUNDUP(L387,0)</f>
        <v/>
      </c>
      <c r="AA387" s="77">
        <f>SUMIFS(Regles_regimes!$F$3:$F$2000,Regles_regimes!$A$3:$A$2000,C387,Regles_regimes!$B$3:$B$2000,D387,Regles_regimes!$C$3:$C$2000,MAX(1915,MIN(2025,E387)))</f>
        <v/>
      </c>
      <c r="AB387" s="77">
        <f>IF(AND(SUMIFS(Regles_regimes!$L$3:$L$2000,Regles_regimes!$A$3:$A$2000,C387,Regles_regimes!$B$3:$B$2000,D387,Regles_regimes!$C$3:$C$2000,MAX(1915,MIN(2025,E387)))=1,G387&lt;2009,C387&lt;&gt;"Privé"),MIN(20,L387*4/5),0)</f>
        <v/>
      </c>
      <c r="AC387" s="89">
        <f>SUMIFS(Donnees_regimes!$M$3:$M$1118,Donnees_regimes!$A$3:$A$1118,C387,Donnees_regimes!$B$3:$B$1118,M387)</f>
        <v/>
      </c>
      <c r="AD387" s="14">
        <f>SUMIFS(Donnees_annuelles!$Y$3:$Y$188,Donnees_annuelles!$A$3:$A$188,M387)*SUMIFS(Donnees_generations!$I$3:$I$113,Donnees_generations!$A$3:$A$113,MAX(1915,MIN(2025,E387)))/H387</f>
        <v/>
      </c>
      <c r="AE387" s="14">
        <f>IF(C387="Privé",SUMIFS(Donnees_annuelles!$Y$3:$Y$188,Donnees_annuelles!$A$3:$A$188,M387)*MIN(L387,SUMIFS(Donnees_generations!$I$3:$I$113,Donnees_generations!$A$3:$A$113,MAX(1915,MIN(2025,E387))))/L387,AD387*AC387*MIN(IF(AB387&gt;0,0.8/0.75,1),(L387*4+AB387)/AA387))</f>
        <v/>
      </c>
      <c r="AF387" s="14">
        <f>AE387/12</f>
        <v/>
      </c>
      <c r="AG387" s="77">
        <f>MIN(68,MAX(56,2*INT(K387/2)))</f>
        <v/>
      </c>
      <c r="AH387" s="75">
        <f>(CHOOSE((AG387-56)/2+1,SUMIFS(Donnees_generations!$U$3:$U$113,Donnees_generations!$A$3:$A$113,MAX(1915,MIN(2025,E387))),SUMIFS(Donnees_generations!$V$3:$V$113,Donnees_generations!$A$3:$A$113,MAX(1915,MIN(2025,E387))),SUMIFS(Donnees_generations!$W$3:$W$113,Donnees_generations!$A$3:$A$113,MAX(1915,MIN(2025,E387))),SUMIFS(Donnees_generations!$X$3:$X$113,Donnees_generations!$A$3:$A$113,MAX(1915,MIN(2025,E387))),SUMIFS(Donnees_generations!$Y$3:$Y$113,Donnees_generations!$A$3:$A$113,MAX(1915,MIN(2025,E387))),SUMIFS(Donnees_generations!$Z$3:$Z$113,Donnees_generations!$A$3:$A$113,MAX(1915,MIN(2025,E387))),SUMIFS(Donnees_generations!$AA$3:$AA$113,Donnees_generations!$A$3:$A$113,MAX(1915,MIN(2025,E387))),SUMIFS(Donnees_generations!$AB$3:$AB$113,Donnees_generations!$A$3:$A$113,MAX(1915,MIN(2025,E387))))+CHOOSE((AG387-56)/2+1,SUMIFS(Donnees_generations!$AC$3:$AC$113,Donnees_generations!$A$3:$A$113,MAX(1915,MIN(2025,E387))),SUMIFS(Donnees_generations!$AD$3:$AD$113,Donnees_generations!$A$3:$A$113,MAX(1915,MIN(2025,E387))),SUMIFS(Donnees_generations!$AE$3:$AE$113,Donnees_generations!$A$3:$A$113,MAX(1915,MIN(2025,E387))),SUMIFS(Donnees_generations!$AF$3:$AF$113,Donnees_generations!$A$3:$A$113,MAX(1915,MIN(2025,E387))),SUMIFS(Donnees_generations!$AG$3:$AG$113,Donnees_generations!$A$3:$A$113,MAX(1915,MIN(2025,E387))),SUMIFS(Donnees_generations!$AH$3:$AH$113,Donnees_generations!$A$3:$A$113,MAX(1915,MIN(2025,E387))),SUMIFS(Donnees_generations!$AI$3:$AI$113,Donnees_generations!$A$3:$A$113,MAX(1915,MIN(2025,E387))),SUMIFS(Donnees_generations!$AJ$3:$AJ$113,Donnees_generations!$A$3:$A$113,MAX(1915,MIN(2025,E387)))))/2</f>
        <v/>
      </c>
      <c r="AI387" s="75">
        <f>(CHOOSE(((AG387+2)-56)/2+1,SUMIFS(Donnees_generations!$U$3:$U$113,Donnees_generations!$A$3:$A$113,MAX(1915,MIN(2025,E387))),SUMIFS(Donnees_generations!$V$3:$V$113,Donnees_generations!$A$3:$A$113,MAX(1915,MIN(2025,E387))),SUMIFS(Donnees_generations!$W$3:$W$113,Donnees_generations!$A$3:$A$113,MAX(1915,MIN(2025,E387))),SUMIFS(Donnees_generations!$X$3:$X$113,Donnees_generations!$A$3:$A$113,MAX(1915,MIN(2025,E387))),SUMIFS(Donnees_generations!$Y$3:$Y$113,Donnees_generations!$A$3:$A$113,MAX(1915,MIN(2025,E387))),SUMIFS(Donnees_generations!$Z$3:$Z$113,Donnees_generations!$A$3:$A$113,MAX(1915,MIN(2025,E387))),SUMIFS(Donnees_generations!$AA$3:$AA$113,Donnees_generations!$A$3:$A$113,MAX(1915,MIN(2025,E387))),SUMIFS(Donnees_generations!$AB$3:$AB$113,Donnees_generations!$A$3:$A$113,MAX(1915,MIN(2025,E387))))+CHOOSE(((AG387+2)-56)/2+1,SUMIFS(Donnees_generations!$AC$3:$AC$113,Donnees_generations!$A$3:$A$113,MAX(1915,MIN(2025,E387))),SUMIFS(Donnees_generations!$AD$3:$AD$113,Donnees_generations!$A$3:$A$113,MAX(1915,MIN(2025,E387))),SUMIFS(Donnees_generations!$AE$3:$AE$113,Donnees_generations!$A$3:$A$113,MAX(1915,MIN(2025,E387))),SUMIFS(Donnees_generations!$AF$3:$AF$113,Donnees_generations!$A$3:$A$113,MAX(1915,MIN(2025,E387))),SUMIFS(Donnees_generations!$AG$3:$AG$113,Donnees_generations!$A$3:$A$113,MAX(1915,MIN(2025,E387))),SUMIFS(Donnees_generations!$AH$3:$AH$113,Donnees_generations!$A$3:$A$113,MAX(1915,MIN(2025,E387))),SUMIFS(Donnees_generations!$AI$3:$AI$113,Donnees_generations!$A$3:$A$113,MAX(1915,MIN(2025,E387))),SUMIFS(Donnees_generations!$AJ$3:$AJ$113,Donnees_generations!$A$3:$A$113,MAX(1915,MIN(2025,E387)))))/2</f>
        <v/>
      </c>
      <c r="AJ387" s="8">
        <f>MAX(0,AH387+(AI387-AH387)*(K387-AG387)/2)</f>
        <v/>
      </c>
      <c r="AK387" s="8">
        <f>K387+AJ387</f>
        <v/>
      </c>
      <c r="AL387" s="14">
        <f>AE387*AJ387</f>
        <v/>
      </c>
      <c r="AM387" s="17">
        <f>V387/AL387</f>
        <v/>
      </c>
      <c r="AN387" s="17">
        <f>Z387/AL387</f>
        <v/>
      </c>
      <c r="AO387" s="33">
        <f>IF(V387+Z387=0,0,Z387/(V387+Z387))</f>
        <v/>
      </c>
      <c r="AP387" s="14">
        <f>AL387/V387*100</f>
        <v/>
      </c>
      <c r="AQ387" s="8">
        <f>P387/AL387*1000</f>
        <v/>
      </c>
      <c r="AR387" s="77">
        <f>MAX(N387,M387-1)</f>
        <v/>
      </c>
      <c r="AS387" s="14">
        <f>SUMIFS(Donnees_regimes!$R$3:$R$1118,Donnees_regimes!$A$3:$A$1118,C387,Donnees_regimes!$B$3:$B$1118,"&gt;="&amp;G387,Donnees_regimes!$B$3:$B$1118,"&lt;="&amp;N387)*L387/ROUNDUP(L387,0)*SUMIFS(Donnees_annuelles!$AG$3:$AG$188,Donnees_annuelles!$A$3:$A$188,AR387)*SUMIFS(Donnees_annuelles!$AA$3:$AA$188,Donnees_annuelles!$A$3:$A$188,AR387)</f>
        <v/>
      </c>
      <c r="AT387" s="36">
        <f>AS387/V387</f>
        <v/>
      </c>
      <c r="AU387" s="14">
        <f>AL387</f>
        <v/>
      </c>
      <c r="AV387" s="39">
        <f>AS387-AL387</f>
        <v/>
      </c>
      <c r="AW387" s="9">
        <f>AS387/AL387-1</f>
        <v/>
      </c>
      <c r="AX387" s="14">
        <f>AS387/AJ387/12</f>
        <v/>
      </c>
      <c r="AY387" s="14">
        <f>AF387</f>
        <v/>
      </c>
      <c r="AZ387" s="39">
        <f>AX387-AF387</f>
        <v/>
      </c>
      <c r="BA387" s="14">
        <f>SUMIFS(Donnees_regimes!$S$3:$S$1118,Donnees_regimes!$A$3:$A$1118,C387,Donnees_regimes!$B$3:$B$1118,"&gt;="&amp;G387,Donnees_regimes!$B$3:$B$1118,"&lt;="&amp;N387)*L387/ROUNDUP(L387,0)*SUMIFS(Donnees_annuelles!$AH$3:$AH$188,Donnees_annuelles!$A$3:$A$188,AR387)*SUMIFS(Donnees_annuelles!$AA$3:$AA$188,Donnees_annuelles!$A$3:$A$188,AR387)</f>
        <v/>
      </c>
      <c r="BB387" s="39">
        <f>BA387-AL387</f>
        <v/>
      </c>
      <c r="BC387" s="7">
        <f>IF(M387+AJ387&gt;2026,IF(G387&gt;2026,"entièrement projeté","en partie projeté"),"observé")</f>
        <v/>
      </c>
    </row>
    <row r="388">
      <c r="A388" s="7" t="inlineStr">
        <is>
          <t>Génération Alpha</t>
        </is>
      </c>
      <c r="B388" s="84" t="inlineStr">
        <is>
          <t>SNCF</t>
        </is>
      </c>
      <c r="C388" s="7">
        <f>IF(G388&gt;=SUMIFS(Regimes!$C$5:$C$10,Regimes!$A$5:$A$10,B388),"Privé",B388)</f>
        <v/>
      </c>
      <c r="D388" s="7">
        <f>INDEX(Regimes!$D$5:$D$10,MATCH(C388,Regimes!$A$5:$A$10,0))</f>
        <v/>
      </c>
      <c r="E388" s="88" t="n">
        <v>2019</v>
      </c>
      <c r="F388" s="8">
        <f>Donnees_generations!C107</f>
        <v/>
      </c>
      <c r="G388" s="77">
        <f>Donnees_generations!D107</f>
        <v/>
      </c>
      <c r="H388" s="8">
        <f>SUMIFS(Donnees_generations!$S$3:$S$113,Donnees_generations!$A$3:$A$113,MAX(1915,MIN(2025,E388)))</f>
        <v/>
      </c>
      <c r="I388" s="8">
        <f>SUMIFS(Donnees_generations!$T$3:$T$113,Donnees_generations!$A$3:$A$113,MAX(1915,MIN(2025,E388)))</f>
        <v/>
      </c>
      <c r="J388" s="8">
        <f>IF(G388&gt;=2000,MAX(I388,Parametres!$B$3),I388)</f>
        <v/>
      </c>
      <c r="K388" s="8">
        <f>IF(C388="Privé",J388,SUMIFS(Regles_regimes!$J$3:$J$2000,Regles_regimes!$A$3:$A$2000,C388,Regles_regimes!$B$3:$B$2000,D388,Regles_regimes!$C$3:$C$2000,MAX(1915,MIN(2025,E388))))</f>
        <v/>
      </c>
      <c r="L388" s="8">
        <f>IF(C388="Privé",H388,(K388-F388)*H388/(J388-F388))</f>
        <v/>
      </c>
      <c r="M388" s="77">
        <f>INT(E388+K388)</f>
        <v/>
      </c>
      <c r="N388" s="77">
        <f>G388+ROUNDUP(L388,0)-1</f>
        <v/>
      </c>
      <c r="O388" s="89">
        <f>SUMIFS(Regles_regimes!$K$3:$K$2000,Regles_regimes!$A$3:$A$2000,C388,Regles_regimes!$B$3:$B$2000,D388,Regles_regimes!$C$3:$C$2000,MAX(1915,MIN(2025,E388)))</f>
        <v/>
      </c>
      <c r="P388" s="13">
        <f>SUMIFS(Donnees_annuelles!$W$3:$W$188,Donnees_annuelles!$A$3:$A$188,"&gt;="&amp;G388,Donnees_annuelles!$A$3:$A$188,"&lt;="&amp;N388)*L388/ROUNDUP(L388,0)*O388</f>
        <v/>
      </c>
      <c r="Q388" s="13">
        <f>SUMIFS(Donnees_annuelles!$V$3:$V$188,Donnees_annuelles!$A$3:$A$188,"&gt;="&amp;G388,Donnees_annuelles!$A$3:$A$188,"&lt;="&amp;N388)*L388/ROUNDUP(L388,0)</f>
        <v/>
      </c>
      <c r="R388" s="13">
        <f>P388/L388</f>
        <v/>
      </c>
      <c r="S388" s="14">
        <f>SUMIFS(Donnees_annuelles!$D$3:$D$188,Donnees_annuelles!$A$3:$A$188,"&gt;="&amp;G388,Donnees_annuelles!$A$3:$A$188,"&lt;="&amp;N388)*L388/ROUNDUP(L388,0)</f>
        <v/>
      </c>
      <c r="T388" s="14">
        <f>SUMIFS(Donnees_regimes!$N$3:$N$1118,Donnees_regimes!$A$3:$A$1118,C388,Donnees_regimes!$B$3:$B$1118,"&gt;="&amp;G388,Donnees_regimes!$B$3:$B$1118,"&lt;="&amp;N388)*L388/ROUNDUP(L388,0)</f>
        <v/>
      </c>
      <c r="U388" s="14">
        <f>SUMIFS(Donnees_regimes!$O$3:$O$1118,Donnees_regimes!$A$3:$A$1118,C388,Donnees_regimes!$B$3:$B$1118,"&gt;="&amp;G388,Donnees_regimes!$B$3:$B$1118,"&lt;="&amp;N388)*L388/ROUNDUP(L388,0)</f>
        <v/>
      </c>
      <c r="V388" s="14">
        <f>T388+U388</f>
        <v/>
      </c>
      <c r="W388" s="33">
        <f>V388/S388</f>
        <v/>
      </c>
      <c r="X388" s="14">
        <f>S388+U388</f>
        <v/>
      </c>
      <c r="Y388" s="17">
        <f>V388/P388</f>
        <v/>
      </c>
      <c r="Z388" s="14">
        <f>SUMIFS(Donnees_regimes!$Q$3:$Q$1118,Donnees_regimes!$A$3:$A$1118,C388,Donnees_regimes!$B$3:$B$1118,"&gt;="&amp;G388,Donnees_regimes!$B$3:$B$1118,"&lt;="&amp;N388)*L388/ROUNDUP(L388,0)</f>
        <v/>
      </c>
      <c r="AA388" s="77">
        <f>SUMIFS(Regles_regimes!$F$3:$F$2000,Regles_regimes!$A$3:$A$2000,C388,Regles_regimes!$B$3:$B$2000,D388,Regles_regimes!$C$3:$C$2000,MAX(1915,MIN(2025,E388)))</f>
        <v/>
      </c>
      <c r="AB388" s="77">
        <f>IF(AND(SUMIFS(Regles_regimes!$L$3:$L$2000,Regles_regimes!$A$3:$A$2000,C388,Regles_regimes!$B$3:$B$2000,D388,Regles_regimes!$C$3:$C$2000,MAX(1915,MIN(2025,E388)))=1,G388&lt;2009,C388&lt;&gt;"Privé"),MIN(20,L388*4/5),0)</f>
        <v/>
      </c>
      <c r="AC388" s="89">
        <f>SUMIFS(Donnees_regimes!$M$3:$M$1118,Donnees_regimes!$A$3:$A$1118,C388,Donnees_regimes!$B$3:$B$1118,M388)</f>
        <v/>
      </c>
      <c r="AD388" s="14">
        <f>SUMIFS(Donnees_annuelles!$Y$3:$Y$188,Donnees_annuelles!$A$3:$A$188,M388)*SUMIFS(Donnees_generations!$I$3:$I$113,Donnees_generations!$A$3:$A$113,MAX(1915,MIN(2025,E388)))/H388</f>
        <v/>
      </c>
      <c r="AE388" s="14">
        <f>IF(C388="Privé",SUMIFS(Donnees_annuelles!$Y$3:$Y$188,Donnees_annuelles!$A$3:$A$188,M388)*MIN(L388,SUMIFS(Donnees_generations!$I$3:$I$113,Donnees_generations!$A$3:$A$113,MAX(1915,MIN(2025,E388))))/L388,AD388*AC388*MIN(IF(AB388&gt;0,0.8/0.75,1),(L388*4+AB388)/AA388))</f>
        <v/>
      </c>
      <c r="AF388" s="14">
        <f>AE388/12</f>
        <v/>
      </c>
      <c r="AG388" s="77">
        <f>MIN(68,MAX(56,2*INT(K388/2)))</f>
        <v/>
      </c>
      <c r="AH388" s="75">
        <f>(CHOOSE((AG388-56)/2+1,SUMIFS(Donnees_generations!$U$3:$U$113,Donnees_generations!$A$3:$A$113,MAX(1915,MIN(2025,E388))),SUMIFS(Donnees_generations!$V$3:$V$113,Donnees_generations!$A$3:$A$113,MAX(1915,MIN(2025,E388))),SUMIFS(Donnees_generations!$W$3:$W$113,Donnees_generations!$A$3:$A$113,MAX(1915,MIN(2025,E388))),SUMIFS(Donnees_generations!$X$3:$X$113,Donnees_generations!$A$3:$A$113,MAX(1915,MIN(2025,E388))),SUMIFS(Donnees_generations!$Y$3:$Y$113,Donnees_generations!$A$3:$A$113,MAX(1915,MIN(2025,E388))),SUMIFS(Donnees_generations!$Z$3:$Z$113,Donnees_generations!$A$3:$A$113,MAX(1915,MIN(2025,E388))),SUMIFS(Donnees_generations!$AA$3:$AA$113,Donnees_generations!$A$3:$A$113,MAX(1915,MIN(2025,E388))),SUMIFS(Donnees_generations!$AB$3:$AB$113,Donnees_generations!$A$3:$A$113,MAX(1915,MIN(2025,E388))))+CHOOSE((AG388-56)/2+1,SUMIFS(Donnees_generations!$AC$3:$AC$113,Donnees_generations!$A$3:$A$113,MAX(1915,MIN(2025,E388))),SUMIFS(Donnees_generations!$AD$3:$AD$113,Donnees_generations!$A$3:$A$113,MAX(1915,MIN(2025,E388))),SUMIFS(Donnees_generations!$AE$3:$AE$113,Donnees_generations!$A$3:$A$113,MAX(1915,MIN(2025,E388))),SUMIFS(Donnees_generations!$AF$3:$AF$113,Donnees_generations!$A$3:$A$113,MAX(1915,MIN(2025,E388))),SUMIFS(Donnees_generations!$AG$3:$AG$113,Donnees_generations!$A$3:$A$113,MAX(1915,MIN(2025,E388))),SUMIFS(Donnees_generations!$AH$3:$AH$113,Donnees_generations!$A$3:$A$113,MAX(1915,MIN(2025,E388))),SUMIFS(Donnees_generations!$AI$3:$AI$113,Donnees_generations!$A$3:$A$113,MAX(1915,MIN(2025,E388))),SUMIFS(Donnees_generations!$AJ$3:$AJ$113,Donnees_generations!$A$3:$A$113,MAX(1915,MIN(2025,E388)))))/2</f>
        <v/>
      </c>
      <c r="AI388" s="75">
        <f>(CHOOSE(((AG388+2)-56)/2+1,SUMIFS(Donnees_generations!$U$3:$U$113,Donnees_generations!$A$3:$A$113,MAX(1915,MIN(2025,E388))),SUMIFS(Donnees_generations!$V$3:$V$113,Donnees_generations!$A$3:$A$113,MAX(1915,MIN(2025,E388))),SUMIFS(Donnees_generations!$W$3:$W$113,Donnees_generations!$A$3:$A$113,MAX(1915,MIN(2025,E388))),SUMIFS(Donnees_generations!$X$3:$X$113,Donnees_generations!$A$3:$A$113,MAX(1915,MIN(2025,E388))),SUMIFS(Donnees_generations!$Y$3:$Y$113,Donnees_generations!$A$3:$A$113,MAX(1915,MIN(2025,E388))),SUMIFS(Donnees_generations!$Z$3:$Z$113,Donnees_generations!$A$3:$A$113,MAX(1915,MIN(2025,E388))),SUMIFS(Donnees_generations!$AA$3:$AA$113,Donnees_generations!$A$3:$A$113,MAX(1915,MIN(2025,E388))),SUMIFS(Donnees_generations!$AB$3:$AB$113,Donnees_generations!$A$3:$A$113,MAX(1915,MIN(2025,E388))))+CHOOSE(((AG388+2)-56)/2+1,SUMIFS(Donnees_generations!$AC$3:$AC$113,Donnees_generations!$A$3:$A$113,MAX(1915,MIN(2025,E388))),SUMIFS(Donnees_generations!$AD$3:$AD$113,Donnees_generations!$A$3:$A$113,MAX(1915,MIN(2025,E388))),SUMIFS(Donnees_generations!$AE$3:$AE$113,Donnees_generations!$A$3:$A$113,MAX(1915,MIN(2025,E388))),SUMIFS(Donnees_generations!$AF$3:$AF$113,Donnees_generations!$A$3:$A$113,MAX(1915,MIN(2025,E388))),SUMIFS(Donnees_generations!$AG$3:$AG$113,Donnees_generations!$A$3:$A$113,MAX(1915,MIN(2025,E388))),SUMIFS(Donnees_generations!$AH$3:$AH$113,Donnees_generations!$A$3:$A$113,MAX(1915,MIN(2025,E388))),SUMIFS(Donnees_generations!$AI$3:$AI$113,Donnees_generations!$A$3:$A$113,MAX(1915,MIN(2025,E388))),SUMIFS(Donnees_generations!$AJ$3:$AJ$113,Donnees_generations!$A$3:$A$113,MAX(1915,MIN(2025,E388)))))/2</f>
        <v/>
      </c>
      <c r="AJ388" s="8">
        <f>MAX(0,AH388+(AI388-AH388)*(K388-AG388)/2)</f>
        <v/>
      </c>
      <c r="AK388" s="8">
        <f>K388+AJ388</f>
        <v/>
      </c>
      <c r="AL388" s="14">
        <f>AE388*AJ388</f>
        <v/>
      </c>
      <c r="AM388" s="17">
        <f>V388/AL388</f>
        <v/>
      </c>
      <c r="AN388" s="17">
        <f>Z388/AL388</f>
        <v/>
      </c>
      <c r="AO388" s="33">
        <f>IF(V388+Z388=0,0,Z388/(V388+Z388))</f>
        <v/>
      </c>
      <c r="AP388" s="14">
        <f>AL388/V388*100</f>
        <v/>
      </c>
      <c r="AQ388" s="8">
        <f>P388/AL388*1000</f>
        <v/>
      </c>
      <c r="AR388" s="77">
        <f>MAX(N388,M388-1)</f>
        <v/>
      </c>
      <c r="AS388" s="14">
        <f>SUMIFS(Donnees_regimes!$R$3:$R$1118,Donnees_regimes!$A$3:$A$1118,C388,Donnees_regimes!$B$3:$B$1118,"&gt;="&amp;G388,Donnees_regimes!$B$3:$B$1118,"&lt;="&amp;N388)*L388/ROUNDUP(L388,0)*SUMIFS(Donnees_annuelles!$AG$3:$AG$188,Donnees_annuelles!$A$3:$A$188,AR388)*SUMIFS(Donnees_annuelles!$AA$3:$AA$188,Donnees_annuelles!$A$3:$A$188,AR388)</f>
        <v/>
      </c>
      <c r="AT388" s="36">
        <f>AS388/V388</f>
        <v/>
      </c>
      <c r="AU388" s="14">
        <f>AL388</f>
        <v/>
      </c>
      <c r="AV388" s="39">
        <f>AS388-AL388</f>
        <v/>
      </c>
      <c r="AW388" s="9">
        <f>AS388/AL388-1</f>
        <v/>
      </c>
      <c r="AX388" s="14">
        <f>AS388/AJ388/12</f>
        <v/>
      </c>
      <c r="AY388" s="14">
        <f>AF388</f>
        <v/>
      </c>
      <c r="AZ388" s="39">
        <f>AX388-AF388</f>
        <v/>
      </c>
      <c r="BA388" s="14">
        <f>SUMIFS(Donnees_regimes!$S$3:$S$1118,Donnees_regimes!$A$3:$A$1118,C388,Donnees_regimes!$B$3:$B$1118,"&gt;="&amp;G388,Donnees_regimes!$B$3:$B$1118,"&lt;="&amp;N388)*L388/ROUNDUP(L388,0)*SUMIFS(Donnees_annuelles!$AH$3:$AH$188,Donnees_annuelles!$A$3:$A$188,AR388)*SUMIFS(Donnees_annuelles!$AA$3:$AA$188,Donnees_annuelles!$A$3:$A$188,AR388)</f>
        <v/>
      </c>
      <c r="BB388" s="39">
        <f>BA388-AL388</f>
        <v/>
      </c>
      <c r="BC388" s="7">
        <f>IF(M388+AJ388&gt;2026,IF(G388&gt;2026,"entièrement projeté","en partie projeté"),"observé")</f>
        <v/>
      </c>
    </row>
    <row r="389">
      <c r="A389" s="7" t="inlineStr">
        <is>
          <t>Génération Alpha</t>
        </is>
      </c>
      <c r="B389" s="84" t="inlineStr">
        <is>
          <t>SNCF</t>
        </is>
      </c>
      <c r="C389" s="7">
        <f>IF(G389&gt;=SUMIFS(Regimes!$C$5:$C$10,Regimes!$A$5:$A$10,B389),"Privé",B389)</f>
        <v/>
      </c>
      <c r="D389" s="7">
        <f>INDEX(Regimes!$D$5:$D$10,MATCH(C389,Regimes!$A$5:$A$10,0))</f>
        <v/>
      </c>
      <c r="E389" s="88" t="n">
        <v>2020</v>
      </c>
      <c r="F389" s="8">
        <f>Donnees_generations!C108</f>
        <v/>
      </c>
      <c r="G389" s="77">
        <f>Donnees_generations!D108</f>
        <v/>
      </c>
      <c r="H389" s="8">
        <f>SUMIFS(Donnees_generations!$S$3:$S$113,Donnees_generations!$A$3:$A$113,MAX(1915,MIN(2025,E389)))</f>
        <v/>
      </c>
      <c r="I389" s="8">
        <f>SUMIFS(Donnees_generations!$T$3:$T$113,Donnees_generations!$A$3:$A$113,MAX(1915,MIN(2025,E389)))</f>
        <v/>
      </c>
      <c r="J389" s="8">
        <f>IF(G389&gt;=2000,MAX(I389,Parametres!$B$3),I389)</f>
        <v/>
      </c>
      <c r="K389" s="8">
        <f>IF(C389="Privé",J389,SUMIFS(Regles_regimes!$J$3:$J$2000,Regles_regimes!$A$3:$A$2000,C389,Regles_regimes!$B$3:$B$2000,D389,Regles_regimes!$C$3:$C$2000,MAX(1915,MIN(2025,E389))))</f>
        <v/>
      </c>
      <c r="L389" s="8">
        <f>IF(C389="Privé",H389,(K389-F389)*H389/(J389-F389))</f>
        <v/>
      </c>
      <c r="M389" s="77">
        <f>INT(E389+K389)</f>
        <v/>
      </c>
      <c r="N389" s="77">
        <f>G389+ROUNDUP(L389,0)-1</f>
        <v/>
      </c>
      <c r="O389" s="89">
        <f>SUMIFS(Regles_regimes!$K$3:$K$2000,Regles_regimes!$A$3:$A$2000,C389,Regles_regimes!$B$3:$B$2000,D389,Regles_regimes!$C$3:$C$2000,MAX(1915,MIN(2025,E389)))</f>
        <v/>
      </c>
      <c r="P389" s="13">
        <f>SUMIFS(Donnees_annuelles!$W$3:$W$188,Donnees_annuelles!$A$3:$A$188,"&gt;="&amp;G389,Donnees_annuelles!$A$3:$A$188,"&lt;="&amp;N389)*L389/ROUNDUP(L389,0)*O389</f>
        <v/>
      </c>
      <c r="Q389" s="13">
        <f>SUMIFS(Donnees_annuelles!$V$3:$V$188,Donnees_annuelles!$A$3:$A$188,"&gt;="&amp;G389,Donnees_annuelles!$A$3:$A$188,"&lt;="&amp;N389)*L389/ROUNDUP(L389,0)</f>
        <v/>
      </c>
      <c r="R389" s="13">
        <f>P389/L389</f>
        <v/>
      </c>
      <c r="S389" s="14">
        <f>SUMIFS(Donnees_annuelles!$D$3:$D$188,Donnees_annuelles!$A$3:$A$188,"&gt;="&amp;G389,Donnees_annuelles!$A$3:$A$188,"&lt;="&amp;N389)*L389/ROUNDUP(L389,0)</f>
        <v/>
      </c>
      <c r="T389" s="14">
        <f>SUMIFS(Donnees_regimes!$N$3:$N$1118,Donnees_regimes!$A$3:$A$1118,C389,Donnees_regimes!$B$3:$B$1118,"&gt;="&amp;G389,Donnees_regimes!$B$3:$B$1118,"&lt;="&amp;N389)*L389/ROUNDUP(L389,0)</f>
        <v/>
      </c>
      <c r="U389" s="14">
        <f>SUMIFS(Donnees_regimes!$O$3:$O$1118,Donnees_regimes!$A$3:$A$1118,C389,Donnees_regimes!$B$3:$B$1118,"&gt;="&amp;G389,Donnees_regimes!$B$3:$B$1118,"&lt;="&amp;N389)*L389/ROUNDUP(L389,0)</f>
        <v/>
      </c>
      <c r="V389" s="14">
        <f>T389+U389</f>
        <v/>
      </c>
      <c r="W389" s="33">
        <f>V389/S389</f>
        <v/>
      </c>
      <c r="X389" s="14">
        <f>S389+U389</f>
        <v/>
      </c>
      <c r="Y389" s="17">
        <f>V389/P389</f>
        <v/>
      </c>
      <c r="Z389" s="14">
        <f>SUMIFS(Donnees_regimes!$Q$3:$Q$1118,Donnees_regimes!$A$3:$A$1118,C389,Donnees_regimes!$B$3:$B$1118,"&gt;="&amp;G389,Donnees_regimes!$B$3:$B$1118,"&lt;="&amp;N389)*L389/ROUNDUP(L389,0)</f>
        <v/>
      </c>
      <c r="AA389" s="77">
        <f>SUMIFS(Regles_regimes!$F$3:$F$2000,Regles_regimes!$A$3:$A$2000,C389,Regles_regimes!$B$3:$B$2000,D389,Regles_regimes!$C$3:$C$2000,MAX(1915,MIN(2025,E389)))</f>
        <v/>
      </c>
      <c r="AB389" s="77">
        <f>IF(AND(SUMIFS(Regles_regimes!$L$3:$L$2000,Regles_regimes!$A$3:$A$2000,C389,Regles_regimes!$B$3:$B$2000,D389,Regles_regimes!$C$3:$C$2000,MAX(1915,MIN(2025,E389)))=1,G389&lt;2009,C389&lt;&gt;"Privé"),MIN(20,L389*4/5),0)</f>
        <v/>
      </c>
      <c r="AC389" s="89">
        <f>SUMIFS(Donnees_regimes!$M$3:$M$1118,Donnees_regimes!$A$3:$A$1118,C389,Donnees_regimes!$B$3:$B$1118,M389)</f>
        <v/>
      </c>
      <c r="AD389" s="14">
        <f>SUMIFS(Donnees_annuelles!$Y$3:$Y$188,Donnees_annuelles!$A$3:$A$188,M389)*SUMIFS(Donnees_generations!$I$3:$I$113,Donnees_generations!$A$3:$A$113,MAX(1915,MIN(2025,E389)))/H389</f>
        <v/>
      </c>
      <c r="AE389" s="14">
        <f>IF(C389="Privé",SUMIFS(Donnees_annuelles!$Y$3:$Y$188,Donnees_annuelles!$A$3:$A$188,M389)*MIN(L389,SUMIFS(Donnees_generations!$I$3:$I$113,Donnees_generations!$A$3:$A$113,MAX(1915,MIN(2025,E389))))/L389,AD389*AC389*MIN(IF(AB389&gt;0,0.8/0.75,1),(L389*4+AB389)/AA389))</f>
        <v/>
      </c>
      <c r="AF389" s="14">
        <f>AE389/12</f>
        <v/>
      </c>
      <c r="AG389" s="77">
        <f>MIN(68,MAX(56,2*INT(K389/2)))</f>
        <v/>
      </c>
      <c r="AH389" s="75">
        <f>(CHOOSE((AG389-56)/2+1,SUMIFS(Donnees_generations!$U$3:$U$113,Donnees_generations!$A$3:$A$113,MAX(1915,MIN(2025,E389))),SUMIFS(Donnees_generations!$V$3:$V$113,Donnees_generations!$A$3:$A$113,MAX(1915,MIN(2025,E389))),SUMIFS(Donnees_generations!$W$3:$W$113,Donnees_generations!$A$3:$A$113,MAX(1915,MIN(2025,E389))),SUMIFS(Donnees_generations!$X$3:$X$113,Donnees_generations!$A$3:$A$113,MAX(1915,MIN(2025,E389))),SUMIFS(Donnees_generations!$Y$3:$Y$113,Donnees_generations!$A$3:$A$113,MAX(1915,MIN(2025,E389))),SUMIFS(Donnees_generations!$Z$3:$Z$113,Donnees_generations!$A$3:$A$113,MAX(1915,MIN(2025,E389))),SUMIFS(Donnees_generations!$AA$3:$AA$113,Donnees_generations!$A$3:$A$113,MAX(1915,MIN(2025,E389))),SUMIFS(Donnees_generations!$AB$3:$AB$113,Donnees_generations!$A$3:$A$113,MAX(1915,MIN(2025,E389))))+CHOOSE((AG389-56)/2+1,SUMIFS(Donnees_generations!$AC$3:$AC$113,Donnees_generations!$A$3:$A$113,MAX(1915,MIN(2025,E389))),SUMIFS(Donnees_generations!$AD$3:$AD$113,Donnees_generations!$A$3:$A$113,MAX(1915,MIN(2025,E389))),SUMIFS(Donnees_generations!$AE$3:$AE$113,Donnees_generations!$A$3:$A$113,MAX(1915,MIN(2025,E389))),SUMIFS(Donnees_generations!$AF$3:$AF$113,Donnees_generations!$A$3:$A$113,MAX(1915,MIN(2025,E389))),SUMIFS(Donnees_generations!$AG$3:$AG$113,Donnees_generations!$A$3:$A$113,MAX(1915,MIN(2025,E389))),SUMIFS(Donnees_generations!$AH$3:$AH$113,Donnees_generations!$A$3:$A$113,MAX(1915,MIN(2025,E389))),SUMIFS(Donnees_generations!$AI$3:$AI$113,Donnees_generations!$A$3:$A$113,MAX(1915,MIN(2025,E389))),SUMIFS(Donnees_generations!$AJ$3:$AJ$113,Donnees_generations!$A$3:$A$113,MAX(1915,MIN(2025,E389)))))/2</f>
        <v/>
      </c>
      <c r="AI389" s="75">
        <f>(CHOOSE(((AG389+2)-56)/2+1,SUMIFS(Donnees_generations!$U$3:$U$113,Donnees_generations!$A$3:$A$113,MAX(1915,MIN(2025,E389))),SUMIFS(Donnees_generations!$V$3:$V$113,Donnees_generations!$A$3:$A$113,MAX(1915,MIN(2025,E389))),SUMIFS(Donnees_generations!$W$3:$W$113,Donnees_generations!$A$3:$A$113,MAX(1915,MIN(2025,E389))),SUMIFS(Donnees_generations!$X$3:$X$113,Donnees_generations!$A$3:$A$113,MAX(1915,MIN(2025,E389))),SUMIFS(Donnees_generations!$Y$3:$Y$113,Donnees_generations!$A$3:$A$113,MAX(1915,MIN(2025,E389))),SUMIFS(Donnees_generations!$Z$3:$Z$113,Donnees_generations!$A$3:$A$113,MAX(1915,MIN(2025,E389))),SUMIFS(Donnees_generations!$AA$3:$AA$113,Donnees_generations!$A$3:$A$113,MAX(1915,MIN(2025,E389))),SUMIFS(Donnees_generations!$AB$3:$AB$113,Donnees_generations!$A$3:$A$113,MAX(1915,MIN(2025,E389))))+CHOOSE(((AG389+2)-56)/2+1,SUMIFS(Donnees_generations!$AC$3:$AC$113,Donnees_generations!$A$3:$A$113,MAX(1915,MIN(2025,E389))),SUMIFS(Donnees_generations!$AD$3:$AD$113,Donnees_generations!$A$3:$A$113,MAX(1915,MIN(2025,E389))),SUMIFS(Donnees_generations!$AE$3:$AE$113,Donnees_generations!$A$3:$A$113,MAX(1915,MIN(2025,E389))),SUMIFS(Donnees_generations!$AF$3:$AF$113,Donnees_generations!$A$3:$A$113,MAX(1915,MIN(2025,E389))),SUMIFS(Donnees_generations!$AG$3:$AG$113,Donnees_generations!$A$3:$A$113,MAX(1915,MIN(2025,E389))),SUMIFS(Donnees_generations!$AH$3:$AH$113,Donnees_generations!$A$3:$A$113,MAX(1915,MIN(2025,E389))),SUMIFS(Donnees_generations!$AI$3:$AI$113,Donnees_generations!$A$3:$A$113,MAX(1915,MIN(2025,E389))),SUMIFS(Donnees_generations!$AJ$3:$AJ$113,Donnees_generations!$A$3:$A$113,MAX(1915,MIN(2025,E389)))))/2</f>
        <v/>
      </c>
      <c r="AJ389" s="8">
        <f>MAX(0,AH389+(AI389-AH389)*(K389-AG389)/2)</f>
        <v/>
      </c>
      <c r="AK389" s="8">
        <f>K389+AJ389</f>
        <v/>
      </c>
      <c r="AL389" s="14">
        <f>AE389*AJ389</f>
        <v/>
      </c>
      <c r="AM389" s="17">
        <f>V389/AL389</f>
        <v/>
      </c>
      <c r="AN389" s="17">
        <f>Z389/AL389</f>
        <v/>
      </c>
      <c r="AO389" s="33">
        <f>IF(V389+Z389=0,0,Z389/(V389+Z389))</f>
        <v/>
      </c>
      <c r="AP389" s="14">
        <f>AL389/V389*100</f>
        <v/>
      </c>
      <c r="AQ389" s="8">
        <f>P389/AL389*1000</f>
        <v/>
      </c>
      <c r="AR389" s="77">
        <f>MAX(N389,M389-1)</f>
        <v/>
      </c>
      <c r="AS389" s="14">
        <f>SUMIFS(Donnees_regimes!$R$3:$R$1118,Donnees_regimes!$A$3:$A$1118,C389,Donnees_regimes!$B$3:$B$1118,"&gt;="&amp;G389,Donnees_regimes!$B$3:$B$1118,"&lt;="&amp;N389)*L389/ROUNDUP(L389,0)*SUMIFS(Donnees_annuelles!$AG$3:$AG$188,Donnees_annuelles!$A$3:$A$188,AR389)*SUMIFS(Donnees_annuelles!$AA$3:$AA$188,Donnees_annuelles!$A$3:$A$188,AR389)</f>
        <v/>
      </c>
      <c r="AT389" s="36">
        <f>AS389/V389</f>
        <v/>
      </c>
      <c r="AU389" s="14">
        <f>AL389</f>
        <v/>
      </c>
      <c r="AV389" s="39">
        <f>AS389-AL389</f>
        <v/>
      </c>
      <c r="AW389" s="9">
        <f>AS389/AL389-1</f>
        <v/>
      </c>
      <c r="AX389" s="14">
        <f>AS389/AJ389/12</f>
        <v/>
      </c>
      <c r="AY389" s="14">
        <f>AF389</f>
        <v/>
      </c>
      <c r="AZ389" s="39">
        <f>AX389-AF389</f>
        <v/>
      </c>
      <c r="BA389" s="14">
        <f>SUMIFS(Donnees_regimes!$S$3:$S$1118,Donnees_regimes!$A$3:$A$1118,C389,Donnees_regimes!$B$3:$B$1118,"&gt;="&amp;G389,Donnees_regimes!$B$3:$B$1118,"&lt;="&amp;N389)*L389/ROUNDUP(L389,0)*SUMIFS(Donnees_annuelles!$AH$3:$AH$188,Donnees_annuelles!$A$3:$A$188,AR389)*SUMIFS(Donnees_annuelles!$AA$3:$AA$188,Donnees_annuelles!$A$3:$A$188,AR389)</f>
        <v/>
      </c>
      <c r="BB389" s="39">
        <f>BA389-AL389</f>
        <v/>
      </c>
      <c r="BC389" s="7">
        <f>IF(M389+AJ389&gt;2026,IF(G389&gt;2026,"entièrement projeté","en partie projeté"),"observé")</f>
        <v/>
      </c>
    </row>
    <row r="390">
      <c r="A390" s="7" t="inlineStr">
        <is>
          <t>Génération Alpha</t>
        </is>
      </c>
      <c r="B390" s="84" t="inlineStr">
        <is>
          <t>SNCF</t>
        </is>
      </c>
      <c r="C390" s="7">
        <f>IF(G390&gt;=SUMIFS(Regimes!$C$5:$C$10,Regimes!$A$5:$A$10,B390),"Privé",B390)</f>
        <v/>
      </c>
      <c r="D390" s="7">
        <f>INDEX(Regimes!$D$5:$D$10,MATCH(C390,Regimes!$A$5:$A$10,0))</f>
        <v/>
      </c>
      <c r="E390" s="88" t="n">
        <v>2021</v>
      </c>
      <c r="F390" s="8">
        <f>Donnees_generations!C109</f>
        <v/>
      </c>
      <c r="G390" s="77">
        <f>Donnees_generations!D109</f>
        <v/>
      </c>
      <c r="H390" s="8">
        <f>SUMIFS(Donnees_generations!$S$3:$S$113,Donnees_generations!$A$3:$A$113,MAX(1915,MIN(2025,E390)))</f>
        <v/>
      </c>
      <c r="I390" s="8">
        <f>SUMIFS(Donnees_generations!$T$3:$T$113,Donnees_generations!$A$3:$A$113,MAX(1915,MIN(2025,E390)))</f>
        <v/>
      </c>
      <c r="J390" s="8">
        <f>IF(G390&gt;=2000,MAX(I390,Parametres!$B$3),I390)</f>
        <v/>
      </c>
      <c r="K390" s="8">
        <f>IF(C390="Privé",J390,SUMIFS(Regles_regimes!$J$3:$J$2000,Regles_regimes!$A$3:$A$2000,C390,Regles_regimes!$B$3:$B$2000,D390,Regles_regimes!$C$3:$C$2000,MAX(1915,MIN(2025,E390))))</f>
        <v/>
      </c>
      <c r="L390" s="8">
        <f>IF(C390="Privé",H390,(K390-F390)*H390/(J390-F390))</f>
        <v/>
      </c>
      <c r="M390" s="77">
        <f>INT(E390+K390)</f>
        <v/>
      </c>
      <c r="N390" s="77">
        <f>G390+ROUNDUP(L390,0)-1</f>
        <v/>
      </c>
      <c r="O390" s="89">
        <f>SUMIFS(Regles_regimes!$K$3:$K$2000,Regles_regimes!$A$3:$A$2000,C390,Regles_regimes!$B$3:$B$2000,D390,Regles_regimes!$C$3:$C$2000,MAX(1915,MIN(2025,E390)))</f>
        <v/>
      </c>
      <c r="P390" s="13">
        <f>SUMIFS(Donnees_annuelles!$W$3:$W$188,Donnees_annuelles!$A$3:$A$188,"&gt;="&amp;G390,Donnees_annuelles!$A$3:$A$188,"&lt;="&amp;N390)*L390/ROUNDUP(L390,0)*O390</f>
        <v/>
      </c>
      <c r="Q390" s="13">
        <f>SUMIFS(Donnees_annuelles!$V$3:$V$188,Donnees_annuelles!$A$3:$A$188,"&gt;="&amp;G390,Donnees_annuelles!$A$3:$A$188,"&lt;="&amp;N390)*L390/ROUNDUP(L390,0)</f>
        <v/>
      </c>
      <c r="R390" s="13">
        <f>P390/L390</f>
        <v/>
      </c>
      <c r="S390" s="14">
        <f>SUMIFS(Donnees_annuelles!$D$3:$D$188,Donnees_annuelles!$A$3:$A$188,"&gt;="&amp;G390,Donnees_annuelles!$A$3:$A$188,"&lt;="&amp;N390)*L390/ROUNDUP(L390,0)</f>
        <v/>
      </c>
      <c r="T390" s="14">
        <f>SUMIFS(Donnees_regimes!$N$3:$N$1118,Donnees_regimes!$A$3:$A$1118,C390,Donnees_regimes!$B$3:$B$1118,"&gt;="&amp;G390,Donnees_regimes!$B$3:$B$1118,"&lt;="&amp;N390)*L390/ROUNDUP(L390,0)</f>
        <v/>
      </c>
      <c r="U390" s="14">
        <f>SUMIFS(Donnees_regimes!$O$3:$O$1118,Donnees_regimes!$A$3:$A$1118,C390,Donnees_regimes!$B$3:$B$1118,"&gt;="&amp;G390,Donnees_regimes!$B$3:$B$1118,"&lt;="&amp;N390)*L390/ROUNDUP(L390,0)</f>
        <v/>
      </c>
      <c r="V390" s="14">
        <f>T390+U390</f>
        <v/>
      </c>
      <c r="W390" s="33">
        <f>V390/S390</f>
        <v/>
      </c>
      <c r="X390" s="14">
        <f>S390+U390</f>
        <v/>
      </c>
      <c r="Y390" s="17">
        <f>V390/P390</f>
        <v/>
      </c>
      <c r="Z390" s="14">
        <f>SUMIFS(Donnees_regimes!$Q$3:$Q$1118,Donnees_regimes!$A$3:$A$1118,C390,Donnees_regimes!$B$3:$B$1118,"&gt;="&amp;G390,Donnees_regimes!$B$3:$B$1118,"&lt;="&amp;N390)*L390/ROUNDUP(L390,0)</f>
        <v/>
      </c>
      <c r="AA390" s="77">
        <f>SUMIFS(Regles_regimes!$F$3:$F$2000,Regles_regimes!$A$3:$A$2000,C390,Regles_regimes!$B$3:$B$2000,D390,Regles_regimes!$C$3:$C$2000,MAX(1915,MIN(2025,E390)))</f>
        <v/>
      </c>
      <c r="AB390" s="77">
        <f>IF(AND(SUMIFS(Regles_regimes!$L$3:$L$2000,Regles_regimes!$A$3:$A$2000,C390,Regles_regimes!$B$3:$B$2000,D390,Regles_regimes!$C$3:$C$2000,MAX(1915,MIN(2025,E390)))=1,G390&lt;2009,C390&lt;&gt;"Privé"),MIN(20,L390*4/5),0)</f>
        <v/>
      </c>
      <c r="AC390" s="89">
        <f>SUMIFS(Donnees_regimes!$M$3:$M$1118,Donnees_regimes!$A$3:$A$1118,C390,Donnees_regimes!$B$3:$B$1118,M390)</f>
        <v/>
      </c>
      <c r="AD390" s="14">
        <f>SUMIFS(Donnees_annuelles!$Y$3:$Y$188,Donnees_annuelles!$A$3:$A$188,M390)*SUMIFS(Donnees_generations!$I$3:$I$113,Donnees_generations!$A$3:$A$113,MAX(1915,MIN(2025,E390)))/H390</f>
        <v/>
      </c>
      <c r="AE390" s="14">
        <f>IF(C390="Privé",SUMIFS(Donnees_annuelles!$Y$3:$Y$188,Donnees_annuelles!$A$3:$A$188,M390)*MIN(L390,SUMIFS(Donnees_generations!$I$3:$I$113,Donnees_generations!$A$3:$A$113,MAX(1915,MIN(2025,E390))))/L390,AD390*AC390*MIN(IF(AB390&gt;0,0.8/0.75,1),(L390*4+AB390)/AA390))</f>
        <v/>
      </c>
      <c r="AF390" s="14">
        <f>AE390/12</f>
        <v/>
      </c>
      <c r="AG390" s="77">
        <f>MIN(68,MAX(56,2*INT(K390/2)))</f>
        <v/>
      </c>
      <c r="AH390" s="75">
        <f>(CHOOSE((AG390-56)/2+1,SUMIFS(Donnees_generations!$U$3:$U$113,Donnees_generations!$A$3:$A$113,MAX(1915,MIN(2025,E390))),SUMIFS(Donnees_generations!$V$3:$V$113,Donnees_generations!$A$3:$A$113,MAX(1915,MIN(2025,E390))),SUMIFS(Donnees_generations!$W$3:$W$113,Donnees_generations!$A$3:$A$113,MAX(1915,MIN(2025,E390))),SUMIFS(Donnees_generations!$X$3:$X$113,Donnees_generations!$A$3:$A$113,MAX(1915,MIN(2025,E390))),SUMIFS(Donnees_generations!$Y$3:$Y$113,Donnees_generations!$A$3:$A$113,MAX(1915,MIN(2025,E390))),SUMIFS(Donnees_generations!$Z$3:$Z$113,Donnees_generations!$A$3:$A$113,MAX(1915,MIN(2025,E390))),SUMIFS(Donnees_generations!$AA$3:$AA$113,Donnees_generations!$A$3:$A$113,MAX(1915,MIN(2025,E390))),SUMIFS(Donnees_generations!$AB$3:$AB$113,Donnees_generations!$A$3:$A$113,MAX(1915,MIN(2025,E390))))+CHOOSE((AG390-56)/2+1,SUMIFS(Donnees_generations!$AC$3:$AC$113,Donnees_generations!$A$3:$A$113,MAX(1915,MIN(2025,E390))),SUMIFS(Donnees_generations!$AD$3:$AD$113,Donnees_generations!$A$3:$A$113,MAX(1915,MIN(2025,E390))),SUMIFS(Donnees_generations!$AE$3:$AE$113,Donnees_generations!$A$3:$A$113,MAX(1915,MIN(2025,E390))),SUMIFS(Donnees_generations!$AF$3:$AF$113,Donnees_generations!$A$3:$A$113,MAX(1915,MIN(2025,E390))),SUMIFS(Donnees_generations!$AG$3:$AG$113,Donnees_generations!$A$3:$A$113,MAX(1915,MIN(2025,E390))),SUMIFS(Donnees_generations!$AH$3:$AH$113,Donnees_generations!$A$3:$A$113,MAX(1915,MIN(2025,E390))),SUMIFS(Donnees_generations!$AI$3:$AI$113,Donnees_generations!$A$3:$A$113,MAX(1915,MIN(2025,E390))),SUMIFS(Donnees_generations!$AJ$3:$AJ$113,Donnees_generations!$A$3:$A$113,MAX(1915,MIN(2025,E390)))))/2</f>
        <v/>
      </c>
      <c r="AI390" s="75">
        <f>(CHOOSE(((AG390+2)-56)/2+1,SUMIFS(Donnees_generations!$U$3:$U$113,Donnees_generations!$A$3:$A$113,MAX(1915,MIN(2025,E390))),SUMIFS(Donnees_generations!$V$3:$V$113,Donnees_generations!$A$3:$A$113,MAX(1915,MIN(2025,E390))),SUMIFS(Donnees_generations!$W$3:$W$113,Donnees_generations!$A$3:$A$113,MAX(1915,MIN(2025,E390))),SUMIFS(Donnees_generations!$X$3:$X$113,Donnees_generations!$A$3:$A$113,MAX(1915,MIN(2025,E390))),SUMIFS(Donnees_generations!$Y$3:$Y$113,Donnees_generations!$A$3:$A$113,MAX(1915,MIN(2025,E390))),SUMIFS(Donnees_generations!$Z$3:$Z$113,Donnees_generations!$A$3:$A$113,MAX(1915,MIN(2025,E390))),SUMIFS(Donnees_generations!$AA$3:$AA$113,Donnees_generations!$A$3:$A$113,MAX(1915,MIN(2025,E390))),SUMIFS(Donnees_generations!$AB$3:$AB$113,Donnees_generations!$A$3:$A$113,MAX(1915,MIN(2025,E390))))+CHOOSE(((AG390+2)-56)/2+1,SUMIFS(Donnees_generations!$AC$3:$AC$113,Donnees_generations!$A$3:$A$113,MAX(1915,MIN(2025,E390))),SUMIFS(Donnees_generations!$AD$3:$AD$113,Donnees_generations!$A$3:$A$113,MAX(1915,MIN(2025,E390))),SUMIFS(Donnees_generations!$AE$3:$AE$113,Donnees_generations!$A$3:$A$113,MAX(1915,MIN(2025,E390))),SUMIFS(Donnees_generations!$AF$3:$AF$113,Donnees_generations!$A$3:$A$113,MAX(1915,MIN(2025,E390))),SUMIFS(Donnees_generations!$AG$3:$AG$113,Donnees_generations!$A$3:$A$113,MAX(1915,MIN(2025,E390))),SUMIFS(Donnees_generations!$AH$3:$AH$113,Donnees_generations!$A$3:$A$113,MAX(1915,MIN(2025,E390))),SUMIFS(Donnees_generations!$AI$3:$AI$113,Donnees_generations!$A$3:$A$113,MAX(1915,MIN(2025,E390))),SUMIFS(Donnees_generations!$AJ$3:$AJ$113,Donnees_generations!$A$3:$A$113,MAX(1915,MIN(2025,E390)))))/2</f>
        <v/>
      </c>
      <c r="AJ390" s="8">
        <f>MAX(0,AH390+(AI390-AH390)*(K390-AG390)/2)</f>
        <v/>
      </c>
      <c r="AK390" s="8">
        <f>K390+AJ390</f>
        <v/>
      </c>
      <c r="AL390" s="14">
        <f>AE390*AJ390</f>
        <v/>
      </c>
      <c r="AM390" s="17">
        <f>V390/AL390</f>
        <v/>
      </c>
      <c r="AN390" s="17">
        <f>Z390/AL390</f>
        <v/>
      </c>
      <c r="AO390" s="33">
        <f>IF(V390+Z390=0,0,Z390/(V390+Z390))</f>
        <v/>
      </c>
      <c r="AP390" s="14">
        <f>AL390/V390*100</f>
        <v/>
      </c>
      <c r="AQ390" s="8">
        <f>P390/AL390*1000</f>
        <v/>
      </c>
      <c r="AR390" s="77">
        <f>MAX(N390,M390-1)</f>
        <v/>
      </c>
      <c r="AS390" s="14">
        <f>SUMIFS(Donnees_regimes!$R$3:$R$1118,Donnees_regimes!$A$3:$A$1118,C390,Donnees_regimes!$B$3:$B$1118,"&gt;="&amp;G390,Donnees_regimes!$B$3:$B$1118,"&lt;="&amp;N390)*L390/ROUNDUP(L390,0)*SUMIFS(Donnees_annuelles!$AG$3:$AG$188,Donnees_annuelles!$A$3:$A$188,AR390)*SUMIFS(Donnees_annuelles!$AA$3:$AA$188,Donnees_annuelles!$A$3:$A$188,AR390)</f>
        <v/>
      </c>
      <c r="AT390" s="36">
        <f>AS390/V390</f>
        <v/>
      </c>
      <c r="AU390" s="14">
        <f>AL390</f>
        <v/>
      </c>
      <c r="AV390" s="39">
        <f>AS390-AL390</f>
        <v/>
      </c>
      <c r="AW390" s="9">
        <f>AS390/AL390-1</f>
        <v/>
      </c>
      <c r="AX390" s="14">
        <f>AS390/AJ390/12</f>
        <v/>
      </c>
      <c r="AY390" s="14">
        <f>AF390</f>
        <v/>
      </c>
      <c r="AZ390" s="39">
        <f>AX390-AF390</f>
        <v/>
      </c>
      <c r="BA390" s="14">
        <f>SUMIFS(Donnees_regimes!$S$3:$S$1118,Donnees_regimes!$A$3:$A$1118,C390,Donnees_regimes!$B$3:$B$1118,"&gt;="&amp;G390,Donnees_regimes!$B$3:$B$1118,"&lt;="&amp;N390)*L390/ROUNDUP(L390,0)*SUMIFS(Donnees_annuelles!$AH$3:$AH$188,Donnees_annuelles!$A$3:$A$188,AR390)*SUMIFS(Donnees_annuelles!$AA$3:$AA$188,Donnees_annuelles!$A$3:$A$188,AR390)</f>
        <v/>
      </c>
      <c r="BB390" s="39">
        <f>BA390-AL390</f>
        <v/>
      </c>
      <c r="BC390" s="7">
        <f>IF(M390+AJ390&gt;2026,IF(G390&gt;2026,"entièrement projeté","en partie projeté"),"observé")</f>
        <v/>
      </c>
    </row>
    <row r="391">
      <c r="A391" s="7" t="inlineStr">
        <is>
          <t>Génération Alpha</t>
        </is>
      </c>
      <c r="B391" s="84" t="inlineStr">
        <is>
          <t>SNCF</t>
        </is>
      </c>
      <c r="C391" s="7">
        <f>IF(G391&gt;=SUMIFS(Regimes!$C$5:$C$10,Regimes!$A$5:$A$10,B391),"Privé",B391)</f>
        <v/>
      </c>
      <c r="D391" s="7">
        <f>INDEX(Regimes!$D$5:$D$10,MATCH(C391,Regimes!$A$5:$A$10,0))</f>
        <v/>
      </c>
      <c r="E391" s="88" t="n">
        <v>2022</v>
      </c>
      <c r="F391" s="8">
        <f>Donnees_generations!C110</f>
        <v/>
      </c>
      <c r="G391" s="77">
        <f>Donnees_generations!D110</f>
        <v/>
      </c>
      <c r="H391" s="8">
        <f>SUMIFS(Donnees_generations!$S$3:$S$113,Donnees_generations!$A$3:$A$113,MAX(1915,MIN(2025,E391)))</f>
        <v/>
      </c>
      <c r="I391" s="8">
        <f>SUMIFS(Donnees_generations!$T$3:$T$113,Donnees_generations!$A$3:$A$113,MAX(1915,MIN(2025,E391)))</f>
        <v/>
      </c>
      <c r="J391" s="8">
        <f>IF(G391&gt;=2000,MAX(I391,Parametres!$B$3),I391)</f>
        <v/>
      </c>
      <c r="K391" s="8">
        <f>IF(C391="Privé",J391,SUMIFS(Regles_regimes!$J$3:$J$2000,Regles_regimes!$A$3:$A$2000,C391,Regles_regimes!$B$3:$B$2000,D391,Regles_regimes!$C$3:$C$2000,MAX(1915,MIN(2025,E391))))</f>
        <v/>
      </c>
      <c r="L391" s="8">
        <f>IF(C391="Privé",H391,(K391-F391)*H391/(J391-F391))</f>
        <v/>
      </c>
      <c r="M391" s="77">
        <f>INT(E391+K391)</f>
        <v/>
      </c>
      <c r="N391" s="77">
        <f>G391+ROUNDUP(L391,0)-1</f>
        <v/>
      </c>
      <c r="O391" s="89">
        <f>SUMIFS(Regles_regimes!$K$3:$K$2000,Regles_regimes!$A$3:$A$2000,C391,Regles_regimes!$B$3:$B$2000,D391,Regles_regimes!$C$3:$C$2000,MAX(1915,MIN(2025,E391)))</f>
        <v/>
      </c>
      <c r="P391" s="13">
        <f>SUMIFS(Donnees_annuelles!$W$3:$W$188,Donnees_annuelles!$A$3:$A$188,"&gt;="&amp;G391,Donnees_annuelles!$A$3:$A$188,"&lt;="&amp;N391)*L391/ROUNDUP(L391,0)*O391</f>
        <v/>
      </c>
      <c r="Q391" s="13">
        <f>SUMIFS(Donnees_annuelles!$V$3:$V$188,Donnees_annuelles!$A$3:$A$188,"&gt;="&amp;G391,Donnees_annuelles!$A$3:$A$188,"&lt;="&amp;N391)*L391/ROUNDUP(L391,0)</f>
        <v/>
      </c>
      <c r="R391" s="13">
        <f>P391/L391</f>
        <v/>
      </c>
      <c r="S391" s="14">
        <f>SUMIFS(Donnees_annuelles!$D$3:$D$188,Donnees_annuelles!$A$3:$A$188,"&gt;="&amp;G391,Donnees_annuelles!$A$3:$A$188,"&lt;="&amp;N391)*L391/ROUNDUP(L391,0)</f>
        <v/>
      </c>
      <c r="T391" s="14">
        <f>SUMIFS(Donnees_regimes!$N$3:$N$1118,Donnees_regimes!$A$3:$A$1118,C391,Donnees_regimes!$B$3:$B$1118,"&gt;="&amp;G391,Donnees_regimes!$B$3:$B$1118,"&lt;="&amp;N391)*L391/ROUNDUP(L391,0)</f>
        <v/>
      </c>
      <c r="U391" s="14">
        <f>SUMIFS(Donnees_regimes!$O$3:$O$1118,Donnees_regimes!$A$3:$A$1118,C391,Donnees_regimes!$B$3:$B$1118,"&gt;="&amp;G391,Donnees_regimes!$B$3:$B$1118,"&lt;="&amp;N391)*L391/ROUNDUP(L391,0)</f>
        <v/>
      </c>
      <c r="V391" s="14">
        <f>T391+U391</f>
        <v/>
      </c>
      <c r="W391" s="33">
        <f>V391/S391</f>
        <v/>
      </c>
      <c r="X391" s="14">
        <f>S391+U391</f>
        <v/>
      </c>
      <c r="Y391" s="17">
        <f>V391/P391</f>
        <v/>
      </c>
      <c r="Z391" s="14">
        <f>SUMIFS(Donnees_regimes!$Q$3:$Q$1118,Donnees_regimes!$A$3:$A$1118,C391,Donnees_regimes!$B$3:$B$1118,"&gt;="&amp;G391,Donnees_regimes!$B$3:$B$1118,"&lt;="&amp;N391)*L391/ROUNDUP(L391,0)</f>
        <v/>
      </c>
      <c r="AA391" s="77">
        <f>SUMIFS(Regles_regimes!$F$3:$F$2000,Regles_regimes!$A$3:$A$2000,C391,Regles_regimes!$B$3:$B$2000,D391,Regles_regimes!$C$3:$C$2000,MAX(1915,MIN(2025,E391)))</f>
        <v/>
      </c>
      <c r="AB391" s="77">
        <f>IF(AND(SUMIFS(Regles_regimes!$L$3:$L$2000,Regles_regimes!$A$3:$A$2000,C391,Regles_regimes!$B$3:$B$2000,D391,Regles_regimes!$C$3:$C$2000,MAX(1915,MIN(2025,E391)))=1,G391&lt;2009,C391&lt;&gt;"Privé"),MIN(20,L391*4/5),0)</f>
        <v/>
      </c>
      <c r="AC391" s="89">
        <f>SUMIFS(Donnees_regimes!$M$3:$M$1118,Donnees_regimes!$A$3:$A$1118,C391,Donnees_regimes!$B$3:$B$1118,M391)</f>
        <v/>
      </c>
      <c r="AD391" s="14">
        <f>SUMIFS(Donnees_annuelles!$Y$3:$Y$188,Donnees_annuelles!$A$3:$A$188,M391)*SUMIFS(Donnees_generations!$I$3:$I$113,Donnees_generations!$A$3:$A$113,MAX(1915,MIN(2025,E391)))/H391</f>
        <v/>
      </c>
      <c r="AE391" s="14">
        <f>IF(C391="Privé",SUMIFS(Donnees_annuelles!$Y$3:$Y$188,Donnees_annuelles!$A$3:$A$188,M391)*MIN(L391,SUMIFS(Donnees_generations!$I$3:$I$113,Donnees_generations!$A$3:$A$113,MAX(1915,MIN(2025,E391))))/L391,AD391*AC391*MIN(IF(AB391&gt;0,0.8/0.75,1),(L391*4+AB391)/AA391))</f>
        <v/>
      </c>
      <c r="AF391" s="14">
        <f>AE391/12</f>
        <v/>
      </c>
      <c r="AG391" s="77">
        <f>MIN(68,MAX(56,2*INT(K391/2)))</f>
        <v/>
      </c>
      <c r="AH391" s="75">
        <f>(CHOOSE((AG391-56)/2+1,SUMIFS(Donnees_generations!$U$3:$U$113,Donnees_generations!$A$3:$A$113,MAX(1915,MIN(2025,E391))),SUMIFS(Donnees_generations!$V$3:$V$113,Donnees_generations!$A$3:$A$113,MAX(1915,MIN(2025,E391))),SUMIFS(Donnees_generations!$W$3:$W$113,Donnees_generations!$A$3:$A$113,MAX(1915,MIN(2025,E391))),SUMIFS(Donnees_generations!$X$3:$X$113,Donnees_generations!$A$3:$A$113,MAX(1915,MIN(2025,E391))),SUMIFS(Donnees_generations!$Y$3:$Y$113,Donnees_generations!$A$3:$A$113,MAX(1915,MIN(2025,E391))),SUMIFS(Donnees_generations!$Z$3:$Z$113,Donnees_generations!$A$3:$A$113,MAX(1915,MIN(2025,E391))),SUMIFS(Donnees_generations!$AA$3:$AA$113,Donnees_generations!$A$3:$A$113,MAX(1915,MIN(2025,E391))),SUMIFS(Donnees_generations!$AB$3:$AB$113,Donnees_generations!$A$3:$A$113,MAX(1915,MIN(2025,E391))))+CHOOSE((AG391-56)/2+1,SUMIFS(Donnees_generations!$AC$3:$AC$113,Donnees_generations!$A$3:$A$113,MAX(1915,MIN(2025,E391))),SUMIFS(Donnees_generations!$AD$3:$AD$113,Donnees_generations!$A$3:$A$113,MAX(1915,MIN(2025,E391))),SUMIFS(Donnees_generations!$AE$3:$AE$113,Donnees_generations!$A$3:$A$113,MAX(1915,MIN(2025,E391))),SUMIFS(Donnees_generations!$AF$3:$AF$113,Donnees_generations!$A$3:$A$113,MAX(1915,MIN(2025,E391))),SUMIFS(Donnees_generations!$AG$3:$AG$113,Donnees_generations!$A$3:$A$113,MAX(1915,MIN(2025,E391))),SUMIFS(Donnees_generations!$AH$3:$AH$113,Donnees_generations!$A$3:$A$113,MAX(1915,MIN(2025,E391))),SUMIFS(Donnees_generations!$AI$3:$AI$113,Donnees_generations!$A$3:$A$113,MAX(1915,MIN(2025,E391))),SUMIFS(Donnees_generations!$AJ$3:$AJ$113,Donnees_generations!$A$3:$A$113,MAX(1915,MIN(2025,E391)))))/2</f>
        <v/>
      </c>
      <c r="AI391" s="75">
        <f>(CHOOSE(((AG391+2)-56)/2+1,SUMIFS(Donnees_generations!$U$3:$U$113,Donnees_generations!$A$3:$A$113,MAX(1915,MIN(2025,E391))),SUMIFS(Donnees_generations!$V$3:$V$113,Donnees_generations!$A$3:$A$113,MAX(1915,MIN(2025,E391))),SUMIFS(Donnees_generations!$W$3:$W$113,Donnees_generations!$A$3:$A$113,MAX(1915,MIN(2025,E391))),SUMIFS(Donnees_generations!$X$3:$X$113,Donnees_generations!$A$3:$A$113,MAX(1915,MIN(2025,E391))),SUMIFS(Donnees_generations!$Y$3:$Y$113,Donnees_generations!$A$3:$A$113,MAX(1915,MIN(2025,E391))),SUMIFS(Donnees_generations!$Z$3:$Z$113,Donnees_generations!$A$3:$A$113,MAX(1915,MIN(2025,E391))),SUMIFS(Donnees_generations!$AA$3:$AA$113,Donnees_generations!$A$3:$A$113,MAX(1915,MIN(2025,E391))),SUMIFS(Donnees_generations!$AB$3:$AB$113,Donnees_generations!$A$3:$A$113,MAX(1915,MIN(2025,E391))))+CHOOSE(((AG391+2)-56)/2+1,SUMIFS(Donnees_generations!$AC$3:$AC$113,Donnees_generations!$A$3:$A$113,MAX(1915,MIN(2025,E391))),SUMIFS(Donnees_generations!$AD$3:$AD$113,Donnees_generations!$A$3:$A$113,MAX(1915,MIN(2025,E391))),SUMIFS(Donnees_generations!$AE$3:$AE$113,Donnees_generations!$A$3:$A$113,MAX(1915,MIN(2025,E391))),SUMIFS(Donnees_generations!$AF$3:$AF$113,Donnees_generations!$A$3:$A$113,MAX(1915,MIN(2025,E391))),SUMIFS(Donnees_generations!$AG$3:$AG$113,Donnees_generations!$A$3:$A$113,MAX(1915,MIN(2025,E391))),SUMIFS(Donnees_generations!$AH$3:$AH$113,Donnees_generations!$A$3:$A$113,MAX(1915,MIN(2025,E391))),SUMIFS(Donnees_generations!$AI$3:$AI$113,Donnees_generations!$A$3:$A$113,MAX(1915,MIN(2025,E391))),SUMIFS(Donnees_generations!$AJ$3:$AJ$113,Donnees_generations!$A$3:$A$113,MAX(1915,MIN(2025,E391)))))/2</f>
        <v/>
      </c>
      <c r="AJ391" s="8">
        <f>MAX(0,AH391+(AI391-AH391)*(K391-AG391)/2)</f>
        <v/>
      </c>
      <c r="AK391" s="8">
        <f>K391+AJ391</f>
        <v/>
      </c>
      <c r="AL391" s="14">
        <f>AE391*AJ391</f>
        <v/>
      </c>
      <c r="AM391" s="17">
        <f>V391/AL391</f>
        <v/>
      </c>
      <c r="AN391" s="17">
        <f>Z391/AL391</f>
        <v/>
      </c>
      <c r="AO391" s="33">
        <f>IF(V391+Z391=0,0,Z391/(V391+Z391))</f>
        <v/>
      </c>
      <c r="AP391" s="14">
        <f>AL391/V391*100</f>
        <v/>
      </c>
      <c r="AQ391" s="8">
        <f>P391/AL391*1000</f>
        <v/>
      </c>
      <c r="AR391" s="77">
        <f>MAX(N391,M391-1)</f>
        <v/>
      </c>
      <c r="AS391" s="14">
        <f>SUMIFS(Donnees_regimes!$R$3:$R$1118,Donnees_regimes!$A$3:$A$1118,C391,Donnees_regimes!$B$3:$B$1118,"&gt;="&amp;G391,Donnees_regimes!$B$3:$B$1118,"&lt;="&amp;N391)*L391/ROUNDUP(L391,0)*SUMIFS(Donnees_annuelles!$AG$3:$AG$188,Donnees_annuelles!$A$3:$A$188,AR391)*SUMIFS(Donnees_annuelles!$AA$3:$AA$188,Donnees_annuelles!$A$3:$A$188,AR391)</f>
        <v/>
      </c>
      <c r="AT391" s="36">
        <f>AS391/V391</f>
        <v/>
      </c>
      <c r="AU391" s="14">
        <f>AL391</f>
        <v/>
      </c>
      <c r="AV391" s="39">
        <f>AS391-AL391</f>
        <v/>
      </c>
      <c r="AW391" s="9">
        <f>AS391/AL391-1</f>
        <v/>
      </c>
      <c r="AX391" s="14">
        <f>AS391/AJ391/12</f>
        <v/>
      </c>
      <c r="AY391" s="14">
        <f>AF391</f>
        <v/>
      </c>
      <c r="AZ391" s="39">
        <f>AX391-AF391</f>
        <v/>
      </c>
      <c r="BA391" s="14">
        <f>SUMIFS(Donnees_regimes!$S$3:$S$1118,Donnees_regimes!$A$3:$A$1118,C391,Donnees_regimes!$B$3:$B$1118,"&gt;="&amp;G391,Donnees_regimes!$B$3:$B$1118,"&lt;="&amp;N391)*L391/ROUNDUP(L391,0)*SUMIFS(Donnees_annuelles!$AH$3:$AH$188,Donnees_annuelles!$A$3:$A$188,AR391)*SUMIFS(Donnees_annuelles!$AA$3:$AA$188,Donnees_annuelles!$A$3:$A$188,AR391)</f>
        <v/>
      </c>
      <c r="BB391" s="39">
        <f>BA391-AL391</f>
        <v/>
      </c>
      <c r="BC391" s="7">
        <f>IF(M391+AJ391&gt;2026,IF(G391&gt;2026,"entièrement projeté","en partie projeté"),"observé")</f>
        <v/>
      </c>
    </row>
    <row r="392">
      <c r="A392" s="7" t="inlineStr">
        <is>
          <t>Génération Alpha</t>
        </is>
      </c>
      <c r="B392" s="84" t="inlineStr">
        <is>
          <t>SNCF</t>
        </is>
      </c>
      <c r="C392" s="7">
        <f>IF(G392&gt;=SUMIFS(Regimes!$C$5:$C$10,Regimes!$A$5:$A$10,B392),"Privé",B392)</f>
        <v/>
      </c>
      <c r="D392" s="7">
        <f>INDEX(Regimes!$D$5:$D$10,MATCH(C392,Regimes!$A$5:$A$10,0))</f>
        <v/>
      </c>
      <c r="E392" s="88" t="n">
        <v>2023</v>
      </c>
      <c r="F392" s="8">
        <f>Donnees_generations!C111</f>
        <v/>
      </c>
      <c r="G392" s="77">
        <f>Donnees_generations!D111</f>
        <v/>
      </c>
      <c r="H392" s="8">
        <f>SUMIFS(Donnees_generations!$S$3:$S$113,Donnees_generations!$A$3:$A$113,MAX(1915,MIN(2025,E392)))</f>
        <v/>
      </c>
      <c r="I392" s="8">
        <f>SUMIFS(Donnees_generations!$T$3:$T$113,Donnees_generations!$A$3:$A$113,MAX(1915,MIN(2025,E392)))</f>
        <v/>
      </c>
      <c r="J392" s="8">
        <f>IF(G392&gt;=2000,MAX(I392,Parametres!$B$3),I392)</f>
        <v/>
      </c>
      <c r="K392" s="8">
        <f>IF(C392="Privé",J392,SUMIFS(Regles_regimes!$J$3:$J$2000,Regles_regimes!$A$3:$A$2000,C392,Regles_regimes!$B$3:$B$2000,D392,Regles_regimes!$C$3:$C$2000,MAX(1915,MIN(2025,E392))))</f>
        <v/>
      </c>
      <c r="L392" s="8">
        <f>IF(C392="Privé",H392,(K392-F392)*H392/(J392-F392))</f>
        <v/>
      </c>
      <c r="M392" s="77">
        <f>INT(E392+K392)</f>
        <v/>
      </c>
      <c r="N392" s="77">
        <f>G392+ROUNDUP(L392,0)-1</f>
        <v/>
      </c>
      <c r="O392" s="89">
        <f>SUMIFS(Regles_regimes!$K$3:$K$2000,Regles_regimes!$A$3:$A$2000,C392,Regles_regimes!$B$3:$B$2000,D392,Regles_regimes!$C$3:$C$2000,MAX(1915,MIN(2025,E392)))</f>
        <v/>
      </c>
      <c r="P392" s="13">
        <f>SUMIFS(Donnees_annuelles!$W$3:$W$188,Donnees_annuelles!$A$3:$A$188,"&gt;="&amp;G392,Donnees_annuelles!$A$3:$A$188,"&lt;="&amp;N392)*L392/ROUNDUP(L392,0)*O392</f>
        <v/>
      </c>
      <c r="Q392" s="13">
        <f>SUMIFS(Donnees_annuelles!$V$3:$V$188,Donnees_annuelles!$A$3:$A$188,"&gt;="&amp;G392,Donnees_annuelles!$A$3:$A$188,"&lt;="&amp;N392)*L392/ROUNDUP(L392,0)</f>
        <v/>
      </c>
      <c r="R392" s="13">
        <f>P392/L392</f>
        <v/>
      </c>
      <c r="S392" s="14">
        <f>SUMIFS(Donnees_annuelles!$D$3:$D$188,Donnees_annuelles!$A$3:$A$188,"&gt;="&amp;G392,Donnees_annuelles!$A$3:$A$188,"&lt;="&amp;N392)*L392/ROUNDUP(L392,0)</f>
        <v/>
      </c>
      <c r="T392" s="14">
        <f>SUMIFS(Donnees_regimes!$N$3:$N$1118,Donnees_regimes!$A$3:$A$1118,C392,Donnees_regimes!$B$3:$B$1118,"&gt;="&amp;G392,Donnees_regimes!$B$3:$B$1118,"&lt;="&amp;N392)*L392/ROUNDUP(L392,0)</f>
        <v/>
      </c>
      <c r="U392" s="14">
        <f>SUMIFS(Donnees_regimes!$O$3:$O$1118,Donnees_regimes!$A$3:$A$1118,C392,Donnees_regimes!$B$3:$B$1118,"&gt;="&amp;G392,Donnees_regimes!$B$3:$B$1118,"&lt;="&amp;N392)*L392/ROUNDUP(L392,0)</f>
        <v/>
      </c>
      <c r="V392" s="14">
        <f>T392+U392</f>
        <v/>
      </c>
      <c r="W392" s="33">
        <f>V392/S392</f>
        <v/>
      </c>
      <c r="X392" s="14">
        <f>S392+U392</f>
        <v/>
      </c>
      <c r="Y392" s="17">
        <f>V392/P392</f>
        <v/>
      </c>
      <c r="Z392" s="14">
        <f>SUMIFS(Donnees_regimes!$Q$3:$Q$1118,Donnees_regimes!$A$3:$A$1118,C392,Donnees_regimes!$B$3:$B$1118,"&gt;="&amp;G392,Donnees_regimes!$B$3:$B$1118,"&lt;="&amp;N392)*L392/ROUNDUP(L392,0)</f>
        <v/>
      </c>
      <c r="AA392" s="77">
        <f>SUMIFS(Regles_regimes!$F$3:$F$2000,Regles_regimes!$A$3:$A$2000,C392,Regles_regimes!$B$3:$B$2000,D392,Regles_regimes!$C$3:$C$2000,MAX(1915,MIN(2025,E392)))</f>
        <v/>
      </c>
      <c r="AB392" s="77">
        <f>IF(AND(SUMIFS(Regles_regimes!$L$3:$L$2000,Regles_regimes!$A$3:$A$2000,C392,Regles_regimes!$B$3:$B$2000,D392,Regles_regimes!$C$3:$C$2000,MAX(1915,MIN(2025,E392)))=1,G392&lt;2009,C392&lt;&gt;"Privé"),MIN(20,L392*4/5),0)</f>
        <v/>
      </c>
      <c r="AC392" s="89">
        <f>SUMIFS(Donnees_regimes!$M$3:$M$1118,Donnees_regimes!$A$3:$A$1118,C392,Donnees_regimes!$B$3:$B$1118,M392)</f>
        <v/>
      </c>
      <c r="AD392" s="14">
        <f>SUMIFS(Donnees_annuelles!$Y$3:$Y$188,Donnees_annuelles!$A$3:$A$188,M392)*SUMIFS(Donnees_generations!$I$3:$I$113,Donnees_generations!$A$3:$A$113,MAX(1915,MIN(2025,E392)))/H392</f>
        <v/>
      </c>
      <c r="AE392" s="14">
        <f>IF(C392="Privé",SUMIFS(Donnees_annuelles!$Y$3:$Y$188,Donnees_annuelles!$A$3:$A$188,M392)*MIN(L392,SUMIFS(Donnees_generations!$I$3:$I$113,Donnees_generations!$A$3:$A$113,MAX(1915,MIN(2025,E392))))/L392,AD392*AC392*MIN(IF(AB392&gt;0,0.8/0.75,1),(L392*4+AB392)/AA392))</f>
        <v/>
      </c>
      <c r="AF392" s="14">
        <f>AE392/12</f>
        <v/>
      </c>
      <c r="AG392" s="77">
        <f>MIN(68,MAX(56,2*INT(K392/2)))</f>
        <v/>
      </c>
      <c r="AH392" s="75">
        <f>(CHOOSE((AG392-56)/2+1,SUMIFS(Donnees_generations!$U$3:$U$113,Donnees_generations!$A$3:$A$113,MAX(1915,MIN(2025,E392))),SUMIFS(Donnees_generations!$V$3:$V$113,Donnees_generations!$A$3:$A$113,MAX(1915,MIN(2025,E392))),SUMIFS(Donnees_generations!$W$3:$W$113,Donnees_generations!$A$3:$A$113,MAX(1915,MIN(2025,E392))),SUMIFS(Donnees_generations!$X$3:$X$113,Donnees_generations!$A$3:$A$113,MAX(1915,MIN(2025,E392))),SUMIFS(Donnees_generations!$Y$3:$Y$113,Donnees_generations!$A$3:$A$113,MAX(1915,MIN(2025,E392))),SUMIFS(Donnees_generations!$Z$3:$Z$113,Donnees_generations!$A$3:$A$113,MAX(1915,MIN(2025,E392))),SUMIFS(Donnees_generations!$AA$3:$AA$113,Donnees_generations!$A$3:$A$113,MAX(1915,MIN(2025,E392))),SUMIFS(Donnees_generations!$AB$3:$AB$113,Donnees_generations!$A$3:$A$113,MAX(1915,MIN(2025,E392))))+CHOOSE((AG392-56)/2+1,SUMIFS(Donnees_generations!$AC$3:$AC$113,Donnees_generations!$A$3:$A$113,MAX(1915,MIN(2025,E392))),SUMIFS(Donnees_generations!$AD$3:$AD$113,Donnees_generations!$A$3:$A$113,MAX(1915,MIN(2025,E392))),SUMIFS(Donnees_generations!$AE$3:$AE$113,Donnees_generations!$A$3:$A$113,MAX(1915,MIN(2025,E392))),SUMIFS(Donnees_generations!$AF$3:$AF$113,Donnees_generations!$A$3:$A$113,MAX(1915,MIN(2025,E392))),SUMIFS(Donnees_generations!$AG$3:$AG$113,Donnees_generations!$A$3:$A$113,MAX(1915,MIN(2025,E392))),SUMIFS(Donnees_generations!$AH$3:$AH$113,Donnees_generations!$A$3:$A$113,MAX(1915,MIN(2025,E392))),SUMIFS(Donnees_generations!$AI$3:$AI$113,Donnees_generations!$A$3:$A$113,MAX(1915,MIN(2025,E392))),SUMIFS(Donnees_generations!$AJ$3:$AJ$113,Donnees_generations!$A$3:$A$113,MAX(1915,MIN(2025,E392)))))/2</f>
        <v/>
      </c>
      <c r="AI392" s="75">
        <f>(CHOOSE(((AG392+2)-56)/2+1,SUMIFS(Donnees_generations!$U$3:$U$113,Donnees_generations!$A$3:$A$113,MAX(1915,MIN(2025,E392))),SUMIFS(Donnees_generations!$V$3:$V$113,Donnees_generations!$A$3:$A$113,MAX(1915,MIN(2025,E392))),SUMIFS(Donnees_generations!$W$3:$W$113,Donnees_generations!$A$3:$A$113,MAX(1915,MIN(2025,E392))),SUMIFS(Donnees_generations!$X$3:$X$113,Donnees_generations!$A$3:$A$113,MAX(1915,MIN(2025,E392))),SUMIFS(Donnees_generations!$Y$3:$Y$113,Donnees_generations!$A$3:$A$113,MAX(1915,MIN(2025,E392))),SUMIFS(Donnees_generations!$Z$3:$Z$113,Donnees_generations!$A$3:$A$113,MAX(1915,MIN(2025,E392))),SUMIFS(Donnees_generations!$AA$3:$AA$113,Donnees_generations!$A$3:$A$113,MAX(1915,MIN(2025,E392))),SUMIFS(Donnees_generations!$AB$3:$AB$113,Donnees_generations!$A$3:$A$113,MAX(1915,MIN(2025,E392))))+CHOOSE(((AG392+2)-56)/2+1,SUMIFS(Donnees_generations!$AC$3:$AC$113,Donnees_generations!$A$3:$A$113,MAX(1915,MIN(2025,E392))),SUMIFS(Donnees_generations!$AD$3:$AD$113,Donnees_generations!$A$3:$A$113,MAX(1915,MIN(2025,E392))),SUMIFS(Donnees_generations!$AE$3:$AE$113,Donnees_generations!$A$3:$A$113,MAX(1915,MIN(2025,E392))),SUMIFS(Donnees_generations!$AF$3:$AF$113,Donnees_generations!$A$3:$A$113,MAX(1915,MIN(2025,E392))),SUMIFS(Donnees_generations!$AG$3:$AG$113,Donnees_generations!$A$3:$A$113,MAX(1915,MIN(2025,E392))),SUMIFS(Donnees_generations!$AH$3:$AH$113,Donnees_generations!$A$3:$A$113,MAX(1915,MIN(2025,E392))),SUMIFS(Donnees_generations!$AI$3:$AI$113,Donnees_generations!$A$3:$A$113,MAX(1915,MIN(2025,E392))),SUMIFS(Donnees_generations!$AJ$3:$AJ$113,Donnees_generations!$A$3:$A$113,MAX(1915,MIN(2025,E392)))))/2</f>
        <v/>
      </c>
      <c r="AJ392" s="8">
        <f>MAX(0,AH392+(AI392-AH392)*(K392-AG392)/2)</f>
        <v/>
      </c>
      <c r="AK392" s="8">
        <f>K392+AJ392</f>
        <v/>
      </c>
      <c r="AL392" s="14">
        <f>AE392*AJ392</f>
        <v/>
      </c>
      <c r="AM392" s="17">
        <f>V392/AL392</f>
        <v/>
      </c>
      <c r="AN392" s="17">
        <f>Z392/AL392</f>
        <v/>
      </c>
      <c r="AO392" s="33">
        <f>IF(V392+Z392=0,0,Z392/(V392+Z392))</f>
        <v/>
      </c>
      <c r="AP392" s="14">
        <f>AL392/V392*100</f>
        <v/>
      </c>
      <c r="AQ392" s="8">
        <f>P392/AL392*1000</f>
        <v/>
      </c>
      <c r="AR392" s="77">
        <f>MAX(N392,M392-1)</f>
        <v/>
      </c>
      <c r="AS392" s="14">
        <f>SUMIFS(Donnees_regimes!$R$3:$R$1118,Donnees_regimes!$A$3:$A$1118,C392,Donnees_regimes!$B$3:$B$1118,"&gt;="&amp;G392,Donnees_regimes!$B$3:$B$1118,"&lt;="&amp;N392)*L392/ROUNDUP(L392,0)*SUMIFS(Donnees_annuelles!$AG$3:$AG$188,Donnees_annuelles!$A$3:$A$188,AR392)*SUMIFS(Donnees_annuelles!$AA$3:$AA$188,Donnees_annuelles!$A$3:$A$188,AR392)</f>
        <v/>
      </c>
      <c r="AT392" s="36">
        <f>AS392/V392</f>
        <v/>
      </c>
      <c r="AU392" s="14">
        <f>AL392</f>
        <v/>
      </c>
      <c r="AV392" s="39">
        <f>AS392-AL392</f>
        <v/>
      </c>
      <c r="AW392" s="9">
        <f>AS392/AL392-1</f>
        <v/>
      </c>
      <c r="AX392" s="14">
        <f>AS392/AJ392/12</f>
        <v/>
      </c>
      <c r="AY392" s="14">
        <f>AF392</f>
        <v/>
      </c>
      <c r="AZ392" s="39">
        <f>AX392-AF392</f>
        <v/>
      </c>
      <c r="BA392" s="14">
        <f>SUMIFS(Donnees_regimes!$S$3:$S$1118,Donnees_regimes!$A$3:$A$1118,C392,Donnees_regimes!$B$3:$B$1118,"&gt;="&amp;G392,Donnees_regimes!$B$3:$B$1118,"&lt;="&amp;N392)*L392/ROUNDUP(L392,0)*SUMIFS(Donnees_annuelles!$AH$3:$AH$188,Donnees_annuelles!$A$3:$A$188,AR392)*SUMIFS(Donnees_annuelles!$AA$3:$AA$188,Donnees_annuelles!$A$3:$A$188,AR392)</f>
        <v/>
      </c>
      <c r="BB392" s="39">
        <f>BA392-AL392</f>
        <v/>
      </c>
      <c r="BC392" s="7">
        <f>IF(M392+AJ392&gt;2026,IF(G392&gt;2026,"entièrement projeté","en partie projeté"),"observé")</f>
        <v/>
      </c>
    </row>
    <row r="393">
      <c r="A393" s="7" t="inlineStr">
        <is>
          <t>Génération Alpha</t>
        </is>
      </c>
      <c r="B393" s="84" t="inlineStr">
        <is>
          <t>SNCF</t>
        </is>
      </c>
      <c r="C393" s="7">
        <f>IF(G393&gt;=SUMIFS(Regimes!$C$5:$C$10,Regimes!$A$5:$A$10,B393),"Privé",B393)</f>
        <v/>
      </c>
      <c r="D393" s="7">
        <f>INDEX(Regimes!$D$5:$D$10,MATCH(C393,Regimes!$A$5:$A$10,0))</f>
        <v/>
      </c>
      <c r="E393" s="88" t="n">
        <v>2024</v>
      </c>
      <c r="F393" s="8">
        <f>Donnees_generations!C112</f>
        <v/>
      </c>
      <c r="G393" s="77">
        <f>Donnees_generations!D112</f>
        <v/>
      </c>
      <c r="H393" s="8">
        <f>SUMIFS(Donnees_generations!$S$3:$S$113,Donnees_generations!$A$3:$A$113,MAX(1915,MIN(2025,E393)))</f>
        <v/>
      </c>
      <c r="I393" s="8">
        <f>SUMIFS(Donnees_generations!$T$3:$T$113,Donnees_generations!$A$3:$A$113,MAX(1915,MIN(2025,E393)))</f>
        <v/>
      </c>
      <c r="J393" s="8">
        <f>IF(G393&gt;=2000,MAX(I393,Parametres!$B$3),I393)</f>
        <v/>
      </c>
      <c r="K393" s="8">
        <f>IF(C393="Privé",J393,SUMIFS(Regles_regimes!$J$3:$J$2000,Regles_regimes!$A$3:$A$2000,C393,Regles_regimes!$B$3:$B$2000,D393,Regles_regimes!$C$3:$C$2000,MAX(1915,MIN(2025,E393))))</f>
        <v/>
      </c>
      <c r="L393" s="8">
        <f>IF(C393="Privé",H393,(K393-F393)*H393/(J393-F393))</f>
        <v/>
      </c>
      <c r="M393" s="77">
        <f>INT(E393+K393)</f>
        <v/>
      </c>
      <c r="N393" s="77">
        <f>G393+ROUNDUP(L393,0)-1</f>
        <v/>
      </c>
      <c r="O393" s="89">
        <f>SUMIFS(Regles_regimes!$K$3:$K$2000,Regles_regimes!$A$3:$A$2000,C393,Regles_regimes!$B$3:$B$2000,D393,Regles_regimes!$C$3:$C$2000,MAX(1915,MIN(2025,E393)))</f>
        <v/>
      </c>
      <c r="P393" s="13">
        <f>SUMIFS(Donnees_annuelles!$W$3:$W$188,Donnees_annuelles!$A$3:$A$188,"&gt;="&amp;G393,Donnees_annuelles!$A$3:$A$188,"&lt;="&amp;N393)*L393/ROUNDUP(L393,0)*O393</f>
        <v/>
      </c>
      <c r="Q393" s="13">
        <f>SUMIFS(Donnees_annuelles!$V$3:$V$188,Donnees_annuelles!$A$3:$A$188,"&gt;="&amp;G393,Donnees_annuelles!$A$3:$A$188,"&lt;="&amp;N393)*L393/ROUNDUP(L393,0)</f>
        <v/>
      </c>
      <c r="R393" s="13">
        <f>P393/L393</f>
        <v/>
      </c>
      <c r="S393" s="14">
        <f>SUMIFS(Donnees_annuelles!$D$3:$D$188,Donnees_annuelles!$A$3:$A$188,"&gt;="&amp;G393,Donnees_annuelles!$A$3:$A$188,"&lt;="&amp;N393)*L393/ROUNDUP(L393,0)</f>
        <v/>
      </c>
      <c r="T393" s="14">
        <f>SUMIFS(Donnees_regimes!$N$3:$N$1118,Donnees_regimes!$A$3:$A$1118,C393,Donnees_regimes!$B$3:$B$1118,"&gt;="&amp;G393,Donnees_regimes!$B$3:$B$1118,"&lt;="&amp;N393)*L393/ROUNDUP(L393,0)</f>
        <v/>
      </c>
      <c r="U393" s="14">
        <f>SUMIFS(Donnees_regimes!$O$3:$O$1118,Donnees_regimes!$A$3:$A$1118,C393,Donnees_regimes!$B$3:$B$1118,"&gt;="&amp;G393,Donnees_regimes!$B$3:$B$1118,"&lt;="&amp;N393)*L393/ROUNDUP(L393,0)</f>
        <v/>
      </c>
      <c r="V393" s="14">
        <f>T393+U393</f>
        <v/>
      </c>
      <c r="W393" s="33">
        <f>V393/S393</f>
        <v/>
      </c>
      <c r="X393" s="14">
        <f>S393+U393</f>
        <v/>
      </c>
      <c r="Y393" s="17">
        <f>V393/P393</f>
        <v/>
      </c>
      <c r="Z393" s="14">
        <f>SUMIFS(Donnees_regimes!$Q$3:$Q$1118,Donnees_regimes!$A$3:$A$1118,C393,Donnees_regimes!$B$3:$B$1118,"&gt;="&amp;G393,Donnees_regimes!$B$3:$B$1118,"&lt;="&amp;N393)*L393/ROUNDUP(L393,0)</f>
        <v/>
      </c>
      <c r="AA393" s="77">
        <f>SUMIFS(Regles_regimes!$F$3:$F$2000,Regles_regimes!$A$3:$A$2000,C393,Regles_regimes!$B$3:$B$2000,D393,Regles_regimes!$C$3:$C$2000,MAX(1915,MIN(2025,E393)))</f>
        <v/>
      </c>
      <c r="AB393" s="77">
        <f>IF(AND(SUMIFS(Regles_regimes!$L$3:$L$2000,Regles_regimes!$A$3:$A$2000,C393,Regles_regimes!$B$3:$B$2000,D393,Regles_regimes!$C$3:$C$2000,MAX(1915,MIN(2025,E393)))=1,G393&lt;2009,C393&lt;&gt;"Privé"),MIN(20,L393*4/5),0)</f>
        <v/>
      </c>
      <c r="AC393" s="89">
        <f>SUMIFS(Donnees_regimes!$M$3:$M$1118,Donnees_regimes!$A$3:$A$1118,C393,Donnees_regimes!$B$3:$B$1118,M393)</f>
        <v/>
      </c>
      <c r="AD393" s="14">
        <f>SUMIFS(Donnees_annuelles!$Y$3:$Y$188,Donnees_annuelles!$A$3:$A$188,M393)*SUMIFS(Donnees_generations!$I$3:$I$113,Donnees_generations!$A$3:$A$113,MAX(1915,MIN(2025,E393)))/H393</f>
        <v/>
      </c>
      <c r="AE393" s="14">
        <f>IF(C393="Privé",SUMIFS(Donnees_annuelles!$Y$3:$Y$188,Donnees_annuelles!$A$3:$A$188,M393)*MIN(L393,SUMIFS(Donnees_generations!$I$3:$I$113,Donnees_generations!$A$3:$A$113,MAX(1915,MIN(2025,E393))))/L393,AD393*AC393*MIN(IF(AB393&gt;0,0.8/0.75,1),(L393*4+AB393)/AA393))</f>
        <v/>
      </c>
      <c r="AF393" s="14">
        <f>AE393/12</f>
        <v/>
      </c>
      <c r="AG393" s="77">
        <f>MIN(68,MAX(56,2*INT(K393/2)))</f>
        <v/>
      </c>
      <c r="AH393" s="75">
        <f>(CHOOSE((AG393-56)/2+1,SUMIFS(Donnees_generations!$U$3:$U$113,Donnees_generations!$A$3:$A$113,MAX(1915,MIN(2025,E393))),SUMIFS(Donnees_generations!$V$3:$V$113,Donnees_generations!$A$3:$A$113,MAX(1915,MIN(2025,E393))),SUMIFS(Donnees_generations!$W$3:$W$113,Donnees_generations!$A$3:$A$113,MAX(1915,MIN(2025,E393))),SUMIFS(Donnees_generations!$X$3:$X$113,Donnees_generations!$A$3:$A$113,MAX(1915,MIN(2025,E393))),SUMIFS(Donnees_generations!$Y$3:$Y$113,Donnees_generations!$A$3:$A$113,MAX(1915,MIN(2025,E393))),SUMIFS(Donnees_generations!$Z$3:$Z$113,Donnees_generations!$A$3:$A$113,MAX(1915,MIN(2025,E393))),SUMIFS(Donnees_generations!$AA$3:$AA$113,Donnees_generations!$A$3:$A$113,MAX(1915,MIN(2025,E393))),SUMIFS(Donnees_generations!$AB$3:$AB$113,Donnees_generations!$A$3:$A$113,MAX(1915,MIN(2025,E393))))+CHOOSE((AG393-56)/2+1,SUMIFS(Donnees_generations!$AC$3:$AC$113,Donnees_generations!$A$3:$A$113,MAX(1915,MIN(2025,E393))),SUMIFS(Donnees_generations!$AD$3:$AD$113,Donnees_generations!$A$3:$A$113,MAX(1915,MIN(2025,E393))),SUMIFS(Donnees_generations!$AE$3:$AE$113,Donnees_generations!$A$3:$A$113,MAX(1915,MIN(2025,E393))),SUMIFS(Donnees_generations!$AF$3:$AF$113,Donnees_generations!$A$3:$A$113,MAX(1915,MIN(2025,E393))),SUMIFS(Donnees_generations!$AG$3:$AG$113,Donnees_generations!$A$3:$A$113,MAX(1915,MIN(2025,E393))),SUMIFS(Donnees_generations!$AH$3:$AH$113,Donnees_generations!$A$3:$A$113,MAX(1915,MIN(2025,E393))),SUMIFS(Donnees_generations!$AI$3:$AI$113,Donnees_generations!$A$3:$A$113,MAX(1915,MIN(2025,E393))),SUMIFS(Donnees_generations!$AJ$3:$AJ$113,Donnees_generations!$A$3:$A$113,MAX(1915,MIN(2025,E393)))))/2</f>
        <v/>
      </c>
      <c r="AI393" s="75">
        <f>(CHOOSE(((AG393+2)-56)/2+1,SUMIFS(Donnees_generations!$U$3:$U$113,Donnees_generations!$A$3:$A$113,MAX(1915,MIN(2025,E393))),SUMIFS(Donnees_generations!$V$3:$V$113,Donnees_generations!$A$3:$A$113,MAX(1915,MIN(2025,E393))),SUMIFS(Donnees_generations!$W$3:$W$113,Donnees_generations!$A$3:$A$113,MAX(1915,MIN(2025,E393))),SUMIFS(Donnees_generations!$X$3:$X$113,Donnees_generations!$A$3:$A$113,MAX(1915,MIN(2025,E393))),SUMIFS(Donnees_generations!$Y$3:$Y$113,Donnees_generations!$A$3:$A$113,MAX(1915,MIN(2025,E393))),SUMIFS(Donnees_generations!$Z$3:$Z$113,Donnees_generations!$A$3:$A$113,MAX(1915,MIN(2025,E393))),SUMIFS(Donnees_generations!$AA$3:$AA$113,Donnees_generations!$A$3:$A$113,MAX(1915,MIN(2025,E393))),SUMIFS(Donnees_generations!$AB$3:$AB$113,Donnees_generations!$A$3:$A$113,MAX(1915,MIN(2025,E393))))+CHOOSE(((AG393+2)-56)/2+1,SUMIFS(Donnees_generations!$AC$3:$AC$113,Donnees_generations!$A$3:$A$113,MAX(1915,MIN(2025,E393))),SUMIFS(Donnees_generations!$AD$3:$AD$113,Donnees_generations!$A$3:$A$113,MAX(1915,MIN(2025,E393))),SUMIFS(Donnees_generations!$AE$3:$AE$113,Donnees_generations!$A$3:$A$113,MAX(1915,MIN(2025,E393))),SUMIFS(Donnees_generations!$AF$3:$AF$113,Donnees_generations!$A$3:$A$113,MAX(1915,MIN(2025,E393))),SUMIFS(Donnees_generations!$AG$3:$AG$113,Donnees_generations!$A$3:$A$113,MAX(1915,MIN(2025,E393))),SUMIFS(Donnees_generations!$AH$3:$AH$113,Donnees_generations!$A$3:$A$113,MAX(1915,MIN(2025,E393))),SUMIFS(Donnees_generations!$AI$3:$AI$113,Donnees_generations!$A$3:$A$113,MAX(1915,MIN(2025,E393))),SUMIFS(Donnees_generations!$AJ$3:$AJ$113,Donnees_generations!$A$3:$A$113,MAX(1915,MIN(2025,E393)))))/2</f>
        <v/>
      </c>
      <c r="AJ393" s="8">
        <f>MAX(0,AH393+(AI393-AH393)*(K393-AG393)/2)</f>
        <v/>
      </c>
      <c r="AK393" s="8">
        <f>K393+AJ393</f>
        <v/>
      </c>
      <c r="AL393" s="14">
        <f>AE393*AJ393</f>
        <v/>
      </c>
      <c r="AM393" s="17">
        <f>V393/AL393</f>
        <v/>
      </c>
      <c r="AN393" s="17">
        <f>Z393/AL393</f>
        <v/>
      </c>
      <c r="AO393" s="33">
        <f>IF(V393+Z393=0,0,Z393/(V393+Z393))</f>
        <v/>
      </c>
      <c r="AP393" s="14">
        <f>AL393/V393*100</f>
        <v/>
      </c>
      <c r="AQ393" s="8">
        <f>P393/AL393*1000</f>
        <v/>
      </c>
      <c r="AR393" s="77">
        <f>MAX(N393,M393-1)</f>
        <v/>
      </c>
      <c r="AS393" s="14">
        <f>SUMIFS(Donnees_regimes!$R$3:$R$1118,Donnees_regimes!$A$3:$A$1118,C393,Donnees_regimes!$B$3:$B$1118,"&gt;="&amp;G393,Donnees_regimes!$B$3:$B$1118,"&lt;="&amp;N393)*L393/ROUNDUP(L393,0)*SUMIFS(Donnees_annuelles!$AG$3:$AG$188,Donnees_annuelles!$A$3:$A$188,AR393)*SUMIFS(Donnees_annuelles!$AA$3:$AA$188,Donnees_annuelles!$A$3:$A$188,AR393)</f>
        <v/>
      </c>
      <c r="AT393" s="36">
        <f>AS393/V393</f>
        <v/>
      </c>
      <c r="AU393" s="14">
        <f>AL393</f>
        <v/>
      </c>
      <c r="AV393" s="39">
        <f>AS393-AL393</f>
        <v/>
      </c>
      <c r="AW393" s="9">
        <f>AS393/AL393-1</f>
        <v/>
      </c>
      <c r="AX393" s="14">
        <f>AS393/AJ393/12</f>
        <v/>
      </c>
      <c r="AY393" s="14">
        <f>AF393</f>
        <v/>
      </c>
      <c r="AZ393" s="39">
        <f>AX393-AF393</f>
        <v/>
      </c>
      <c r="BA393" s="14">
        <f>SUMIFS(Donnees_regimes!$S$3:$S$1118,Donnees_regimes!$A$3:$A$1118,C393,Donnees_regimes!$B$3:$B$1118,"&gt;="&amp;G393,Donnees_regimes!$B$3:$B$1118,"&lt;="&amp;N393)*L393/ROUNDUP(L393,0)*SUMIFS(Donnees_annuelles!$AH$3:$AH$188,Donnees_annuelles!$A$3:$A$188,AR393)*SUMIFS(Donnees_annuelles!$AA$3:$AA$188,Donnees_annuelles!$A$3:$A$188,AR393)</f>
        <v/>
      </c>
      <c r="BB393" s="39">
        <f>BA393-AL393</f>
        <v/>
      </c>
      <c r="BC393" s="7">
        <f>IF(M393+AJ393&gt;2026,IF(G393&gt;2026,"entièrement projeté","en partie projeté"),"observé")</f>
        <v/>
      </c>
    </row>
    <row r="394">
      <c r="A394" s="7" t="inlineStr">
        <is>
          <t>Génération Alpha</t>
        </is>
      </c>
      <c r="B394" s="84" t="inlineStr">
        <is>
          <t>SNCF</t>
        </is>
      </c>
      <c r="C394" s="7">
        <f>IF(G394&gt;=SUMIFS(Regimes!$C$5:$C$10,Regimes!$A$5:$A$10,B394),"Privé",B394)</f>
        <v/>
      </c>
      <c r="D394" s="7">
        <f>INDEX(Regimes!$D$5:$D$10,MATCH(C394,Regimes!$A$5:$A$10,0))</f>
        <v/>
      </c>
      <c r="E394" s="88" t="n">
        <v>2025</v>
      </c>
      <c r="F394" s="8">
        <f>Donnees_generations!C113</f>
        <v/>
      </c>
      <c r="G394" s="77">
        <f>Donnees_generations!D113</f>
        <v/>
      </c>
      <c r="H394" s="8">
        <f>SUMIFS(Donnees_generations!$S$3:$S$113,Donnees_generations!$A$3:$A$113,MAX(1915,MIN(2025,E394)))</f>
        <v/>
      </c>
      <c r="I394" s="8">
        <f>SUMIFS(Donnees_generations!$T$3:$T$113,Donnees_generations!$A$3:$A$113,MAX(1915,MIN(2025,E394)))</f>
        <v/>
      </c>
      <c r="J394" s="8">
        <f>IF(G394&gt;=2000,MAX(I394,Parametres!$B$3),I394)</f>
        <v/>
      </c>
      <c r="K394" s="8">
        <f>IF(C394="Privé",J394,SUMIFS(Regles_regimes!$J$3:$J$2000,Regles_regimes!$A$3:$A$2000,C394,Regles_regimes!$B$3:$B$2000,D394,Regles_regimes!$C$3:$C$2000,MAX(1915,MIN(2025,E394))))</f>
        <v/>
      </c>
      <c r="L394" s="8">
        <f>IF(C394="Privé",H394,(K394-F394)*H394/(J394-F394))</f>
        <v/>
      </c>
      <c r="M394" s="77">
        <f>INT(E394+K394)</f>
        <v/>
      </c>
      <c r="N394" s="77">
        <f>G394+ROUNDUP(L394,0)-1</f>
        <v/>
      </c>
      <c r="O394" s="89">
        <f>SUMIFS(Regles_regimes!$K$3:$K$2000,Regles_regimes!$A$3:$A$2000,C394,Regles_regimes!$B$3:$B$2000,D394,Regles_regimes!$C$3:$C$2000,MAX(1915,MIN(2025,E394)))</f>
        <v/>
      </c>
      <c r="P394" s="13">
        <f>SUMIFS(Donnees_annuelles!$W$3:$W$188,Donnees_annuelles!$A$3:$A$188,"&gt;="&amp;G394,Donnees_annuelles!$A$3:$A$188,"&lt;="&amp;N394)*L394/ROUNDUP(L394,0)*O394</f>
        <v/>
      </c>
      <c r="Q394" s="13">
        <f>SUMIFS(Donnees_annuelles!$V$3:$V$188,Donnees_annuelles!$A$3:$A$188,"&gt;="&amp;G394,Donnees_annuelles!$A$3:$A$188,"&lt;="&amp;N394)*L394/ROUNDUP(L394,0)</f>
        <v/>
      </c>
      <c r="R394" s="13">
        <f>P394/L394</f>
        <v/>
      </c>
      <c r="S394" s="14">
        <f>SUMIFS(Donnees_annuelles!$D$3:$D$188,Donnees_annuelles!$A$3:$A$188,"&gt;="&amp;G394,Donnees_annuelles!$A$3:$A$188,"&lt;="&amp;N394)*L394/ROUNDUP(L394,0)</f>
        <v/>
      </c>
      <c r="T394" s="14">
        <f>SUMIFS(Donnees_regimes!$N$3:$N$1118,Donnees_regimes!$A$3:$A$1118,C394,Donnees_regimes!$B$3:$B$1118,"&gt;="&amp;G394,Donnees_regimes!$B$3:$B$1118,"&lt;="&amp;N394)*L394/ROUNDUP(L394,0)</f>
        <v/>
      </c>
      <c r="U394" s="14">
        <f>SUMIFS(Donnees_regimes!$O$3:$O$1118,Donnees_regimes!$A$3:$A$1118,C394,Donnees_regimes!$B$3:$B$1118,"&gt;="&amp;G394,Donnees_regimes!$B$3:$B$1118,"&lt;="&amp;N394)*L394/ROUNDUP(L394,0)</f>
        <v/>
      </c>
      <c r="V394" s="14">
        <f>T394+U394</f>
        <v/>
      </c>
      <c r="W394" s="33">
        <f>V394/S394</f>
        <v/>
      </c>
      <c r="X394" s="14">
        <f>S394+U394</f>
        <v/>
      </c>
      <c r="Y394" s="17">
        <f>V394/P394</f>
        <v/>
      </c>
      <c r="Z394" s="14">
        <f>SUMIFS(Donnees_regimes!$Q$3:$Q$1118,Donnees_regimes!$A$3:$A$1118,C394,Donnees_regimes!$B$3:$B$1118,"&gt;="&amp;G394,Donnees_regimes!$B$3:$B$1118,"&lt;="&amp;N394)*L394/ROUNDUP(L394,0)</f>
        <v/>
      </c>
      <c r="AA394" s="77">
        <f>SUMIFS(Regles_regimes!$F$3:$F$2000,Regles_regimes!$A$3:$A$2000,C394,Regles_regimes!$B$3:$B$2000,D394,Regles_regimes!$C$3:$C$2000,MAX(1915,MIN(2025,E394)))</f>
        <v/>
      </c>
      <c r="AB394" s="77">
        <f>IF(AND(SUMIFS(Regles_regimes!$L$3:$L$2000,Regles_regimes!$A$3:$A$2000,C394,Regles_regimes!$B$3:$B$2000,D394,Regles_regimes!$C$3:$C$2000,MAX(1915,MIN(2025,E394)))=1,G394&lt;2009,C394&lt;&gt;"Privé"),MIN(20,L394*4/5),0)</f>
        <v/>
      </c>
      <c r="AC394" s="89">
        <f>SUMIFS(Donnees_regimes!$M$3:$M$1118,Donnees_regimes!$A$3:$A$1118,C394,Donnees_regimes!$B$3:$B$1118,M394)</f>
        <v/>
      </c>
      <c r="AD394" s="14">
        <f>SUMIFS(Donnees_annuelles!$Y$3:$Y$188,Donnees_annuelles!$A$3:$A$188,M394)*SUMIFS(Donnees_generations!$I$3:$I$113,Donnees_generations!$A$3:$A$113,MAX(1915,MIN(2025,E394)))/H394</f>
        <v/>
      </c>
      <c r="AE394" s="14">
        <f>IF(C394="Privé",SUMIFS(Donnees_annuelles!$Y$3:$Y$188,Donnees_annuelles!$A$3:$A$188,M394)*MIN(L394,SUMIFS(Donnees_generations!$I$3:$I$113,Donnees_generations!$A$3:$A$113,MAX(1915,MIN(2025,E394))))/L394,AD394*AC394*MIN(IF(AB394&gt;0,0.8/0.75,1),(L394*4+AB394)/AA394))</f>
        <v/>
      </c>
      <c r="AF394" s="14">
        <f>AE394/12</f>
        <v/>
      </c>
      <c r="AG394" s="77">
        <f>MIN(68,MAX(56,2*INT(K394/2)))</f>
        <v/>
      </c>
      <c r="AH394" s="75">
        <f>(CHOOSE((AG394-56)/2+1,SUMIFS(Donnees_generations!$U$3:$U$113,Donnees_generations!$A$3:$A$113,MAX(1915,MIN(2025,E394))),SUMIFS(Donnees_generations!$V$3:$V$113,Donnees_generations!$A$3:$A$113,MAX(1915,MIN(2025,E394))),SUMIFS(Donnees_generations!$W$3:$W$113,Donnees_generations!$A$3:$A$113,MAX(1915,MIN(2025,E394))),SUMIFS(Donnees_generations!$X$3:$X$113,Donnees_generations!$A$3:$A$113,MAX(1915,MIN(2025,E394))),SUMIFS(Donnees_generations!$Y$3:$Y$113,Donnees_generations!$A$3:$A$113,MAX(1915,MIN(2025,E394))),SUMIFS(Donnees_generations!$Z$3:$Z$113,Donnees_generations!$A$3:$A$113,MAX(1915,MIN(2025,E394))),SUMIFS(Donnees_generations!$AA$3:$AA$113,Donnees_generations!$A$3:$A$113,MAX(1915,MIN(2025,E394))),SUMIFS(Donnees_generations!$AB$3:$AB$113,Donnees_generations!$A$3:$A$113,MAX(1915,MIN(2025,E394))))+CHOOSE((AG394-56)/2+1,SUMIFS(Donnees_generations!$AC$3:$AC$113,Donnees_generations!$A$3:$A$113,MAX(1915,MIN(2025,E394))),SUMIFS(Donnees_generations!$AD$3:$AD$113,Donnees_generations!$A$3:$A$113,MAX(1915,MIN(2025,E394))),SUMIFS(Donnees_generations!$AE$3:$AE$113,Donnees_generations!$A$3:$A$113,MAX(1915,MIN(2025,E394))),SUMIFS(Donnees_generations!$AF$3:$AF$113,Donnees_generations!$A$3:$A$113,MAX(1915,MIN(2025,E394))),SUMIFS(Donnees_generations!$AG$3:$AG$113,Donnees_generations!$A$3:$A$113,MAX(1915,MIN(2025,E394))),SUMIFS(Donnees_generations!$AH$3:$AH$113,Donnees_generations!$A$3:$A$113,MAX(1915,MIN(2025,E394))),SUMIFS(Donnees_generations!$AI$3:$AI$113,Donnees_generations!$A$3:$A$113,MAX(1915,MIN(2025,E394))),SUMIFS(Donnees_generations!$AJ$3:$AJ$113,Donnees_generations!$A$3:$A$113,MAX(1915,MIN(2025,E394)))))/2</f>
        <v/>
      </c>
      <c r="AI394" s="75">
        <f>(CHOOSE(((AG394+2)-56)/2+1,SUMIFS(Donnees_generations!$U$3:$U$113,Donnees_generations!$A$3:$A$113,MAX(1915,MIN(2025,E394))),SUMIFS(Donnees_generations!$V$3:$V$113,Donnees_generations!$A$3:$A$113,MAX(1915,MIN(2025,E394))),SUMIFS(Donnees_generations!$W$3:$W$113,Donnees_generations!$A$3:$A$113,MAX(1915,MIN(2025,E394))),SUMIFS(Donnees_generations!$X$3:$X$113,Donnees_generations!$A$3:$A$113,MAX(1915,MIN(2025,E394))),SUMIFS(Donnees_generations!$Y$3:$Y$113,Donnees_generations!$A$3:$A$113,MAX(1915,MIN(2025,E394))),SUMIFS(Donnees_generations!$Z$3:$Z$113,Donnees_generations!$A$3:$A$113,MAX(1915,MIN(2025,E394))),SUMIFS(Donnees_generations!$AA$3:$AA$113,Donnees_generations!$A$3:$A$113,MAX(1915,MIN(2025,E394))),SUMIFS(Donnees_generations!$AB$3:$AB$113,Donnees_generations!$A$3:$A$113,MAX(1915,MIN(2025,E394))))+CHOOSE(((AG394+2)-56)/2+1,SUMIFS(Donnees_generations!$AC$3:$AC$113,Donnees_generations!$A$3:$A$113,MAX(1915,MIN(2025,E394))),SUMIFS(Donnees_generations!$AD$3:$AD$113,Donnees_generations!$A$3:$A$113,MAX(1915,MIN(2025,E394))),SUMIFS(Donnees_generations!$AE$3:$AE$113,Donnees_generations!$A$3:$A$113,MAX(1915,MIN(2025,E394))),SUMIFS(Donnees_generations!$AF$3:$AF$113,Donnees_generations!$A$3:$A$113,MAX(1915,MIN(2025,E394))),SUMIFS(Donnees_generations!$AG$3:$AG$113,Donnees_generations!$A$3:$A$113,MAX(1915,MIN(2025,E394))),SUMIFS(Donnees_generations!$AH$3:$AH$113,Donnees_generations!$A$3:$A$113,MAX(1915,MIN(2025,E394))),SUMIFS(Donnees_generations!$AI$3:$AI$113,Donnees_generations!$A$3:$A$113,MAX(1915,MIN(2025,E394))),SUMIFS(Donnees_generations!$AJ$3:$AJ$113,Donnees_generations!$A$3:$A$113,MAX(1915,MIN(2025,E394)))))/2</f>
        <v/>
      </c>
      <c r="AJ394" s="8">
        <f>MAX(0,AH394+(AI394-AH394)*(K394-AG394)/2)</f>
        <v/>
      </c>
      <c r="AK394" s="8">
        <f>K394+AJ394</f>
        <v/>
      </c>
      <c r="AL394" s="14">
        <f>AE394*AJ394</f>
        <v/>
      </c>
      <c r="AM394" s="17">
        <f>V394/AL394</f>
        <v/>
      </c>
      <c r="AN394" s="17">
        <f>Z394/AL394</f>
        <v/>
      </c>
      <c r="AO394" s="33">
        <f>IF(V394+Z394=0,0,Z394/(V394+Z394))</f>
        <v/>
      </c>
      <c r="AP394" s="14">
        <f>AL394/V394*100</f>
        <v/>
      </c>
      <c r="AQ394" s="8">
        <f>P394/AL394*1000</f>
        <v/>
      </c>
      <c r="AR394" s="77">
        <f>MAX(N394,M394-1)</f>
        <v/>
      </c>
      <c r="AS394" s="14">
        <f>SUMIFS(Donnees_regimes!$R$3:$R$1118,Donnees_regimes!$A$3:$A$1118,C394,Donnees_regimes!$B$3:$B$1118,"&gt;="&amp;G394,Donnees_regimes!$B$3:$B$1118,"&lt;="&amp;N394)*L394/ROUNDUP(L394,0)*SUMIFS(Donnees_annuelles!$AG$3:$AG$188,Donnees_annuelles!$A$3:$A$188,AR394)*SUMIFS(Donnees_annuelles!$AA$3:$AA$188,Donnees_annuelles!$A$3:$A$188,AR394)</f>
        <v/>
      </c>
      <c r="AT394" s="36">
        <f>AS394/V394</f>
        <v/>
      </c>
      <c r="AU394" s="14">
        <f>AL394</f>
        <v/>
      </c>
      <c r="AV394" s="39">
        <f>AS394-AL394</f>
        <v/>
      </c>
      <c r="AW394" s="9">
        <f>AS394/AL394-1</f>
        <v/>
      </c>
      <c r="AX394" s="14">
        <f>AS394/AJ394/12</f>
        <v/>
      </c>
      <c r="AY394" s="14">
        <f>AF394</f>
        <v/>
      </c>
      <c r="AZ394" s="39">
        <f>AX394-AF394</f>
        <v/>
      </c>
      <c r="BA394" s="14">
        <f>SUMIFS(Donnees_regimes!$S$3:$S$1118,Donnees_regimes!$A$3:$A$1118,C394,Donnees_regimes!$B$3:$B$1118,"&gt;="&amp;G394,Donnees_regimes!$B$3:$B$1118,"&lt;="&amp;N394)*L394/ROUNDUP(L394,0)*SUMIFS(Donnees_annuelles!$AH$3:$AH$188,Donnees_annuelles!$A$3:$A$188,AR394)*SUMIFS(Donnees_annuelles!$AA$3:$AA$188,Donnees_annuelles!$A$3:$A$188,AR394)</f>
        <v/>
      </c>
      <c r="BB394" s="39">
        <f>BA394-AL394</f>
        <v/>
      </c>
      <c r="BC394" s="7">
        <f>IF(M394+AJ394&gt;2026,IF(G394&gt;2026,"entièrement projeté","en partie projeté"),"observé")</f>
        <v/>
      </c>
    </row>
    <row r="395">
      <c r="A395" s="7" t="inlineStr">
        <is>
          <t>Génération silencieuse</t>
        </is>
      </c>
      <c r="B395" s="84" t="inlineStr">
        <is>
          <t>RATP</t>
        </is>
      </c>
      <c r="C395" s="7">
        <f>IF(G395&gt;=SUMIFS(Regimes!$C$5:$C$10,Regimes!$A$5:$A$10,B395),"Privé",B395)</f>
        <v/>
      </c>
      <c r="D395" s="7">
        <f>INDEX(Regimes!$D$5:$D$10,MATCH(C395,Regimes!$A$5:$A$10,0))</f>
        <v/>
      </c>
      <c r="E395" s="88" t="n">
        <v>1928</v>
      </c>
      <c r="F395" s="8">
        <f>Donnees_generations!C16</f>
        <v/>
      </c>
      <c r="G395" s="77">
        <f>Donnees_generations!D16</f>
        <v/>
      </c>
      <c r="H395" s="8">
        <f>SUMIFS(Donnees_generations!$S$3:$S$113,Donnees_generations!$A$3:$A$113,MAX(1915,MIN(2025,E395)))</f>
        <v/>
      </c>
      <c r="I395" s="8">
        <f>SUMIFS(Donnees_generations!$T$3:$T$113,Donnees_generations!$A$3:$A$113,MAX(1915,MIN(2025,E395)))</f>
        <v/>
      </c>
      <c r="J395" s="8">
        <f>IF(G395&gt;=2000,MAX(I395,Parametres!$B$3),I395)</f>
        <v/>
      </c>
      <c r="K395" s="8">
        <f>IF(C395="Privé",J395,SUMIFS(Regles_regimes!$J$3:$J$2000,Regles_regimes!$A$3:$A$2000,C395,Regles_regimes!$B$3:$B$2000,D395,Regles_regimes!$C$3:$C$2000,MAX(1915,MIN(2025,E395))))</f>
        <v/>
      </c>
      <c r="L395" s="8">
        <f>IF(C395="Privé",H395,(K395-F395)*H395/(J395-F395))</f>
        <v/>
      </c>
      <c r="M395" s="77">
        <f>INT(E395+K395)</f>
        <v/>
      </c>
      <c r="N395" s="77">
        <f>G395+ROUNDUP(L395,0)-1</f>
        <v/>
      </c>
      <c r="O395" s="89">
        <f>SUMIFS(Regles_regimes!$K$3:$K$2000,Regles_regimes!$A$3:$A$2000,C395,Regles_regimes!$B$3:$B$2000,D395,Regles_regimes!$C$3:$C$2000,MAX(1915,MIN(2025,E395)))</f>
        <v/>
      </c>
      <c r="P395" s="13">
        <f>SUMIFS(Donnees_annuelles!$W$3:$W$188,Donnees_annuelles!$A$3:$A$188,"&gt;="&amp;G395,Donnees_annuelles!$A$3:$A$188,"&lt;="&amp;N395)*L395/ROUNDUP(L395,0)*O395</f>
        <v/>
      </c>
      <c r="Q395" s="13">
        <f>SUMIFS(Donnees_annuelles!$V$3:$V$188,Donnees_annuelles!$A$3:$A$188,"&gt;="&amp;G395,Donnees_annuelles!$A$3:$A$188,"&lt;="&amp;N395)*L395/ROUNDUP(L395,0)</f>
        <v/>
      </c>
      <c r="R395" s="13">
        <f>P395/L395</f>
        <v/>
      </c>
      <c r="S395" s="14">
        <f>SUMIFS(Donnees_annuelles!$D$3:$D$188,Donnees_annuelles!$A$3:$A$188,"&gt;="&amp;G395,Donnees_annuelles!$A$3:$A$188,"&lt;="&amp;N395)*L395/ROUNDUP(L395,0)</f>
        <v/>
      </c>
      <c r="T395" s="14">
        <f>SUMIFS(Donnees_regimes!$N$3:$N$1118,Donnees_regimes!$A$3:$A$1118,C395,Donnees_regimes!$B$3:$B$1118,"&gt;="&amp;G395,Donnees_regimes!$B$3:$B$1118,"&lt;="&amp;N395)*L395/ROUNDUP(L395,0)</f>
        <v/>
      </c>
      <c r="U395" s="14">
        <f>SUMIFS(Donnees_regimes!$O$3:$O$1118,Donnees_regimes!$A$3:$A$1118,C395,Donnees_regimes!$B$3:$B$1118,"&gt;="&amp;G395,Donnees_regimes!$B$3:$B$1118,"&lt;="&amp;N395)*L395/ROUNDUP(L395,0)</f>
        <v/>
      </c>
      <c r="V395" s="14">
        <f>T395+U395</f>
        <v/>
      </c>
      <c r="W395" s="33">
        <f>V395/S395</f>
        <v/>
      </c>
      <c r="X395" s="14">
        <f>S395+U395</f>
        <v/>
      </c>
      <c r="Y395" s="17">
        <f>V395/P395</f>
        <v/>
      </c>
      <c r="Z395" s="14">
        <f>SUMIFS(Donnees_regimes!$Q$3:$Q$1118,Donnees_regimes!$A$3:$A$1118,C395,Donnees_regimes!$B$3:$B$1118,"&gt;="&amp;G395,Donnees_regimes!$B$3:$B$1118,"&lt;="&amp;N395)*L395/ROUNDUP(L395,0)</f>
        <v/>
      </c>
      <c r="AA395" s="77">
        <f>SUMIFS(Regles_regimes!$F$3:$F$2000,Regles_regimes!$A$3:$A$2000,C395,Regles_regimes!$B$3:$B$2000,D395,Regles_regimes!$C$3:$C$2000,MAX(1915,MIN(2025,E395)))</f>
        <v/>
      </c>
      <c r="AB395" s="77">
        <f>IF(AND(SUMIFS(Regles_regimes!$L$3:$L$2000,Regles_regimes!$A$3:$A$2000,C395,Regles_regimes!$B$3:$B$2000,D395,Regles_regimes!$C$3:$C$2000,MAX(1915,MIN(2025,E395)))=1,G395&lt;2009,C395&lt;&gt;"Privé"),MIN(20,L395*4/5),0)</f>
        <v/>
      </c>
      <c r="AC395" s="89">
        <f>SUMIFS(Donnees_regimes!$M$3:$M$1118,Donnees_regimes!$A$3:$A$1118,C395,Donnees_regimes!$B$3:$B$1118,M395)</f>
        <v/>
      </c>
      <c r="AD395" s="14">
        <f>SUMIFS(Donnees_annuelles!$Y$3:$Y$188,Donnees_annuelles!$A$3:$A$188,M395)*SUMIFS(Donnees_generations!$I$3:$I$113,Donnees_generations!$A$3:$A$113,MAX(1915,MIN(2025,E395)))/H395</f>
        <v/>
      </c>
      <c r="AE395" s="14">
        <f>IF(C395="Privé",SUMIFS(Donnees_annuelles!$Y$3:$Y$188,Donnees_annuelles!$A$3:$A$188,M395)*MIN(L395,SUMIFS(Donnees_generations!$I$3:$I$113,Donnees_generations!$A$3:$A$113,MAX(1915,MIN(2025,E395))))/L395,AD395*AC395*MIN(IF(AB395&gt;0,0.8/0.75,1),(L395*4+AB395)/AA395))</f>
        <v/>
      </c>
      <c r="AF395" s="14">
        <f>AE395/12</f>
        <v/>
      </c>
      <c r="AG395" s="77">
        <f>MIN(68,MAX(56,2*INT(K395/2)))</f>
        <v/>
      </c>
      <c r="AH395" s="75">
        <f>(CHOOSE((AG395-56)/2+1,SUMIFS(Donnees_generations!$U$3:$U$113,Donnees_generations!$A$3:$A$113,MAX(1915,MIN(2025,E395))),SUMIFS(Donnees_generations!$V$3:$V$113,Donnees_generations!$A$3:$A$113,MAX(1915,MIN(2025,E395))),SUMIFS(Donnees_generations!$W$3:$W$113,Donnees_generations!$A$3:$A$113,MAX(1915,MIN(2025,E395))),SUMIFS(Donnees_generations!$X$3:$X$113,Donnees_generations!$A$3:$A$113,MAX(1915,MIN(2025,E395))),SUMIFS(Donnees_generations!$Y$3:$Y$113,Donnees_generations!$A$3:$A$113,MAX(1915,MIN(2025,E395))),SUMIFS(Donnees_generations!$Z$3:$Z$113,Donnees_generations!$A$3:$A$113,MAX(1915,MIN(2025,E395))),SUMIFS(Donnees_generations!$AA$3:$AA$113,Donnees_generations!$A$3:$A$113,MAX(1915,MIN(2025,E395))),SUMIFS(Donnees_generations!$AB$3:$AB$113,Donnees_generations!$A$3:$A$113,MAX(1915,MIN(2025,E395))))+CHOOSE((AG395-56)/2+1,SUMIFS(Donnees_generations!$AC$3:$AC$113,Donnees_generations!$A$3:$A$113,MAX(1915,MIN(2025,E395))),SUMIFS(Donnees_generations!$AD$3:$AD$113,Donnees_generations!$A$3:$A$113,MAX(1915,MIN(2025,E395))),SUMIFS(Donnees_generations!$AE$3:$AE$113,Donnees_generations!$A$3:$A$113,MAX(1915,MIN(2025,E395))),SUMIFS(Donnees_generations!$AF$3:$AF$113,Donnees_generations!$A$3:$A$113,MAX(1915,MIN(2025,E395))),SUMIFS(Donnees_generations!$AG$3:$AG$113,Donnees_generations!$A$3:$A$113,MAX(1915,MIN(2025,E395))),SUMIFS(Donnees_generations!$AH$3:$AH$113,Donnees_generations!$A$3:$A$113,MAX(1915,MIN(2025,E395))),SUMIFS(Donnees_generations!$AI$3:$AI$113,Donnees_generations!$A$3:$A$113,MAX(1915,MIN(2025,E395))),SUMIFS(Donnees_generations!$AJ$3:$AJ$113,Donnees_generations!$A$3:$A$113,MAX(1915,MIN(2025,E395)))))/2</f>
        <v/>
      </c>
      <c r="AI395" s="75">
        <f>(CHOOSE(((AG395+2)-56)/2+1,SUMIFS(Donnees_generations!$U$3:$U$113,Donnees_generations!$A$3:$A$113,MAX(1915,MIN(2025,E395))),SUMIFS(Donnees_generations!$V$3:$V$113,Donnees_generations!$A$3:$A$113,MAX(1915,MIN(2025,E395))),SUMIFS(Donnees_generations!$W$3:$W$113,Donnees_generations!$A$3:$A$113,MAX(1915,MIN(2025,E395))),SUMIFS(Donnees_generations!$X$3:$X$113,Donnees_generations!$A$3:$A$113,MAX(1915,MIN(2025,E395))),SUMIFS(Donnees_generations!$Y$3:$Y$113,Donnees_generations!$A$3:$A$113,MAX(1915,MIN(2025,E395))),SUMIFS(Donnees_generations!$Z$3:$Z$113,Donnees_generations!$A$3:$A$113,MAX(1915,MIN(2025,E395))),SUMIFS(Donnees_generations!$AA$3:$AA$113,Donnees_generations!$A$3:$A$113,MAX(1915,MIN(2025,E395))),SUMIFS(Donnees_generations!$AB$3:$AB$113,Donnees_generations!$A$3:$A$113,MAX(1915,MIN(2025,E395))))+CHOOSE(((AG395+2)-56)/2+1,SUMIFS(Donnees_generations!$AC$3:$AC$113,Donnees_generations!$A$3:$A$113,MAX(1915,MIN(2025,E395))),SUMIFS(Donnees_generations!$AD$3:$AD$113,Donnees_generations!$A$3:$A$113,MAX(1915,MIN(2025,E395))),SUMIFS(Donnees_generations!$AE$3:$AE$113,Donnees_generations!$A$3:$A$113,MAX(1915,MIN(2025,E395))),SUMIFS(Donnees_generations!$AF$3:$AF$113,Donnees_generations!$A$3:$A$113,MAX(1915,MIN(2025,E395))),SUMIFS(Donnees_generations!$AG$3:$AG$113,Donnees_generations!$A$3:$A$113,MAX(1915,MIN(2025,E395))),SUMIFS(Donnees_generations!$AH$3:$AH$113,Donnees_generations!$A$3:$A$113,MAX(1915,MIN(2025,E395))),SUMIFS(Donnees_generations!$AI$3:$AI$113,Donnees_generations!$A$3:$A$113,MAX(1915,MIN(2025,E395))),SUMIFS(Donnees_generations!$AJ$3:$AJ$113,Donnees_generations!$A$3:$A$113,MAX(1915,MIN(2025,E395)))))/2</f>
        <v/>
      </c>
      <c r="AJ395" s="8">
        <f>MAX(0,AH395+(AI395-AH395)*(K395-AG395)/2)</f>
        <v/>
      </c>
      <c r="AK395" s="8">
        <f>K395+AJ395</f>
        <v/>
      </c>
      <c r="AL395" s="14">
        <f>AE395*AJ395</f>
        <v/>
      </c>
      <c r="AM395" s="17">
        <f>V395/AL395</f>
        <v/>
      </c>
      <c r="AN395" s="17">
        <f>Z395/AL395</f>
        <v/>
      </c>
      <c r="AO395" s="33">
        <f>IF(V395+Z395=0,0,Z395/(V395+Z395))</f>
        <v/>
      </c>
      <c r="AP395" s="14">
        <f>AL395/V395*100</f>
        <v/>
      </c>
      <c r="AQ395" s="8">
        <f>P395/AL395*1000</f>
        <v/>
      </c>
      <c r="AR395" s="77">
        <f>MAX(N395,M395-1)</f>
        <v/>
      </c>
      <c r="AS395" s="14">
        <f>SUMIFS(Donnees_regimes!$R$3:$R$1118,Donnees_regimes!$A$3:$A$1118,C395,Donnees_regimes!$B$3:$B$1118,"&gt;="&amp;G395,Donnees_regimes!$B$3:$B$1118,"&lt;="&amp;N395)*L395/ROUNDUP(L395,0)*SUMIFS(Donnees_annuelles!$AG$3:$AG$188,Donnees_annuelles!$A$3:$A$188,AR395)*SUMIFS(Donnees_annuelles!$AA$3:$AA$188,Donnees_annuelles!$A$3:$A$188,AR395)</f>
        <v/>
      </c>
      <c r="AT395" s="36">
        <f>AS395/V395</f>
        <v/>
      </c>
      <c r="AU395" s="14">
        <f>AL395</f>
        <v/>
      </c>
      <c r="AV395" s="39">
        <f>AS395-AL395</f>
        <v/>
      </c>
      <c r="AW395" s="9">
        <f>AS395/AL395-1</f>
        <v/>
      </c>
      <c r="AX395" s="14">
        <f>AS395/AJ395/12</f>
        <v/>
      </c>
      <c r="AY395" s="14">
        <f>AF395</f>
        <v/>
      </c>
      <c r="AZ395" s="39">
        <f>AX395-AF395</f>
        <v/>
      </c>
      <c r="BA395" s="14">
        <f>SUMIFS(Donnees_regimes!$S$3:$S$1118,Donnees_regimes!$A$3:$A$1118,C395,Donnees_regimes!$B$3:$B$1118,"&gt;="&amp;G395,Donnees_regimes!$B$3:$B$1118,"&lt;="&amp;N395)*L395/ROUNDUP(L395,0)*SUMIFS(Donnees_annuelles!$AH$3:$AH$188,Donnees_annuelles!$A$3:$A$188,AR395)*SUMIFS(Donnees_annuelles!$AA$3:$AA$188,Donnees_annuelles!$A$3:$A$188,AR395)</f>
        <v/>
      </c>
      <c r="BB395" s="39">
        <f>BA395-AL395</f>
        <v/>
      </c>
      <c r="BC395" s="7">
        <f>IF(M395+AJ395&gt;2026,IF(G395&gt;2026,"entièrement projeté","en partie projeté"),"observé")</f>
        <v/>
      </c>
    </row>
    <row r="396">
      <c r="A396" s="7" t="inlineStr">
        <is>
          <t>Génération silencieuse</t>
        </is>
      </c>
      <c r="B396" s="84" t="inlineStr">
        <is>
          <t>RATP</t>
        </is>
      </c>
      <c r="C396" s="7">
        <f>IF(G396&gt;=SUMIFS(Regimes!$C$5:$C$10,Regimes!$A$5:$A$10,B396),"Privé",B396)</f>
        <v/>
      </c>
      <c r="D396" s="7">
        <f>INDEX(Regimes!$D$5:$D$10,MATCH(C396,Regimes!$A$5:$A$10,0))</f>
        <v/>
      </c>
      <c r="E396" s="88" t="n">
        <v>1929</v>
      </c>
      <c r="F396" s="8">
        <f>Donnees_generations!C17</f>
        <v/>
      </c>
      <c r="G396" s="77">
        <f>Donnees_generations!D17</f>
        <v/>
      </c>
      <c r="H396" s="8">
        <f>SUMIFS(Donnees_generations!$S$3:$S$113,Donnees_generations!$A$3:$A$113,MAX(1915,MIN(2025,E396)))</f>
        <v/>
      </c>
      <c r="I396" s="8">
        <f>SUMIFS(Donnees_generations!$T$3:$T$113,Donnees_generations!$A$3:$A$113,MAX(1915,MIN(2025,E396)))</f>
        <v/>
      </c>
      <c r="J396" s="8">
        <f>IF(G396&gt;=2000,MAX(I396,Parametres!$B$3),I396)</f>
        <v/>
      </c>
      <c r="K396" s="8">
        <f>IF(C396="Privé",J396,SUMIFS(Regles_regimes!$J$3:$J$2000,Regles_regimes!$A$3:$A$2000,C396,Regles_regimes!$B$3:$B$2000,D396,Regles_regimes!$C$3:$C$2000,MAX(1915,MIN(2025,E396))))</f>
        <v/>
      </c>
      <c r="L396" s="8">
        <f>IF(C396="Privé",H396,(K396-F396)*H396/(J396-F396))</f>
        <v/>
      </c>
      <c r="M396" s="77">
        <f>INT(E396+K396)</f>
        <v/>
      </c>
      <c r="N396" s="77">
        <f>G396+ROUNDUP(L396,0)-1</f>
        <v/>
      </c>
      <c r="O396" s="89">
        <f>SUMIFS(Regles_regimes!$K$3:$K$2000,Regles_regimes!$A$3:$A$2000,C396,Regles_regimes!$B$3:$B$2000,D396,Regles_regimes!$C$3:$C$2000,MAX(1915,MIN(2025,E396)))</f>
        <v/>
      </c>
      <c r="P396" s="13">
        <f>SUMIFS(Donnees_annuelles!$W$3:$W$188,Donnees_annuelles!$A$3:$A$188,"&gt;="&amp;G396,Donnees_annuelles!$A$3:$A$188,"&lt;="&amp;N396)*L396/ROUNDUP(L396,0)*O396</f>
        <v/>
      </c>
      <c r="Q396" s="13">
        <f>SUMIFS(Donnees_annuelles!$V$3:$V$188,Donnees_annuelles!$A$3:$A$188,"&gt;="&amp;G396,Donnees_annuelles!$A$3:$A$188,"&lt;="&amp;N396)*L396/ROUNDUP(L396,0)</f>
        <v/>
      </c>
      <c r="R396" s="13">
        <f>P396/L396</f>
        <v/>
      </c>
      <c r="S396" s="14">
        <f>SUMIFS(Donnees_annuelles!$D$3:$D$188,Donnees_annuelles!$A$3:$A$188,"&gt;="&amp;G396,Donnees_annuelles!$A$3:$A$188,"&lt;="&amp;N396)*L396/ROUNDUP(L396,0)</f>
        <v/>
      </c>
      <c r="T396" s="14">
        <f>SUMIFS(Donnees_regimes!$N$3:$N$1118,Donnees_regimes!$A$3:$A$1118,C396,Donnees_regimes!$B$3:$B$1118,"&gt;="&amp;G396,Donnees_regimes!$B$3:$B$1118,"&lt;="&amp;N396)*L396/ROUNDUP(L396,0)</f>
        <v/>
      </c>
      <c r="U396" s="14">
        <f>SUMIFS(Donnees_regimes!$O$3:$O$1118,Donnees_regimes!$A$3:$A$1118,C396,Donnees_regimes!$B$3:$B$1118,"&gt;="&amp;G396,Donnees_regimes!$B$3:$B$1118,"&lt;="&amp;N396)*L396/ROUNDUP(L396,0)</f>
        <v/>
      </c>
      <c r="V396" s="14">
        <f>T396+U396</f>
        <v/>
      </c>
      <c r="W396" s="33">
        <f>V396/S396</f>
        <v/>
      </c>
      <c r="X396" s="14">
        <f>S396+U396</f>
        <v/>
      </c>
      <c r="Y396" s="17">
        <f>V396/P396</f>
        <v/>
      </c>
      <c r="Z396" s="14">
        <f>SUMIFS(Donnees_regimes!$Q$3:$Q$1118,Donnees_regimes!$A$3:$A$1118,C396,Donnees_regimes!$B$3:$B$1118,"&gt;="&amp;G396,Donnees_regimes!$B$3:$B$1118,"&lt;="&amp;N396)*L396/ROUNDUP(L396,0)</f>
        <v/>
      </c>
      <c r="AA396" s="77">
        <f>SUMIFS(Regles_regimes!$F$3:$F$2000,Regles_regimes!$A$3:$A$2000,C396,Regles_regimes!$B$3:$B$2000,D396,Regles_regimes!$C$3:$C$2000,MAX(1915,MIN(2025,E396)))</f>
        <v/>
      </c>
      <c r="AB396" s="77">
        <f>IF(AND(SUMIFS(Regles_regimes!$L$3:$L$2000,Regles_regimes!$A$3:$A$2000,C396,Regles_regimes!$B$3:$B$2000,D396,Regles_regimes!$C$3:$C$2000,MAX(1915,MIN(2025,E396)))=1,G396&lt;2009,C396&lt;&gt;"Privé"),MIN(20,L396*4/5),0)</f>
        <v/>
      </c>
      <c r="AC396" s="89">
        <f>SUMIFS(Donnees_regimes!$M$3:$M$1118,Donnees_regimes!$A$3:$A$1118,C396,Donnees_regimes!$B$3:$B$1118,M396)</f>
        <v/>
      </c>
      <c r="AD396" s="14">
        <f>SUMIFS(Donnees_annuelles!$Y$3:$Y$188,Donnees_annuelles!$A$3:$A$188,M396)*SUMIFS(Donnees_generations!$I$3:$I$113,Donnees_generations!$A$3:$A$113,MAX(1915,MIN(2025,E396)))/H396</f>
        <v/>
      </c>
      <c r="AE396" s="14">
        <f>IF(C396="Privé",SUMIFS(Donnees_annuelles!$Y$3:$Y$188,Donnees_annuelles!$A$3:$A$188,M396)*MIN(L396,SUMIFS(Donnees_generations!$I$3:$I$113,Donnees_generations!$A$3:$A$113,MAX(1915,MIN(2025,E396))))/L396,AD396*AC396*MIN(IF(AB396&gt;0,0.8/0.75,1),(L396*4+AB396)/AA396))</f>
        <v/>
      </c>
      <c r="AF396" s="14">
        <f>AE396/12</f>
        <v/>
      </c>
      <c r="AG396" s="77">
        <f>MIN(68,MAX(56,2*INT(K396/2)))</f>
        <v/>
      </c>
      <c r="AH396" s="75">
        <f>(CHOOSE((AG396-56)/2+1,SUMIFS(Donnees_generations!$U$3:$U$113,Donnees_generations!$A$3:$A$113,MAX(1915,MIN(2025,E396))),SUMIFS(Donnees_generations!$V$3:$V$113,Donnees_generations!$A$3:$A$113,MAX(1915,MIN(2025,E396))),SUMIFS(Donnees_generations!$W$3:$W$113,Donnees_generations!$A$3:$A$113,MAX(1915,MIN(2025,E396))),SUMIFS(Donnees_generations!$X$3:$X$113,Donnees_generations!$A$3:$A$113,MAX(1915,MIN(2025,E396))),SUMIFS(Donnees_generations!$Y$3:$Y$113,Donnees_generations!$A$3:$A$113,MAX(1915,MIN(2025,E396))),SUMIFS(Donnees_generations!$Z$3:$Z$113,Donnees_generations!$A$3:$A$113,MAX(1915,MIN(2025,E396))),SUMIFS(Donnees_generations!$AA$3:$AA$113,Donnees_generations!$A$3:$A$113,MAX(1915,MIN(2025,E396))),SUMIFS(Donnees_generations!$AB$3:$AB$113,Donnees_generations!$A$3:$A$113,MAX(1915,MIN(2025,E396))))+CHOOSE((AG396-56)/2+1,SUMIFS(Donnees_generations!$AC$3:$AC$113,Donnees_generations!$A$3:$A$113,MAX(1915,MIN(2025,E396))),SUMIFS(Donnees_generations!$AD$3:$AD$113,Donnees_generations!$A$3:$A$113,MAX(1915,MIN(2025,E396))),SUMIFS(Donnees_generations!$AE$3:$AE$113,Donnees_generations!$A$3:$A$113,MAX(1915,MIN(2025,E396))),SUMIFS(Donnees_generations!$AF$3:$AF$113,Donnees_generations!$A$3:$A$113,MAX(1915,MIN(2025,E396))),SUMIFS(Donnees_generations!$AG$3:$AG$113,Donnees_generations!$A$3:$A$113,MAX(1915,MIN(2025,E396))),SUMIFS(Donnees_generations!$AH$3:$AH$113,Donnees_generations!$A$3:$A$113,MAX(1915,MIN(2025,E396))),SUMIFS(Donnees_generations!$AI$3:$AI$113,Donnees_generations!$A$3:$A$113,MAX(1915,MIN(2025,E396))),SUMIFS(Donnees_generations!$AJ$3:$AJ$113,Donnees_generations!$A$3:$A$113,MAX(1915,MIN(2025,E396)))))/2</f>
        <v/>
      </c>
      <c r="AI396" s="75">
        <f>(CHOOSE(((AG396+2)-56)/2+1,SUMIFS(Donnees_generations!$U$3:$U$113,Donnees_generations!$A$3:$A$113,MAX(1915,MIN(2025,E396))),SUMIFS(Donnees_generations!$V$3:$V$113,Donnees_generations!$A$3:$A$113,MAX(1915,MIN(2025,E396))),SUMIFS(Donnees_generations!$W$3:$W$113,Donnees_generations!$A$3:$A$113,MAX(1915,MIN(2025,E396))),SUMIFS(Donnees_generations!$X$3:$X$113,Donnees_generations!$A$3:$A$113,MAX(1915,MIN(2025,E396))),SUMIFS(Donnees_generations!$Y$3:$Y$113,Donnees_generations!$A$3:$A$113,MAX(1915,MIN(2025,E396))),SUMIFS(Donnees_generations!$Z$3:$Z$113,Donnees_generations!$A$3:$A$113,MAX(1915,MIN(2025,E396))),SUMIFS(Donnees_generations!$AA$3:$AA$113,Donnees_generations!$A$3:$A$113,MAX(1915,MIN(2025,E396))),SUMIFS(Donnees_generations!$AB$3:$AB$113,Donnees_generations!$A$3:$A$113,MAX(1915,MIN(2025,E396))))+CHOOSE(((AG396+2)-56)/2+1,SUMIFS(Donnees_generations!$AC$3:$AC$113,Donnees_generations!$A$3:$A$113,MAX(1915,MIN(2025,E396))),SUMIFS(Donnees_generations!$AD$3:$AD$113,Donnees_generations!$A$3:$A$113,MAX(1915,MIN(2025,E396))),SUMIFS(Donnees_generations!$AE$3:$AE$113,Donnees_generations!$A$3:$A$113,MAX(1915,MIN(2025,E396))),SUMIFS(Donnees_generations!$AF$3:$AF$113,Donnees_generations!$A$3:$A$113,MAX(1915,MIN(2025,E396))),SUMIFS(Donnees_generations!$AG$3:$AG$113,Donnees_generations!$A$3:$A$113,MAX(1915,MIN(2025,E396))),SUMIFS(Donnees_generations!$AH$3:$AH$113,Donnees_generations!$A$3:$A$113,MAX(1915,MIN(2025,E396))),SUMIFS(Donnees_generations!$AI$3:$AI$113,Donnees_generations!$A$3:$A$113,MAX(1915,MIN(2025,E396))),SUMIFS(Donnees_generations!$AJ$3:$AJ$113,Donnees_generations!$A$3:$A$113,MAX(1915,MIN(2025,E396)))))/2</f>
        <v/>
      </c>
      <c r="AJ396" s="8">
        <f>MAX(0,AH396+(AI396-AH396)*(K396-AG396)/2)</f>
        <v/>
      </c>
      <c r="AK396" s="8">
        <f>K396+AJ396</f>
        <v/>
      </c>
      <c r="AL396" s="14">
        <f>AE396*AJ396</f>
        <v/>
      </c>
      <c r="AM396" s="17">
        <f>V396/AL396</f>
        <v/>
      </c>
      <c r="AN396" s="17">
        <f>Z396/AL396</f>
        <v/>
      </c>
      <c r="AO396" s="33">
        <f>IF(V396+Z396=0,0,Z396/(V396+Z396))</f>
        <v/>
      </c>
      <c r="AP396" s="14">
        <f>AL396/V396*100</f>
        <v/>
      </c>
      <c r="AQ396" s="8">
        <f>P396/AL396*1000</f>
        <v/>
      </c>
      <c r="AR396" s="77">
        <f>MAX(N396,M396-1)</f>
        <v/>
      </c>
      <c r="AS396" s="14">
        <f>SUMIFS(Donnees_regimes!$R$3:$R$1118,Donnees_regimes!$A$3:$A$1118,C396,Donnees_regimes!$B$3:$B$1118,"&gt;="&amp;G396,Donnees_regimes!$B$3:$B$1118,"&lt;="&amp;N396)*L396/ROUNDUP(L396,0)*SUMIFS(Donnees_annuelles!$AG$3:$AG$188,Donnees_annuelles!$A$3:$A$188,AR396)*SUMIFS(Donnees_annuelles!$AA$3:$AA$188,Donnees_annuelles!$A$3:$A$188,AR396)</f>
        <v/>
      </c>
      <c r="AT396" s="36">
        <f>AS396/V396</f>
        <v/>
      </c>
      <c r="AU396" s="14">
        <f>AL396</f>
        <v/>
      </c>
      <c r="AV396" s="39">
        <f>AS396-AL396</f>
        <v/>
      </c>
      <c r="AW396" s="9">
        <f>AS396/AL396-1</f>
        <v/>
      </c>
      <c r="AX396" s="14">
        <f>AS396/AJ396/12</f>
        <v/>
      </c>
      <c r="AY396" s="14">
        <f>AF396</f>
        <v/>
      </c>
      <c r="AZ396" s="39">
        <f>AX396-AF396</f>
        <v/>
      </c>
      <c r="BA396" s="14">
        <f>SUMIFS(Donnees_regimes!$S$3:$S$1118,Donnees_regimes!$A$3:$A$1118,C396,Donnees_regimes!$B$3:$B$1118,"&gt;="&amp;G396,Donnees_regimes!$B$3:$B$1118,"&lt;="&amp;N396)*L396/ROUNDUP(L396,0)*SUMIFS(Donnees_annuelles!$AH$3:$AH$188,Donnees_annuelles!$A$3:$A$188,AR396)*SUMIFS(Donnees_annuelles!$AA$3:$AA$188,Donnees_annuelles!$A$3:$A$188,AR396)</f>
        <v/>
      </c>
      <c r="BB396" s="39">
        <f>BA396-AL396</f>
        <v/>
      </c>
      <c r="BC396" s="7">
        <f>IF(M396+AJ396&gt;2026,IF(G396&gt;2026,"entièrement projeté","en partie projeté"),"observé")</f>
        <v/>
      </c>
    </row>
    <row r="397">
      <c r="A397" s="7" t="inlineStr">
        <is>
          <t>Génération silencieuse</t>
        </is>
      </c>
      <c r="B397" s="84" t="inlineStr">
        <is>
          <t>RATP</t>
        </is>
      </c>
      <c r="C397" s="7">
        <f>IF(G397&gt;=SUMIFS(Regimes!$C$5:$C$10,Regimes!$A$5:$A$10,B397),"Privé",B397)</f>
        <v/>
      </c>
      <c r="D397" s="7">
        <f>INDEX(Regimes!$D$5:$D$10,MATCH(C397,Regimes!$A$5:$A$10,0))</f>
        <v/>
      </c>
      <c r="E397" s="88" t="n">
        <v>1930</v>
      </c>
      <c r="F397" s="8">
        <f>Donnees_generations!C18</f>
        <v/>
      </c>
      <c r="G397" s="77">
        <f>Donnees_generations!D18</f>
        <v/>
      </c>
      <c r="H397" s="8">
        <f>SUMIFS(Donnees_generations!$S$3:$S$113,Donnees_generations!$A$3:$A$113,MAX(1915,MIN(2025,E397)))</f>
        <v/>
      </c>
      <c r="I397" s="8">
        <f>SUMIFS(Donnees_generations!$T$3:$T$113,Donnees_generations!$A$3:$A$113,MAX(1915,MIN(2025,E397)))</f>
        <v/>
      </c>
      <c r="J397" s="8">
        <f>IF(G397&gt;=2000,MAX(I397,Parametres!$B$3),I397)</f>
        <v/>
      </c>
      <c r="K397" s="8">
        <f>IF(C397="Privé",J397,SUMIFS(Regles_regimes!$J$3:$J$2000,Regles_regimes!$A$3:$A$2000,C397,Regles_regimes!$B$3:$B$2000,D397,Regles_regimes!$C$3:$C$2000,MAX(1915,MIN(2025,E397))))</f>
        <v/>
      </c>
      <c r="L397" s="8">
        <f>IF(C397="Privé",H397,(K397-F397)*H397/(J397-F397))</f>
        <v/>
      </c>
      <c r="M397" s="77">
        <f>INT(E397+K397)</f>
        <v/>
      </c>
      <c r="N397" s="77">
        <f>G397+ROUNDUP(L397,0)-1</f>
        <v/>
      </c>
      <c r="O397" s="89">
        <f>SUMIFS(Regles_regimes!$K$3:$K$2000,Regles_regimes!$A$3:$A$2000,C397,Regles_regimes!$B$3:$B$2000,D397,Regles_regimes!$C$3:$C$2000,MAX(1915,MIN(2025,E397)))</f>
        <v/>
      </c>
      <c r="P397" s="13">
        <f>SUMIFS(Donnees_annuelles!$W$3:$W$188,Donnees_annuelles!$A$3:$A$188,"&gt;="&amp;G397,Donnees_annuelles!$A$3:$A$188,"&lt;="&amp;N397)*L397/ROUNDUP(L397,0)*O397</f>
        <v/>
      </c>
      <c r="Q397" s="13">
        <f>SUMIFS(Donnees_annuelles!$V$3:$V$188,Donnees_annuelles!$A$3:$A$188,"&gt;="&amp;G397,Donnees_annuelles!$A$3:$A$188,"&lt;="&amp;N397)*L397/ROUNDUP(L397,0)</f>
        <v/>
      </c>
      <c r="R397" s="13">
        <f>P397/L397</f>
        <v/>
      </c>
      <c r="S397" s="14">
        <f>SUMIFS(Donnees_annuelles!$D$3:$D$188,Donnees_annuelles!$A$3:$A$188,"&gt;="&amp;G397,Donnees_annuelles!$A$3:$A$188,"&lt;="&amp;N397)*L397/ROUNDUP(L397,0)</f>
        <v/>
      </c>
      <c r="T397" s="14">
        <f>SUMIFS(Donnees_regimes!$N$3:$N$1118,Donnees_regimes!$A$3:$A$1118,C397,Donnees_regimes!$B$3:$B$1118,"&gt;="&amp;G397,Donnees_regimes!$B$3:$B$1118,"&lt;="&amp;N397)*L397/ROUNDUP(L397,0)</f>
        <v/>
      </c>
      <c r="U397" s="14">
        <f>SUMIFS(Donnees_regimes!$O$3:$O$1118,Donnees_regimes!$A$3:$A$1118,C397,Donnees_regimes!$B$3:$B$1118,"&gt;="&amp;G397,Donnees_regimes!$B$3:$B$1118,"&lt;="&amp;N397)*L397/ROUNDUP(L397,0)</f>
        <v/>
      </c>
      <c r="V397" s="14">
        <f>T397+U397</f>
        <v/>
      </c>
      <c r="W397" s="33">
        <f>V397/S397</f>
        <v/>
      </c>
      <c r="X397" s="14">
        <f>S397+U397</f>
        <v/>
      </c>
      <c r="Y397" s="17">
        <f>V397/P397</f>
        <v/>
      </c>
      <c r="Z397" s="14">
        <f>SUMIFS(Donnees_regimes!$Q$3:$Q$1118,Donnees_regimes!$A$3:$A$1118,C397,Donnees_regimes!$B$3:$B$1118,"&gt;="&amp;G397,Donnees_regimes!$B$3:$B$1118,"&lt;="&amp;N397)*L397/ROUNDUP(L397,0)</f>
        <v/>
      </c>
      <c r="AA397" s="77">
        <f>SUMIFS(Regles_regimes!$F$3:$F$2000,Regles_regimes!$A$3:$A$2000,C397,Regles_regimes!$B$3:$B$2000,D397,Regles_regimes!$C$3:$C$2000,MAX(1915,MIN(2025,E397)))</f>
        <v/>
      </c>
      <c r="AB397" s="77">
        <f>IF(AND(SUMIFS(Regles_regimes!$L$3:$L$2000,Regles_regimes!$A$3:$A$2000,C397,Regles_regimes!$B$3:$B$2000,D397,Regles_regimes!$C$3:$C$2000,MAX(1915,MIN(2025,E397)))=1,G397&lt;2009,C397&lt;&gt;"Privé"),MIN(20,L397*4/5),0)</f>
        <v/>
      </c>
      <c r="AC397" s="89">
        <f>SUMIFS(Donnees_regimes!$M$3:$M$1118,Donnees_regimes!$A$3:$A$1118,C397,Donnees_regimes!$B$3:$B$1118,M397)</f>
        <v/>
      </c>
      <c r="AD397" s="14">
        <f>SUMIFS(Donnees_annuelles!$Y$3:$Y$188,Donnees_annuelles!$A$3:$A$188,M397)*SUMIFS(Donnees_generations!$I$3:$I$113,Donnees_generations!$A$3:$A$113,MAX(1915,MIN(2025,E397)))/H397</f>
        <v/>
      </c>
      <c r="AE397" s="14">
        <f>IF(C397="Privé",SUMIFS(Donnees_annuelles!$Y$3:$Y$188,Donnees_annuelles!$A$3:$A$188,M397)*MIN(L397,SUMIFS(Donnees_generations!$I$3:$I$113,Donnees_generations!$A$3:$A$113,MAX(1915,MIN(2025,E397))))/L397,AD397*AC397*MIN(IF(AB397&gt;0,0.8/0.75,1),(L397*4+AB397)/AA397))</f>
        <v/>
      </c>
      <c r="AF397" s="14">
        <f>AE397/12</f>
        <v/>
      </c>
      <c r="AG397" s="77">
        <f>MIN(68,MAX(56,2*INT(K397/2)))</f>
        <v/>
      </c>
      <c r="AH397" s="75">
        <f>(CHOOSE((AG397-56)/2+1,SUMIFS(Donnees_generations!$U$3:$U$113,Donnees_generations!$A$3:$A$113,MAX(1915,MIN(2025,E397))),SUMIFS(Donnees_generations!$V$3:$V$113,Donnees_generations!$A$3:$A$113,MAX(1915,MIN(2025,E397))),SUMIFS(Donnees_generations!$W$3:$W$113,Donnees_generations!$A$3:$A$113,MAX(1915,MIN(2025,E397))),SUMIFS(Donnees_generations!$X$3:$X$113,Donnees_generations!$A$3:$A$113,MAX(1915,MIN(2025,E397))),SUMIFS(Donnees_generations!$Y$3:$Y$113,Donnees_generations!$A$3:$A$113,MAX(1915,MIN(2025,E397))),SUMIFS(Donnees_generations!$Z$3:$Z$113,Donnees_generations!$A$3:$A$113,MAX(1915,MIN(2025,E397))),SUMIFS(Donnees_generations!$AA$3:$AA$113,Donnees_generations!$A$3:$A$113,MAX(1915,MIN(2025,E397))),SUMIFS(Donnees_generations!$AB$3:$AB$113,Donnees_generations!$A$3:$A$113,MAX(1915,MIN(2025,E397))))+CHOOSE((AG397-56)/2+1,SUMIFS(Donnees_generations!$AC$3:$AC$113,Donnees_generations!$A$3:$A$113,MAX(1915,MIN(2025,E397))),SUMIFS(Donnees_generations!$AD$3:$AD$113,Donnees_generations!$A$3:$A$113,MAX(1915,MIN(2025,E397))),SUMIFS(Donnees_generations!$AE$3:$AE$113,Donnees_generations!$A$3:$A$113,MAX(1915,MIN(2025,E397))),SUMIFS(Donnees_generations!$AF$3:$AF$113,Donnees_generations!$A$3:$A$113,MAX(1915,MIN(2025,E397))),SUMIFS(Donnees_generations!$AG$3:$AG$113,Donnees_generations!$A$3:$A$113,MAX(1915,MIN(2025,E397))),SUMIFS(Donnees_generations!$AH$3:$AH$113,Donnees_generations!$A$3:$A$113,MAX(1915,MIN(2025,E397))),SUMIFS(Donnees_generations!$AI$3:$AI$113,Donnees_generations!$A$3:$A$113,MAX(1915,MIN(2025,E397))),SUMIFS(Donnees_generations!$AJ$3:$AJ$113,Donnees_generations!$A$3:$A$113,MAX(1915,MIN(2025,E397)))))/2</f>
        <v/>
      </c>
      <c r="AI397" s="75">
        <f>(CHOOSE(((AG397+2)-56)/2+1,SUMIFS(Donnees_generations!$U$3:$U$113,Donnees_generations!$A$3:$A$113,MAX(1915,MIN(2025,E397))),SUMIFS(Donnees_generations!$V$3:$V$113,Donnees_generations!$A$3:$A$113,MAX(1915,MIN(2025,E397))),SUMIFS(Donnees_generations!$W$3:$W$113,Donnees_generations!$A$3:$A$113,MAX(1915,MIN(2025,E397))),SUMIFS(Donnees_generations!$X$3:$X$113,Donnees_generations!$A$3:$A$113,MAX(1915,MIN(2025,E397))),SUMIFS(Donnees_generations!$Y$3:$Y$113,Donnees_generations!$A$3:$A$113,MAX(1915,MIN(2025,E397))),SUMIFS(Donnees_generations!$Z$3:$Z$113,Donnees_generations!$A$3:$A$113,MAX(1915,MIN(2025,E397))),SUMIFS(Donnees_generations!$AA$3:$AA$113,Donnees_generations!$A$3:$A$113,MAX(1915,MIN(2025,E397))),SUMIFS(Donnees_generations!$AB$3:$AB$113,Donnees_generations!$A$3:$A$113,MAX(1915,MIN(2025,E397))))+CHOOSE(((AG397+2)-56)/2+1,SUMIFS(Donnees_generations!$AC$3:$AC$113,Donnees_generations!$A$3:$A$113,MAX(1915,MIN(2025,E397))),SUMIFS(Donnees_generations!$AD$3:$AD$113,Donnees_generations!$A$3:$A$113,MAX(1915,MIN(2025,E397))),SUMIFS(Donnees_generations!$AE$3:$AE$113,Donnees_generations!$A$3:$A$113,MAX(1915,MIN(2025,E397))),SUMIFS(Donnees_generations!$AF$3:$AF$113,Donnees_generations!$A$3:$A$113,MAX(1915,MIN(2025,E397))),SUMIFS(Donnees_generations!$AG$3:$AG$113,Donnees_generations!$A$3:$A$113,MAX(1915,MIN(2025,E397))),SUMIFS(Donnees_generations!$AH$3:$AH$113,Donnees_generations!$A$3:$A$113,MAX(1915,MIN(2025,E397))),SUMIFS(Donnees_generations!$AI$3:$AI$113,Donnees_generations!$A$3:$A$113,MAX(1915,MIN(2025,E397))),SUMIFS(Donnees_generations!$AJ$3:$AJ$113,Donnees_generations!$A$3:$A$113,MAX(1915,MIN(2025,E397)))))/2</f>
        <v/>
      </c>
      <c r="AJ397" s="8">
        <f>MAX(0,AH397+(AI397-AH397)*(K397-AG397)/2)</f>
        <v/>
      </c>
      <c r="AK397" s="8">
        <f>K397+AJ397</f>
        <v/>
      </c>
      <c r="AL397" s="14">
        <f>AE397*AJ397</f>
        <v/>
      </c>
      <c r="AM397" s="17">
        <f>V397/AL397</f>
        <v/>
      </c>
      <c r="AN397" s="17">
        <f>Z397/AL397</f>
        <v/>
      </c>
      <c r="AO397" s="33">
        <f>IF(V397+Z397=0,0,Z397/(V397+Z397))</f>
        <v/>
      </c>
      <c r="AP397" s="14">
        <f>AL397/V397*100</f>
        <v/>
      </c>
      <c r="AQ397" s="8">
        <f>P397/AL397*1000</f>
        <v/>
      </c>
      <c r="AR397" s="77">
        <f>MAX(N397,M397-1)</f>
        <v/>
      </c>
      <c r="AS397" s="14">
        <f>SUMIFS(Donnees_regimes!$R$3:$R$1118,Donnees_regimes!$A$3:$A$1118,C397,Donnees_regimes!$B$3:$B$1118,"&gt;="&amp;G397,Donnees_regimes!$B$3:$B$1118,"&lt;="&amp;N397)*L397/ROUNDUP(L397,0)*SUMIFS(Donnees_annuelles!$AG$3:$AG$188,Donnees_annuelles!$A$3:$A$188,AR397)*SUMIFS(Donnees_annuelles!$AA$3:$AA$188,Donnees_annuelles!$A$3:$A$188,AR397)</f>
        <v/>
      </c>
      <c r="AT397" s="36">
        <f>AS397/V397</f>
        <v/>
      </c>
      <c r="AU397" s="14">
        <f>AL397</f>
        <v/>
      </c>
      <c r="AV397" s="39">
        <f>AS397-AL397</f>
        <v/>
      </c>
      <c r="AW397" s="9">
        <f>AS397/AL397-1</f>
        <v/>
      </c>
      <c r="AX397" s="14">
        <f>AS397/AJ397/12</f>
        <v/>
      </c>
      <c r="AY397" s="14">
        <f>AF397</f>
        <v/>
      </c>
      <c r="AZ397" s="39">
        <f>AX397-AF397</f>
        <v/>
      </c>
      <c r="BA397" s="14">
        <f>SUMIFS(Donnees_regimes!$S$3:$S$1118,Donnees_regimes!$A$3:$A$1118,C397,Donnees_regimes!$B$3:$B$1118,"&gt;="&amp;G397,Donnees_regimes!$B$3:$B$1118,"&lt;="&amp;N397)*L397/ROUNDUP(L397,0)*SUMIFS(Donnees_annuelles!$AH$3:$AH$188,Donnees_annuelles!$A$3:$A$188,AR397)*SUMIFS(Donnees_annuelles!$AA$3:$AA$188,Donnees_annuelles!$A$3:$A$188,AR397)</f>
        <v/>
      </c>
      <c r="BB397" s="39">
        <f>BA397-AL397</f>
        <v/>
      </c>
      <c r="BC397" s="7">
        <f>IF(M397+AJ397&gt;2026,IF(G397&gt;2026,"entièrement projeté","en partie projeté"),"observé")</f>
        <v/>
      </c>
    </row>
    <row r="398">
      <c r="A398" s="7" t="inlineStr">
        <is>
          <t>Génération silencieuse</t>
        </is>
      </c>
      <c r="B398" s="84" t="inlineStr">
        <is>
          <t>RATP</t>
        </is>
      </c>
      <c r="C398" s="7">
        <f>IF(G398&gt;=SUMIFS(Regimes!$C$5:$C$10,Regimes!$A$5:$A$10,B398),"Privé",B398)</f>
        <v/>
      </c>
      <c r="D398" s="7">
        <f>INDEX(Regimes!$D$5:$D$10,MATCH(C398,Regimes!$A$5:$A$10,0))</f>
        <v/>
      </c>
      <c r="E398" s="88" t="n">
        <v>1931</v>
      </c>
      <c r="F398" s="8">
        <f>Donnees_generations!C19</f>
        <v/>
      </c>
      <c r="G398" s="77">
        <f>Donnees_generations!D19</f>
        <v/>
      </c>
      <c r="H398" s="8">
        <f>SUMIFS(Donnees_generations!$S$3:$S$113,Donnees_generations!$A$3:$A$113,MAX(1915,MIN(2025,E398)))</f>
        <v/>
      </c>
      <c r="I398" s="8">
        <f>SUMIFS(Donnees_generations!$T$3:$T$113,Donnees_generations!$A$3:$A$113,MAX(1915,MIN(2025,E398)))</f>
        <v/>
      </c>
      <c r="J398" s="8">
        <f>IF(G398&gt;=2000,MAX(I398,Parametres!$B$3),I398)</f>
        <v/>
      </c>
      <c r="K398" s="8">
        <f>IF(C398="Privé",J398,SUMIFS(Regles_regimes!$J$3:$J$2000,Regles_regimes!$A$3:$A$2000,C398,Regles_regimes!$B$3:$B$2000,D398,Regles_regimes!$C$3:$C$2000,MAX(1915,MIN(2025,E398))))</f>
        <v/>
      </c>
      <c r="L398" s="8">
        <f>IF(C398="Privé",H398,(K398-F398)*H398/(J398-F398))</f>
        <v/>
      </c>
      <c r="M398" s="77">
        <f>INT(E398+K398)</f>
        <v/>
      </c>
      <c r="N398" s="77">
        <f>G398+ROUNDUP(L398,0)-1</f>
        <v/>
      </c>
      <c r="O398" s="89">
        <f>SUMIFS(Regles_regimes!$K$3:$K$2000,Regles_regimes!$A$3:$A$2000,C398,Regles_regimes!$B$3:$B$2000,D398,Regles_regimes!$C$3:$C$2000,MAX(1915,MIN(2025,E398)))</f>
        <v/>
      </c>
      <c r="P398" s="13">
        <f>SUMIFS(Donnees_annuelles!$W$3:$W$188,Donnees_annuelles!$A$3:$A$188,"&gt;="&amp;G398,Donnees_annuelles!$A$3:$A$188,"&lt;="&amp;N398)*L398/ROUNDUP(L398,0)*O398</f>
        <v/>
      </c>
      <c r="Q398" s="13">
        <f>SUMIFS(Donnees_annuelles!$V$3:$V$188,Donnees_annuelles!$A$3:$A$188,"&gt;="&amp;G398,Donnees_annuelles!$A$3:$A$188,"&lt;="&amp;N398)*L398/ROUNDUP(L398,0)</f>
        <v/>
      </c>
      <c r="R398" s="13">
        <f>P398/L398</f>
        <v/>
      </c>
      <c r="S398" s="14">
        <f>SUMIFS(Donnees_annuelles!$D$3:$D$188,Donnees_annuelles!$A$3:$A$188,"&gt;="&amp;G398,Donnees_annuelles!$A$3:$A$188,"&lt;="&amp;N398)*L398/ROUNDUP(L398,0)</f>
        <v/>
      </c>
      <c r="T398" s="14">
        <f>SUMIFS(Donnees_regimes!$N$3:$N$1118,Donnees_regimes!$A$3:$A$1118,C398,Donnees_regimes!$B$3:$B$1118,"&gt;="&amp;G398,Donnees_regimes!$B$3:$B$1118,"&lt;="&amp;N398)*L398/ROUNDUP(L398,0)</f>
        <v/>
      </c>
      <c r="U398" s="14">
        <f>SUMIFS(Donnees_regimes!$O$3:$O$1118,Donnees_regimes!$A$3:$A$1118,C398,Donnees_regimes!$B$3:$B$1118,"&gt;="&amp;G398,Donnees_regimes!$B$3:$B$1118,"&lt;="&amp;N398)*L398/ROUNDUP(L398,0)</f>
        <v/>
      </c>
      <c r="V398" s="14">
        <f>T398+U398</f>
        <v/>
      </c>
      <c r="W398" s="33">
        <f>V398/S398</f>
        <v/>
      </c>
      <c r="X398" s="14">
        <f>S398+U398</f>
        <v/>
      </c>
      <c r="Y398" s="17">
        <f>V398/P398</f>
        <v/>
      </c>
      <c r="Z398" s="14">
        <f>SUMIFS(Donnees_regimes!$Q$3:$Q$1118,Donnees_regimes!$A$3:$A$1118,C398,Donnees_regimes!$B$3:$B$1118,"&gt;="&amp;G398,Donnees_regimes!$B$3:$B$1118,"&lt;="&amp;N398)*L398/ROUNDUP(L398,0)</f>
        <v/>
      </c>
      <c r="AA398" s="77">
        <f>SUMIFS(Regles_regimes!$F$3:$F$2000,Regles_regimes!$A$3:$A$2000,C398,Regles_regimes!$B$3:$B$2000,D398,Regles_regimes!$C$3:$C$2000,MAX(1915,MIN(2025,E398)))</f>
        <v/>
      </c>
      <c r="AB398" s="77">
        <f>IF(AND(SUMIFS(Regles_regimes!$L$3:$L$2000,Regles_regimes!$A$3:$A$2000,C398,Regles_regimes!$B$3:$B$2000,D398,Regles_regimes!$C$3:$C$2000,MAX(1915,MIN(2025,E398)))=1,G398&lt;2009,C398&lt;&gt;"Privé"),MIN(20,L398*4/5),0)</f>
        <v/>
      </c>
      <c r="AC398" s="89">
        <f>SUMIFS(Donnees_regimes!$M$3:$M$1118,Donnees_regimes!$A$3:$A$1118,C398,Donnees_regimes!$B$3:$B$1118,M398)</f>
        <v/>
      </c>
      <c r="AD398" s="14">
        <f>SUMIFS(Donnees_annuelles!$Y$3:$Y$188,Donnees_annuelles!$A$3:$A$188,M398)*SUMIFS(Donnees_generations!$I$3:$I$113,Donnees_generations!$A$3:$A$113,MAX(1915,MIN(2025,E398)))/H398</f>
        <v/>
      </c>
      <c r="AE398" s="14">
        <f>IF(C398="Privé",SUMIFS(Donnees_annuelles!$Y$3:$Y$188,Donnees_annuelles!$A$3:$A$188,M398)*MIN(L398,SUMIFS(Donnees_generations!$I$3:$I$113,Donnees_generations!$A$3:$A$113,MAX(1915,MIN(2025,E398))))/L398,AD398*AC398*MIN(IF(AB398&gt;0,0.8/0.75,1),(L398*4+AB398)/AA398))</f>
        <v/>
      </c>
      <c r="AF398" s="14">
        <f>AE398/12</f>
        <v/>
      </c>
      <c r="AG398" s="77">
        <f>MIN(68,MAX(56,2*INT(K398/2)))</f>
        <v/>
      </c>
      <c r="AH398" s="75">
        <f>(CHOOSE((AG398-56)/2+1,SUMIFS(Donnees_generations!$U$3:$U$113,Donnees_generations!$A$3:$A$113,MAX(1915,MIN(2025,E398))),SUMIFS(Donnees_generations!$V$3:$V$113,Donnees_generations!$A$3:$A$113,MAX(1915,MIN(2025,E398))),SUMIFS(Donnees_generations!$W$3:$W$113,Donnees_generations!$A$3:$A$113,MAX(1915,MIN(2025,E398))),SUMIFS(Donnees_generations!$X$3:$X$113,Donnees_generations!$A$3:$A$113,MAX(1915,MIN(2025,E398))),SUMIFS(Donnees_generations!$Y$3:$Y$113,Donnees_generations!$A$3:$A$113,MAX(1915,MIN(2025,E398))),SUMIFS(Donnees_generations!$Z$3:$Z$113,Donnees_generations!$A$3:$A$113,MAX(1915,MIN(2025,E398))),SUMIFS(Donnees_generations!$AA$3:$AA$113,Donnees_generations!$A$3:$A$113,MAX(1915,MIN(2025,E398))),SUMIFS(Donnees_generations!$AB$3:$AB$113,Donnees_generations!$A$3:$A$113,MAX(1915,MIN(2025,E398))))+CHOOSE((AG398-56)/2+1,SUMIFS(Donnees_generations!$AC$3:$AC$113,Donnees_generations!$A$3:$A$113,MAX(1915,MIN(2025,E398))),SUMIFS(Donnees_generations!$AD$3:$AD$113,Donnees_generations!$A$3:$A$113,MAX(1915,MIN(2025,E398))),SUMIFS(Donnees_generations!$AE$3:$AE$113,Donnees_generations!$A$3:$A$113,MAX(1915,MIN(2025,E398))),SUMIFS(Donnees_generations!$AF$3:$AF$113,Donnees_generations!$A$3:$A$113,MAX(1915,MIN(2025,E398))),SUMIFS(Donnees_generations!$AG$3:$AG$113,Donnees_generations!$A$3:$A$113,MAX(1915,MIN(2025,E398))),SUMIFS(Donnees_generations!$AH$3:$AH$113,Donnees_generations!$A$3:$A$113,MAX(1915,MIN(2025,E398))),SUMIFS(Donnees_generations!$AI$3:$AI$113,Donnees_generations!$A$3:$A$113,MAX(1915,MIN(2025,E398))),SUMIFS(Donnees_generations!$AJ$3:$AJ$113,Donnees_generations!$A$3:$A$113,MAX(1915,MIN(2025,E398)))))/2</f>
        <v/>
      </c>
      <c r="AI398" s="75">
        <f>(CHOOSE(((AG398+2)-56)/2+1,SUMIFS(Donnees_generations!$U$3:$U$113,Donnees_generations!$A$3:$A$113,MAX(1915,MIN(2025,E398))),SUMIFS(Donnees_generations!$V$3:$V$113,Donnees_generations!$A$3:$A$113,MAX(1915,MIN(2025,E398))),SUMIFS(Donnees_generations!$W$3:$W$113,Donnees_generations!$A$3:$A$113,MAX(1915,MIN(2025,E398))),SUMIFS(Donnees_generations!$X$3:$X$113,Donnees_generations!$A$3:$A$113,MAX(1915,MIN(2025,E398))),SUMIFS(Donnees_generations!$Y$3:$Y$113,Donnees_generations!$A$3:$A$113,MAX(1915,MIN(2025,E398))),SUMIFS(Donnees_generations!$Z$3:$Z$113,Donnees_generations!$A$3:$A$113,MAX(1915,MIN(2025,E398))),SUMIFS(Donnees_generations!$AA$3:$AA$113,Donnees_generations!$A$3:$A$113,MAX(1915,MIN(2025,E398))),SUMIFS(Donnees_generations!$AB$3:$AB$113,Donnees_generations!$A$3:$A$113,MAX(1915,MIN(2025,E398))))+CHOOSE(((AG398+2)-56)/2+1,SUMIFS(Donnees_generations!$AC$3:$AC$113,Donnees_generations!$A$3:$A$113,MAX(1915,MIN(2025,E398))),SUMIFS(Donnees_generations!$AD$3:$AD$113,Donnees_generations!$A$3:$A$113,MAX(1915,MIN(2025,E398))),SUMIFS(Donnees_generations!$AE$3:$AE$113,Donnees_generations!$A$3:$A$113,MAX(1915,MIN(2025,E398))),SUMIFS(Donnees_generations!$AF$3:$AF$113,Donnees_generations!$A$3:$A$113,MAX(1915,MIN(2025,E398))),SUMIFS(Donnees_generations!$AG$3:$AG$113,Donnees_generations!$A$3:$A$113,MAX(1915,MIN(2025,E398))),SUMIFS(Donnees_generations!$AH$3:$AH$113,Donnees_generations!$A$3:$A$113,MAX(1915,MIN(2025,E398))),SUMIFS(Donnees_generations!$AI$3:$AI$113,Donnees_generations!$A$3:$A$113,MAX(1915,MIN(2025,E398))),SUMIFS(Donnees_generations!$AJ$3:$AJ$113,Donnees_generations!$A$3:$A$113,MAX(1915,MIN(2025,E398)))))/2</f>
        <v/>
      </c>
      <c r="AJ398" s="8">
        <f>MAX(0,AH398+(AI398-AH398)*(K398-AG398)/2)</f>
        <v/>
      </c>
      <c r="AK398" s="8">
        <f>K398+AJ398</f>
        <v/>
      </c>
      <c r="AL398" s="14">
        <f>AE398*AJ398</f>
        <v/>
      </c>
      <c r="AM398" s="17">
        <f>V398/AL398</f>
        <v/>
      </c>
      <c r="AN398" s="17">
        <f>Z398/AL398</f>
        <v/>
      </c>
      <c r="AO398" s="33">
        <f>IF(V398+Z398=0,0,Z398/(V398+Z398))</f>
        <v/>
      </c>
      <c r="AP398" s="14">
        <f>AL398/V398*100</f>
        <v/>
      </c>
      <c r="AQ398" s="8">
        <f>P398/AL398*1000</f>
        <v/>
      </c>
      <c r="AR398" s="77">
        <f>MAX(N398,M398-1)</f>
        <v/>
      </c>
      <c r="AS398" s="14">
        <f>SUMIFS(Donnees_regimes!$R$3:$R$1118,Donnees_regimes!$A$3:$A$1118,C398,Donnees_regimes!$B$3:$B$1118,"&gt;="&amp;G398,Donnees_regimes!$B$3:$B$1118,"&lt;="&amp;N398)*L398/ROUNDUP(L398,0)*SUMIFS(Donnees_annuelles!$AG$3:$AG$188,Donnees_annuelles!$A$3:$A$188,AR398)*SUMIFS(Donnees_annuelles!$AA$3:$AA$188,Donnees_annuelles!$A$3:$A$188,AR398)</f>
        <v/>
      </c>
      <c r="AT398" s="36">
        <f>AS398/V398</f>
        <v/>
      </c>
      <c r="AU398" s="14">
        <f>AL398</f>
        <v/>
      </c>
      <c r="AV398" s="39">
        <f>AS398-AL398</f>
        <v/>
      </c>
      <c r="AW398" s="9">
        <f>AS398/AL398-1</f>
        <v/>
      </c>
      <c r="AX398" s="14">
        <f>AS398/AJ398/12</f>
        <v/>
      </c>
      <c r="AY398" s="14">
        <f>AF398</f>
        <v/>
      </c>
      <c r="AZ398" s="39">
        <f>AX398-AF398</f>
        <v/>
      </c>
      <c r="BA398" s="14">
        <f>SUMIFS(Donnees_regimes!$S$3:$S$1118,Donnees_regimes!$A$3:$A$1118,C398,Donnees_regimes!$B$3:$B$1118,"&gt;="&amp;G398,Donnees_regimes!$B$3:$B$1118,"&lt;="&amp;N398)*L398/ROUNDUP(L398,0)*SUMIFS(Donnees_annuelles!$AH$3:$AH$188,Donnees_annuelles!$A$3:$A$188,AR398)*SUMIFS(Donnees_annuelles!$AA$3:$AA$188,Donnees_annuelles!$A$3:$A$188,AR398)</f>
        <v/>
      </c>
      <c r="BB398" s="39">
        <f>BA398-AL398</f>
        <v/>
      </c>
      <c r="BC398" s="7">
        <f>IF(M398+AJ398&gt;2026,IF(G398&gt;2026,"entièrement projeté","en partie projeté"),"observé")</f>
        <v/>
      </c>
    </row>
    <row r="399">
      <c r="A399" s="7" t="inlineStr">
        <is>
          <t>Génération silencieuse</t>
        </is>
      </c>
      <c r="B399" s="84" t="inlineStr">
        <is>
          <t>RATP</t>
        </is>
      </c>
      <c r="C399" s="7">
        <f>IF(G399&gt;=SUMIFS(Regimes!$C$5:$C$10,Regimes!$A$5:$A$10,B399),"Privé",B399)</f>
        <v/>
      </c>
      <c r="D399" s="7">
        <f>INDEX(Regimes!$D$5:$D$10,MATCH(C399,Regimes!$A$5:$A$10,0))</f>
        <v/>
      </c>
      <c r="E399" s="88" t="n">
        <v>1932</v>
      </c>
      <c r="F399" s="8">
        <f>Donnees_generations!C20</f>
        <v/>
      </c>
      <c r="G399" s="77">
        <f>Donnees_generations!D20</f>
        <v/>
      </c>
      <c r="H399" s="8">
        <f>SUMIFS(Donnees_generations!$S$3:$S$113,Donnees_generations!$A$3:$A$113,MAX(1915,MIN(2025,E399)))</f>
        <v/>
      </c>
      <c r="I399" s="8">
        <f>SUMIFS(Donnees_generations!$T$3:$T$113,Donnees_generations!$A$3:$A$113,MAX(1915,MIN(2025,E399)))</f>
        <v/>
      </c>
      <c r="J399" s="8">
        <f>IF(G399&gt;=2000,MAX(I399,Parametres!$B$3),I399)</f>
        <v/>
      </c>
      <c r="K399" s="8">
        <f>IF(C399="Privé",J399,SUMIFS(Regles_regimes!$J$3:$J$2000,Regles_regimes!$A$3:$A$2000,C399,Regles_regimes!$B$3:$B$2000,D399,Regles_regimes!$C$3:$C$2000,MAX(1915,MIN(2025,E399))))</f>
        <v/>
      </c>
      <c r="L399" s="8">
        <f>IF(C399="Privé",H399,(K399-F399)*H399/(J399-F399))</f>
        <v/>
      </c>
      <c r="M399" s="77">
        <f>INT(E399+K399)</f>
        <v/>
      </c>
      <c r="N399" s="77">
        <f>G399+ROUNDUP(L399,0)-1</f>
        <v/>
      </c>
      <c r="O399" s="89">
        <f>SUMIFS(Regles_regimes!$K$3:$K$2000,Regles_regimes!$A$3:$A$2000,C399,Regles_regimes!$B$3:$B$2000,D399,Regles_regimes!$C$3:$C$2000,MAX(1915,MIN(2025,E399)))</f>
        <v/>
      </c>
      <c r="P399" s="13">
        <f>SUMIFS(Donnees_annuelles!$W$3:$W$188,Donnees_annuelles!$A$3:$A$188,"&gt;="&amp;G399,Donnees_annuelles!$A$3:$A$188,"&lt;="&amp;N399)*L399/ROUNDUP(L399,0)*O399</f>
        <v/>
      </c>
      <c r="Q399" s="13">
        <f>SUMIFS(Donnees_annuelles!$V$3:$V$188,Donnees_annuelles!$A$3:$A$188,"&gt;="&amp;G399,Donnees_annuelles!$A$3:$A$188,"&lt;="&amp;N399)*L399/ROUNDUP(L399,0)</f>
        <v/>
      </c>
      <c r="R399" s="13">
        <f>P399/L399</f>
        <v/>
      </c>
      <c r="S399" s="14">
        <f>SUMIFS(Donnees_annuelles!$D$3:$D$188,Donnees_annuelles!$A$3:$A$188,"&gt;="&amp;G399,Donnees_annuelles!$A$3:$A$188,"&lt;="&amp;N399)*L399/ROUNDUP(L399,0)</f>
        <v/>
      </c>
      <c r="T399" s="14">
        <f>SUMIFS(Donnees_regimes!$N$3:$N$1118,Donnees_regimes!$A$3:$A$1118,C399,Donnees_regimes!$B$3:$B$1118,"&gt;="&amp;G399,Donnees_regimes!$B$3:$B$1118,"&lt;="&amp;N399)*L399/ROUNDUP(L399,0)</f>
        <v/>
      </c>
      <c r="U399" s="14">
        <f>SUMIFS(Donnees_regimes!$O$3:$O$1118,Donnees_regimes!$A$3:$A$1118,C399,Donnees_regimes!$B$3:$B$1118,"&gt;="&amp;G399,Donnees_regimes!$B$3:$B$1118,"&lt;="&amp;N399)*L399/ROUNDUP(L399,0)</f>
        <v/>
      </c>
      <c r="V399" s="14">
        <f>T399+U399</f>
        <v/>
      </c>
      <c r="W399" s="33">
        <f>V399/S399</f>
        <v/>
      </c>
      <c r="X399" s="14">
        <f>S399+U399</f>
        <v/>
      </c>
      <c r="Y399" s="17">
        <f>V399/P399</f>
        <v/>
      </c>
      <c r="Z399" s="14">
        <f>SUMIFS(Donnees_regimes!$Q$3:$Q$1118,Donnees_regimes!$A$3:$A$1118,C399,Donnees_regimes!$B$3:$B$1118,"&gt;="&amp;G399,Donnees_regimes!$B$3:$B$1118,"&lt;="&amp;N399)*L399/ROUNDUP(L399,0)</f>
        <v/>
      </c>
      <c r="AA399" s="77">
        <f>SUMIFS(Regles_regimes!$F$3:$F$2000,Regles_regimes!$A$3:$A$2000,C399,Regles_regimes!$B$3:$B$2000,D399,Regles_regimes!$C$3:$C$2000,MAX(1915,MIN(2025,E399)))</f>
        <v/>
      </c>
      <c r="AB399" s="77">
        <f>IF(AND(SUMIFS(Regles_regimes!$L$3:$L$2000,Regles_regimes!$A$3:$A$2000,C399,Regles_regimes!$B$3:$B$2000,D399,Regles_regimes!$C$3:$C$2000,MAX(1915,MIN(2025,E399)))=1,G399&lt;2009,C399&lt;&gt;"Privé"),MIN(20,L399*4/5),0)</f>
        <v/>
      </c>
      <c r="AC399" s="89">
        <f>SUMIFS(Donnees_regimes!$M$3:$M$1118,Donnees_regimes!$A$3:$A$1118,C399,Donnees_regimes!$B$3:$B$1118,M399)</f>
        <v/>
      </c>
      <c r="AD399" s="14">
        <f>SUMIFS(Donnees_annuelles!$Y$3:$Y$188,Donnees_annuelles!$A$3:$A$188,M399)*SUMIFS(Donnees_generations!$I$3:$I$113,Donnees_generations!$A$3:$A$113,MAX(1915,MIN(2025,E399)))/H399</f>
        <v/>
      </c>
      <c r="AE399" s="14">
        <f>IF(C399="Privé",SUMIFS(Donnees_annuelles!$Y$3:$Y$188,Donnees_annuelles!$A$3:$A$188,M399)*MIN(L399,SUMIFS(Donnees_generations!$I$3:$I$113,Donnees_generations!$A$3:$A$113,MAX(1915,MIN(2025,E399))))/L399,AD399*AC399*MIN(IF(AB399&gt;0,0.8/0.75,1),(L399*4+AB399)/AA399))</f>
        <v/>
      </c>
      <c r="AF399" s="14">
        <f>AE399/12</f>
        <v/>
      </c>
      <c r="AG399" s="77">
        <f>MIN(68,MAX(56,2*INT(K399/2)))</f>
        <v/>
      </c>
      <c r="AH399" s="75">
        <f>(CHOOSE((AG399-56)/2+1,SUMIFS(Donnees_generations!$U$3:$U$113,Donnees_generations!$A$3:$A$113,MAX(1915,MIN(2025,E399))),SUMIFS(Donnees_generations!$V$3:$V$113,Donnees_generations!$A$3:$A$113,MAX(1915,MIN(2025,E399))),SUMIFS(Donnees_generations!$W$3:$W$113,Donnees_generations!$A$3:$A$113,MAX(1915,MIN(2025,E399))),SUMIFS(Donnees_generations!$X$3:$X$113,Donnees_generations!$A$3:$A$113,MAX(1915,MIN(2025,E399))),SUMIFS(Donnees_generations!$Y$3:$Y$113,Donnees_generations!$A$3:$A$113,MAX(1915,MIN(2025,E399))),SUMIFS(Donnees_generations!$Z$3:$Z$113,Donnees_generations!$A$3:$A$113,MAX(1915,MIN(2025,E399))),SUMIFS(Donnees_generations!$AA$3:$AA$113,Donnees_generations!$A$3:$A$113,MAX(1915,MIN(2025,E399))),SUMIFS(Donnees_generations!$AB$3:$AB$113,Donnees_generations!$A$3:$A$113,MAX(1915,MIN(2025,E399))))+CHOOSE((AG399-56)/2+1,SUMIFS(Donnees_generations!$AC$3:$AC$113,Donnees_generations!$A$3:$A$113,MAX(1915,MIN(2025,E399))),SUMIFS(Donnees_generations!$AD$3:$AD$113,Donnees_generations!$A$3:$A$113,MAX(1915,MIN(2025,E399))),SUMIFS(Donnees_generations!$AE$3:$AE$113,Donnees_generations!$A$3:$A$113,MAX(1915,MIN(2025,E399))),SUMIFS(Donnees_generations!$AF$3:$AF$113,Donnees_generations!$A$3:$A$113,MAX(1915,MIN(2025,E399))),SUMIFS(Donnees_generations!$AG$3:$AG$113,Donnees_generations!$A$3:$A$113,MAX(1915,MIN(2025,E399))),SUMIFS(Donnees_generations!$AH$3:$AH$113,Donnees_generations!$A$3:$A$113,MAX(1915,MIN(2025,E399))),SUMIFS(Donnees_generations!$AI$3:$AI$113,Donnees_generations!$A$3:$A$113,MAX(1915,MIN(2025,E399))),SUMIFS(Donnees_generations!$AJ$3:$AJ$113,Donnees_generations!$A$3:$A$113,MAX(1915,MIN(2025,E399)))))/2</f>
        <v/>
      </c>
      <c r="AI399" s="75">
        <f>(CHOOSE(((AG399+2)-56)/2+1,SUMIFS(Donnees_generations!$U$3:$U$113,Donnees_generations!$A$3:$A$113,MAX(1915,MIN(2025,E399))),SUMIFS(Donnees_generations!$V$3:$V$113,Donnees_generations!$A$3:$A$113,MAX(1915,MIN(2025,E399))),SUMIFS(Donnees_generations!$W$3:$W$113,Donnees_generations!$A$3:$A$113,MAX(1915,MIN(2025,E399))),SUMIFS(Donnees_generations!$X$3:$X$113,Donnees_generations!$A$3:$A$113,MAX(1915,MIN(2025,E399))),SUMIFS(Donnees_generations!$Y$3:$Y$113,Donnees_generations!$A$3:$A$113,MAX(1915,MIN(2025,E399))),SUMIFS(Donnees_generations!$Z$3:$Z$113,Donnees_generations!$A$3:$A$113,MAX(1915,MIN(2025,E399))),SUMIFS(Donnees_generations!$AA$3:$AA$113,Donnees_generations!$A$3:$A$113,MAX(1915,MIN(2025,E399))),SUMIFS(Donnees_generations!$AB$3:$AB$113,Donnees_generations!$A$3:$A$113,MAX(1915,MIN(2025,E399))))+CHOOSE(((AG399+2)-56)/2+1,SUMIFS(Donnees_generations!$AC$3:$AC$113,Donnees_generations!$A$3:$A$113,MAX(1915,MIN(2025,E399))),SUMIFS(Donnees_generations!$AD$3:$AD$113,Donnees_generations!$A$3:$A$113,MAX(1915,MIN(2025,E399))),SUMIFS(Donnees_generations!$AE$3:$AE$113,Donnees_generations!$A$3:$A$113,MAX(1915,MIN(2025,E399))),SUMIFS(Donnees_generations!$AF$3:$AF$113,Donnees_generations!$A$3:$A$113,MAX(1915,MIN(2025,E399))),SUMIFS(Donnees_generations!$AG$3:$AG$113,Donnees_generations!$A$3:$A$113,MAX(1915,MIN(2025,E399))),SUMIFS(Donnees_generations!$AH$3:$AH$113,Donnees_generations!$A$3:$A$113,MAX(1915,MIN(2025,E399))),SUMIFS(Donnees_generations!$AI$3:$AI$113,Donnees_generations!$A$3:$A$113,MAX(1915,MIN(2025,E399))),SUMIFS(Donnees_generations!$AJ$3:$AJ$113,Donnees_generations!$A$3:$A$113,MAX(1915,MIN(2025,E399)))))/2</f>
        <v/>
      </c>
      <c r="AJ399" s="8">
        <f>MAX(0,AH399+(AI399-AH399)*(K399-AG399)/2)</f>
        <v/>
      </c>
      <c r="AK399" s="8">
        <f>K399+AJ399</f>
        <v/>
      </c>
      <c r="AL399" s="14">
        <f>AE399*AJ399</f>
        <v/>
      </c>
      <c r="AM399" s="17">
        <f>V399/AL399</f>
        <v/>
      </c>
      <c r="AN399" s="17">
        <f>Z399/AL399</f>
        <v/>
      </c>
      <c r="AO399" s="33">
        <f>IF(V399+Z399=0,0,Z399/(V399+Z399))</f>
        <v/>
      </c>
      <c r="AP399" s="14">
        <f>AL399/V399*100</f>
        <v/>
      </c>
      <c r="AQ399" s="8">
        <f>P399/AL399*1000</f>
        <v/>
      </c>
      <c r="AR399" s="77">
        <f>MAX(N399,M399-1)</f>
        <v/>
      </c>
      <c r="AS399" s="14">
        <f>SUMIFS(Donnees_regimes!$R$3:$R$1118,Donnees_regimes!$A$3:$A$1118,C399,Donnees_regimes!$B$3:$B$1118,"&gt;="&amp;G399,Donnees_regimes!$B$3:$B$1118,"&lt;="&amp;N399)*L399/ROUNDUP(L399,0)*SUMIFS(Donnees_annuelles!$AG$3:$AG$188,Donnees_annuelles!$A$3:$A$188,AR399)*SUMIFS(Donnees_annuelles!$AA$3:$AA$188,Donnees_annuelles!$A$3:$A$188,AR399)</f>
        <v/>
      </c>
      <c r="AT399" s="36">
        <f>AS399/V399</f>
        <v/>
      </c>
      <c r="AU399" s="14">
        <f>AL399</f>
        <v/>
      </c>
      <c r="AV399" s="39">
        <f>AS399-AL399</f>
        <v/>
      </c>
      <c r="AW399" s="9">
        <f>AS399/AL399-1</f>
        <v/>
      </c>
      <c r="AX399" s="14">
        <f>AS399/AJ399/12</f>
        <v/>
      </c>
      <c r="AY399" s="14">
        <f>AF399</f>
        <v/>
      </c>
      <c r="AZ399" s="39">
        <f>AX399-AF399</f>
        <v/>
      </c>
      <c r="BA399" s="14">
        <f>SUMIFS(Donnees_regimes!$S$3:$S$1118,Donnees_regimes!$A$3:$A$1118,C399,Donnees_regimes!$B$3:$B$1118,"&gt;="&amp;G399,Donnees_regimes!$B$3:$B$1118,"&lt;="&amp;N399)*L399/ROUNDUP(L399,0)*SUMIFS(Donnees_annuelles!$AH$3:$AH$188,Donnees_annuelles!$A$3:$A$188,AR399)*SUMIFS(Donnees_annuelles!$AA$3:$AA$188,Donnees_annuelles!$A$3:$A$188,AR399)</f>
        <v/>
      </c>
      <c r="BB399" s="39">
        <f>BA399-AL399</f>
        <v/>
      </c>
      <c r="BC399" s="7">
        <f>IF(M399+AJ399&gt;2026,IF(G399&gt;2026,"entièrement projeté","en partie projeté"),"observé")</f>
        <v/>
      </c>
    </row>
    <row r="400">
      <c r="A400" s="7" t="inlineStr">
        <is>
          <t>Génération silencieuse</t>
        </is>
      </c>
      <c r="B400" s="84" t="inlineStr">
        <is>
          <t>RATP</t>
        </is>
      </c>
      <c r="C400" s="7">
        <f>IF(G400&gt;=SUMIFS(Regimes!$C$5:$C$10,Regimes!$A$5:$A$10,B400),"Privé",B400)</f>
        <v/>
      </c>
      <c r="D400" s="7">
        <f>INDEX(Regimes!$D$5:$D$10,MATCH(C400,Regimes!$A$5:$A$10,0))</f>
        <v/>
      </c>
      <c r="E400" s="88" t="n">
        <v>1933</v>
      </c>
      <c r="F400" s="8">
        <f>Donnees_generations!C21</f>
        <v/>
      </c>
      <c r="G400" s="77">
        <f>Donnees_generations!D21</f>
        <v/>
      </c>
      <c r="H400" s="8">
        <f>SUMIFS(Donnees_generations!$S$3:$S$113,Donnees_generations!$A$3:$A$113,MAX(1915,MIN(2025,E400)))</f>
        <v/>
      </c>
      <c r="I400" s="8">
        <f>SUMIFS(Donnees_generations!$T$3:$T$113,Donnees_generations!$A$3:$A$113,MAX(1915,MIN(2025,E400)))</f>
        <v/>
      </c>
      <c r="J400" s="8">
        <f>IF(G400&gt;=2000,MAX(I400,Parametres!$B$3),I400)</f>
        <v/>
      </c>
      <c r="K400" s="8">
        <f>IF(C400="Privé",J400,SUMIFS(Regles_regimes!$J$3:$J$2000,Regles_regimes!$A$3:$A$2000,C400,Regles_regimes!$B$3:$B$2000,D400,Regles_regimes!$C$3:$C$2000,MAX(1915,MIN(2025,E400))))</f>
        <v/>
      </c>
      <c r="L400" s="8">
        <f>IF(C400="Privé",H400,(K400-F400)*H400/(J400-F400))</f>
        <v/>
      </c>
      <c r="M400" s="77">
        <f>INT(E400+K400)</f>
        <v/>
      </c>
      <c r="N400" s="77">
        <f>G400+ROUNDUP(L400,0)-1</f>
        <v/>
      </c>
      <c r="O400" s="89">
        <f>SUMIFS(Regles_regimes!$K$3:$K$2000,Regles_regimes!$A$3:$A$2000,C400,Regles_regimes!$B$3:$B$2000,D400,Regles_regimes!$C$3:$C$2000,MAX(1915,MIN(2025,E400)))</f>
        <v/>
      </c>
      <c r="P400" s="13">
        <f>SUMIFS(Donnees_annuelles!$W$3:$W$188,Donnees_annuelles!$A$3:$A$188,"&gt;="&amp;G400,Donnees_annuelles!$A$3:$A$188,"&lt;="&amp;N400)*L400/ROUNDUP(L400,0)*O400</f>
        <v/>
      </c>
      <c r="Q400" s="13">
        <f>SUMIFS(Donnees_annuelles!$V$3:$V$188,Donnees_annuelles!$A$3:$A$188,"&gt;="&amp;G400,Donnees_annuelles!$A$3:$A$188,"&lt;="&amp;N400)*L400/ROUNDUP(L400,0)</f>
        <v/>
      </c>
      <c r="R400" s="13">
        <f>P400/L400</f>
        <v/>
      </c>
      <c r="S400" s="14">
        <f>SUMIFS(Donnees_annuelles!$D$3:$D$188,Donnees_annuelles!$A$3:$A$188,"&gt;="&amp;G400,Donnees_annuelles!$A$3:$A$188,"&lt;="&amp;N400)*L400/ROUNDUP(L400,0)</f>
        <v/>
      </c>
      <c r="T400" s="14">
        <f>SUMIFS(Donnees_regimes!$N$3:$N$1118,Donnees_regimes!$A$3:$A$1118,C400,Donnees_regimes!$B$3:$B$1118,"&gt;="&amp;G400,Donnees_regimes!$B$3:$B$1118,"&lt;="&amp;N400)*L400/ROUNDUP(L400,0)</f>
        <v/>
      </c>
      <c r="U400" s="14">
        <f>SUMIFS(Donnees_regimes!$O$3:$O$1118,Donnees_regimes!$A$3:$A$1118,C400,Donnees_regimes!$B$3:$B$1118,"&gt;="&amp;G400,Donnees_regimes!$B$3:$B$1118,"&lt;="&amp;N400)*L400/ROUNDUP(L400,0)</f>
        <v/>
      </c>
      <c r="V400" s="14">
        <f>T400+U400</f>
        <v/>
      </c>
      <c r="W400" s="33">
        <f>V400/S400</f>
        <v/>
      </c>
      <c r="X400" s="14">
        <f>S400+U400</f>
        <v/>
      </c>
      <c r="Y400" s="17">
        <f>V400/P400</f>
        <v/>
      </c>
      <c r="Z400" s="14">
        <f>SUMIFS(Donnees_regimes!$Q$3:$Q$1118,Donnees_regimes!$A$3:$A$1118,C400,Donnees_regimes!$B$3:$B$1118,"&gt;="&amp;G400,Donnees_regimes!$B$3:$B$1118,"&lt;="&amp;N400)*L400/ROUNDUP(L400,0)</f>
        <v/>
      </c>
      <c r="AA400" s="77">
        <f>SUMIFS(Regles_regimes!$F$3:$F$2000,Regles_regimes!$A$3:$A$2000,C400,Regles_regimes!$B$3:$B$2000,D400,Regles_regimes!$C$3:$C$2000,MAX(1915,MIN(2025,E400)))</f>
        <v/>
      </c>
      <c r="AB400" s="77">
        <f>IF(AND(SUMIFS(Regles_regimes!$L$3:$L$2000,Regles_regimes!$A$3:$A$2000,C400,Regles_regimes!$B$3:$B$2000,D400,Regles_regimes!$C$3:$C$2000,MAX(1915,MIN(2025,E400)))=1,G400&lt;2009,C400&lt;&gt;"Privé"),MIN(20,L400*4/5),0)</f>
        <v/>
      </c>
      <c r="AC400" s="89">
        <f>SUMIFS(Donnees_regimes!$M$3:$M$1118,Donnees_regimes!$A$3:$A$1118,C400,Donnees_regimes!$B$3:$B$1118,M400)</f>
        <v/>
      </c>
      <c r="AD400" s="14">
        <f>SUMIFS(Donnees_annuelles!$Y$3:$Y$188,Donnees_annuelles!$A$3:$A$188,M400)*SUMIFS(Donnees_generations!$I$3:$I$113,Donnees_generations!$A$3:$A$113,MAX(1915,MIN(2025,E400)))/H400</f>
        <v/>
      </c>
      <c r="AE400" s="14">
        <f>IF(C400="Privé",SUMIFS(Donnees_annuelles!$Y$3:$Y$188,Donnees_annuelles!$A$3:$A$188,M400)*MIN(L400,SUMIFS(Donnees_generations!$I$3:$I$113,Donnees_generations!$A$3:$A$113,MAX(1915,MIN(2025,E400))))/L400,AD400*AC400*MIN(IF(AB400&gt;0,0.8/0.75,1),(L400*4+AB400)/AA400))</f>
        <v/>
      </c>
      <c r="AF400" s="14">
        <f>AE400/12</f>
        <v/>
      </c>
      <c r="AG400" s="77">
        <f>MIN(68,MAX(56,2*INT(K400/2)))</f>
        <v/>
      </c>
      <c r="AH400" s="75">
        <f>(CHOOSE((AG400-56)/2+1,SUMIFS(Donnees_generations!$U$3:$U$113,Donnees_generations!$A$3:$A$113,MAX(1915,MIN(2025,E400))),SUMIFS(Donnees_generations!$V$3:$V$113,Donnees_generations!$A$3:$A$113,MAX(1915,MIN(2025,E400))),SUMIFS(Donnees_generations!$W$3:$W$113,Donnees_generations!$A$3:$A$113,MAX(1915,MIN(2025,E400))),SUMIFS(Donnees_generations!$X$3:$X$113,Donnees_generations!$A$3:$A$113,MAX(1915,MIN(2025,E400))),SUMIFS(Donnees_generations!$Y$3:$Y$113,Donnees_generations!$A$3:$A$113,MAX(1915,MIN(2025,E400))),SUMIFS(Donnees_generations!$Z$3:$Z$113,Donnees_generations!$A$3:$A$113,MAX(1915,MIN(2025,E400))),SUMIFS(Donnees_generations!$AA$3:$AA$113,Donnees_generations!$A$3:$A$113,MAX(1915,MIN(2025,E400))),SUMIFS(Donnees_generations!$AB$3:$AB$113,Donnees_generations!$A$3:$A$113,MAX(1915,MIN(2025,E400))))+CHOOSE((AG400-56)/2+1,SUMIFS(Donnees_generations!$AC$3:$AC$113,Donnees_generations!$A$3:$A$113,MAX(1915,MIN(2025,E400))),SUMIFS(Donnees_generations!$AD$3:$AD$113,Donnees_generations!$A$3:$A$113,MAX(1915,MIN(2025,E400))),SUMIFS(Donnees_generations!$AE$3:$AE$113,Donnees_generations!$A$3:$A$113,MAX(1915,MIN(2025,E400))),SUMIFS(Donnees_generations!$AF$3:$AF$113,Donnees_generations!$A$3:$A$113,MAX(1915,MIN(2025,E400))),SUMIFS(Donnees_generations!$AG$3:$AG$113,Donnees_generations!$A$3:$A$113,MAX(1915,MIN(2025,E400))),SUMIFS(Donnees_generations!$AH$3:$AH$113,Donnees_generations!$A$3:$A$113,MAX(1915,MIN(2025,E400))),SUMIFS(Donnees_generations!$AI$3:$AI$113,Donnees_generations!$A$3:$A$113,MAX(1915,MIN(2025,E400))),SUMIFS(Donnees_generations!$AJ$3:$AJ$113,Donnees_generations!$A$3:$A$113,MAX(1915,MIN(2025,E400)))))/2</f>
        <v/>
      </c>
      <c r="AI400" s="75">
        <f>(CHOOSE(((AG400+2)-56)/2+1,SUMIFS(Donnees_generations!$U$3:$U$113,Donnees_generations!$A$3:$A$113,MAX(1915,MIN(2025,E400))),SUMIFS(Donnees_generations!$V$3:$V$113,Donnees_generations!$A$3:$A$113,MAX(1915,MIN(2025,E400))),SUMIFS(Donnees_generations!$W$3:$W$113,Donnees_generations!$A$3:$A$113,MAX(1915,MIN(2025,E400))),SUMIFS(Donnees_generations!$X$3:$X$113,Donnees_generations!$A$3:$A$113,MAX(1915,MIN(2025,E400))),SUMIFS(Donnees_generations!$Y$3:$Y$113,Donnees_generations!$A$3:$A$113,MAX(1915,MIN(2025,E400))),SUMIFS(Donnees_generations!$Z$3:$Z$113,Donnees_generations!$A$3:$A$113,MAX(1915,MIN(2025,E400))),SUMIFS(Donnees_generations!$AA$3:$AA$113,Donnees_generations!$A$3:$A$113,MAX(1915,MIN(2025,E400))),SUMIFS(Donnees_generations!$AB$3:$AB$113,Donnees_generations!$A$3:$A$113,MAX(1915,MIN(2025,E400))))+CHOOSE(((AG400+2)-56)/2+1,SUMIFS(Donnees_generations!$AC$3:$AC$113,Donnees_generations!$A$3:$A$113,MAX(1915,MIN(2025,E400))),SUMIFS(Donnees_generations!$AD$3:$AD$113,Donnees_generations!$A$3:$A$113,MAX(1915,MIN(2025,E400))),SUMIFS(Donnees_generations!$AE$3:$AE$113,Donnees_generations!$A$3:$A$113,MAX(1915,MIN(2025,E400))),SUMIFS(Donnees_generations!$AF$3:$AF$113,Donnees_generations!$A$3:$A$113,MAX(1915,MIN(2025,E400))),SUMIFS(Donnees_generations!$AG$3:$AG$113,Donnees_generations!$A$3:$A$113,MAX(1915,MIN(2025,E400))),SUMIFS(Donnees_generations!$AH$3:$AH$113,Donnees_generations!$A$3:$A$113,MAX(1915,MIN(2025,E400))),SUMIFS(Donnees_generations!$AI$3:$AI$113,Donnees_generations!$A$3:$A$113,MAX(1915,MIN(2025,E400))),SUMIFS(Donnees_generations!$AJ$3:$AJ$113,Donnees_generations!$A$3:$A$113,MAX(1915,MIN(2025,E400)))))/2</f>
        <v/>
      </c>
      <c r="AJ400" s="8">
        <f>MAX(0,AH400+(AI400-AH400)*(K400-AG400)/2)</f>
        <v/>
      </c>
      <c r="AK400" s="8">
        <f>K400+AJ400</f>
        <v/>
      </c>
      <c r="AL400" s="14">
        <f>AE400*AJ400</f>
        <v/>
      </c>
      <c r="AM400" s="17">
        <f>V400/AL400</f>
        <v/>
      </c>
      <c r="AN400" s="17">
        <f>Z400/AL400</f>
        <v/>
      </c>
      <c r="AO400" s="33">
        <f>IF(V400+Z400=0,0,Z400/(V400+Z400))</f>
        <v/>
      </c>
      <c r="AP400" s="14">
        <f>AL400/V400*100</f>
        <v/>
      </c>
      <c r="AQ400" s="8">
        <f>P400/AL400*1000</f>
        <v/>
      </c>
      <c r="AR400" s="77">
        <f>MAX(N400,M400-1)</f>
        <v/>
      </c>
      <c r="AS400" s="14">
        <f>SUMIFS(Donnees_regimes!$R$3:$R$1118,Donnees_regimes!$A$3:$A$1118,C400,Donnees_regimes!$B$3:$B$1118,"&gt;="&amp;G400,Donnees_regimes!$B$3:$B$1118,"&lt;="&amp;N400)*L400/ROUNDUP(L400,0)*SUMIFS(Donnees_annuelles!$AG$3:$AG$188,Donnees_annuelles!$A$3:$A$188,AR400)*SUMIFS(Donnees_annuelles!$AA$3:$AA$188,Donnees_annuelles!$A$3:$A$188,AR400)</f>
        <v/>
      </c>
      <c r="AT400" s="36">
        <f>AS400/V400</f>
        <v/>
      </c>
      <c r="AU400" s="14">
        <f>AL400</f>
        <v/>
      </c>
      <c r="AV400" s="39">
        <f>AS400-AL400</f>
        <v/>
      </c>
      <c r="AW400" s="9">
        <f>AS400/AL400-1</f>
        <v/>
      </c>
      <c r="AX400" s="14">
        <f>AS400/AJ400/12</f>
        <v/>
      </c>
      <c r="AY400" s="14">
        <f>AF400</f>
        <v/>
      </c>
      <c r="AZ400" s="39">
        <f>AX400-AF400</f>
        <v/>
      </c>
      <c r="BA400" s="14">
        <f>SUMIFS(Donnees_regimes!$S$3:$S$1118,Donnees_regimes!$A$3:$A$1118,C400,Donnees_regimes!$B$3:$B$1118,"&gt;="&amp;G400,Donnees_regimes!$B$3:$B$1118,"&lt;="&amp;N400)*L400/ROUNDUP(L400,0)*SUMIFS(Donnees_annuelles!$AH$3:$AH$188,Donnees_annuelles!$A$3:$A$188,AR400)*SUMIFS(Donnees_annuelles!$AA$3:$AA$188,Donnees_annuelles!$A$3:$A$188,AR400)</f>
        <v/>
      </c>
      <c r="BB400" s="39">
        <f>BA400-AL400</f>
        <v/>
      </c>
      <c r="BC400" s="7">
        <f>IF(M400+AJ400&gt;2026,IF(G400&gt;2026,"entièrement projeté","en partie projeté"),"observé")</f>
        <v/>
      </c>
    </row>
    <row r="401">
      <c r="A401" s="7" t="inlineStr">
        <is>
          <t>Génération silencieuse</t>
        </is>
      </c>
      <c r="B401" s="84" t="inlineStr">
        <is>
          <t>RATP</t>
        </is>
      </c>
      <c r="C401" s="7">
        <f>IF(G401&gt;=SUMIFS(Regimes!$C$5:$C$10,Regimes!$A$5:$A$10,B401),"Privé",B401)</f>
        <v/>
      </c>
      <c r="D401" s="7">
        <f>INDEX(Regimes!$D$5:$D$10,MATCH(C401,Regimes!$A$5:$A$10,0))</f>
        <v/>
      </c>
      <c r="E401" s="88" t="n">
        <v>1934</v>
      </c>
      <c r="F401" s="8">
        <f>Donnees_generations!C22</f>
        <v/>
      </c>
      <c r="G401" s="77">
        <f>Donnees_generations!D22</f>
        <v/>
      </c>
      <c r="H401" s="8">
        <f>SUMIFS(Donnees_generations!$S$3:$S$113,Donnees_generations!$A$3:$A$113,MAX(1915,MIN(2025,E401)))</f>
        <v/>
      </c>
      <c r="I401" s="8">
        <f>SUMIFS(Donnees_generations!$T$3:$T$113,Donnees_generations!$A$3:$A$113,MAX(1915,MIN(2025,E401)))</f>
        <v/>
      </c>
      <c r="J401" s="8">
        <f>IF(G401&gt;=2000,MAX(I401,Parametres!$B$3),I401)</f>
        <v/>
      </c>
      <c r="K401" s="8">
        <f>IF(C401="Privé",J401,SUMIFS(Regles_regimes!$J$3:$J$2000,Regles_regimes!$A$3:$A$2000,C401,Regles_regimes!$B$3:$B$2000,D401,Regles_regimes!$C$3:$C$2000,MAX(1915,MIN(2025,E401))))</f>
        <v/>
      </c>
      <c r="L401" s="8">
        <f>IF(C401="Privé",H401,(K401-F401)*H401/(J401-F401))</f>
        <v/>
      </c>
      <c r="M401" s="77">
        <f>INT(E401+K401)</f>
        <v/>
      </c>
      <c r="N401" s="77">
        <f>G401+ROUNDUP(L401,0)-1</f>
        <v/>
      </c>
      <c r="O401" s="89">
        <f>SUMIFS(Regles_regimes!$K$3:$K$2000,Regles_regimes!$A$3:$A$2000,C401,Regles_regimes!$B$3:$B$2000,D401,Regles_regimes!$C$3:$C$2000,MAX(1915,MIN(2025,E401)))</f>
        <v/>
      </c>
      <c r="P401" s="13">
        <f>SUMIFS(Donnees_annuelles!$W$3:$W$188,Donnees_annuelles!$A$3:$A$188,"&gt;="&amp;G401,Donnees_annuelles!$A$3:$A$188,"&lt;="&amp;N401)*L401/ROUNDUP(L401,0)*O401</f>
        <v/>
      </c>
      <c r="Q401" s="13">
        <f>SUMIFS(Donnees_annuelles!$V$3:$V$188,Donnees_annuelles!$A$3:$A$188,"&gt;="&amp;G401,Donnees_annuelles!$A$3:$A$188,"&lt;="&amp;N401)*L401/ROUNDUP(L401,0)</f>
        <v/>
      </c>
      <c r="R401" s="13">
        <f>P401/L401</f>
        <v/>
      </c>
      <c r="S401" s="14">
        <f>SUMIFS(Donnees_annuelles!$D$3:$D$188,Donnees_annuelles!$A$3:$A$188,"&gt;="&amp;G401,Donnees_annuelles!$A$3:$A$188,"&lt;="&amp;N401)*L401/ROUNDUP(L401,0)</f>
        <v/>
      </c>
      <c r="T401" s="14">
        <f>SUMIFS(Donnees_regimes!$N$3:$N$1118,Donnees_regimes!$A$3:$A$1118,C401,Donnees_regimes!$B$3:$B$1118,"&gt;="&amp;G401,Donnees_regimes!$B$3:$B$1118,"&lt;="&amp;N401)*L401/ROUNDUP(L401,0)</f>
        <v/>
      </c>
      <c r="U401" s="14">
        <f>SUMIFS(Donnees_regimes!$O$3:$O$1118,Donnees_regimes!$A$3:$A$1118,C401,Donnees_regimes!$B$3:$B$1118,"&gt;="&amp;G401,Donnees_regimes!$B$3:$B$1118,"&lt;="&amp;N401)*L401/ROUNDUP(L401,0)</f>
        <v/>
      </c>
      <c r="V401" s="14">
        <f>T401+U401</f>
        <v/>
      </c>
      <c r="W401" s="33">
        <f>V401/S401</f>
        <v/>
      </c>
      <c r="X401" s="14">
        <f>S401+U401</f>
        <v/>
      </c>
      <c r="Y401" s="17">
        <f>V401/P401</f>
        <v/>
      </c>
      <c r="Z401" s="14">
        <f>SUMIFS(Donnees_regimes!$Q$3:$Q$1118,Donnees_regimes!$A$3:$A$1118,C401,Donnees_regimes!$B$3:$B$1118,"&gt;="&amp;G401,Donnees_regimes!$B$3:$B$1118,"&lt;="&amp;N401)*L401/ROUNDUP(L401,0)</f>
        <v/>
      </c>
      <c r="AA401" s="77">
        <f>SUMIFS(Regles_regimes!$F$3:$F$2000,Regles_regimes!$A$3:$A$2000,C401,Regles_regimes!$B$3:$B$2000,D401,Regles_regimes!$C$3:$C$2000,MAX(1915,MIN(2025,E401)))</f>
        <v/>
      </c>
      <c r="AB401" s="77">
        <f>IF(AND(SUMIFS(Regles_regimes!$L$3:$L$2000,Regles_regimes!$A$3:$A$2000,C401,Regles_regimes!$B$3:$B$2000,D401,Regles_regimes!$C$3:$C$2000,MAX(1915,MIN(2025,E401)))=1,G401&lt;2009,C401&lt;&gt;"Privé"),MIN(20,L401*4/5),0)</f>
        <v/>
      </c>
      <c r="AC401" s="89">
        <f>SUMIFS(Donnees_regimes!$M$3:$M$1118,Donnees_regimes!$A$3:$A$1118,C401,Donnees_regimes!$B$3:$B$1118,M401)</f>
        <v/>
      </c>
      <c r="AD401" s="14">
        <f>SUMIFS(Donnees_annuelles!$Y$3:$Y$188,Donnees_annuelles!$A$3:$A$188,M401)*SUMIFS(Donnees_generations!$I$3:$I$113,Donnees_generations!$A$3:$A$113,MAX(1915,MIN(2025,E401)))/H401</f>
        <v/>
      </c>
      <c r="AE401" s="14">
        <f>IF(C401="Privé",SUMIFS(Donnees_annuelles!$Y$3:$Y$188,Donnees_annuelles!$A$3:$A$188,M401)*MIN(L401,SUMIFS(Donnees_generations!$I$3:$I$113,Donnees_generations!$A$3:$A$113,MAX(1915,MIN(2025,E401))))/L401,AD401*AC401*MIN(IF(AB401&gt;0,0.8/0.75,1),(L401*4+AB401)/AA401))</f>
        <v/>
      </c>
      <c r="AF401" s="14">
        <f>AE401/12</f>
        <v/>
      </c>
      <c r="AG401" s="77">
        <f>MIN(68,MAX(56,2*INT(K401/2)))</f>
        <v/>
      </c>
      <c r="AH401" s="75">
        <f>(CHOOSE((AG401-56)/2+1,SUMIFS(Donnees_generations!$U$3:$U$113,Donnees_generations!$A$3:$A$113,MAX(1915,MIN(2025,E401))),SUMIFS(Donnees_generations!$V$3:$V$113,Donnees_generations!$A$3:$A$113,MAX(1915,MIN(2025,E401))),SUMIFS(Donnees_generations!$W$3:$W$113,Donnees_generations!$A$3:$A$113,MAX(1915,MIN(2025,E401))),SUMIFS(Donnees_generations!$X$3:$X$113,Donnees_generations!$A$3:$A$113,MAX(1915,MIN(2025,E401))),SUMIFS(Donnees_generations!$Y$3:$Y$113,Donnees_generations!$A$3:$A$113,MAX(1915,MIN(2025,E401))),SUMIFS(Donnees_generations!$Z$3:$Z$113,Donnees_generations!$A$3:$A$113,MAX(1915,MIN(2025,E401))),SUMIFS(Donnees_generations!$AA$3:$AA$113,Donnees_generations!$A$3:$A$113,MAX(1915,MIN(2025,E401))),SUMIFS(Donnees_generations!$AB$3:$AB$113,Donnees_generations!$A$3:$A$113,MAX(1915,MIN(2025,E401))))+CHOOSE((AG401-56)/2+1,SUMIFS(Donnees_generations!$AC$3:$AC$113,Donnees_generations!$A$3:$A$113,MAX(1915,MIN(2025,E401))),SUMIFS(Donnees_generations!$AD$3:$AD$113,Donnees_generations!$A$3:$A$113,MAX(1915,MIN(2025,E401))),SUMIFS(Donnees_generations!$AE$3:$AE$113,Donnees_generations!$A$3:$A$113,MAX(1915,MIN(2025,E401))),SUMIFS(Donnees_generations!$AF$3:$AF$113,Donnees_generations!$A$3:$A$113,MAX(1915,MIN(2025,E401))),SUMIFS(Donnees_generations!$AG$3:$AG$113,Donnees_generations!$A$3:$A$113,MAX(1915,MIN(2025,E401))),SUMIFS(Donnees_generations!$AH$3:$AH$113,Donnees_generations!$A$3:$A$113,MAX(1915,MIN(2025,E401))),SUMIFS(Donnees_generations!$AI$3:$AI$113,Donnees_generations!$A$3:$A$113,MAX(1915,MIN(2025,E401))),SUMIFS(Donnees_generations!$AJ$3:$AJ$113,Donnees_generations!$A$3:$A$113,MAX(1915,MIN(2025,E401)))))/2</f>
        <v/>
      </c>
      <c r="AI401" s="75">
        <f>(CHOOSE(((AG401+2)-56)/2+1,SUMIFS(Donnees_generations!$U$3:$U$113,Donnees_generations!$A$3:$A$113,MAX(1915,MIN(2025,E401))),SUMIFS(Donnees_generations!$V$3:$V$113,Donnees_generations!$A$3:$A$113,MAX(1915,MIN(2025,E401))),SUMIFS(Donnees_generations!$W$3:$W$113,Donnees_generations!$A$3:$A$113,MAX(1915,MIN(2025,E401))),SUMIFS(Donnees_generations!$X$3:$X$113,Donnees_generations!$A$3:$A$113,MAX(1915,MIN(2025,E401))),SUMIFS(Donnees_generations!$Y$3:$Y$113,Donnees_generations!$A$3:$A$113,MAX(1915,MIN(2025,E401))),SUMIFS(Donnees_generations!$Z$3:$Z$113,Donnees_generations!$A$3:$A$113,MAX(1915,MIN(2025,E401))),SUMIFS(Donnees_generations!$AA$3:$AA$113,Donnees_generations!$A$3:$A$113,MAX(1915,MIN(2025,E401))),SUMIFS(Donnees_generations!$AB$3:$AB$113,Donnees_generations!$A$3:$A$113,MAX(1915,MIN(2025,E401))))+CHOOSE(((AG401+2)-56)/2+1,SUMIFS(Donnees_generations!$AC$3:$AC$113,Donnees_generations!$A$3:$A$113,MAX(1915,MIN(2025,E401))),SUMIFS(Donnees_generations!$AD$3:$AD$113,Donnees_generations!$A$3:$A$113,MAX(1915,MIN(2025,E401))),SUMIFS(Donnees_generations!$AE$3:$AE$113,Donnees_generations!$A$3:$A$113,MAX(1915,MIN(2025,E401))),SUMIFS(Donnees_generations!$AF$3:$AF$113,Donnees_generations!$A$3:$A$113,MAX(1915,MIN(2025,E401))),SUMIFS(Donnees_generations!$AG$3:$AG$113,Donnees_generations!$A$3:$A$113,MAX(1915,MIN(2025,E401))),SUMIFS(Donnees_generations!$AH$3:$AH$113,Donnees_generations!$A$3:$A$113,MAX(1915,MIN(2025,E401))),SUMIFS(Donnees_generations!$AI$3:$AI$113,Donnees_generations!$A$3:$A$113,MAX(1915,MIN(2025,E401))),SUMIFS(Donnees_generations!$AJ$3:$AJ$113,Donnees_generations!$A$3:$A$113,MAX(1915,MIN(2025,E401)))))/2</f>
        <v/>
      </c>
      <c r="AJ401" s="8">
        <f>MAX(0,AH401+(AI401-AH401)*(K401-AG401)/2)</f>
        <v/>
      </c>
      <c r="AK401" s="8">
        <f>K401+AJ401</f>
        <v/>
      </c>
      <c r="AL401" s="14">
        <f>AE401*AJ401</f>
        <v/>
      </c>
      <c r="AM401" s="17">
        <f>V401/AL401</f>
        <v/>
      </c>
      <c r="AN401" s="17">
        <f>Z401/AL401</f>
        <v/>
      </c>
      <c r="AO401" s="33">
        <f>IF(V401+Z401=0,0,Z401/(V401+Z401))</f>
        <v/>
      </c>
      <c r="AP401" s="14">
        <f>AL401/V401*100</f>
        <v/>
      </c>
      <c r="AQ401" s="8">
        <f>P401/AL401*1000</f>
        <v/>
      </c>
      <c r="AR401" s="77">
        <f>MAX(N401,M401-1)</f>
        <v/>
      </c>
      <c r="AS401" s="14">
        <f>SUMIFS(Donnees_regimes!$R$3:$R$1118,Donnees_regimes!$A$3:$A$1118,C401,Donnees_regimes!$B$3:$B$1118,"&gt;="&amp;G401,Donnees_regimes!$B$3:$B$1118,"&lt;="&amp;N401)*L401/ROUNDUP(L401,0)*SUMIFS(Donnees_annuelles!$AG$3:$AG$188,Donnees_annuelles!$A$3:$A$188,AR401)*SUMIFS(Donnees_annuelles!$AA$3:$AA$188,Donnees_annuelles!$A$3:$A$188,AR401)</f>
        <v/>
      </c>
      <c r="AT401" s="36">
        <f>AS401/V401</f>
        <v/>
      </c>
      <c r="AU401" s="14">
        <f>AL401</f>
        <v/>
      </c>
      <c r="AV401" s="39">
        <f>AS401-AL401</f>
        <v/>
      </c>
      <c r="AW401" s="9">
        <f>AS401/AL401-1</f>
        <v/>
      </c>
      <c r="AX401" s="14">
        <f>AS401/AJ401/12</f>
        <v/>
      </c>
      <c r="AY401" s="14">
        <f>AF401</f>
        <v/>
      </c>
      <c r="AZ401" s="39">
        <f>AX401-AF401</f>
        <v/>
      </c>
      <c r="BA401" s="14">
        <f>SUMIFS(Donnees_regimes!$S$3:$S$1118,Donnees_regimes!$A$3:$A$1118,C401,Donnees_regimes!$B$3:$B$1118,"&gt;="&amp;G401,Donnees_regimes!$B$3:$B$1118,"&lt;="&amp;N401)*L401/ROUNDUP(L401,0)*SUMIFS(Donnees_annuelles!$AH$3:$AH$188,Donnees_annuelles!$A$3:$A$188,AR401)*SUMIFS(Donnees_annuelles!$AA$3:$AA$188,Donnees_annuelles!$A$3:$A$188,AR401)</f>
        <v/>
      </c>
      <c r="BB401" s="39">
        <f>BA401-AL401</f>
        <v/>
      </c>
      <c r="BC401" s="7">
        <f>IF(M401+AJ401&gt;2026,IF(G401&gt;2026,"entièrement projeté","en partie projeté"),"observé")</f>
        <v/>
      </c>
    </row>
    <row r="402">
      <c r="A402" s="7" t="inlineStr">
        <is>
          <t>Génération silencieuse</t>
        </is>
      </c>
      <c r="B402" s="84" t="inlineStr">
        <is>
          <t>RATP</t>
        </is>
      </c>
      <c r="C402" s="7">
        <f>IF(G402&gt;=SUMIFS(Regimes!$C$5:$C$10,Regimes!$A$5:$A$10,B402),"Privé",B402)</f>
        <v/>
      </c>
      <c r="D402" s="7">
        <f>INDEX(Regimes!$D$5:$D$10,MATCH(C402,Regimes!$A$5:$A$10,0))</f>
        <v/>
      </c>
      <c r="E402" s="88" t="n">
        <v>1935</v>
      </c>
      <c r="F402" s="8">
        <f>Donnees_generations!C23</f>
        <v/>
      </c>
      <c r="G402" s="77">
        <f>Donnees_generations!D23</f>
        <v/>
      </c>
      <c r="H402" s="8">
        <f>SUMIFS(Donnees_generations!$S$3:$S$113,Donnees_generations!$A$3:$A$113,MAX(1915,MIN(2025,E402)))</f>
        <v/>
      </c>
      <c r="I402" s="8">
        <f>SUMIFS(Donnees_generations!$T$3:$T$113,Donnees_generations!$A$3:$A$113,MAX(1915,MIN(2025,E402)))</f>
        <v/>
      </c>
      <c r="J402" s="8">
        <f>IF(G402&gt;=2000,MAX(I402,Parametres!$B$3),I402)</f>
        <v/>
      </c>
      <c r="K402" s="8">
        <f>IF(C402="Privé",J402,SUMIFS(Regles_regimes!$J$3:$J$2000,Regles_regimes!$A$3:$A$2000,C402,Regles_regimes!$B$3:$B$2000,D402,Regles_regimes!$C$3:$C$2000,MAX(1915,MIN(2025,E402))))</f>
        <v/>
      </c>
      <c r="L402" s="8">
        <f>IF(C402="Privé",H402,(K402-F402)*H402/(J402-F402))</f>
        <v/>
      </c>
      <c r="M402" s="77">
        <f>INT(E402+K402)</f>
        <v/>
      </c>
      <c r="N402" s="77">
        <f>G402+ROUNDUP(L402,0)-1</f>
        <v/>
      </c>
      <c r="O402" s="89">
        <f>SUMIFS(Regles_regimes!$K$3:$K$2000,Regles_regimes!$A$3:$A$2000,C402,Regles_regimes!$B$3:$B$2000,D402,Regles_regimes!$C$3:$C$2000,MAX(1915,MIN(2025,E402)))</f>
        <v/>
      </c>
      <c r="P402" s="13">
        <f>SUMIFS(Donnees_annuelles!$W$3:$W$188,Donnees_annuelles!$A$3:$A$188,"&gt;="&amp;G402,Donnees_annuelles!$A$3:$A$188,"&lt;="&amp;N402)*L402/ROUNDUP(L402,0)*O402</f>
        <v/>
      </c>
      <c r="Q402" s="13">
        <f>SUMIFS(Donnees_annuelles!$V$3:$V$188,Donnees_annuelles!$A$3:$A$188,"&gt;="&amp;G402,Donnees_annuelles!$A$3:$A$188,"&lt;="&amp;N402)*L402/ROUNDUP(L402,0)</f>
        <v/>
      </c>
      <c r="R402" s="13">
        <f>P402/L402</f>
        <v/>
      </c>
      <c r="S402" s="14">
        <f>SUMIFS(Donnees_annuelles!$D$3:$D$188,Donnees_annuelles!$A$3:$A$188,"&gt;="&amp;G402,Donnees_annuelles!$A$3:$A$188,"&lt;="&amp;N402)*L402/ROUNDUP(L402,0)</f>
        <v/>
      </c>
      <c r="T402" s="14">
        <f>SUMIFS(Donnees_regimes!$N$3:$N$1118,Donnees_regimes!$A$3:$A$1118,C402,Donnees_regimes!$B$3:$B$1118,"&gt;="&amp;G402,Donnees_regimes!$B$3:$B$1118,"&lt;="&amp;N402)*L402/ROUNDUP(L402,0)</f>
        <v/>
      </c>
      <c r="U402" s="14">
        <f>SUMIFS(Donnees_regimes!$O$3:$O$1118,Donnees_regimes!$A$3:$A$1118,C402,Donnees_regimes!$B$3:$B$1118,"&gt;="&amp;G402,Donnees_regimes!$B$3:$B$1118,"&lt;="&amp;N402)*L402/ROUNDUP(L402,0)</f>
        <v/>
      </c>
      <c r="V402" s="14">
        <f>T402+U402</f>
        <v/>
      </c>
      <c r="W402" s="33">
        <f>V402/S402</f>
        <v/>
      </c>
      <c r="X402" s="14">
        <f>S402+U402</f>
        <v/>
      </c>
      <c r="Y402" s="17">
        <f>V402/P402</f>
        <v/>
      </c>
      <c r="Z402" s="14">
        <f>SUMIFS(Donnees_regimes!$Q$3:$Q$1118,Donnees_regimes!$A$3:$A$1118,C402,Donnees_regimes!$B$3:$B$1118,"&gt;="&amp;G402,Donnees_regimes!$B$3:$B$1118,"&lt;="&amp;N402)*L402/ROUNDUP(L402,0)</f>
        <v/>
      </c>
      <c r="AA402" s="77">
        <f>SUMIFS(Regles_regimes!$F$3:$F$2000,Regles_regimes!$A$3:$A$2000,C402,Regles_regimes!$B$3:$B$2000,D402,Regles_regimes!$C$3:$C$2000,MAX(1915,MIN(2025,E402)))</f>
        <v/>
      </c>
      <c r="AB402" s="77">
        <f>IF(AND(SUMIFS(Regles_regimes!$L$3:$L$2000,Regles_regimes!$A$3:$A$2000,C402,Regles_regimes!$B$3:$B$2000,D402,Regles_regimes!$C$3:$C$2000,MAX(1915,MIN(2025,E402)))=1,G402&lt;2009,C402&lt;&gt;"Privé"),MIN(20,L402*4/5),0)</f>
        <v/>
      </c>
      <c r="AC402" s="89">
        <f>SUMIFS(Donnees_regimes!$M$3:$M$1118,Donnees_regimes!$A$3:$A$1118,C402,Donnees_regimes!$B$3:$B$1118,M402)</f>
        <v/>
      </c>
      <c r="AD402" s="14">
        <f>SUMIFS(Donnees_annuelles!$Y$3:$Y$188,Donnees_annuelles!$A$3:$A$188,M402)*SUMIFS(Donnees_generations!$I$3:$I$113,Donnees_generations!$A$3:$A$113,MAX(1915,MIN(2025,E402)))/H402</f>
        <v/>
      </c>
      <c r="AE402" s="14">
        <f>IF(C402="Privé",SUMIFS(Donnees_annuelles!$Y$3:$Y$188,Donnees_annuelles!$A$3:$A$188,M402)*MIN(L402,SUMIFS(Donnees_generations!$I$3:$I$113,Donnees_generations!$A$3:$A$113,MAX(1915,MIN(2025,E402))))/L402,AD402*AC402*MIN(IF(AB402&gt;0,0.8/0.75,1),(L402*4+AB402)/AA402))</f>
        <v/>
      </c>
      <c r="AF402" s="14">
        <f>AE402/12</f>
        <v/>
      </c>
      <c r="AG402" s="77">
        <f>MIN(68,MAX(56,2*INT(K402/2)))</f>
        <v/>
      </c>
      <c r="AH402" s="75">
        <f>(CHOOSE((AG402-56)/2+1,SUMIFS(Donnees_generations!$U$3:$U$113,Donnees_generations!$A$3:$A$113,MAX(1915,MIN(2025,E402))),SUMIFS(Donnees_generations!$V$3:$V$113,Donnees_generations!$A$3:$A$113,MAX(1915,MIN(2025,E402))),SUMIFS(Donnees_generations!$W$3:$W$113,Donnees_generations!$A$3:$A$113,MAX(1915,MIN(2025,E402))),SUMIFS(Donnees_generations!$X$3:$X$113,Donnees_generations!$A$3:$A$113,MAX(1915,MIN(2025,E402))),SUMIFS(Donnees_generations!$Y$3:$Y$113,Donnees_generations!$A$3:$A$113,MAX(1915,MIN(2025,E402))),SUMIFS(Donnees_generations!$Z$3:$Z$113,Donnees_generations!$A$3:$A$113,MAX(1915,MIN(2025,E402))),SUMIFS(Donnees_generations!$AA$3:$AA$113,Donnees_generations!$A$3:$A$113,MAX(1915,MIN(2025,E402))),SUMIFS(Donnees_generations!$AB$3:$AB$113,Donnees_generations!$A$3:$A$113,MAX(1915,MIN(2025,E402))))+CHOOSE((AG402-56)/2+1,SUMIFS(Donnees_generations!$AC$3:$AC$113,Donnees_generations!$A$3:$A$113,MAX(1915,MIN(2025,E402))),SUMIFS(Donnees_generations!$AD$3:$AD$113,Donnees_generations!$A$3:$A$113,MAX(1915,MIN(2025,E402))),SUMIFS(Donnees_generations!$AE$3:$AE$113,Donnees_generations!$A$3:$A$113,MAX(1915,MIN(2025,E402))),SUMIFS(Donnees_generations!$AF$3:$AF$113,Donnees_generations!$A$3:$A$113,MAX(1915,MIN(2025,E402))),SUMIFS(Donnees_generations!$AG$3:$AG$113,Donnees_generations!$A$3:$A$113,MAX(1915,MIN(2025,E402))),SUMIFS(Donnees_generations!$AH$3:$AH$113,Donnees_generations!$A$3:$A$113,MAX(1915,MIN(2025,E402))),SUMIFS(Donnees_generations!$AI$3:$AI$113,Donnees_generations!$A$3:$A$113,MAX(1915,MIN(2025,E402))),SUMIFS(Donnees_generations!$AJ$3:$AJ$113,Donnees_generations!$A$3:$A$113,MAX(1915,MIN(2025,E402)))))/2</f>
        <v/>
      </c>
      <c r="AI402" s="75">
        <f>(CHOOSE(((AG402+2)-56)/2+1,SUMIFS(Donnees_generations!$U$3:$U$113,Donnees_generations!$A$3:$A$113,MAX(1915,MIN(2025,E402))),SUMIFS(Donnees_generations!$V$3:$V$113,Donnees_generations!$A$3:$A$113,MAX(1915,MIN(2025,E402))),SUMIFS(Donnees_generations!$W$3:$W$113,Donnees_generations!$A$3:$A$113,MAX(1915,MIN(2025,E402))),SUMIFS(Donnees_generations!$X$3:$X$113,Donnees_generations!$A$3:$A$113,MAX(1915,MIN(2025,E402))),SUMIFS(Donnees_generations!$Y$3:$Y$113,Donnees_generations!$A$3:$A$113,MAX(1915,MIN(2025,E402))),SUMIFS(Donnees_generations!$Z$3:$Z$113,Donnees_generations!$A$3:$A$113,MAX(1915,MIN(2025,E402))),SUMIFS(Donnees_generations!$AA$3:$AA$113,Donnees_generations!$A$3:$A$113,MAX(1915,MIN(2025,E402))),SUMIFS(Donnees_generations!$AB$3:$AB$113,Donnees_generations!$A$3:$A$113,MAX(1915,MIN(2025,E402))))+CHOOSE(((AG402+2)-56)/2+1,SUMIFS(Donnees_generations!$AC$3:$AC$113,Donnees_generations!$A$3:$A$113,MAX(1915,MIN(2025,E402))),SUMIFS(Donnees_generations!$AD$3:$AD$113,Donnees_generations!$A$3:$A$113,MAX(1915,MIN(2025,E402))),SUMIFS(Donnees_generations!$AE$3:$AE$113,Donnees_generations!$A$3:$A$113,MAX(1915,MIN(2025,E402))),SUMIFS(Donnees_generations!$AF$3:$AF$113,Donnees_generations!$A$3:$A$113,MAX(1915,MIN(2025,E402))),SUMIFS(Donnees_generations!$AG$3:$AG$113,Donnees_generations!$A$3:$A$113,MAX(1915,MIN(2025,E402))),SUMIFS(Donnees_generations!$AH$3:$AH$113,Donnees_generations!$A$3:$A$113,MAX(1915,MIN(2025,E402))),SUMIFS(Donnees_generations!$AI$3:$AI$113,Donnees_generations!$A$3:$A$113,MAX(1915,MIN(2025,E402))),SUMIFS(Donnees_generations!$AJ$3:$AJ$113,Donnees_generations!$A$3:$A$113,MAX(1915,MIN(2025,E402)))))/2</f>
        <v/>
      </c>
      <c r="AJ402" s="8">
        <f>MAX(0,AH402+(AI402-AH402)*(K402-AG402)/2)</f>
        <v/>
      </c>
      <c r="AK402" s="8">
        <f>K402+AJ402</f>
        <v/>
      </c>
      <c r="AL402" s="14">
        <f>AE402*AJ402</f>
        <v/>
      </c>
      <c r="AM402" s="17">
        <f>V402/AL402</f>
        <v/>
      </c>
      <c r="AN402" s="17">
        <f>Z402/AL402</f>
        <v/>
      </c>
      <c r="AO402" s="33">
        <f>IF(V402+Z402=0,0,Z402/(V402+Z402))</f>
        <v/>
      </c>
      <c r="AP402" s="14">
        <f>AL402/V402*100</f>
        <v/>
      </c>
      <c r="AQ402" s="8">
        <f>P402/AL402*1000</f>
        <v/>
      </c>
      <c r="AR402" s="77">
        <f>MAX(N402,M402-1)</f>
        <v/>
      </c>
      <c r="AS402" s="14">
        <f>SUMIFS(Donnees_regimes!$R$3:$R$1118,Donnees_regimes!$A$3:$A$1118,C402,Donnees_regimes!$B$3:$B$1118,"&gt;="&amp;G402,Donnees_regimes!$B$3:$B$1118,"&lt;="&amp;N402)*L402/ROUNDUP(L402,0)*SUMIFS(Donnees_annuelles!$AG$3:$AG$188,Donnees_annuelles!$A$3:$A$188,AR402)*SUMIFS(Donnees_annuelles!$AA$3:$AA$188,Donnees_annuelles!$A$3:$A$188,AR402)</f>
        <v/>
      </c>
      <c r="AT402" s="36">
        <f>AS402/V402</f>
        <v/>
      </c>
      <c r="AU402" s="14">
        <f>AL402</f>
        <v/>
      </c>
      <c r="AV402" s="39">
        <f>AS402-AL402</f>
        <v/>
      </c>
      <c r="AW402" s="9">
        <f>AS402/AL402-1</f>
        <v/>
      </c>
      <c r="AX402" s="14">
        <f>AS402/AJ402/12</f>
        <v/>
      </c>
      <c r="AY402" s="14">
        <f>AF402</f>
        <v/>
      </c>
      <c r="AZ402" s="39">
        <f>AX402-AF402</f>
        <v/>
      </c>
      <c r="BA402" s="14">
        <f>SUMIFS(Donnees_regimes!$S$3:$S$1118,Donnees_regimes!$A$3:$A$1118,C402,Donnees_regimes!$B$3:$B$1118,"&gt;="&amp;G402,Donnees_regimes!$B$3:$B$1118,"&lt;="&amp;N402)*L402/ROUNDUP(L402,0)*SUMIFS(Donnees_annuelles!$AH$3:$AH$188,Donnees_annuelles!$A$3:$A$188,AR402)*SUMIFS(Donnees_annuelles!$AA$3:$AA$188,Donnees_annuelles!$A$3:$A$188,AR402)</f>
        <v/>
      </c>
      <c r="BB402" s="39">
        <f>BA402-AL402</f>
        <v/>
      </c>
      <c r="BC402" s="7">
        <f>IF(M402+AJ402&gt;2026,IF(G402&gt;2026,"entièrement projeté","en partie projeté"),"observé")</f>
        <v/>
      </c>
    </row>
    <row r="403">
      <c r="A403" s="7" t="inlineStr">
        <is>
          <t>Génération silencieuse</t>
        </is>
      </c>
      <c r="B403" s="84" t="inlineStr">
        <is>
          <t>RATP</t>
        </is>
      </c>
      <c r="C403" s="7">
        <f>IF(G403&gt;=SUMIFS(Regimes!$C$5:$C$10,Regimes!$A$5:$A$10,B403),"Privé",B403)</f>
        <v/>
      </c>
      <c r="D403" s="7">
        <f>INDEX(Regimes!$D$5:$D$10,MATCH(C403,Regimes!$A$5:$A$10,0))</f>
        <v/>
      </c>
      <c r="E403" s="88" t="n">
        <v>1936</v>
      </c>
      <c r="F403" s="8">
        <f>Donnees_generations!C24</f>
        <v/>
      </c>
      <c r="G403" s="77">
        <f>Donnees_generations!D24</f>
        <v/>
      </c>
      <c r="H403" s="8">
        <f>SUMIFS(Donnees_generations!$S$3:$S$113,Donnees_generations!$A$3:$A$113,MAX(1915,MIN(2025,E403)))</f>
        <v/>
      </c>
      <c r="I403" s="8">
        <f>SUMIFS(Donnees_generations!$T$3:$T$113,Donnees_generations!$A$3:$A$113,MAX(1915,MIN(2025,E403)))</f>
        <v/>
      </c>
      <c r="J403" s="8">
        <f>IF(G403&gt;=2000,MAX(I403,Parametres!$B$3),I403)</f>
        <v/>
      </c>
      <c r="K403" s="8">
        <f>IF(C403="Privé",J403,SUMIFS(Regles_regimes!$J$3:$J$2000,Regles_regimes!$A$3:$A$2000,C403,Regles_regimes!$B$3:$B$2000,D403,Regles_regimes!$C$3:$C$2000,MAX(1915,MIN(2025,E403))))</f>
        <v/>
      </c>
      <c r="L403" s="8">
        <f>IF(C403="Privé",H403,(K403-F403)*H403/(J403-F403))</f>
        <v/>
      </c>
      <c r="M403" s="77">
        <f>INT(E403+K403)</f>
        <v/>
      </c>
      <c r="N403" s="77">
        <f>G403+ROUNDUP(L403,0)-1</f>
        <v/>
      </c>
      <c r="O403" s="89">
        <f>SUMIFS(Regles_regimes!$K$3:$K$2000,Regles_regimes!$A$3:$A$2000,C403,Regles_regimes!$B$3:$B$2000,D403,Regles_regimes!$C$3:$C$2000,MAX(1915,MIN(2025,E403)))</f>
        <v/>
      </c>
      <c r="P403" s="13">
        <f>SUMIFS(Donnees_annuelles!$W$3:$W$188,Donnees_annuelles!$A$3:$A$188,"&gt;="&amp;G403,Donnees_annuelles!$A$3:$A$188,"&lt;="&amp;N403)*L403/ROUNDUP(L403,0)*O403</f>
        <v/>
      </c>
      <c r="Q403" s="13">
        <f>SUMIFS(Donnees_annuelles!$V$3:$V$188,Donnees_annuelles!$A$3:$A$188,"&gt;="&amp;G403,Donnees_annuelles!$A$3:$A$188,"&lt;="&amp;N403)*L403/ROUNDUP(L403,0)</f>
        <v/>
      </c>
      <c r="R403" s="13">
        <f>P403/L403</f>
        <v/>
      </c>
      <c r="S403" s="14">
        <f>SUMIFS(Donnees_annuelles!$D$3:$D$188,Donnees_annuelles!$A$3:$A$188,"&gt;="&amp;G403,Donnees_annuelles!$A$3:$A$188,"&lt;="&amp;N403)*L403/ROUNDUP(L403,0)</f>
        <v/>
      </c>
      <c r="T403" s="14">
        <f>SUMIFS(Donnees_regimes!$N$3:$N$1118,Donnees_regimes!$A$3:$A$1118,C403,Donnees_regimes!$B$3:$B$1118,"&gt;="&amp;G403,Donnees_regimes!$B$3:$B$1118,"&lt;="&amp;N403)*L403/ROUNDUP(L403,0)</f>
        <v/>
      </c>
      <c r="U403" s="14">
        <f>SUMIFS(Donnees_regimes!$O$3:$O$1118,Donnees_regimes!$A$3:$A$1118,C403,Donnees_regimes!$B$3:$B$1118,"&gt;="&amp;G403,Donnees_regimes!$B$3:$B$1118,"&lt;="&amp;N403)*L403/ROUNDUP(L403,0)</f>
        <v/>
      </c>
      <c r="V403" s="14">
        <f>T403+U403</f>
        <v/>
      </c>
      <c r="W403" s="33">
        <f>V403/S403</f>
        <v/>
      </c>
      <c r="X403" s="14">
        <f>S403+U403</f>
        <v/>
      </c>
      <c r="Y403" s="17">
        <f>V403/P403</f>
        <v/>
      </c>
      <c r="Z403" s="14">
        <f>SUMIFS(Donnees_regimes!$Q$3:$Q$1118,Donnees_regimes!$A$3:$A$1118,C403,Donnees_regimes!$B$3:$B$1118,"&gt;="&amp;G403,Donnees_regimes!$B$3:$B$1118,"&lt;="&amp;N403)*L403/ROUNDUP(L403,0)</f>
        <v/>
      </c>
      <c r="AA403" s="77">
        <f>SUMIFS(Regles_regimes!$F$3:$F$2000,Regles_regimes!$A$3:$A$2000,C403,Regles_regimes!$B$3:$B$2000,D403,Regles_regimes!$C$3:$C$2000,MAX(1915,MIN(2025,E403)))</f>
        <v/>
      </c>
      <c r="AB403" s="77">
        <f>IF(AND(SUMIFS(Regles_regimes!$L$3:$L$2000,Regles_regimes!$A$3:$A$2000,C403,Regles_regimes!$B$3:$B$2000,D403,Regles_regimes!$C$3:$C$2000,MAX(1915,MIN(2025,E403)))=1,G403&lt;2009,C403&lt;&gt;"Privé"),MIN(20,L403*4/5),0)</f>
        <v/>
      </c>
      <c r="AC403" s="89">
        <f>SUMIFS(Donnees_regimes!$M$3:$M$1118,Donnees_regimes!$A$3:$A$1118,C403,Donnees_regimes!$B$3:$B$1118,M403)</f>
        <v/>
      </c>
      <c r="AD403" s="14">
        <f>SUMIFS(Donnees_annuelles!$Y$3:$Y$188,Donnees_annuelles!$A$3:$A$188,M403)*SUMIFS(Donnees_generations!$I$3:$I$113,Donnees_generations!$A$3:$A$113,MAX(1915,MIN(2025,E403)))/H403</f>
        <v/>
      </c>
      <c r="AE403" s="14">
        <f>IF(C403="Privé",SUMIFS(Donnees_annuelles!$Y$3:$Y$188,Donnees_annuelles!$A$3:$A$188,M403)*MIN(L403,SUMIFS(Donnees_generations!$I$3:$I$113,Donnees_generations!$A$3:$A$113,MAX(1915,MIN(2025,E403))))/L403,AD403*AC403*MIN(IF(AB403&gt;0,0.8/0.75,1),(L403*4+AB403)/AA403))</f>
        <v/>
      </c>
      <c r="AF403" s="14">
        <f>AE403/12</f>
        <v/>
      </c>
      <c r="AG403" s="77">
        <f>MIN(68,MAX(56,2*INT(K403/2)))</f>
        <v/>
      </c>
      <c r="AH403" s="75">
        <f>(CHOOSE((AG403-56)/2+1,SUMIFS(Donnees_generations!$U$3:$U$113,Donnees_generations!$A$3:$A$113,MAX(1915,MIN(2025,E403))),SUMIFS(Donnees_generations!$V$3:$V$113,Donnees_generations!$A$3:$A$113,MAX(1915,MIN(2025,E403))),SUMIFS(Donnees_generations!$W$3:$W$113,Donnees_generations!$A$3:$A$113,MAX(1915,MIN(2025,E403))),SUMIFS(Donnees_generations!$X$3:$X$113,Donnees_generations!$A$3:$A$113,MAX(1915,MIN(2025,E403))),SUMIFS(Donnees_generations!$Y$3:$Y$113,Donnees_generations!$A$3:$A$113,MAX(1915,MIN(2025,E403))),SUMIFS(Donnees_generations!$Z$3:$Z$113,Donnees_generations!$A$3:$A$113,MAX(1915,MIN(2025,E403))),SUMIFS(Donnees_generations!$AA$3:$AA$113,Donnees_generations!$A$3:$A$113,MAX(1915,MIN(2025,E403))),SUMIFS(Donnees_generations!$AB$3:$AB$113,Donnees_generations!$A$3:$A$113,MAX(1915,MIN(2025,E403))))+CHOOSE((AG403-56)/2+1,SUMIFS(Donnees_generations!$AC$3:$AC$113,Donnees_generations!$A$3:$A$113,MAX(1915,MIN(2025,E403))),SUMIFS(Donnees_generations!$AD$3:$AD$113,Donnees_generations!$A$3:$A$113,MAX(1915,MIN(2025,E403))),SUMIFS(Donnees_generations!$AE$3:$AE$113,Donnees_generations!$A$3:$A$113,MAX(1915,MIN(2025,E403))),SUMIFS(Donnees_generations!$AF$3:$AF$113,Donnees_generations!$A$3:$A$113,MAX(1915,MIN(2025,E403))),SUMIFS(Donnees_generations!$AG$3:$AG$113,Donnees_generations!$A$3:$A$113,MAX(1915,MIN(2025,E403))),SUMIFS(Donnees_generations!$AH$3:$AH$113,Donnees_generations!$A$3:$A$113,MAX(1915,MIN(2025,E403))),SUMIFS(Donnees_generations!$AI$3:$AI$113,Donnees_generations!$A$3:$A$113,MAX(1915,MIN(2025,E403))),SUMIFS(Donnees_generations!$AJ$3:$AJ$113,Donnees_generations!$A$3:$A$113,MAX(1915,MIN(2025,E403)))))/2</f>
        <v/>
      </c>
      <c r="AI403" s="75">
        <f>(CHOOSE(((AG403+2)-56)/2+1,SUMIFS(Donnees_generations!$U$3:$U$113,Donnees_generations!$A$3:$A$113,MAX(1915,MIN(2025,E403))),SUMIFS(Donnees_generations!$V$3:$V$113,Donnees_generations!$A$3:$A$113,MAX(1915,MIN(2025,E403))),SUMIFS(Donnees_generations!$W$3:$W$113,Donnees_generations!$A$3:$A$113,MAX(1915,MIN(2025,E403))),SUMIFS(Donnees_generations!$X$3:$X$113,Donnees_generations!$A$3:$A$113,MAX(1915,MIN(2025,E403))),SUMIFS(Donnees_generations!$Y$3:$Y$113,Donnees_generations!$A$3:$A$113,MAX(1915,MIN(2025,E403))),SUMIFS(Donnees_generations!$Z$3:$Z$113,Donnees_generations!$A$3:$A$113,MAX(1915,MIN(2025,E403))),SUMIFS(Donnees_generations!$AA$3:$AA$113,Donnees_generations!$A$3:$A$113,MAX(1915,MIN(2025,E403))),SUMIFS(Donnees_generations!$AB$3:$AB$113,Donnees_generations!$A$3:$A$113,MAX(1915,MIN(2025,E403))))+CHOOSE(((AG403+2)-56)/2+1,SUMIFS(Donnees_generations!$AC$3:$AC$113,Donnees_generations!$A$3:$A$113,MAX(1915,MIN(2025,E403))),SUMIFS(Donnees_generations!$AD$3:$AD$113,Donnees_generations!$A$3:$A$113,MAX(1915,MIN(2025,E403))),SUMIFS(Donnees_generations!$AE$3:$AE$113,Donnees_generations!$A$3:$A$113,MAX(1915,MIN(2025,E403))),SUMIFS(Donnees_generations!$AF$3:$AF$113,Donnees_generations!$A$3:$A$113,MAX(1915,MIN(2025,E403))),SUMIFS(Donnees_generations!$AG$3:$AG$113,Donnees_generations!$A$3:$A$113,MAX(1915,MIN(2025,E403))),SUMIFS(Donnees_generations!$AH$3:$AH$113,Donnees_generations!$A$3:$A$113,MAX(1915,MIN(2025,E403))),SUMIFS(Donnees_generations!$AI$3:$AI$113,Donnees_generations!$A$3:$A$113,MAX(1915,MIN(2025,E403))),SUMIFS(Donnees_generations!$AJ$3:$AJ$113,Donnees_generations!$A$3:$A$113,MAX(1915,MIN(2025,E403)))))/2</f>
        <v/>
      </c>
      <c r="AJ403" s="8">
        <f>MAX(0,AH403+(AI403-AH403)*(K403-AG403)/2)</f>
        <v/>
      </c>
      <c r="AK403" s="8">
        <f>K403+AJ403</f>
        <v/>
      </c>
      <c r="AL403" s="14">
        <f>AE403*AJ403</f>
        <v/>
      </c>
      <c r="AM403" s="17">
        <f>V403/AL403</f>
        <v/>
      </c>
      <c r="AN403" s="17">
        <f>Z403/AL403</f>
        <v/>
      </c>
      <c r="AO403" s="33">
        <f>IF(V403+Z403=0,0,Z403/(V403+Z403))</f>
        <v/>
      </c>
      <c r="AP403" s="14">
        <f>AL403/V403*100</f>
        <v/>
      </c>
      <c r="AQ403" s="8">
        <f>P403/AL403*1000</f>
        <v/>
      </c>
      <c r="AR403" s="77">
        <f>MAX(N403,M403-1)</f>
        <v/>
      </c>
      <c r="AS403" s="14">
        <f>SUMIFS(Donnees_regimes!$R$3:$R$1118,Donnees_regimes!$A$3:$A$1118,C403,Donnees_regimes!$B$3:$B$1118,"&gt;="&amp;G403,Donnees_regimes!$B$3:$B$1118,"&lt;="&amp;N403)*L403/ROUNDUP(L403,0)*SUMIFS(Donnees_annuelles!$AG$3:$AG$188,Donnees_annuelles!$A$3:$A$188,AR403)*SUMIFS(Donnees_annuelles!$AA$3:$AA$188,Donnees_annuelles!$A$3:$A$188,AR403)</f>
        <v/>
      </c>
      <c r="AT403" s="36">
        <f>AS403/V403</f>
        <v/>
      </c>
      <c r="AU403" s="14">
        <f>AL403</f>
        <v/>
      </c>
      <c r="AV403" s="39">
        <f>AS403-AL403</f>
        <v/>
      </c>
      <c r="AW403" s="9">
        <f>AS403/AL403-1</f>
        <v/>
      </c>
      <c r="AX403" s="14">
        <f>AS403/AJ403/12</f>
        <v/>
      </c>
      <c r="AY403" s="14">
        <f>AF403</f>
        <v/>
      </c>
      <c r="AZ403" s="39">
        <f>AX403-AF403</f>
        <v/>
      </c>
      <c r="BA403" s="14">
        <f>SUMIFS(Donnees_regimes!$S$3:$S$1118,Donnees_regimes!$A$3:$A$1118,C403,Donnees_regimes!$B$3:$B$1118,"&gt;="&amp;G403,Donnees_regimes!$B$3:$B$1118,"&lt;="&amp;N403)*L403/ROUNDUP(L403,0)*SUMIFS(Donnees_annuelles!$AH$3:$AH$188,Donnees_annuelles!$A$3:$A$188,AR403)*SUMIFS(Donnees_annuelles!$AA$3:$AA$188,Donnees_annuelles!$A$3:$A$188,AR403)</f>
        <v/>
      </c>
      <c r="BB403" s="39">
        <f>BA403-AL403</f>
        <v/>
      </c>
      <c r="BC403" s="7">
        <f>IF(M403+AJ403&gt;2026,IF(G403&gt;2026,"entièrement projeté","en partie projeté"),"observé")</f>
        <v/>
      </c>
    </row>
    <row r="404">
      <c r="A404" s="7" t="inlineStr">
        <is>
          <t>Génération silencieuse</t>
        </is>
      </c>
      <c r="B404" s="84" t="inlineStr">
        <is>
          <t>RATP</t>
        </is>
      </c>
      <c r="C404" s="7">
        <f>IF(G404&gt;=SUMIFS(Regimes!$C$5:$C$10,Regimes!$A$5:$A$10,B404),"Privé",B404)</f>
        <v/>
      </c>
      <c r="D404" s="7">
        <f>INDEX(Regimes!$D$5:$D$10,MATCH(C404,Regimes!$A$5:$A$10,0))</f>
        <v/>
      </c>
      <c r="E404" s="88" t="n">
        <v>1937</v>
      </c>
      <c r="F404" s="8">
        <f>Donnees_generations!C25</f>
        <v/>
      </c>
      <c r="G404" s="77">
        <f>Donnees_generations!D25</f>
        <v/>
      </c>
      <c r="H404" s="8">
        <f>SUMIFS(Donnees_generations!$S$3:$S$113,Donnees_generations!$A$3:$A$113,MAX(1915,MIN(2025,E404)))</f>
        <v/>
      </c>
      <c r="I404" s="8">
        <f>SUMIFS(Donnees_generations!$T$3:$T$113,Donnees_generations!$A$3:$A$113,MAX(1915,MIN(2025,E404)))</f>
        <v/>
      </c>
      <c r="J404" s="8">
        <f>IF(G404&gt;=2000,MAX(I404,Parametres!$B$3),I404)</f>
        <v/>
      </c>
      <c r="K404" s="8">
        <f>IF(C404="Privé",J404,SUMIFS(Regles_regimes!$J$3:$J$2000,Regles_regimes!$A$3:$A$2000,C404,Regles_regimes!$B$3:$B$2000,D404,Regles_regimes!$C$3:$C$2000,MAX(1915,MIN(2025,E404))))</f>
        <v/>
      </c>
      <c r="L404" s="8">
        <f>IF(C404="Privé",H404,(K404-F404)*H404/(J404-F404))</f>
        <v/>
      </c>
      <c r="M404" s="77">
        <f>INT(E404+K404)</f>
        <v/>
      </c>
      <c r="N404" s="77">
        <f>G404+ROUNDUP(L404,0)-1</f>
        <v/>
      </c>
      <c r="O404" s="89">
        <f>SUMIFS(Regles_regimes!$K$3:$K$2000,Regles_regimes!$A$3:$A$2000,C404,Regles_regimes!$B$3:$B$2000,D404,Regles_regimes!$C$3:$C$2000,MAX(1915,MIN(2025,E404)))</f>
        <v/>
      </c>
      <c r="P404" s="13">
        <f>SUMIFS(Donnees_annuelles!$W$3:$W$188,Donnees_annuelles!$A$3:$A$188,"&gt;="&amp;G404,Donnees_annuelles!$A$3:$A$188,"&lt;="&amp;N404)*L404/ROUNDUP(L404,0)*O404</f>
        <v/>
      </c>
      <c r="Q404" s="13">
        <f>SUMIFS(Donnees_annuelles!$V$3:$V$188,Donnees_annuelles!$A$3:$A$188,"&gt;="&amp;G404,Donnees_annuelles!$A$3:$A$188,"&lt;="&amp;N404)*L404/ROUNDUP(L404,0)</f>
        <v/>
      </c>
      <c r="R404" s="13">
        <f>P404/L404</f>
        <v/>
      </c>
      <c r="S404" s="14">
        <f>SUMIFS(Donnees_annuelles!$D$3:$D$188,Donnees_annuelles!$A$3:$A$188,"&gt;="&amp;G404,Donnees_annuelles!$A$3:$A$188,"&lt;="&amp;N404)*L404/ROUNDUP(L404,0)</f>
        <v/>
      </c>
      <c r="T404" s="14">
        <f>SUMIFS(Donnees_regimes!$N$3:$N$1118,Donnees_regimes!$A$3:$A$1118,C404,Donnees_regimes!$B$3:$B$1118,"&gt;="&amp;G404,Donnees_regimes!$B$3:$B$1118,"&lt;="&amp;N404)*L404/ROUNDUP(L404,0)</f>
        <v/>
      </c>
      <c r="U404" s="14">
        <f>SUMIFS(Donnees_regimes!$O$3:$O$1118,Donnees_regimes!$A$3:$A$1118,C404,Donnees_regimes!$B$3:$B$1118,"&gt;="&amp;G404,Donnees_regimes!$B$3:$B$1118,"&lt;="&amp;N404)*L404/ROUNDUP(L404,0)</f>
        <v/>
      </c>
      <c r="V404" s="14">
        <f>T404+U404</f>
        <v/>
      </c>
      <c r="W404" s="33">
        <f>V404/S404</f>
        <v/>
      </c>
      <c r="X404" s="14">
        <f>S404+U404</f>
        <v/>
      </c>
      <c r="Y404" s="17">
        <f>V404/P404</f>
        <v/>
      </c>
      <c r="Z404" s="14">
        <f>SUMIFS(Donnees_regimes!$Q$3:$Q$1118,Donnees_regimes!$A$3:$A$1118,C404,Donnees_regimes!$B$3:$B$1118,"&gt;="&amp;G404,Donnees_regimes!$B$3:$B$1118,"&lt;="&amp;N404)*L404/ROUNDUP(L404,0)</f>
        <v/>
      </c>
      <c r="AA404" s="77">
        <f>SUMIFS(Regles_regimes!$F$3:$F$2000,Regles_regimes!$A$3:$A$2000,C404,Regles_regimes!$B$3:$B$2000,D404,Regles_regimes!$C$3:$C$2000,MAX(1915,MIN(2025,E404)))</f>
        <v/>
      </c>
      <c r="AB404" s="77">
        <f>IF(AND(SUMIFS(Regles_regimes!$L$3:$L$2000,Regles_regimes!$A$3:$A$2000,C404,Regles_regimes!$B$3:$B$2000,D404,Regles_regimes!$C$3:$C$2000,MAX(1915,MIN(2025,E404)))=1,G404&lt;2009,C404&lt;&gt;"Privé"),MIN(20,L404*4/5),0)</f>
        <v/>
      </c>
      <c r="AC404" s="89">
        <f>SUMIFS(Donnees_regimes!$M$3:$M$1118,Donnees_regimes!$A$3:$A$1118,C404,Donnees_regimes!$B$3:$B$1118,M404)</f>
        <v/>
      </c>
      <c r="AD404" s="14">
        <f>SUMIFS(Donnees_annuelles!$Y$3:$Y$188,Donnees_annuelles!$A$3:$A$188,M404)*SUMIFS(Donnees_generations!$I$3:$I$113,Donnees_generations!$A$3:$A$113,MAX(1915,MIN(2025,E404)))/H404</f>
        <v/>
      </c>
      <c r="AE404" s="14">
        <f>IF(C404="Privé",SUMIFS(Donnees_annuelles!$Y$3:$Y$188,Donnees_annuelles!$A$3:$A$188,M404)*MIN(L404,SUMIFS(Donnees_generations!$I$3:$I$113,Donnees_generations!$A$3:$A$113,MAX(1915,MIN(2025,E404))))/L404,AD404*AC404*MIN(IF(AB404&gt;0,0.8/0.75,1),(L404*4+AB404)/AA404))</f>
        <v/>
      </c>
      <c r="AF404" s="14">
        <f>AE404/12</f>
        <v/>
      </c>
      <c r="AG404" s="77">
        <f>MIN(68,MAX(56,2*INT(K404/2)))</f>
        <v/>
      </c>
      <c r="AH404" s="75">
        <f>(CHOOSE((AG404-56)/2+1,SUMIFS(Donnees_generations!$U$3:$U$113,Donnees_generations!$A$3:$A$113,MAX(1915,MIN(2025,E404))),SUMIFS(Donnees_generations!$V$3:$V$113,Donnees_generations!$A$3:$A$113,MAX(1915,MIN(2025,E404))),SUMIFS(Donnees_generations!$W$3:$W$113,Donnees_generations!$A$3:$A$113,MAX(1915,MIN(2025,E404))),SUMIFS(Donnees_generations!$X$3:$X$113,Donnees_generations!$A$3:$A$113,MAX(1915,MIN(2025,E404))),SUMIFS(Donnees_generations!$Y$3:$Y$113,Donnees_generations!$A$3:$A$113,MAX(1915,MIN(2025,E404))),SUMIFS(Donnees_generations!$Z$3:$Z$113,Donnees_generations!$A$3:$A$113,MAX(1915,MIN(2025,E404))),SUMIFS(Donnees_generations!$AA$3:$AA$113,Donnees_generations!$A$3:$A$113,MAX(1915,MIN(2025,E404))),SUMIFS(Donnees_generations!$AB$3:$AB$113,Donnees_generations!$A$3:$A$113,MAX(1915,MIN(2025,E404))))+CHOOSE((AG404-56)/2+1,SUMIFS(Donnees_generations!$AC$3:$AC$113,Donnees_generations!$A$3:$A$113,MAX(1915,MIN(2025,E404))),SUMIFS(Donnees_generations!$AD$3:$AD$113,Donnees_generations!$A$3:$A$113,MAX(1915,MIN(2025,E404))),SUMIFS(Donnees_generations!$AE$3:$AE$113,Donnees_generations!$A$3:$A$113,MAX(1915,MIN(2025,E404))),SUMIFS(Donnees_generations!$AF$3:$AF$113,Donnees_generations!$A$3:$A$113,MAX(1915,MIN(2025,E404))),SUMIFS(Donnees_generations!$AG$3:$AG$113,Donnees_generations!$A$3:$A$113,MAX(1915,MIN(2025,E404))),SUMIFS(Donnees_generations!$AH$3:$AH$113,Donnees_generations!$A$3:$A$113,MAX(1915,MIN(2025,E404))),SUMIFS(Donnees_generations!$AI$3:$AI$113,Donnees_generations!$A$3:$A$113,MAX(1915,MIN(2025,E404))),SUMIFS(Donnees_generations!$AJ$3:$AJ$113,Donnees_generations!$A$3:$A$113,MAX(1915,MIN(2025,E404)))))/2</f>
        <v/>
      </c>
      <c r="AI404" s="75">
        <f>(CHOOSE(((AG404+2)-56)/2+1,SUMIFS(Donnees_generations!$U$3:$U$113,Donnees_generations!$A$3:$A$113,MAX(1915,MIN(2025,E404))),SUMIFS(Donnees_generations!$V$3:$V$113,Donnees_generations!$A$3:$A$113,MAX(1915,MIN(2025,E404))),SUMIFS(Donnees_generations!$W$3:$W$113,Donnees_generations!$A$3:$A$113,MAX(1915,MIN(2025,E404))),SUMIFS(Donnees_generations!$X$3:$X$113,Donnees_generations!$A$3:$A$113,MAX(1915,MIN(2025,E404))),SUMIFS(Donnees_generations!$Y$3:$Y$113,Donnees_generations!$A$3:$A$113,MAX(1915,MIN(2025,E404))),SUMIFS(Donnees_generations!$Z$3:$Z$113,Donnees_generations!$A$3:$A$113,MAX(1915,MIN(2025,E404))),SUMIFS(Donnees_generations!$AA$3:$AA$113,Donnees_generations!$A$3:$A$113,MAX(1915,MIN(2025,E404))),SUMIFS(Donnees_generations!$AB$3:$AB$113,Donnees_generations!$A$3:$A$113,MAX(1915,MIN(2025,E404))))+CHOOSE(((AG404+2)-56)/2+1,SUMIFS(Donnees_generations!$AC$3:$AC$113,Donnees_generations!$A$3:$A$113,MAX(1915,MIN(2025,E404))),SUMIFS(Donnees_generations!$AD$3:$AD$113,Donnees_generations!$A$3:$A$113,MAX(1915,MIN(2025,E404))),SUMIFS(Donnees_generations!$AE$3:$AE$113,Donnees_generations!$A$3:$A$113,MAX(1915,MIN(2025,E404))),SUMIFS(Donnees_generations!$AF$3:$AF$113,Donnees_generations!$A$3:$A$113,MAX(1915,MIN(2025,E404))),SUMIFS(Donnees_generations!$AG$3:$AG$113,Donnees_generations!$A$3:$A$113,MAX(1915,MIN(2025,E404))),SUMIFS(Donnees_generations!$AH$3:$AH$113,Donnees_generations!$A$3:$A$113,MAX(1915,MIN(2025,E404))),SUMIFS(Donnees_generations!$AI$3:$AI$113,Donnees_generations!$A$3:$A$113,MAX(1915,MIN(2025,E404))),SUMIFS(Donnees_generations!$AJ$3:$AJ$113,Donnees_generations!$A$3:$A$113,MAX(1915,MIN(2025,E404)))))/2</f>
        <v/>
      </c>
      <c r="AJ404" s="8">
        <f>MAX(0,AH404+(AI404-AH404)*(K404-AG404)/2)</f>
        <v/>
      </c>
      <c r="AK404" s="8">
        <f>K404+AJ404</f>
        <v/>
      </c>
      <c r="AL404" s="14">
        <f>AE404*AJ404</f>
        <v/>
      </c>
      <c r="AM404" s="17">
        <f>V404/AL404</f>
        <v/>
      </c>
      <c r="AN404" s="17">
        <f>Z404/AL404</f>
        <v/>
      </c>
      <c r="AO404" s="33">
        <f>IF(V404+Z404=0,0,Z404/(V404+Z404))</f>
        <v/>
      </c>
      <c r="AP404" s="14">
        <f>AL404/V404*100</f>
        <v/>
      </c>
      <c r="AQ404" s="8">
        <f>P404/AL404*1000</f>
        <v/>
      </c>
      <c r="AR404" s="77">
        <f>MAX(N404,M404-1)</f>
        <v/>
      </c>
      <c r="AS404" s="14">
        <f>SUMIFS(Donnees_regimes!$R$3:$R$1118,Donnees_regimes!$A$3:$A$1118,C404,Donnees_regimes!$B$3:$B$1118,"&gt;="&amp;G404,Donnees_regimes!$B$3:$B$1118,"&lt;="&amp;N404)*L404/ROUNDUP(L404,0)*SUMIFS(Donnees_annuelles!$AG$3:$AG$188,Donnees_annuelles!$A$3:$A$188,AR404)*SUMIFS(Donnees_annuelles!$AA$3:$AA$188,Donnees_annuelles!$A$3:$A$188,AR404)</f>
        <v/>
      </c>
      <c r="AT404" s="36">
        <f>AS404/V404</f>
        <v/>
      </c>
      <c r="AU404" s="14">
        <f>AL404</f>
        <v/>
      </c>
      <c r="AV404" s="39">
        <f>AS404-AL404</f>
        <v/>
      </c>
      <c r="AW404" s="9">
        <f>AS404/AL404-1</f>
        <v/>
      </c>
      <c r="AX404" s="14">
        <f>AS404/AJ404/12</f>
        <v/>
      </c>
      <c r="AY404" s="14">
        <f>AF404</f>
        <v/>
      </c>
      <c r="AZ404" s="39">
        <f>AX404-AF404</f>
        <v/>
      </c>
      <c r="BA404" s="14">
        <f>SUMIFS(Donnees_regimes!$S$3:$S$1118,Donnees_regimes!$A$3:$A$1118,C404,Donnees_regimes!$B$3:$B$1118,"&gt;="&amp;G404,Donnees_regimes!$B$3:$B$1118,"&lt;="&amp;N404)*L404/ROUNDUP(L404,0)*SUMIFS(Donnees_annuelles!$AH$3:$AH$188,Donnees_annuelles!$A$3:$A$188,AR404)*SUMIFS(Donnees_annuelles!$AA$3:$AA$188,Donnees_annuelles!$A$3:$A$188,AR404)</f>
        <v/>
      </c>
      <c r="BB404" s="39">
        <f>BA404-AL404</f>
        <v/>
      </c>
      <c r="BC404" s="7">
        <f>IF(M404+AJ404&gt;2026,IF(G404&gt;2026,"entièrement projeté","en partie projeté"),"observé")</f>
        <v/>
      </c>
    </row>
    <row r="405">
      <c r="A405" s="7" t="inlineStr">
        <is>
          <t>Génération silencieuse</t>
        </is>
      </c>
      <c r="B405" s="84" t="inlineStr">
        <is>
          <t>RATP</t>
        </is>
      </c>
      <c r="C405" s="7">
        <f>IF(G405&gt;=SUMIFS(Regimes!$C$5:$C$10,Regimes!$A$5:$A$10,B405),"Privé",B405)</f>
        <v/>
      </c>
      <c r="D405" s="7">
        <f>INDEX(Regimes!$D$5:$D$10,MATCH(C405,Regimes!$A$5:$A$10,0))</f>
        <v/>
      </c>
      <c r="E405" s="88" t="n">
        <v>1938</v>
      </c>
      <c r="F405" s="8">
        <f>Donnees_generations!C26</f>
        <v/>
      </c>
      <c r="G405" s="77">
        <f>Donnees_generations!D26</f>
        <v/>
      </c>
      <c r="H405" s="8">
        <f>SUMIFS(Donnees_generations!$S$3:$S$113,Donnees_generations!$A$3:$A$113,MAX(1915,MIN(2025,E405)))</f>
        <v/>
      </c>
      <c r="I405" s="8">
        <f>SUMIFS(Donnees_generations!$T$3:$T$113,Donnees_generations!$A$3:$A$113,MAX(1915,MIN(2025,E405)))</f>
        <v/>
      </c>
      <c r="J405" s="8">
        <f>IF(G405&gt;=2000,MAX(I405,Parametres!$B$3),I405)</f>
        <v/>
      </c>
      <c r="K405" s="8">
        <f>IF(C405="Privé",J405,SUMIFS(Regles_regimes!$J$3:$J$2000,Regles_regimes!$A$3:$A$2000,C405,Regles_regimes!$B$3:$B$2000,D405,Regles_regimes!$C$3:$C$2000,MAX(1915,MIN(2025,E405))))</f>
        <v/>
      </c>
      <c r="L405" s="8">
        <f>IF(C405="Privé",H405,(K405-F405)*H405/(J405-F405))</f>
        <v/>
      </c>
      <c r="M405" s="77">
        <f>INT(E405+K405)</f>
        <v/>
      </c>
      <c r="N405" s="77">
        <f>G405+ROUNDUP(L405,0)-1</f>
        <v/>
      </c>
      <c r="O405" s="89">
        <f>SUMIFS(Regles_regimes!$K$3:$K$2000,Regles_regimes!$A$3:$A$2000,C405,Regles_regimes!$B$3:$B$2000,D405,Regles_regimes!$C$3:$C$2000,MAX(1915,MIN(2025,E405)))</f>
        <v/>
      </c>
      <c r="P405" s="13">
        <f>SUMIFS(Donnees_annuelles!$W$3:$W$188,Donnees_annuelles!$A$3:$A$188,"&gt;="&amp;G405,Donnees_annuelles!$A$3:$A$188,"&lt;="&amp;N405)*L405/ROUNDUP(L405,0)*O405</f>
        <v/>
      </c>
      <c r="Q405" s="13">
        <f>SUMIFS(Donnees_annuelles!$V$3:$V$188,Donnees_annuelles!$A$3:$A$188,"&gt;="&amp;G405,Donnees_annuelles!$A$3:$A$188,"&lt;="&amp;N405)*L405/ROUNDUP(L405,0)</f>
        <v/>
      </c>
      <c r="R405" s="13">
        <f>P405/L405</f>
        <v/>
      </c>
      <c r="S405" s="14">
        <f>SUMIFS(Donnees_annuelles!$D$3:$D$188,Donnees_annuelles!$A$3:$A$188,"&gt;="&amp;G405,Donnees_annuelles!$A$3:$A$188,"&lt;="&amp;N405)*L405/ROUNDUP(L405,0)</f>
        <v/>
      </c>
      <c r="T405" s="14">
        <f>SUMIFS(Donnees_regimes!$N$3:$N$1118,Donnees_regimes!$A$3:$A$1118,C405,Donnees_regimes!$B$3:$B$1118,"&gt;="&amp;G405,Donnees_regimes!$B$3:$B$1118,"&lt;="&amp;N405)*L405/ROUNDUP(L405,0)</f>
        <v/>
      </c>
      <c r="U405" s="14">
        <f>SUMIFS(Donnees_regimes!$O$3:$O$1118,Donnees_regimes!$A$3:$A$1118,C405,Donnees_regimes!$B$3:$B$1118,"&gt;="&amp;G405,Donnees_regimes!$B$3:$B$1118,"&lt;="&amp;N405)*L405/ROUNDUP(L405,0)</f>
        <v/>
      </c>
      <c r="V405" s="14">
        <f>T405+U405</f>
        <v/>
      </c>
      <c r="W405" s="33">
        <f>V405/S405</f>
        <v/>
      </c>
      <c r="X405" s="14">
        <f>S405+U405</f>
        <v/>
      </c>
      <c r="Y405" s="17">
        <f>V405/P405</f>
        <v/>
      </c>
      <c r="Z405" s="14">
        <f>SUMIFS(Donnees_regimes!$Q$3:$Q$1118,Donnees_regimes!$A$3:$A$1118,C405,Donnees_regimes!$B$3:$B$1118,"&gt;="&amp;G405,Donnees_regimes!$B$3:$B$1118,"&lt;="&amp;N405)*L405/ROUNDUP(L405,0)</f>
        <v/>
      </c>
      <c r="AA405" s="77">
        <f>SUMIFS(Regles_regimes!$F$3:$F$2000,Regles_regimes!$A$3:$A$2000,C405,Regles_regimes!$B$3:$B$2000,D405,Regles_regimes!$C$3:$C$2000,MAX(1915,MIN(2025,E405)))</f>
        <v/>
      </c>
      <c r="AB405" s="77">
        <f>IF(AND(SUMIFS(Regles_regimes!$L$3:$L$2000,Regles_regimes!$A$3:$A$2000,C405,Regles_regimes!$B$3:$B$2000,D405,Regles_regimes!$C$3:$C$2000,MAX(1915,MIN(2025,E405)))=1,G405&lt;2009,C405&lt;&gt;"Privé"),MIN(20,L405*4/5),0)</f>
        <v/>
      </c>
      <c r="AC405" s="89">
        <f>SUMIFS(Donnees_regimes!$M$3:$M$1118,Donnees_regimes!$A$3:$A$1118,C405,Donnees_regimes!$B$3:$B$1118,M405)</f>
        <v/>
      </c>
      <c r="AD405" s="14">
        <f>SUMIFS(Donnees_annuelles!$Y$3:$Y$188,Donnees_annuelles!$A$3:$A$188,M405)*SUMIFS(Donnees_generations!$I$3:$I$113,Donnees_generations!$A$3:$A$113,MAX(1915,MIN(2025,E405)))/H405</f>
        <v/>
      </c>
      <c r="AE405" s="14">
        <f>IF(C405="Privé",SUMIFS(Donnees_annuelles!$Y$3:$Y$188,Donnees_annuelles!$A$3:$A$188,M405)*MIN(L405,SUMIFS(Donnees_generations!$I$3:$I$113,Donnees_generations!$A$3:$A$113,MAX(1915,MIN(2025,E405))))/L405,AD405*AC405*MIN(IF(AB405&gt;0,0.8/0.75,1),(L405*4+AB405)/AA405))</f>
        <v/>
      </c>
      <c r="AF405" s="14">
        <f>AE405/12</f>
        <v/>
      </c>
      <c r="AG405" s="77">
        <f>MIN(68,MAX(56,2*INT(K405/2)))</f>
        <v/>
      </c>
      <c r="AH405" s="75">
        <f>(CHOOSE((AG405-56)/2+1,SUMIFS(Donnees_generations!$U$3:$U$113,Donnees_generations!$A$3:$A$113,MAX(1915,MIN(2025,E405))),SUMIFS(Donnees_generations!$V$3:$V$113,Donnees_generations!$A$3:$A$113,MAX(1915,MIN(2025,E405))),SUMIFS(Donnees_generations!$W$3:$W$113,Donnees_generations!$A$3:$A$113,MAX(1915,MIN(2025,E405))),SUMIFS(Donnees_generations!$X$3:$X$113,Donnees_generations!$A$3:$A$113,MAX(1915,MIN(2025,E405))),SUMIFS(Donnees_generations!$Y$3:$Y$113,Donnees_generations!$A$3:$A$113,MAX(1915,MIN(2025,E405))),SUMIFS(Donnees_generations!$Z$3:$Z$113,Donnees_generations!$A$3:$A$113,MAX(1915,MIN(2025,E405))),SUMIFS(Donnees_generations!$AA$3:$AA$113,Donnees_generations!$A$3:$A$113,MAX(1915,MIN(2025,E405))),SUMIFS(Donnees_generations!$AB$3:$AB$113,Donnees_generations!$A$3:$A$113,MAX(1915,MIN(2025,E405))))+CHOOSE((AG405-56)/2+1,SUMIFS(Donnees_generations!$AC$3:$AC$113,Donnees_generations!$A$3:$A$113,MAX(1915,MIN(2025,E405))),SUMIFS(Donnees_generations!$AD$3:$AD$113,Donnees_generations!$A$3:$A$113,MAX(1915,MIN(2025,E405))),SUMIFS(Donnees_generations!$AE$3:$AE$113,Donnees_generations!$A$3:$A$113,MAX(1915,MIN(2025,E405))),SUMIFS(Donnees_generations!$AF$3:$AF$113,Donnees_generations!$A$3:$A$113,MAX(1915,MIN(2025,E405))),SUMIFS(Donnees_generations!$AG$3:$AG$113,Donnees_generations!$A$3:$A$113,MAX(1915,MIN(2025,E405))),SUMIFS(Donnees_generations!$AH$3:$AH$113,Donnees_generations!$A$3:$A$113,MAX(1915,MIN(2025,E405))),SUMIFS(Donnees_generations!$AI$3:$AI$113,Donnees_generations!$A$3:$A$113,MAX(1915,MIN(2025,E405))),SUMIFS(Donnees_generations!$AJ$3:$AJ$113,Donnees_generations!$A$3:$A$113,MAX(1915,MIN(2025,E405)))))/2</f>
        <v/>
      </c>
      <c r="AI405" s="75">
        <f>(CHOOSE(((AG405+2)-56)/2+1,SUMIFS(Donnees_generations!$U$3:$U$113,Donnees_generations!$A$3:$A$113,MAX(1915,MIN(2025,E405))),SUMIFS(Donnees_generations!$V$3:$V$113,Donnees_generations!$A$3:$A$113,MAX(1915,MIN(2025,E405))),SUMIFS(Donnees_generations!$W$3:$W$113,Donnees_generations!$A$3:$A$113,MAX(1915,MIN(2025,E405))),SUMIFS(Donnees_generations!$X$3:$X$113,Donnees_generations!$A$3:$A$113,MAX(1915,MIN(2025,E405))),SUMIFS(Donnees_generations!$Y$3:$Y$113,Donnees_generations!$A$3:$A$113,MAX(1915,MIN(2025,E405))),SUMIFS(Donnees_generations!$Z$3:$Z$113,Donnees_generations!$A$3:$A$113,MAX(1915,MIN(2025,E405))),SUMIFS(Donnees_generations!$AA$3:$AA$113,Donnees_generations!$A$3:$A$113,MAX(1915,MIN(2025,E405))),SUMIFS(Donnees_generations!$AB$3:$AB$113,Donnees_generations!$A$3:$A$113,MAX(1915,MIN(2025,E405))))+CHOOSE(((AG405+2)-56)/2+1,SUMIFS(Donnees_generations!$AC$3:$AC$113,Donnees_generations!$A$3:$A$113,MAX(1915,MIN(2025,E405))),SUMIFS(Donnees_generations!$AD$3:$AD$113,Donnees_generations!$A$3:$A$113,MAX(1915,MIN(2025,E405))),SUMIFS(Donnees_generations!$AE$3:$AE$113,Donnees_generations!$A$3:$A$113,MAX(1915,MIN(2025,E405))),SUMIFS(Donnees_generations!$AF$3:$AF$113,Donnees_generations!$A$3:$A$113,MAX(1915,MIN(2025,E405))),SUMIFS(Donnees_generations!$AG$3:$AG$113,Donnees_generations!$A$3:$A$113,MAX(1915,MIN(2025,E405))),SUMIFS(Donnees_generations!$AH$3:$AH$113,Donnees_generations!$A$3:$A$113,MAX(1915,MIN(2025,E405))),SUMIFS(Donnees_generations!$AI$3:$AI$113,Donnees_generations!$A$3:$A$113,MAX(1915,MIN(2025,E405))),SUMIFS(Donnees_generations!$AJ$3:$AJ$113,Donnees_generations!$A$3:$A$113,MAX(1915,MIN(2025,E405)))))/2</f>
        <v/>
      </c>
      <c r="AJ405" s="8">
        <f>MAX(0,AH405+(AI405-AH405)*(K405-AG405)/2)</f>
        <v/>
      </c>
      <c r="AK405" s="8">
        <f>K405+AJ405</f>
        <v/>
      </c>
      <c r="AL405" s="14">
        <f>AE405*AJ405</f>
        <v/>
      </c>
      <c r="AM405" s="17">
        <f>V405/AL405</f>
        <v/>
      </c>
      <c r="AN405" s="17">
        <f>Z405/AL405</f>
        <v/>
      </c>
      <c r="AO405" s="33">
        <f>IF(V405+Z405=0,0,Z405/(V405+Z405))</f>
        <v/>
      </c>
      <c r="AP405" s="14">
        <f>AL405/V405*100</f>
        <v/>
      </c>
      <c r="AQ405" s="8">
        <f>P405/AL405*1000</f>
        <v/>
      </c>
      <c r="AR405" s="77">
        <f>MAX(N405,M405-1)</f>
        <v/>
      </c>
      <c r="AS405" s="14">
        <f>SUMIFS(Donnees_regimes!$R$3:$R$1118,Donnees_regimes!$A$3:$A$1118,C405,Donnees_regimes!$B$3:$B$1118,"&gt;="&amp;G405,Donnees_regimes!$B$3:$B$1118,"&lt;="&amp;N405)*L405/ROUNDUP(L405,0)*SUMIFS(Donnees_annuelles!$AG$3:$AG$188,Donnees_annuelles!$A$3:$A$188,AR405)*SUMIFS(Donnees_annuelles!$AA$3:$AA$188,Donnees_annuelles!$A$3:$A$188,AR405)</f>
        <v/>
      </c>
      <c r="AT405" s="36">
        <f>AS405/V405</f>
        <v/>
      </c>
      <c r="AU405" s="14">
        <f>AL405</f>
        <v/>
      </c>
      <c r="AV405" s="39">
        <f>AS405-AL405</f>
        <v/>
      </c>
      <c r="AW405" s="9">
        <f>AS405/AL405-1</f>
        <v/>
      </c>
      <c r="AX405" s="14">
        <f>AS405/AJ405/12</f>
        <v/>
      </c>
      <c r="AY405" s="14">
        <f>AF405</f>
        <v/>
      </c>
      <c r="AZ405" s="39">
        <f>AX405-AF405</f>
        <v/>
      </c>
      <c r="BA405" s="14">
        <f>SUMIFS(Donnees_regimes!$S$3:$S$1118,Donnees_regimes!$A$3:$A$1118,C405,Donnees_regimes!$B$3:$B$1118,"&gt;="&amp;G405,Donnees_regimes!$B$3:$B$1118,"&lt;="&amp;N405)*L405/ROUNDUP(L405,0)*SUMIFS(Donnees_annuelles!$AH$3:$AH$188,Donnees_annuelles!$A$3:$A$188,AR405)*SUMIFS(Donnees_annuelles!$AA$3:$AA$188,Donnees_annuelles!$A$3:$A$188,AR405)</f>
        <v/>
      </c>
      <c r="BB405" s="39">
        <f>BA405-AL405</f>
        <v/>
      </c>
      <c r="BC405" s="7">
        <f>IF(M405+AJ405&gt;2026,IF(G405&gt;2026,"entièrement projeté","en partie projeté"),"observé")</f>
        <v/>
      </c>
    </row>
    <row r="406">
      <c r="A406" s="7" t="inlineStr">
        <is>
          <t>Génération silencieuse</t>
        </is>
      </c>
      <c r="B406" s="84" t="inlineStr">
        <is>
          <t>RATP</t>
        </is>
      </c>
      <c r="C406" s="7">
        <f>IF(G406&gt;=SUMIFS(Regimes!$C$5:$C$10,Regimes!$A$5:$A$10,B406),"Privé",B406)</f>
        <v/>
      </c>
      <c r="D406" s="7">
        <f>INDEX(Regimes!$D$5:$D$10,MATCH(C406,Regimes!$A$5:$A$10,0))</f>
        <v/>
      </c>
      <c r="E406" s="88" t="n">
        <v>1939</v>
      </c>
      <c r="F406" s="8">
        <f>Donnees_generations!C27</f>
        <v/>
      </c>
      <c r="G406" s="77">
        <f>Donnees_generations!D27</f>
        <v/>
      </c>
      <c r="H406" s="8">
        <f>SUMIFS(Donnees_generations!$S$3:$S$113,Donnees_generations!$A$3:$A$113,MAX(1915,MIN(2025,E406)))</f>
        <v/>
      </c>
      <c r="I406" s="8">
        <f>SUMIFS(Donnees_generations!$T$3:$T$113,Donnees_generations!$A$3:$A$113,MAX(1915,MIN(2025,E406)))</f>
        <v/>
      </c>
      <c r="J406" s="8">
        <f>IF(G406&gt;=2000,MAX(I406,Parametres!$B$3),I406)</f>
        <v/>
      </c>
      <c r="K406" s="8">
        <f>IF(C406="Privé",J406,SUMIFS(Regles_regimes!$J$3:$J$2000,Regles_regimes!$A$3:$A$2000,C406,Regles_regimes!$B$3:$B$2000,D406,Regles_regimes!$C$3:$C$2000,MAX(1915,MIN(2025,E406))))</f>
        <v/>
      </c>
      <c r="L406" s="8">
        <f>IF(C406="Privé",H406,(K406-F406)*H406/(J406-F406))</f>
        <v/>
      </c>
      <c r="M406" s="77">
        <f>INT(E406+K406)</f>
        <v/>
      </c>
      <c r="N406" s="77">
        <f>G406+ROUNDUP(L406,0)-1</f>
        <v/>
      </c>
      <c r="O406" s="89">
        <f>SUMIFS(Regles_regimes!$K$3:$K$2000,Regles_regimes!$A$3:$A$2000,C406,Regles_regimes!$B$3:$B$2000,D406,Regles_regimes!$C$3:$C$2000,MAX(1915,MIN(2025,E406)))</f>
        <v/>
      </c>
      <c r="P406" s="13">
        <f>SUMIFS(Donnees_annuelles!$W$3:$W$188,Donnees_annuelles!$A$3:$A$188,"&gt;="&amp;G406,Donnees_annuelles!$A$3:$A$188,"&lt;="&amp;N406)*L406/ROUNDUP(L406,0)*O406</f>
        <v/>
      </c>
      <c r="Q406" s="13">
        <f>SUMIFS(Donnees_annuelles!$V$3:$V$188,Donnees_annuelles!$A$3:$A$188,"&gt;="&amp;G406,Donnees_annuelles!$A$3:$A$188,"&lt;="&amp;N406)*L406/ROUNDUP(L406,0)</f>
        <v/>
      </c>
      <c r="R406" s="13">
        <f>P406/L406</f>
        <v/>
      </c>
      <c r="S406" s="14">
        <f>SUMIFS(Donnees_annuelles!$D$3:$D$188,Donnees_annuelles!$A$3:$A$188,"&gt;="&amp;G406,Donnees_annuelles!$A$3:$A$188,"&lt;="&amp;N406)*L406/ROUNDUP(L406,0)</f>
        <v/>
      </c>
      <c r="T406" s="14">
        <f>SUMIFS(Donnees_regimes!$N$3:$N$1118,Donnees_regimes!$A$3:$A$1118,C406,Donnees_regimes!$B$3:$B$1118,"&gt;="&amp;G406,Donnees_regimes!$B$3:$B$1118,"&lt;="&amp;N406)*L406/ROUNDUP(L406,0)</f>
        <v/>
      </c>
      <c r="U406" s="14">
        <f>SUMIFS(Donnees_regimes!$O$3:$O$1118,Donnees_regimes!$A$3:$A$1118,C406,Donnees_regimes!$B$3:$B$1118,"&gt;="&amp;G406,Donnees_regimes!$B$3:$B$1118,"&lt;="&amp;N406)*L406/ROUNDUP(L406,0)</f>
        <v/>
      </c>
      <c r="V406" s="14">
        <f>T406+U406</f>
        <v/>
      </c>
      <c r="W406" s="33">
        <f>V406/S406</f>
        <v/>
      </c>
      <c r="X406" s="14">
        <f>S406+U406</f>
        <v/>
      </c>
      <c r="Y406" s="17">
        <f>V406/P406</f>
        <v/>
      </c>
      <c r="Z406" s="14">
        <f>SUMIFS(Donnees_regimes!$Q$3:$Q$1118,Donnees_regimes!$A$3:$A$1118,C406,Donnees_regimes!$B$3:$B$1118,"&gt;="&amp;G406,Donnees_regimes!$B$3:$B$1118,"&lt;="&amp;N406)*L406/ROUNDUP(L406,0)</f>
        <v/>
      </c>
      <c r="AA406" s="77">
        <f>SUMIFS(Regles_regimes!$F$3:$F$2000,Regles_regimes!$A$3:$A$2000,C406,Regles_regimes!$B$3:$B$2000,D406,Regles_regimes!$C$3:$C$2000,MAX(1915,MIN(2025,E406)))</f>
        <v/>
      </c>
      <c r="AB406" s="77">
        <f>IF(AND(SUMIFS(Regles_regimes!$L$3:$L$2000,Regles_regimes!$A$3:$A$2000,C406,Regles_regimes!$B$3:$B$2000,D406,Regles_regimes!$C$3:$C$2000,MAX(1915,MIN(2025,E406)))=1,G406&lt;2009,C406&lt;&gt;"Privé"),MIN(20,L406*4/5),0)</f>
        <v/>
      </c>
      <c r="AC406" s="89">
        <f>SUMIFS(Donnees_regimes!$M$3:$M$1118,Donnees_regimes!$A$3:$A$1118,C406,Donnees_regimes!$B$3:$B$1118,M406)</f>
        <v/>
      </c>
      <c r="AD406" s="14">
        <f>SUMIFS(Donnees_annuelles!$Y$3:$Y$188,Donnees_annuelles!$A$3:$A$188,M406)*SUMIFS(Donnees_generations!$I$3:$I$113,Donnees_generations!$A$3:$A$113,MAX(1915,MIN(2025,E406)))/H406</f>
        <v/>
      </c>
      <c r="AE406" s="14">
        <f>IF(C406="Privé",SUMIFS(Donnees_annuelles!$Y$3:$Y$188,Donnees_annuelles!$A$3:$A$188,M406)*MIN(L406,SUMIFS(Donnees_generations!$I$3:$I$113,Donnees_generations!$A$3:$A$113,MAX(1915,MIN(2025,E406))))/L406,AD406*AC406*MIN(IF(AB406&gt;0,0.8/0.75,1),(L406*4+AB406)/AA406))</f>
        <v/>
      </c>
      <c r="AF406" s="14">
        <f>AE406/12</f>
        <v/>
      </c>
      <c r="AG406" s="77">
        <f>MIN(68,MAX(56,2*INT(K406/2)))</f>
        <v/>
      </c>
      <c r="AH406" s="75">
        <f>(CHOOSE((AG406-56)/2+1,SUMIFS(Donnees_generations!$U$3:$U$113,Donnees_generations!$A$3:$A$113,MAX(1915,MIN(2025,E406))),SUMIFS(Donnees_generations!$V$3:$V$113,Donnees_generations!$A$3:$A$113,MAX(1915,MIN(2025,E406))),SUMIFS(Donnees_generations!$W$3:$W$113,Donnees_generations!$A$3:$A$113,MAX(1915,MIN(2025,E406))),SUMIFS(Donnees_generations!$X$3:$X$113,Donnees_generations!$A$3:$A$113,MAX(1915,MIN(2025,E406))),SUMIFS(Donnees_generations!$Y$3:$Y$113,Donnees_generations!$A$3:$A$113,MAX(1915,MIN(2025,E406))),SUMIFS(Donnees_generations!$Z$3:$Z$113,Donnees_generations!$A$3:$A$113,MAX(1915,MIN(2025,E406))),SUMIFS(Donnees_generations!$AA$3:$AA$113,Donnees_generations!$A$3:$A$113,MAX(1915,MIN(2025,E406))),SUMIFS(Donnees_generations!$AB$3:$AB$113,Donnees_generations!$A$3:$A$113,MAX(1915,MIN(2025,E406))))+CHOOSE((AG406-56)/2+1,SUMIFS(Donnees_generations!$AC$3:$AC$113,Donnees_generations!$A$3:$A$113,MAX(1915,MIN(2025,E406))),SUMIFS(Donnees_generations!$AD$3:$AD$113,Donnees_generations!$A$3:$A$113,MAX(1915,MIN(2025,E406))),SUMIFS(Donnees_generations!$AE$3:$AE$113,Donnees_generations!$A$3:$A$113,MAX(1915,MIN(2025,E406))),SUMIFS(Donnees_generations!$AF$3:$AF$113,Donnees_generations!$A$3:$A$113,MAX(1915,MIN(2025,E406))),SUMIFS(Donnees_generations!$AG$3:$AG$113,Donnees_generations!$A$3:$A$113,MAX(1915,MIN(2025,E406))),SUMIFS(Donnees_generations!$AH$3:$AH$113,Donnees_generations!$A$3:$A$113,MAX(1915,MIN(2025,E406))),SUMIFS(Donnees_generations!$AI$3:$AI$113,Donnees_generations!$A$3:$A$113,MAX(1915,MIN(2025,E406))),SUMIFS(Donnees_generations!$AJ$3:$AJ$113,Donnees_generations!$A$3:$A$113,MAX(1915,MIN(2025,E406)))))/2</f>
        <v/>
      </c>
      <c r="AI406" s="75">
        <f>(CHOOSE(((AG406+2)-56)/2+1,SUMIFS(Donnees_generations!$U$3:$U$113,Donnees_generations!$A$3:$A$113,MAX(1915,MIN(2025,E406))),SUMIFS(Donnees_generations!$V$3:$V$113,Donnees_generations!$A$3:$A$113,MAX(1915,MIN(2025,E406))),SUMIFS(Donnees_generations!$W$3:$W$113,Donnees_generations!$A$3:$A$113,MAX(1915,MIN(2025,E406))),SUMIFS(Donnees_generations!$X$3:$X$113,Donnees_generations!$A$3:$A$113,MAX(1915,MIN(2025,E406))),SUMIFS(Donnees_generations!$Y$3:$Y$113,Donnees_generations!$A$3:$A$113,MAX(1915,MIN(2025,E406))),SUMIFS(Donnees_generations!$Z$3:$Z$113,Donnees_generations!$A$3:$A$113,MAX(1915,MIN(2025,E406))),SUMIFS(Donnees_generations!$AA$3:$AA$113,Donnees_generations!$A$3:$A$113,MAX(1915,MIN(2025,E406))),SUMIFS(Donnees_generations!$AB$3:$AB$113,Donnees_generations!$A$3:$A$113,MAX(1915,MIN(2025,E406))))+CHOOSE(((AG406+2)-56)/2+1,SUMIFS(Donnees_generations!$AC$3:$AC$113,Donnees_generations!$A$3:$A$113,MAX(1915,MIN(2025,E406))),SUMIFS(Donnees_generations!$AD$3:$AD$113,Donnees_generations!$A$3:$A$113,MAX(1915,MIN(2025,E406))),SUMIFS(Donnees_generations!$AE$3:$AE$113,Donnees_generations!$A$3:$A$113,MAX(1915,MIN(2025,E406))),SUMIFS(Donnees_generations!$AF$3:$AF$113,Donnees_generations!$A$3:$A$113,MAX(1915,MIN(2025,E406))),SUMIFS(Donnees_generations!$AG$3:$AG$113,Donnees_generations!$A$3:$A$113,MAX(1915,MIN(2025,E406))),SUMIFS(Donnees_generations!$AH$3:$AH$113,Donnees_generations!$A$3:$A$113,MAX(1915,MIN(2025,E406))),SUMIFS(Donnees_generations!$AI$3:$AI$113,Donnees_generations!$A$3:$A$113,MAX(1915,MIN(2025,E406))),SUMIFS(Donnees_generations!$AJ$3:$AJ$113,Donnees_generations!$A$3:$A$113,MAX(1915,MIN(2025,E406)))))/2</f>
        <v/>
      </c>
      <c r="AJ406" s="8">
        <f>MAX(0,AH406+(AI406-AH406)*(K406-AG406)/2)</f>
        <v/>
      </c>
      <c r="AK406" s="8">
        <f>K406+AJ406</f>
        <v/>
      </c>
      <c r="AL406" s="14">
        <f>AE406*AJ406</f>
        <v/>
      </c>
      <c r="AM406" s="17">
        <f>V406/AL406</f>
        <v/>
      </c>
      <c r="AN406" s="17">
        <f>Z406/AL406</f>
        <v/>
      </c>
      <c r="AO406" s="33">
        <f>IF(V406+Z406=0,0,Z406/(V406+Z406))</f>
        <v/>
      </c>
      <c r="AP406" s="14">
        <f>AL406/V406*100</f>
        <v/>
      </c>
      <c r="AQ406" s="8">
        <f>P406/AL406*1000</f>
        <v/>
      </c>
      <c r="AR406" s="77">
        <f>MAX(N406,M406-1)</f>
        <v/>
      </c>
      <c r="AS406" s="14">
        <f>SUMIFS(Donnees_regimes!$R$3:$R$1118,Donnees_regimes!$A$3:$A$1118,C406,Donnees_regimes!$B$3:$B$1118,"&gt;="&amp;G406,Donnees_regimes!$B$3:$B$1118,"&lt;="&amp;N406)*L406/ROUNDUP(L406,0)*SUMIFS(Donnees_annuelles!$AG$3:$AG$188,Donnees_annuelles!$A$3:$A$188,AR406)*SUMIFS(Donnees_annuelles!$AA$3:$AA$188,Donnees_annuelles!$A$3:$A$188,AR406)</f>
        <v/>
      </c>
      <c r="AT406" s="36">
        <f>AS406/V406</f>
        <v/>
      </c>
      <c r="AU406" s="14">
        <f>AL406</f>
        <v/>
      </c>
      <c r="AV406" s="39">
        <f>AS406-AL406</f>
        <v/>
      </c>
      <c r="AW406" s="9">
        <f>AS406/AL406-1</f>
        <v/>
      </c>
      <c r="AX406" s="14">
        <f>AS406/AJ406/12</f>
        <v/>
      </c>
      <c r="AY406" s="14">
        <f>AF406</f>
        <v/>
      </c>
      <c r="AZ406" s="39">
        <f>AX406-AF406</f>
        <v/>
      </c>
      <c r="BA406" s="14">
        <f>SUMIFS(Donnees_regimes!$S$3:$S$1118,Donnees_regimes!$A$3:$A$1118,C406,Donnees_regimes!$B$3:$B$1118,"&gt;="&amp;G406,Donnees_regimes!$B$3:$B$1118,"&lt;="&amp;N406)*L406/ROUNDUP(L406,0)*SUMIFS(Donnees_annuelles!$AH$3:$AH$188,Donnees_annuelles!$A$3:$A$188,AR406)*SUMIFS(Donnees_annuelles!$AA$3:$AA$188,Donnees_annuelles!$A$3:$A$188,AR406)</f>
        <v/>
      </c>
      <c r="BB406" s="39">
        <f>BA406-AL406</f>
        <v/>
      </c>
      <c r="BC406" s="7">
        <f>IF(M406+AJ406&gt;2026,IF(G406&gt;2026,"entièrement projeté","en partie projeté"),"observé")</f>
        <v/>
      </c>
    </row>
    <row r="407">
      <c r="A407" s="7" t="inlineStr">
        <is>
          <t>Génération silencieuse</t>
        </is>
      </c>
      <c r="B407" s="84" t="inlineStr">
        <is>
          <t>RATP</t>
        </is>
      </c>
      <c r="C407" s="7">
        <f>IF(G407&gt;=SUMIFS(Regimes!$C$5:$C$10,Regimes!$A$5:$A$10,B407),"Privé",B407)</f>
        <v/>
      </c>
      <c r="D407" s="7">
        <f>INDEX(Regimes!$D$5:$D$10,MATCH(C407,Regimes!$A$5:$A$10,0))</f>
        <v/>
      </c>
      <c r="E407" s="88" t="n">
        <v>1940</v>
      </c>
      <c r="F407" s="8">
        <f>Donnees_generations!C28</f>
        <v/>
      </c>
      <c r="G407" s="77">
        <f>Donnees_generations!D28</f>
        <v/>
      </c>
      <c r="H407" s="8">
        <f>SUMIFS(Donnees_generations!$S$3:$S$113,Donnees_generations!$A$3:$A$113,MAX(1915,MIN(2025,E407)))</f>
        <v/>
      </c>
      <c r="I407" s="8">
        <f>SUMIFS(Donnees_generations!$T$3:$T$113,Donnees_generations!$A$3:$A$113,MAX(1915,MIN(2025,E407)))</f>
        <v/>
      </c>
      <c r="J407" s="8">
        <f>IF(G407&gt;=2000,MAX(I407,Parametres!$B$3),I407)</f>
        <v/>
      </c>
      <c r="K407" s="8">
        <f>IF(C407="Privé",J407,SUMIFS(Regles_regimes!$J$3:$J$2000,Regles_regimes!$A$3:$A$2000,C407,Regles_regimes!$B$3:$B$2000,D407,Regles_regimes!$C$3:$C$2000,MAX(1915,MIN(2025,E407))))</f>
        <v/>
      </c>
      <c r="L407" s="8">
        <f>IF(C407="Privé",H407,(K407-F407)*H407/(J407-F407))</f>
        <v/>
      </c>
      <c r="M407" s="77">
        <f>INT(E407+K407)</f>
        <v/>
      </c>
      <c r="N407" s="77">
        <f>G407+ROUNDUP(L407,0)-1</f>
        <v/>
      </c>
      <c r="O407" s="89">
        <f>SUMIFS(Regles_regimes!$K$3:$K$2000,Regles_regimes!$A$3:$A$2000,C407,Regles_regimes!$B$3:$B$2000,D407,Regles_regimes!$C$3:$C$2000,MAX(1915,MIN(2025,E407)))</f>
        <v/>
      </c>
      <c r="P407" s="13">
        <f>SUMIFS(Donnees_annuelles!$W$3:$W$188,Donnees_annuelles!$A$3:$A$188,"&gt;="&amp;G407,Donnees_annuelles!$A$3:$A$188,"&lt;="&amp;N407)*L407/ROUNDUP(L407,0)*O407</f>
        <v/>
      </c>
      <c r="Q407" s="13">
        <f>SUMIFS(Donnees_annuelles!$V$3:$V$188,Donnees_annuelles!$A$3:$A$188,"&gt;="&amp;G407,Donnees_annuelles!$A$3:$A$188,"&lt;="&amp;N407)*L407/ROUNDUP(L407,0)</f>
        <v/>
      </c>
      <c r="R407" s="13">
        <f>P407/L407</f>
        <v/>
      </c>
      <c r="S407" s="14">
        <f>SUMIFS(Donnees_annuelles!$D$3:$D$188,Donnees_annuelles!$A$3:$A$188,"&gt;="&amp;G407,Donnees_annuelles!$A$3:$A$188,"&lt;="&amp;N407)*L407/ROUNDUP(L407,0)</f>
        <v/>
      </c>
      <c r="T407" s="14">
        <f>SUMIFS(Donnees_regimes!$N$3:$N$1118,Donnees_regimes!$A$3:$A$1118,C407,Donnees_regimes!$B$3:$B$1118,"&gt;="&amp;G407,Donnees_regimes!$B$3:$B$1118,"&lt;="&amp;N407)*L407/ROUNDUP(L407,0)</f>
        <v/>
      </c>
      <c r="U407" s="14">
        <f>SUMIFS(Donnees_regimes!$O$3:$O$1118,Donnees_regimes!$A$3:$A$1118,C407,Donnees_regimes!$B$3:$B$1118,"&gt;="&amp;G407,Donnees_regimes!$B$3:$B$1118,"&lt;="&amp;N407)*L407/ROUNDUP(L407,0)</f>
        <v/>
      </c>
      <c r="V407" s="14">
        <f>T407+U407</f>
        <v/>
      </c>
      <c r="W407" s="33">
        <f>V407/S407</f>
        <v/>
      </c>
      <c r="X407" s="14">
        <f>S407+U407</f>
        <v/>
      </c>
      <c r="Y407" s="17">
        <f>V407/P407</f>
        <v/>
      </c>
      <c r="Z407" s="14">
        <f>SUMIFS(Donnees_regimes!$Q$3:$Q$1118,Donnees_regimes!$A$3:$A$1118,C407,Donnees_regimes!$B$3:$B$1118,"&gt;="&amp;G407,Donnees_regimes!$B$3:$B$1118,"&lt;="&amp;N407)*L407/ROUNDUP(L407,0)</f>
        <v/>
      </c>
      <c r="AA407" s="77">
        <f>SUMIFS(Regles_regimes!$F$3:$F$2000,Regles_regimes!$A$3:$A$2000,C407,Regles_regimes!$B$3:$B$2000,D407,Regles_regimes!$C$3:$C$2000,MAX(1915,MIN(2025,E407)))</f>
        <v/>
      </c>
      <c r="AB407" s="77">
        <f>IF(AND(SUMIFS(Regles_regimes!$L$3:$L$2000,Regles_regimes!$A$3:$A$2000,C407,Regles_regimes!$B$3:$B$2000,D407,Regles_regimes!$C$3:$C$2000,MAX(1915,MIN(2025,E407)))=1,G407&lt;2009,C407&lt;&gt;"Privé"),MIN(20,L407*4/5),0)</f>
        <v/>
      </c>
      <c r="AC407" s="89">
        <f>SUMIFS(Donnees_regimes!$M$3:$M$1118,Donnees_regimes!$A$3:$A$1118,C407,Donnees_regimes!$B$3:$B$1118,M407)</f>
        <v/>
      </c>
      <c r="AD407" s="14">
        <f>SUMIFS(Donnees_annuelles!$Y$3:$Y$188,Donnees_annuelles!$A$3:$A$188,M407)*SUMIFS(Donnees_generations!$I$3:$I$113,Donnees_generations!$A$3:$A$113,MAX(1915,MIN(2025,E407)))/H407</f>
        <v/>
      </c>
      <c r="AE407" s="14">
        <f>IF(C407="Privé",SUMIFS(Donnees_annuelles!$Y$3:$Y$188,Donnees_annuelles!$A$3:$A$188,M407)*MIN(L407,SUMIFS(Donnees_generations!$I$3:$I$113,Donnees_generations!$A$3:$A$113,MAX(1915,MIN(2025,E407))))/L407,AD407*AC407*MIN(IF(AB407&gt;0,0.8/0.75,1),(L407*4+AB407)/AA407))</f>
        <v/>
      </c>
      <c r="AF407" s="14">
        <f>AE407/12</f>
        <v/>
      </c>
      <c r="AG407" s="77">
        <f>MIN(68,MAX(56,2*INT(K407/2)))</f>
        <v/>
      </c>
      <c r="AH407" s="75">
        <f>(CHOOSE((AG407-56)/2+1,SUMIFS(Donnees_generations!$U$3:$U$113,Donnees_generations!$A$3:$A$113,MAX(1915,MIN(2025,E407))),SUMIFS(Donnees_generations!$V$3:$V$113,Donnees_generations!$A$3:$A$113,MAX(1915,MIN(2025,E407))),SUMIFS(Donnees_generations!$W$3:$W$113,Donnees_generations!$A$3:$A$113,MAX(1915,MIN(2025,E407))),SUMIFS(Donnees_generations!$X$3:$X$113,Donnees_generations!$A$3:$A$113,MAX(1915,MIN(2025,E407))),SUMIFS(Donnees_generations!$Y$3:$Y$113,Donnees_generations!$A$3:$A$113,MAX(1915,MIN(2025,E407))),SUMIFS(Donnees_generations!$Z$3:$Z$113,Donnees_generations!$A$3:$A$113,MAX(1915,MIN(2025,E407))),SUMIFS(Donnees_generations!$AA$3:$AA$113,Donnees_generations!$A$3:$A$113,MAX(1915,MIN(2025,E407))),SUMIFS(Donnees_generations!$AB$3:$AB$113,Donnees_generations!$A$3:$A$113,MAX(1915,MIN(2025,E407))))+CHOOSE((AG407-56)/2+1,SUMIFS(Donnees_generations!$AC$3:$AC$113,Donnees_generations!$A$3:$A$113,MAX(1915,MIN(2025,E407))),SUMIFS(Donnees_generations!$AD$3:$AD$113,Donnees_generations!$A$3:$A$113,MAX(1915,MIN(2025,E407))),SUMIFS(Donnees_generations!$AE$3:$AE$113,Donnees_generations!$A$3:$A$113,MAX(1915,MIN(2025,E407))),SUMIFS(Donnees_generations!$AF$3:$AF$113,Donnees_generations!$A$3:$A$113,MAX(1915,MIN(2025,E407))),SUMIFS(Donnees_generations!$AG$3:$AG$113,Donnees_generations!$A$3:$A$113,MAX(1915,MIN(2025,E407))),SUMIFS(Donnees_generations!$AH$3:$AH$113,Donnees_generations!$A$3:$A$113,MAX(1915,MIN(2025,E407))),SUMIFS(Donnees_generations!$AI$3:$AI$113,Donnees_generations!$A$3:$A$113,MAX(1915,MIN(2025,E407))),SUMIFS(Donnees_generations!$AJ$3:$AJ$113,Donnees_generations!$A$3:$A$113,MAX(1915,MIN(2025,E407)))))/2</f>
        <v/>
      </c>
      <c r="AI407" s="75">
        <f>(CHOOSE(((AG407+2)-56)/2+1,SUMIFS(Donnees_generations!$U$3:$U$113,Donnees_generations!$A$3:$A$113,MAX(1915,MIN(2025,E407))),SUMIFS(Donnees_generations!$V$3:$V$113,Donnees_generations!$A$3:$A$113,MAX(1915,MIN(2025,E407))),SUMIFS(Donnees_generations!$W$3:$W$113,Donnees_generations!$A$3:$A$113,MAX(1915,MIN(2025,E407))),SUMIFS(Donnees_generations!$X$3:$X$113,Donnees_generations!$A$3:$A$113,MAX(1915,MIN(2025,E407))),SUMIFS(Donnees_generations!$Y$3:$Y$113,Donnees_generations!$A$3:$A$113,MAX(1915,MIN(2025,E407))),SUMIFS(Donnees_generations!$Z$3:$Z$113,Donnees_generations!$A$3:$A$113,MAX(1915,MIN(2025,E407))),SUMIFS(Donnees_generations!$AA$3:$AA$113,Donnees_generations!$A$3:$A$113,MAX(1915,MIN(2025,E407))),SUMIFS(Donnees_generations!$AB$3:$AB$113,Donnees_generations!$A$3:$A$113,MAX(1915,MIN(2025,E407))))+CHOOSE(((AG407+2)-56)/2+1,SUMIFS(Donnees_generations!$AC$3:$AC$113,Donnees_generations!$A$3:$A$113,MAX(1915,MIN(2025,E407))),SUMIFS(Donnees_generations!$AD$3:$AD$113,Donnees_generations!$A$3:$A$113,MAX(1915,MIN(2025,E407))),SUMIFS(Donnees_generations!$AE$3:$AE$113,Donnees_generations!$A$3:$A$113,MAX(1915,MIN(2025,E407))),SUMIFS(Donnees_generations!$AF$3:$AF$113,Donnees_generations!$A$3:$A$113,MAX(1915,MIN(2025,E407))),SUMIFS(Donnees_generations!$AG$3:$AG$113,Donnees_generations!$A$3:$A$113,MAX(1915,MIN(2025,E407))),SUMIFS(Donnees_generations!$AH$3:$AH$113,Donnees_generations!$A$3:$A$113,MAX(1915,MIN(2025,E407))),SUMIFS(Donnees_generations!$AI$3:$AI$113,Donnees_generations!$A$3:$A$113,MAX(1915,MIN(2025,E407))),SUMIFS(Donnees_generations!$AJ$3:$AJ$113,Donnees_generations!$A$3:$A$113,MAX(1915,MIN(2025,E407)))))/2</f>
        <v/>
      </c>
      <c r="AJ407" s="8">
        <f>MAX(0,AH407+(AI407-AH407)*(K407-AG407)/2)</f>
        <v/>
      </c>
      <c r="AK407" s="8">
        <f>K407+AJ407</f>
        <v/>
      </c>
      <c r="AL407" s="14">
        <f>AE407*AJ407</f>
        <v/>
      </c>
      <c r="AM407" s="17">
        <f>V407/AL407</f>
        <v/>
      </c>
      <c r="AN407" s="17">
        <f>Z407/AL407</f>
        <v/>
      </c>
      <c r="AO407" s="33">
        <f>IF(V407+Z407=0,0,Z407/(V407+Z407))</f>
        <v/>
      </c>
      <c r="AP407" s="14">
        <f>AL407/V407*100</f>
        <v/>
      </c>
      <c r="AQ407" s="8">
        <f>P407/AL407*1000</f>
        <v/>
      </c>
      <c r="AR407" s="77">
        <f>MAX(N407,M407-1)</f>
        <v/>
      </c>
      <c r="AS407" s="14">
        <f>SUMIFS(Donnees_regimes!$R$3:$R$1118,Donnees_regimes!$A$3:$A$1118,C407,Donnees_regimes!$B$3:$B$1118,"&gt;="&amp;G407,Donnees_regimes!$B$3:$B$1118,"&lt;="&amp;N407)*L407/ROUNDUP(L407,0)*SUMIFS(Donnees_annuelles!$AG$3:$AG$188,Donnees_annuelles!$A$3:$A$188,AR407)*SUMIFS(Donnees_annuelles!$AA$3:$AA$188,Donnees_annuelles!$A$3:$A$188,AR407)</f>
        <v/>
      </c>
      <c r="AT407" s="36">
        <f>AS407/V407</f>
        <v/>
      </c>
      <c r="AU407" s="14">
        <f>AL407</f>
        <v/>
      </c>
      <c r="AV407" s="39">
        <f>AS407-AL407</f>
        <v/>
      </c>
      <c r="AW407" s="9">
        <f>AS407/AL407-1</f>
        <v/>
      </c>
      <c r="AX407" s="14">
        <f>AS407/AJ407/12</f>
        <v/>
      </c>
      <c r="AY407" s="14">
        <f>AF407</f>
        <v/>
      </c>
      <c r="AZ407" s="39">
        <f>AX407-AF407</f>
        <v/>
      </c>
      <c r="BA407" s="14">
        <f>SUMIFS(Donnees_regimes!$S$3:$S$1118,Donnees_regimes!$A$3:$A$1118,C407,Donnees_regimes!$B$3:$B$1118,"&gt;="&amp;G407,Donnees_regimes!$B$3:$B$1118,"&lt;="&amp;N407)*L407/ROUNDUP(L407,0)*SUMIFS(Donnees_annuelles!$AH$3:$AH$188,Donnees_annuelles!$A$3:$A$188,AR407)*SUMIFS(Donnees_annuelles!$AA$3:$AA$188,Donnees_annuelles!$A$3:$A$188,AR407)</f>
        <v/>
      </c>
      <c r="BB407" s="39">
        <f>BA407-AL407</f>
        <v/>
      </c>
      <c r="BC407" s="7">
        <f>IF(M407+AJ407&gt;2026,IF(G407&gt;2026,"entièrement projeté","en partie projeté"),"observé")</f>
        <v/>
      </c>
    </row>
    <row r="408">
      <c r="A408" s="7" t="inlineStr">
        <is>
          <t>Génération silencieuse</t>
        </is>
      </c>
      <c r="B408" s="84" t="inlineStr">
        <is>
          <t>RATP</t>
        </is>
      </c>
      <c r="C408" s="7">
        <f>IF(G408&gt;=SUMIFS(Regimes!$C$5:$C$10,Regimes!$A$5:$A$10,B408),"Privé",B408)</f>
        <v/>
      </c>
      <c r="D408" s="7">
        <f>INDEX(Regimes!$D$5:$D$10,MATCH(C408,Regimes!$A$5:$A$10,0))</f>
        <v/>
      </c>
      <c r="E408" s="88" t="n">
        <v>1941</v>
      </c>
      <c r="F408" s="8">
        <f>Donnees_generations!C29</f>
        <v/>
      </c>
      <c r="G408" s="77">
        <f>Donnees_generations!D29</f>
        <v/>
      </c>
      <c r="H408" s="8">
        <f>SUMIFS(Donnees_generations!$S$3:$S$113,Donnees_generations!$A$3:$A$113,MAX(1915,MIN(2025,E408)))</f>
        <v/>
      </c>
      <c r="I408" s="8">
        <f>SUMIFS(Donnees_generations!$T$3:$T$113,Donnees_generations!$A$3:$A$113,MAX(1915,MIN(2025,E408)))</f>
        <v/>
      </c>
      <c r="J408" s="8">
        <f>IF(G408&gt;=2000,MAX(I408,Parametres!$B$3),I408)</f>
        <v/>
      </c>
      <c r="K408" s="8">
        <f>IF(C408="Privé",J408,SUMIFS(Regles_regimes!$J$3:$J$2000,Regles_regimes!$A$3:$A$2000,C408,Regles_regimes!$B$3:$B$2000,D408,Regles_regimes!$C$3:$C$2000,MAX(1915,MIN(2025,E408))))</f>
        <v/>
      </c>
      <c r="L408" s="8">
        <f>IF(C408="Privé",H408,(K408-F408)*H408/(J408-F408))</f>
        <v/>
      </c>
      <c r="M408" s="77">
        <f>INT(E408+K408)</f>
        <v/>
      </c>
      <c r="N408" s="77">
        <f>G408+ROUNDUP(L408,0)-1</f>
        <v/>
      </c>
      <c r="O408" s="89">
        <f>SUMIFS(Regles_regimes!$K$3:$K$2000,Regles_regimes!$A$3:$A$2000,C408,Regles_regimes!$B$3:$B$2000,D408,Regles_regimes!$C$3:$C$2000,MAX(1915,MIN(2025,E408)))</f>
        <v/>
      </c>
      <c r="P408" s="13">
        <f>SUMIFS(Donnees_annuelles!$W$3:$W$188,Donnees_annuelles!$A$3:$A$188,"&gt;="&amp;G408,Donnees_annuelles!$A$3:$A$188,"&lt;="&amp;N408)*L408/ROUNDUP(L408,0)*O408</f>
        <v/>
      </c>
      <c r="Q408" s="13">
        <f>SUMIFS(Donnees_annuelles!$V$3:$V$188,Donnees_annuelles!$A$3:$A$188,"&gt;="&amp;G408,Donnees_annuelles!$A$3:$A$188,"&lt;="&amp;N408)*L408/ROUNDUP(L408,0)</f>
        <v/>
      </c>
      <c r="R408" s="13">
        <f>P408/L408</f>
        <v/>
      </c>
      <c r="S408" s="14">
        <f>SUMIFS(Donnees_annuelles!$D$3:$D$188,Donnees_annuelles!$A$3:$A$188,"&gt;="&amp;G408,Donnees_annuelles!$A$3:$A$188,"&lt;="&amp;N408)*L408/ROUNDUP(L408,0)</f>
        <v/>
      </c>
      <c r="T408" s="14">
        <f>SUMIFS(Donnees_regimes!$N$3:$N$1118,Donnees_regimes!$A$3:$A$1118,C408,Donnees_regimes!$B$3:$B$1118,"&gt;="&amp;G408,Donnees_regimes!$B$3:$B$1118,"&lt;="&amp;N408)*L408/ROUNDUP(L408,0)</f>
        <v/>
      </c>
      <c r="U408" s="14">
        <f>SUMIFS(Donnees_regimes!$O$3:$O$1118,Donnees_regimes!$A$3:$A$1118,C408,Donnees_regimes!$B$3:$B$1118,"&gt;="&amp;G408,Donnees_regimes!$B$3:$B$1118,"&lt;="&amp;N408)*L408/ROUNDUP(L408,0)</f>
        <v/>
      </c>
      <c r="V408" s="14">
        <f>T408+U408</f>
        <v/>
      </c>
      <c r="W408" s="33">
        <f>V408/S408</f>
        <v/>
      </c>
      <c r="X408" s="14">
        <f>S408+U408</f>
        <v/>
      </c>
      <c r="Y408" s="17">
        <f>V408/P408</f>
        <v/>
      </c>
      <c r="Z408" s="14">
        <f>SUMIFS(Donnees_regimes!$Q$3:$Q$1118,Donnees_regimes!$A$3:$A$1118,C408,Donnees_regimes!$B$3:$B$1118,"&gt;="&amp;G408,Donnees_regimes!$B$3:$B$1118,"&lt;="&amp;N408)*L408/ROUNDUP(L408,0)</f>
        <v/>
      </c>
      <c r="AA408" s="77">
        <f>SUMIFS(Regles_regimes!$F$3:$F$2000,Regles_regimes!$A$3:$A$2000,C408,Regles_regimes!$B$3:$B$2000,D408,Regles_regimes!$C$3:$C$2000,MAX(1915,MIN(2025,E408)))</f>
        <v/>
      </c>
      <c r="AB408" s="77">
        <f>IF(AND(SUMIFS(Regles_regimes!$L$3:$L$2000,Regles_regimes!$A$3:$A$2000,C408,Regles_regimes!$B$3:$B$2000,D408,Regles_regimes!$C$3:$C$2000,MAX(1915,MIN(2025,E408)))=1,G408&lt;2009,C408&lt;&gt;"Privé"),MIN(20,L408*4/5),0)</f>
        <v/>
      </c>
      <c r="AC408" s="89">
        <f>SUMIFS(Donnees_regimes!$M$3:$M$1118,Donnees_regimes!$A$3:$A$1118,C408,Donnees_regimes!$B$3:$B$1118,M408)</f>
        <v/>
      </c>
      <c r="AD408" s="14">
        <f>SUMIFS(Donnees_annuelles!$Y$3:$Y$188,Donnees_annuelles!$A$3:$A$188,M408)*SUMIFS(Donnees_generations!$I$3:$I$113,Donnees_generations!$A$3:$A$113,MAX(1915,MIN(2025,E408)))/H408</f>
        <v/>
      </c>
      <c r="AE408" s="14">
        <f>IF(C408="Privé",SUMIFS(Donnees_annuelles!$Y$3:$Y$188,Donnees_annuelles!$A$3:$A$188,M408)*MIN(L408,SUMIFS(Donnees_generations!$I$3:$I$113,Donnees_generations!$A$3:$A$113,MAX(1915,MIN(2025,E408))))/L408,AD408*AC408*MIN(IF(AB408&gt;0,0.8/0.75,1),(L408*4+AB408)/AA408))</f>
        <v/>
      </c>
      <c r="AF408" s="14">
        <f>AE408/12</f>
        <v/>
      </c>
      <c r="AG408" s="77">
        <f>MIN(68,MAX(56,2*INT(K408/2)))</f>
        <v/>
      </c>
      <c r="AH408" s="75">
        <f>(CHOOSE((AG408-56)/2+1,SUMIFS(Donnees_generations!$U$3:$U$113,Donnees_generations!$A$3:$A$113,MAX(1915,MIN(2025,E408))),SUMIFS(Donnees_generations!$V$3:$V$113,Donnees_generations!$A$3:$A$113,MAX(1915,MIN(2025,E408))),SUMIFS(Donnees_generations!$W$3:$W$113,Donnees_generations!$A$3:$A$113,MAX(1915,MIN(2025,E408))),SUMIFS(Donnees_generations!$X$3:$X$113,Donnees_generations!$A$3:$A$113,MAX(1915,MIN(2025,E408))),SUMIFS(Donnees_generations!$Y$3:$Y$113,Donnees_generations!$A$3:$A$113,MAX(1915,MIN(2025,E408))),SUMIFS(Donnees_generations!$Z$3:$Z$113,Donnees_generations!$A$3:$A$113,MAX(1915,MIN(2025,E408))),SUMIFS(Donnees_generations!$AA$3:$AA$113,Donnees_generations!$A$3:$A$113,MAX(1915,MIN(2025,E408))),SUMIFS(Donnees_generations!$AB$3:$AB$113,Donnees_generations!$A$3:$A$113,MAX(1915,MIN(2025,E408))))+CHOOSE((AG408-56)/2+1,SUMIFS(Donnees_generations!$AC$3:$AC$113,Donnees_generations!$A$3:$A$113,MAX(1915,MIN(2025,E408))),SUMIFS(Donnees_generations!$AD$3:$AD$113,Donnees_generations!$A$3:$A$113,MAX(1915,MIN(2025,E408))),SUMIFS(Donnees_generations!$AE$3:$AE$113,Donnees_generations!$A$3:$A$113,MAX(1915,MIN(2025,E408))),SUMIFS(Donnees_generations!$AF$3:$AF$113,Donnees_generations!$A$3:$A$113,MAX(1915,MIN(2025,E408))),SUMIFS(Donnees_generations!$AG$3:$AG$113,Donnees_generations!$A$3:$A$113,MAX(1915,MIN(2025,E408))),SUMIFS(Donnees_generations!$AH$3:$AH$113,Donnees_generations!$A$3:$A$113,MAX(1915,MIN(2025,E408))),SUMIFS(Donnees_generations!$AI$3:$AI$113,Donnees_generations!$A$3:$A$113,MAX(1915,MIN(2025,E408))),SUMIFS(Donnees_generations!$AJ$3:$AJ$113,Donnees_generations!$A$3:$A$113,MAX(1915,MIN(2025,E408)))))/2</f>
        <v/>
      </c>
      <c r="AI408" s="75">
        <f>(CHOOSE(((AG408+2)-56)/2+1,SUMIFS(Donnees_generations!$U$3:$U$113,Donnees_generations!$A$3:$A$113,MAX(1915,MIN(2025,E408))),SUMIFS(Donnees_generations!$V$3:$V$113,Donnees_generations!$A$3:$A$113,MAX(1915,MIN(2025,E408))),SUMIFS(Donnees_generations!$W$3:$W$113,Donnees_generations!$A$3:$A$113,MAX(1915,MIN(2025,E408))),SUMIFS(Donnees_generations!$X$3:$X$113,Donnees_generations!$A$3:$A$113,MAX(1915,MIN(2025,E408))),SUMIFS(Donnees_generations!$Y$3:$Y$113,Donnees_generations!$A$3:$A$113,MAX(1915,MIN(2025,E408))),SUMIFS(Donnees_generations!$Z$3:$Z$113,Donnees_generations!$A$3:$A$113,MAX(1915,MIN(2025,E408))),SUMIFS(Donnees_generations!$AA$3:$AA$113,Donnees_generations!$A$3:$A$113,MAX(1915,MIN(2025,E408))),SUMIFS(Donnees_generations!$AB$3:$AB$113,Donnees_generations!$A$3:$A$113,MAX(1915,MIN(2025,E408))))+CHOOSE(((AG408+2)-56)/2+1,SUMIFS(Donnees_generations!$AC$3:$AC$113,Donnees_generations!$A$3:$A$113,MAX(1915,MIN(2025,E408))),SUMIFS(Donnees_generations!$AD$3:$AD$113,Donnees_generations!$A$3:$A$113,MAX(1915,MIN(2025,E408))),SUMIFS(Donnees_generations!$AE$3:$AE$113,Donnees_generations!$A$3:$A$113,MAX(1915,MIN(2025,E408))),SUMIFS(Donnees_generations!$AF$3:$AF$113,Donnees_generations!$A$3:$A$113,MAX(1915,MIN(2025,E408))),SUMIFS(Donnees_generations!$AG$3:$AG$113,Donnees_generations!$A$3:$A$113,MAX(1915,MIN(2025,E408))),SUMIFS(Donnees_generations!$AH$3:$AH$113,Donnees_generations!$A$3:$A$113,MAX(1915,MIN(2025,E408))),SUMIFS(Donnees_generations!$AI$3:$AI$113,Donnees_generations!$A$3:$A$113,MAX(1915,MIN(2025,E408))),SUMIFS(Donnees_generations!$AJ$3:$AJ$113,Donnees_generations!$A$3:$A$113,MAX(1915,MIN(2025,E408)))))/2</f>
        <v/>
      </c>
      <c r="AJ408" s="8">
        <f>MAX(0,AH408+(AI408-AH408)*(K408-AG408)/2)</f>
        <v/>
      </c>
      <c r="AK408" s="8">
        <f>K408+AJ408</f>
        <v/>
      </c>
      <c r="AL408" s="14">
        <f>AE408*AJ408</f>
        <v/>
      </c>
      <c r="AM408" s="17">
        <f>V408/AL408</f>
        <v/>
      </c>
      <c r="AN408" s="17">
        <f>Z408/AL408</f>
        <v/>
      </c>
      <c r="AO408" s="33">
        <f>IF(V408+Z408=0,0,Z408/(V408+Z408))</f>
        <v/>
      </c>
      <c r="AP408" s="14">
        <f>AL408/V408*100</f>
        <v/>
      </c>
      <c r="AQ408" s="8">
        <f>P408/AL408*1000</f>
        <v/>
      </c>
      <c r="AR408" s="77">
        <f>MAX(N408,M408-1)</f>
        <v/>
      </c>
      <c r="AS408" s="14">
        <f>SUMIFS(Donnees_regimes!$R$3:$R$1118,Donnees_regimes!$A$3:$A$1118,C408,Donnees_regimes!$B$3:$B$1118,"&gt;="&amp;G408,Donnees_regimes!$B$3:$B$1118,"&lt;="&amp;N408)*L408/ROUNDUP(L408,0)*SUMIFS(Donnees_annuelles!$AG$3:$AG$188,Donnees_annuelles!$A$3:$A$188,AR408)*SUMIFS(Donnees_annuelles!$AA$3:$AA$188,Donnees_annuelles!$A$3:$A$188,AR408)</f>
        <v/>
      </c>
      <c r="AT408" s="36">
        <f>AS408/V408</f>
        <v/>
      </c>
      <c r="AU408" s="14">
        <f>AL408</f>
        <v/>
      </c>
      <c r="AV408" s="39">
        <f>AS408-AL408</f>
        <v/>
      </c>
      <c r="AW408" s="9">
        <f>AS408/AL408-1</f>
        <v/>
      </c>
      <c r="AX408" s="14">
        <f>AS408/AJ408/12</f>
        <v/>
      </c>
      <c r="AY408" s="14">
        <f>AF408</f>
        <v/>
      </c>
      <c r="AZ408" s="39">
        <f>AX408-AF408</f>
        <v/>
      </c>
      <c r="BA408" s="14">
        <f>SUMIFS(Donnees_regimes!$S$3:$S$1118,Donnees_regimes!$A$3:$A$1118,C408,Donnees_regimes!$B$3:$B$1118,"&gt;="&amp;G408,Donnees_regimes!$B$3:$B$1118,"&lt;="&amp;N408)*L408/ROUNDUP(L408,0)*SUMIFS(Donnees_annuelles!$AH$3:$AH$188,Donnees_annuelles!$A$3:$A$188,AR408)*SUMIFS(Donnees_annuelles!$AA$3:$AA$188,Donnees_annuelles!$A$3:$A$188,AR408)</f>
        <v/>
      </c>
      <c r="BB408" s="39">
        <f>BA408-AL408</f>
        <v/>
      </c>
      <c r="BC408" s="7">
        <f>IF(M408+AJ408&gt;2026,IF(G408&gt;2026,"entièrement projeté","en partie projeté"),"observé")</f>
        <v/>
      </c>
    </row>
    <row r="409">
      <c r="A409" s="7" t="inlineStr">
        <is>
          <t>Génération silencieuse</t>
        </is>
      </c>
      <c r="B409" s="84" t="inlineStr">
        <is>
          <t>RATP</t>
        </is>
      </c>
      <c r="C409" s="7">
        <f>IF(G409&gt;=SUMIFS(Regimes!$C$5:$C$10,Regimes!$A$5:$A$10,B409),"Privé",B409)</f>
        <v/>
      </c>
      <c r="D409" s="7">
        <f>INDEX(Regimes!$D$5:$D$10,MATCH(C409,Regimes!$A$5:$A$10,0))</f>
        <v/>
      </c>
      <c r="E409" s="88" t="n">
        <v>1942</v>
      </c>
      <c r="F409" s="8">
        <f>Donnees_generations!C30</f>
        <v/>
      </c>
      <c r="G409" s="77">
        <f>Donnees_generations!D30</f>
        <v/>
      </c>
      <c r="H409" s="8">
        <f>SUMIFS(Donnees_generations!$S$3:$S$113,Donnees_generations!$A$3:$A$113,MAX(1915,MIN(2025,E409)))</f>
        <v/>
      </c>
      <c r="I409" s="8">
        <f>SUMIFS(Donnees_generations!$T$3:$T$113,Donnees_generations!$A$3:$A$113,MAX(1915,MIN(2025,E409)))</f>
        <v/>
      </c>
      <c r="J409" s="8">
        <f>IF(G409&gt;=2000,MAX(I409,Parametres!$B$3),I409)</f>
        <v/>
      </c>
      <c r="K409" s="8">
        <f>IF(C409="Privé",J409,SUMIFS(Regles_regimes!$J$3:$J$2000,Regles_regimes!$A$3:$A$2000,C409,Regles_regimes!$B$3:$B$2000,D409,Regles_regimes!$C$3:$C$2000,MAX(1915,MIN(2025,E409))))</f>
        <v/>
      </c>
      <c r="L409" s="8">
        <f>IF(C409="Privé",H409,(K409-F409)*H409/(J409-F409))</f>
        <v/>
      </c>
      <c r="M409" s="77">
        <f>INT(E409+K409)</f>
        <v/>
      </c>
      <c r="N409" s="77">
        <f>G409+ROUNDUP(L409,0)-1</f>
        <v/>
      </c>
      <c r="O409" s="89">
        <f>SUMIFS(Regles_regimes!$K$3:$K$2000,Regles_regimes!$A$3:$A$2000,C409,Regles_regimes!$B$3:$B$2000,D409,Regles_regimes!$C$3:$C$2000,MAX(1915,MIN(2025,E409)))</f>
        <v/>
      </c>
      <c r="P409" s="13">
        <f>SUMIFS(Donnees_annuelles!$W$3:$W$188,Donnees_annuelles!$A$3:$A$188,"&gt;="&amp;G409,Donnees_annuelles!$A$3:$A$188,"&lt;="&amp;N409)*L409/ROUNDUP(L409,0)*O409</f>
        <v/>
      </c>
      <c r="Q409" s="13">
        <f>SUMIFS(Donnees_annuelles!$V$3:$V$188,Donnees_annuelles!$A$3:$A$188,"&gt;="&amp;G409,Donnees_annuelles!$A$3:$A$188,"&lt;="&amp;N409)*L409/ROUNDUP(L409,0)</f>
        <v/>
      </c>
      <c r="R409" s="13">
        <f>P409/L409</f>
        <v/>
      </c>
      <c r="S409" s="14">
        <f>SUMIFS(Donnees_annuelles!$D$3:$D$188,Donnees_annuelles!$A$3:$A$188,"&gt;="&amp;G409,Donnees_annuelles!$A$3:$A$188,"&lt;="&amp;N409)*L409/ROUNDUP(L409,0)</f>
        <v/>
      </c>
      <c r="T409" s="14">
        <f>SUMIFS(Donnees_regimes!$N$3:$N$1118,Donnees_regimes!$A$3:$A$1118,C409,Donnees_regimes!$B$3:$B$1118,"&gt;="&amp;G409,Donnees_regimes!$B$3:$B$1118,"&lt;="&amp;N409)*L409/ROUNDUP(L409,0)</f>
        <v/>
      </c>
      <c r="U409" s="14">
        <f>SUMIFS(Donnees_regimes!$O$3:$O$1118,Donnees_regimes!$A$3:$A$1118,C409,Donnees_regimes!$B$3:$B$1118,"&gt;="&amp;G409,Donnees_regimes!$B$3:$B$1118,"&lt;="&amp;N409)*L409/ROUNDUP(L409,0)</f>
        <v/>
      </c>
      <c r="V409" s="14">
        <f>T409+U409</f>
        <v/>
      </c>
      <c r="W409" s="33">
        <f>V409/S409</f>
        <v/>
      </c>
      <c r="X409" s="14">
        <f>S409+U409</f>
        <v/>
      </c>
      <c r="Y409" s="17">
        <f>V409/P409</f>
        <v/>
      </c>
      <c r="Z409" s="14">
        <f>SUMIFS(Donnees_regimes!$Q$3:$Q$1118,Donnees_regimes!$A$3:$A$1118,C409,Donnees_regimes!$B$3:$B$1118,"&gt;="&amp;G409,Donnees_regimes!$B$3:$B$1118,"&lt;="&amp;N409)*L409/ROUNDUP(L409,0)</f>
        <v/>
      </c>
      <c r="AA409" s="77">
        <f>SUMIFS(Regles_regimes!$F$3:$F$2000,Regles_regimes!$A$3:$A$2000,C409,Regles_regimes!$B$3:$B$2000,D409,Regles_regimes!$C$3:$C$2000,MAX(1915,MIN(2025,E409)))</f>
        <v/>
      </c>
      <c r="AB409" s="77">
        <f>IF(AND(SUMIFS(Regles_regimes!$L$3:$L$2000,Regles_regimes!$A$3:$A$2000,C409,Regles_regimes!$B$3:$B$2000,D409,Regles_regimes!$C$3:$C$2000,MAX(1915,MIN(2025,E409)))=1,G409&lt;2009,C409&lt;&gt;"Privé"),MIN(20,L409*4/5),0)</f>
        <v/>
      </c>
      <c r="AC409" s="89">
        <f>SUMIFS(Donnees_regimes!$M$3:$M$1118,Donnees_regimes!$A$3:$A$1118,C409,Donnees_regimes!$B$3:$B$1118,M409)</f>
        <v/>
      </c>
      <c r="AD409" s="14">
        <f>SUMIFS(Donnees_annuelles!$Y$3:$Y$188,Donnees_annuelles!$A$3:$A$188,M409)*SUMIFS(Donnees_generations!$I$3:$I$113,Donnees_generations!$A$3:$A$113,MAX(1915,MIN(2025,E409)))/H409</f>
        <v/>
      </c>
      <c r="AE409" s="14">
        <f>IF(C409="Privé",SUMIFS(Donnees_annuelles!$Y$3:$Y$188,Donnees_annuelles!$A$3:$A$188,M409)*MIN(L409,SUMIFS(Donnees_generations!$I$3:$I$113,Donnees_generations!$A$3:$A$113,MAX(1915,MIN(2025,E409))))/L409,AD409*AC409*MIN(IF(AB409&gt;0,0.8/0.75,1),(L409*4+AB409)/AA409))</f>
        <v/>
      </c>
      <c r="AF409" s="14">
        <f>AE409/12</f>
        <v/>
      </c>
      <c r="AG409" s="77">
        <f>MIN(68,MAX(56,2*INT(K409/2)))</f>
        <v/>
      </c>
      <c r="AH409" s="75">
        <f>(CHOOSE((AG409-56)/2+1,SUMIFS(Donnees_generations!$U$3:$U$113,Donnees_generations!$A$3:$A$113,MAX(1915,MIN(2025,E409))),SUMIFS(Donnees_generations!$V$3:$V$113,Donnees_generations!$A$3:$A$113,MAX(1915,MIN(2025,E409))),SUMIFS(Donnees_generations!$W$3:$W$113,Donnees_generations!$A$3:$A$113,MAX(1915,MIN(2025,E409))),SUMIFS(Donnees_generations!$X$3:$X$113,Donnees_generations!$A$3:$A$113,MAX(1915,MIN(2025,E409))),SUMIFS(Donnees_generations!$Y$3:$Y$113,Donnees_generations!$A$3:$A$113,MAX(1915,MIN(2025,E409))),SUMIFS(Donnees_generations!$Z$3:$Z$113,Donnees_generations!$A$3:$A$113,MAX(1915,MIN(2025,E409))),SUMIFS(Donnees_generations!$AA$3:$AA$113,Donnees_generations!$A$3:$A$113,MAX(1915,MIN(2025,E409))),SUMIFS(Donnees_generations!$AB$3:$AB$113,Donnees_generations!$A$3:$A$113,MAX(1915,MIN(2025,E409))))+CHOOSE((AG409-56)/2+1,SUMIFS(Donnees_generations!$AC$3:$AC$113,Donnees_generations!$A$3:$A$113,MAX(1915,MIN(2025,E409))),SUMIFS(Donnees_generations!$AD$3:$AD$113,Donnees_generations!$A$3:$A$113,MAX(1915,MIN(2025,E409))),SUMIFS(Donnees_generations!$AE$3:$AE$113,Donnees_generations!$A$3:$A$113,MAX(1915,MIN(2025,E409))),SUMIFS(Donnees_generations!$AF$3:$AF$113,Donnees_generations!$A$3:$A$113,MAX(1915,MIN(2025,E409))),SUMIFS(Donnees_generations!$AG$3:$AG$113,Donnees_generations!$A$3:$A$113,MAX(1915,MIN(2025,E409))),SUMIFS(Donnees_generations!$AH$3:$AH$113,Donnees_generations!$A$3:$A$113,MAX(1915,MIN(2025,E409))),SUMIFS(Donnees_generations!$AI$3:$AI$113,Donnees_generations!$A$3:$A$113,MAX(1915,MIN(2025,E409))),SUMIFS(Donnees_generations!$AJ$3:$AJ$113,Donnees_generations!$A$3:$A$113,MAX(1915,MIN(2025,E409)))))/2</f>
        <v/>
      </c>
      <c r="AI409" s="75">
        <f>(CHOOSE(((AG409+2)-56)/2+1,SUMIFS(Donnees_generations!$U$3:$U$113,Donnees_generations!$A$3:$A$113,MAX(1915,MIN(2025,E409))),SUMIFS(Donnees_generations!$V$3:$V$113,Donnees_generations!$A$3:$A$113,MAX(1915,MIN(2025,E409))),SUMIFS(Donnees_generations!$W$3:$W$113,Donnees_generations!$A$3:$A$113,MAX(1915,MIN(2025,E409))),SUMIFS(Donnees_generations!$X$3:$X$113,Donnees_generations!$A$3:$A$113,MAX(1915,MIN(2025,E409))),SUMIFS(Donnees_generations!$Y$3:$Y$113,Donnees_generations!$A$3:$A$113,MAX(1915,MIN(2025,E409))),SUMIFS(Donnees_generations!$Z$3:$Z$113,Donnees_generations!$A$3:$A$113,MAX(1915,MIN(2025,E409))),SUMIFS(Donnees_generations!$AA$3:$AA$113,Donnees_generations!$A$3:$A$113,MAX(1915,MIN(2025,E409))),SUMIFS(Donnees_generations!$AB$3:$AB$113,Donnees_generations!$A$3:$A$113,MAX(1915,MIN(2025,E409))))+CHOOSE(((AG409+2)-56)/2+1,SUMIFS(Donnees_generations!$AC$3:$AC$113,Donnees_generations!$A$3:$A$113,MAX(1915,MIN(2025,E409))),SUMIFS(Donnees_generations!$AD$3:$AD$113,Donnees_generations!$A$3:$A$113,MAX(1915,MIN(2025,E409))),SUMIFS(Donnees_generations!$AE$3:$AE$113,Donnees_generations!$A$3:$A$113,MAX(1915,MIN(2025,E409))),SUMIFS(Donnees_generations!$AF$3:$AF$113,Donnees_generations!$A$3:$A$113,MAX(1915,MIN(2025,E409))),SUMIFS(Donnees_generations!$AG$3:$AG$113,Donnees_generations!$A$3:$A$113,MAX(1915,MIN(2025,E409))),SUMIFS(Donnees_generations!$AH$3:$AH$113,Donnees_generations!$A$3:$A$113,MAX(1915,MIN(2025,E409))),SUMIFS(Donnees_generations!$AI$3:$AI$113,Donnees_generations!$A$3:$A$113,MAX(1915,MIN(2025,E409))),SUMIFS(Donnees_generations!$AJ$3:$AJ$113,Donnees_generations!$A$3:$A$113,MAX(1915,MIN(2025,E409)))))/2</f>
        <v/>
      </c>
      <c r="AJ409" s="8">
        <f>MAX(0,AH409+(AI409-AH409)*(K409-AG409)/2)</f>
        <v/>
      </c>
      <c r="AK409" s="8">
        <f>K409+AJ409</f>
        <v/>
      </c>
      <c r="AL409" s="14">
        <f>AE409*AJ409</f>
        <v/>
      </c>
      <c r="AM409" s="17">
        <f>V409/AL409</f>
        <v/>
      </c>
      <c r="AN409" s="17">
        <f>Z409/AL409</f>
        <v/>
      </c>
      <c r="AO409" s="33">
        <f>IF(V409+Z409=0,0,Z409/(V409+Z409))</f>
        <v/>
      </c>
      <c r="AP409" s="14">
        <f>AL409/V409*100</f>
        <v/>
      </c>
      <c r="AQ409" s="8">
        <f>P409/AL409*1000</f>
        <v/>
      </c>
      <c r="AR409" s="77">
        <f>MAX(N409,M409-1)</f>
        <v/>
      </c>
      <c r="AS409" s="14">
        <f>SUMIFS(Donnees_regimes!$R$3:$R$1118,Donnees_regimes!$A$3:$A$1118,C409,Donnees_regimes!$B$3:$B$1118,"&gt;="&amp;G409,Donnees_regimes!$B$3:$B$1118,"&lt;="&amp;N409)*L409/ROUNDUP(L409,0)*SUMIFS(Donnees_annuelles!$AG$3:$AG$188,Donnees_annuelles!$A$3:$A$188,AR409)*SUMIFS(Donnees_annuelles!$AA$3:$AA$188,Donnees_annuelles!$A$3:$A$188,AR409)</f>
        <v/>
      </c>
      <c r="AT409" s="36">
        <f>AS409/V409</f>
        <v/>
      </c>
      <c r="AU409" s="14">
        <f>AL409</f>
        <v/>
      </c>
      <c r="AV409" s="39">
        <f>AS409-AL409</f>
        <v/>
      </c>
      <c r="AW409" s="9">
        <f>AS409/AL409-1</f>
        <v/>
      </c>
      <c r="AX409" s="14">
        <f>AS409/AJ409/12</f>
        <v/>
      </c>
      <c r="AY409" s="14">
        <f>AF409</f>
        <v/>
      </c>
      <c r="AZ409" s="39">
        <f>AX409-AF409</f>
        <v/>
      </c>
      <c r="BA409" s="14">
        <f>SUMIFS(Donnees_regimes!$S$3:$S$1118,Donnees_regimes!$A$3:$A$1118,C409,Donnees_regimes!$B$3:$B$1118,"&gt;="&amp;G409,Donnees_regimes!$B$3:$B$1118,"&lt;="&amp;N409)*L409/ROUNDUP(L409,0)*SUMIFS(Donnees_annuelles!$AH$3:$AH$188,Donnees_annuelles!$A$3:$A$188,AR409)*SUMIFS(Donnees_annuelles!$AA$3:$AA$188,Donnees_annuelles!$A$3:$A$188,AR409)</f>
        <v/>
      </c>
      <c r="BB409" s="39">
        <f>BA409-AL409</f>
        <v/>
      </c>
      <c r="BC409" s="7">
        <f>IF(M409+AJ409&gt;2026,IF(G409&gt;2026,"entièrement projeté","en partie projeté"),"observé")</f>
        <v/>
      </c>
    </row>
    <row r="410">
      <c r="A410" s="7" t="inlineStr">
        <is>
          <t>Génération silencieuse</t>
        </is>
      </c>
      <c r="B410" s="84" t="inlineStr">
        <is>
          <t>RATP</t>
        </is>
      </c>
      <c r="C410" s="7">
        <f>IF(G410&gt;=SUMIFS(Regimes!$C$5:$C$10,Regimes!$A$5:$A$10,B410),"Privé",B410)</f>
        <v/>
      </c>
      <c r="D410" s="7">
        <f>INDEX(Regimes!$D$5:$D$10,MATCH(C410,Regimes!$A$5:$A$10,0))</f>
        <v/>
      </c>
      <c r="E410" s="88" t="n">
        <v>1943</v>
      </c>
      <c r="F410" s="8">
        <f>Donnees_generations!C31</f>
        <v/>
      </c>
      <c r="G410" s="77">
        <f>Donnees_generations!D31</f>
        <v/>
      </c>
      <c r="H410" s="8">
        <f>SUMIFS(Donnees_generations!$S$3:$S$113,Donnees_generations!$A$3:$A$113,MAX(1915,MIN(2025,E410)))</f>
        <v/>
      </c>
      <c r="I410" s="8">
        <f>SUMIFS(Donnees_generations!$T$3:$T$113,Donnees_generations!$A$3:$A$113,MAX(1915,MIN(2025,E410)))</f>
        <v/>
      </c>
      <c r="J410" s="8">
        <f>IF(G410&gt;=2000,MAX(I410,Parametres!$B$3),I410)</f>
        <v/>
      </c>
      <c r="K410" s="8">
        <f>IF(C410="Privé",J410,SUMIFS(Regles_regimes!$J$3:$J$2000,Regles_regimes!$A$3:$A$2000,C410,Regles_regimes!$B$3:$B$2000,D410,Regles_regimes!$C$3:$C$2000,MAX(1915,MIN(2025,E410))))</f>
        <v/>
      </c>
      <c r="L410" s="8">
        <f>IF(C410="Privé",H410,(K410-F410)*H410/(J410-F410))</f>
        <v/>
      </c>
      <c r="M410" s="77">
        <f>INT(E410+K410)</f>
        <v/>
      </c>
      <c r="N410" s="77">
        <f>G410+ROUNDUP(L410,0)-1</f>
        <v/>
      </c>
      <c r="O410" s="89">
        <f>SUMIFS(Regles_regimes!$K$3:$K$2000,Regles_regimes!$A$3:$A$2000,C410,Regles_regimes!$B$3:$B$2000,D410,Regles_regimes!$C$3:$C$2000,MAX(1915,MIN(2025,E410)))</f>
        <v/>
      </c>
      <c r="P410" s="13">
        <f>SUMIFS(Donnees_annuelles!$W$3:$W$188,Donnees_annuelles!$A$3:$A$188,"&gt;="&amp;G410,Donnees_annuelles!$A$3:$A$188,"&lt;="&amp;N410)*L410/ROUNDUP(L410,0)*O410</f>
        <v/>
      </c>
      <c r="Q410" s="13">
        <f>SUMIFS(Donnees_annuelles!$V$3:$V$188,Donnees_annuelles!$A$3:$A$188,"&gt;="&amp;G410,Donnees_annuelles!$A$3:$A$188,"&lt;="&amp;N410)*L410/ROUNDUP(L410,0)</f>
        <v/>
      </c>
      <c r="R410" s="13">
        <f>P410/L410</f>
        <v/>
      </c>
      <c r="S410" s="14">
        <f>SUMIFS(Donnees_annuelles!$D$3:$D$188,Donnees_annuelles!$A$3:$A$188,"&gt;="&amp;G410,Donnees_annuelles!$A$3:$A$188,"&lt;="&amp;N410)*L410/ROUNDUP(L410,0)</f>
        <v/>
      </c>
      <c r="T410" s="14">
        <f>SUMIFS(Donnees_regimes!$N$3:$N$1118,Donnees_regimes!$A$3:$A$1118,C410,Donnees_regimes!$B$3:$B$1118,"&gt;="&amp;G410,Donnees_regimes!$B$3:$B$1118,"&lt;="&amp;N410)*L410/ROUNDUP(L410,0)</f>
        <v/>
      </c>
      <c r="U410" s="14">
        <f>SUMIFS(Donnees_regimes!$O$3:$O$1118,Donnees_regimes!$A$3:$A$1118,C410,Donnees_regimes!$B$3:$B$1118,"&gt;="&amp;G410,Donnees_regimes!$B$3:$B$1118,"&lt;="&amp;N410)*L410/ROUNDUP(L410,0)</f>
        <v/>
      </c>
      <c r="V410" s="14">
        <f>T410+U410</f>
        <v/>
      </c>
      <c r="W410" s="33">
        <f>V410/S410</f>
        <v/>
      </c>
      <c r="X410" s="14">
        <f>S410+U410</f>
        <v/>
      </c>
      <c r="Y410" s="17">
        <f>V410/P410</f>
        <v/>
      </c>
      <c r="Z410" s="14">
        <f>SUMIFS(Donnees_regimes!$Q$3:$Q$1118,Donnees_regimes!$A$3:$A$1118,C410,Donnees_regimes!$B$3:$B$1118,"&gt;="&amp;G410,Donnees_regimes!$B$3:$B$1118,"&lt;="&amp;N410)*L410/ROUNDUP(L410,0)</f>
        <v/>
      </c>
      <c r="AA410" s="77">
        <f>SUMIFS(Regles_regimes!$F$3:$F$2000,Regles_regimes!$A$3:$A$2000,C410,Regles_regimes!$B$3:$B$2000,D410,Regles_regimes!$C$3:$C$2000,MAX(1915,MIN(2025,E410)))</f>
        <v/>
      </c>
      <c r="AB410" s="77">
        <f>IF(AND(SUMIFS(Regles_regimes!$L$3:$L$2000,Regles_regimes!$A$3:$A$2000,C410,Regles_regimes!$B$3:$B$2000,D410,Regles_regimes!$C$3:$C$2000,MAX(1915,MIN(2025,E410)))=1,G410&lt;2009,C410&lt;&gt;"Privé"),MIN(20,L410*4/5),0)</f>
        <v/>
      </c>
      <c r="AC410" s="89">
        <f>SUMIFS(Donnees_regimes!$M$3:$M$1118,Donnees_regimes!$A$3:$A$1118,C410,Donnees_regimes!$B$3:$B$1118,M410)</f>
        <v/>
      </c>
      <c r="AD410" s="14">
        <f>SUMIFS(Donnees_annuelles!$Y$3:$Y$188,Donnees_annuelles!$A$3:$A$188,M410)*SUMIFS(Donnees_generations!$I$3:$I$113,Donnees_generations!$A$3:$A$113,MAX(1915,MIN(2025,E410)))/H410</f>
        <v/>
      </c>
      <c r="AE410" s="14">
        <f>IF(C410="Privé",SUMIFS(Donnees_annuelles!$Y$3:$Y$188,Donnees_annuelles!$A$3:$A$188,M410)*MIN(L410,SUMIFS(Donnees_generations!$I$3:$I$113,Donnees_generations!$A$3:$A$113,MAX(1915,MIN(2025,E410))))/L410,AD410*AC410*MIN(IF(AB410&gt;0,0.8/0.75,1),(L410*4+AB410)/AA410))</f>
        <v/>
      </c>
      <c r="AF410" s="14">
        <f>AE410/12</f>
        <v/>
      </c>
      <c r="AG410" s="77">
        <f>MIN(68,MAX(56,2*INT(K410/2)))</f>
        <v/>
      </c>
      <c r="AH410" s="75">
        <f>(CHOOSE((AG410-56)/2+1,SUMIFS(Donnees_generations!$U$3:$U$113,Donnees_generations!$A$3:$A$113,MAX(1915,MIN(2025,E410))),SUMIFS(Donnees_generations!$V$3:$V$113,Donnees_generations!$A$3:$A$113,MAX(1915,MIN(2025,E410))),SUMIFS(Donnees_generations!$W$3:$W$113,Donnees_generations!$A$3:$A$113,MAX(1915,MIN(2025,E410))),SUMIFS(Donnees_generations!$X$3:$X$113,Donnees_generations!$A$3:$A$113,MAX(1915,MIN(2025,E410))),SUMIFS(Donnees_generations!$Y$3:$Y$113,Donnees_generations!$A$3:$A$113,MAX(1915,MIN(2025,E410))),SUMIFS(Donnees_generations!$Z$3:$Z$113,Donnees_generations!$A$3:$A$113,MAX(1915,MIN(2025,E410))),SUMIFS(Donnees_generations!$AA$3:$AA$113,Donnees_generations!$A$3:$A$113,MAX(1915,MIN(2025,E410))),SUMIFS(Donnees_generations!$AB$3:$AB$113,Donnees_generations!$A$3:$A$113,MAX(1915,MIN(2025,E410))))+CHOOSE((AG410-56)/2+1,SUMIFS(Donnees_generations!$AC$3:$AC$113,Donnees_generations!$A$3:$A$113,MAX(1915,MIN(2025,E410))),SUMIFS(Donnees_generations!$AD$3:$AD$113,Donnees_generations!$A$3:$A$113,MAX(1915,MIN(2025,E410))),SUMIFS(Donnees_generations!$AE$3:$AE$113,Donnees_generations!$A$3:$A$113,MAX(1915,MIN(2025,E410))),SUMIFS(Donnees_generations!$AF$3:$AF$113,Donnees_generations!$A$3:$A$113,MAX(1915,MIN(2025,E410))),SUMIFS(Donnees_generations!$AG$3:$AG$113,Donnees_generations!$A$3:$A$113,MAX(1915,MIN(2025,E410))),SUMIFS(Donnees_generations!$AH$3:$AH$113,Donnees_generations!$A$3:$A$113,MAX(1915,MIN(2025,E410))),SUMIFS(Donnees_generations!$AI$3:$AI$113,Donnees_generations!$A$3:$A$113,MAX(1915,MIN(2025,E410))),SUMIFS(Donnees_generations!$AJ$3:$AJ$113,Donnees_generations!$A$3:$A$113,MAX(1915,MIN(2025,E410)))))/2</f>
        <v/>
      </c>
      <c r="AI410" s="75">
        <f>(CHOOSE(((AG410+2)-56)/2+1,SUMIFS(Donnees_generations!$U$3:$U$113,Donnees_generations!$A$3:$A$113,MAX(1915,MIN(2025,E410))),SUMIFS(Donnees_generations!$V$3:$V$113,Donnees_generations!$A$3:$A$113,MAX(1915,MIN(2025,E410))),SUMIFS(Donnees_generations!$W$3:$W$113,Donnees_generations!$A$3:$A$113,MAX(1915,MIN(2025,E410))),SUMIFS(Donnees_generations!$X$3:$X$113,Donnees_generations!$A$3:$A$113,MAX(1915,MIN(2025,E410))),SUMIFS(Donnees_generations!$Y$3:$Y$113,Donnees_generations!$A$3:$A$113,MAX(1915,MIN(2025,E410))),SUMIFS(Donnees_generations!$Z$3:$Z$113,Donnees_generations!$A$3:$A$113,MAX(1915,MIN(2025,E410))),SUMIFS(Donnees_generations!$AA$3:$AA$113,Donnees_generations!$A$3:$A$113,MAX(1915,MIN(2025,E410))),SUMIFS(Donnees_generations!$AB$3:$AB$113,Donnees_generations!$A$3:$A$113,MAX(1915,MIN(2025,E410))))+CHOOSE(((AG410+2)-56)/2+1,SUMIFS(Donnees_generations!$AC$3:$AC$113,Donnees_generations!$A$3:$A$113,MAX(1915,MIN(2025,E410))),SUMIFS(Donnees_generations!$AD$3:$AD$113,Donnees_generations!$A$3:$A$113,MAX(1915,MIN(2025,E410))),SUMIFS(Donnees_generations!$AE$3:$AE$113,Donnees_generations!$A$3:$A$113,MAX(1915,MIN(2025,E410))),SUMIFS(Donnees_generations!$AF$3:$AF$113,Donnees_generations!$A$3:$A$113,MAX(1915,MIN(2025,E410))),SUMIFS(Donnees_generations!$AG$3:$AG$113,Donnees_generations!$A$3:$A$113,MAX(1915,MIN(2025,E410))),SUMIFS(Donnees_generations!$AH$3:$AH$113,Donnees_generations!$A$3:$A$113,MAX(1915,MIN(2025,E410))),SUMIFS(Donnees_generations!$AI$3:$AI$113,Donnees_generations!$A$3:$A$113,MAX(1915,MIN(2025,E410))),SUMIFS(Donnees_generations!$AJ$3:$AJ$113,Donnees_generations!$A$3:$A$113,MAX(1915,MIN(2025,E410)))))/2</f>
        <v/>
      </c>
      <c r="AJ410" s="8">
        <f>MAX(0,AH410+(AI410-AH410)*(K410-AG410)/2)</f>
        <v/>
      </c>
      <c r="AK410" s="8">
        <f>K410+AJ410</f>
        <v/>
      </c>
      <c r="AL410" s="14">
        <f>AE410*AJ410</f>
        <v/>
      </c>
      <c r="AM410" s="17">
        <f>V410/AL410</f>
        <v/>
      </c>
      <c r="AN410" s="17">
        <f>Z410/AL410</f>
        <v/>
      </c>
      <c r="AO410" s="33">
        <f>IF(V410+Z410=0,0,Z410/(V410+Z410))</f>
        <v/>
      </c>
      <c r="AP410" s="14">
        <f>AL410/V410*100</f>
        <v/>
      </c>
      <c r="AQ410" s="8">
        <f>P410/AL410*1000</f>
        <v/>
      </c>
      <c r="AR410" s="77">
        <f>MAX(N410,M410-1)</f>
        <v/>
      </c>
      <c r="AS410" s="14">
        <f>SUMIFS(Donnees_regimes!$R$3:$R$1118,Donnees_regimes!$A$3:$A$1118,C410,Donnees_regimes!$B$3:$B$1118,"&gt;="&amp;G410,Donnees_regimes!$B$3:$B$1118,"&lt;="&amp;N410)*L410/ROUNDUP(L410,0)*SUMIFS(Donnees_annuelles!$AG$3:$AG$188,Donnees_annuelles!$A$3:$A$188,AR410)*SUMIFS(Donnees_annuelles!$AA$3:$AA$188,Donnees_annuelles!$A$3:$A$188,AR410)</f>
        <v/>
      </c>
      <c r="AT410" s="36">
        <f>AS410/V410</f>
        <v/>
      </c>
      <c r="AU410" s="14">
        <f>AL410</f>
        <v/>
      </c>
      <c r="AV410" s="39">
        <f>AS410-AL410</f>
        <v/>
      </c>
      <c r="AW410" s="9">
        <f>AS410/AL410-1</f>
        <v/>
      </c>
      <c r="AX410" s="14">
        <f>AS410/AJ410/12</f>
        <v/>
      </c>
      <c r="AY410" s="14">
        <f>AF410</f>
        <v/>
      </c>
      <c r="AZ410" s="39">
        <f>AX410-AF410</f>
        <v/>
      </c>
      <c r="BA410" s="14">
        <f>SUMIFS(Donnees_regimes!$S$3:$S$1118,Donnees_regimes!$A$3:$A$1118,C410,Donnees_regimes!$B$3:$B$1118,"&gt;="&amp;G410,Donnees_regimes!$B$3:$B$1118,"&lt;="&amp;N410)*L410/ROUNDUP(L410,0)*SUMIFS(Donnees_annuelles!$AH$3:$AH$188,Donnees_annuelles!$A$3:$A$188,AR410)*SUMIFS(Donnees_annuelles!$AA$3:$AA$188,Donnees_annuelles!$A$3:$A$188,AR410)</f>
        <v/>
      </c>
      <c r="BB410" s="39">
        <f>BA410-AL410</f>
        <v/>
      </c>
      <c r="BC410" s="7">
        <f>IF(M410+AJ410&gt;2026,IF(G410&gt;2026,"entièrement projeté","en partie projeté"),"observé")</f>
        <v/>
      </c>
    </row>
    <row r="411">
      <c r="A411" s="7" t="inlineStr">
        <is>
          <t>Génération silencieuse</t>
        </is>
      </c>
      <c r="B411" s="84" t="inlineStr">
        <is>
          <t>RATP</t>
        </is>
      </c>
      <c r="C411" s="7">
        <f>IF(G411&gt;=SUMIFS(Regimes!$C$5:$C$10,Regimes!$A$5:$A$10,B411),"Privé",B411)</f>
        <v/>
      </c>
      <c r="D411" s="7">
        <f>INDEX(Regimes!$D$5:$D$10,MATCH(C411,Regimes!$A$5:$A$10,0))</f>
        <v/>
      </c>
      <c r="E411" s="88" t="n">
        <v>1944</v>
      </c>
      <c r="F411" s="8">
        <f>Donnees_generations!C32</f>
        <v/>
      </c>
      <c r="G411" s="77">
        <f>Donnees_generations!D32</f>
        <v/>
      </c>
      <c r="H411" s="8">
        <f>SUMIFS(Donnees_generations!$S$3:$S$113,Donnees_generations!$A$3:$A$113,MAX(1915,MIN(2025,E411)))</f>
        <v/>
      </c>
      <c r="I411" s="8">
        <f>SUMIFS(Donnees_generations!$T$3:$T$113,Donnees_generations!$A$3:$A$113,MAX(1915,MIN(2025,E411)))</f>
        <v/>
      </c>
      <c r="J411" s="8">
        <f>IF(G411&gt;=2000,MAX(I411,Parametres!$B$3),I411)</f>
        <v/>
      </c>
      <c r="K411" s="8">
        <f>IF(C411="Privé",J411,SUMIFS(Regles_regimes!$J$3:$J$2000,Regles_regimes!$A$3:$A$2000,C411,Regles_regimes!$B$3:$B$2000,D411,Regles_regimes!$C$3:$C$2000,MAX(1915,MIN(2025,E411))))</f>
        <v/>
      </c>
      <c r="L411" s="8">
        <f>IF(C411="Privé",H411,(K411-F411)*H411/(J411-F411))</f>
        <v/>
      </c>
      <c r="M411" s="77">
        <f>INT(E411+K411)</f>
        <v/>
      </c>
      <c r="N411" s="77">
        <f>G411+ROUNDUP(L411,0)-1</f>
        <v/>
      </c>
      <c r="O411" s="89">
        <f>SUMIFS(Regles_regimes!$K$3:$K$2000,Regles_regimes!$A$3:$A$2000,C411,Regles_regimes!$B$3:$B$2000,D411,Regles_regimes!$C$3:$C$2000,MAX(1915,MIN(2025,E411)))</f>
        <v/>
      </c>
      <c r="P411" s="13">
        <f>SUMIFS(Donnees_annuelles!$W$3:$W$188,Donnees_annuelles!$A$3:$A$188,"&gt;="&amp;G411,Donnees_annuelles!$A$3:$A$188,"&lt;="&amp;N411)*L411/ROUNDUP(L411,0)*O411</f>
        <v/>
      </c>
      <c r="Q411" s="13">
        <f>SUMIFS(Donnees_annuelles!$V$3:$V$188,Donnees_annuelles!$A$3:$A$188,"&gt;="&amp;G411,Donnees_annuelles!$A$3:$A$188,"&lt;="&amp;N411)*L411/ROUNDUP(L411,0)</f>
        <v/>
      </c>
      <c r="R411" s="13">
        <f>P411/L411</f>
        <v/>
      </c>
      <c r="S411" s="14">
        <f>SUMIFS(Donnees_annuelles!$D$3:$D$188,Donnees_annuelles!$A$3:$A$188,"&gt;="&amp;G411,Donnees_annuelles!$A$3:$A$188,"&lt;="&amp;N411)*L411/ROUNDUP(L411,0)</f>
        <v/>
      </c>
      <c r="T411" s="14">
        <f>SUMIFS(Donnees_regimes!$N$3:$N$1118,Donnees_regimes!$A$3:$A$1118,C411,Donnees_regimes!$B$3:$B$1118,"&gt;="&amp;G411,Donnees_regimes!$B$3:$B$1118,"&lt;="&amp;N411)*L411/ROUNDUP(L411,0)</f>
        <v/>
      </c>
      <c r="U411" s="14">
        <f>SUMIFS(Donnees_regimes!$O$3:$O$1118,Donnees_regimes!$A$3:$A$1118,C411,Donnees_regimes!$B$3:$B$1118,"&gt;="&amp;G411,Donnees_regimes!$B$3:$B$1118,"&lt;="&amp;N411)*L411/ROUNDUP(L411,0)</f>
        <v/>
      </c>
      <c r="V411" s="14">
        <f>T411+U411</f>
        <v/>
      </c>
      <c r="W411" s="33">
        <f>V411/S411</f>
        <v/>
      </c>
      <c r="X411" s="14">
        <f>S411+U411</f>
        <v/>
      </c>
      <c r="Y411" s="17">
        <f>V411/P411</f>
        <v/>
      </c>
      <c r="Z411" s="14">
        <f>SUMIFS(Donnees_regimes!$Q$3:$Q$1118,Donnees_regimes!$A$3:$A$1118,C411,Donnees_regimes!$B$3:$B$1118,"&gt;="&amp;G411,Donnees_regimes!$B$3:$B$1118,"&lt;="&amp;N411)*L411/ROUNDUP(L411,0)</f>
        <v/>
      </c>
      <c r="AA411" s="77">
        <f>SUMIFS(Regles_regimes!$F$3:$F$2000,Regles_regimes!$A$3:$A$2000,C411,Regles_regimes!$B$3:$B$2000,D411,Regles_regimes!$C$3:$C$2000,MAX(1915,MIN(2025,E411)))</f>
        <v/>
      </c>
      <c r="AB411" s="77">
        <f>IF(AND(SUMIFS(Regles_regimes!$L$3:$L$2000,Regles_regimes!$A$3:$A$2000,C411,Regles_regimes!$B$3:$B$2000,D411,Regles_regimes!$C$3:$C$2000,MAX(1915,MIN(2025,E411)))=1,G411&lt;2009,C411&lt;&gt;"Privé"),MIN(20,L411*4/5),0)</f>
        <v/>
      </c>
      <c r="AC411" s="89">
        <f>SUMIFS(Donnees_regimes!$M$3:$M$1118,Donnees_regimes!$A$3:$A$1118,C411,Donnees_regimes!$B$3:$B$1118,M411)</f>
        <v/>
      </c>
      <c r="AD411" s="14">
        <f>SUMIFS(Donnees_annuelles!$Y$3:$Y$188,Donnees_annuelles!$A$3:$A$188,M411)*SUMIFS(Donnees_generations!$I$3:$I$113,Donnees_generations!$A$3:$A$113,MAX(1915,MIN(2025,E411)))/H411</f>
        <v/>
      </c>
      <c r="AE411" s="14">
        <f>IF(C411="Privé",SUMIFS(Donnees_annuelles!$Y$3:$Y$188,Donnees_annuelles!$A$3:$A$188,M411)*MIN(L411,SUMIFS(Donnees_generations!$I$3:$I$113,Donnees_generations!$A$3:$A$113,MAX(1915,MIN(2025,E411))))/L411,AD411*AC411*MIN(IF(AB411&gt;0,0.8/0.75,1),(L411*4+AB411)/AA411))</f>
        <v/>
      </c>
      <c r="AF411" s="14">
        <f>AE411/12</f>
        <v/>
      </c>
      <c r="AG411" s="77">
        <f>MIN(68,MAX(56,2*INT(K411/2)))</f>
        <v/>
      </c>
      <c r="AH411" s="75">
        <f>(CHOOSE((AG411-56)/2+1,SUMIFS(Donnees_generations!$U$3:$U$113,Donnees_generations!$A$3:$A$113,MAX(1915,MIN(2025,E411))),SUMIFS(Donnees_generations!$V$3:$V$113,Donnees_generations!$A$3:$A$113,MAX(1915,MIN(2025,E411))),SUMIFS(Donnees_generations!$W$3:$W$113,Donnees_generations!$A$3:$A$113,MAX(1915,MIN(2025,E411))),SUMIFS(Donnees_generations!$X$3:$X$113,Donnees_generations!$A$3:$A$113,MAX(1915,MIN(2025,E411))),SUMIFS(Donnees_generations!$Y$3:$Y$113,Donnees_generations!$A$3:$A$113,MAX(1915,MIN(2025,E411))),SUMIFS(Donnees_generations!$Z$3:$Z$113,Donnees_generations!$A$3:$A$113,MAX(1915,MIN(2025,E411))),SUMIFS(Donnees_generations!$AA$3:$AA$113,Donnees_generations!$A$3:$A$113,MAX(1915,MIN(2025,E411))),SUMIFS(Donnees_generations!$AB$3:$AB$113,Donnees_generations!$A$3:$A$113,MAX(1915,MIN(2025,E411))))+CHOOSE((AG411-56)/2+1,SUMIFS(Donnees_generations!$AC$3:$AC$113,Donnees_generations!$A$3:$A$113,MAX(1915,MIN(2025,E411))),SUMIFS(Donnees_generations!$AD$3:$AD$113,Donnees_generations!$A$3:$A$113,MAX(1915,MIN(2025,E411))),SUMIFS(Donnees_generations!$AE$3:$AE$113,Donnees_generations!$A$3:$A$113,MAX(1915,MIN(2025,E411))),SUMIFS(Donnees_generations!$AF$3:$AF$113,Donnees_generations!$A$3:$A$113,MAX(1915,MIN(2025,E411))),SUMIFS(Donnees_generations!$AG$3:$AG$113,Donnees_generations!$A$3:$A$113,MAX(1915,MIN(2025,E411))),SUMIFS(Donnees_generations!$AH$3:$AH$113,Donnees_generations!$A$3:$A$113,MAX(1915,MIN(2025,E411))),SUMIFS(Donnees_generations!$AI$3:$AI$113,Donnees_generations!$A$3:$A$113,MAX(1915,MIN(2025,E411))),SUMIFS(Donnees_generations!$AJ$3:$AJ$113,Donnees_generations!$A$3:$A$113,MAX(1915,MIN(2025,E411)))))/2</f>
        <v/>
      </c>
      <c r="AI411" s="75">
        <f>(CHOOSE(((AG411+2)-56)/2+1,SUMIFS(Donnees_generations!$U$3:$U$113,Donnees_generations!$A$3:$A$113,MAX(1915,MIN(2025,E411))),SUMIFS(Donnees_generations!$V$3:$V$113,Donnees_generations!$A$3:$A$113,MAX(1915,MIN(2025,E411))),SUMIFS(Donnees_generations!$W$3:$W$113,Donnees_generations!$A$3:$A$113,MAX(1915,MIN(2025,E411))),SUMIFS(Donnees_generations!$X$3:$X$113,Donnees_generations!$A$3:$A$113,MAX(1915,MIN(2025,E411))),SUMIFS(Donnees_generations!$Y$3:$Y$113,Donnees_generations!$A$3:$A$113,MAX(1915,MIN(2025,E411))),SUMIFS(Donnees_generations!$Z$3:$Z$113,Donnees_generations!$A$3:$A$113,MAX(1915,MIN(2025,E411))),SUMIFS(Donnees_generations!$AA$3:$AA$113,Donnees_generations!$A$3:$A$113,MAX(1915,MIN(2025,E411))),SUMIFS(Donnees_generations!$AB$3:$AB$113,Donnees_generations!$A$3:$A$113,MAX(1915,MIN(2025,E411))))+CHOOSE(((AG411+2)-56)/2+1,SUMIFS(Donnees_generations!$AC$3:$AC$113,Donnees_generations!$A$3:$A$113,MAX(1915,MIN(2025,E411))),SUMIFS(Donnees_generations!$AD$3:$AD$113,Donnees_generations!$A$3:$A$113,MAX(1915,MIN(2025,E411))),SUMIFS(Donnees_generations!$AE$3:$AE$113,Donnees_generations!$A$3:$A$113,MAX(1915,MIN(2025,E411))),SUMIFS(Donnees_generations!$AF$3:$AF$113,Donnees_generations!$A$3:$A$113,MAX(1915,MIN(2025,E411))),SUMIFS(Donnees_generations!$AG$3:$AG$113,Donnees_generations!$A$3:$A$113,MAX(1915,MIN(2025,E411))),SUMIFS(Donnees_generations!$AH$3:$AH$113,Donnees_generations!$A$3:$A$113,MAX(1915,MIN(2025,E411))),SUMIFS(Donnees_generations!$AI$3:$AI$113,Donnees_generations!$A$3:$A$113,MAX(1915,MIN(2025,E411))),SUMIFS(Donnees_generations!$AJ$3:$AJ$113,Donnees_generations!$A$3:$A$113,MAX(1915,MIN(2025,E411)))))/2</f>
        <v/>
      </c>
      <c r="AJ411" s="8">
        <f>MAX(0,AH411+(AI411-AH411)*(K411-AG411)/2)</f>
        <v/>
      </c>
      <c r="AK411" s="8">
        <f>K411+AJ411</f>
        <v/>
      </c>
      <c r="AL411" s="14">
        <f>AE411*AJ411</f>
        <v/>
      </c>
      <c r="AM411" s="17">
        <f>V411/AL411</f>
        <v/>
      </c>
      <c r="AN411" s="17">
        <f>Z411/AL411</f>
        <v/>
      </c>
      <c r="AO411" s="33">
        <f>IF(V411+Z411=0,0,Z411/(V411+Z411))</f>
        <v/>
      </c>
      <c r="AP411" s="14">
        <f>AL411/V411*100</f>
        <v/>
      </c>
      <c r="AQ411" s="8">
        <f>P411/AL411*1000</f>
        <v/>
      </c>
      <c r="AR411" s="77">
        <f>MAX(N411,M411-1)</f>
        <v/>
      </c>
      <c r="AS411" s="14">
        <f>SUMIFS(Donnees_regimes!$R$3:$R$1118,Donnees_regimes!$A$3:$A$1118,C411,Donnees_regimes!$B$3:$B$1118,"&gt;="&amp;G411,Donnees_regimes!$B$3:$B$1118,"&lt;="&amp;N411)*L411/ROUNDUP(L411,0)*SUMIFS(Donnees_annuelles!$AG$3:$AG$188,Donnees_annuelles!$A$3:$A$188,AR411)*SUMIFS(Donnees_annuelles!$AA$3:$AA$188,Donnees_annuelles!$A$3:$A$188,AR411)</f>
        <v/>
      </c>
      <c r="AT411" s="36">
        <f>AS411/V411</f>
        <v/>
      </c>
      <c r="AU411" s="14">
        <f>AL411</f>
        <v/>
      </c>
      <c r="AV411" s="39">
        <f>AS411-AL411</f>
        <v/>
      </c>
      <c r="AW411" s="9">
        <f>AS411/AL411-1</f>
        <v/>
      </c>
      <c r="AX411" s="14">
        <f>AS411/AJ411/12</f>
        <v/>
      </c>
      <c r="AY411" s="14">
        <f>AF411</f>
        <v/>
      </c>
      <c r="AZ411" s="39">
        <f>AX411-AF411</f>
        <v/>
      </c>
      <c r="BA411" s="14">
        <f>SUMIFS(Donnees_regimes!$S$3:$S$1118,Donnees_regimes!$A$3:$A$1118,C411,Donnees_regimes!$B$3:$B$1118,"&gt;="&amp;G411,Donnees_regimes!$B$3:$B$1118,"&lt;="&amp;N411)*L411/ROUNDUP(L411,0)*SUMIFS(Donnees_annuelles!$AH$3:$AH$188,Donnees_annuelles!$A$3:$A$188,AR411)*SUMIFS(Donnees_annuelles!$AA$3:$AA$188,Donnees_annuelles!$A$3:$A$188,AR411)</f>
        <v/>
      </c>
      <c r="BB411" s="39">
        <f>BA411-AL411</f>
        <v/>
      </c>
      <c r="BC411" s="7">
        <f>IF(M411+AJ411&gt;2026,IF(G411&gt;2026,"entièrement projeté","en partie projeté"),"observé")</f>
        <v/>
      </c>
    </row>
    <row r="412">
      <c r="A412" s="7" t="inlineStr">
        <is>
          <t>Génération silencieuse</t>
        </is>
      </c>
      <c r="B412" s="84" t="inlineStr">
        <is>
          <t>RATP</t>
        </is>
      </c>
      <c r="C412" s="7">
        <f>IF(G412&gt;=SUMIFS(Regimes!$C$5:$C$10,Regimes!$A$5:$A$10,B412),"Privé",B412)</f>
        <v/>
      </c>
      <c r="D412" s="7">
        <f>INDEX(Regimes!$D$5:$D$10,MATCH(C412,Regimes!$A$5:$A$10,0))</f>
        <v/>
      </c>
      <c r="E412" s="88" t="n">
        <v>1945</v>
      </c>
      <c r="F412" s="8">
        <f>Donnees_generations!C33</f>
        <v/>
      </c>
      <c r="G412" s="77">
        <f>Donnees_generations!D33</f>
        <v/>
      </c>
      <c r="H412" s="8">
        <f>SUMIFS(Donnees_generations!$S$3:$S$113,Donnees_generations!$A$3:$A$113,MAX(1915,MIN(2025,E412)))</f>
        <v/>
      </c>
      <c r="I412" s="8">
        <f>SUMIFS(Donnees_generations!$T$3:$T$113,Donnees_generations!$A$3:$A$113,MAX(1915,MIN(2025,E412)))</f>
        <v/>
      </c>
      <c r="J412" s="8">
        <f>IF(G412&gt;=2000,MAX(I412,Parametres!$B$3),I412)</f>
        <v/>
      </c>
      <c r="K412" s="8">
        <f>IF(C412="Privé",J412,SUMIFS(Regles_regimes!$J$3:$J$2000,Regles_regimes!$A$3:$A$2000,C412,Regles_regimes!$B$3:$B$2000,D412,Regles_regimes!$C$3:$C$2000,MAX(1915,MIN(2025,E412))))</f>
        <v/>
      </c>
      <c r="L412" s="8">
        <f>IF(C412="Privé",H412,(K412-F412)*H412/(J412-F412))</f>
        <v/>
      </c>
      <c r="M412" s="77">
        <f>INT(E412+K412)</f>
        <v/>
      </c>
      <c r="N412" s="77">
        <f>G412+ROUNDUP(L412,0)-1</f>
        <v/>
      </c>
      <c r="O412" s="89">
        <f>SUMIFS(Regles_regimes!$K$3:$K$2000,Regles_regimes!$A$3:$A$2000,C412,Regles_regimes!$B$3:$B$2000,D412,Regles_regimes!$C$3:$C$2000,MAX(1915,MIN(2025,E412)))</f>
        <v/>
      </c>
      <c r="P412" s="13">
        <f>SUMIFS(Donnees_annuelles!$W$3:$W$188,Donnees_annuelles!$A$3:$A$188,"&gt;="&amp;G412,Donnees_annuelles!$A$3:$A$188,"&lt;="&amp;N412)*L412/ROUNDUP(L412,0)*O412</f>
        <v/>
      </c>
      <c r="Q412" s="13">
        <f>SUMIFS(Donnees_annuelles!$V$3:$V$188,Donnees_annuelles!$A$3:$A$188,"&gt;="&amp;G412,Donnees_annuelles!$A$3:$A$188,"&lt;="&amp;N412)*L412/ROUNDUP(L412,0)</f>
        <v/>
      </c>
      <c r="R412" s="13">
        <f>P412/L412</f>
        <v/>
      </c>
      <c r="S412" s="14">
        <f>SUMIFS(Donnees_annuelles!$D$3:$D$188,Donnees_annuelles!$A$3:$A$188,"&gt;="&amp;G412,Donnees_annuelles!$A$3:$A$188,"&lt;="&amp;N412)*L412/ROUNDUP(L412,0)</f>
        <v/>
      </c>
      <c r="T412" s="14">
        <f>SUMIFS(Donnees_regimes!$N$3:$N$1118,Donnees_regimes!$A$3:$A$1118,C412,Donnees_regimes!$B$3:$B$1118,"&gt;="&amp;G412,Donnees_regimes!$B$3:$B$1118,"&lt;="&amp;N412)*L412/ROUNDUP(L412,0)</f>
        <v/>
      </c>
      <c r="U412" s="14">
        <f>SUMIFS(Donnees_regimes!$O$3:$O$1118,Donnees_regimes!$A$3:$A$1118,C412,Donnees_regimes!$B$3:$B$1118,"&gt;="&amp;G412,Donnees_regimes!$B$3:$B$1118,"&lt;="&amp;N412)*L412/ROUNDUP(L412,0)</f>
        <v/>
      </c>
      <c r="V412" s="14">
        <f>T412+U412</f>
        <v/>
      </c>
      <c r="W412" s="33">
        <f>V412/S412</f>
        <v/>
      </c>
      <c r="X412" s="14">
        <f>S412+U412</f>
        <v/>
      </c>
      <c r="Y412" s="17">
        <f>V412/P412</f>
        <v/>
      </c>
      <c r="Z412" s="14">
        <f>SUMIFS(Donnees_regimes!$Q$3:$Q$1118,Donnees_regimes!$A$3:$A$1118,C412,Donnees_regimes!$B$3:$B$1118,"&gt;="&amp;G412,Donnees_regimes!$B$3:$B$1118,"&lt;="&amp;N412)*L412/ROUNDUP(L412,0)</f>
        <v/>
      </c>
      <c r="AA412" s="77">
        <f>SUMIFS(Regles_regimes!$F$3:$F$2000,Regles_regimes!$A$3:$A$2000,C412,Regles_regimes!$B$3:$B$2000,D412,Regles_regimes!$C$3:$C$2000,MAX(1915,MIN(2025,E412)))</f>
        <v/>
      </c>
      <c r="AB412" s="77">
        <f>IF(AND(SUMIFS(Regles_regimes!$L$3:$L$2000,Regles_regimes!$A$3:$A$2000,C412,Regles_regimes!$B$3:$B$2000,D412,Regles_regimes!$C$3:$C$2000,MAX(1915,MIN(2025,E412)))=1,G412&lt;2009,C412&lt;&gt;"Privé"),MIN(20,L412*4/5),0)</f>
        <v/>
      </c>
      <c r="AC412" s="89">
        <f>SUMIFS(Donnees_regimes!$M$3:$M$1118,Donnees_regimes!$A$3:$A$1118,C412,Donnees_regimes!$B$3:$B$1118,M412)</f>
        <v/>
      </c>
      <c r="AD412" s="14">
        <f>SUMIFS(Donnees_annuelles!$Y$3:$Y$188,Donnees_annuelles!$A$3:$A$188,M412)*SUMIFS(Donnees_generations!$I$3:$I$113,Donnees_generations!$A$3:$A$113,MAX(1915,MIN(2025,E412)))/H412</f>
        <v/>
      </c>
      <c r="AE412" s="14">
        <f>IF(C412="Privé",SUMIFS(Donnees_annuelles!$Y$3:$Y$188,Donnees_annuelles!$A$3:$A$188,M412)*MIN(L412,SUMIFS(Donnees_generations!$I$3:$I$113,Donnees_generations!$A$3:$A$113,MAX(1915,MIN(2025,E412))))/L412,AD412*AC412*MIN(IF(AB412&gt;0,0.8/0.75,1),(L412*4+AB412)/AA412))</f>
        <v/>
      </c>
      <c r="AF412" s="14">
        <f>AE412/12</f>
        <v/>
      </c>
      <c r="AG412" s="77">
        <f>MIN(68,MAX(56,2*INT(K412/2)))</f>
        <v/>
      </c>
      <c r="AH412" s="75">
        <f>(CHOOSE((AG412-56)/2+1,SUMIFS(Donnees_generations!$U$3:$U$113,Donnees_generations!$A$3:$A$113,MAX(1915,MIN(2025,E412))),SUMIFS(Donnees_generations!$V$3:$V$113,Donnees_generations!$A$3:$A$113,MAX(1915,MIN(2025,E412))),SUMIFS(Donnees_generations!$W$3:$W$113,Donnees_generations!$A$3:$A$113,MAX(1915,MIN(2025,E412))),SUMIFS(Donnees_generations!$X$3:$X$113,Donnees_generations!$A$3:$A$113,MAX(1915,MIN(2025,E412))),SUMIFS(Donnees_generations!$Y$3:$Y$113,Donnees_generations!$A$3:$A$113,MAX(1915,MIN(2025,E412))),SUMIFS(Donnees_generations!$Z$3:$Z$113,Donnees_generations!$A$3:$A$113,MAX(1915,MIN(2025,E412))),SUMIFS(Donnees_generations!$AA$3:$AA$113,Donnees_generations!$A$3:$A$113,MAX(1915,MIN(2025,E412))),SUMIFS(Donnees_generations!$AB$3:$AB$113,Donnees_generations!$A$3:$A$113,MAX(1915,MIN(2025,E412))))+CHOOSE((AG412-56)/2+1,SUMIFS(Donnees_generations!$AC$3:$AC$113,Donnees_generations!$A$3:$A$113,MAX(1915,MIN(2025,E412))),SUMIFS(Donnees_generations!$AD$3:$AD$113,Donnees_generations!$A$3:$A$113,MAX(1915,MIN(2025,E412))),SUMIFS(Donnees_generations!$AE$3:$AE$113,Donnees_generations!$A$3:$A$113,MAX(1915,MIN(2025,E412))),SUMIFS(Donnees_generations!$AF$3:$AF$113,Donnees_generations!$A$3:$A$113,MAX(1915,MIN(2025,E412))),SUMIFS(Donnees_generations!$AG$3:$AG$113,Donnees_generations!$A$3:$A$113,MAX(1915,MIN(2025,E412))),SUMIFS(Donnees_generations!$AH$3:$AH$113,Donnees_generations!$A$3:$A$113,MAX(1915,MIN(2025,E412))),SUMIFS(Donnees_generations!$AI$3:$AI$113,Donnees_generations!$A$3:$A$113,MAX(1915,MIN(2025,E412))),SUMIFS(Donnees_generations!$AJ$3:$AJ$113,Donnees_generations!$A$3:$A$113,MAX(1915,MIN(2025,E412)))))/2</f>
        <v/>
      </c>
      <c r="AI412" s="75">
        <f>(CHOOSE(((AG412+2)-56)/2+1,SUMIFS(Donnees_generations!$U$3:$U$113,Donnees_generations!$A$3:$A$113,MAX(1915,MIN(2025,E412))),SUMIFS(Donnees_generations!$V$3:$V$113,Donnees_generations!$A$3:$A$113,MAX(1915,MIN(2025,E412))),SUMIFS(Donnees_generations!$W$3:$W$113,Donnees_generations!$A$3:$A$113,MAX(1915,MIN(2025,E412))),SUMIFS(Donnees_generations!$X$3:$X$113,Donnees_generations!$A$3:$A$113,MAX(1915,MIN(2025,E412))),SUMIFS(Donnees_generations!$Y$3:$Y$113,Donnees_generations!$A$3:$A$113,MAX(1915,MIN(2025,E412))),SUMIFS(Donnees_generations!$Z$3:$Z$113,Donnees_generations!$A$3:$A$113,MAX(1915,MIN(2025,E412))),SUMIFS(Donnees_generations!$AA$3:$AA$113,Donnees_generations!$A$3:$A$113,MAX(1915,MIN(2025,E412))),SUMIFS(Donnees_generations!$AB$3:$AB$113,Donnees_generations!$A$3:$A$113,MAX(1915,MIN(2025,E412))))+CHOOSE(((AG412+2)-56)/2+1,SUMIFS(Donnees_generations!$AC$3:$AC$113,Donnees_generations!$A$3:$A$113,MAX(1915,MIN(2025,E412))),SUMIFS(Donnees_generations!$AD$3:$AD$113,Donnees_generations!$A$3:$A$113,MAX(1915,MIN(2025,E412))),SUMIFS(Donnees_generations!$AE$3:$AE$113,Donnees_generations!$A$3:$A$113,MAX(1915,MIN(2025,E412))),SUMIFS(Donnees_generations!$AF$3:$AF$113,Donnees_generations!$A$3:$A$113,MAX(1915,MIN(2025,E412))),SUMIFS(Donnees_generations!$AG$3:$AG$113,Donnees_generations!$A$3:$A$113,MAX(1915,MIN(2025,E412))),SUMIFS(Donnees_generations!$AH$3:$AH$113,Donnees_generations!$A$3:$A$113,MAX(1915,MIN(2025,E412))),SUMIFS(Donnees_generations!$AI$3:$AI$113,Donnees_generations!$A$3:$A$113,MAX(1915,MIN(2025,E412))),SUMIFS(Donnees_generations!$AJ$3:$AJ$113,Donnees_generations!$A$3:$A$113,MAX(1915,MIN(2025,E412)))))/2</f>
        <v/>
      </c>
      <c r="AJ412" s="8">
        <f>MAX(0,AH412+(AI412-AH412)*(K412-AG412)/2)</f>
        <v/>
      </c>
      <c r="AK412" s="8">
        <f>K412+AJ412</f>
        <v/>
      </c>
      <c r="AL412" s="14">
        <f>AE412*AJ412</f>
        <v/>
      </c>
      <c r="AM412" s="17">
        <f>V412/AL412</f>
        <v/>
      </c>
      <c r="AN412" s="17">
        <f>Z412/AL412</f>
        <v/>
      </c>
      <c r="AO412" s="33">
        <f>IF(V412+Z412=0,0,Z412/(V412+Z412))</f>
        <v/>
      </c>
      <c r="AP412" s="14">
        <f>AL412/V412*100</f>
        <v/>
      </c>
      <c r="AQ412" s="8">
        <f>P412/AL412*1000</f>
        <v/>
      </c>
      <c r="AR412" s="77">
        <f>MAX(N412,M412-1)</f>
        <v/>
      </c>
      <c r="AS412" s="14">
        <f>SUMIFS(Donnees_regimes!$R$3:$R$1118,Donnees_regimes!$A$3:$A$1118,C412,Donnees_regimes!$B$3:$B$1118,"&gt;="&amp;G412,Donnees_regimes!$B$3:$B$1118,"&lt;="&amp;N412)*L412/ROUNDUP(L412,0)*SUMIFS(Donnees_annuelles!$AG$3:$AG$188,Donnees_annuelles!$A$3:$A$188,AR412)*SUMIFS(Donnees_annuelles!$AA$3:$AA$188,Donnees_annuelles!$A$3:$A$188,AR412)</f>
        <v/>
      </c>
      <c r="AT412" s="36">
        <f>AS412/V412</f>
        <v/>
      </c>
      <c r="AU412" s="14">
        <f>AL412</f>
        <v/>
      </c>
      <c r="AV412" s="39">
        <f>AS412-AL412</f>
        <v/>
      </c>
      <c r="AW412" s="9">
        <f>AS412/AL412-1</f>
        <v/>
      </c>
      <c r="AX412" s="14">
        <f>AS412/AJ412/12</f>
        <v/>
      </c>
      <c r="AY412" s="14">
        <f>AF412</f>
        <v/>
      </c>
      <c r="AZ412" s="39">
        <f>AX412-AF412</f>
        <v/>
      </c>
      <c r="BA412" s="14">
        <f>SUMIFS(Donnees_regimes!$S$3:$S$1118,Donnees_regimes!$A$3:$A$1118,C412,Donnees_regimes!$B$3:$B$1118,"&gt;="&amp;G412,Donnees_regimes!$B$3:$B$1118,"&lt;="&amp;N412)*L412/ROUNDUP(L412,0)*SUMIFS(Donnees_annuelles!$AH$3:$AH$188,Donnees_annuelles!$A$3:$A$188,AR412)*SUMIFS(Donnees_annuelles!$AA$3:$AA$188,Donnees_annuelles!$A$3:$A$188,AR412)</f>
        <v/>
      </c>
      <c r="BB412" s="39">
        <f>BA412-AL412</f>
        <v/>
      </c>
      <c r="BC412" s="7">
        <f>IF(M412+AJ412&gt;2026,IF(G412&gt;2026,"entièrement projeté","en partie projeté"),"observé")</f>
        <v/>
      </c>
    </row>
    <row r="413">
      <c r="A413" s="7" t="inlineStr">
        <is>
          <t>Baby-boomers</t>
        </is>
      </c>
      <c r="B413" s="84" t="inlineStr">
        <is>
          <t>RATP</t>
        </is>
      </c>
      <c r="C413" s="7">
        <f>IF(G413&gt;=SUMIFS(Regimes!$C$5:$C$10,Regimes!$A$5:$A$10,B413),"Privé",B413)</f>
        <v/>
      </c>
      <c r="D413" s="7">
        <f>INDEX(Regimes!$D$5:$D$10,MATCH(C413,Regimes!$A$5:$A$10,0))</f>
        <v/>
      </c>
      <c r="E413" s="88" t="n">
        <v>1946</v>
      </c>
      <c r="F413" s="8">
        <f>Donnees_generations!C34</f>
        <v/>
      </c>
      <c r="G413" s="77">
        <f>Donnees_generations!D34</f>
        <v/>
      </c>
      <c r="H413" s="8">
        <f>SUMIFS(Donnees_generations!$S$3:$S$113,Donnees_generations!$A$3:$A$113,MAX(1915,MIN(2025,E413)))</f>
        <v/>
      </c>
      <c r="I413" s="8">
        <f>SUMIFS(Donnees_generations!$T$3:$T$113,Donnees_generations!$A$3:$A$113,MAX(1915,MIN(2025,E413)))</f>
        <v/>
      </c>
      <c r="J413" s="8">
        <f>IF(G413&gt;=2000,MAX(I413,Parametres!$B$3),I413)</f>
        <v/>
      </c>
      <c r="K413" s="8">
        <f>IF(C413="Privé",J413,SUMIFS(Regles_regimes!$J$3:$J$2000,Regles_regimes!$A$3:$A$2000,C413,Regles_regimes!$B$3:$B$2000,D413,Regles_regimes!$C$3:$C$2000,MAX(1915,MIN(2025,E413))))</f>
        <v/>
      </c>
      <c r="L413" s="8">
        <f>IF(C413="Privé",H413,(K413-F413)*H413/(J413-F413))</f>
        <v/>
      </c>
      <c r="M413" s="77">
        <f>INT(E413+K413)</f>
        <v/>
      </c>
      <c r="N413" s="77">
        <f>G413+ROUNDUP(L413,0)-1</f>
        <v/>
      </c>
      <c r="O413" s="89">
        <f>SUMIFS(Regles_regimes!$K$3:$K$2000,Regles_regimes!$A$3:$A$2000,C413,Regles_regimes!$B$3:$B$2000,D413,Regles_regimes!$C$3:$C$2000,MAX(1915,MIN(2025,E413)))</f>
        <v/>
      </c>
      <c r="P413" s="13">
        <f>SUMIFS(Donnees_annuelles!$W$3:$W$188,Donnees_annuelles!$A$3:$A$188,"&gt;="&amp;G413,Donnees_annuelles!$A$3:$A$188,"&lt;="&amp;N413)*L413/ROUNDUP(L413,0)*O413</f>
        <v/>
      </c>
      <c r="Q413" s="13">
        <f>SUMIFS(Donnees_annuelles!$V$3:$V$188,Donnees_annuelles!$A$3:$A$188,"&gt;="&amp;G413,Donnees_annuelles!$A$3:$A$188,"&lt;="&amp;N413)*L413/ROUNDUP(L413,0)</f>
        <v/>
      </c>
      <c r="R413" s="13">
        <f>P413/L413</f>
        <v/>
      </c>
      <c r="S413" s="14">
        <f>SUMIFS(Donnees_annuelles!$D$3:$D$188,Donnees_annuelles!$A$3:$A$188,"&gt;="&amp;G413,Donnees_annuelles!$A$3:$A$188,"&lt;="&amp;N413)*L413/ROUNDUP(L413,0)</f>
        <v/>
      </c>
      <c r="T413" s="14">
        <f>SUMIFS(Donnees_regimes!$N$3:$N$1118,Donnees_regimes!$A$3:$A$1118,C413,Donnees_regimes!$B$3:$B$1118,"&gt;="&amp;G413,Donnees_regimes!$B$3:$B$1118,"&lt;="&amp;N413)*L413/ROUNDUP(L413,0)</f>
        <v/>
      </c>
      <c r="U413" s="14">
        <f>SUMIFS(Donnees_regimes!$O$3:$O$1118,Donnees_regimes!$A$3:$A$1118,C413,Donnees_regimes!$B$3:$B$1118,"&gt;="&amp;G413,Donnees_regimes!$B$3:$B$1118,"&lt;="&amp;N413)*L413/ROUNDUP(L413,0)</f>
        <v/>
      </c>
      <c r="V413" s="14">
        <f>T413+U413</f>
        <v/>
      </c>
      <c r="W413" s="33">
        <f>V413/S413</f>
        <v/>
      </c>
      <c r="X413" s="14">
        <f>S413+U413</f>
        <v/>
      </c>
      <c r="Y413" s="17">
        <f>V413/P413</f>
        <v/>
      </c>
      <c r="Z413" s="14">
        <f>SUMIFS(Donnees_regimes!$Q$3:$Q$1118,Donnees_regimes!$A$3:$A$1118,C413,Donnees_regimes!$B$3:$B$1118,"&gt;="&amp;G413,Donnees_regimes!$B$3:$B$1118,"&lt;="&amp;N413)*L413/ROUNDUP(L413,0)</f>
        <v/>
      </c>
      <c r="AA413" s="77">
        <f>SUMIFS(Regles_regimes!$F$3:$F$2000,Regles_regimes!$A$3:$A$2000,C413,Regles_regimes!$B$3:$B$2000,D413,Regles_regimes!$C$3:$C$2000,MAX(1915,MIN(2025,E413)))</f>
        <v/>
      </c>
      <c r="AB413" s="77">
        <f>IF(AND(SUMIFS(Regles_regimes!$L$3:$L$2000,Regles_regimes!$A$3:$A$2000,C413,Regles_regimes!$B$3:$B$2000,D413,Regles_regimes!$C$3:$C$2000,MAX(1915,MIN(2025,E413)))=1,G413&lt;2009,C413&lt;&gt;"Privé"),MIN(20,L413*4/5),0)</f>
        <v/>
      </c>
      <c r="AC413" s="89">
        <f>SUMIFS(Donnees_regimes!$M$3:$M$1118,Donnees_regimes!$A$3:$A$1118,C413,Donnees_regimes!$B$3:$B$1118,M413)</f>
        <v/>
      </c>
      <c r="AD413" s="14">
        <f>SUMIFS(Donnees_annuelles!$Y$3:$Y$188,Donnees_annuelles!$A$3:$A$188,M413)*SUMIFS(Donnees_generations!$I$3:$I$113,Donnees_generations!$A$3:$A$113,MAX(1915,MIN(2025,E413)))/H413</f>
        <v/>
      </c>
      <c r="AE413" s="14">
        <f>IF(C413="Privé",SUMIFS(Donnees_annuelles!$Y$3:$Y$188,Donnees_annuelles!$A$3:$A$188,M413)*MIN(L413,SUMIFS(Donnees_generations!$I$3:$I$113,Donnees_generations!$A$3:$A$113,MAX(1915,MIN(2025,E413))))/L413,AD413*AC413*MIN(IF(AB413&gt;0,0.8/0.75,1),(L413*4+AB413)/AA413))</f>
        <v/>
      </c>
      <c r="AF413" s="14">
        <f>AE413/12</f>
        <v/>
      </c>
      <c r="AG413" s="77">
        <f>MIN(68,MAX(56,2*INT(K413/2)))</f>
        <v/>
      </c>
      <c r="AH413" s="75">
        <f>(CHOOSE((AG413-56)/2+1,SUMIFS(Donnees_generations!$U$3:$U$113,Donnees_generations!$A$3:$A$113,MAX(1915,MIN(2025,E413))),SUMIFS(Donnees_generations!$V$3:$V$113,Donnees_generations!$A$3:$A$113,MAX(1915,MIN(2025,E413))),SUMIFS(Donnees_generations!$W$3:$W$113,Donnees_generations!$A$3:$A$113,MAX(1915,MIN(2025,E413))),SUMIFS(Donnees_generations!$X$3:$X$113,Donnees_generations!$A$3:$A$113,MAX(1915,MIN(2025,E413))),SUMIFS(Donnees_generations!$Y$3:$Y$113,Donnees_generations!$A$3:$A$113,MAX(1915,MIN(2025,E413))),SUMIFS(Donnees_generations!$Z$3:$Z$113,Donnees_generations!$A$3:$A$113,MAX(1915,MIN(2025,E413))),SUMIFS(Donnees_generations!$AA$3:$AA$113,Donnees_generations!$A$3:$A$113,MAX(1915,MIN(2025,E413))),SUMIFS(Donnees_generations!$AB$3:$AB$113,Donnees_generations!$A$3:$A$113,MAX(1915,MIN(2025,E413))))+CHOOSE((AG413-56)/2+1,SUMIFS(Donnees_generations!$AC$3:$AC$113,Donnees_generations!$A$3:$A$113,MAX(1915,MIN(2025,E413))),SUMIFS(Donnees_generations!$AD$3:$AD$113,Donnees_generations!$A$3:$A$113,MAX(1915,MIN(2025,E413))),SUMIFS(Donnees_generations!$AE$3:$AE$113,Donnees_generations!$A$3:$A$113,MAX(1915,MIN(2025,E413))),SUMIFS(Donnees_generations!$AF$3:$AF$113,Donnees_generations!$A$3:$A$113,MAX(1915,MIN(2025,E413))),SUMIFS(Donnees_generations!$AG$3:$AG$113,Donnees_generations!$A$3:$A$113,MAX(1915,MIN(2025,E413))),SUMIFS(Donnees_generations!$AH$3:$AH$113,Donnees_generations!$A$3:$A$113,MAX(1915,MIN(2025,E413))),SUMIFS(Donnees_generations!$AI$3:$AI$113,Donnees_generations!$A$3:$A$113,MAX(1915,MIN(2025,E413))),SUMIFS(Donnees_generations!$AJ$3:$AJ$113,Donnees_generations!$A$3:$A$113,MAX(1915,MIN(2025,E413)))))/2</f>
        <v/>
      </c>
      <c r="AI413" s="75">
        <f>(CHOOSE(((AG413+2)-56)/2+1,SUMIFS(Donnees_generations!$U$3:$U$113,Donnees_generations!$A$3:$A$113,MAX(1915,MIN(2025,E413))),SUMIFS(Donnees_generations!$V$3:$V$113,Donnees_generations!$A$3:$A$113,MAX(1915,MIN(2025,E413))),SUMIFS(Donnees_generations!$W$3:$W$113,Donnees_generations!$A$3:$A$113,MAX(1915,MIN(2025,E413))),SUMIFS(Donnees_generations!$X$3:$X$113,Donnees_generations!$A$3:$A$113,MAX(1915,MIN(2025,E413))),SUMIFS(Donnees_generations!$Y$3:$Y$113,Donnees_generations!$A$3:$A$113,MAX(1915,MIN(2025,E413))),SUMIFS(Donnees_generations!$Z$3:$Z$113,Donnees_generations!$A$3:$A$113,MAX(1915,MIN(2025,E413))),SUMIFS(Donnees_generations!$AA$3:$AA$113,Donnees_generations!$A$3:$A$113,MAX(1915,MIN(2025,E413))),SUMIFS(Donnees_generations!$AB$3:$AB$113,Donnees_generations!$A$3:$A$113,MAX(1915,MIN(2025,E413))))+CHOOSE(((AG413+2)-56)/2+1,SUMIFS(Donnees_generations!$AC$3:$AC$113,Donnees_generations!$A$3:$A$113,MAX(1915,MIN(2025,E413))),SUMIFS(Donnees_generations!$AD$3:$AD$113,Donnees_generations!$A$3:$A$113,MAX(1915,MIN(2025,E413))),SUMIFS(Donnees_generations!$AE$3:$AE$113,Donnees_generations!$A$3:$A$113,MAX(1915,MIN(2025,E413))),SUMIFS(Donnees_generations!$AF$3:$AF$113,Donnees_generations!$A$3:$A$113,MAX(1915,MIN(2025,E413))),SUMIFS(Donnees_generations!$AG$3:$AG$113,Donnees_generations!$A$3:$A$113,MAX(1915,MIN(2025,E413))),SUMIFS(Donnees_generations!$AH$3:$AH$113,Donnees_generations!$A$3:$A$113,MAX(1915,MIN(2025,E413))),SUMIFS(Donnees_generations!$AI$3:$AI$113,Donnees_generations!$A$3:$A$113,MAX(1915,MIN(2025,E413))),SUMIFS(Donnees_generations!$AJ$3:$AJ$113,Donnees_generations!$A$3:$A$113,MAX(1915,MIN(2025,E413)))))/2</f>
        <v/>
      </c>
      <c r="AJ413" s="8">
        <f>MAX(0,AH413+(AI413-AH413)*(K413-AG413)/2)</f>
        <v/>
      </c>
      <c r="AK413" s="8">
        <f>K413+AJ413</f>
        <v/>
      </c>
      <c r="AL413" s="14">
        <f>AE413*AJ413</f>
        <v/>
      </c>
      <c r="AM413" s="17">
        <f>V413/AL413</f>
        <v/>
      </c>
      <c r="AN413" s="17">
        <f>Z413/AL413</f>
        <v/>
      </c>
      <c r="AO413" s="33">
        <f>IF(V413+Z413=0,0,Z413/(V413+Z413))</f>
        <v/>
      </c>
      <c r="AP413" s="14">
        <f>AL413/V413*100</f>
        <v/>
      </c>
      <c r="AQ413" s="8">
        <f>P413/AL413*1000</f>
        <v/>
      </c>
      <c r="AR413" s="77">
        <f>MAX(N413,M413-1)</f>
        <v/>
      </c>
      <c r="AS413" s="14">
        <f>SUMIFS(Donnees_regimes!$R$3:$R$1118,Donnees_regimes!$A$3:$A$1118,C413,Donnees_regimes!$B$3:$B$1118,"&gt;="&amp;G413,Donnees_regimes!$B$3:$B$1118,"&lt;="&amp;N413)*L413/ROUNDUP(L413,0)*SUMIFS(Donnees_annuelles!$AG$3:$AG$188,Donnees_annuelles!$A$3:$A$188,AR413)*SUMIFS(Donnees_annuelles!$AA$3:$AA$188,Donnees_annuelles!$A$3:$A$188,AR413)</f>
        <v/>
      </c>
      <c r="AT413" s="36">
        <f>AS413/V413</f>
        <v/>
      </c>
      <c r="AU413" s="14">
        <f>AL413</f>
        <v/>
      </c>
      <c r="AV413" s="39">
        <f>AS413-AL413</f>
        <v/>
      </c>
      <c r="AW413" s="9">
        <f>AS413/AL413-1</f>
        <v/>
      </c>
      <c r="AX413" s="14">
        <f>AS413/AJ413/12</f>
        <v/>
      </c>
      <c r="AY413" s="14">
        <f>AF413</f>
        <v/>
      </c>
      <c r="AZ413" s="39">
        <f>AX413-AF413</f>
        <v/>
      </c>
      <c r="BA413" s="14">
        <f>SUMIFS(Donnees_regimes!$S$3:$S$1118,Donnees_regimes!$A$3:$A$1118,C413,Donnees_regimes!$B$3:$B$1118,"&gt;="&amp;G413,Donnees_regimes!$B$3:$B$1118,"&lt;="&amp;N413)*L413/ROUNDUP(L413,0)*SUMIFS(Donnees_annuelles!$AH$3:$AH$188,Donnees_annuelles!$A$3:$A$188,AR413)*SUMIFS(Donnees_annuelles!$AA$3:$AA$188,Donnees_annuelles!$A$3:$A$188,AR413)</f>
        <v/>
      </c>
      <c r="BB413" s="39">
        <f>BA413-AL413</f>
        <v/>
      </c>
      <c r="BC413" s="7">
        <f>IF(M413+AJ413&gt;2026,IF(G413&gt;2026,"entièrement projeté","en partie projeté"),"observé")</f>
        <v/>
      </c>
    </row>
    <row r="414">
      <c r="A414" s="7" t="inlineStr">
        <is>
          <t>Baby-boomers</t>
        </is>
      </c>
      <c r="B414" s="84" t="inlineStr">
        <is>
          <t>RATP</t>
        </is>
      </c>
      <c r="C414" s="7">
        <f>IF(G414&gt;=SUMIFS(Regimes!$C$5:$C$10,Regimes!$A$5:$A$10,B414),"Privé",B414)</f>
        <v/>
      </c>
      <c r="D414" s="7">
        <f>INDEX(Regimes!$D$5:$D$10,MATCH(C414,Regimes!$A$5:$A$10,0))</f>
        <v/>
      </c>
      <c r="E414" s="88" t="n">
        <v>1947</v>
      </c>
      <c r="F414" s="8">
        <f>Donnees_generations!C35</f>
        <v/>
      </c>
      <c r="G414" s="77">
        <f>Donnees_generations!D35</f>
        <v/>
      </c>
      <c r="H414" s="8">
        <f>SUMIFS(Donnees_generations!$S$3:$S$113,Donnees_generations!$A$3:$A$113,MAX(1915,MIN(2025,E414)))</f>
        <v/>
      </c>
      <c r="I414" s="8">
        <f>SUMIFS(Donnees_generations!$T$3:$T$113,Donnees_generations!$A$3:$A$113,MAX(1915,MIN(2025,E414)))</f>
        <v/>
      </c>
      <c r="J414" s="8">
        <f>IF(G414&gt;=2000,MAX(I414,Parametres!$B$3),I414)</f>
        <v/>
      </c>
      <c r="K414" s="8">
        <f>IF(C414="Privé",J414,SUMIFS(Regles_regimes!$J$3:$J$2000,Regles_regimes!$A$3:$A$2000,C414,Regles_regimes!$B$3:$B$2000,D414,Regles_regimes!$C$3:$C$2000,MAX(1915,MIN(2025,E414))))</f>
        <v/>
      </c>
      <c r="L414" s="8">
        <f>IF(C414="Privé",H414,(K414-F414)*H414/(J414-F414))</f>
        <v/>
      </c>
      <c r="M414" s="77">
        <f>INT(E414+K414)</f>
        <v/>
      </c>
      <c r="N414" s="77">
        <f>G414+ROUNDUP(L414,0)-1</f>
        <v/>
      </c>
      <c r="O414" s="89">
        <f>SUMIFS(Regles_regimes!$K$3:$K$2000,Regles_regimes!$A$3:$A$2000,C414,Regles_regimes!$B$3:$B$2000,D414,Regles_regimes!$C$3:$C$2000,MAX(1915,MIN(2025,E414)))</f>
        <v/>
      </c>
      <c r="P414" s="13">
        <f>SUMIFS(Donnees_annuelles!$W$3:$W$188,Donnees_annuelles!$A$3:$A$188,"&gt;="&amp;G414,Donnees_annuelles!$A$3:$A$188,"&lt;="&amp;N414)*L414/ROUNDUP(L414,0)*O414</f>
        <v/>
      </c>
      <c r="Q414" s="13">
        <f>SUMIFS(Donnees_annuelles!$V$3:$V$188,Donnees_annuelles!$A$3:$A$188,"&gt;="&amp;G414,Donnees_annuelles!$A$3:$A$188,"&lt;="&amp;N414)*L414/ROUNDUP(L414,0)</f>
        <v/>
      </c>
      <c r="R414" s="13">
        <f>P414/L414</f>
        <v/>
      </c>
      <c r="S414" s="14">
        <f>SUMIFS(Donnees_annuelles!$D$3:$D$188,Donnees_annuelles!$A$3:$A$188,"&gt;="&amp;G414,Donnees_annuelles!$A$3:$A$188,"&lt;="&amp;N414)*L414/ROUNDUP(L414,0)</f>
        <v/>
      </c>
      <c r="T414" s="14">
        <f>SUMIFS(Donnees_regimes!$N$3:$N$1118,Donnees_regimes!$A$3:$A$1118,C414,Donnees_regimes!$B$3:$B$1118,"&gt;="&amp;G414,Donnees_regimes!$B$3:$B$1118,"&lt;="&amp;N414)*L414/ROUNDUP(L414,0)</f>
        <v/>
      </c>
      <c r="U414" s="14">
        <f>SUMIFS(Donnees_regimes!$O$3:$O$1118,Donnees_regimes!$A$3:$A$1118,C414,Donnees_regimes!$B$3:$B$1118,"&gt;="&amp;G414,Donnees_regimes!$B$3:$B$1118,"&lt;="&amp;N414)*L414/ROUNDUP(L414,0)</f>
        <v/>
      </c>
      <c r="V414" s="14">
        <f>T414+U414</f>
        <v/>
      </c>
      <c r="W414" s="33">
        <f>V414/S414</f>
        <v/>
      </c>
      <c r="X414" s="14">
        <f>S414+U414</f>
        <v/>
      </c>
      <c r="Y414" s="17">
        <f>V414/P414</f>
        <v/>
      </c>
      <c r="Z414" s="14">
        <f>SUMIFS(Donnees_regimes!$Q$3:$Q$1118,Donnees_regimes!$A$3:$A$1118,C414,Donnees_regimes!$B$3:$B$1118,"&gt;="&amp;G414,Donnees_regimes!$B$3:$B$1118,"&lt;="&amp;N414)*L414/ROUNDUP(L414,0)</f>
        <v/>
      </c>
      <c r="AA414" s="77">
        <f>SUMIFS(Regles_regimes!$F$3:$F$2000,Regles_regimes!$A$3:$A$2000,C414,Regles_regimes!$B$3:$B$2000,D414,Regles_regimes!$C$3:$C$2000,MAX(1915,MIN(2025,E414)))</f>
        <v/>
      </c>
      <c r="AB414" s="77">
        <f>IF(AND(SUMIFS(Regles_regimes!$L$3:$L$2000,Regles_regimes!$A$3:$A$2000,C414,Regles_regimes!$B$3:$B$2000,D414,Regles_regimes!$C$3:$C$2000,MAX(1915,MIN(2025,E414)))=1,G414&lt;2009,C414&lt;&gt;"Privé"),MIN(20,L414*4/5),0)</f>
        <v/>
      </c>
      <c r="AC414" s="89">
        <f>SUMIFS(Donnees_regimes!$M$3:$M$1118,Donnees_regimes!$A$3:$A$1118,C414,Donnees_regimes!$B$3:$B$1118,M414)</f>
        <v/>
      </c>
      <c r="AD414" s="14">
        <f>SUMIFS(Donnees_annuelles!$Y$3:$Y$188,Donnees_annuelles!$A$3:$A$188,M414)*SUMIFS(Donnees_generations!$I$3:$I$113,Donnees_generations!$A$3:$A$113,MAX(1915,MIN(2025,E414)))/H414</f>
        <v/>
      </c>
      <c r="AE414" s="14">
        <f>IF(C414="Privé",SUMIFS(Donnees_annuelles!$Y$3:$Y$188,Donnees_annuelles!$A$3:$A$188,M414)*MIN(L414,SUMIFS(Donnees_generations!$I$3:$I$113,Donnees_generations!$A$3:$A$113,MAX(1915,MIN(2025,E414))))/L414,AD414*AC414*MIN(IF(AB414&gt;0,0.8/0.75,1),(L414*4+AB414)/AA414))</f>
        <v/>
      </c>
      <c r="AF414" s="14">
        <f>AE414/12</f>
        <v/>
      </c>
      <c r="AG414" s="77">
        <f>MIN(68,MAX(56,2*INT(K414/2)))</f>
        <v/>
      </c>
      <c r="AH414" s="75">
        <f>(CHOOSE((AG414-56)/2+1,SUMIFS(Donnees_generations!$U$3:$U$113,Donnees_generations!$A$3:$A$113,MAX(1915,MIN(2025,E414))),SUMIFS(Donnees_generations!$V$3:$V$113,Donnees_generations!$A$3:$A$113,MAX(1915,MIN(2025,E414))),SUMIFS(Donnees_generations!$W$3:$W$113,Donnees_generations!$A$3:$A$113,MAX(1915,MIN(2025,E414))),SUMIFS(Donnees_generations!$X$3:$X$113,Donnees_generations!$A$3:$A$113,MAX(1915,MIN(2025,E414))),SUMIFS(Donnees_generations!$Y$3:$Y$113,Donnees_generations!$A$3:$A$113,MAX(1915,MIN(2025,E414))),SUMIFS(Donnees_generations!$Z$3:$Z$113,Donnees_generations!$A$3:$A$113,MAX(1915,MIN(2025,E414))),SUMIFS(Donnees_generations!$AA$3:$AA$113,Donnees_generations!$A$3:$A$113,MAX(1915,MIN(2025,E414))),SUMIFS(Donnees_generations!$AB$3:$AB$113,Donnees_generations!$A$3:$A$113,MAX(1915,MIN(2025,E414))))+CHOOSE((AG414-56)/2+1,SUMIFS(Donnees_generations!$AC$3:$AC$113,Donnees_generations!$A$3:$A$113,MAX(1915,MIN(2025,E414))),SUMIFS(Donnees_generations!$AD$3:$AD$113,Donnees_generations!$A$3:$A$113,MAX(1915,MIN(2025,E414))),SUMIFS(Donnees_generations!$AE$3:$AE$113,Donnees_generations!$A$3:$A$113,MAX(1915,MIN(2025,E414))),SUMIFS(Donnees_generations!$AF$3:$AF$113,Donnees_generations!$A$3:$A$113,MAX(1915,MIN(2025,E414))),SUMIFS(Donnees_generations!$AG$3:$AG$113,Donnees_generations!$A$3:$A$113,MAX(1915,MIN(2025,E414))),SUMIFS(Donnees_generations!$AH$3:$AH$113,Donnees_generations!$A$3:$A$113,MAX(1915,MIN(2025,E414))),SUMIFS(Donnees_generations!$AI$3:$AI$113,Donnees_generations!$A$3:$A$113,MAX(1915,MIN(2025,E414))),SUMIFS(Donnees_generations!$AJ$3:$AJ$113,Donnees_generations!$A$3:$A$113,MAX(1915,MIN(2025,E414)))))/2</f>
        <v/>
      </c>
      <c r="AI414" s="75">
        <f>(CHOOSE(((AG414+2)-56)/2+1,SUMIFS(Donnees_generations!$U$3:$U$113,Donnees_generations!$A$3:$A$113,MAX(1915,MIN(2025,E414))),SUMIFS(Donnees_generations!$V$3:$V$113,Donnees_generations!$A$3:$A$113,MAX(1915,MIN(2025,E414))),SUMIFS(Donnees_generations!$W$3:$W$113,Donnees_generations!$A$3:$A$113,MAX(1915,MIN(2025,E414))),SUMIFS(Donnees_generations!$X$3:$X$113,Donnees_generations!$A$3:$A$113,MAX(1915,MIN(2025,E414))),SUMIFS(Donnees_generations!$Y$3:$Y$113,Donnees_generations!$A$3:$A$113,MAX(1915,MIN(2025,E414))),SUMIFS(Donnees_generations!$Z$3:$Z$113,Donnees_generations!$A$3:$A$113,MAX(1915,MIN(2025,E414))),SUMIFS(Donnees_generations!$AA$3:$AA$113,Donnees_generations!$A$3:$A$113,MAX(1915,MIN(2025,E414))),SUMIFS(Donnees_generations!$AB$3:$AB$113,Donnees_generations!$A$3:$A$113,MAX(1915,MIN(2025,E414))))+CHOOSE(((AG414+2)-56)/2+1,SUMIFS(Donnees_generations!$AC$3:$AC$113,Donnees_generations!$A$3:$A$113,MAX(1915,MIN(2025,E414))),SUMIFS(Donnees_generations!$AD$3:$AD$113,Donnees_generations!$A$3:$A$113,MAX(1915,MIN(2025,E414))),SUMIFS(Donnees_generations!$AE$3:$AE$113,Donnees_generations!$A$3:$A$113,MAX(1915,MIN(2025,E414))),SUMIFS(Donnees_generations!$AF$3:$AF$113,Donnees_generations!$A$3:$A$113,MAX(1915,MIN(2025,E414))),SUMIFS(Donnees_generations!$AG$3:$AG$113,Donnees_generations!$A$3:$A$113,MAX(1915,MIN(2025,E414))),SUMIFS(Donnees_generations!$AH$3:$AH$113,Donnees_generations!$A$3:$A$113,MAX(1915,MIN(2025,E414))),SUMIFS(Donnees_generations!$AI$3:$AI$113,Donnees_generations!$A$3:$A$113,MAX(1915,MIN(2025,E414))),SUMIFS(Donnees_generations!$AJ$3:$AJ$113,Donnees_generations!$A$3:$A$113,MAX(1915,MIN(2025,E414)))))/2</f>
        <v/>
      </c>
      <c r="AJ414" s="8">
        <f>MAX(0,AH414+(AI414-AH414)*(K414-AG414)/2)</f>
        <v/>
      </c>
      <c r="AK414" s="8">
        <f>K414+AJ414</f>
        <v/>
      </c>
      <c r="AL414" s="14">
        <f>AE414*AJ414</f>
        <v/>
      </c>
      <c r="AM414" s="17">
        <f>V414/AL414</f>
        <v/>
      </c>
      <c r="AN414" s="17">
        <f>Z414/AL414</f>
        <v/>
      </c>
      <c r="AO414" s="33">
        <f>IF(V414+Z414=0,0,Z414/(V414+Z414))</f>
        <v/>
      </c>
      <c r="AP414" s="14">
        <f>AL414/V414*100</f>
        <v/>
      </c>
      <c r="AQ414" s="8">
        <f>P414/AL414*1000</f>
        <v/>
      </c>
      <c r="AR414" s="77">
        <f>MAX(N414,M414-1)</f>
        <v/>
      </c>
      <c r="AS414" s="14">
        <f>SUMIFS(Donnees_regimes!$R$3:$R$1118,Donnees_regimes!$A$3:$A$1118,C414,Donnees_regimes!$B$3:$B$1118,"&gt;="&amp;G414,Donnees_regimes!$B$3:$B$1118,"&lt;="&amp;N414)*L414/ROUNDUP(L414,0)*SUMIFS(Donnees_annuelles!$AG$3:$AG$188,Donnees_annuelles!$A$3:$A$188,AR414)*SUMIFS(Donnees_annuelles!$AA$3:$AA$188,Donnees_annuelles!$A$3:$A$188,AR414)</f>
        <v/>
      </c>
      <c r="AT414" s="36">
        <f>AS414/V414</f>
        <v/>
      </c>
      <c r="AU414" s="14">
        <f>AL414</f>
        <v/>
      </c>
      <c r="AV414" s="39">
        <f>AS414-AL414</f>
        <v/>
      </c>
      <c r="AW414" s="9">
        <f>AS414/AL414-1</f>
        <v/>
      </c>
      <c r="AX414" s="14">
        <f>AS414/AJ414/12</f>
        <v/>
      </c>
      <c r="AY414" s="14">
        <f>AF414</f>
        <v/>
      </c>
      <c r="AZ414" s="39">
        <f>AX414-AF414</f>
        <v/>
      </c>
      <c r="BA414" s="14">
        <f>SUMIFS(Donnees_regimes!$S$3:$S$1118,Donnees_regimes!$A$3:$A$1118,C414,Donnees_regimes!$B$3:$B$1118,"&gt;="&amp;G414,Donnees_regimes!$B$3:$B$1118,"&lt;="&amp;N414)*L414/ROUNDUP(L414,0)*SUMIFS(Donnees_annuelles!$AH$3:$AH$188,Donnees_annuelles!$A$3:$A$188,AR414)*SUMIFS(Donnees_annuelles!$AA$3:$AA$188,Donnees_annuelles!$A$3:$A$188,AR414)</f>
        <v/>
      </c>
      <c r="BB414" s="39">
        <f>BA414-AL414</f>
        <v/>
      </c>
      <c r="BC414" s="7">
        <f>IF(M414+AJ414&gt;2026,IF(G414&gt;2026,"entièrement projeté","en partie projeté"),"observé")</f>
        <v/>
      </c>
    </row>
    <row r="415">
      <c r="A415" s="7" t="inlineStr">
        <is>
          <t>Baby-boomers</t>
        </is>
      </c>
      <c r="B415" s="84" t="inlineStr">
        <is>
          <t>RATP</t>
        </is>
      </c>
      <c r="C415" s="7">
        <f>IF(G415&gt;=SUMIFS(Regimes!$C$5:$C$10,Regimes!$A$5:$A$10,B415),"Privé",B415)</f>
        <v/>
      </c>
      <c r="D415" s="7">
        <f>INDEX(Regimes!$D$5:$D$10,MATCH(C415,Regimes!$A$5:$A$10,0))</f>
        <v/>
      </c>
      <c r="E415" s="88" t="n">
        <v>1948</v>
      </c>
      <c r="F415" s="8">
        <f>Donnees_generations!C36</f>
        <v/>
      </c>
      <c r="G415" s="77">
        <f>Donnees_generations!D36</f>
        <v/>
      </c>
      <c r="H415" s="8">
        <f>SUMIFS(Donnees_generations!$S$3:$S$113,Donnees_generations!$A$3:$A$113,MAX(1915,MIN(2025,E415)))</f>
        <v/>
      </c>
      <c r="I415" s="8">
        <f>SUMIFS(Donnees_generations!$T$3:$T$113,Donnees_generations!$A$3:$A$113,MAX(1915,MIN(2025,E415)))</f>
        <v/>
      </c>
      <c r="J415" s="8">
        <f>IF(G415&gt;=2000,MAX(I415,Parametres!$B$3),I415)</f>
        <v/>
      </c>
      <c r="K415" s="8">
        <f>IF(C415="Privé",J415,SUMIFS(Regles_regimes!$J$3:$J$2000,Regles_regimes!$A$3:$A$2000,C415,Regles_regimes!$B$3:$B$2000,D415,Regles_regimes!$C$3:$C$2000,MAX(1915,MIN(2025,E415))))</f>
        <v/>
      </c>
      <c r="L415" s="8">
        <f>IF(C415="Privé",H415,(K415-F415)*H415/(J415-F415))</f>
        <v/>
      </c>
      <c r="M415" s="77">
        <f>INT(E415+K415)</f>
        <v/>
      </c>
      <c r="N415" s="77">
        <f>G415+ROUNDUP(L415,0)-1</f>
        <v/>
      </c>
      <c r="O415" s="89">
        <f>SUMIFS(Regles_regimes!$K$3:$K$2000,Regles_regimes!$A$3:$A$2000,C415,Regles_regimes!$B$3:$B$2000,D415,Regles_regimes!$C$3:$C$2000,MAX(1915,MIN(2025,E415)))</f>
        <v/>
      </c>
      <c r="P415" s="13">
        <f>SUMIFS(Donnees_annuelles!$W$3:$W$188,Donnees_annuelles!$A$3:$A$188,"&gt;="&amp;G415,Donnees_annuelles!$A$3:$A$188,"&lt;="&amp;N415)*L415/ROUNDUP(L415,0)*O415</f>
        <v/>
      </c>
      <c r="Q415" s="13">
        <f>SUMIFS(Donnees_annuelles!$V$3:$V$188,Donnees_annuelles!$A$3:$A$188,"&gt;="&amp;G415,Donnees_annuelles!$A$3:$A$188,"&lt;="&amp;N415)*L415/ROUNDUP(L415,0)</f>
        <v/>
      </c>
      <c r="R415" s="13">
        <f>P415/L415</f>
        <v/>
      </c>
      <c r="S415" s="14">
        <f>SUMIFS(Donnees_annuelles!$D$3:$D$188,Donnees_annuelles!$A$3:$A$188,"&gt;="&amp;G415,Donnees_annuelles!$A$3:$A$188,"&lt;="&amp;N415)*L415/ROUNDUP(L415,0)</f>
        <v/>
      </c>
      <c r="T415" s="14">
        <f>SUMIFS(Donnees_regimes!$N$3:$N$1118,Donnees_regimes!$A$3:$A$1118,C415,Donnees_regimes!$B$3:$B$1118,"&gt;="&amp;G415,Donnees_regimes!$B$3:$B$1118,"&lt;="&amp;N415)*L415/ROUNDUP(L415,0)</f>
        <v/>
      </c>
      <c r="U415" s="14">
        <f>SUMIFS(Donnees_regimes!$O$3:$O$1118,Donnees_regimes!$A$3:$A$1118,C415,Donnees_regimes!$B$3:$B$1118,"&gt;="&amp;G415,Donnees_regimes!$B$3:$B$1118,"&lt;="&amp;N415)*L415/ROUNDUP(L415,0)</f>
        <v/>
      </c>
      <c r="V415" s="14">
        <f>T415+U415</f>
        <v/>
      </c>
      <c r="W415" s="33">
        <f>V415/S415</f>
        <v/>
      </c>
      <c r="X415" s="14">
        <f>S415+U415</f>
        <v/>
      </c>
      <c r="Y415" s="17">
        <f>V415/P415</f>
        <v/>
      </c>
      <c r="Z415" s="14">
        <f>SUMIFS(Donnees_regimes!$Q$3:$Q$1118,Donnees_regimes!$A$3:$A$1118,C415,Donnees_regimes!$B$3:$B$1118,"&gt;="&amp;G415,Donnees_regimes!$B$3:$B$1118,"&lt;="&amp;N415)*L415/ROUNDUP(L415,0)</f>
        <v/>
      </c>
      <c r="AA415" s="77">
        <f>SUMIFS(Regles_regimes!$F$3:$F$2000,Regles_regimes!$A$3:$A$2000,C415,Regles_regimes!$B$3:$B$2000,D415,Regles_regimes!$C$3:$C$2000,MAX(1915,MIN(2025,E415)))</f>
        <v/>
      </c>
      <c r="AB415" s="77">
        <f>IF(AND(SUMIFS(Regles_regimes!$L$3:$L$2000,Regles_regimes!$A$3:$A$2000,C415,Regles_regimes!$B$3:$B$2000,D415,Regles_regimes!$C$3:$C$2000,MAX(1915,MIN(2025,E415)))=1,G415&lt;2009,C415&lt;&gt;"Privé"),MIN(20,L415*4/5),0)</f>
        <v/>
      </c>
      <c r="AC415" s="89">
        <f>SUMIFS(Donnees_regimes!$M$3:$M$1118,Donnees_regimes!$A$3:$A$1118,C415,Donnees_regimes!$B$3:$B$1118,M415)</f>
        <v/>
      </c>
      <c r="AD415" s="14">
        <f>SUMIFS(Donnees_annuelles!$Y$3:$Y$188,Donnees_annuelles!$A$3:$A$188,M415)*SUMIFS(Donnees_generations!$I$3:$I$113,Donnees_generations!$A$3:$A$113,MAX(1915,MIN(2025,E415)))/H415</f>
        <v/>
      </c>
      <c r="AE415" s="14">
        <f>IF(C415="Privé",SUMIFS(Donnees_annuelles!$Y$3:$Y$188,Donnees_annuelles!$A$3:$A$188,M415)*MIN(L415,SUMIFS(Donnees_generations!$I$3:$I$113,Donnees_generations!$A$3:$A$113,MAX(1915,MIN(2025,E415))))/L415,AD415*AC415*MIN(IF(AB415&gt;0,0.8/0.75,1),(L415*4+AB415)/AA415))</f>
        <v/>
      </c>
      <c r="AF415" s="14">
        <f>AE415/12</f>
        <v/>
      </c>
      <c r="AG415" s="77">
        <f>MIN(68,MAX(56,2*INT(K415/2)))</f>
        <v/>
      </c>
      <c r="AH415" s="75">
        <f>(CHOOSE((AG415-56)/2+1,SUMIFS(Donnees_generations!$U$3:$U$113,Donnees_generations!$A$3:$A$113,MAX(1915,MIN(2025,E415))),SUMIFS(Donnees_generations!$V$3:$V$113,Donnees_generations!$A$3:$A$113,MAX(1915,MIN(2025,E415))),SUMIFS(Donnees_generations!$W$3:$W$113,Donnees_generations!$A$3:$A$113,MAX(1915,MIN(2025,E415))),SUMIFS(Donnees_generations!$X$3:$X$113,Donnees_generations!$A$3:$A$113,MAX(1915,MIN(2025,E415))),SUMIFS(Donnees_generations!$Y$3:$Y$113,Donnees_generations!$A$3:$A$113,MAX(1915,MIN(2025,E415))),SUMIFS(Donnees_generations!$Z$3:$Z$113,Donnees_generations!$A$3:$A$113,MAX(1915,MIN(2025,E415))),SUMIFS(Donnees_generations!$AA$3:$AA$113,Donnees_generations!$A$3:$A$113,MAX(1915,MIN(2025,E415))),SUMIFS(Donnees_generations!$AB$3:$AB$113,Donnees_generations!$A$3:$A$113,MAX(1915,MIN(2025,E415))))+CHOOSE((AG415-56)/2+1,SUMIFS(Donnees_generations!$AC$3:$AC$113,Donnees_generations!$A$3:$A$113,MAX(1915,MIN(2025,E415))),SUMIFS(Donnees_generations!$AD$3:$AD$113,Donnees_generations!$A$3:$A$113,MAX(1915,MIN(2025,E415))),SUMIFS(Donnees_generations!$AE$3:$AE$113,Donnees_generations!$A$3:$A$113,MAX(1915,MIN(2025,E415))),SUMIFS(Donnees_generations!$AF$3:$AF$113,Donnees_generations!$A$3:$A$113,MAX(1915,MIN(2025,E415))),SUMIFS(Donnees_generations!$AG$3:$AG$113,Donnees_generations!$A$3:$A$113,MAX(1915,MIN(2025,E415))),SUMIFS(Donnees_generations!$AH$3:$AH$113,Donnees_generations!$A$3:$A$113,MAX(1915,MIN(2025,E415))),SUMIFS(Donnees_generations!$AI$3:$AI$113,Donnees_generations!$A$3:$A$113,MAX(1915,MIN(2025,E415))),SUMIFS(Donnees_generations!$AJ$3:$AJ$113,Donnees_generations!$A$3:$A$113,MAX(1915,MIN(2025,E415)))))/2</f>
        <v/>
      </c>
      <c r="AI415" s="75">
        <f>(CHOOSE(((AG415+2)-56)/2+1,SUMIFS(Donnees_generations!$U$3:$U$113,Donnees_generations!$A$3:$A$113,MAX(1915,MIN(2025,E415))),SUMIFS(Donnees_generations!$V$3:$V$113,Donnees_generations!$A$3:$A$113,MAX(1915,MIN(2025,E415))),SUMIFS(Donnees_generations!$W$3:$W$113,Donnees_generations!$A$3:$A$113,MAX(1915,MIN(2025,E415))),SUMIFS(Donnees_generations!$X$3:$X$113,Donnees_generations!$A$3:$A$113,MAX(1915,MIN(2025,E415))),SUMIFS(Donnees_generations!$Y$3:$Y$113,Donnees_generations!$A$3:$A$113,MAX(1915,MIN(2025,E415))),SUMIFS(Donnees_generations!$Z$3:$Z$113,Donnees_generations!$A$3:$A$113,MAX(1915,MIN(2025,E415))),SUMIFS(Donnees_generations!$AA$3:$AA$113,Donnees_generations!$A$3:$A$113,MAX(1915,MIN(2025,E415))),SUMIFS(Donnees_generations!$AB$3:$AB$113,Donnees_generations!$A$3:$A$113,MAX(1915,MIN(2025,E415))))+CHOOSE(((AG415+2)-56)/2+1,SUMIFS(Donnees_generations!$AC$3:$AC$113,Donnees_generations!$A$3:$A$113,MAX(1915,MIN(2025,E415))),SUMIFS(Donnees_generations!$AD$3:$AD$113,Donnees_generations!$A$3:$A$113,MAX(1915,MIN(2025,E415))),SUMIFS(Donnees_generations!$AE$3:$AE$113,Donnees_generations!$A$3:$A$113,MAX(1915,MIN(2025,E415))),SUMIFS(Donnees_generations!$AF$3:$AF$113,Donnees_generations!$A$3:$A$113,MAX(1915,MIN(2025,E415))),SUMIFS(Donnees_generations!$AG$3:$AG$113,Donnees_generations!$A$3:$A$113,MAX(1915,MIN(2025,E415))),SUMIFS(Donnees_generations!$AH$3:$AH$113,Donnees_generations!$A$3:$A$113,MAX(1915,MIN(2025,E415))),SUMIFS(Donnees_generations!$AI$3:$AI$113,Donnees_generations!$A$3:$A$113,MAX(1915,MIN(2025,E415))),SUMIFS(Donnees_generations!$AJ$3:$AJ$113,Donnees_generations!$A$3:$A$113,MAX(1915,MIN(2025,E415)))))/2</f>
        <v/>
      </c>
      <c r="AJ415" s="8">
        <f>MAX(0,AH415+(AI415-AH415)*(K415-AG415)/2)</f>
        <v/>
      </c>
      <c r="AK415" s="8">
        <f>K415+AJ415</f>
        <v/>
      </c>
      <c r="AL415" s="14">
        <f>AE415*AJ415</f>
        <v/>
      </c>
      <c r="AM415" s="17">
        <f>V415/AL415</f>
        <v/>
      </c>
      <c r="AN415" s="17">
        <f>Z415/AL415</f>
        <v/>
      </c>
      <c r="AO415" s="33">
        <f>IF(V415+Z415=0,0,Z415/(V415+Z415))</f>
        <v/>
      </c>
      <c r="AP415" s="14">
        <f>AL415/V415*100</f>
        <v/>
      </c>
      <c r="AQ415" s="8">
        <f>P415/AL415*1000</f>
        <v/>
      </c>
      <c r="AR415" s="77">
        <f>MAX(N415,M415-1)</f>
        <v/>
      </c>
      <c r="AS415" s="14">
        <f>SUMIFS(Donnees_regimes!$R$3:$R$1118,Donnees_regimes!$A$3:$A$1118,C415,Donnees_regimes!$B$3:$B$1118,"&gt;="&amp;G415,Donnees_regimes!$B$3:$B$1118,"&lt;="&amp;N415)*L415/ROUNDUP(L415,0)*SUMIFS(Donnees_annuelles!$AG$3:$AG$188,Donnees_annuelles!$A$3:$A$188,AR415)*SUMIFS(Donnees_annuelles!$AA$3:$AA$188,Donnees_annuelles!$A$3:$A$188,AR415)</f>
        <v/>
      </c>
      <c r="AT415" s="36">
        <f>AS415/V415</f>
        <v/>
      </c>
      <c r="AU415" s="14">
        <f>AL415</f>
        <v/>
      </c>
      <c r="AV415" s="39">
        <f>AS415-AL415</f>
        <v/>
      </c>
      <c r="AW415" s="9">
        <f>AS415/AL415-1</f>
        <v/>
      </c>
      <c r="AX415" s="14">
        <f>AS415/AJ415/12</f>
        <v/>
      </c>
      <c r="AY415" s="14">
        <f>AF415</f>
        <v/>
      </c>
      <c r="AZ415" s="39">
        <f>AX415-AF415</f>
        <v/>
      </c>
      <c r="BA415" s="14">
        <f>SUMIFS(Donnees_regimes!$S$3:$S$1118,Donnees_regimes!$A$3:$A$1118,C415,Donnees_regimes!$B$3:$B$1118,"&gt;="&amp;G415,Donnees_regimes!$B$3:$B$1118,"&lt;="&amp;N415)*L415/ROUNDUP(L415,0)*SUMIFS(Donnees_annuelles!$AH$3:$AH$188,Donnees_annuelles!$A$3:$A$188,AR415)*SUMIFS(Donnees_annuelles!$AA$3:$AA$188,Donnees_annuelles!$A$3:$A$188,AR415)</f>
        <v/>
      </c>
      <c r="BB415" s="39">
        <f>BA415-AL415</f>
        <v/>
      </c>
      <c r="BC415" s="7">
        <f>IF(M415+AJ415&gt;2026,IF(G415&gt;2026,"entièrement projeté","en partie projeté"),"observé")</f>
        <v/>
      </c>
    </row>
    <row r="416">
      <c r="A416" s="7" t="inlineStr">
        <is>
          <t>Baby-boomers</t>
        </is>
      </c>
      <c r="B416" s="84" t="inlineStr">
        <is>
          <t>RATP</t>
        </is>
      </c>
      <c r="C416" s="7">
        <f>IF(G416&gt;=SUMIFS(Regimes!$C$5:$C$10,Regimes!$A$5:$A$10,B416),"Privé",B416)</f>
        <v/>
      </c>
      <c r="D416" s="7">
        <f>INDEX(Regimes!$D$5:$D$10,MATCH(C416,Regimes!$A$5:$A$10,0))</f>
        <v/>
      </c>
      <c r="E416" s="88" t="n">
        <v>1949</v>
      </c>
      <c r="F416" s="8">
        <f>Donnees_generations!C37</f>
        <v/>
      </c>
      <c r="G416" s="77">
        <f>Donnees_generations!D37</f>
        <v/>
      </c>
      <c r="H416" s="8">
        <f>SUMIFS(Donnees_generations!$S$3:$S$113,Donnees_generations!$A$3:$A$113,MAX(1915,MIN(2025,E416)))</f>
        <v/>
      </c>
      <c r="I416" s="8">
        <f>SUMIFS(Donnees_generations!$T$3:$T$113,Donnees_generations!$A$3:$A$113,MAX(1915,MIN(2025,E416)))</f>
        <v/>
      </c>
      <c r="J416" s="8">
        <f>IF(G416&gt;=2000,MAX(I416,Parametres!$B$3),I416)</f>
        <v/>
      </c>
      <c r="K416" s="8">
        <f>IF(C416="Privé",J416,SUMIFS(Regles_regimes!$J$3:$J$2000,Regles_regimes!$A$3:$A$2000,C416,Regles_regimes!$B$3:$B$2000,D416,Regles_regimes!$C$3:$C$2000,MAX(1915,MIN(2025,E416))))</f>
        <v/>
      </c>
      <c r="L416" s="8">
        <f>IF(C416="Privé",H416,(K416-F416)*H416/(J416-F416))</f>
        <v/>
      </c>
      <c r="M416" s="77">
        <f>INT(E416+K416)</f>
        <v/>
      </c>
      <c r="N416" s="77">
        <f>G416+ROUNDUP(L416,0)-1</f>
        <v/>
      </c>
      <c r="O416" s="89">
        <f>SUMIFS(Regles_regimes!$K$3:$K$2000,Regles_regimes!$A$3:$A$2000,C416,Regles_regimes!$B$3:$B$2000,D416,Regles_regimes!$C$3:$C$2000,MAX(1915,MIN(2025,E416)))</f>
        <v/>
      </c>
      <c r="P416" s="13">
        <f>SUMIFS(Donnees_annuelles!$W$3:$W$188,Donnees_annuelles!$A$3:$A$188,"&gt;="&amp;G416,Donnees_annuelles!$A$3:$A$188,"&lt;="&amp;N416)*L416/ROUNDUP(L416,0)*O416</f>
        <v/>
      </c>
      <c r="Q416" s="13">
        <f>SUMIFS(Donnees_annuelles!$V$3:$V$188,Donnees_annuelles!$A$3:$A$188,"&gt;="&amp;G416,Donnees_annuelles!$A$3:$A$188,"&lt;="&amp;N416)*L416/ROUNDUP(L416,0)</f>
        <v/>
      </c>
      <c r="R416" s="13">
        <f>P416/L416</f>
        <v/>
      </c>
      <c r="S416" s="14">
        <f>SUMIFS(Donnees_annuelles!$D$3:$D$188,Donnees_annuelles!$A$3:$A$188,"&gt;="&amp;G416,Donnees_annuelles!$A$3:$A$188,"&lt;="&amp;N416)*L416/ROUNDUP(L416,0)</f>
        <v/>
      </c>
      <c r="T416" s="14">
        <f>SUMIFS(Donnees_regimes!$N$3:$N$1118,Donnees_regimes!$A$3:$A$1118,C416,Donnees_regimes!$B$3:$B$1118,"&gt;="&amp;G416,Donnees_regimes!$B$3:$B$1118,"&lt;="&amp;N416)*L416/ROUNDUP(L416,0)</f>
        <v/>
      </c>
      <c r="U416" s="14">
        <f>SUMIFS(Donnees_regimes!$O$3:$O$1118,Donnees_regimes!$A$3:$A$1118,C416,Donnees_regimes!$B$3:$B$1118,"&gt;="&amp;G416,Donnees_regimes!$B$3:$B$1118,"&lt;="&amp;N416)*L416/ROUNDUP(L416,0)</f>
        <v/>
      </c>
      <c r="V416" s="14">
        <f>T416+U416</f>
        <v/>
      </c>
      <c r="W416" s="33">
        <f>V416/S416</f>
        <v/>
      </c>
      <c r="X416" s="14">
        <f>S416+U416</f>
        <v/>
      </c>
      <c r="Y416" s="17">
        <f>V416/P416</f>
        <v/>
      </c>
      <c r="Z416" s="14">
        <f>SUMIFS(Donnees_regimes!$Q$3:$Q$1118,Donnees_regimes!$A$3:$A$1118,C416,Donnees_regimes!$B$3:$B$1118,"&gt;="&amp;G416,Donnees_regimes!$B$3:$B$1118,"&lt;="&amp;N416)*L416/ROUNDUP(L416,0)</f>
        <v/>
      </c>
      <c r="AA416" s="77">
        <f>SUMIFS(Regles_regimes!$F$3:$F$2000,Regles_regimes!$A$3:$A$2000,C416,Regles_regimes!$B$3:$B$2000,D416,Regles_regimes!$C$3:$C$2000,MAX(1915,MIN(2025,E416)))</f>
        <v/>
      </c>
      <c r="AB416" s="77">
        <f>IF(AND(SUMIFS(Regles_regimes!$L$3:$L$2000,Regles_regimes!$A$3:$A$2000,C416,Regles_regimes!$B$3:$B$2000,D416,Regles_regimes!$C$3:$C$2000,MAX(1915,MIN(2025,E416)))=1,G416&lt;2009,C416&lt;&gt;"Privé"),MIN(20,L416*4/5),0)</f>
        <v/>
      </c>
      <c r="AC416" s="89">
        <f>SUMIFS(Donnees_regimes!$M$3:$M$1118,Donnees_regimes!$A$3:$A$1118,C416,Donnees_regimes!$B$3:$B$1118,M416)</f>
        <v/>
      </c>
      <c r="AD416" s="14">
        <f>SUMIFS(Donnees_annuelles!$Y$3:$Y$188,Donnees_annuelles!$A$3:$A$188,M416)*SUMIFS(Donnees_generations!$I$3:$I$113,Donnees_generations!$A$3:$A$113,MAX(1915,MIN(2025,E416)))/H416</f>
        <v/>
      </c>
      <c r="AE416" s="14">
        <f>IF(C416="Privé",SUMIFS(Donnees_annuelles!$Y$3:$Y$188,Donnees_annuelles!$A$3:$A$188,M416)*MIN(L416,SUMIFS(Donnees_generations!$I$3:$I$113,Donnees_generations!$A$3:$A$113,MAX(1915,MIN(2025,E416))))/L416,AD416*AC416*MIN(IF(AB416&gt;0,0.8/0.75,1),(L416*4+AB416)/AA416))</f>
        <v/>
      </c>
      <c r="AF416" s="14">
        <f>AE416/12</f>
        <v/>
      </c>
      <c r="AG416" s="77">
        <f>MIN(68,MAX(56,2*INT(K416/2)))</f>
        <v/>
      </c>
      <c r="AH416" s="75">
        <f>(CHOOSE((AG416-56)/2+1,SUMIFS(Donnees_generations!$U$3:$U$113,Donnees_generations!$A$3:$A$113,MAX(1915,MIN(2025,E416))),SUMIFS(Donnees_generations!$V$3:$V$113,Donnees_generations!$A$3:$A$113,MAX(1915,MIN(2025,E416))),SUMIFS(Donnees_generations!$W$3:$W$113,Donnees_generations!$A$3:$A$113,MAX(1915,MIN(2025,E416))),SUMIFS(Donnees_generations!$X$3:$X$113,Donnees_generations!$A$3:$A$113,MAX(1915,MIN(2025,E416))),SUMIFS(Donnees_generations!$Y$3:$Y$113,Donnees_generations!$A$3:$A$113,MAX(1915,MIN(2025,E416))),SUMIFS(Donnees_generations!$Z$3:$Z$113,Donnees_generations!$A$3:$A$113,MAX(1915,MIN(2025,E416))),SUMIFS(Donnees_generations!$AA$3:$AA$113,Donnees_generations!$A$3:$A$113,MAX(1915,MIN(2025,E416))),SUMIFS(Donnees_generations!$AB$3:$AB$113,Donnees_generations!$A$3:$A$113,MAX(1915,MIN(2025,E416))))+CHOOSE((AG416-56)/2+1,SUMIFS(Donnees_generations!$AC$3:$AC$113,Donnees_generations!$A$3:$A$113,MAX(1915,MIN(2025,E416))),SUMIFS(Donnees_generations!$AD$3:$AD$113,Donnees_generations!$A$3:$A$113,MAX(1915,MIN(2025,E416))),SUMIFS(Donnees_generations!$AE$3:$AE$113,Donnees_generations!$A$3:$A$113,MAX(1915,MIN(2025,E416))),SUMIFS(Donnees_generations!$AF$3:$AF$113,Donnees_generations!$A$3:$A$113,MAX(1915,MIN(2025,E416))),SUMIFS(Donnees_generations!$AG$3:$AG$113,Donnees_generations!$A$3:$A$113,MAX(1915,MIN(2025,E416))),SUMIFS(Donnees_generations!$AH$3:$AH$113,Donnees_generations!$A$3:$A$113,MAX(1915,MIN(2025,E416))),SUMIFS(Donnees_generations!$AI$3:$AI$113,Donnees_generations!$A$3:$A$113,MAX(1915,MIN(2025,E416))),SUMIFS(Donnees_generations!$AJ$3:$AJ$113,Donnees_generations!$A$3:$A$113,MAX(1915,MIN(2025,E416)))))/2</f>
        <v/>
      </c>
      <c r="AI416" s="75">
        <f>(CHOOSE(((AG416+2)-56)/2+1,SUMIFS(Donnees_generations!$U$3:$U$113,Donnees_generations!$A$3:$A$113,MAX(1915,MIN(2025,E416))),SUMIFS(Donnees_generations!$V$3:$V$113,Donnees_generations!$A$3:$A$113,MAX(1915,MIN(2025,E416))),SUMIFS(Donnees_generations!$W$3:$W$113,Donnees_generations!$A$3:$A$113,MAX(1915,MIN(2025,E416))),SUMIFS(Donnees_generations!$X$3:$X$113,Donnees_generations!$A$3:$A$113,MAX(1915,MIN(2025,E416))),SUMIFS(Donnees_generations!$Y$3:$Y$113,Donnees_generations!$A$3:$A$113,MAX(1915,MIN(2025,E416))),SUMIFS(Donnees_generations!$Z$3:$Z$113,Donnees_generations!$A$3:$A$113,MAX(1915,MIN(2025,E416))),SUMIFS(Donnees_generations!$AA$3:$AA$113,Donnees_generations!$A$3:$A$113,MAX(1915,MIN(2025,E416))),SUMIFS(Donnees_generations!$AB$3:$AB$113,Donnees_generations!$A$3:$A$113,MAX(1915,MIN(2025,E416))))+CHOOSE(((AG416+2)-56)/2+1,SUMIFS(Donnees_generations!$AC$3:$AC$113,Donnees_generations!$A$3:$A$113,MAX(1915,MIN(2025,E416))),SUMIFS(Donnees_generations!$AD$3:$AD$113,Donnees_generations!$A$3:$A$113,MAX(1915,MIN(2025,E416))),SUMIFS(Donnees_generations!$AE$3:$AE$113,Donnees_generations!$A$3:$A$113,MAX(1915,MIN(2025,E416))),SUMIFS(Donnees_generations!$AF$3:$AF$113,Donnees_generations!$A$3:$A$113,MAX(1915,MIN(2025,E416))),SUMIFS(Donnees_generations!$AG$3:$AG$113,Donnees_generations!$A$3:$A$113,MAX(1915,MIN(2025,E416))),SUMIFS(Donnees_generations!$AH$3:$AH$113,Donnees_generations!$A$3:$A$113,MAX(1915,MIN(2025,E416))),SUMIFS(Donnees_generations!$AI$3:$AI$113,Donnees_generations!$A$3:$A$113,MAX(1915,MIN(2025,E416))),SUMIFS(Donnees_generations!$AJ$3:$AJ$113,Donnees_generations!$A$3:$A$113,MAX(1915,MIN(2025,E416)))))/2</f>
        <v/>
      </c>
      <c r="AJ416" s="8">
        <f>MAX(0,AH416+(AI416-AH416)*(K416-AG416)/2)</f>
        <v/>
      </c>
      <c r="AK416" s="8">
        <f>K416+AJ416</f>
        <v/>
      </c>
      <c r="AL416" s="14">
        <f>AE416*AJ416</f>
        <v/>
      </c>
      <c r="AM416" s="17">
        <f>V416/AL416</f>
        <v/>
      </c>
      <c r="AN416" s="17">
        <f>Z416/AL416</f>
        <v/>
      </c>
      <c r="AO416" s="33">
        <f>IF(V416+Z416=0,0,Z416/(V416+Z416))</f>
        <v/>
      </c>
      <c r="AP416" s="14">
        <f>AL416/V416*100</f>
        <v/>
      </c>
      <c r="AQ416" s="8">
        <f>P416/AL416*1000</f>
        <v/>
      </c>
      <c r="AR416" s="77">
        <f>MAX(N416,M416-1)</f>
        <v/>
      </c>
      <c r="AS416" s="14">
        <f>SUMIFS(Donnees_regimes!$R$3:$R$1118,Donnees_regimes!$A$3:$A$1118,C416,Donnees_regimes!$B$3:$B$1118,"&gt;="&amp;G416,Donnees_regimes!$B$3:$B$1118,"&lt;="&amp;N416)*L416/ROUNDUP(L416,0)*SUMIFS(Donnees_annuelles!$AG$3:$AG$188,Donnees_annuelles!$A$3:$A$188,AR416)*SUMIFS(Donnees_annuelles!$AA$3:$AA$188,Donnees_annuelles!$A$3:$A$188,AR416)</f>
        <v/>
      </c>
      <c r="AT416" s="36">
        <f>AS416/V416</f>
        <v/>
      </c>
      <c r="AU416" s="14">
        <f>AL416</f>
        <v/>
      </c>
      <c r="AV416" s="39">
        <f>AS416-AL416</f>
        <v/>
      </c>
      <c r="AW416" s="9">
        <f>AS416/AL416-1</f>
        <v/>
      </c>
      <c r="AX416" s="14">
        <f>AS416/AJ416/12</f>
        <v/>
      </c>
      <c r="AY416" s="14">
        <f>AF416</f>
        <v/>
      </c>
      <c r="AZ416" s="39">
        <f>AX416-AF416</f>
        <v/>
      </c>
      <c r="BA416" s="14">
        <f>SUMIFS(Donnees_regimes!$S$3:$S$1118,Donnees_regimes!$A$3:$A$1118,C416,Donnees_regimes!$B$3:$B$1118,"&gt;="&amp;G416,Donnees_regimes!$B$3:$B$1118,"&lt;="&amp;N416)*L416/ROUNDUP(L416,0)*SUMIFS(Donnees_annuelles!$AH$3:$AH$188,Donnees_annuelles!$A$3:$A$188,AR416)*SUMIFS(Donnees_annuelles!$AA$3:$AA$188,Donnees_annuelles!$A$3:$A$188,AR416)</f>
        <v/>
      </c>
      <c r="BB416" s="39">
        <f>BA416-AL416</f>
        <v/>
      </c>
      <c r="BC416" s="7">
        <f>IF(M416+AJ416&gt;2026,IF(G416&gt;2026,"entièrement projeté","en partie projeté"),"observé")</f>
        <v/>
      </c>
    </row>
    <row r="417">
      <c r="A417" s="7" t="inlineStr">
        <is>
          <t>Baby-boomers</t>
        </is>
      </c>
      <c r="B417" s="84" t="inlineStr">
        <is>
          <t>RATP</t>
        </is>
      </c>
      <c r="C417" s="7">
        <f>IF(G417&gt;=SUMIFS(Regimes!$C$5:$C$10,Regimes!$A$5:$A$10,B417),"Privé",B417)</f>
        <v/>
      </c>
      <c r="D417" s="7">
        <f>INDEX(Regimes!$D$5:$D$10,MATCH(C417,Regimes!$A$5:$A$10,0))</f>
        <v/>
      </c>
      <c r="E417" s="88" t="n">
        <v>1950</v>
      </c>
      <c r="F417" s="8">
        <f>Donnees_generations!C38</f>
        <v/>
      </c>
      <c r="G417" s="77">
        <f>Donnees_generations!D38</f>
        <v/>
      </c>
      <c r="H417" s="8">
        <f>SUMIFS(Donnees_generations!$S$3:$S$113,Donnees_generations!$A$3:$A$113,MAX(1915,MIN(2025,E417)))</f>
        <v/>
      </c>
      <c r="I417" s="8">
        <f>SUMIFS(Donnees_generations!$T$3:$T$113,Donnees_generations!$A$3:$A$113,MAX(1915,MIN(2025,E417)))</f>
        <v/>
      </c>
      <c r="J417" s="8">
        <f>IF(G417&gt;=2000,MAX(I417,Parametres!$B$3),I417)</f>
        <v/>
      </c>
      <c r="K417" s="8">
        <f>IF(C417="Privé",J417,SUMIFS(Regles_regimes!$J$3:$J$2000,Regles_regimes!$A$3:$A$2000,C417,Regles_regimes!$B$3:$B$2000,D417,Regles_regimes!$C$3:$C$2000,MAX(1915,MIN(2025,E417))))</f>
        <v/>
      </c>
      <c r="L417" s="8">
        <f>IF(C417="Privé",H417,(K417-F417)*H417/(J417-F417))</f>
        <v/>
      </c>
      <c r="M417" s="77">
        <f>INT(E417+K417)</f>
        <v/>
      </c>
      <c r="N417" s="77">
        <f>G417+ROUNDUP(L417,0)-1</f>
        <v/>
      </c>
      <c r="O417" s="89">
        <f>SUMIFS(Regles_regimes!$K$3:$K$2000,Regles_regimes!$A$3:$A$2000,C417,Regles_regimes!$B$3:$B$2000,D417,Regles_regimes!$C$3:$C$2000,MAX(1915,MIN(2025,E417)))</f>
        <v/>
      </c>
      <c r="P417" s="13">
        <f>SUMIFS(Donnees_annuelles!$W$3:$W$188,Donnees_annuelles!$A$3:$A$188,"&gt;="&amp;G417,Donnees_annuelles!$A$3:$A$188,"&lt;="&amp;N417)*L417/ROUNDUP(L417,0)*O417</f>
        <v/>
      </c>
      <c r="Q417" s="13">
        <f>SUMIFS(Donnees_annuelles!$V$3:$V$188,Donnees_annuelles!$A$3:$A$188,"&gt;="&amp;G417,Donnees_annuelles!$A$3:$A$188,"&lt;="&amp;N417)*L417/ROUNDUP(L417,0)</f>
        <v/>
      </c>
      <c r="R417" s="13">
        <f>P417/L417</f>
        <v/>
      </c>
      <c r="S417" s="14">
        <f>SUMIFS(Donnees_annuelles!$D$3:$D$188,Donnees_annuelles!$A$3:$A$188,"&gt;="&amp;G417,Donnees_annuelles!$A$3:$A$188,"&lt;="&amp;N417)*L417/ROUNDUP(L417,0)</f>
        <v/>
      </c>
      <c r="T417" s="14">
        <f>SUMIFS(Donnees_regimes!$N$3:$N$1118,Donnees_regimes!$A$3:$A$1118,C417,Donnees_regimes!$B$3:$B$1118,"&gt;="&amp;G417,Donnees_regimes!$B$3:$B$1118,"&lt;="&amp;N417)*L417/ROUNDUP(L417,0)</f>
        <v/>
      </c>
      <c r="U417" s="14">
        <f>SUMIFS(Donnees_regimes!$O$3:$O$1118,Donnees_regimes!$A$3:$A$1118,C417,Donnees_regimes!$B$3:$B$1118,"&gt;="&amp;G417,Donnees_regimes!$B$3:$B$1118,"&lt;="&amp;N417)*L417/ROUNDUP(L417,0)</f>
        <v/>
      </c>
      <c r="V417" s="14">
        <f>T417+U417</f>
        <v/>
      </c>
      <c r="W417" s="33">
        <f>V417/S417</f>
        <v/>
      </c>
      <c r="X417" s="14">
        <f>S417+U417</f>
        <v/>
      </c>
      <c r="Y417" s="17">
        <f>V417/P417</f>
        <v/>
      </c>
      <c r="Z417" s="14">
        <f>SUMIFS(Donnees_regimes!$Q$3:$Q$1118,Donnees_regimes!$A$3:$A$1118,C417,Donnees_regimes!$B$3:$B$1118,"&gt;="&amp;G417,Donnees_regimes!$B$3:$B$1118,"&lt;="&amp;N417)*L417/ROUNDUP(L417,0)</f>
        <v/>
      </c>
      <c r="AA417" s="77">
        <f>SUMIFS(Regles_regimes!$F$3:$F$2000,Regles_regimes!$A$3:$A$2000,C417,Regles_regimes!$B$3:$B$2000,D417,Regles_regimes!$C$3:$C$2000,MAX(1915,MIN(2025,E417)))</f>
        <v/>
      </c>
      <c r="AB417" s="77">
        <f>IF(AND(SUMIFS(Regles_regimes!$L$3:$L$2000,Regles_regimes!$A$3:$A$2000,C417,Regles_regimes!$B$3:$B$2000,D417,Regles_regimes!$C$3:$C$2000,MAX(1915,MIN(2025,E417)))=1,G417&lt;2009,C417&lt;&gt;"Privé"),MIN(20,L417*4/5),0)</f>
        <v/>
      </c>
      <c r="AC417" s="89">
        <f>SUMIFS(Donnees_regimes!$M$3:$M$1118,Donnees_regimes!$A$3:$A$1118,C417,Donnees_regimes!$B$3:$B$1118,M417)</f>
        <v/>
      </c>
      <c r="AD417" s="14">
        <f>SUMIFS(Donnees_annuelles!$Y$3:$Y$188,Donnees_annuelles!$A$3:$A$188,M417)*SUMIFS(Donnees_generations!$I$3:$I$113,Donnees_generations!$A$3:$A$113,MAX(1915,MIN(2025,E417)))/H417</f>
        <v/>
      </c>
      <c r="AE417" s="14">
        <f>IF(C417="Privé",SUMIFS(Donnees_annuelles!$Y$3:$Y$188,Donnees_annuelles!$A$3:$A$188,M417)*MIN(L417,SUMIFS(Donnees_generations!$I$3:$I$113,Donnees_generations!$A$3:$A$113,MAX(1915,MIN(2025,E417))))/L417,AD417*AC417*MIN(IF(AB417&gt;0,0.8/0.75,1),(L417*4+AB417)/AA417))</f>
        <v/>
      </c>
      <c r="AF417" s="14">
        <f>AE417/12</f>
        <v/>
      </c>
      <c r="AG417" s="77">
        <f>MIN(68,MAX(56,2*INT(K417/2)))</f>
        <v/>
      </c>
      <c r="AH417" s="75">
        <f>(CHOOSE((AG417-56)/2+1,SUMIFS(Donnees_generations!$U$3:$U$113,Donnees_generations!$A$3:$A$113,MAX(1915,MIN(2025,E417))),SUMIFS(Donnees_generations!$V$3:$V$113,Donnees_generations!$A$3:$A$113,MAX(1915,MIN(2025,E417))),SUMIFS(Donnees_generations!$W$3:$W$113,Donnees_generations!$A$3:$A$113,MAX(1915,MIN(2025,E417))),SUMIFS(Donnees_generations!$X$3:$X$113,Donnees_generations!$A$3:$A$113,MAX(1915,MIN(2025,E417))),SUMIFS(Donnees_generations!$Y$3:$Y$113,Donnees_generations!$A$3:$A$113,MAX(1915,MIN(2025,E417))),SUMIFS(Donnees_generations!$Z$3:$Z$113,Donnees_generations!$A$3:$A$113,MAX(1915,MIN(2025,E417))),SUMIFS(Donnees_generations!$AA$3:$AA$113,Donnees_generations!$A$3:$A$113,MAX(1915,MIN(2025,E417))),SUMIFS(Donnees_generations!$AB$3:$AB$113,Donnees_generations!$A$3:$A$113,MAX(1915,MIN(2025,E417))))+CHOOSE((AG417-56)/2+1,SUMIFS(Donnees_generations!$AC$3:$AC$113,Donnees_generations!$A$3:$A$113,MAX(1915,MIN(2025,E417))),SUMIFS(Donnees_generations!$AD$3:$AD$113,Donnees_generations!$A$3:$A$113,MAX(1915,MIN(2025,E417))),SUMIFS(Donnees_generations!$AE$3:$AE$113,Donnees_generations!$A$3:$A$113,MAX(1915,MIN(2025,E417))),SUMIFS(Donnees_generations!$AF$3:$AF$113,Donnees_generations!$A$3:$A$113,MAX(1915,MIN(2025,E417))),SUMIFS(Donnees_generations!$AG$3:$AG$113,Donnees_generations!$A$3:$A$113,MAX(1915,MIN(2025,E417))),SUMIFS(Donnees_generations!$AH$3:$AH$113,Donnees_generations!$A$3:$A$113,MAX(1915,MIN(2025,E417))),SUMIFS(Donnees_generations!$AI$3:$AI$113,Donnees_generations!$A$3:$A$113,MAX(1915,MIN(2025,E417))),SUMIFS(Donnees_generations!$AJ$3:$AJ$113,Donnees_generations!$A$3:$A$113,MAX(1915,MIN(2025,E417)))))/2</f>
        <v/>
      </c>
      <c r="AI417" s="75">
        <f>(CHOOSE(((AG417+2)-56)/2+1,SUMIFS(Donnees_generations!$U$3:$U$113,Donnees_generations!$A$3:$A$113,MAX(1915,MIN(2025,E417))),SUMIFS(Donnees_generations!$V$3:$V$113,Donnees_generations!$A$3:$A$113,MAX(1915,MIN(2025,E417))),SUMIFS(Donnees_generations!$W$3:$W$113,Donnees_generations!$A$3:$A$113,MAX(1915,MIN(2025,E417))),SUMIFS(Donnees_generations!$X$3:$X$113,Donnees_generations!$A$3:$A$113,MAX(1915,MIN(2025,E417))),SUMIFS(Donnees_generations!$Y$3:$Y$113,Donnees_generations!$A$3:$A$113,MAX(1915,MIN(2025,E417))),SUMIFS(Donnees_generations!$Z$3:$Z$113,Donnees_generations!$A$3:$A$113,MAX(1915,MIN(2025,E417))),SUMIFS(Donnees_generations!$AA$3:$AA$113,Donnees_generations!$A$3:$A$113,MAX(1915,MIN(2025,E417))),SUMIFS(Donnees_generations!$AB$3:$AB$113,Donnees_generations!$A$3:$A$113,MAX(1915,MIN(2025,E417))))+CHOOSE(((AG417+2)-56)/2+1,SUMIFS(Donnees_generations!$AC$3:$AC$113,Donnees_generations!$A$3:$A$113,MAX(1915,MIN(2025,E417))),SUMIFS(Donnees_generations!$AD$3:$AD$113,Donnees_generations!$A$3:$A$113,MAX(1915,MIN(2025,E417))),SUMIFS(Donnees_generations!$AE$3:$AE$113,Donnees_generations!$A$3:$A$113,MAX(1915,MIN(2025,E417))),SUMIFS(Donnees_generations!$AF$3:$AF$113,Donnees_generations!$A$3:$A$113,MAX(1915,MIN(2025,E417))),SUMIFS(Donnees_generations!$AG$3:$AG$113,Donnees_generations!$A$3:$A$113,MAX(1915,MIN(2025,E417))),SUMIFS(Donnees_generations!$AH$3:$AH$113,Donnees_generations!$A$3:$A$113,MAX(1915,MIN(2025,E417))),SUMIFS(Donnees_generations!$AI$3:$AI$113,Donnees_generations!$A$3:$A$113,MAX(1915,MIN(2025,E417))),SUMIFS(Donnees_generations!$AJ$3:$AJ$113,Donnees_generations!$A$3:$A$113,MAX(1915,MIN(2025,E417)))))/2</f>
        <v/>
      </c>
      <c r="AJ417" s="8">
        <f>MAX(0,AH417+(AI417-AH417)*(K417-AG417)/2)</f>
        <v/>
      </c>
      <c r="AK417" s="8">
        <f>K417+AJ417</f>
        <v/>
      </c>
      <c r="AL417" s="14">
        <f>AE417*AJ417</f>
        <v/>
      </c>
      <c r="AM417" s="17">
        <f>V417/AL417</f>
        <v/>
      </c>
      <c r="AN417" s="17">
        <f>Z417/AL417</f>
        <v/>
      </c>
      <c r="AO417" s="33">
        <f>IF(V417+Z417=0,0,Z417/(V417+Z417))</f>
        <v/>
      </c>
      <c r="AP417" s="14">
        <f>AL417/V417*100</f>
        <v/>
      </c>
      <c r="AQ417" s="8">
        <f>P417/AL417*1000</f>
        <v/>
      </c>
      <c r="AR417" s="77">
        <f>MAX(N417,M417-1)</f>
        <v/>
      </c>
      <c r="AS417" s="14">
        <f>SUMIFS(Donnees_regimes!$R$3:$R$1118,Donnees_regimes!$A$3:$A$1118,C417,Donnees_regimes!$B$3:$B$1118,"&gt;="&amp;G417,Donnees_regimes!$B$3:$B$1118,"&lt;="&amp;N417)*L417/ROUNDUP(L417,0)*SUMIFS(Donnees_annuelles!$AG$3:$AG$188,Donnees_annuelles!$A$3:$A$188,AR417)*SUMIFS(Donnees_annuelles!$AA$3:$AA$188,Donnees_annuelles!$A$3:$A$188,AR417)</f>
        <v/>
      </c>
      <c r="AT417" s="36">
        <f>AS417/V417</f>
        <v/>
      </c>
      <c r="AU417" s="14">
        <f>AL417</f>
        <v/>
      </c>
      <c r="AV417" s="39">
        <f>AS417-AL417</f>
        <v/>
      </c>
      <c r="AW417" s="9">
        <f>AS417/AL417-1</f>
        <v/>
      </c>
      <c r="AX417" s="14">
        <f>AS417/AJ417/12</f>
        <v/>
      </c>
      <c r="AY417" s="14">
        <f>AF417</f>
        <v/>
      </c>
      <c r="AZ417" s="39">
        <f>AX417-AF417</f>
        <v/>
      </c>
      <c r="BA417" s="14">
        <f>SUMIFS(Donnees_regimes!$S$3:$S$1118,Donnees_regimes!$A$3:$A$1118,C417,Donnees_regimes!$B$3:$B$1118,"&gt;="&amp;G417,Donnees_regimes!$B$3:$B$1118,"&lt;="&amp;N417)*L417/ROUNDUP(L417,0)*SUMIFS(Donnees_annuelles!$AH$3:$AH$188,Donnees_annuelles!$A$3:$A$188,AR417)*SUMIFS(Donnees_annuelles!$AA$3:$AA$188,Donnees_annuelles!$A$3:$A$188,AR417)</f>
        <v/>
      </c>
      <c r="BB417" s="39">
        <f>BA417-AL417</f>
        <v/>
      </c>
      <c r="BC417" s="7">
        <f>IF(M417+AJ417&gt;2026,IF(G417&gt;2026,"entièrement projeté","en partie projeté"),"observé")</f>
        <v/>
      </c>
    </row>
    <row r="418">
      <c r="A418" s="7" t="inlineStr">
        <is>
          <t>Baby-boomers</t>
        </is>
      </c>
      <c r="B418" s="84" t="inlineStr">
        <is>
          <t>RATP</t>
        </is>
      </c>
      <c r="C418" s="7">
        <f>IF(G418&gt;=SUMIFS(Regimes!$C$5:$C$10,Regimes!$A$5:$A$10,B418),"Privé",B418)</f>
        <v/>
      </c>
      <c r="D418" s="7">
        <f>INDEX(Regimes!$D$5:$D$10,MATCH(C418,Regimes!$A$5:$A$10,0))</f>
        <v/>
      </c>
      <c r="E418" s="88" t="n">
        <v>1951</v>
      </c>
      <c r="F418" s="8">
        <f>Donnees_generations!C39</f>
        <v/>
      </c>
      <c r="G418" s="77">
        <f>Donnees_generations!D39</f>
        <v/>
      </c>
      <c r="H418" s="8">
        <f>SUMIFS(Donnees_generations!$S$3:$S$113,Donnees_generations!$A$3:$A$113,MAX(1915,MIN(2025,E418)))</f>
        <v/>
      </c>
      <c r="I418" s="8">
        <f>SUMIFS(Donnees_generations!$T$3:$T$113,Donnees_generations!$A$3:$A$113,MAX(1915,MIN(2025,E418)))</f>
        <v/>
      </c>
      <c r="J418" s="8">
        <f>IF(G418&gt;=2000,MAX(I418,Parametres!$B$3),I418)</f>
        <v/>
      </c>
      <c r="K418" s="8">
        <f>IF(C418="Privé",J418,SUMIFS(Regles_regimes!$J$3:$J$2000,Regles_regimes!$A$3:$A$2000,C418,Regles_regimes!$B$3:$B$2000,D418,Regles_regimes!$C$3:$C$2000,MAX(1915,MIN(2025,E418))))</f>
        <v/>
      </c>
      <c r="L418" s="8">
        <f>IF(C418="Privé",H418,(K418-F418)*H418/(J418-F418))</f>
        <v/>
      </c>
      <c r="M418" s="77">
        <f>INT(E418+K418)</f>
        <v/>
      </c>
      <c r="N418" s="77">
        <f>G418+ROUNDUP(L418,0)-1</f>
        <v/>
      </c>
      <c r="O418" s="89">
        <f>SUMIFS(Regles_regimes!$K$3:$K$2000,Regles_regimes!$A$3:$A$2000,C418,Regles_regimes!$B$3:$B$2000,D418,Regles_regimes!$C$3:$C$2000,MAX(1915,MIN(2025,E418)))</f>
        <v/>
      </c>
      <c r="P418" s="13">
        <f>SUMIFS(Donnees_annuelles!$W$3:$W$188,Donnees_annuelles!$A$3:$A$188,"&gt;="&amp;G418,Donnees_annuelles!$A$3:$A$188,"&lt;="&amp;N418)*L418/ROUNDUP(L418,0)*O418</f>
        <v/>
      </c>
      <c r="Q418" s="13">
        <f>SUMIFS(Donnees_annuelles!$V$3:$V$188,Donnees_annuelles!$A$3:$A$188,"&gt;="&amp;G418,Donnees_annuelles!$A$3:$A$188,"&lt;="&amp;N418)*L418/ROUNDUP(L418,0)</f>
        <v/>
      </c>
      <c r="R418" s="13">
        <f>P418/L418</f>
        <v/>
      </c>
      <c r="S418" s="14">
        <f>SUMIFS(Donnees_annuelles!$D$3:$D$188,Donnees_annuelles!$A$3:$A$188,"&gt;="&amp;G418,Donnees_annuelles!$A$3:$A$188,"&lt;="&amp;N418)*L418/ROUNDUP(L418,0)</f>
        <v/>
      </c>
      <c r="T418" s="14">
        <f>SUMIFS(Donnees_regimes!$N$3:$N$1118,Donnees_regimes!$A$3:$A$1118,C418,Donnees_regimes!$B$3:$B$1118,"&gt;="&amp;G418,Donnees_regimes!$B$3:$B$1118,"&lt;="&amp;N418)*L418/ROUNDUP(L418,0)</f>
        <v/>
      </c>
      <c r="U418" s="14">
        <f>SUMIFS(Donnees_regimes!$O$3:$O$1118,Donnees_regimes!$A$3:$A$1118,C418,Donnees_regimes!$B$3:$B$1118,"&gt;="&amp;G418,Donnees_regimes!$B$3:$B$1118,"&lt;="&amp;N418)*L418/ROUNDUP(L418,0)</f>
        <v/>
      </c>
      <c r="V418" s="14">
        <f>T418+U418</f>
        <v/>
      </c>
      <c r="W418" s="33">
        <f>V418/S418</f>
        <v/>
      </c>
      <c r="X418" s="14">
        <f>S418+U418</f>
        <v/>
      </c>
      <c r="Y418" s="17">
        <f>V418/P418</f>
        <v/>
      </c>
      <c r="Z418" s="14">
        <f>SUMIFS(Donnees_regimes!$Q$3:$Q$1118,Donnees_regimes!$A$3:$A$1118,C418,Donnees_regimes!$B$3:$B$1118,"&gt;="&amp;G418,Donnees_regimes!$B$3:$B$1118,"&lt;="&amp;N418)*L418/ROUNDUP(L418,0)</f>
        <v/>
      </c>
      <c r="AA418" s="77">
        <f>SUMIFS(Regles_regimes!$F$3:$F$2000,Regles_regimes!$A$3:$A$2000,C418,Regles_regimes!$B$3:$B$2000,D418,Regles_regimes!$C$3:$C$2000,MAX(1915,MIN(2025,E418)))</f>
        <v/>
      </c>
      <c r="AB418" s="77">
        <f>IF(AND(SUMIFS(Regles_regimes!$L$3:$L$2000,Regles_regimes!$A$3:$A$2000,C418,Regles_regimes!$B$3:$B$2000,D418,Regles_regimes!$C$3:$C$2000,MAX(1915,MIN(2025,E418)))=1,G418&lt;2009,C418&lt;&gt;"Privé"),MIN(20,L418*4/5),0)</f>
        <v/>
      </c>
      <c r="AC418" s="89">
        <f>SUMIFS(Donnees_regimes!$M$3:$M$1118,Donnees_regimes!$A$3:$A$1118,C418,Donnees_regimes!$B$3:$B$1118,M418)</f>
        <v/>
      </c>
      <c r="AD418" s="14">
        <f>SUMIFS(Donnees_annuelles!$Y$3:$Y$188,Donnees_annuelles!$A$3:$A$188,M418)*SUMIFS(Donnees_generations!$I$3:$I$113,Donnees_generations!$A$3:$A$113,MAX(1915,MIN(2025,E418)))/H418</f>
        <v/>
      </c>
      <c r="AE418" s="14">
        <f>IF(C418="Privé",SUMIFS(Donnees_annuelles!$Y$3:$Y$188,Donnees_annuelles!$A$3:$A$188,M418)*MIN(L418,SUMIFS(Donnees_generations!$I$3:$I$113,Donnees_generations!$A$3:$A$113,MAX(1915,MIN(2025,E418))))/L418,AD418*AC418*MIN(IF(AB418&gt;0,0.8/0.75,1),(L418*4+AB418)/AA418))</f>
        <v/>
      </c>
      <c r="AF418" s="14">
        <f>AE418/12</f>
        <v/>
      </c>
      <c r="AG418" s="77">
        <f>MIN(68,MAX(56,2*INT(K418/2)))</f>
        <v/>
      </c>
      <c r="AH418" s="75">
        <f>(CHOOSE((AG418-56)/2+1,SUMIFS(Donnees_generations!$U$3:$U$113,Donnees_generations!$A$3:$A$113,MAX(1915,MIN(2025,E418))),SUMIFS(Donnees_generations!$V$3:$V$113,Donnees_generations!$A$3:$A$113,MAX(1915,MIN(2025,E418))),SUMIFS(Donnees_generations!$W$3:$W$113,Donnees_generations!$A$3:$A$113,MAX(1915,MIN(2025,E418))),SUMIFS(Donnees_generations!$X$3:$X$113,Donnees_generations!$A$3:$A$113,MAX(1915,MIN(2025,E418))),SUMIFS(Donnees_generations!$Y$3:$Y$113,Donnees_generations!$A$3:$A$113,MAX(1915,MIN(2025,E418))),SUMIFS(Donnees_generations!$Z$3:$Z$113,Donnees_generations!$A$3:$A$113,MAX(1915,MIN(2025,E418))),SUMIFS(Donnees_generations!$AA$3:$AA$113,Donnees_generations!$A$3:$A$113,MAX(1915,MIN(2025,E418))),SUMIFS(Donnees_generations!$AB$3:$AB$113,Donnees_generations!$A$3:$A$113,MAX(1915,MIN(2025,E418))))+CHOOSE((AG418-56)/2+1,SUMIFS(Donnees_generations!$AC$3:$AC$113,Donnees_generations!$A$3:$A$113,MAX(1915,MIN(2025,E418))),SUMIFS(Donnees_generations!$AD$3:$AD$113,Donnees_generations!$A$3:$A$113,MAX(1915,MIN(2025,E418))),SUMIFS(Donnees_generations!$AE$3:$AE$113,Donnees_generations!$A$3:$A$113,MAX(1915,MIN(2025,E418))),SUMIFS(Donnees_generations!$AF$3:$AF$113,Donnees_generations!$A$3:$A$113,MAX(1915,MIN(2025,E418))),SUMIFS(Donnees_generations!$AG$3:$AG$113,Donnees_generations!$A$3:$A$113,MAX(1915,MIN(2025,E418))),SUMIFS(Donnees_generations!$AH$3:$AH$113,Donnees_generations!$A$3:$A$113,MAX(1915,MIN(2025,E418))),SUMIFS(Donnees_generations!$AI$3:$AI$113,Donnees_generations!$A$3:$A$113,MAX(1915,MIN(2025,E418))),SUMIFS(Donnees_generations!$AJ$3:$AJ$113,Donnees_generations!$A$3:$A$113,MAX(1915,MIN(2025,E418)))))/2</f>
        <v/>
      </c>
      <c r="AI418" s="75">
        <f>(CHOOSE(((AG418+2)-56)/2+1,SUMIFS(Donnees_generations!$U$3:$U$113,Donnees_generations!$A$3:$A$113,MAX(1915,MIN(2025,E418))),SUMIFS(Donnees_generations!$V$3:$V$113,Donnees_generations!$A$3:$A$113,MAX(1915,MIN(2025,E418))),SUMIFS(Donnees_generations!$W$3:$W$113,Donnees_generations!$A$3:$A$113,MAX(1915,MIN(2025,E418))),SUMIFS(Donnees_generations!$X$3:$X$113,Donnees_generations!$A$3:$A$113,MAX(1915,MIN(2025,E418))),SUMIFS(Donnees_generations!$Y$3:$Y$113,Donnees_generations!$A$3:$A$113,MAX(1915,MIN(2025,E418))),SUMIFS(Donnees_generations!$Z$3:$Z$113,Donnees_generations!$A$3:$A$113,MAX(1915,MIN(2025,E418))),SUMIFS(Donnees_generations!$AA$3:$AA$113,Donnees_generations!$A$3:$A$113,MAX(1915,MIN(2025,E418))),SUMIFS(Donnees_generations!$AB$3:$AB$113,Donnees_generations!$A$3:$A$113,MAX(1915,MIN(2025,E418))))+CHOOSE(((AG418+2)-56)/2+1,SUMIFS(Donnees_generations!$AC$3:$AC$113,Donnees_generations!$A$3:$A$113,MAX(1915,MIN(2025,E418))),SUMIFS(Donnees_generations!$AD$3:$AD$113,Donnees_generations!$A$3:$A$113,MAX(1915,MIN(2025,E418))),SUMIFS(Donnees_generations!$AE$3:$AE$113,Donnees_generations!$A$3:$A$113,MAX(1915,MIN(2025,E418))),SUMIFS(Donnees_generations!$AF$3:$AF$113,Donnees_generations!$A$3:$A$113,MAX(1915,MIN(2025,E418))),SUMIFS(Donnees_generations!$AG$3:$AG$113,Donnees_generations!$A$3:$A$113,MAX(1915,MIN(2025,E418))),SUMIFS(Donnees_generations!$AH$3:$AH$113,Donnees_generations!$A$3:$A$113,MAX(1915,MIN(2025,E418))),SUMIFS(Donnees_generations!$AI$3:$AI$113,Donnees_generations!$A$3:$A$113,MAX(1915,MIN(2025,E418))),SUMIFS(Donnees_generations!$AJ$3:$AJ$113,Donnees_generations!$A$3:$A$113,MAX(1915,MIN(2025,E418)))))/2</f>
        <v/>
      </c>
      <c r="AJ418" s="8">
        <f>MAX(0,AH418+(AI418-AH418)*(K418-AG418)/2)</f>
        <v/>
      </c>
      <c r="AK418" s="8">
        <f>K418+AJ418</f>
        <v/>
      </c>
      <c r="AL418" s="14">
        <f>AE418*AJ418</f>
        <v/>
      </c>
      <c r="AM418" s="17">
        <f>V418/AL418</f>
        <v/>
      </c>
      <c r="AN418" s="17">
        <f>Z418/AL418</f>
        <v/>
      </c>
      <c r="AO418" s="33">
        <f>IF(V418+Z418=0,0,Z418/(V418+Z418))</f>
        <v/>
      </c>
      <c r="AP418" s="14">
        <f>AL418/V418*100</f>
        <v/>
      </c>
      <c r="AQ418" s="8">
        <f>P418/AL418*1000</f>
        <v/>
      </c>
      <c r="AR418" s="77">
        <f>MAX(N418,M418-1)</f>
        <v/>
      </c>
      <c r="AS418" s="14">
        <f>SUMIFS(Donnees_regimes!$R$3:$R$1118,Donnees_regimes!$A$3:$A$1118,C418,Donnees_regimes!$B$3:$B$1118,"&gt;="&amp;G418,Donnees_regimes!$B$3:$B$1118,"&lt;="&amp;N418)*L418/ROUNDUP(L418,0)*SUMIFS(Donnees_annuelles!$AG$3:$AG$188,Donnees_annuelles!$A$3:$A$188,AR418)*SUMIFS(Donnees_annuelles!$AA$3:$AA$188,Donnees_annuelles!$A$3:$A$188,AR418)</f>
        <v/>
      </c>
      <c r="AT418" s="36">
        <f>AS418/V418</f>
        <v/>
      </c>
      <c r="AU418" s="14">
        <f>AL418</f>
        <v/>
      </c>
      <c r="AV418" s="39">
        <f>AS418-AL418</f>
        <v/>
      </c>
      <c r="AW418" s="9">
        <f>AS418/AL418-1</f>
        <v/>
      </c>
      <c r="AX418" s="14">
        <f>AS418/AJ418/12</f>
        <v/>
      </c>
      <c r="AY418" s="14">
        <f>AF418</f>
        <v/>
      </c>
      <c r="AZ418" s="39">
        <f>AX418-AF418</f>
        <v/>
      </c>
      <c r="BA418" s="14">
        <f>SUMIFS(Donnees_regimes!$S$3:$S$1118,Donnees_regimes!$A$3:$A$1118,C418,Donnees_regimes!$B$3:$B$1118,"&gt;="&amp;G418,Donnees_regimes!$B$3:$B$1118,"&lt;="&amp;N418)*L418/ROUNDUP(L418,0)*SUMIFS(Donnees_annuelles!$AH$3:$AH$188,Donnees_annuelles!$A$3:$A$188,AR418)*SUMIFS(Donnees_annuelles!$AA$3:$AA$188,Donnees_annuelles!$A$3:$A$188,AR418)</f>
        <v/>
      </c>
      <c r="BB418" s="39">
        <f>BA418-AL418</f>
        <v/>
      </c>
      <c r="BC418" s="7">
        <f>IF(M418+AJ418&gt;2026,IF(G418&gt;2026,"entièrement projeté","en partie projeté"),"observé")</f>
        <v/>
      </c>
    </row>
    <row r="419">
      <c r="A419" s="7" t="inlineStr">
        <is>
          <t>Baby-boomers</t>
        </is>
      </c>
      <c r="B419" s="84" t="inlineStr">
        <is>
          <t>RATP</t>
        </is>
      </c>
      <c r="C419" s="7">
        <f>IF(G419&gt;=SUMIFS(Regimes!$C$5:$C$10,Regimes!$A$5:$A$10,B419),"Privé",B419)</f>
        <v/>
      </c>
      <c r="D419" s="7">
        <f>INDEX(Regimes!$D$5:$D$10,MATCH(C419,Regimes!$A$5:$A$10,0))</f>
        <v/>
      </c>
      <c r="E419" s="88" t="n">
        <v>1952</v>
      </c>
      <c r="F419" s="8">
        <f>Donnees_generations!C40</f>
        <v/>
      </c>
      <c r="G419" s="77">
        <f>Donnees_generations!D40</f>
        <v/>
      </c>
      <c r="H419" s="8">
        <f>SUMIFS(Donnees_generations!$S$3:$S$113,Donnees_generations!$A$3:$A$113,MAX(1915,MIN(2025,E419)))</f>
        <v/>
      </c>
      <c r="I419" s="8">
        <f>SUMIFS(Donnees_generations!$T$3:$T$113,Donnees_generations!$A$3:$A$113,MAX(1915,MIN(2025,E419)))</f>
        <v/>
      </c>
      <c r="J419" s="8">
        <f>IF(G419&gt;=2000,MAX(I419,Parametres!$B$3),I419)</f>
        <v/>
      </c>
      <c r="K419" s="8">
        <f>IF(C419="Privé",J419,SUMIFS(Regles_regimes!$J$3:$J$2000,Regles_regimes!$A$3:$A$2000,C419,Regles_regimes!$B$3:$B$2000,D419,Regles_regimes!$C$3:$C$2000,MAX(1915,MIN(2025,E419))))</f>
        <v/>
      </c>
      <c r="L419" s="8">
        <f>IF(C419="Privé",H419,(K419-F419)*H419/(J419-F419))</f>
        <v/>
      </c>
      <c r="M419" s="77">
        <f>INT(E419+K419)</f>
        <v/>
      </c>
      <c r="N419" s="77">
        <f>G419+ROUNDUP(L419,0)-1</f>
        <v/>
      </c>
      <c r="O419" s="89">
        <f>SUMIFS(Regles_regimes!$K$3:$K$2000,Regles_regimes!$A$3:$A$2000,C419,Regles_regimes!$B$3:$B$2000,D419,Regles_regimes!$C$3:$C$2000,MAX(1915,MIN(2025,E419)))</f>
        <v/>
      </c>
      <c r="P419" s="13">
        <f>SUMIFS(Donnees_annuelles!$W$3:$W$188,Donnees_annuelles!$A$3:$A$188,"&gt;="&amp;G419,Donnees_annuelles!$A$3:$A$188,"&lt;="&amp;N419)*L419/ROUNDUP(L419,0)*O419</f>
        <v/>
      </c>
      <c r="Q419" s="13">
        <f>SUMIFS(Donnees_annuelles!$V$3:$V$188,Donnees_annuelles!$A$3:$A$188,"&gt;="&amp;G419,Donnees_annuelles!$A$3:$A$188,"&lt;="&amp;N419)*L419/ROUNDUP(L419,0)</f>
        <v/>
      </c>
      <c r="R419" s="13">
        <f>P419/L419</f>
        <v/>
      </c>
      <c r="S419" s="14">
        <f>SUMIFS(Donnees_annuelles!$D$3:$D$188,Donnees_annuelles!$A$3:$A$188,"&gt;="&amp;G419,Donnees_annuelles!$A$3:$A$188,"&lt;="&amp;N419)*L419/ROUNDUP(L419,0)</f>
        <v/>
      </c>
      <c r="T419" s="14">
        <f>SUMIFS(Donnees_regimes!$N$3:$N$1118,Donnees_regimes!$A$3:$A$1118,C419,Donnees_regimes!$B$3:$B$1118,"&gt;="&amp;G419,Donnees_regimes!$B$3:$B$1118,"&lt;="&amp;N419)*L419/ROUNDUP(L419,0)</f>
        <v/>
      </c>
      <c r="U419" s="14">
        <f>SUMIFS(Donnees_regimes!$O$3:$O$1118,Donnees_regimes!$A$3:$A$1118,C419,Donnees_regimes!$B$3:$B$1118,"&gt;="&amp;G419,Donnees_regimes!$B$3:$B$1118,"&lt;="&amp;N419)*L419/ROUNDUP(L419,0)</f>
        <v/>
      </c>
      <c r="V419" s="14">
        <f>T419+U419</f>
        <v/>
      </c>
      <c r="W419" s="33">
        <f>V419/S419</f>
        <v/>
      </c>
      <c r="X419" s="14">
        <f>S419+U419</f>
        <v/>
      </c>
      <c r="Y419" s="17">
        <f>V419/P419</f>
        <v/>
      </c>
      <c r="Z419" s="14">
        <f>SUMIFS(Donnees_regimes!$Q$3:$Q$1118,Donnees_regimes!$A$3:$A$1118,C419,Donnees_regimes!$B$3:$B$1118,"&gt;="&amp;G419,Donnees_regimes!$B$3:$B$1118,"&lt;="&amp;N419)*L419/ROUNDUP(L419,0)</f>
        <v/>
      </c>
      <c r="AA419" s="77">
        <f>SUMIFS(Regles_regimes!$F$3:$F$2000,Regles_regimes!$A$3:$A$2000,C419,Regles_regimes!$B$3:$B$2000,D419,Regles_regimes!$C$3:$C$2000,MAX(1915,MIN(2025,E419)))</f>
        <v/>
      </c>
      <c r="AB419" s="77">
        <f>IF(AND(SUMIFS(Regles_regimes!$L$3:$L$2000,Regles_regimes!$A$3:$A$2000,C419,Regles_regimes!$B$3:$B$2000,D419,Regles_regimes!$C$3:$C$2000,MAX(1915,MIN(2025,E419)))=1,G419&lt;2009,C419&lt;&gt;"Privé"),MIN(20,L419*4/5),0)</f>
        <v/>
      </c>
      <c r="AC419" s="89">
        <f>SUMIFS(Donnees_regimes!$M$3:$M$1118,Donnees_regimes!$A$3:$A$1118,C419,Donnees_regimes!$B$3:$B$1118,M419)</f>
        <v/>
      </c>
      <c r="AD419" s="14">
        <f>SUMIFS(Donnees_annuelles!$Y$3:$Y$188,Donnees_annuelles!$A$3:$A$188,M419)*SUMIFS(Donnees_generations!$I$3:$I$113,Donnees_generations!$A$3:$A$113,MAX(1915,MIN(2025,E419)))/H419</f>
        <v/>
      </c>
      <c r="AE419" s="14">
        <f>IF(C419="Privé",SUMIFS(Donnees_annuelles!$Y$3:$Y$188,Donnees_annuelles!$A$3:$A$188,M419)*MIN(L419,SUMIFS(Donnees_generations!$I$3:$I$113,Donnees_generations!$A$3:$A$113,MAX(1915,MIN(2025,E419))))/L419,AD419*AC419*MIN(IF(AB419&gt;0,0.8/0.75,1),(L419*4+AB419)/AA419))</f>
        <v/>
      </c>
      <c r="AF419" s="14">
        <f>AE419/12</f>
        <v/>
      </c>
      <c r="AG419" s="77">
        <f>MIN(68,MAX(56,2*INT(K419/2)))</f>
        <v/>
      </c>
      <c r="AH419" s="75">
        <f>(CHOOSE((AG419-56)/2+1,SUMIFS(Donnees_generations!$U$3:$U$113,Donnees_generations!$A$3:$A$113,MAX(1915,MIN(2025,E419))),SUMIFS(Donnees_generations!$V$3:$V$113,Donnees_generations!$A$3:$A$113,MAX(1915,MIN(2025,E419))),SUMIFS(Donnees_generations!$W$3:$W$113,Donnees_generations!$A$3:$A$113,MAX(1915,MIN(2025,E419))),SUMIFS(Donnees_generations!$X$3:$X$113,Donnees_generations!$A$3:$A$113,MAX(1915,MIN(2025,E419))),SUMIFS(Donnees_generations!$Y$3:$Y$113,Donnees_generations!$A$3:$A$113,MAX(1915,MIN(2025,E419))),SUMIFS(Donnees_generations!$Z$3:$Z$113,Donnees_generations!$A$3:$A$113,MAX(1915,MIN(2025,E419))),SUMIFS(Donnees_generations!$AA$3:$AA$113,Donnees_generations!$A$3:$A$113,MAX(1915,MIN(2025,E419))),SUMIFS(Donnees_generations!$AB$3:$AB$113,Donnees_generations!$A$3:$A$113,MAX(1915,MIN(2025,E419))))+CHOOSE((AG419-56)/2+1,SUMIFS(Donnees_generations!$AC$3:$AC$113,Donnees_generations!$A$3:$A$113,MAX(1915,MIN(2025,E419))),SUMIFS(Donnees_generations!$AD$3:$AD$113,Donnees_generations!$A$3:$A$113,MAX(1915,MIN(2025,E419))),SUMIFS(Donnees_generations!$AE$3:$AE$113,Donnees_generations!$A$3:$A$113,MAX(1915,MIN(2025,E419))),SUMIFS(Donnees_generations!$AF$3:$AF$113,Donnees_generations!$A$3:$A$113,MAX(1915,MIN(2025,E419))),SUMIFS(Donnees_generations!$AG$3:$AG$113,Donnees_generations!$A$3:$A$113,MAX(1915,MIN(2025,E419))),SUMIFS(Donnees_generations!$AH$3:$AH$113,Donnees_generations!$A$3:$A$113,MAX(1915,MIN(2025,E419))),SUMIFS(Donnees_generations!$AI$3:$AI$113,Donnees_generations!$A$3:$A$113,MAX(1915,MIN(2025,E419))),SUMIFS(Donnees_generations!$AJ$3:$AJ$113,Donnees_generations!$A$3:$A$113,MAX(1915,MIN(2025,E419)))))/2</f>
        <v/>
      </c>
      <c r="AI419" s="75">
        <f>(CHOOSE(((AG419+2)-56)/2+1,SUMIFS(Donnees_generations!$U$3:$U$113,Donnees_generations!$A$3:$A$113,MAX(1915,MIN(2025,E419))),SUMIFS(Donnees_generations!$V$3:$V$113,Donnees_generations!$A$3:$A$113,MAX(1915,MIN(2025,E419))),SUMIFS(Donnees_generations!$W$3:$W$113,Donnees_generations!$A$3:$A$113,MAX(1915,MIN(2025,E419))),SUMIFS(Donnees_generations!$X$3:$X$113,Donnees_generations!$A$3:$A$113,MAX(1915,MIN(2025,E419))),SUMIFS(Donnees_generations!$Y$3:$Y$113,Donnees_generations!$A$3:$A$113,MAX(1915,MIN(2025,E419))),SUMIFS(Donnees_generations!$Z$3:$Z$113,Donnees_generations!$A$3:$A$113,MAX(1915,MIN(2025,E419))),SUMIFS(Donnees_generations!$AA$3:$AA$113,Donnees_generations!$A$3:$A$113,MAX(1915,MIN(2025,E419))),SUMIFS(Donnees_generations!$AB$3:$AB$113,Donnees_generations!$A$3:$A$113,MAX(1915,MIN(2025,E419))))+CHOOSE(((AG419+2)-56)/2+1,SUMIFS(Donnees_generations!$AC$3:$AC$113,Donnees_generations!$A$3:$A$113,MAX(1915,MIN(2025,E419))),SUMIFS(Donnees_generations!$AD$3:$AD$113,Donnees_generations!$A$3:$A$113,MAX(1915,MIN(2025,E419))),SUMIFS(Donnees_generations!$AE$3:$AE$113,Donnees_generations!$A$3:$A$113,MAX(1915,MIN(2025,E419))),SUMIFS(Donnees_generations!$AF$3:$AF$113,Donnees_generations!$A$3:$A$113,MAX(1915,MIN(2025,E419))),SUMIFS(Donnees_generations!$AG$3:$AG$113,Donnees_generations!$A$3:$A$113,MAX(1915,MIN(2025,E419))),SUMIFS(Donnees_generations!$AH$3:$AH$113,Donnees_generations!$A$3:$A$113,MAX(1915,MIN(2025,E419))),SUMIFS(Donnees_generations!$AI$3:$AI$113,Donnees_generations!$A$3:$A$113,MAX(1915,MIN(2025,E419))),SUMIFS(Donnees_generations!$AJ$3:$AJ$113,Donnees_generations!$A$3:$A$113,MAX(1915,MIN(2025,E419)))))/2</f>
        <v/>
      </c>
      <c r="AJ419" s="8">
        <f>MAX(0,AH419+(AI419-AH419)*(K419-AG419)/2)</f>
        <v/>
      </c>
      <c r="AK419" s="8">
        <f>K419+AJ419</f>
        <v/>
      </c>
      <c r="AL419" s="14">
        <f>AE419*AJ419</f>
        <v/>
      </c>
      <c r="AM419" s="17">
        <f>V419/AL419</f>
        <v/>
      </c>
      <c r="AN419" s="17">
        <f>Z419/AL419</f>
        <v/>
      </c>
      <c r="AO419" s="33">
        <f>IF(V419+Z419=0,0,Z419/(V419+Z419))</f>
        <v/>
      </c>
      <c r="AP419" s="14">
        <f>AL419/V419*100</f>
        <v/>
      </c>
      <c r="AQ419" s="8">
        <f>P419/AL419*1000</f>
        <v/>
      </c>
      <c r="AR419" s="77">
        <f>MAX(N419,M419-1)</f>
        <v/>
      </c>
      <c r="AS419" s="14">
        <f>SUMIFS(Donnees_regimes!$R$3:$R$1118,Donnees_regimes!$A$3:$A$1118,C419,Donnees_regimes!$B$3:$B$1118,"&gt;="&amp;G419,Donnees_regimes!$B$3:$B$1118,"&lt;="&amp;N419)*L419/ROUNDUP(L419,0)*SUMIFS(Donnees_annuelles!$AG$3:$AG$188,Donnees_annuelles!$A$3:$A$188,AR419)*SUMIFS(Donnees_annuelles!$AA$3:$AA$188,Donnees_annuelles!$A$3:$A$188,AR419)</f>
        <v/>
      </c>
      <c r="AT419" s="36">
        <f>AS419/V419</f>
        <v/>
      </c>
      <c r="AU419" s="14">
        <f>AL419</f>
        <v/>
      </c>
      <c r="AV419" s="39">
        <f>AS419-AL419</f>
        <v/>
      </c>
      <c r="AW419" s="9">
        <f>AS419/AL419-1</f>
        <v/>
      </c>
      <c r="AX419" s="14">
        <f>AS419/AJ419/12</f>
        <v/>
      </c>
      <c r="AY419" s="14">
        <f>AF419</f>
        <v/>
      </c>
      <c r="AZ419" s="39">
        <f>AX419-AF419</f>
        <v/>
      </c>
      <c r="BA419" s="14">
        <f>SUMIFS(Donnees_regimes!$S$3:$S$1118,Donnees_regimes!$A$3:$A$1118,C419,Donnees_regimes!$B$3:$B$1118,"&gt;="&amp;G419,Donnees_regimes!$B$3:$B$1118,"&lt;="&amp;N419)*L419/ROUNDUP(L419,0)*SUMIFS(Donnees_annuelles!$AH$3:$AH$188,Donnees_annuelles!$A$3:$A$188,AR419)*SUMIFS(Donnees_annuelles!$AA$3:$AA$188,Donnees_annuelles!$A$3:$A$188,AR419)</f>
        <v/>
      </c>
      <c r="BB419" s="39">
        <f>BA419-AL419</f>
        <v/>
      </c>
      <c r="BC419" s="7">
        <f>IF(M419+AJ419&gt;2026,IF(G419&gt;2026,"entièrement projeté","en partie projeté"),"observé")</f>
        <v/>
      </c>
    </row>
    <row r="420">
      <c r="A420" s="7" t="inlineStr">
        <is>
          <t>Baby-boomers</t>
        </is>
      </c>
      <c r="B420" s="84" t="inlineStr">
        <is>
          <t>RATP</t>
        </is>
      </c>
      <c r="C420" s="7">
        <f>IF(G420&gt;=SUMIFS(Regimes!$C$5:$C$10,Regimes!$A$5:$A$10,B420),"Privé",B420)</f>
        <v/>
      </c>
      <c r="D420" s="7">
        <f>INDEX(Regimes!$D$5:$D$10,MATCH(C420,Regimes!$A$5:$A$10,0))</f>
        <v/>
      </c>
      <c r="E420" s="88" t="n">
        <v>1953</v>
      </c>
      <c r="F420" s="8">
        <f>Donnees_generations!C41</f>
        <v/>
      </c>
      <c r="G420" s="77">
        <f>Donnees_generations!D41</f>
        <v/>
      </c>
      <c r="H420" s="8">
        <f>SUMIFS(Donnees_generations!$S$3:$S$113,Donnees_generations!$A$3:$A$113,MAX(1915,MIN(2025,E420)))</f>
        <v/>
      </c>
      <c r="I420" s="8">
        <f>SUMIFS(Donnees_generations!$T$3:$T$113,Donnees_generations!$A$3:$A$113,MAX(1915,MIN(2025,E420)))</f>
        <v/>
      </c>
      <c r="J420" s="8">
        <f>IF(G420&gt;=2000,MAX(I420,Parametres!$B$3),I420)</f>
        <v/>
      </c>
      <c r="K420" s="8">
        <f>IF(C420="Privé",J420,SUMIFS(Regles_regimes!$J$3:$J$2000,Regles_regimes!$A$3:$A$2000,C420,Regles_regimes!$B$3:$B$2000,D420,Regles_regimes!$C$3:$C$2000,MAX(1915,MIN(2025,E420))))</f>
        <v/>
      </c>
      <c r="L420" s="8">
        <f>IF(C420="Privé",H420,(K420-F420)*H420/(J420-F420))</f>
        <v/>
      </c>
      <c r="M420" s="77">
        <f>INT(E420+K420)</f>
        <v/>
      </c>
      <c r="N420" s="77">
        <f>G420+ROUNDUP(L420,0)-1</f>
        <v/>
      </c>
      <c r="O420" s="89">
        <f>SUMIFS(Regles_regimes!$K$3:$K$2000,Regles_regimes!$A$3:$A$2000,C420,Regles_regimes!$B$3:$B$2000,D420,Regles_regimes!$C$3:$C$2000,MAX(1915,MIN(2025,E420)))</f>
        <v/>
      </c>
      <c r="P420" s="13">
        <f>SUMIFS(Donnees_annuelles!$W$3:$W$188,Donnees_annuelles!$A$3:$A$188,"&gt;="&amp;G420,Donnees_annuelles!$A$3:$A$188,"&lt;="&amp;N420)*L420/ROUNDUP(L420,0)*O420</f>
        <v/>
      </c>
      <c r="Q420" s="13">
        <f>SUMIFS(Donnees_annuelles!$V$3:$V$188,Donnees_annuelles!$A$3:$A$188,"&gt;="&amp;G420,Donnees_annuelles!$A$3:$A$188,"&lt;="&amp;N420)*L420/ROUNDUP(L420,0)</f>
        <v/>
      </c>
      <c r="R420" s="13">
        <f>P420/L420</f>
        <v/>
      </c>
      <c r="S420" s="14">
        <f>SUMIFS(Donnees_annuelles!$D$3:$D$188,Donnees_annuelles!$A$3:$A$188,"&gt;="&amp;G420,Donnees_annuelles!$A$3:$A$188,"&lt;="&amp;N420)*L420/ROUNDUP(L420,0)</f>
        <v/>
      </c>
      <c r="T420" s="14">
        <f>SUMIFS(Donnees_regimes!$N$3:$N$1118,Donnees_regimes!$A$3:$A$1118,C420,Donnees_regimes!$B$3:$B$1118,"&gt;="&amp;G420,Donnees_regimes!$B$3:$B$1118,"&lt;="&amp;N420)*L420/ROUNDUP(L420,0)</f>
        <v/>
      </c>
      <c r="U420" s="14">
        <f>SUMIFS(Donnees_regimes!$O$3:$O$1118,Donnees_regimes!$A$3:$A$1118,C420,Donnees_regimes!$B$3:$B$1118,"&gt;="&amp;G420,Donnees_regimes!$B$3:$B$1118,"&lt;="&amp;N420)*L420/ROUNDUP(L420,0)</f>
        <v/>
      </c>
      <c r="V420" s="14">
        <f>T420+U420</f>
        <v/>
      </c>
      <c r="W420" s="33">
        <f>V420/S420</f>
        <v/>
      </c>
      <c r="X420" s="14">
        <f>S420+U420</f>
        <v/>
      </c>
      <c r="Y420" s="17">
        <f>V420/P420</f>
        <v/>
      </c>
      <c r="Z420" s="14">
        <f>SUMIFS(Donnees_regimes!$Q$3:$Q$1118,Donnees_regimes!$A$3:$A$1118,C420,Donnees_regimes!$B$3:$B$1118,"&gt;="&amp;G420,Donnees_regimes!$B$3:$B$1118,"&lt;="&amp;N420)*L420/ROUNDUP(L420,0)</f>
        <v/>
      </c>
      <c r="AA420" s="77">
        <f>SUMIFS(Regles_regimes!$F$3:$F$2000,Regles_regimes!$A$3:$A$2000,C420,Regles_regimes!$B$3:$B$2000,D420,Regles_regimes!$C$3:$C$2000,MAX(1915,MIN(2025,E420)))</f>
        <v/>
      </c>
      <c r="AB420" s="77">
        <f>IF(AND(SUMIFS(Regles_regimes!$L$3:$L$2000,Regles_regimes!$A$3:$A$2000,C420,Regles_regimes!$B$3:$B$2000,D420,Regles_regimes!$C$3:$C$2000,MAX(1915,MIN(2025,E420)))=1,G420&lt;2009,C420&lt;&gt;"Privé"),MIN(20,L420*4/5),0)</f>
        <v/>
      </c>
      <c r="AC420" s="89">
        <f>SUMIFS(Donnees_regimes!$M$3:$M$1118,Donnees_regimes!$A$3:$A$1118,C420,Donnees_regimes!$B$3:$B$1118,M420)</f>
        <v/>
      </c>
      <c r="AD420" s="14">
        <f>SUMIFS(Donnees_annuelles!$Y$3:$Y$188,Donnees_annuelles!$A$3:$A$188,M420)*SUMIFS(Donnees_generations!$I$3:$I$113,Donnees_generations!$A$3:$A$113,MAX(1915,MIN(2025,E420)))/H420</f>
        <v/>
      </c>
      <c r="AE420" s="14">
        <f>IF(C420="Privé",SUMIFS(Donnees_annuelles!$Y$3:$Y$188,Donnees_annuelles!$A$3:$A$188,M420)*MIN(L420,SUMIFS(Donnees_generations!$I$3:$I$113,Donnees_generations!$A$3:$A$113,MAX(1915,MIN(2025,E420))))/L420,AD420*AC420*MIN(IF(AB420&gt;0,0.8/0.75,1),(L420*4+AB420)/AA420))</f>
        <v/>
      </c>
      <c r="AF420" s="14">
        <f>AE420/12</f>
        <v/>
      </c>
      <c r="AG420" s="77">
        <f>MIN(68,MAX(56,2*INT(K420/2)))</f>
        <v/>
      </c>
      <c r="AH420" s="75">
        <f>(CHOOSE((AG420-56)/2+1,SUMIFS(Donnees_generations!$U$3:$U$113,Donnees_generations!$A$3:$A$113,MAX(1915,MIN(2025,E420))),SUMIFS(Donnees_generations!$V$3:$V$113,Donnees_generations!$A$3:$A$113,MAX(1915,MIN(2025,E420))),SUMIFS(Donnees_generations!$W$3:$W$113,Donnees_generations!$A$3:$A$113,MAX(1915,MIN(2025,E420))),SUMIFS(Donnees_generations!$X$3:$X$113,Donnees_generations!$A$3:$A$113,MAX(1915,MIN(2025,E420))),SUMIFS(Donnees_generations!$Y$3:$Y$113,Donnees_generations!$A$3:$A$113,MAX(1915,MIN(2025,E420))),SUMIFS(Donnees_generations!$Z$3:$Z$113,Donnees_generations!$A$3:$A$113,MAX(1915,MIN(2025,E420))),SUMIFS(Donnees_generations!$AA$3:$AA$113,Donnees_generations!$A$3:$A$113,MAX(1915,MIN(2025,E420))),SUMIFS(Donnees_generations!$AB$3:$AB$113,Donnees_generations!$A$3:$A$113,MAX(1915,MIN(2025,E420))))+CHOOSE((AG420-56)/2+1,SUMIFS(Donnees_generations!$AC$3:$AC$113,Donnees_generations!$A$3:$A$113,MAX(1915,MIN(2025,E420))),SUMIFS(Donnees_generations!$AD$3:$AD$113,Donnees_generations!$A$3:$A$113,MAX(1915,MIN(2025,E420))),SUMIFS(Donnees_generations!$AE$3:$AE$113,Donnees_generations!$A$3:$A$113,MAX(1915,MIN(2025,E420))),SUMIFS(Donnees_generations!$AF$3:$AF$113,Donnees_generations!$A$3:$A$113,MAX(1915,MIN(2025,E420))),SUMIFS(Donnees_generations!$AG$3:$AG$113,Donnees_generations!$A$3:$A$113,MAX(1915,MIN(2025,E420))),SUMIFS(Donnees_generations!$AH$3:$AH$113,Donnees_generations!$A$3:$A$113,MAX(1915,MIN(2025,E420))),SUMIFS(Donnees_generations!$AI$3:$AI$113,Donnees_generations!$A$3:$A$113,MAX(1915,MIN(2025,E420))),SUMIFS(Donnees_generations!$AJ$3:$AJ$113,Donnees_generations!$A$3:$A$113,MAX(1915,MIN(2025,E420)))))/2</f>
        <v/>
      </c>
      <c r="AI420" s="75">
        <f>(CHOOSE(((AG420+2)-56)/2+1,SUMIFS(Donnees_generations!$U$3:$U$113,Donnees_generations!$A$3:$A$113,MAX(1915,MIN(2025,E420))),SUMIFS(Donnees_generations!$V$3:$V$113,Donnees_generations!$A$3:$A$113,MAX(1915,MIN(2025,E420))),SUMIFS(Donnees_generations!$W$3:$W$113,Donnees_generations!$A$3:$A$113,MAX(1915,MIN(2025,E420))),SUMIFS(Donnees_generations!$X$3:$X$113,Donnees_generations!$A$3:$A$113,MAX(1915,MIN(2025,E420))),SUMIFS(Donnees_generations!$Y$3:$Y$113,Donnees_generations!$A$3:$A$113,MAX(1915,MIN(2025,E420))),SUMIFS(Donnees_generations!$Z$3:$Z$113,Donnees_generations!$A$3:$A$113,MAX(1915,MIN(2025,E420))),SUMIFS(Donnees_generations!$AA$3:$AA$113,Donnees_generations!$A$3:$A$113,MAX(1915,MIN(2025,E420))),SUMIFS(Donnees_generations!$AB$3:$AB$113,Donnees_generations!$A$3:$A$113,MAX(1915,MIN(2025,E420))))+CHOOSE(((AG420+2)-56)/2+1,SUMIFS(Donnees_generations!$AC$3:$AC$113,Donnees_generations!$A$3:$A$113,MAX(1915,MIN(2025,E420))),SUMIFS(Donnees_generations!$AD$3:$AD$113,Donnees_generations!$A$3:$A$113,MAX(1915,MIN(2025,E420))),SUMIFS(Donnees_generations!$AE$3:$AE$113,Donnees_generations!$A$3:$A$113,MAX(1915,MIN(2025,E420))),SUMIFS(Donnees_generations!$AF$3:$AF$113,Donnees_generations!$A$3:$A$113,MAX(1915,MIN(2025,E420))),SUMIFS(Donnees_generations!$AG$3:$AG$113,Donnees_generations!$A$3:$A$113,MAX(1915,MIN(2025,E420))),SUMIFS(Donnees_generations!$AH$3:$AH$113,Donnees_generations!$A$3:$A$113,MAX(1915,MIN(2025,E420))),SUMIFS(Donnees_generations!$AI$3:$AI$113,Donnees_generations!$A$3:$A$113,MAX(1915,MIN(2025,E420))),SUMIFS(Donnees_generations!$AJ$3:$AJ$113,Donnees_generations!$A$3:$A$113,MAX(1915,MIN(2025,E420)))))/2</f>
        <v/>
      </c>
      <c r="AJ420" s="8">
        <f>MAX(0,AH420+(AI420-AH420)*(K420-AG420)/2)</f>
        <v/>
      </c>
      <c r="AK420" s="8">
        <f>K420+AJ420</f>
        <v/>
      </c>
      <c r="AL420" s="14">
        <f>AE420*AJ420</f>
        <v/>
      </c>
      <c r="AM420" s="17">
        <f>V420/AL420</f>
        <v/>
      </c>
      <c r="AN420" s="17">
        <f>Z420/AL420</f>
        <v/>
      </c>
      <c r="AO420" s="33">
        <f>IF(V420+Z420=0,0,Z420/(V420+Z420))</f>
        <v/>
      </c>
      <c r="AP420" s="14">
        <f>AL420/V420*100</f>
        <v/>
      </c>
      <c r="AQ420" s="8">
        <f>P420/AL420*1000</f>
        <v/>
      </c>
      <c r="AR420" s="77">
        <f>MAX(N420,M420-1)</f>
        <v/>
      </c>
      <c r="AS420" s="14">
        <f>SUMIFS(Donnees_regimes!$R$3:$R$1118,Donnees_regimes!$A$3:$A$1118,C420,Donnees_regimes!$B$3:$B$1118,"&gt;="&amp;G420,Donnees_regimes!$B$3:$B$1118,"&lt;="&amp;N420)*L420/ROUNDUP(L420,0)*SUMIFS(Donnees_annuelles!$AG$3:$AG$188,Donnees_annuelles!$A$3:$A$188,AR420)*SUMIFS(Donnees_annuelles!$AA$3:$AA$188,Donnees_annuelles!$A$3:$A$188,AR420)</f>
        <v/>
      </c>
      <c r="AT420" s="36">
        <f>AS420/V420</f>
        <v/>
      </c>
      <c r="AU420" s="14">
        <f>AL420</f>
        <v/>
      </c>
      <c r="AV420" s="39">
        <f>AS420-AL420</f>
        <v/>
      </c>
      <c r="AW420" s="9">
        <f>AS420/AL420-1</f>
        <v/>
      </c>
      <c r="AX420" s="14">
        <f>AS420/AJ420/12</f>
        <v/>
      </c>
      <c r="AY420" s="14">
        <f>AF420</f>
        <v/>
      </c>
      <c r="AZ420" s="39">
        <f>AX420-AF420</f>
        <v/>
      </c>
      <c r="BA420" s="14">
        <f>SUMIFS(Donnees_regimes!$S$3:$S$1118,Donnees_regimes!$A$3:$A$1118,C420,Donnees_regimes!$B$3:$B$1118,"&gt;="&amp;G420,Donnees_regimes!$B$3:$B$1118,"&lt;="&amp;N420)*L420/ROUNDUP(L420,0)*SUMIFS(Donnees_annuelles!$AH$3:$AH$188,Donnees_annuelles!$A$3:$A$188,AR420)*SUMIFS(Donnees_annuelles!$AA$3:$AA$188,Donnees_annuelles!$A$3:$A$188,AR420)</f>
        <v/>
      </c>
      <c r="BB420" s="39">
        <f>BA420-AL420</f>
        <v/>
      </c>
      <c r="BC420" s="7">
        <f>IF(M420+AJ420&gt;2026,IF(G420&gt;2026,"entièrement projeté","en partie projeté"),"observé")</f>
        <v/>
      </c>
    </row>
    <row r="421">
      <c r="A421" s="7" t="inlineStr">
        <is>
          <t>Baby-boomers</t>
        </is>
      </c>
      <c r="B421" s="84" t="inlineStr">
        <is>
          <t>RATP</t>
        </is>
      </c>
      <c r="C421" s="7">
        <f>IF(G421&gt;=SUMIFS(Regimes!$C$5:$C$10,Regimes!$A$5:$A$10,B421),"Privé",B421)</f>
        <v/>
      </c>
      <c r="D421" s="7">
        <f>INDEX(Regimes!$D$5:$D$10,MATCH(C421,Regimes!$A$5:$A$10,0))</f>
        <v/>
      </c>
      <c r="E421" s="88" t="n">
        <v>1954</v>
      </c>
      <c r="F421" s="8">
        <f>Donnees_generations!C42</f>
        <v/>
      </c>
      <c r="G421" s="77">
        <f>Donnees_generations!D42</f>
        <v/>
      </c>
      <c r="H421" s="8">
        <f>SUMIFS(Donnees_generations!$S$3:$S$113,Donnees_generations!$A$3:$A$113,MAX(1915,MIN(2025,E421)))</f>
        <v/>
      </c>
      <c r="I421" s="8">
        <f>SUMIFS(Donnees_generations!$T$3:$T$113,Donnees_generations!$A$3:$A$113,MAX(1915,MIN(2025,E421)))</f>
        <v/>
      </c>
      <c r="J421" s="8">
        <f>IF(G421&gt;=2000,MAX(I421,Parametres!$B$3),I421)</f>
        <v/>
      </c>
      <c r="K421" s="8">
        <f>IF(C421="Privé",J421,SUMIFS(Regles_regimes!$J$3:$J$2000,Regles_regimes!$A$3:$A$2000,C421,Regles_regimes!$B$3:$B$2000,D421,Regles_regimes!$C$3:$C$2000,MAX(1915,MIN(2025,E421))))</f>
        <v/>
      </c>
      <c r="L421" s="8">
        <f>IF(C421="Privé",H421,(K421-F421)*H421/(J421-F421))</f>
        <v/>
      </c>
      <c r="M421" s="77">
        <f>INT(E421+K421)</f>
        <v/>
      </c>
      <c r="N421" s="77">
        <f>G421+ROUNDUP(L421,0)-1</f>
        <v/>
      </c>
      <c r="O421" s="89">
        <f>SUMIFS(Regles_regimes!$K$3:$K$2000,Regles_regimes!$A$3:$A$2000,C421,Regles_regimes!$B$3:$B$2000,D421,Regles_regimes!$C$3:$C$2000,MAX(1915,MIN(2025,E421)))</f>
        <v/>
      </c>
      <c r="P421" s="13">
        <f>SUMIFS(Donnees_annuelles!$W$3:$W$188,Donnees_annuelles!$A$3:$A$188,"&gt;="&amp;G421,Donnees_annuelles!$A$3:$A$188,"&lt;="&amp;N421)*L421/ROUNDUP(L421,0)*O421</f>
        <v/>
      </c>
      <c r="Q421" s="13">
        <f>SUMIFS(Donnees_annuelles!$V$3:$V$188,Donnees_annuelles!$A$3:$A$188,"&gt;="&amp;G421,Donnees_annuelles!$A$3:$A$188,"&lt;="&amp;N421)*L421/ROUNDUP(L421,0)</f>
        <v/>
      </c>
      <c r="R421" s="13">
        <f>P421/L421</f>
        <v/>
      </c>
      <c r="S421" s="14">
        <f>SUMIFS(Donnees_annuelles!$D$3:$D$188,Donnees_annuelles!$A$3:$A$188,"&gt;="&amp;G421,Donnees_annuelles!$A$3:$A$188,"&lt;="&amp;N421)*L421/ROUNDUP(L421,0)</f>
        <v/>
      </c>
      <c r="T421" s="14">
        <f>SUMIFS(Donnees_regimes!$N$3:$N$1118,Donnees_regimes!$A$3:$A$1118,C421,Donnees_regimes!$B$3:$B$1118,"&gt;="&amp;G421,Donnees_regimes!$B$3:$B$1118,"&lt;="&amp;N421)*L421/ROUNDUP(L421,0)</f>
        <v/>
      </c>
      <c r="U421" s="14">
        <f>SUMIFS(Donnees_regimes!$O$3:$O$1118,Donnees_regimes!$A$3:$A$1118,C421,Donnees_regimes!$B$3:$B$1118,"&gt;="&amp;G421,Donnees_regimes!$B$3:$B$1118,"&lt;="&amp;N421)*L421/ROUNDUP(L421,0)</f>
        <v/>
      </c>
      <c r="V421" s="14">
        <f>T421+U421</f>
        <v/>
      </c>
      <c r="W421" s="33">
        <f>V421/S421</f>
        <v/>
      </c>
      <c r="X421" s="14">
        <f>S421+U421</f>
        <v/>
      </c>
      <c r="Y421" s="17">
        <f>V421/P421</f>
        <v/>
      </c>
      <c r="Z421" s="14">
        <f>SUMIFS(Donnees_regimes!$Q$3:$Q$1118,Donnees_regimes!$A$3:$A$1118,C421,Donnees_regimes!$B$3:$B$1118,"&gt;="&amp;G421,Donnees_regimes!$B$3:$B$1118,"&lt;="&amp;N421)*L421/ROUNDUP(L421,0)</f>
        <v/>
      </c>
      <c r="AA421" s="77">
        <f>SUMIFS(Regles_regimes!$F$3:$F$2000,Regles_regimes!$A$3:$A$2000,C421,Regles_regimes!$B$3:$B$2000,D421,Regles_regimes!$C$3:$C$2000,MAX(1915,MIN(2025,E421)))</f>
        <v/>
      </c>
      <c r="AB421" s="77">
        <f>IF(AND(SUMIFS(Regles_regimes!$L$3:$L$2000,Regles_regimes!$A$3:$A$2000,C421,Regles_regimes!$B$3:$B$2000,D421,Regles_regimes!$C$3:$C$2000,MAX(1915,MIN(2025,E421)))=1,G421&lt;2009,C421&lt;&gt;"Privé"),MIN(20,L421*4/5),0)</f>
        <v/>
      </c>
      <c r="AC421" s="89">
        <f>SUMIFS(Donnees_regimes!$M$3:$M$1118,Donnees_regimes!$A$3:$A$1118,C421,Donnees_regimes!$B$3:$B$1118,M421)</f>
        <v/>
      </c>
      <c r="AD421" s="14">
        <f>SUMIFS(Donnees_annuelles!$Y$3:$Y$188,Donnees_annuelles!$A$3:$A$188,M421)*SUMIFS(Donnees_generations!$I$3:$I$113,Donnees_generations!$A$3:$A$113,MAX(1915,MIN(2025,E421)))/H421</f>
        <v/>
      </c>
      <c r="AE421" s="14">
        <f>IF(C421="Privé",SUMIFS(Donnees_annuelles!$Y$3:$Y$188,Donnees_annuelles!$A$3:$A$188,M421)*MIN(L421,SUMIFS(Donnees_generations!$I$3:$I$113,Donnees_generations!$A$3:$A$113,MAX(1915,MIN(2025,E421))))/L421,AD421*AC421*MIN(IF(AB421&gt;0,0.8/0.75,1),(L421*4+AB421)/AA421))</f>
        <v/>
      </c>
      <c r="AF421" s="14">
        <f>AE421/12</f>
        <v/>
      </c>
      <c r="AG421" s="77">
        <f>MIN(68,MAX(56,2*INT(K421/2)))</f>
        <v/>
      </c>
      <c r="AH421" s="75">
        <f>(CHOOSE((AG421-56)/2+1,SUMIFS(Donnees_generations!$U$3:$U$113,Donnees_generations!$A$3:$A$113,MAX(1915,MIN(2025,E421))),SUMIFS(Donnees_generations!$V$3:$V$113,Donnees_generations!$A$3:$A$113,MAX(1915,MIN(2025,E421))),SUMIFS(Donnees_generations!$W$3:$W$113,Donnees_generations!$A$3:$A$113,MAX(1915,MIN(2025,E421))),SUMIFS(Donnees_generations!$X$3:$X$113,Donnees_generations!$A$3:$A$113,MAX(1915,MIN(2025,E421))),SUMIFS(Donnees_generations!$Y$3:$Y$113,Donnees_generations!$A$3:$A$113,MAX(1915,MIN(2025,E421))),SUMIFS(Donnees_generations!$Z$3:$Z$113,Donnees_generations!$A$3:$A$113,MAX(1915,MIN(2025,E421))),SUMIFS(Donnees_generations!$AA$3:$AA$113,Donnees_generations!$A$3:$A$113,MAX(1915,MIN(2025,E421))),SUMIFS(Donnees_generations!$AB$3:$AB$113,Donnees_generations!$A$3:$A$113,MAX(1915,MIN(2025,E421))))+CHOOSE((AG421-56)/2+1,SUMIFS(Donnees_generations!$AC$3:$AC$113,Donnees_generations!$A$3:$A$113,MAX(1915,MIN(2025,E421))),SUMIFS(Donnees_generations!$AD$3:$AD$113,Donnees_generations!$A$3:$A$113,MAX(1915,MIN(2025,E421))),SUMIFS(Donnees_generations!$AE$3:$AE$113,Donnees_generations!$A$3:$A$113,MAX(1915,MIN(2025,E421))),SUMIFS(Donnees_generations!$AF$3:$AF$113,Donnees_generations!$A$3:$A$113,MAX(1915,MIN(2025,E421))),SUMIFS(Donnees_generations!$AG$3:$AG$113,Donnees_generations!$A$3:$A$113,MAX(1915,MIN(2025,E421))),SUMIFS(Donnees_generations!$AH$3:$AH$113,Donnees_generations!$A$3:$A$113,MAX(1915,MIN(2025,E421))),SUMIFS(Donnees_generations!$AI$3:$AI$113,Donnees_generations!$A$3:$A$113,MAX(1915,MIN(2025,E421))),SUMIFS(Donnees_generations!$AJ$3:$AJ$113,Donnees_generations!$A$3:$A$113,MAX(1915,MIN(2025,E421)))))/2</f>
        <v/>
      </c>
      <c r="AI421" s="75">
        <f>(CHOOSE(((AG421+2)-56)/2+1,SUMIFS(Donnees_generations!$U$3:$U$113,Donnees_generations!$A$3:$A$113,MAX(1915,MIN(2025,E421))),SUMIFS(Donnees_generations!$V$3:$V$113,Donnees_generations!$A$3:$A$113,MAX(1915,MIN(2025,E421))),SUMIFS(Donnees_generations!$W$3:$W$113,Donnees_generations!$A$3:$A$113,MAX(1915,MIN(2025,E421))),SUMIFS(Donnees_generations!$X$3:$X$113,Donnees_generations!$A$3:$A$113,MAX(1915,MIN(2025,E421))),SUMIFS(Donnees_generations!$Y$3:$Y$113,Donnees_generations!$A$3:$A$113,MAX(1915,MIN(2025,E421))),SUMIFS(Donnees_generations!$Z$3:$Z$113,Donnees_generations!$A$3:$A$113,MAX(1915,MIN(2025,E421))),SUMIFS(Donnees_generations!$AA$3:$AA$113,Donnees_generations!$A$3:$A$113,MAX(1915,MIN(2025,E421))),SUMIFS(Donnees_generations!$AB$3:$AB$113,Donnees_generations!$A$3:$A$113,MAX(1915,MIN(2025,E421))))+CHOOSE(((AG421+2)-56)/2+1,SUMIFS(Donnees_generations!$AC$3:$AC$113,Donnees_generations!$A$3:$A$113,MAX(1915,MIN(2025,E421))),SUMIFS(Donnees_generations!$AD$3:$AD$113,Donnees_generations!$A$3:$A$113,MAX(1915,MIN(2025,E421))),SUMIFS(Donnees_generations!$AE$3:$AE$113,Donnees_generations!$A$3:$A$113,MAX(1915,MIN(2025,E421))),SUMIFS(Donnees_generations!$AF$3:$AF$113,Donnees_generations!$A$3:$A$113,MAX(1915,MIN(2025,E421))),SUMIFS(Donnees_generations!$AG$3:$AG$113,Donnees_generations!$A$3:$A$113,MAX(1915,MIN(2025,E421))),SUMIFS(Donnees_generations!$AH$3:$AH$113,Donnees_generations!$A$3:$A$113,MAX(1915,MIN(2025,E421))),SUMIFS(Donnees_generations!$AI$3:$AI$113,Donnees_generations!$A$3:$A$113,MAX(1915,MIN(2025,E421))),SUMIFS(Donnees_generations!$AJ$3:$AJ$113,Donnees_generations!$A$3:$A$113,MAX(1915,MIN(2025,E421)))))/2</f>
        <v/>
      </c>
      <c r="AJ421" s="8">
        <f>MAX(0,AH421+(AI421-AH421)*(K421-AG421)/2)</f>
        <v/>
      </c>
      <c r="AK421" s="8">
        <f>K421+AJ421</f>
        <v/>
      </c>
      <c r="AL421" s="14">
        <f>AE421*AJ421</f>
        <v/>
      </c>
      <c r="AM421" s="17">
        <f>V421/AL421</f>
        <v/>
      </c>
      <c r="AN421" s="17">
        <f>Z421/AL421</f>
        <v/>
      </c>
      <c r="AO421" s="33">
        <f>IF(V421+Z421=0,0,Z421/(V421+Z421))</f>
        <v/>
      </c>
      <c r="AP421" s="14">
        <f>AL421/V421*100</f>
        <v/>
      </c>
      <c r="AQ421" s="8">
        <f>P421/AL421*1000</f>
        <v/>
      </c>
      <c r="AR421" s="77">
        <f>MAX(N421,M421-1)</f>
        <v/>
      </c>
      <c r="AS421" s="14">
        <f>SUMIFS(Donnees_regimes!$R$3:$R$1118,Donnees_regimes!$A$3:$A$1118,C421,Donnees_regimes!$B$3:$B$1118,"&gt;="&amp;G421,Donnees_regimes!$B$3:$B$1118,"&lt;="&amp;N421)*L421/ROUNDUP(L421,0)*SUMIFS(Donnees_annuelles!$AG$3:$AG$188,Donnees_annuelles!$A$3:$A$188,AR421)*SUMIFS(Donnees_annuelles!$AA$3:$AA$188,Donnees_annuelles!$A$3:$A$188,AR421)</f>
        <v/>
      </c>
      <c r="AT421" s="36">
        <f>AS421/V421</f>
        <v/>
      </c>
      <c r="AU421" s="14">
        <f>AL421</f>
        <v/>
      </c>
      <c r="AV421" s="39">
        <f>AS421-AL421</f>
        <v/>
      </c>
      <c r="AW421" s="9">
        <f>AS421/AL421-1</f>
        <v/>
      </c>
      <c r="AX421" s="14">
        <f>AS421/AJ421/12</f>
        <v/>
      </c>
      <c r="AY421" s="14">
        <f>AF421</f>
        <v/>
      </c>
      <c r="AZ421" s="39">
        <f>AX421-AF421</f>
        <v/>
      </c>
      <c r="BA421" s="14">
        <f>SUMIFS(Donnees_regimes!$S$3:$S$1118,Donnees_regimes!$A$3:$A$1118,C421,Donnees_regimes!$B$3:$B$1118,"&gt;="&amp;G421,Donnees_regimes!$B$3:$B$1118,"&lt;="&amp;N421)*L421/ROUNDUP(L421,0)*SUMIFS(Donnees_annuelles!$AH$3:$AH$188,Donnees_annuelles!$A$3:$A$188,AR421)*SUMIFS(Donnees_annuelles!$AA$3:$AA$188,Donnees_annuelles!$A$3:$A$188,AR421)</f>
        <v/>
      </c>
      <c r="BB421" s="39">
        <f>BA421-AL421</f>
        <v/>
      </c>
      <c r="BC421" s="7">
        <f>IF(M421+AJ421&gt;2026,IF(G421&gt;2026,"entièrement projeté","en partie projeté"),"observé")</f>
        <v/>
      </c>
    </row>
    <row r="422">
      <c r="A422" s="7" t="inlineStr">
        <is>
          <t>Baby-boomers</t>
        </is>
      </c>
      <c r="B422" s="84" t="inlineStr">
        <is>
          <t>RATP</t>
        </is>
      </c>
      <c r="C422" s="7">
        <f>IF(G422&gt;=SUMIFS(Regimes!$C$5:$C$10,Regimes!$A$5:$A$10,B422),"Privé",B422)</f>
        <v/>
      </c>
      <c r="D422" s="7">
        <f>INDEX(Regimes!$D$5:$D$10,MATCH(C422,Regimes!$A$5:$A$10,0))</f>
        <v/>
      </c>
      <c r="E422" s="88" t="n">
        <v>1955</v>
      </c>
      <c r="F422" s="8">
        <f>Donnees_generations!C43</f>
        <v/>
      </c>
      <c r="G422" s="77">
        <f>Donnees_generations!D43</f>
        <v/>
      </c>
      <c r="H422" s="8">
        <f>SUMIFS(Donnees_generations!$S$3:$S$113,Donnees_generations!$A$3:$A$113,MAX(1915,MIN(2025,E422)))</f>
        <v/>
      </c>
      <c r="I422" s="8">
        <f>SUMIFS(Donnees_generations!$T$3:$T$113,Donnees_generations!$A$3:$A$113,MAX(1915,MIN(2025,E422)))</f>
        <v/>
      </c>
      <c r="J422" s="8">
        <f>IF(G422&gt;=2000,MAX(I422,Parametres!$B$3),I422)</f>
        <v/>
      </c>
      <c r="K422" s="8">
        <f>IF(C422="Privé",J422,SUMIFS(Regles_regimes!$J$3:$J$2000,Regles_regimes!$A$3:$A$2000,C422,Regles_regimes!$B$3:$B$2000,D422,Regles_regimes!$C$3:$C$2000,MAX(1915,MIN(2025,E422))))</f>
        <v/>
      </c>
      <c r="L422" s="8">
        <f>IF(C422="Privé",H422,(K422-F422)*H422/(J422-F422))</f>
        <v/>
      </c>
      <c r="M422" s="77">
        <f>INT(E422+K422)</f>
        <v/>
      </c>
      <c r="N422" s="77">
        <f>G422+ROUNDUP(L422,0)-1</f>
        <v/>
      </c>
      <c r="O422" s="89">
        <f>SUMIFS(Regles_regimes!$K$3:$K$2000,Regles_regimes!$A$3:$A$2000,C422,Regles_regimes!$B$3:$B$2000,D422,Regles_regimes!$C$3:$C$2000,MAX(1915,MIN(2025,E422)))</f>
        <v/>
      </c>
      <c r="P422" s="13">
        <f>SUMIFS(Donnees_annuelles!$W$3:$W$188,Donnees_annuelles!$A$3:$A$188,"&gt;="&amp;G422,Donnees_annuelles!$A$3:$A$188,"&lt;="&amp;N422)*L422/ROUNDUP(L422,0)*O422</f>
        <v/>
      </c>
      <c r="Q422" s="13">
        <f>SUMIFS(Donnees_annuelles!$V$3:$V$188,Donnees_annuelles!$A$3:$A$188,"&gt;="&amp;G422,Donnees_annuelles!$A$3:$A$188,"&lt;="&amp;N422)*L422/ROUNDUP(L422,0)</f>
        <v/>
      </c>
      <c r="R422" s="13">
        <f>P422/L422</f>
        <v/>
      </c>
      <c r="S422" s="14">
        <f>SUMIFS(Donnees_annuelles!$D$3:$D$188,Donnees_annuelles!$A$3:$A$188,"&gt;="&amp;G422,Donnees_annuelles!$A$3:$A$188,"&lt;="&amp;N422)*L422/ROUNDUP(L422,0)</f>
        <v/>
      </c>
      <c r="T422" s="14">
        <f>SUMIFS(Donnees_regimes!$N$3:$N$1118,Donnees_regimes!$A$3:$A$1118,C422,Donnees_regimes!$B$3:$B$1118,"&gt;="&amp;G422,Donnees_regimes!$B$3:$B$1118,"&lt;="&amp;N422)*L422/ROUNDUP(L422,0)</f>
        <v/>
      </c>
      <c r="U422" s="14">
        <f>SUMIFS(Donnees_regimes!$O$3:$O$1118,Donnees_regimes!$A$3:$A$1118,C422,Donnees_regimes!$B$3:$B$1118,"&gt;="&amp;G422,Donnees_regimes!$B$3:$B$1118,"&lt;="&amp;N422)*L422/ROUNDUP(L422,0)</f>
        <v/>
      </c>
      <c r="V422" s="14">
        <f>T422+U422</f>
        <v/>
      </c>
      <c r="W422" s="33">
        <f>V422/S422</f>
        <v/>
      </c>
      <c r="X422" s="14">
        <f>S422+U422</f>
        <v/>
      </c>
      <c r="Y422" s="17">
        <f>V422/P422</f>
        <v/>
      </c>
      <c r="Z422" s="14">
        <f>SUMIFS(Donnees_regimes!$Q$3:$Q$1118,Donnees_regimes!$A$3:$A$1118,C422,Donnees_regimes!$B$3:$B$1118,"&gt;="&amp;G422,Donnees_regimes!$B$3:$B$1118,"&lt;="&amp;N422)*L422/ROUNDUP(L422,0)</f>
        <v/>
      </c>
      <c r="AA422" s="77">
        <f>SUMIFS(Regles_regimes!$F$3:$F$2000,Regles_regimes!$A$3:$A$2000,C422,Regles_regimes!$B$3:$B$2000,D422,Regles_regimes!$C$3:$C$2000,MAX(1915,MIN(2025,E422)))</f>
        <v/>
      </c>
      <c r="AB422" s="77">
        <f>IF(AND(SUMIFS(Regles_regimes!$L$3:$L$2000,Regles_regimes!$A$3:$A$2000,C422,Regles_regimes!$B$3:$B$2000,D422,Regles_regimes!$C$3:$C$2000,MAX(1915,MIN(2025,E422)))=1,G422&lt;2009,C422&lt;&gt;"Privé"),MIN(20,L422*4/5),0)</f>
        <v/>
      </c>
      <c r="AC422" s="89">
        <f>SUMIFS(Donnees_regimes!$M$3:$M$1118,Donnees_regimes!$A$3:$A$1118,C422,Donnees_regimes!$B$3:$B$1118,M422)</f>
        <v/>
      </c>
      <c r="AD422" s="14">
        <f>SUMIFS(Donnees_annuelles!$Y$3:$Y$188,Donnees_annuelles!$A$3:$A$188,M422)*SUMIFS(Donnees_generations!$I$3:$I$113,Donnees_generations!$A$3:$A$113,MAX(1915,MIN(2025,E422)))/H422</f>
        <v/>
      </c>
      <c r="AE422" s="14">
        <f>IF(C422="Privé",SUMIFS(Donnees_annuelles!$Y$3:$Y$188,Donnees_annuelles!$A$3:$A$188,M422)*MIN(L422,SUMIFS(Donnees_generations!$I$3:$I$113,Donnees_generations!$A$3:$A$113,MAX(1915,MIN(2025,E422))))/L422,AD422*AC422*MIN(IF(AB422&gt;0,0.8/0.75,1),(L422*4+AB422)/AA422))</f>
        <v/>
      </c>
      <c r="AF422" s="14">
        <f>AE422/12</f>
        <v/>
      </c>
      <c r="AG422" s="77">
        <f>MIN(68,MAX(56,2*INT(K422/2)))</f>
        <v/>
      </c>
      <c r="AH422" s="75">
        <f>(CHOOSE((AG422-56)/2+1,SUMIFS(Donnees_generations!$U$3:$U$113,Donnees_generations!$A$3:$A$113,MAX(1915,MIN(2025,E422))),SUMIFS(Donnees_generations!$V$3:$V$113,Donnees_generations!$A$3:$A$113,MAX(1915,MIN(2025,E422))),SUMIFS(Donnees_generations!$W$3:$W$113,Donnees_generations!$A$3:$A$113,MAX(1915,MIN(2025,E422))),SUMIFS(Donnees_generations!$X$3:$X$113,Donnees_generations!$A$3:$A$113,MAX(1915,MIN(2025,E422))),SUMIFS(Donnees_generations!$Y$3:$Y$113,Donnees_generations!$A$3:$A$113,MAX(1915,MIN(2025,E422))),SUMIFS(Donnees_generations!$Z$3:$Z$113,Donnees_generations!$A$3:$A$113,MAX(1915,MIN(2025,E422))),SUMIFS(Donnees_generations!$AA$3:$AA$113,Donnees_generations!$A$3:$A$113,MAX(1915,MIN(2025,E422))),SUMIFS(Donnees_generations!$AB$3:$AB$113,Donnees_generations!$A$3:$A$113,MAX(1915,MIN(2025,E422))))+CHOOSE((AG422-56)/2+1,SUMIFS(Donnees_generations!$AC$3:$AC$113,Donnees_generations!$A$3:$A$113,MAX(1915,MIN(2025,E422))),SUMIFS(Donnees_generations!$AD$3:$AD$113,Donnees_generations!$A$3:$A$113,MAX(1915,MIN(2025,E422))),SUMIFS(Donnees_generations!$AE$3:$AE$113,Donnees_generations!$A$3:$A$113,MAX(1915,MIN(2025,E422))),SUMIFS(Donnees_generations!$AF$3:$AF$113,Donnees_generations!$A$3:$A$113,MAX(1915,MIN(2025,E422))),SUMIFS(Donnees_generations!$AG$3:$AG$113,Donnees_generations!$A$3:$A$113,MAX(1915,MIN(2025,E422))),SUMIFS(Donnees_generations!$AH$3:$AH$113,Donnees_generations!$A$3:$A$113,MAX(1915,MIN(2025,E422))),SUMIFS(Donnees_generations!$AI$3:$AI$113,Donnees_generations!$A$3:$A$113,MAX(1915,MIN(2025,E422))),SUMIFS(Donnees_generations!$AJ$3:$AJ$113,Donnees_generations!$A$3:$A$113,MAX(1915,MIN(2025,E422)))))/2</f>
        <v/>
      </c>
      <c r="AI422" s="75">
        <f>(CHOOSE(((AG422+2)-56)/2+1,SUMIFS(Donnees_generations!$U$3:$U$113,Donnees_generations!$A$3:$A$113,MAX(1915,MIN(2025,E422))),SUMIFS(Donnees_generations!$V$3:$V$113,Donnees_generations!$A$3:$A$113,MAX(1915,MIN(2025,E422))),SUMIFS(Donnees_generations!$W$3:$W$113,Donnees_generations!$A$3:$A$113,MAX(1915,MIN(2025,E422))),SUMIFS(Donnees_generations!$X$3:$X$113,Donnees_generations!$A$3:$A$113,MAX(1915,MIN(2025,E422))),SUMIFS(Donnees_generations!$Y$3:$Y$113,Donnees_generations!$A$3:$A$113,MAX(1915,MIN(2025,E422))),SUMIFS(Donnees_generations!$Z$3:$Z$113,Donnees_generations!$A$3:$A$113,MAX(1915,MIN(2025,E422))),SUMIFS(Donnees_generations!$AA$3:$AA$113,Donnees_generations!$A$3:$A$113,MAX(1915,MIN(2025,E422))),SUMIFS(Donnees_generations!$AB$3:$AB$113,Donnees_generations!$A$3:$A$113,MAX(1915,MIN(2025,E422))))+CHOOSE(((AG422+2)-56)/2+1,SUMIFS(Donnees_generations!$AC$3:$AC$113,Donnees_generations!$A$3:$A$113,MAX(1915,MIN(2025,E422))),SUMIFS(Donnees_generations!$AD$3:$AD$113,Donnees_generations!$A$3:$A$113,MAX(1915,MIN(2025,E422))),SUMIFS(Donnees_generations!$AE$3:$AE$113,Donnees_generations!$A$3:$A$113,MAX(1915,MIN(2025,E422))),SUMIFS(Donnees_generations!$AF$3:$AF$113,Donnees_generations!$A$3:$A$113,MAX(1915,MIN(2025,E422))),SUMIFS(Donnees_generations!$AG$3:$AG$113,Donnees_generations!$A$3:$A$113,MAX(1915,MIN(2025,E422))),SUMIFS(Donnees_generations!$AH$3:$AH$113,Donnees_generations!$A$3:$A$113,MAX(1915,MIN(2025,E422))),SUMIFS(Donnees_generations!$AI$3:$AI$113,Donnees_generations!$A$3:$A$113,MAX(1915,MIN(2025,E422))),SUMIFS(Donnees_generations!$AJ$3:$AJ$113,Donnees_generations!$A$3:$A$113,MAX(1915,MIN(2025,E422)))))/2</f>
        <v/>
      </c>
      <c r="AJ422" s="8">
        <f>MAX(0,AH422+(AI422-AH422)*(K422-AG422)/2)</f>
        <v/>
      </c>
      <c r="AK422" s="8">
        <f>K422+AJ422</f>
        <v/>
      </c>
      <c r="AL422" s="14">
        <f>AE422*AJ422</f>
        <v/>
      </c>
      <c r="AM422" s="17">
        <f>V422/AL422</f>
        <v/>
      </c>
      <c r="AN422" s="17">
        <f>Z422/AL422</f>
        <v/>
      </c>
      <c r="AO422" s="33">
        <f>IF(V422+Z422=0,0,Z422/(V422+Z422))</f>
        <v/>
      </c>
      <c r="AP422" s="14">
        <f>AL422/V422*100</f>
        <v/>
      </c>
      <c r="AQ422" s="8">
        <f>P422/AL422*1000</f>
        <v/>
      </c>
      <c r="AR422" s="77">
        <f>MAX(N422,M422-1)</f>
        <v/>
      </c>
      <c r="AS422" s="14">
        <f>SUMIFS(Donnees_regimes!$R$3:$R$1118,Donnees_regimes!$A$3:$A$1118,C422,Donnees_regimes!$B$3:$B$1118,"&gt;="&amp;G422,Donnees_regimes!$B$3:$B$1118,"&lt;="&amp;N422)*L422/ROUNDUP(L422,0)*SUMIFS(Donnees_annuelles!$AG$3:$AG$188,Donnees_annuelles!$A$3:$A$188,AR422)*SUMIFS(Donnees_annuelles!$AA$3:$AA$188,Donnees_annuelles!$A$3:$A$188,AR422)</f>
        <v/>
      </c>
      <c r="AT422" s="36">
        <f>AS422/V422</f>
        <v/>
      </c>
      <c r="AU422" s="14">
        <f>AL422</f>
        <v/>
      </c>
      <c r="AV422" s="39">
        <f>AS422-AL422</f>
        <v/>
      </c>
      <c r="AW422" s="9">
        <f>AS422/AL422-1</f>
        <v/>
      </c>
      <c r="AX422" s="14">
        <f>AS422/AJ422/12</f>
        <v/>
      </c>
      <c r="AY422" s="14">
        <f>AF422</f>
        <v/>
      </c>
      <c r="AZ422" s="39">
        <f>AX422-AF422</f>
        <v/>
      </c>
      <c r="BA422" s="14">
        <f>SUMIFS(Donnees_regimes!$S$3:$S$1118,Donnees_regimes!$A$3:$A$1118,C422,Donnees_regimes!$B$3:$B$1118,"&gt;="&amp;G422,Donnees_regimes!$B$3:$B$1118,"&lt;="&amp;N422)*L422/ROUNDUP(L422,0)*SUMIFS(Donnees_annuelles!$AH$3:$AH$188,Donnees_annuelles!$A$3:$A$188,AR422)*SUMIFS(Donnees_annuelles!$AA$3:$AA$188,Donnees_annuelles!$A$3:$A$188,AR422)</f>
        <v/>
      </c>
      <c r="BB422" s="39">
        <f>BA422-AL422</f>
        <v/>
      </c>
      <c r="BC422" s="7">
        <f>IF(M422+AJ422&gt;2026,IF(G422&gt;2026,"entièrement projeté","en partie projeté"),"observé")</f>
        <v/>
      </c>
    </row>
    <row r="423">
      <c r="A423" s="7" t="inlineStr">
        <is>
          <t>Baby-boomers</t>
        </is>
      </c>
      <c r="B423" s="84" t="inlineStr">
        <is>
          <t>RATP</t>
        </is>
      </c>
      <c r="C423" s="7">
        <f>IF(G423&gt;=SUMIFS(Regimes!$C$5:$C$10,Regimes!$A$5:$A$10,B423),"Privé",B423)</f>
        <v/>
      </c>
      <c r="D423" s="7">
        <f>INDEX(Regimes!$D$5:$D$10,MATCH(C423,Regimes!$A$5:$A$10,0))</f>
        <v/>
      </c>
      <c r="E423" s="88" t="n">
        <v>1956</v>
      </c>
      <c r="F423" s="8">
        <f>Donnees_generations!C44</f>
        <v/>
      </c>
      <c r="G423" s="77">
        <f>Donnees_generations!D44</f>
        <v/>
      </c>
      <c r="H423" s="8">
        <f>SUMIFS(Donnees_generations!$S$3:$S$113,Donnees_generations!$A$3:$A$113,MAX(1915,MIN(2025,E423)))</f>
        <v/>
      </c>
      <c r="I423" s="8">
        <f>SUMIFS(Donnees_generations!$T$3:$T$113,Donnees_generations!$A$3:$A$113,MAX(1915,MIN(2025,E423)))</f>
        <v/>
      </c>
      <c r="J423" s="8">
        <f>IF(G423&gt;=2000,MAX(I423,Parametres!$B$3),I423)</f>
        <v/>
      </c>
      <c r="K423" s="8">
        <f>IF(C423="Privé",J423,SUMIFS(Regles_regimes!$J$3:$J$2000,Regles_regimes!$A$3:$A$2000,C423,Regles_regimes!$B$3:$B$2000,D423,Regles_regimes!$C$3:$C$2000,MAX(1915,MIN(2025,E423))))</f>
        <v/>
      </c>
      <c r="L423" s="8">
        <f>IF(C423="Privé",H423,(K423-F423)*H423/(J423-F423))</f>
        <v/>
      </c>
      <c r="M423" s="77">
        <f>INT(E423+K423)</f>
        <v/>
      </c>
      <c r="N423" s="77">
        <f>G423+ROUNDUP(L423,0)-1</f>
        <v/>
      </c>
      <c r="O423" s="89">
        <f>SUMIFS(Regles_regimes!$K$3:$K$2000,Regles_regimes!$A$3:$A$2000,C423,Regles_regimes!$B$3:$B$2000,D423,Regles_regimes!$C$3:$C$2000,MAX(1915,MIN(2025,E423)))</f>
        <v/>
      </c>
      <c r="P423" s="13">
        <f>SUMIFS(Donnees_annuelles!$W$3:$W$188,Donnees_annuelles!$A$3:$A$188,"&gt;="&amp;G423,Donnees_annuelles!$A$3:$A$188,"&lt;="&amp;N423)*L423/ROUNDUP(L423,0)*O423</f>
        <v/>
      </c>
      <c r="Q423" s="13">
        <f>SUMIFS(Donnees_annuelles!$V$3:$V$188,Donnees_annuelles!$A$3:$A$188,"&gt;="&amp;G423,Donnees_annuelles!$A$3:$A$188,"&lt;="&amp;N423)*L423/ROUNDUP(L423,0)</f>
        <v/>
      </c>
      <c r="R423" s="13">
        <f>P423/L423</f>
        <v/>
      </c>
      <c r="S423" s="14">
        <f>SUMIFS(Donnees_annuelles!$D$3:$D$188,Donnees_annuelles!$A$3:$A$188,"&gt;="&amp;G423,Donnees_annuelles!$A$3:$A$188,"&lt;="&amp;N423)*L423/ROUNDUP(L423,0)</f>
        <v/>
      </c>
      <c r="T423" s="14">
        <f>SUMIFS(Donnees_regimes!$N$3:$N$1118,Donnees_regimes!$A$3:$A$1118,C423,Donnees_regimes!$B$3:$B$1118,"&gt;="&amp;G423,Donnees_regimes!$B$3:$B$1118,"&lt;="&amp;N423)*L423/ROUNDUP(L423,0)</f>
        <v/>
      </c>
      <c r="U423" s="14">
        <f>SUMIFS(Donnees_regimes!$O$3:$O$1118,Donnees_regimes!$A$3:$A$1118,C423,Donnees_regimes!$B$3:$B$1118,"&gt;="&amp;G423,Donnees_regimes!$B$3:$B$1118,"&lt;="&amp;N423)*L423/ROUNDUP(L423,0)</f>
        <v/>
      </c>
      <c r="V423" s="14">
        <f>T423+U423</f>
        <v/>
      </c>
      <c r="W423" s="33">
        <f>V423/S423</f>
        <v/>
      </c>
      <c r="X423" s="14">
        <f>S423+U423</f>
        <v/>
      </c>
      <c r="Y423" s="17">
        <f>V423/P423</f>
        <v/>
      </c>
      <c r="Z423" s="14">
        <f>SUMIFS(Donnees_regimes!$Q$3:$Q$1118,Donnees_regimes!$A$3:$A$1118,C423,Donnees_regimes!$B$3:$B$1118,"&gt;="&amp;G423,Donnees_regimes!$B$3:$B$1118,"&lt;="&amp;N423)*L423/ROUNDUP(L423,0)</f>
        <v/>
      </c>
      <c r="AA423" s="77">
        <f>SUMIFS(Regles_regimes!$F$3:$F$2000,Regles_regimes!$A$3:$A$2000,C423,Regles_regimes!$B$3:$B$2000,D423,Regles_regimes!$C$3:$C$2000,MAX(1915,MIN(2025,E423)))</f>
        <v/>
      </c>
      <c r="AB423" s="77">
        <f>IF(AND(SUMIFS(Regles_regimes!$L$3:$L$2000,Regles_regimes!$A$3:$A$2000,C423,Regles_regimes!$B$3:$B$2000,D423,Regles_regimes!$C$3:$C$2000,MAX(1915,MIN(2025,E423)))=1,G423&lt;2009,C423&lt;&gt;"Privé"),MIN(20,L423*4/5),0)</f>
        <v/>
      </c>
      <c r="AC423" s="89">
        <f>SUMIFS(Donnees_regimes!$M$3:$M$1118,Donnees_regimes!$A$3:$A$1118,C423,Donnees_regimes!$B$3:$B$1118,M423)</f>
        <v/>
      </c>
      <c r="AD423" s="14">
        <f>SUMIFS(Donnees_annuelles!$Y$3:$Y$188,Donnees_annuelles!$A$3:$A$188,M423)*SUMIFS(Donnees_generations!$I$3:$I$113,Donnees_generations!$A$3:$A$113,MAX(1915,MIN(2025,E423)))/H423</f>
        <v/>
      </c>
      <c r="AE423" s="14">
        <f>IF(C423="Privé",SUMIFS(Donnees_annuelles!$Y$3:$Y$188,Donnees_annuelles!$A$3:$A$188,M423)*MIN(L423,SUMIFS(Donnees_generations!$I$3:$I$113,Donnees_generations!$A$3:$A$113,MAX(1915,MIN(2025,E423))))/L423,AD423*AC423*MIN(IF(AB423&gt;0,0.8/0.75,1),(L423*4+AB423)/AA423))</f>
        <v/>
      </c>
      <c r="AF423" s="14">
        <f>AE423/12</f>
        <v/>
      </c>
      <c r="AG423" s="77">
        <f>MIN(68,MAX(56,2*INT(K423/2)))</f>
        <v/>
      </c>
      <c r="AH423" s="75">
        <f>(CHOOSE((AG423-56)/2+1,SUMIFS(Donnees_generations!$U$3:$U$113,Donnees_generations!$A$3:$A$113,MAX(1915,MIN(2025,E423))),SUMIFS(Donnees_generations!$V$3:$V$113,Donnees_generations!$A$3:$A$113,MAX(1915,MIN(2025,E423))),SUMIFS(Donnees_generations!$W$3:$W$113,Donnees_generations!$A$3:$A$113,MAX(1915,MIN(2025,E423))),SUMIFS(Donnees_generations!$X$3:$X$113,Donnees_generations!$A$3:$A$113,MAX(1915,MIN(2025,E423))),SUMIFS(Donnees_generations!$Y$3:$Y$113,Donnees_generations!$A$3:$A$113,MAX(1915,MIN(2025,E423))),SUMIFS(Donnees_generations!$Z$3:$Z$113,Donnees_generations!$A$3:$A$113,MAX(1915,MIN(2025,E423))),SUMIFS(Donnees_generations!$AA$3:$AA$113,Donnees_generations!$A$3:$A$113,MAX(1915,MIN(2025,E423))),SUMIFS(Donnees_generations!$AB$3:$AB$113,Donnees_generations!$A$3:$A$113,MAX(1915,MIN(2025,E423))))+CHOOSE((AG423-56)/2+1,SUMIFS(Donnees_generations!$AC$3:$AC$113,Donnees_generations!$A$3:$A$113,MAX(1915,MIN(2025,E423))),SUMIFS(Donnees_generations!$AD$3:$AD$113,Donnees_generations!$A$3:$A$113,MAX(1915,MIN(2025,E423))),SUMIFS(Donnees_generations!$AE$3:$AE$113,Donnees_generations!$A$3:$A$113,MAX(1915,MIN(2025,E423))),SUMIFS(Donnees_generations!$AF$3:$AF$113,Donnees_generations!$A$3:$A$113,MAX(1915,MIN(2025,E423))),SUMIFS(Donnees_generations!$AG$3:$AG$113,Donnees_generations!$A$3:$A$113,MAX(1915,MIN(2025,E423))),SUMIFS(Donnees_generations!$AH$3:$AH$113,Donnees_generations!$A$3:$A$113,MAX(1915,MIN(2025,E423))),SUMIFS(Donnees_generations!$AI$3:$AI$113,Donnees_generations!$A$3:$A$113,MAX(1915,MIN(2025,E423))),SUMIFS(Donnees_generations!$AJ$3:$AJ$113,Donnees_generations!$A$3:$A$113,MAX(1915,MIN(2025,E423)))))/2</f>
        <v/>
      </c>
      <c r="AI423" s="75">
        <f>(CHOOSE(((AG423+2)-56)/2+1,SUMIFS(Donnees_generations!$U$3:$U$113,Donnees_generations!$A$3:$A$113,MAX(1915,MIN(2025,E423))),SUMIFS(Donnees_generations!$V$3:$V$113,Donnees_generations!$A$3:$A$113,MAX(1915,MIN(2025,E423))),SUMIFS(Donnees_generations!$W$3:$W$113,Donnees_generations!$A$3:$A$113,MAX(1915,MIN(2025,E423))),SUMIFS(Donnees_generations!$X$3:$X$113,Donnees_generations!$A$3:$A$113,MAX(1915,MIN(2025,E423))),SUMIFS(Donnees_generations!$Y$3:$Y$113,Donnees_generations!$A$3:$A$113,MAX(1915,MIN(2025,E423))),SUMIFS(Donnees_generations!$Z$3:$Z$113,Donnees_generations!$A$3:$A$113,MAX(1915,MIN(2025,E423))),SUMIFS(Donnees_generations!$AA$3:$AA$113,Donnees_generations!$A$3:$A$113,MAX(1915,MIN(2025,E423))),SUMIFS(Donnees_generations!$AB$3:$AB$113,Donnees_generations!$A$3:$A$113,MAX(1915,MIN(2025,E423))))+CHOOSE(((AG423+2)-56)/2+1,SUMIFS(Donnees_generations!$AC$3:$AC$113,Donnees_generations!$A$3:$A$113,MAX(1915,MIN(2025,E423))),SUMIFS(Donnees_generations!$AD$3:$AD$113,Donnees_generations!$A$3:$A$113,MAX(1915,MIN(2025,E423))),SUMIFS(Donnees_generations!$AE$3:$AE$113,Donnees_generations!$A$3:$A$113,MAX(1915,MIN(2025,E423))),SUMIFS(Donnees_generations!$AF$3:$AF$113,Donnees_generations!$A$3:$A$113,MAX(1915,MIN(2025,E423))),SUMIFS(Donnees_generations!$AG$3:$AG$113,Donnees_generations!$A$3:$A$113,MAX(1915,MIN(2025,E423))),SUMIFS(Donnees_generations!$AH$3:$AH$113,Donnees_generations!$A$3:$A$113,MAX(1915,MIN(2025,E423))),SUMIFS(Donnees_generations!$AI$3:$AI$113,Donnees_generations!$A$3:$A$113,MAX(1915,MIN(2025,E423))),SUMIFS(Donnees_generations!$AJ$3:$AJ$113,Donnees_generations!$A$3:$A$113,MAX(1915,MIN(2025,E423)))))/2</f>
        <v/>
      </c>
      <c r="AJ423" s="8">
        <f>MAX(0,AH423+(AI423-AH423)*(K423-AG423)/2)</f>
        <v/>
      </c>
      <c r="AK423" s="8">
        <f>K423+AJ423</f>
        <v/>
      </c>
      <c r="AL423" s="14">
        <f>AE423*AJ423</f>
        <v/>
      </c>
      <c r="AM423" s="17">
        <f>V423/AL423</f>
        <v/>
      </c>
      <c r="AN423" s="17">
        <f>Z423/AL423</f>
        <v/>
      </c>
      <c r="AO423" s="33">
        <f>IF(V423+Z423=0,0,Z423/(V423+Z423))</f>
        <v/>
      </c>
      <c r="AP423" s="14">
        <f>AL423/V423*100</f>
        <v/>
      </c>
      <c r="AQ423" s="8">
        <f>P423/AL423*1000</f>
        <v/>
      </c>
      <c r="AR423" s="77">
        <f>MAX(N423,M423-1)</f>
        <v/>
      </c>
      <c r="AS423" s="14">
        <f>SUMIFS(Donnees_regimes!$R$3:$R$1118,Donnees_regimes!$A$3:$A$1118,C423,Donnees_regimes!$B$3:$B$1118,"&gt;="&amp;G423,Donnees_regimes!$B$3:$B$1118,"&lt;="&amp;N423)*L423/ROUNDUP(L423,0)*SUMIFS(Donnees_annuelles!$AG$3:$AG$188,Donnees_annuelles!$A$3:$A$188,AR423)*SUMIFS(Donnees_annuelles!$AA$3:$AA$188,Donnees_annuelles!$A$3:$A$188,AR423)</f>
        <v/>
      </c>
      <c r="AT423" s="36">
        <f>AS423/V423</f>
        <v/>
      </c>
      <c r="AU423" s="14">
        <f>AL423</f>
        <v/>
      </c>
      <c r="AV423" s="39">
        <f>AS423-AL423</f>
        <v/>
      </c>
      <c r="AW423" s="9">
        <f>AS423/AL423-1</f>
        <v/>
      </c>
      <c r="AX423" s="14">
        <f>AS423/AJ423/12</f>
        <v/>
      </c>
      <c r="AY423" s="14">
        <f>AF423</f>
        <v/>
      </c>
      <c r="AZ423" s="39">
        <f>AX423-AF423</f>
        <v/>
      </c>
      <c r="BA423" s="14">
        <f>SUMIFS(Donnees_regimes!$S$3:$S$1118,Donnees_regimes!$A$3:$A$1118,C423,Donnees_regimes!$B$3:$B$1118,"&gt;="&amp;G423,Donnees_regimes!$B$3:$B$1118,"&lt;="&amp;N423)*L423/ROUNDUP(L423,0)*SUMIFS(Donnees_annuelles!$AH$3:$AH$188,Donnees_annuelles!$A$3:$A$188,AR423)*SUMIFS(Donnees_annuelles!$AA$3:$AA$188,Donnees_annuelles!$A$3:$A$188,AR423)</f>
        <v/>
      </c>
      <c r="BB423" s="39">
        <f>BA423-AL423</f>
        <v/>
      </c>
      <c r="BC423" s="7">
        <f>IF(M423+AJ423&gt;2026,IF(G423&gt;2026,"entièrement projeté","en partie projeté"),"observé")</f>
        <v/>
      </c>
    </row>
    <row r="424">
      <c r="A424" s="7" t="inlineStr">
        <is>
          <t>Baby-boomers</t>
        </is>
      </c>
      <c r="B424" s="84" t="inlineStr">
        <is>
          <t>RATP</t>
        </is>
      </c>
      <c r="C424" s="7">
        <f>IF(G424&gt;=SUMIFS(Regimes!$C$5:$C$10,Regimes!$A$5:$A$10,B424),"Privé",B424)</f>
        <v/>
      </c>
      <c r="D424" s="7">
        <f>INDEX(Regimes!$D$5:$D$10,MATCH(C424,Regimes!$A$5:$A$10,0))</f>
        <v/>
      </c>
      <c r="E424" s="88" t="n">
        <v>1957</v>
      </c>
      <c r="F424" s="8">
        <f>Donnees_generations!C45</f>
        <v/>
      </c>
      <c r="G424" s="77">
        <f>Donnees_generations!D45</f>
        <v/>
      </c>
      <c r="H424" s="8">
        <f>SUMIFS(Donnees_generations!$S$3:$S$113,Donnees_generations!$A$3:$A$113,MAX(1915,MIN(2025,E424)))</f>
        <v/>
      </c>
      <c r="I424" s="8">
        <f>SUMIFS(Donnees_generations!$T$3:$T$113,Donnees_generations!$A$3:$A$113,MAX(1915,MIN(2025,E424)))</f>
        <v/>
      </c>
      <c r="J424" s="8">
        <f>IF(G424&gt;=2000,MAX(I424,Parametres!$B$3),I424)</f>
        <v/>
      </c>
      <c r="K424" s="8">
        <f>IF(C424="Privé",J424,SUMIFS(Regles_regimes!$J$3:$J$2000,Regles_regimes!$A$3:$A$2000,C424,Regles_regimes!$B$3:$B$2000,D424,Regles_regimes!$C$3:$C$2000,MAX(1915,MIN(2025,E424))))</f>
        <v/>
      </c>
      <c r="L424" s="8">
        <f>IF(C424="Privé",H424,(K424-F424)*H424/(J424-F424))</f>
        <v/>
      </c>
      <c r="M424" s="77">
        <f>INT(E424+K424)</f>
        <v/>
      </c>
      <c r="N424" s="77">
        <f>G424+ROUNDUP(L424,0)-1</f>
        <v/>
      </c>
      <c r="O424" s="89">
        <f>SUMIFS(Regles_regimes!$K$3:$K$2000,Regles_regimes!$A$3:$A$2000,C424,Regles_regimes!$B$3:$B$2000,D424,Regles_regimes!$C$3:$C$2000,MAX(1915,MIN(2025,E424)))</f>
        <v/>
      </c>
      <c r="P424" s="13">
        <f>SUMIFS(Donnees_annuelles!$W$3:$W$188,Donnees_annuelles!$A$3:$A$188,"&gt;="&amp;G424,Donnees_annuelles!$A$3:$A$188,"&lt;="&amp;N424)*L424/ROUNDUP(L424,0)*O424</f>
        <v/>
      </c>
      <c r="Q424" s="13">
        <f>SUMIFS(Donnees_annuelles!$V$3:$V$188,Donnees_annuelles!$A$3:$A$188,"&gt;="&amp;G424,Donnees_annuelles!$A$3:$A$188,"&lt;="&amp;N424)*L424/ROUNDUP(L424,0)</f>
        <v/>
      </c>
      <c r="R424" s="13">
        <f>P424/L424</f>
        <v/>
      </c>
      <c r="S424" s="14">
        <f>SUMIFS(Donnees_annuelles!$D$3:$D$188,Donnees_annuelles!$A$3:$A$188,"&gt;="&amp;G424,Donnees_annuelles!$A$3:$A$188,"&lt;="&amp;N424)*L424/ROUNDUP(L424,0)</f>
        <v/>
      </c>
      <c r="T424" s="14">
        <f>SUMIFS(Donnees_regimes!$N$3:$N$1118,Donnees_regimes!$A$3:$A$1118,C424,Donnees_regimes!$B$3:$B$1118,"&gt;="&amp;G424,Donnees_regimes!$B$3:$B$1118,"&lt;="&amp;N424)*L424/ROUNDUP(L424,0)</f>
        <v/>
      </c>
      <c r="U424" s="14">
        <f>SUMIFS(Donnees_regimes!$O$3:$O$1118,Donnees_regimes!$A$3:$A$1118,C424,Donnees_regimes!$B$3:$B$1118,"&gt;="&amp;G424,Donnees_regimes!$B$3:$B$1118,"&lt;="&amp;N424)*L424/ROUNDUP(L424,0)</f>
        <v/>
      </c>
      <c r="V424" s="14">
        <f>T424+U424</f>
        <v/>
      </c>
      <c r="W424" s="33">
        <f>V424/S424</f>
        <v/>
      </c>
      <c r="X424" s="14">
        <f>S424+U424</f>
        <v/>
      </c>
      <c r="Y424" s="17">
        <f>V424/P424</f>
        <v/>
      </c>
      <c r="Z424" s="14">
        <f>SUMIFS(Donnees_regimes!$Q$3:$Q$1118,Donnees_regimes!$A$3:$A$1118,C424,Donnees_regimes!$B$3:$B$1118,"&gt;="&amp;G424,Donnees_regimes!$B$3:$B$1118,"&lt;="&amp;N424)*L424/ROUNDUP(L424,0)</f>
        <v/>
      </c>
      <c r="AA424" s="77">
        <f>SUMIFS(Regles_regimes!$F$3:$F$2000,Regles_regimes!$A$3:$A$2000,C424,Regles_regimes!$B$3:$B$2000,D424,Regles_regimes!$C$3:$C$2000,MAX(1915,MIN(2025,E424)))</f>
        <v/>
      </c>
      <c r="AB424" s="77">
        <f>IF(AND(SUMIFS(Regles_regimes!$L$3:$L$2000,Regles_regimes!$A$3:$A$2000,C424,Regles_regimes!$B$3:$B$2000,D424,Regles_regimes!$C$3:$C$2000,MAX(1915,MIN(2025,E424)))=1,G424&lt;2009,C424&lt;&gt;"Privé"),MIN(20,L424*4/5),0)</f>
        <v/>
      </c>
      <c r="AC424" s="89">
        <f>SUMIFS(Donnees_regimes!$M$3:$M$1118,Donnees_regimes!$A$3:$A$1118,C424,Donnees_regimes!$B$3:$B$1118,M424)</f>
        <v/>
      </c>
      <c r="AD424" s="14">
        <f>SUMIFS(Donnees_annuelles!$Y$3:$Y$188,Donnees_annuelles!$A$3:$A$188,M424)*SUMIFS(Donnees_generations!$I$3:$I$113,Donnees_generations!$A$3:$A$113,MAX(1915,MIN(2025,E424)))/H424</f>
        <v/>
      </c>
      <c r="AE424" s="14">
        <f>IF(C424="Privé",SUMIFS(Donnees_annuelles!$Y$3:$Y$188,Donnees_annuelles!$A$3:$A$188,M424)*MIN(L424,SUMIFS(Donnees_generations!$I$3:$I$113,Donnees_generations!$A$3:$A$113,MAX(1915,MIN(2025,E424))))/L424,AD424*AC424*MIN(IF(AB424&gt;0,0.8/0.75,1),(L424*4+AB424)/AA424))</f>
        <v/>
      </c>
      <c r="AF424" s="14">
        <f>AE424/12</f>
        <v/>
      </c>
      <c r="AG424" s="77">
        <f>MIN(68,MAX(56,2*INT(K424/2)))</f>
        <v/>
      </c>
      <c r="AH424" s="75">
        <f>(CHOOSE((AG424-56)/2+1,SUMIFS(Donnees_generations!$U$3:$U$113,Donnees_generations!$A$3:$A$113,MAX(1915,MIN(2025,E424))),SUMIFS(Donnees_generations!$V$3:$V$113,Donnees_generations!$A$3:$A$113,MAX(1915,MIN(2025,E424))),SUMIFS(Donnees_generations!$W$3:$W$113,Donnees_generations!$A$3:$A$113,MAX(1915,MIN(2025,E424))),SUMIFS(Donnees_generations!$X$3:$X$113,Donnees_generations!$A$3:$A$113,MAX(1915,MIN(2025,E424))),SUMIFS(Donnees_generations!$Y$3:$Y$113,Donnees_generations!$A$3:$A$113,MAX(1915,MIN(2025,E424))),SUMIFS(Donnees_generations!$Z$3:$Z$113,Donnees_generations!$A$3:$A$113,MAX(1915,MIN(2025,E424))),SUMIFS(Donnees_generations!$AA$3:$AA$113,Donnees_generations!$A$3:$A$113,MAX(1915,MIN(2025,E424))),SUMIFS(Donnees_generations!$AB$3:$AB$113,Donnees_generations!$A$3:$A$113,MAX(1915,MIN(2025,E424))))+CHOOSE((AG424-56)/2+1,SUMIFS(Donnees_generations!$AC$3:$AC$113,Donnees_generations!$A$3:$A$113,MAX(1915,MIN(2025,E424))),SUMIFS(Donnees_generations!$AD$3:$AD$113,Donnees_generations!$A$3:$A$113,MAX(1915,MIN(2025,E424))),SUMIFS(Donnees_generations!$AE$3:$AE$113,Donnees_generations!$A$3:$A$113,MAX(1915,MIN(2025,E424))),SUMIFS(Donnees_generations!$AF$3:$AF$113,Donnees_generations!$A$3:$A$113,MAX(1915,MIN(2025,E424))),SUMIFS(Donnees_generations!$AG$3:$AG$113,Donnees_generations!$A$3:$A$113,MAX(1915,MIN(2025,E424))),SUMIFS(Donnees_generations!$AH$3:$AH$113,Donnees_generations!$A$3:$A$113,MAX(1915,MIN(2025,E424))),SUMIFS(Donnees_generations!$AI$3:$AI$113,Donnees_generations!$A$3:$A$113,MAX(1915,MIN(2025,E424))),SUMIFS(Donnees_generations!$AJ$3:$AJ$113,Donnees_generations!$A$3:$A$113,MAX(1915,MIN(2025,E424)))))/2</f>
        <v/>
      </c>
      <c r="AI424" s="75">
        <f>(CHOOSE(((AG424+2)-56)/2+1,SUMIFS(Donnees_generations!$U$3:$U$113,Donnees_generations!$A$3:$A$113,MAX(1915,MIN(2025,E424))),SUMIFS(Donnees_generations!$V$3:$V$113,Donnees_generations!$A$3:$A$113,MAX(1915,MIN(2025,E424))),SUMIFS(Donnees_generations!$W$3:$W$113,Donnees_generations!$A$3:$A$113,MAX(1915,MIN(2025,E424))),SUMIFS(Donnees_generations!$X$3:$X$113,Donnees_generations!$A$3:$A$113,MAX(1915,MIN(2025,E424))),SUMIFS(Donnees_generations!$Y$3:$Y$113,Donnees_generations!$A$3:$A$113,MAX(1915,MIN(2025,E424))),SUMIFS(Donnees_generations!$Z$3:$Z$113,Donnees_generations!$A$3:$A$113,MAX(1915,MIN(2025,E424))),SUMIFS(Donnees_generations!$AA$3:$AA$113,Donnees_generations!$A$3:$A$113,MAX(1915,MIN(2025,E424))),SUMIFS(Donnees_generations!$AB$3:$AB$113,Donnees_generations!$A$3:$A$113,MAX(1915,MIN(2025,E424))))+CHOOSE(((AG424+2)-56)/2+1,SUMIFS(Donnees_generations!$AC$3:$AC$113,Donnees_generations!$A$3:$A$113,MAX(1915,MIN(2025,E424))),SUMIFS(Donnees_generations!$AD$3:$AD$113,Donnees_generations!$A$3:$A$113,MAX(1915,MIN(2025,E424))),SUMIFS(Donnees_generations!$AE$3:$AE$113,Donnees_generations!$A$3:$A$113,MAX(1915,MIN(2025,E424))),SUMIFS(Donnees_generations!$AF$3:$AF$113,Donnees_generations!$A$3:$A$113,MAX(1915,MIN(2025,E424))),SUMIFS(Donnees_generations!$AG$3:$AG$113,Donnees_generations!$A$3:$A$113,MAX(1915,MIN(2025,E424))),SUMIFS(Donnees_generations!$AH$3:$AH$113,Donnees_generations!$A$3:$A$113,MAX(1915,MIN(2025,E424))),SUMIFS(Donnees_generations!$AI$3:$AI$113,Donnees_generations!$A$3:$A$113,MAX(1915,MIN(2025,E424))),SUMIFS(Donnees_generations!$AJ$3:$AJ$113,Donnees_generations!$A$3:$A$113,MAX(1915,MIN(2025,E424)))))/2</f>
        <v/>
      </c>
      <c r="AJ424" s="8">
        <f>MAX(0,AH424+(AI424-AH424)*(K424-AG424)/2)</f>
        <v/>
      </c>
      <c r="AK424" s="8">
        <f>K424+AJ424</f>
        <v/>
      </c>
      <c r="AL424" s="14">
        <f>AE424*AJ424</f>
        <v/>
      </c>
      <c r="AM424" s="17">
        <f>V424/AL424</f>
        <v/>
      </c>
      <c r="AN424" s="17">
        <f>Z424/AL424</f>
        <v/>
      </c>
      <c r="AO424" s="33">
        <f>IF(V424+Z424=0,0,Z424/(V424+Z424))</f>
        <v/>
      </c>
      <c r="AP424" s="14">
        <f>AL424/V424*100</f>
        <v/>
      </c>
      <c r="AQ424" s="8">
        <f>P424/AL424*1000</f>
        <v/>
      </c>
      <c r="AR424" s="77">
        <f>MAX(N424,M424-1)</f>
        <v/>
      </c>
      <c r="AS424" s="14">
        <f>SUMIFS(Donnees_regimes!$R$3:$R$1118,Donnees_regimes!$A$3:$A$1118,C424,Donnees_regimes!$B$3:$B$1118,"&gt;="&amp;G424,Donnees_regimes!$B$3:$B$1118,"&lt;="&amp;N424)*L424/ROUNDUP(L424,0)*SUMIFS(Donnees_annuelles!$AG$3:$AG$188,Donnees_annuelles!$A$3:$A$188,AR424)*SUMIFS(Donnees_annuelles!$AA$3:$AA$188,Donnees_annuelles!$A$3:$A$188,AR424)</f>
        <v/>
      </c>
      <c r="AT424" s="36">
        <f>AS424/V424</f>
        <v/>
      </c>
      <c r="AU424" s="14">
        <f>AL424</f>
        <v/>
      </c>
      <c r="AV424" s="39">
        <f>AS424-AL424</f>
        <v/>
      </c>
      <c r="AW424" s="9">
        <f>AS424/AL424-1</f>
        <v/>
      </c>
      <c r="AX424" s="14">
        <f>AS424/AJ424/12</f>
        <v/>
      </c>
      <c r="AY424" s="14">
        <f>AF424</f>
        <v/>
      </c>
      <c r="AZ424" s="39">
        <f>AX424-AF424</f>
        <v/>
      </c>
      <c r="BA424" s="14">
        <f>SUMIFS(Donnees_regimes!$S$3:$S$1118,Donnees_regimes!$A$3:$A$1118,C424,Donnees_regimes!$B$3:$B$1118,"&gt;="&amp;G424,Donnees_regimes!$B$3:$B$1118,"&lt;="&amp;N424)*L424/ROUNDUP(L424,0)*SUMIFS(Donnees_annuelles!$AH$3:$AH$188,Donnees_annuelles!$A$3:$A$188,AR424)*SUMIFS(Donnees_annuelles!$AA$3:$AA$188,Donnees_annuelles!$A$3:$A$188,AR424)</f>
        <v/>
      </c>
      <c r="BB424" s="39">
        <f>BA424-AL424</f>
        <v/>
      </c>
      <c r="BC424" s="7">
        <f>IF(M424+AJ424&gt;2026,IF(G424&gt;2026,"entièrement projeté","en partie projeté"),"observé")</f>
        <v/>
      </c>
    </row>
    <row r="425">
      <c r="A425" s="7" t="inlineStr">
        <is>
          <t>Baby-boomers</t>
        </is>
      </c>
      <c r="B425" s="84" t="inlineStr">
        <is>
          <t>RATP</t>
        </is>
      </c>
      <c r="C425" s="7">
        <f>IF(G425&gt;=SUMIFS(Regimes!$C$5:$C$10,Regimes!$A$5:$A$10,B425),"Privé",B425)</f>
        <v/>
      </c>
      <c r="D425" s="7">
        <f>INDEX(Regimes!$D$5:$D$10,MATCH(C425,Regimes!$A$5:$A$10,0))</f>
        <v/>
      </c>
      <c r="E425" s="88" t="n">
        <v>1958</v>
      </c>
      <c r="F425" s="8">
        <f>Donnees_generations!C46</f>
        <v/>
      </c>
      <c r="G425" s="77">
        <f>Donnees_generations!D46</f>
        <v/>
      </c>
      <c r="H425" s="8">
        <f>SUMIFS(Donnees_generations!$S$3:$S$113,Donnees_generations!$A$3:$A$113,MAX(1915,MIN(2025,E425)))</f>
        <v/>
      </c>
      <c r="I425" s="8">
        <f>SUMIFS(Donnees_generations!$T$3:$T$113,Donnees_generations!$A$3:$A$113,MAX(1915,MIN(2025,E425)))</f>
        <v/>
      </c>
      <c r="J425" s="8">
        <f>IF(G425&gt;=2000,MAX(I425,Parametres!$B$3),I425)</f>
        <v/>
      </c>
      <c r="K425" s="8">
        <f>IF(C425="Privé",J425,SUMIFS(Regles_regimes!$J$3:$J$2000,Regles_regimes!$A$3:$A$2000,C425,Regles_regimes!$B$3:$B$2000,D425,Regles_regimes!$C$3:$C$2000,MAX(1915,MIN(2025,E425))))</f>
        <v/>
      </c>
      <c r="L425" s="8">
        <f>IF(C425="Privé",H425,(K425-F425)*H425/(J425-F425))</f>
        <v/>
      </c>
      <c r="M425" s="77">
        <f>INT(E425+K425)</f>
        <v/>
      </c>
      <c r="N425" s="77">
        <f>G425+ROUNDUP(L425,0)-1</f>
        <v/>
      </c>
      <c r="O425" s="89">
        <f>SUMIFS(Regles_regimes!$K$3:$K$2000,Regles_regimes!$A$3:$A$2000,C425,Regles_regimes!$B$3:$B$2000,D425,Regles_regimes!$C$3:$C$2000,MAX(1915,MIN(2025,E425)))</f>
        <v/>
      </c>
      <c r="P425" s="13">
        <f>SUMIFS(Donnees_annuelles!$W$3:$W$188,Donnees_annuelles!$A$3:$A$188,"&gt;="&amp;G425,Donnees_annuelles!$A$3:$A$188,"&lt;="&amp;N425)*L425/ROUNDUP(L425,0)*O425</f>
        <v/>
      </c>
      <c r="Q425" s="13">
        <f>SUMIFS(Donnees_annuelles!$V$3:$V$188,Donnees_annuelles!$A$3:$A$188,"&gt;="&amp;G425,Donnees_annuelles!$A$3:$A$188,"&lt;="&amp;N425)*L425/ROUNDUP(L425,0)</f>
        <v/>
      </c>
      <c r="R425" s="13">
        <f>P425/L425</f>
        <v/>
      </c>
      <c r="S425" s="14">
        <f>SUMIFS(Donnees_annuelles!$D$3:$D$188,Donnees_annuelles!$A$3:$A$188,"&gt;="&amp;G425,Donnees_annuelles!$A$3:$A$188,"&lt;="&amp;N425)*L425/ROUNDUP(L425,0)</f>
        <v/>
      </c>
      <c r="T425" s="14">
        <f>SUMIFS(Donnees_regimes!$N$3:$N$1118,Donnees_regimes!$A$3:$A$1118,C425,Donnees_regimes!$B$3:$B$1118,"&gt;="&amp;G425,Donnees_regimes!$B$3:$B$1118,"&lt;="&amp;N425)*L425/ROUNDUP(L425,0)</f>
        <v/>
      </c>
      <c r="U425" s="14">
        <f>SUMIFS(Donnees_regimes!$O$3:$O$1118,Donnees_regimes!$A$3:$A$1118,C425,Donnees_regimes!$B$3:$B$1118,"&gt;="&amp;G425,Donnees_regimes!$B$3:$B$1118,"&lt;="&amp;N425)*L425/ROUNDUP(L425,0)</f>
        <v/>
      </c>
      <c r="V425" s="14">
        <f>T425+U425</f>
        <v/>
      </c>
      <c r="W425" s="33">
        <f>V425/S425</f>
        <v/>
      </c>
      <c r="X425" s="14">
        <f>S425+U425</f>
        <v/>
      </c>
      <c r="Y425" s="17">
        <f>V425/P425</f>
        <v/>
      </c>
      <c r="Z425" s="14">
        <f>SUMIFS(Donnees_regimes!$Q$3:$Q$1118,Donnees_regimes!$A$3:$A$1118,C425,Donnees_regimes!$B$3:$B$1118,"&gt;="&amp;G425,Donnees_regimes!$B$3:$B$1118,"&lt;="&amp;N425)*L425/ROUNDUP(L425,0)</f>
        <v/>
      </c>
      <c r="AA425" s="77">
        <f>SUMIFS(Regles_regimes!$F$3:$F$2000,Regles_regimes!$A$3:$A$2000,C425,Regles_regimes!$B$3:$B$2000,D425,Regles_regimes!$C$3:$C$2000,MAX(1915,MIN(2025,E425)))</f>
        <v/>
      </c>
      <c r="AB425" s="77">
        <f>IF(AND(SUMIFS(Regles_regimes!$L$3:$L$2000,Regles_regimes!$A$3:$A$2000,C425,Regles_regimes!$B$3:$B$2000,D425,Regles_regimes!$C$3:$C$2000,MAX(1915,MIN(2025,E425)))=1,G425&lt;2009,C425&lt;&gt;"Privé"),MIN(20,L425*4/5),0)</f>
        <v/>
      </c>
      <c r="AC425" s="89">
        <f>SUMIFS(Donnees_regimes!$M$3:$M$1118,Donnees_regimes!$A$3:$A$1118,C425,Donnees_regimes!$B$3:$B$1118,M425)</f>
        <v/>
      </c>
      <c r="AD425" s="14">
        <f>SUMIFS(Donnees_annuelles!$Y$3:$Y$188,Donnees_annuelles!$A$3:$A$188,M425)*SUMIFS(Donnees_generations!$I$3:$I$113,Donnees_generations!$A$3:$A$113,MAX(1915,MIN(2025,E425)))/H425</f>
        <v/>
      </c>
      <c r="AE425" s="14">
        <f>IF(C425="Privé",SUMIFS(Donnees_annuelles!$Y$3:$Y$188,Donnees_annuelles!$A$3:$A$188,M425)*MIN(L425,SUMIFS(Donnees_generations!$I$3:$I$113,Donnees_generations!$A$3:$A$113,MAX(1915,MIN(2025,E425))))/L425,AD425*AC425*MIN(IF(AB425&gt;0,0.8/0.75,1),(L425*4+AB425)/AA425))</f>
        <v/>
      </c>
      <c r="AF425" s="14">
        <f>AE425/12</f>
        <v/>
      </c>
      <c r="AG425" s="77">
        <f>MIN(68,MAX(56,2*INT(K425/2)))</f>
        <v/>
      </c>
      <c r="AH425" s="75">
        <f>(CHOOSE((AG425-56)/2+1,SUMIFS(Donnees_generations!$U$3:$U$113,Donnees_generations!$A$3:$A$113,MAX(1915,MIN(2025,E425))),SUMIFS(Donnees_generations!$V$3:$V$113,Donnees_generations!$A$3:$A$113,MAX(1915,MIN(2025,E425))),SUMIFS(Donnees_generations!$W$3:$W$113,Donnees_generations!$A$3:$A$113,MAX(1915,MIN(2025,E425))),SUMIFS(Donnees_generations!$X$3:$X$113,Donnees_generations!$A$3:$A$113,MAX(1915,MIN(2025,E425))),SUMIFS(Donnees_generations!$Y$3:$Y$113,Donnees_generations!$A$3:$A$113,MAX(1915,MIN(2025,E425))),SUMIFS(Donnees_generations!$Z$3:$Z$113,Donnees_generations!$A$3:$A$113,MAX(1915,MIN(2025,E425))),SUMIFS(Donnees_generations!$AA$3:$AA$113,Donnees_generations!$A$3:$A$113,MAX(1915,MIN(2025,E425))),SUMIFS(Donnees_generations!$AB$3:$AB$113,Donnees_generations!$A$3:$A$113,MAX(1915,MIN(2025,E425))))+CHOOSE((AG425-56)/2+1,SUMIFS(Donnees_generations!$AC$3:$AC$113,Donnees_generations!$A$3:$A$113,MAX(1915,MIN(2025,E425))),SUMIFS(Donnees_generations!$AD$3:$AD$113,Donnees_generations!$A$3:$A$113,MAX(1915,MIN(2025,E425))),SUMIFS(Donnees_generations!$AE$3:$AE$113,Donnees_generations!$A$3:$A$113,MAX(1915,MIN(2025,E425))),SUMIFS(Donnees_generations!$AF$3:$AF$113,Donnees_generations!$A$3:$A$113,MAX(1915,MIN(2025,E425))),SUMIFS(Donnees_generations!$AG$3:$AG$113,Donnees_generations!$A$3:$A$113,MAX(1915,MIN(2025,E425))),SUMIFS(Donnees_generations!$AH$3:$AH$113,Donnees_generations!$A$3:$A$113,MAX(1915,MIN(2025,E425))),SUMIFS(Donnees_generations!$AI$3:$AI$113,Donnees_generations!$A$3:$A$113,MAX(1915,MIN(2025,E425))),SUMIFS(Donnees_generations!$AJ$3:$AJ$113,Donnees_generations!$A$3:$A$113,MAX(1915,MIN(2025,E425)))))/2</f>
        <v/>
      </c>
      <c r="AI425" s="75">
        <f>(CHOOSE(((AG425+2)-56)/2+1,SUMIFS(Donnees_generations!$U$3:$U$113,Donnees_generations!$A$3:$A$113,MAX(1915,MIN(2025,E425))),SUMIFS(Donnees_generations!$V$3:$V$113,Donnees_generations!$A$3:$A$113,MAX(1915,MIN(2025,E425))),SUMIFS(Donnees_generations!$W$3:$W$113,Donnees_generations!$A$3:$A$113,MAX(1915,MIN(2025,E425))),SUMIFS(Donnees_generations!$X$3:$X$113,Donnees_generations!$A$3:$A$113,MAX(1915,MIN(2025,E425))),SUMIFS(Donnees_generations!$Y$3:$Y$113,Donnees_generations!$A$3:$A$113,MAX(1915,MIN(2025,E425))),SUMIFS(Donnees_generations!$Z$3:$Z$113,Donnees_generations!$A$3:$A$113,MAX(1915,MIN(2025,E425))),SUMIFS(Donnees_generations!$AA$3:$AA$113,Donnees_generations!$A$3:$A$113,MAX(1915,MIN(2025,E425))),SUMIFS(Donnees_generations!$AB$3:$AB$113,Donnees_generations!$A$3:$A$113,MAX(1915,MIN(2025,E425))))+CHOOSE(((AG425+2)-56)/2+1,SUMIFS(Donnees_generations!$AC$3:$AC$113,Donnees_generations!$A$3:$A$113,MAX(1915,MIN(2025,E425))),SUMIFS(Donnees_generations!$AD$3:$AD$113,Donnees_generations!$A$3:$A$113,MAX(1915,MIN(2025,E425))),SUMIFS(Donnees_generations!$AE$3:$AE$113,Donnees_generations!$A$3:$A$113,MAX(1915,MIN(2025,E425))),SUMIFS(Donnees_generations!$AF$3:$AF$113,Donnees_generations!$A$3:$A$113,MAX(1915,MIN(2025,E425))),SUMIFS(Donnees_generations!$AG$3:$AG$113,Donnees_generations!$A$3:$A$113,MAX(1915,MIN(2025,E425))),SUMIFS(Donnees_generations!$AH$3:$AH$113,Donnees_generations!$A$3:$A$113,MAX(1915,MIN(2025,E425))),SUMIFS(Donnees_generations!$AI$3:$AI$113,Donnees_generations!$A$3:$A$113,MAX(1915,MIN(2025,E425))),SUMIFS(Donnees_generations!$AJ$3:$AJ$113,Donnees_generations!$A$3:$A$113,MAX(1915,MIN(2025,E425)))))/2</f>
        <v/>
      </c>
      <c r="AJ425" s="8">
        <f>MAX(0,AH425+(AI425-AH425)*(K425-AG425)/2)</f>
        <v/>
      </c>
      <c r="AK425" s="8">
        <f>K425+AJ425</f>
        <v/>
      </c>
      <c r="AL425" s="14">
        <f>AE425*AJ425</f>
        <v/>
      </c>
      <c r="AM425" s="17">
        <f>V425/AL425</f>
        <v/>
      </c>
      <c r="AN425" s="17">
        <f>Z425/AL425</f>
        <v/>
      </c>
      <c r="AO425" s="33">
        <f>IF(V425+Z425=0,0,Z425/(V425+Z425))</f>
        <v/>
      </c>
      <c r="AP425" s="14">
        <f>AL425/V425*100</f>
        <v/>
      </c>
      <c r="AQ425" s="8">
        <f>P425/AL425*1000</f>
        <v/>
      </c>
      <c r="AR425" s="77">
        <f>MAX(N425,M425-1)</f>
        <v/>
      </c>
      <c r="AS425" s="14">
        <f>SUMIFS(Donnees_regimes!$R$3:$R$1118,Donnees_regimes!$A$3:$A$1118,C425,Donnees_regimes!$B$3:$B$1118,"&gt;="&amp;G425,Donnees_regimes!$B$3:$B$1118,"&lt;="&amp;N425)*L425/ROUNDUP(L425,0)*SUMIFS(Donnees_annuelles!$AG$3:$AG$188,Donnees_annuelles!$A$3:$A$188,AR425)*SUMIFS(Donnees_annuelles!$AA$3:$AA$188,Donnees_annuelles!$A$3:$A$188,AR425)</f>
        <v/>
      </c>
      <c r="AT425" s="36">
        <f>AS425/V425</f>
        <v/>
      </c>
      <c r="AU425" s="14">
        <f>AL425</f>
        <v/>
      </c>
      <c r="AV425" s="39">
        <f>AS425-AL425</f>
        <v/>
      </c>
      <c r="AW425" s="9">
        <f>AS425/AL425-1</f>
        <v/>
      </c>
      <c r="AX425" s="14">
        <f>AS425/AJ425/12</f>
        <v/>
      </c>
      <c r="AY425" s="14">
        <f>AF425</f>
        <v/>
      </c>
      <c r="AZ425" s="39">
        <f>AX425-AF425</f>
        <v/>
      </c>
      <c r="BA425" s="14">
        <f>SUMIFS(Donnees_regimes!$S$3:$S$1118,Donnees_regimes!$A$3:$A$1118,C425,Donnees_regimes!$B$3:$B$1118,"&gt;="&amp;G425,Donnees_regimes!$B$3:$B$1118,"&lt;="&amp;N425)*L425/ROUNDUP(L425,0)*SUMIFS(Donnees_annuelles!$AH$3:$AH$188,Donnees_annuelles!$A$3:$A$188,AR425)*SUMIFS(Donnees_annuelles!$AA$3:$AA$188,Donnees_annuelles!$A$3:$A$188,AR425)</f>
        <v/>
      </c>
      <c r="BB425" s="39">
        <f>BA425-AL425</f>
        <v/>
      </c>
      <c r="BC425" s="7">
        <f>IF(M425+AJ425&gt;2026,IF(G425&gt;2026,"entièrement projeté","en partie projeté"),"observé")</f>
        <v/>
      </c>
    </row>
    <row r="426">
      <c r="A426" s="7" t="inlineStr">
        <is>
          <t>Baby-boomers</t>
        </is>
      </c>
      <c r="B426" s="84" t="inlineStr">
        <is>
          <t>RATP</t>
        </is>
      </c>
      <c r="C426" s="7">
        <f>IF(G426&gt;=SUMIFS(Regimes!$C$5:$C$10,Regimes!$A$5:$A$10,B426),"Privé",B426)</f>
        <v/>
      </c>
      <c r="D426" s="7">
        <f>INDEX(Regimes!$D$5:$D$10,MATCH(C426,Regimes!$A$5:$A$10,0))</f>
        <v/>
      </c>
      <c r="E426" s="88" t="n">
        <v>1959</v>
      </c>
      <c r="F426" s="8">
        <f>Donnees_generations!C47</f>
        <v/>
      </c>
      <c r="G426" s="77">
        <f>Donnees_generations!D47</f>
        <v/>
      </c>
      <c r="H426" s="8">
        <f>SUMIFS(Donnees_generations!$S$3:$S$113,Donnees_generations!$A$3:$A$113,MAX(1915,MIN(2025,E426)))</f>
        <v/>
      </c>
      <c r="I426" s="8">
        <f>SUMIFS(Donnees_generations!$T$3:$T$113,Donnees_generations!$A$3:$A$113,MAX(1915,MIN(2025,E426)))</f>
        <v/>
      </c>
      <c r="J426" s="8">
        <f>IF(G426&gt;=2000,MAX(I426,Parametres!$B$3),I426)</f>
        <v/>
      </c>
      <c r="K426" s="8">
        <f>IF(C426="Privé",J426,SUMIFS(Regles_regimes!$J$3:$J$2000,Regles_regimes!$A$3:$A$2000,C426,Regles_regimes!$B$3:$B$2000,D426,Regles_regimes!$C$3:$C$2000,MAX(1915,MIN(2025,E426))))</f>
        <v/>
      </c>
      <c r="L426" s="8">
        <f>IF(C426="Privé",H426,(K426-F426)*H426/(J426-F426))</f>
        <v/>
      </c>
      <c r="M426" s="77">
        <f>INT(E426+K426)</f>
        <v/>
      </c>
      <c r="N426" s="77">
        <f>G426+ROUNDUP(L426,0)-1</f>
        <v/>
      </c>
      <c r="O426" s="89">
        <f>SUMIFS(Regles_regimes!$K$3:$K$2000,Regles_regimes!$A$3:$A$2000,C426,Regles_regimes!$B$3:$B$2000,D426,Regles_regimes!$C$3:$C$2000,MAX(1915,MIN(2025,E426)))</f>
        <v/>
      </c>
      <c r="P426" s="13">
        <f>SUMIFS(Donnees_annuelles!$W$3:$W$188,Donnees_annuelles!$A$3:$A$188,"&gt;="&amp;G426,Donnees_annuelles!$A$3:$A$188,"&lt;="&amp;N426)*L426/ROUNDUP(L426,0)*O426</f>
        <v/>
      </c>
      <c r="Q426" s="13">
        <f>SUMIFS(Donnees_annuelles!$V$3:$V$188,Donnees_annuelles!$A$3:$A$188,"&gt;="&amp;G426,Donnees_annuelles!$A$3:$A$188,"&lt;="&amp;N426)*L426/ROUNDUP(L426,0)</f>
        <v/>
      </c>
      <c r="R426" s="13">
        <f>P426/L426</f>
        <v/>
      </c>
      <c r="S426" s="14">
        <f>SUMIFS(Donnees_annuelles!$D$3:$D$188,Donnees_annuelles!$A$3:$A$188,"&gt;="&amp;G426,Donnees_annuelles!$A$3:$A$188,"&lt;="&amp;N426)*L426/ROUNDUP(L426,0)</f>
        <v/>
      </c>
      <c r="T426" s="14">
        <f>SUMIFS(Donnees_regimes!$N$3:$N$1118,Donnees_regimes!$A$3:$A$1118,C426,Donnees_regimes!$B$3:$B$1118,"&gt;="&amp;G426,Donnees_regimes!$B$3:$B$1118,"&lt;="&amp;N426)*L426/ROUNDUP(L426,0)</f>
        <v/>
      </c>
      <c r="U426" s="14">
        <f>SUMIFS(Donnees_regimes!$O$3:$O$1118,Donnees_regimes!$A$3:$A$1118,C426,Donnees_regimes!$B$3:$B$1118,"&gt;="&amp;G426,Donnees_regimes!$B$3:$B$1118,"&lt;="&amp;N426)*L426/ROUNDUP(L426,0)</f>
        <v/>
      </c>
      <c r="V426" s="14">
        <f>T426+U426</f>
        <v/>
      </c>
      <c r="W426" s="33">
        <f>V426/S426</f>
        <v/>
      </c>
      <c r="X426" s="14">
        <f>S426+U426</f>
        <v/>
      </c>
      <c r="Y426" s="17">
        <f>V426/P426</f>
        <v/>
      </c>
      <c r="Z426" s="14">
        <f>SUMIFS(Donnees_regimes!$Q$3:$Q$1118,Donnees_regimes!$A$3:$A$1118,C426,Donnees_regimes!$B$3:$B$1118,"&gt;="&amp;G426,Donnees_regimes!$B$3:$B$1118,"&lt;="&amp;N426)*L426/ROUNDUP(L426,0)</f>
        <v/>
      </c>
      <c r="AA426" s="77">
        <f>SUMIFS(Regles_regimes!$F$3:$F$2000,Regles_regimes!$A$3:$A$2000,C426,Regles_regimes!$B$3:$B$2000,D426,Regles_regimes!$C$3:$C$2000,MAX(1915,MIN(2025,E426)))</f>
        <v/>
      </c>
      <c r="AB426" s="77">
        <f>IF(AND(SUMIFS(Regles_regimes!$L$3:$L$2000,Regles_regimes!$A$3:$A$2000,C426,Regles_regimes!$B$3:$B$2000,D426,Regles_regimes!$C$3:$C$2000,MAX(1915,MIN(2025,E426)))=1,G426&lt;2009,C426&lt;&gt;"Privé"),MIN(20,L426*4/5),0)</f>
        <v/>
      </c>
      <c r="AC426" s="89">
        <f>SUMIFS(Donnees_regimes!$M$3:$M$1118,Donnees_regimes!$A$3:$A$1118,C426,Donnees_regimes!$B$3:$B$1118,M426)</f>
        <v/>
      </c>
      <c r="AD426" s="14">
        <f>SUMIFS(Donnees_annuelles!$Y$3:$Y$188,Donnees_annuelles!$A$3:$A$188,M426)*SUMIFS(Donnees_generations!$I$3:$I$113,Donnees_generations!$A$3:$A$113,MAX(1915,MIN(2025,E426)))/H426</f>
        <v/>
      </c>
      <c r="AE426" s="14">
        <f>IF(C426="Privé",SUMIFS(Donnees_annuelles!$Y$3:$Y$188,Donnees_annuelles!$A$3:$A$188,M426)*MIN(L426,SUMIFS(Donnees_generations!$I$3:$I$113,Donnees_generations!$A$3:$A$113,MAX(1915,MIN(2025,E426))))/L426,AD426*AC426*MIN(IF(AB426&gt;0,0.8/0.75,1),(L426*4+AB426)/AA426))</f>
        <v/>
      </c>
      <c r="AF426" s="14">
        <f>AE426/12</f>
        <v/>
      </c>
      <c r="AG426" s="77">
        <f>MIN(68,MAX(56,2*INT(K426/2)))</f>
        <v/>
      </c>
      <c r="AH426" s="75">
        <f>(CHOOSE((AG426-56)/2+1,SUMIFS(Donnees_generations!$U$3:$U$113,Donnees_generations!$A$3:$A$113,MAX(1915,MIN(2025,E426))),SUMIFS(Donnees_generations!$V$3:$V$113,Donnees_generations!$A$3:$A$113,MAX(1915,MIN(2025,E426))),SUMIFS(Donnees_generations!$W$3:$W$113,Donnees_generations!$A$3:$A$113,MAX(1915,MIN(2025,E426))),SUMIFS(Donnees_generations!$X$3:$X$113,Donnees_generations!$A$3:$A$113,MAX(1915,MIN(2025,E426))),SUMIFS(Donnees_generations!$Y$3:$Y$113,Donnees_generations!$A$3:$A$113,MAX(1915,MIN(2025,E426))),SUMIFS(Donnees_generations!$Z$3:$Z$113,Donnees_generations!$A$3:$A$113,MAX(1915,MIN(2025,E426))),SUMIFS(Donnees_generations!$AA$3:$AA$113,Donnees_generations!$A$3:$A$113,MAX(1915,MIN(2025,E426))),SUMIFS(Donnees_generations!$AB$3:$AB$113,Donnees_generations!$A$3:$A$113,MAX(1915,MIN(2025,E426))))+CHOOSE((AG426-56)/2+1,SUMIFS(Donnees_generations!$AC$3:$AC$113,Donnees_generations!$A$3:$A$113,MAX(1915,MIN(2025,E426))),SUMIFS(Donnees_generations!$AD$3:$AD$113,Donnees_generations!$A$3:$A$113,MAX(1915,MIN(2025,E426))),SUMIFS(Donnees_generations!$AE$3:$AE$113,Donnees_generations!$A$3:$A$113,MAX(1915,MIN(2025,E426))),SUMIFS(Donnees_generations!$AF$3:$AF$113,Donnees_generations!$A$3:$A$113,MAX(1915,MIN(2025,E426))),SUMIFS(Donnees_generations!$AG$3:$AG$113,Donnees_generations!$A$3:$A$113,MAX(1915,MIN(2025,E426))),SUMIFS(Donnees_generations!$AH$3:$AH$113,Donnees_generations!$A$3:$A$113,MAX(1915,MIN(2025,E426))),SUMIFS(Donnees_generations!$AI$3:$AI$113,Donnees_generations!$A$3:$A$113,MAX(1915,MIN(2025,E426))),SUMIFS(Donnees_generations!$AJ$3:$AJ$113,Donnees_generations!$A$3:$A$113,MAX(1915,MIN(2025,E426)))))/2</f>
        <v/>
      </c>
      <c r="AI426" s="75">
        <f>(CHOOSE(((AG426+2)-56)/2+1,SUMIFS(Donnees_generations!$U$3:$U$113,Donnees_generations!$A$3:$A$113,MAX(1915,MIN(2025,E426))),SUMIFS(Donnees_generations!$V$3:$V$113,Donnees_generations!$A$3:$A$113,MAX(1915,MIN(2025,E426))),SUMIFS(Donnees_generations!$W$3:$W$113,Donnees_generations!$A$3:$A$113,MAX(1915,MIN(2025,E426))),SUMIFS(Donnees_generations!$X$3:$X$113,Donnees_generations!$A$3:$A$113,MAX(1915,MIN(2025,E426))),SUMIFS(Donnees_generations!$Y$3:$Y$113,Donnees_generations!$A$3:$A$113,MAX(1915,MIN(2025,E426))),SUMIFS(Donnees_generations!$Z$3:$Z$113,Donnees_generations!$A$3:$A$113,MAX(1915,MIN(2025,E426))),SUMIFS(Donnees_generations!$AA$3:$AA$113,Donnees_generations!$A$3:$A$113,MAX(1915,MIN(2025,E426))),SUMIFS(Donnees_generations!$AB$3:$AB$113,Donnees_generations!$A$3:$A$113,MAX(1915,MIN(2025,E426))))+CHOOSE(((AG426+2)-56)/2+1,SUMIFS(Donnees_generations!$AC$3:$AC$113,Donnees_generations!$A$3:$A$113,MAX(1915,MIN(2025,E426))),SUMIFS(Donnees_generations!$AD$3:$AD$113,Donnees_generations!$A$3:$A$113,MAX(1915,MIN(2025,E426))),SUMIFS(Donnees_generations!$AE$3:$AE$113,Donnees_generations!$A$3:$A$113,MAX(1915,MIN(2025,E426))),SUMIFS(Donnees_generations!$AF$3:$AF$113,Donnees_generations!$A$3:$A$113,MAX(1915,MIN(2025,E426))),SUMIFS(Donnees_generations!$AG$3:$AG$113,Donnees_generations!$A$3:$A$113,MAX(1915,MIN(2025,E426))),SUMIFS(Donnees_generations!$AH$3:$AH$113,Donnees_generations!$A$3:$A$113,MAX(1915,MIN(2025,E426))),SUMIFS(Donnees_generations!$AI$3:$AI$113,Donnees_generations!$A$3:$A$113,MAX(1915,MIN(2025,E426))),SUMIFS(Donnees_generations!$AJ$3:$AJ$113,Donnees_generations!$A$3:$A$113,MAX(1915,MIN(2025,E426)))))/2</f>
        <v/>
      </c>
      <c r="AJ426" s="8">
        <f>MAX(0,AH426+(AI426-AH426)*(K426-AG426)/2)</f>
        <v/>
      </c>
      <c r="AK426" s="8">
        <f>K426+AJ426</f>
        <v/>
      </c>
      <c r="AL426" s="14">
        <f>AE426*AJ426</f>
        <v/>
      </c>
      <c r="AM426" s="17">
        <f>V426/AL426</f>
        <v/>
      </c>
      <c r="AN426" s="17">
        <f>Z426/AL426</f>
        <v/>
      </c>
      <c r="AO426" s="33">
        <f>IF(V426+Z426=0,0,Z426/(V426+Z426))</f>
        <v/>
      </c>
      <c r="AP426" s="14">
        <f>AL426/V426*100</f>
        <v/>
      </c>
      <c r="AQ426" s="8">
        <f>P426/AL426*1000</f>
        <v/>
      </c>
      <c r="AR426" s="77">
        <f>MAX(N426,M426-1)</f>
        <v/>
      </c>
      <c r="AS426" s="14">
        <f>SUMIFS(Donnees_regimes!$R$3:$R$1118,Donnees_regimes!$A$3:$A$1118,C426,Donnees_regimes!$B$3:$B$1118,"&gt;="&amp;G426,Donnees_regimes!$B$3:$B$1118,"&lt;="&amp;N426)*L426/ROUNDUP(L426,0)*SUMIFS(Donnees_annuelles!$AG$3:$AG$188,Donnees_annuelles!$A$3:$A$188,AR426)*SUMIFS(Donnees_annuelles!$AA$3:$AA$188,Donnees_annuelles!$A$3:$A$188,AR426)</f>
        <v/>
      </c>
      <c r="AT426" s="36">
        <f>AS426/V426</f>
        <v/>
      </c>
      <c r="AU426" s="14">
        <f>AL426</f>
        <v/>
      </c>
      <c r="AV426" s="39">
        <f>AS426-AL426</f>
        <v/>
      </c>
      <c r="AW426" s="9">
        <f>AS426/AL426-1</f>
        <v/>
      </c>
      <c r="AX426" s="14">
        <f>AS426/AJ426/12</f>
        <v/>
      </c>
      <c r="AY426" s="14">
        <f>AF426</f>
        <v/>
      </c>
      <c r="AZ426" s="39">
        <f>AX426-AF426</f>
        <v/>
      </c>
      <c r="BA426" s="14">
        <f>SUMIFS(Donnees_regimes!$S$3:$S$1118,Donnees_regimes!$A$3:$A$1118,C426,Donnees_regimes!$B$3:$B$1118,"&gt;="&amp;G426,Donnees_regimes!$B$3:$B$1118,"&lt;="&amp;N426)*L426/ROUNDUP(L426,0)*SUMIFS(Donnees_annuelles!$AH$3:$AH$188,Donnees_annuelles!$A$3:$A$188,AR426)*SUMIFS(Donnees_annuelles!$AA$3:$AA$188,Donnees_annuelles!$A$3:$A$188,AR426)</f>
        <v/>
      </c>
      <c r="BB426" s="39">
        <f>BA426-AL426</f>
        <v/>
      </c>
      <c r="BC426" s="7">
        <f>IF(M426+AJ426&gt;2026,IF(G426&gt;2026,"entièrement projeté","en partie projeté"),"observé")</f>
        <v/>
      </c>
    </row>
    <row r="427">
      <c r="A427" s="7" t="inlineStr">
        <is>
          <t>Baby-boomers</t>
        </is>
      </c>
      <c r="B427" s="84" t="inlineStr">
        <is>
          <t>RATP</t>
        </is>
      </c>
      <c r="C427" s="7">
        <f>IF(G427&gt;=SUMIFS(Regimes!$C$5:$C$10,Regimes!$A$5:$A$10,B427),"Privé",B427)</f>
        <v/>
      </c>
      <c r="D427" s="7">
        <f>INDEX(Regimes!$D$5:$D$10,MATCH(C427,Regimes!$A$5:$A$10,0))</f>
        <v/>
      </c>
      <c r="E427" s="88" t="n">
        <v>1960</v>
      </c>
      <c r="F427" s="8">
        <f>Donnees_generations!C48</f>
        <v/>
      </c>
      <c r="G427" s="77">
        <f>Donnees_generations!D48</f>
        <v/>
      </c>
      <c r="H427" s="8">
        <f>SUMIFS(Donnees_generations!$S$3:$S$113,Donnees_generations!$A$3:$A$113,MAX(1915,MIN(2025,E427)))</f>
        <v/>
      </c>
      <c r="I427" s="8">
        <f>SUMIFS(Donnees_generations!$T$3:$T$113,Donnees_generations!$A$3:$A$113,MAX(1915,MIN(2025,E427)))</f>
        <v/>
      </c>
      <c r="J427" s="8">
        <f>IF(G427&gt;=2000,MAX(I427,Parametres!$B$3),I427)</f>
        <v/>
      </c>
      <c r="K427" s="8">
        <f>IF(C427="Privé",J427,SUMIFS(Regles_regimes!$J$3:$J$2000,Regles_regimes!$A$3:$A$2000,C427,Regles_regimes!$B$3:$B$2000,D427,Regles_regimes!$C$3:$C$2000,MAX(1915,MIN(2025,E427))))</f>
        <v/>
      </c>
      <c r="L427" s="8">
        <f>IF(C427="Privé",H427,(K427-F427)*H427/(J427-F427))</f>
        <v/>
      </c>
      <c r="M427" s="77">
        <f>INT(E427+K427)</f>
        <v/>
      </c>
      <c r="N427" s="77">
        <f>G427+ROUNDUP(L427,0)-1</f>
        <v/>
      </c>
      <c r="O427" s="89">
        <f>SUMIFS(Regles_regimes!$K$3:$K$2000,Regles_regimes!$A$3:$A$2000,C427,Regles_regimes!$B$3:$B$2000,D427,Regles_regimes!$C$3:$C$2000,MAX(1915,MIN(2025,E427)))</f>
        <v/>
      </c>
      <c r="P427" s="13">
        <f>SUMIFS(Donnees_annuelles!$W$3:$W$188,Donnees_annuelles!$A$3:$A$188,"&gt;="&amp;G427,Donnees_annuelles!$A$3:$A$188,"&lt;="&amp;N427)*L427/ROUNDUP(L427,0)*O427</f>
        <v/>
      </c>
      <c r="Q427" s="13">
        <f>SUMIFS(Donnees_annuelles!$V$3:$V$188,Donnees_annuelles!$A$3:$A$188,"&gt;="&amp;G427,Donnees_annuelles!$A$3:$A$188,"&lt;="&amp;N427)*L427/ROUNDUP(L427,0)</f>
        <v/>
      </c>
      <c r="R427" s="13">
        <f>P427/L427</f>
        <v/>
      </c>
      <c r="S427" s="14">
        <f>SUMIFS(Donnees_annuelles!$D$3:$D$188,Donnees_annuelles!$A$3:$A$188,"&gt;="&amp;G427,Donnees_annuelles!$A$3:$A$188,"&lt;="&amp;N427)*L427/ROUNDUP(L427,0)</f>
        <v/>
      </c>
      <c r="T427" s="14">
        <f>SUMIFS(Donnees_regimes!$N$3:$N$1118,Donnees_regimes!$A$3:$A$1118,C427,Donnees_regimes!$B$3:$B$1118,"&gt;="&amp;G427,Donnees_regimes!$B$3:$B$1118,"&lt;="&amp;N427)*L427/ROUNDUP(L427,0)</f>
        <v/>
      </c>
      <c r="U427" s="14">
        <f>SUMIFS(Donnees_regimes!$O$3:$O$1118,Donnees_regimes!$A$3:$A$1118,C427,Donnees_regimes!$B$3:$B$1118,"&gt;="&amp;G427,Donnees_regimes!$B$3:$B$1118,"&lt;="&amp;N427)*L427/ROUNDUP(L427,0)</f>
        <v/>
      </c>
      <c r="V427" s="14">
        <f>T427+U427</f>
        <v/>
      </c>
      <c r="W427" s="33">
        <f>V427/S427</f>
        <v/>
      </c>
      <c r="X427" s="14">
        <f>S427+U427</f>
        <v/>
      </c>
      <c r="Y427" s="17">
        <f>V427/P427</f>
        <v/>
      </c>
      <c r="Z427" s="14">
        <f>SUMIFS(Donnees_regimes!$Q$3:$Q$1118,Donnees_regimes!$A$3:$A$1118,C427,Donnees_regimes!$B$3:$B$1118,"&gt;="&amp;G427,Donnees_regimes!$B$3:$B$1118,"&lt;="&amp;N427)*L427/ROUNDUP(L427,0)</f>
        <v/>
      </c>
      <c r="AA427" s="77">
        <f>SUMIFS(Regles_regimes!$F$3:$F$2000,Regles_regimes!$A$3:$A$2000,C427,Regles_regimes!$B$3:$B$2000,D427,Regles_regimes!$C$3:$C$2000,MAX(1915,MIN(2025,E427)))</f>
        <v/>
      </c>
      <c r="AB427" s="77">
        <f>IF(AND(SUMIFS(Regles_regimes!$L$3:$L$2000,Regles_regimes!$A$3:$A$2000,C427,Regles_regimes!$B$3:$B$2000,D427,Regles_regimes!$C$3:$C$2000,MAX(1915,MIN(2025,E427)))=1,G427&lt;2009,C427&lt;&gt;"Privé"),MIN(20,L427*4/5),0)</f>
        <v/>
      </c>
      <c r="AC427" s="89">
        <f>SUMIFS(Donnees_regimes!$M$3:$M$1118,Donnees_regimes!$A$3:$A$1118,C427,Donnees_regimes!$B$3:$B$1118,M427)</f>
        <v/>
      </c>
      <c r="AD427" s="14">
        <f>SUMIFS(Donnees_annuelles!$Y$3:$Y$188,Donnees_annuelles!$A$3:$A$188,M427)*SUMIFS(Donnees_generations!$I$3:$I$113,Donnees_generations!$A$3:$A$113,MAX(1915,MIN(2025,E427)))/H427</f>
        <v/>
      </c>
      <c r="AE427" s="14">
        <f>IF(C427="Privé",SUMIFS(Donnees_annuelles!$Y$3:$Y$188,Donnees_annuelles!$A$3:$A$188,M427)*MIN(L427,SUMIFS(Donnees_generations!$I$3:$I$113,Donnees_generations!$A$3:$A$113,MAX(1915,MIN(2025,E427))))/L427,AD427*AC427*MIN(IF(AB427&gt;0,0.8/0.75,1),(L427*4+AB427)/AA427))</f>
        <v/>
      </c>
      <c r="AF427" s="14">
        <f>AE427/12</f>
        <v/>
      </c>
      <c r="AG427" s="77">
        <f>MIN(68,MAX(56,2*INT(K427/2)))</f>
        <v/>
      </c>
      <c r="AH427" s="75">
        <f>(CHOOSE((AG427-56)/2+1,SUMIFS(Donnees_generations!$U$3:$U$113,Donnees_generations!$A$3:$A$113,MAX(1915,MIN(2025,E427))),SUMIFS(Donnees_generations!$V$3:$V$113,Donnees_generations!$A$3:$A$113,MAX(1915,MIN(2025,E427))),SUMIFS(Donnees_generations!$W$3:$W$113,Donnees_generations!$A$3:$A$113,MAX(1915,MIN(2025,E427))),SUMIFS(Donnees_generations!$X$3:$X$113,Donnees_generations!$A$3:$A$113,MAX(1915,MIN(2025,E427))),SUMIFS(Donnees_generations!$Y$3:$Y$113,Donnees_generations!$A$3:$A$113,MAX(1915,MIN(2025,E427))),SUMIFS(Donnees_generations!$Z$3:$Z$113,Donnees_generations!$A$3:$A$113,MAX(1915,MIN(2025,E427))),SUMIFS(Donnees_generations!$AA$3:$AA$113,Donnees_generations!$A$3:$A$113,MAX(1915,MIN(2025,E427))),SUMIFS(Donnees_generations!$AB$3:$AB$113,Donnees_generations!$A$3:$A$113,MAX(1915,MIN(2025,E427))))+CHOOSE((AG427-56)/2+1,SUMIFS(Donnees_generations!$AC$3:$AC$113,Donnees_generations!$A$3:$A$113,MAX(1915,MIN(2025,E427))),SUMIFS(Donnees_generations!$AD$3:$AD$113,Donnees_generations!$A$3:$A$113,MAX(1915,MIN(2025,E427))),SUMIFS(Donnees_generations!$AE$3:$AE$113,Donnees_generations!$A$3:$A$113,MAX(1915,MIN(2025,E427))),SUMIFS(Donnees_generations!$AF$3:$AF$113,Donnees_generations!$A$3:$A$113,MAX(1915,MIN(2025,E427))),SUMIFS(Donnees_generations!$AG$3:$AG$113,Donnees_generations!$A$3:$A$113,MAX(1915,MIN(2025,E427))),SUMIFS(Donnees_generations!$AH$3:$AH$113,Donnees_generations!$A$3:$A$113,MAX(1915,MIN(2025,E427))),SUMIFS(Donnees_generations!$AI$3:$AI$113,Donnees_generations!$A$3:$A$113,MAX(1915,MIN(2025,E427))),SUMIFS(Donnees_generations!$AJ$3:$AJ$113,Donnees_generations!$A$3:$A$113,MAX(1915,MIN(2025,E427)))))/2</f>
        <v/>
      </c>
      <c r="AI427" s="75">
        <f>(CHOOSE(((AG427+2)-56)/2+1,SUMIFS(Donnees_generations!$U$3:$U$113,Donnees_generations!$A$3:$A$113,MAX(1915,MIN(2025,E427))),SUMIFS(Donnees_generations!$V$3:$V$113,Donnees_generations!$A$3:$A$113,MAX(1915,MIN(2025,E427))),SUMIFS(Donnees_generations!$W$3:$W$113,Donnees_generations!$A$3:$A$113,MAX(1915,MIN(2025,E427))),SUMIFS(Donnees_generations!$X$3:$X$113,Donnees_generations!$A$3:$A$113,MAX(1915,MIN(2025,E427))),SUMIFS(Donnees_generations!$Y$3:$Y$113,Donnees_generations!$A$3:$A$113,MAX(1915,MIN(2025,E427))),SUMIFS(Donnees_generations!$Z$3:$Z$113,Donnees_generations!$A$3:$A$113,MAX(1915,MIN(2025,E427))),SUMIFS(Donnees_generations!$AA$3:$AA$113,Donnees_generations!$A$3:$A$113,MAX(1915,MIN(2025,E427))),SUMIFS(Donnees_generations!$AB$3:$AB$113,Donnees_generations!$A$3:$A$113,MAX(1915,MIN(2025,E427))))+CHOOSE(((AG427+2)-56)/2+1,SUMIFS(Donnees_generations!$AC$3:$AC$113,Donnees_generations!$A$3:$A$113,MAX(1915,MIN(2025,E427))),SUMIFS(Donnees_generations!$AD$3:$AD$113,Donnees_generations!$A$3:$A$113,MAX(1915,MIN(2025,E427))),SUMIFS(Donnees_generations!$AE$3:$AE$113,Donnees_generations!$A$3:$A$113,MAX(1915,MIN(2025,E427))),SUMIFS(Donnees_generations!$AF$3:$AF$113,Donnees_generations!$A$3:$A$113,MAX(1915,MIN(2025,E427))),SUMIFS(Donnees_generations!$AG$3:$AG$113,Donnees_generations!$A$3:$A$113,MAX(1915,MIN(2025,E427))),SUMIFS(Donnees_generations!$AH$3:$AH$113,Donnees_generations!$A$3:$A$113,MAX(1915,MIN(2025,E427))),SUMIFS(Donnees_generations!$AI$3:$AI$113,Donnees_generations!$A$3:$A$113,MAX(1915,MIN(2025,E427))),SUMIFS(Donnees_generations!$AJ$3:$AJ$113,Donnees_generations!$A$3:$A$113,MAX(1915,MIN(2025,E427)))))/2</f>
        <v/>
      </c>
      <c r="AJ427" s="8">
        <f>MAX(0,AH427+(AI427-AH427)*(K427-AG427)/2)</f>
        <v/>
      </c>
      <c r="AK427" s="8">
        <f>K427+AJ427</f>
        <v/>
      </c>
      <c r="AL427" s="14">
        <f>AE427*AJ427</f>
        <v/>
      </c>
      <c r="AM427" s="17">
        <f>V427/AL427</f>
        <v/>
      </c>
      <c r="AN427" s="17">
        <f>Z427/AL427</f>
        <v/>
      </c>
      <c r="AO427" s="33">
        <f>IF(V427+Z427=0,0,Z427/(V427+Z427))</f>
        <v/>
      </c>
      <c r="AP427" s="14">
        <f>AL427/V427*100</f>
        <v/>
      </c>
      <c r="AQ427" s="8">
        <f>P427/AL427*1000</f>
        <v/>
      </c>
      <c r="AR427" s="77">
        <f>MAX(N427,M427-1)</f>
        <v/>
      </c>
      <c r="AS427" s="14">
        <f>SUMIFS(Donnees_regimes!$R$3:$R$1118,Donnees_regimes!$A$3:$A$1118,C427,Donnees_regimes!$B$3:$B$1118,"&gt;="&amp;G427,Donnees_regimes!$B$3:$B$1118,"&lt;="&amp;N427)*L427/ROUNDUP(L427,0)*SUMIFS(Donnees_annuelles!$AG$3:$AG$188,Donnees_annuelles!$A$3:$A$188,AR427)*SUMIFS(Donnees_annuelles!$AA$3:$AA$188,Donnees_annuelles!$A$3:$A$188,AR427)</f>
        <v/>
      </c>
      <c r="AT427" s="36">
        <f>AS427/V427</f>
        <v/>
      </c>
      <c r="AU427" s="14">
        <f>AL427</f>
        <v/>
      </c>
      <c r="AV427" s="39">
        <f>AS427-AL427</f>
        <v/>
      </c>
      <c r="AW427" s="9">
        <f>AS427/AL427-1</f>
        <v/>
      </c>
      <c r="AX427" s="14">
        <f>AS427/AJ427/12</f>
        <v/>
      </c>
      <c r="AY427" s="14">
        <f>AF427</f>
        <v/>
      </c>
      <c r="AZ427" s="39">
        <f>AX427-AF427</f>
        <v/>
      </c>
      <c r="BA427" s="14">
        <f>SUMIFS(Donnees_regimes!$S$3:$S$1118,Donnees_regimes!$A$3:$A$1118,C427,Donnees_regimes!$B$3:$B$1118,"&gt;="&amp;G427,Donnees_regimes!$B$3:$B$1118,"&lt;="&amp;N427)*L427/ROUNDUP(L427,0)*SUMIFS(Donnees_annuelles!$AH$3:$AH$188,Donnees_annuelles!$A$3:$A$188,AR427)*SUMIFS(Donnees_annuelles!$AA$3:$AA$188,Donnees_annuelles!$A$3:$A$188,AR427)</f>
        <v/>
      </c>
      <c r="BB427" s="39">
        <f>BA427-AL427</f>
        <v/>
      </c>
      <c r="BC427" s="7">
        <f>IF(M427+AJ427&gt;2026,IF(G427&gt;2026,"entièrement projeté","en partie projeté"),"observé")</f>
        <v/>
      </c>
    </row>
    <row r="428">
      <c r="A428" s="7" t="inlineStr">
        <is>
          <t>Baby-boomers</t>
        </is>
      </c>
      <c r="B428" s="84" t="inlineStr">
        <is>
          <t>RATP</t>
        </is>
      </c>
      <c r="C428" s="7">
        <f>IF(G428&gt;=SUMIFS(Regimes!$C$5:$C$10,Regimes!$A$5:$A$10,B428),"Privé",B428)</f>
        <v/>
      </c>
      <c r="D428" s="7">
        <f>INDEX(Regimes!$D$5:$D$10,MATCH(C428,Regimes!$A$5:$A$10,0))</f>
        <v/>
      </c>
      <c r="E428" s="88" t="n">
        <v>1961</v>
      </c>
      <c r="F428" s="8">
        <f>Donnees_generations!C49</f>
        <v/>
      </c>
      <c r="G428" s="77">
        <f>Donnees_generations!D49</f>
        <v/>
      </c>
      <c r="H428" s="8">
        <f>SUMIFS(Donnees_generations!$S$3:$S$113,Donnees_generations!$A$3:$A$113,MAX(1915,MIN(2025,E428)))</f>
        <v/>
      </c>
      <c r="I428" s="8">
        <f>SUMIFS(Donnees_generations!$T$3:$T$113,Donnees_generations!$A$3:$A$113,MAX(1915,MIN(2025,E428)))</f>
        <v/>
      </c>
      <c r="J428" s="8">
        <f>IF(G428&gt;=2000,MAX(I428,Parametres!$B$3),I428)</f>
        <v/>
      </c>
      <c r="K428" s="8">
        <f>IF(C428="Privé",J428,SUMIFS(Regles_regimes!$J$3:$J$2000,Regles_regimes!$A$3:$A$2000,C428,Regles_regimes!$B$3:$B$2000,D428,Regles_regimes!$C$3:$C$2000,MAX(1915,MIN(2025,E428))))</f>
        <v/>
      </c>
      <c r="L428" s="8">
        <f>IF(C428="Privé",H428,(K428-F428)*H428/(J428-F428))</f>
        <v/>
      </c>
      <c r="M428" s="77">
        <f>INT(E428+K428)</f>
        <v/>
      </c>
      <c r="N428" s="77">
        <f>G428+ROUNDUP(L428,0)-1</f>
        <v/>
      </c>
      <c r="O428" s="89">
        <f>SUMIFS(Regles_regimes!$K$3:$K$2000,Regles_regimes!$A$3:$A$2000,C428,Regles_regimes!$B$3:$B$2000,D428,Regles_regimes!$C$3:$C$2000,MAX(1915,MIN(2025,E428)))</f>
        <v/>
      </c>
      <c r="P428" s="13">
        <f>SUMIFS(Donnees_annuelles!$W$3:$W$188,Donnees_annuelles!$A$3:$A$188,"&gt;="&amp;G428,Donnees_annuelles!$A$3:$A$188,"&lt;="&amp;N428)*L428/ROUNDUP(L428,0)*O428</f>
        <v/>
      </c>
      <c r="Q428" s="13">
        <f>SUMIFS(Donnees_annuelles!$V$3:$V$188,Donnees_annuelles!$A$3:$A$188,"&gt;="&amp;G428,Donnees_annuelles!$A$3:$A$188,"&lt;="&amp;N428)*L428/ROUNDUP(L428,0)</f>
        <v/>
      </c>
      <c r="R428" s="13">
        <f>P428/L428</f>
        <v/>
      </c>
      <c r="S428" s="14">
        <f>SUMIFS(Donnees_annuelles!$D$3:$D$188,Donnees_annuelles!$A$3:$A$188,"&gt;="&amp;G428,Donnees_annuelles!$A$3:$A$188,"&lt;="&amp;N428)*L428/ROUNDUP(L428,0)</f>
        <v/>
      </c>
      <c r="T428" s="14">
        <f>SUMIFS(Donnees_regimes!$N$3:$N$1118,Donnees_regimes!$A$3:$A$1118,C428,Donnees_regimes!$B$3:$B$1118,"&gt;="&amp;G428,Donnees_regimes!$B$3:$B$1118,"&lt;="&amp;N428)*L428/ROUNDUP(L428,0)</f>
        <v/>
      </c>
      <c r="U428" s="14">
        <f>SUMIFS(Donnees_regimes!$O$3:$O$1118,Donnees_regimes!$A$3:$A$1118,C428,Donnees_regimes!$B$3:$B$1118,"&gt;="&amp;G428,Donnees_regimes!$B$3:$B$1118,"&lt;="&amp;N428)*L428/ROUNDUP(L428,0)</f>
        <v/>
      </c>
      <c r="V428" s="14">
        <f>T428+U428</f>
        <v/>
      </c>
      <c r="W428" s="33">
        <f>V428/S428</f>
        <v/>
      </c>
      <c r="X428" s="14">
        <f>S428+U428</f>
        <v/>
      </c>
      <c r="Y428" s="17">
        <f>V428/P428</f>
        <v/>
      </c>
      <c r="Z428" s="14">
        <f>SUMIFS(Donnees_regimes!$Q$3:$Q$1118,Donnees_regimes!$A$3:$A$1118,C428,Donnees_regimes!$B$3:$B$1118,"&gt;="&amp;G428,Donnees_regimes!$B$3:$B$1118,"&lt;="&amp;N428)*L428/ROUNDUP(L428,0)</f>
        <v/>
      </c>
      <c r="AA428" s="77">
        <f>SUMIFS(Regles_regimes!$F$3:$F$2000,Regles_regimes!$A$3:$A$2000,C428,Regles_regimes!$B$3:$B$2000,D428,Regles_regimes!$C$3:$C$2000,MAX(1915,MIN(2025,E428)))</f>
        <v/>
      </c>
      <c r="AB428" s="77">
        <f>IF(AND(SUMIFS(Regles_regimes!$L$3:$L$2000,Regles_regimes!$A$3:$A$2000,C428,Regles_regimes!$B$3:$B$2000,D428,Regles_regimes!$C$3:$C$2000,MAX(1915,MIN(2025,E428)))=1,G428&lt;2009,C428&lt;&gt;"Privé"),MIN(20,L428*4/5),0)</f>
        <v/>
      </c>
      <c r="AC428" s="89">
        <f>SUMIFS(Donnees_regimes!$M$3:$M$1118,Donnees_regimes!$A$3:$A$1118,C428,Donnees_regimes!$B$3:$B$1118,M428)</f>
        <v/>
      </c>
      <c r="AD428" s="14">
        <f>SUMIFS(Donnees_annuelles!$Y$3:$Y$188,Donnees_annuelles!$A$3:$A$188,M428)*SUMIFS(Donnees_generations!$I$3:$I$113,Donnees_generations!$A$3:$A$113,MAX(1915,MIN(2025,E428)))/H428</f>
        <v/>
      </c>
      <c r="AE428" s="14">
        <f>IF(C428="Privé",SUMIFS(Donnees_annuelles!$Y$3:$Y$188,Donnees_annuelles!$A$3:$A$188,M428)*MIN(L428,SUMIFS(Donnees_generations!$I$3:$I$113,Donnees_generations!$A$3:$A$113,MAX(1915,MIN(2025,E428))))/L428,AD428*AC428*MIN(IF(AB428&gt;0,0.8/0.75,1),(L428*4+AB428)/AA428))</f>
        <v/>
      </c>
      <c r="AF428" s="14">
        <f>AE428/12</f>
        <v/>
      </c>
      <c r="AG428" s="77">
        <f>MIN(68,MAX(56,2*INT(K428/2)))</f>
        <v/>
      </c>
      <c r="AH428" s="75">
        <f>(CHOOSE((AG428-56)/2+1,SUMIFS(Donnees_generations!$U$3:$U$113,Donnees_generations!$A$3:$A$113,MAX(1915,MIN(2025,E428))),SUMIFS(Donnees_generations!$V$3:$V$113,Donnees_generations!$A$3:$A$113,MAX(1915,MIN(2025,E428))),SUMIFS(Donnees_generations!$W$3:$W$113,Donnees_generations!$A$3:$A$113,MAX(1915,MIN(2025,E428))),SUMIFS(Donnees_generations!$X$3:$X$113,Donnees_generations!$A$3:$A$113,MAX(1915,MIN(2025,E428))),SUMIFS(Donnees_generations!$Y$3:$Y$113,Donnees_generations!$A$3:$A$113,MAX(1915,MIN(2025,E428))),SUMIFS(Donnees_generations!$Z$3:$Z$113,Donnees_generations!$A$3:$A$113,MAX(1915,MIN(2025,E428))),SUMIFS(Donnees_generations!$AA$3:$AA$113,Donnees_generations!$A$3:$A$113,MAX(1915,MIN(2025,E428))),SUMIFS(Donnees_generations!$AB$3:$AB$113,Donnees_generations!$A$3:$A$113,MAX(1915,MIN(2025,E428))))+CHOOSE((AG428-56)/2+1,SUMIFS(Donnees_generations!$AC$3:$AC$113,Donnees_generations!$A$3:$A$113,MAX(1915,MIN(2025,E428))),SUMIFS(Donnees_generations!$AD$3:$AD$113,Donnees_generations!$A$3:$A$113,MAX(1915,MIN(2025,E428))),SUMIFS(Donnees_generations!$AE$3:$AE$113,Donnees_generations!$A$3:$A$113,MAX(1915,MIN(2025,E428))),SUMIFS(Donnees_generations!$AF$3:$AF$113,Donnees_generations!$A$3:$A$113,MAX(1915,MIN(2025,E428))),SUMIFS(Donnees_generations!$AG$3:$AG$113,Donnees_generations!$A$3:$A$113,MAX(1915,MIN(2025,E428))),SUMIFS(Donnees_generations!$AH$3:$AH$113,Donnees_generations!$A$3:$A$113,MAX(1915,MIN(2025,E428))),SUMIFS(Donnees_generations!$AI$3:$AI$113,Donnees_generations!$A$3:$A$113,MAX(1915,MIN(2025,E428))),SUMIFS(Donnees_generations!$AJ$3:$AJ$113,Donnees_generations!$A$3:$A$113,MAX(1915,MIN(2025,E428)))))/2</f>
        <v/>
      </c>
      <c r="AI428" s="75">
        <f>(CHOOSE(((AG428+2)-56)/2+1,SUMIFS(Donnees_generations!$U$3:$U$113,Donnees_generations!$A$3:$A$113,MAX(1915,MIN(2025,E428))),SUMIFS(Donnees_generations!$V$3:$V$113,Donnees_generations!$A$3:$A$113,MAX(1915,MIN(2025,E428))),SUMIFS(Donnees_generations!$W$3:$W$113,Donnees_generations!$A$3:$A$113,MAX(1915,MIN(2025,E428))),SUMIFS(Donnees_generations!$X$3:$X$113,Donnees_generations!$A$3:$A$113,MAX(1915,MIN(2025,E428))),SUMIFS(Donnees_generations!$Y$3:$Y$113,Donnees_generations!$A$3:$A$113,MAX(1915,MIN(2025,E428))),SUMIFS(Donnees_generations!$Z$3:$Z$113,Donnees_generations!$A$3:$A$113,MAX(1915,MIN(2025,E428))),SUMIFS(Donnees_generations!$AA$3:$AA$113,Donnees_generations!$A$3:$A$113,MAX(1915,MIN(2025,E428))),SUMIFS(Donnees_generations!$AB$3:$AB$113,Donnees_generations!$A$3:$A$113,MAX(1915,MIN(2025,E428))))+CHOOSE(((AG428+2)-56)/2+1,SUMIFS(Donnees_generations!$AC$3:$AC$113,Donnees_generations!$A$3:$A$113,MAX(1915,MIN(2025,E428))),SUMIFS(Donnees_generations!$AD$3:$AD$113,Donnees_generations!$A$3:$A$113,MAX(1915,MIN(2025,E428))),SUMIFS(Donnees_generations!$AE$3:$AE$113,Donnees_generations!$A$3:$A$113,MAX(1915,MIN(2025,E428))),SUMIFS(Donnees_generations!$AF$3:$AF$113,Donnees_generations!$A$3:$A$113,MAX(1915,MIN(2025,E428))),SUMIFS(Donnees_generations!$AG$3:$AG$113,Donnees_generations!$A$3:$A$113,MAX(1915,MIN(2025,E428))),SUMIFS(Donnees_generations!$AH$3:$AH$113,Donnees_generations!$A$3:$A$113,MAX(1915,MIN(2025,E428))),SUMIFS(Donnees_generations!$AI$3:$AI$113,Donnees_generations!$A$3:$A$113,MAX(1915,MIN(2025,E428))),SUMIFS(Donnees_generations!$AJ$3:$AJ$113,Donnees_generations!$A$3:$A$113,MAX(1915,MIN(2025,E428)))))/2</f>
        <v/>
      </c>
      <c r="AJ428" s="8">
        <f>MAX(0,AH428+(AI428-AH428)*(K428-AG428)/2)</f>
        <v/>
      </c>
      <c r="AK428" s="8">
        <f>K428+AJ428</f>
        <v/>
      </c>
      <c r="AL428" s="14">
        <f>AE428*AJ428</f>
        <v/>
      </c>
      <c r="AM428" s="17">
        <f>V428/AL428</f>
        <v/>
      </c>
      <c r="AN428" s="17">
        <f>Z428/AL428</f>
        <v/>
      </c>
      <c r="AO428" s="33">
        <f>IF(V428+Z428=0,0,Z428/(V428+Z428))</f>
        <v/>
      </c>
      <c r="AP428" s="14">
        <f>AL428/V428*100</f>
        <v/>
      </c>
      <c r="AQ428" s="8">
        <f>P428/AL428*1000</f>
        <v/>
      </c>
      <c r="AR428" s="77">
        <f>MAX(N428,M428-1)</f>
        <v/>
      </c>
      <c r="AS428" s="14">
        <f>SUMIFS(Donnees_regimes!$R$3:$R$1118,Donnees_regimes!$A$3:$A$1118,C428,Donnees_regimes!$B$3:$B$1118,"&gt;="&amp;G428,Donnees_regimes!$B$3:$B$1118,"&lt;="&amp;N428)*L428/ROUNDUP(L428,0)*SUMIFS(Donnees_annuelles!$AG$3:$AG$188,Donnees_annuelles!$A$3:$A$188,AR428)*SUMIFS(Donnees_annuelles!$AA$3:$AA$188,Donnees_annuelles!$A$3:$A$188,AR428)</f>
        <v/>
      </c>
      <c r="AT428" s="36">
        <f>AS428/V428</f>
        <v/>
      </c>
      <c r="AU428" s="14">
        <f>AL428</f>
        <v/>
      </c>
      <c r="AV428" s="39">
        <f>AS428-AL428</f>
        <v/>
      </c>
      <c r="AW428" s="9">
        <f>AS428/AL428-1</f>
        <v/>
      </c>
      <c r="AX428" s="14">
        <f>AS428/AJ428/12</f>
        <v/>
      </c>
      <c r="AY428" s="14">
        <f>AF428</f>
        <v/>
      </c>
      <c r="AZ428" s="39">
        <f>AX428-AF428</f>
        <v/>
      </c>
      <c r="BA428" s="14">
        <f>SUMIFS(Donnees_regimes!$S$3:$S$1118,Donnees_regimes!$A$3:$A$1118,C428,Donnees_regimes!$B$3:$B$1118,"&gt;="&amp;G428,Donnees_regimes!$B$3:$B$1118,"&lt;="&amp;N428)*L428/ROUNDUP(L428,0)*SUMIFS(Donnees_annuelles!$AH$3:$AH$188,Donnees_annuelles!$A$3:$A$188,AR428)*SUMIFS(Donnees_annuelles!$AA$3:$AA$188,Donnees_annuelles!$A$3:$A$188,AR428)</f>
        <v/>
      </c>
      <c r="BB428" s="39">
        <f>BA428-AL428</f>
        <v/>
      </c>
      <c r="BC428" s="7">
        <f>IF(M428+AJ428&gt;2026,IF(G428&gt;2026,"entièrement projeté","en partie projeté"),"observé")</f>
        <v/>
      </c>
    </row>
    <row r="429">
      <c r="A429" s="7" t="inlineStr">
        <is>
          <t>Baby-boomers</t>
        </is>
      </c>
      <c r="B429" s="84" t="inlineStr">
        <is>
          <t>RATP</t>
        </is>
      </c>
      <c r="C429" s="7">
        <f>IF(G429&gt;=SUMIFS(Regimes!$C$5:$C$10,Regimes!$A$5:$A$10,B429),"Privé",B429)</f>
        <v/>
      </c>
      <c r="D429" s="7">
        <f>INDEX(Regimes!$D$5:$D$10,MATCH(C429,Regimes!$A$5:$A$10,0))</f>
        <v/>
      </c>
      <c r="E429" s="88" t="n">
        <v>1962</v>
      </c>
      <c r="F429" s="8">
        <f>Donnees_generations!C50</f>
        <v/>
      </c>
      <c r="G429" s="77">
        <f>Donnees_generations!D50</f>
        <v/>
      </c>
      <c r="H429" s="8">
        <f>SUMIFS(Donnees_generations!$S$3:$S$113,Donnees_generations!$A$3:$A$113,MAX(1915,MIN(2025,E429)))</f>
        <v/>
      </c>
      <c r="I429" s="8">
        <f>SUMIFS(Donnees_generations!$T$3:$T$113,Donnees_generations!$A$3:$A$113,MAX(1915,MIN(2025,E429)))</f>
        <v/>
      </c>
      <c r="J429" s="8">
        <f>IF(G429&gt;=2000,MAX(I429,Parametres!$B$3),I429)</f>
        <v/>
      </c>
      <c r="K429" s="8">
        <f>IF(C429="Privé",J429,SUMIFS(Regles_regimes!$J$3:$J$2000,Regles_regimes!$A$3:$A$2000,C429,Regles_regimes!$B$3:$B$2000,D429,Regles_regimes!$C$3:$C$2000,MAX(1915,MIN(2025,E429))))</f>
        <v/>
      </c>
      <c r="L429" s="8">
        <f>IF(C429="Privé",H429,(K429-F429)*H429/(J429-F429))</f>
        <v/>
      </c>
      <c r="M429" s="77">
        <f>INT(E429+K429)</f>
        <v/>
      </c>
      <c r="N429" s="77">
        <f>G429+ROUNDUP(L429,0)-1</f>
        <v/>
      </c>
      <c r="O429" s="89">
        <f>SUMIFS(Regles_regimes!$K$3:$K$2000,Regles_regimes!$A$3:$A$2000,C429,Regles_regimes!$B$3:$B$2000,D429,Regles_regimes!$C$3:$C$2000,MAX(1915,MIN(2025,E429)))</f>
        <v/>
      </c>
      <c r="P429" s="13">
        <f>SUMIFS(Donnees_annuelles!$W$3:$W$188,Donnees_annuelles!$A$3:$A$188,"&gt;="&amp;G429,Donnees_annuelles!$A$3:$A$188,"&lt;="&amp;N429)*L429/ROUNDUP(L429,0)*O429</f>
        <v/>
      </c>
      <c r="Q429" s="13">
        <f>SUMIFS(Donnees_annuelles!$V$3:$V$188,Donnees_annuelles!$A$3:$A$188,"&gt;="&amp;G429,Donnees_annuelles!$A$3:$A$188,"&lt;="&amp;N429)*L429/ROUNDUP(L429,0)</f>
        <v/>
      </c>
      <c r="R429" s="13">
        <f>P429/L429</f>
        <v/>
      </c>
      <c r="S429" s="14">
        <f>SUMIFS(Donnees_annuelles!$D$3:$D$188,Donnees_annuelles!$A$3:$A$188,"&gt;="&amp;G429,Donnees_annuelles!$A$3:$A$188,"&lt;="&amp;N429)*L429/ROUNDUP(L429,0)</f>
        <v/>
      </c>
      <c r="T429" s="14">
        <f>SUMIFS(Donnees_regimes!$N$3:$N$1118,Donnees_regimes!$A$3:$A$1118,C429,Donnees_regimes!$B$3:$B$1118,"&gt;="&amp;G429,Donnees_regimes!$B$3:$B$1118,"&lt;="&amp;N429)*L429/ROUNDUP(L429,0)</f>
        <v/>
      </c>
      <c r="U429" s="14">
        <f>SUMIFS(Donnees_regimes!$O$3:$O$1118,Donnees_regimes!$A$3:$A$1118,C429,Donnees_regimes!$B$3:$B$1118,"&gt;="&amp;G429,Donnees_regimes!$B$3:$B$1118,"&lt;="&amp;N429)*L429/ROUNDUP(L429,0)</f>
        <v/>
      </c>
      <c r="V429" s="14">
        <f>T429+U429</f>
        <v/>
      </c>
      <c r="W429" s="33">
        <f>V429/S429</f>
        <v/>
      </c>
      <c r="X429" s="14">
        <f>S429+U429</f>
        <v/>
      </c>
      <c r="Y429" s="17">
        <f>V429/P429</f>
        <v/>
      </c>
      <c r="Z429" s="14">
        <f>SUMIFS(Donnees_regimes!$Q$3:$Q$1118,Donnees_regimes!$A$3:$A$1118,C429,Donnees_regimes!$B$3:$B$1118,"&gt;="&amp;G429,Donnees_regimes!$B$3:$B$1118,"&lt;="&amp;N429)*L429/ROUNDUP(L429,0)</f>
        <v/>
      </c>
      <c r="AA429" s="77">
        <f>SUMIFS(Regles_regimes!$F$3:$F$2000,Regles_regimes!$A$3:$A$2000,C429,Regles_regimes!$B$3:$B$2000,D429,Regles_regimes!$C$3:$C$2000,MAX(1915,MIN(2025,E429)))</f>
        <v/>
      </c>
      <c r="AB429" s="77">
        <f>IF(AND(SUMIFS(Regles_regimes!$L$3:$L$2000,Regles_regimes!$A$3:$A$2000,C429,Regles_regimes!$B$3:$B$2000,D429,Regles_regimes!$C$3:$C$2000,MAX(1915,MIN(2025,E429)))=1,G429&lt;2009,C429&lt;&gt;"Privé"),MIN(20,L429*4/5),0)</f>
        <v/>
      </c>
      <c r="AC429" s="89">
        <f>SUMIFS(Donnees_regimes!$M$3:$M$1118,Donnees_regimes!$A$3:$A$1118,C429,Donnees_regimes!$B$3:$B$1118,M429)</f>
        <v/>
      </c>
      <c r="AD429" s="14">
        <f>SUMIFS(Donnees_annuelles!$Y$3:$Y$188,Donnees_annuelles!$A$3:$A$188,M429)*SUMIFS(Donnees_generations!$I$3:$I$113,Donnees_generations!$A$3:$A$113,MAX(1915,MIN(2025,E429)))/H429</f>
        <v/>
      </c>
      <c r="AE429" s="14">
        <f>IF(C429="Privé",SUMIFS(Donnees_annuelles!$Y$3:$Y$188,Donnees_annuelles!$A$3:$A$188,M429)*MIN(L429,SUMIFS(Donnees_generations!$I$3:$I$113,Donnees_generations!$A$3:$A$113,MAX(1915,MIN(2025,E429))))/L429,AD429*AC429*MIN(IF(AB429&gt;0,0.8/0.75,1),(L429*4+AB429)/AA429))</f>
        <v/>
      </c>
      <c r="AF429" s="14">
        <f>AE429/12</f>
        <v/>
      </c>
      <c r="AG429" s="77">
        <f>MIN(68,MAX(56,2*INT(K429/2)))</f>
        <v/>
      </c>
      <c r="AH429" s="75">
        <f>(CHOOSE((AG429-56)/2+1,SUMIFS(Donnees_generations!$U$3:$U$113,Donnees_generations!$A$3:$A$113,MAX(1915,MIN(2025,E429))),SUMIFS(Donnees_generations!$V$3:$V$113,Donnees_generations!$A$3:$A$113,MAX(1915,MIN(2025,E429))),SUMIFS(Donnees_generations!$W$3:$W$113,Donnees_generations!$A$3:$A$113,MAX(1915,MIN(2025,E429))),SUMIFS(Donnees_generations!$X$3:$X$113,Donnees_generations!$A$3:$A$113,MAX(1915,MIN(2025,E429))),SUMIFS(Donnees_generations!$Y$3:$Y$113,Donnees_generations!$A$3:$A$113,MAX(1915,MIN(2025,E429))),SUMIFS(Donnees_generations!$Z$3:$Z$113,Donnees_generations!$A$3:$A$113,MAX(1915,MIN(2025,E429))),SUMIFS(Donnees_generations!$AA$3:$AA$113,Donnees_generations!$A$3:$A$113,MAX(1915,MIN(2025,E429))),SUMIFS(Donnees_generations!$AB$3:$AB$113,Donnees_generations!$A$3:$A$113,MAX(1915,MIN(2025,E429))))+CHOOSE((AG429-56)/2+1,SUMIFS(Donnees_generations!$AC$3:$AC$113,Donnees_generations!$A$3:$A$113,MAX(1915,MIN(2025,E429))),SUMIFS(Donnees_generations!$AD$3:$AD$113,Donnees_generations!$A$3:$A$113,MAX(1915,MIN(2025,E429))),SUMIFS(Donnees_generations!$AE$3:$AE$113,Donnees_generations!$A$3:$A$113,MAX(1915,MIN(2025,E429))),SUMIFS(Donnees_generations!$AF$3:$AF$113,Donnees_generations!$A$3:$A$113,MAX(1915,MIN(2025,E429))),SUMIFS(Donnees_generations!$AG$3:$AG$113,Donnees_generations!$A$3:$A$113,MAX(1915,MIN(2025,E429))),SUMIFS(Donnees_generations!$AH$3:$AH$113,Donnees_generations!$A$3:$A$113,MAX(1915,MIN(2025,E429))),SUMIFS(Donnees_generations!$AI$3:$AI$113,Donnees_generations!$A$3:$A$113,MAX(1915,MIN(2025,E429))),SUMIFS(Donnees_generations!$AJ$3:$AJ$113,Donnees_generations!$A$3:$A$113,MAX(1915,MIN(2025,E429)))))/2</f>
        <v/>
      </c>
      <c r="AI429" s="75">
        <f>(CHOOSE(((AG429+2)-56)/2+1,SUMIFS(Donnees_generations!$U$3:$U$113,Donnees_generations!$A$3:$A$113,MAX(1915,MIN(2025,E429))),SUMIFS(Donnees_generations!$V$3:$V$113,Donnees_generations!$A$3:$A$113,MAX(1915,MIN(2025,E429))),SUMIFS(Donnees_generations!$W$3:$W$113,Donnees_generations!$A$3:$A$113,MAX(1915,MIN(2025,E429))),SUMIFS(Donnees_generations!$X$3:$X$113,Donnees_generations!$A$3:$A$113,MAX(1915,MIN(2025,E429))),SUMIFS(Donnees_generations!$Y$3:$Y$113,Donnees_generations!$A$3:$A$113,MAX(1915,MIN(2025,E429))),SUMIFS(Donnees_generations!$Z$3:$Z$113,Donnees_generations!$A$3:$A$113,MAX(1915,MIN(2025,E429))),SUMIFS(Donnees_generations!$AA$3:$AA$113,Donnees_generations!$A$3:$A$113,MAX(1915,MIN(2025,E429))),SUMIFS(Donnees_generations!$AB$3:$AB$113,Donnees_generations!$A$3:$A$113,MAX(1915,MIN(2025,E429))))+CHOOSE(((AG429+2)-56)/2+1,SUMIFS(Donnees_generations!$AC$3:$AC$113,Donnees_generations!$A$3:$A$113,MAX(1915,MIN(2025,E429))),SUMIFS(Donnees_generations!$AD$3:$AD$113,Donnees_generations!$A$3:$A$113,MAX(1915,MIN(2025,E429))),SUMIFS(Donnees_generations!$AE$3:$AE$113,Donnees_generations!$A$3:$A$113,MAX(1915,MIN(2025,E429))),SUMIFS(Donnees_generations!$AF$3:$AF$113,Donnees_generations!$A$3:$A$113,MAX(1915,MIN(2025,E429))),SUMIFS(Donnees_generations!$AG$3:$AG$113,Donnees_generations!$A$3:$A$113,MAX(1915,MIN(2025,E429))),SUMIFS(Donnees_generations!$AH$3:$AH$113,Donnees_generations!$A$3:$A$113,MAX(1915,MIN(2025,E429))),SUMIFS(Donnees_generations!$AI$3:$AI$113,Donnees_generations!$A$3:$A$113,MAX(1915,MIN(2025,E429))),SUMIFS(Donnees_generations!$AJ$3:$AJ$113,Donnees_generations!$A$3:$A$113,MAX(1915,MIN(2025,E429)))))/2</f>
        <v/>
      </c>
      <c r="AJ429" s="8">
        <f>MAX(0,AH429+(AI429-AH429)*(K429-AG429)/2)</f>
        <v/>
      </c>
      <c r="AK429" s="8">
        <f>K429+AJ429</f>
        <v/>
      </c>
      <c r="AL429" s="14">
        <f>AE429*AJ429</f>
        <v/>
      </c>
      <c r="AM429" s="17">
        <f>V429/AL429</f>
        <v/>
      </c>
      <c r="AN429" s="17">
        <f>Z429/AL429</f>
        <v/>
      </c>
      <c r="AO429" s="33">
        <f>IF(V429+Z429=0,0,Z429/(V429+Z429))</f>
        <v/>
      </c>
      <c r="AP429" s="14">
        <f>AL429/V429*100</f>
        <v/>
      </c>
      <c r="AQ429" s="8">
        <f>P429/AL429*1000</f>
        <v/>
      </c>
      <c r="AR429" s="77">
        <f>MAX(N429,M429-1)</f>
        <v/>
      </c>
      <c r="AS429" s="14">
        <f>SUMIFS(Donnees_regimes!$R$3:$R$1118,Donnees_regimes!$A$3:$A$1118,C429,Donnees_regimes!$B$3:$B$1118,"&gt;="&amp;G429,Donnees_regimes!$B$3:$B$1118,"&lt;="&amp;N429)*L429/ROUNDUP(L429,0)*SUMIFS(Donnees_annuelles!$AG$3:$AG$188,Donnees_annuelles!$A$3:$A$188,AR429)*SUMIFS(Donnees_annuelles!$AA$3:$AA$188,Donnees_annuelles!$A$3:$A$188,AR429)</f>
        <v/>
      </c>
      <c r="AT429" s="36">
        <f>AS429/V429</f>
        <v/>
      </c>
      <c r="AU429" s="14">
        <f>AL429</f>
        <v/>
      </c>
      <c r="AV429" s="39">
        <f>AS429-AL429</f>
        <v/>
      </c>
      <c r="AW429" s="9">
        <f>AS429/AL429-1</f>
        <v/>
      </c>
      <c r="AX429" s="14">
        <f>AS429/AJ429/12</f>
        <v/>
      </c>
      <c r="AY429" s="14">
        <f>AF429</f>
        <v/>
      </c>
      <c r="AZ429" s="39">
        <f>AX429-AF429</f>
        <v/>
      </c>
      <c r="BA429" s="14">
        <f>SUMIFS(Donnees_regimes!$S$3:$S$1118,Donnees_regimes!$A$3:$A$1118,C429,Donnees_regimes!$B$3:$B$1118,"&gt;="&amp;G429,Donnees_regimes!$B$3:$B$1118,"&lt;="&amp;N429)*L429/ROUNDUP(L429,0)*SUMIFS(Donnees_annuelles!$AH$3:$AH$188,Donnees_annuelles!$A$3:$A$188,AR429)*SUMIFS(Donnees_annuelles!$AA$3:$AA$188,Donnees_annuelles!$A$3:$A$188,AR429)</f>
        <v/>
      </c>
      <c r="BB429" s="39">
        <f>BA429-AL429</f>
        <v/>
      </c>
      <c r="BC429" s="7">
        <f>IF(M429+AJ429&gt;2026,IF(G429&gt;2026,"entièrement projeté","en partie projeté"),"observé")</f>
        <v/>
      </c>
    </row>
    <row r="430">
      <c r="A430" s="7" t="inlineStr">
        <is>
          <t>Baby-boomers</t>
        </is>
      </c>
      <c r="B430" s="84" t="inlineStr">
        <is>
          <t>RATP</t>
        </is>
      </c>
      <c r="C430" s="7">
        <f>IF(G430&gt;=SUMIFS(Regimes!$C$5:$C$10,Regimes!$A$5:$A$10,B430),"Privé",B430)</f>
        <v/>
      </c>
      <c r="D430" s="7">
        <f>INDEX(Regimes!$D$5:$D$10,MATCH(C430,Regimes!$A$5:$A$10,0))</f>
        <v/>
      </c>
      <c r="E430" s="88" t="n">
        <v>1963</v>
      </c>
      <c r="F430" s="8">
        <f>Donnees_generations!C51</f>
        <v/>
      </c>
      <c r="G430" s="77">
        <f>Donnees_generations!D51</f>
        <v/>
      </c>
      <c r="H430" s="8">
        <f>SUMIFS(Donnees_generations!$S$3:$S$113,Donnees_generations!$A$3:$A$113,MAX(1915,MIN(2025,E430)))</f>
        <v/>
      </c>
      <c r="I430" s="8">
        <f>SUMIFS(Donnees_generations!$T$3:$T$113,Donnees_generations!$A$3:$A$113,MAX(1915,MIN(2025,E430)))</f>
        <v/>
      </c>
      <c r="J430" s="8">
        <f>IF(G430&gt;=2000,MAX(I430,Parametres!$B$3),I430)</f>
        <v/>
      </c>
      <c r="K430" s="8">
        <f>IF(C430="Privé",J430,SUMIFS(Regles_regimes!$J$3:$J$2000,Regles_regimes!$A$3:$A$2000,C430,Regles_regimes!$B$3:$B$2000,D430,Regles_regimes!$C$3:$C$2000,MAX(1915,MIN(2025,E430))))</f>
        <v/>
      </c>
      <c r="L430" s="8">
        <f>IF(C430="Privé",H430,(K430-F430)*H430/(J430-F430))</f>
        <v/>
      </c>
      <c r="M430" s="77">
        <f>INT(E430+K430)</f>
        <v/>
      </c>
      <c r="N430" s="77">
        <f>G430+ROUNDUP(L430,0)-1</f>
        <v/>
      </c>
      <c r="O430" s="89">
        <f>SUMIFS(Regles_regimes!$K$3:$K$2000,Regles_regimes!$A$3:$A$2000,C430,Regles_regimes!$B$3:$B$2000,D430,Regles_regimes!$C$3:$C$2000,MAX(1915,MIN(2025,E430)))</f>
        <v/>
      </c>
      <c r="P430" s="13">
        <f>SUMIFS(Donnees_annuelles!$W$3:$W$188,Donnees_annuelles!$A$3:$A$188,"&gt;="&amp;G430,Donnees_annuelles!$A$3:$A$188,"&lt;="&amp;N430)*L430/ROUNDUP(L430,0)*O430</f>
        <v/>
      </c>
      <c r="Q430" s="13">
        <f>SUMIFS(Donnees_annuelles!$V$3:$V$188,Donnees_annuelles!$A$3:$A$188,"&gt;="&amp;G430,Donnees_annuelles!$A$3:$A$188,"&lt;="&amp;N430)*L430/ROUNDUP(L430,0)</f>
        <v/>
      </c>
      <c r="R430" s="13">
        <f>P430/L430</f>
        <v/>
      </c>
      <c r="S430" s="14">
        <f>SUMIFS(Donnees_annuelles!$D$3:$D$188,Donnees_annuelles!$A$3:$A$188,"&gt;="&amp;G430,Donnees_annuelles!$A$3:$A$188,"&lt;="&amp;N430)*L430/ROUNDUP(L430,0)</f>
        <v/>
      </c>
      <c r="T430" s="14">
        <f>SUMIFS(Donnees_regimes!$N$3:$N$1118,Donnees_regimes!$A$3:$A$1118,C430,Donnees_regimes!$B$3:$B$1118,"&gt;="&amp;G430,Donnees_regimes!$B$3:$B$1118,"&lt;="&amp;N430)*L430/ROUNDUP(L430,0)</f>
        <v/>
      </c>
      <c r="U430" s="14">
        <f>SUMIFS(Donnees_regimes!$O$3:$O$1118,Donnees_regimes!$A$3:$A$1118,C430,Donnees_regimes!$B$3:$B$1118,"&gt;="&amp;G430,Donnees_regimes!$B$3:$B$1118,"&lt;="&amp;N430)*L430/ROUNDUP(L430,0)</f>
        <v/>
      </c>
      <c r="V430" s="14">
        <f>T430+U430</f>
        <v/>
      </c>
      <c r="W430" s="33">
        <f>V430/S430</f>
        <v/>
      </c>
      <c r="X430" s="14">
        <f>S430+U430</f>
        <v/>
      </c>
      <c r="Y430" s="17">
        <f>V430/P430</f>
        <v/>
      </c>
      <c r="Z430" s="14">
        <f>SUMIFS(Donnees_regimes!$Q$3:$Q$1118,Donnees_regimes!$A$3:$A$1118,C430,Donnees_regimes!$B$3:$B$1118,"&gt;="&amp;G430,Donnees_regimes!$B$3:$B$1118,"&lt;="&amp;N430)*L430/ROUNDUP(L430,0)</f>
        <v/>
      </c>
      <c r="AA430" s="77">
        <f>SUMIFS(Regles_regimes!$F$3:$F$2000,Regles_regimes!$A$3:$A$2000,C430,Regles_regimes!$B$3:$B$2000,D430,Regles_regimes!$C$3:$C$2000,MAX(1915,MIN(2025,E430)))</f>
        <v/>
      </c>
      <c r="AB430" s="77">
        <f>IF(AND(SUMIFS(Regles_regimes!$L$3:$L$2000,Regles_regimes!$A$3:$A$2000,C430,Regles_regimes!$B$3:$B$2000,D430,Regles_regimes!$C$3:$C$2000,MAX(1915,MIN(2025,E430)))=1,G430&lt;2009,C430&lt;&gt;"Privé"),MIN(20,L430*4/5),0)</f>
        <v/>
      </c>
      <c r="AC430" s="89">
        <f>SUMIFS(Donnees_regimes!$M$3:$M$1118,Donnees_regimes!$A$3:$A$1118,C430,Donnees_regimes!$B$3:$B$1118,M430)</f>
        <v/>
      </c>
      <c r="AD430" s="14">
        <f>SUMIFS(Donnees_annuelles!$Y$3:$Y$188,Donnees_annuelles!$A$3:$A$188,M430)*SUMIFS(Donnees_generations!$I$3:$I$113,Donnees_generations!$A$3:$A$113,MAX(1915,MIN(2025,E430)))/H430</f>
        <v/>
      </c>
      <c r="AE430" s="14">
        <f>IF(C430="Privé",SUMIFS(Donnees_annuelles!$Y$3:$Y$188,Donnees_annuelles!$A$3:$A$188,M430)*MIN(L430,SUMIFS(Donnees_generations!$I$3:$I$113,Donnees_generations!$A$3:$A$113,MAX(1915,MIN(2025,E430))))/L430,AD430*AC430*MIN(IF(AB430&gt;0,0.8/0.75,1),(L430*4+AB430)/AA430))</f>
        <v/>
      </c>
      <c r="AF430" s="14">
        <f>AE430/12</f>
        <v/>
      </c>
      <c r="AG430" s="77">
        <f>MIN(68,MAX(56,2*INT(K430/2)))</f>
        <v/>
      </c>
      <c r="AH430" s="75">
        <f>(CHOOSE((AG430-56)/2+1,SUMIFS(Donnees_generations!$U$3:$U$113,Donnees_generations!$A$3:$A$113,MAX(1915,MIN(2025,E430))),SUMIFS(Donnees_generations!$V$3:$V$113,Donnees_generations!$A$3:$A$113,MAX(1915,MIN(2025,E430))),SUMIFS(Donnees_generations!$W$3:$W$113,Donnees_generations!$A$3:$A$113,MAX(1915,MIN(2025,E430))),SUMIFS(Donnees_generations!$X$3:$X$113,Donnees_generations!$A$3:$A$113,MAX(1915,MIN(2025,E430))),SUMIFS(Donnees_generations!$Y$3:$Y$113,Donnees_generations!$A$3:$A$113,MAX(1915,MIN(2025,E430))),SUMIFS(Donnees_generations!$Z$3:$Z$113,Donnees_generations!$A$3:$A$113,MAX(1915,MIN(2025,E430))),SUMIFS(Donnees_generations!$AA$3:$AA$113,Donnees_generations!$A$3:$A$113,MAX(1915,MIN(2025,E430))),SUMIFS(Donnees_generations!$AB$3:$AB$113,Donnees_generations!$A$3:$A$113,MAX(1915,MIN(2025,E430))))+CHOOSE((AG430-56)/2+1,SUMIFS(Donnees_generations!$AC$3:$AC$113,Donnees_generations!$A$3:$A$113,MAX(1915,MIN(2025,E430))),SUMIFS(Donnees_generations!$AD$3:$AD$113,Donnees_generations!$A$3:$A$113,MAX(1915,MIN(2025,E430))),SUMIFS(Donnees_generations!$AE$3:$AE$113,Donnees_generations!$A$3:$A$113,MAX(1915,MIN(2025,E430))),SUMIFS(Donnees_generations!$AF$3:$AF$113,Donnees_generations!$A$3:$A$113,MAX(1915,MIN(2025,E430))),SUMIFS(Donnees_generations!$AG$3:$AG$113,Donnees_generations!$A$3:$A$113,MAX(1915,MIN(2025,E430))),SUMIFS(Donnees_generations!$AH$3:$AH$113,Donnees_generations!$A$3:$A$113,MAX(1915,MIN(2025,E430))),SUMIFS(Donnees_generations!$AI$3:$AI$113,Donnees_generations!$A$3:$A$113,MAX(1915,MIN(2025,E430))),SUMIFS(Donnees_generations!$AJ$3:$AJ$113,Donnees_generations!$A$3:$A$113,MAX(1915,MIN(2025,E430)))))/2</f>
        <v/>
      </c>
      <c r="AI430" s="75">
        <f>(CHOOSE(((AG430+2)-56)/2+1,SUMIFS(Donnees_generations!$U$3:$U$113,Donnees_generations!$A$3:$A$113,MAX(1915,MIN(2025,E430))),SUMIFS(Donnees_generations!$V$3:$V$113,Donnees_generations!$A$3:$A$113,MAX(1915,MIN(2025,E430))),SUMIFS(Donnees_generations!$W$3:$W$113,Donnees_generations!$A$3:$A$113,MAX(1915,MIN(2025,E430))),SUMIFS(Donnees_generations!$X$3:$X$113,Donnees_generations!$A$3:$A$113,MAX(1915,MIN(2025,E430))),SUMIFS(Donnees_generations!$Y$3:$Y$113,Donnees_generations!$A$3:$A$113,MAX(1915,MIN(2025,E430))),SUMIFS(Donnees_generations!$Z$3:$Z$113,Donnees_generations!$A$3:$A$113,MAX(1915,MIN(2025,E430))),SUMIFS(Donnees_generations!$AA$3:$AA$113,Donnees_generations!$A$3:$A$113,MAX(1915,MIN(2025,E430))),SUMIFS(Donnees_generations!$AB$3:$AB$113,Donnees_generations!$A$3:$A$113,MAX(1915,MIN(2025,E430))))+CHOOSE(((AG430+2)-56)/2+1,SUMIFS(Donnees_generations!$AC$3:$AC$113,Donnees_generations!$A$3:$A$113,MAX(1915,MIN(2025,E430))),SUMIFS(Donnees_generations!$AD$3:$AD$113,Donnees_generations!$A$3:$A$113,MAX(1915,MIN(2025,E430))),SUMIFS(Donnees_generations!$AE$3:$AE$113,Donnees_generations!$A$3:$A$113,MAX(1915,MIN(2025,E430))),SUMIFS(Donnees_generations!$AF$3:$AF$113,Donnees_generations!$A$3:$A$113,MAX(1915,MIN(2025,E430))),SUMIFS(Donnees_generations!$AG$3:$AG$113,Donnees_generations!$A$3:$A$113,MAX(1915,MIN(2025,E430))),SUMIFS(Donnees_generations!$AH$3:$AH$113,Donnees_generations!$A$3:$A$113,MAX(1915,MIN(2025,E430))),SUMIFS(Donnees_generations!$AI$3:$AI$113,Donnees_generations!$A$3:$A$113,MAX(1915,MIN(2025,E430))),SUMIFS(Donnees_generations!$AJ$3:$AJ$113,Donnees_generations!$A$3:$A$113,MAX(1915,MIN(2025,E430)))))/2</f>
        <v/>
      </c>
      <c r="AJ430" s="8">
        <f>MAX(0,AH430+(AI430-AH430)*(K430-AG430)/2)</f>
        <v/>
      </c>
      <c r="AK430" s="8">
        <f>K430+AJ430</f>
        <v/>
      </c>
      <c r="AL430" s="14">
        <f>AE430*AJ430</f>
        <v/>
      </c>
      <c r="AM430" s="17">
        <f>V430/AL430</f>
        <v/>
      </c>
      <c r="AN430" s="17">
        <f>Z430/AL430</f>
        <v/>
      </c>
      <c r="AO430" s="33">
        <f>IF(V430+Z430=0,0,Z430/(V430+Z430))</f>
        <v/>
      </c>
      <c r="AP430" s="14">
        <f>AL430/V430*100</f>
        <v/>
      </c>
      <c r="AQ430" s="8">
        <f>P430/AL430*1000</f>
        <v/>
      </c>
      <c r="AR430" s="77">
        <f>MAX(N430,M430-1)</f>
        <v/>
      </c>
      <c r="AS430" s="14">
        <f>SUMIFS(Donnees_regimes!$R$3:$R$1118,Donnees_regimes!$A$3:$A$1118,C430,Donnees_regimes!$B$3:$B$1118,"&gt;="&amp;G430,Donnees_regimes!$B$3:$B$1118,"&lt;="&amp;N430)*L430/ROUNDUP(L430,0)*SUMIFS(Donnees_annuelles!$AG$3:$AG$188,Donnees_annuelles!$A$3:$A$188,AR430)*SUMIFS(Donnees_annuelles!$AA$3:$AA$188,Donnees_annuelles!$A$3:$A$188,AR430)</f>
        <v/>
      </c>
      <c r="AT430" s="36">
        <f>AS430/V430</f>
        <v/>
      </c>
      <c r="AU430" s="14">
        <f>AL430</f>
        <v/>
      </c>
      <c r="AV430" s="39">
        <f>AS430-AL430</f>
        <v/>
      </c>
      <c r="AW430" s="9">
        <f>AS430/AL430-1</f>
        <v/>
      </c>
      <c r="AX430" s="14">
        <f>AS430/AJ430/12</f>
        <v/>
      </c>
      <c r="AY430" s="14">
        <f>AF430</f>
        <v/>
      </c>
      <c r="AZ430" s="39">
        <f>AX430-AF430</f>
        <v/>
      </c>
      <c r="BA430" s="14">
        <f>SUMIFS(Donnees_regimes!$S$3:$S$1118,Donnees_regimes!$A$3:$A$1118,C430,Donnees_regimes!$B$3:$B$1118,"&gt;="&amp;G430,Donnees_regimes!$B$3:$B$1118,"&lt;="&amp;N430)*L430/ROUNDUP(L430,0)*SUMIFS(Donnees_annuelles!$AH$3:$AH$188,Donnees_annuelles!$A$3:$A$188,AR430)*SUMIFS(Donnees_annuelles!$AA$3:$AA$188,Donnees_annuelles!$A$3:$A$188,AR430)</f>
        <v/>
      </c>
      <c r="BB430" s="39">
        <f>BA430-AL430</f>
        <v/>
      </c>
      <c r="BC430" s="7">
        <f>IF(M430+AJ430&gt;2026,IF(G430&gt;2026,"entièrement projeté","en partie projeté"),"observé")</f>
        <v/>
      </c>
    </row>
    <row r="431">
      <c r="A431" s="7" t="inlineStr">
        <is>
          <t>Baby-boomers</t>
        </is>
      </c>
      <c r="B431" s="84" t="inlineStr">
        <is>
          <t>RATP</t>
        </is>
      </c>
      <c r="C431" s="7">
        <f>IF(G431&gt;=SUMIFS(Regimes!$C$5:$C$10,Regimes!$A$5:$A$10,B431),"Privé",B431)</f>
        <v/>
      </c>
      <c r="D431" s="7">
        <f>INDEX(Regimes!$D$5:$D$10,MATCH(C431,Regimes!$A$5:$A$10,0))</f>
        <v/>
      </c>
      <c r="E431" s="88" t="n">
        <v>1964</v>
      </c>
      <c r="F431" s="8">
        <f>Donnees_generations!C52</f>
        <v/>
      </c>
      <c r="G431" s="77">
        <f>Donnees_generations!D52</f>
        <v/>
      </c>
      <c r="H431" s="8">
        <f>SUMIFS(Donnees_generations!$S$3:$S$113,Donnees_generations!$A$3:$A$113,MAX(1915,MIN(2025,E431)))</f>
        <v/>
      </c>
      <c r="I431" s="8">
        <f>SUMIFS(Donnees_generations!$T$3:$T$113,Donnees_generations!$A$3:$A$113,MAX(1915,MIN(2025,E431)))</f>
        <v/>
      </c>
      <c r="J431" s="8">
        <f>IF(G431&gt;=2000,MAX(I431,Parametres!$B$3),I431)</f>
        <v/>
      </c>
      <c r="K431" s="8">
        <f>IF(C431="Privé",J431,SUMIFS(Regles_regimes!$J$3:$J$2000,Regles_regimes!$A$3:$A$2000,C431,Regles_regimes!$B$3:$B$2000,D431,Regles_regimes!$C$3:$C$2000,MAX(1915,MIN(2025,E431))))</f>
        <v/>
      </c>
      <c r="L431" s="8">
        <f>IF(C431="Privé",H431,(K431-F431)*H431/(J431-F431))</f>
        <v/>
      </c>
      <c r="M431" s="77">
        <f>INT(E431+K431)</f>
        <v/>
      </c>
      <c r="N431" s="77">
        <f>G431+ROUNDUP(L431,0)-1</f>
        <v/>
      </c>
      <c r="O431" s="89">
        <f>SUMIFS(Regles_regimes!$K$3:$K$2000,Regles_regimes!$A$3:$A$2000,C431,Regles_regimes!$B$3:$B$2000,D431,Regles_regimes!$C$3:$C$2000,MAX(1915,MIN(2025,E431)))</f>
        <v/>
      </c>
      <c r="P431" s="13">
        <f>SUMIFS(Donnees_annuelles!$W$3:$W$188,Donnees_annuelles!$A$3:$A$188,"&gt;="&amp;G431,Donnees_annuelles!$A$3:$A$188,"&lt;="&amp;N431)*L431/ROUNDUP(L431,0)*O431</f>
        <v/>
      </c>
      <c r="Q431" s="13">
        <f>SUMIFS(Donnees_annuelles!$V$3:$V$188,Donnees_annuelles!$A$3:$A$188,"&gt;="&amp;G431,Donnees_annuelles!$A$3:$A$188,"&lt;="&amp;N431)*L431/ROUNDUP(L431,0)</f>
        <v/>
      </c>
      <c r="R431" s="13">
        <f>P431/L431</f>
        <v/>
      </c>
      <c r="S431" s="14">
        <f>SUMIFS(Donnees_annuelles!$D$3:$D$188,Donnees_annuelles!$A$3:$A$188,"&gt;="&amp;G431,Donnees_annuelles!$A$3:$A$188,"&lt;="&amp;N431)*L431/ROUNDUP(L431,0)</f>
        <v/>
      </c>
      <c r="T431" s="14">
        <f>SUMIFS(Donnees_regimes!$N$3:$N$1118,Donnees_regimes!$A$3:$A$1118,C431,Donnees_regimes!$B$3:$B$1118,"&gt;="&amp;G431,Donnees_regimes!$B$3:$B$1118,"&lt;="&amp;N431)*L431/ROUNDUP(L431,0)</f>
        <v/>
      </c>
      <c r="U431" s="14">
        <f>SUMIFS(Donnees_regimes!$O$3:$O$1118,Donnees_regimes!$A$3:$A$1118,C431,Donnees_regimes!$B$3:$B$1118,"&gt;="&amp;G431,Donnees_regimes!$B$3:$B$1118,"&lt;="&amp;N431)*L431/ROUNDUP(L431,0)</f>
        <v/>
      </c>
      <c r="V431" s="14">
        <f>T431+U431</f>
        <v/>
      </c>
      <c r="W431" s="33">
        <f>V431/S431</f>
        <v/>
      </c>
      <c r="X431" s="14">
        <f>S431+U431</f>
        <v/>
      </c>
      <c r="Y431" s="17">
        <f>V431/P431</f>
        <v/>
      </c>
      <c r="Z431" s="14">
        <f>SUMIFS(Donnees_regimes!$Q$3:$Q$1118,Donnees_regimes!$A$3:$A$1118,C431,Donnees_regimes!$B$3:$B$1118,"&gt;="&amp;G431,Donnees_regimes!$B$3:$B$1118,"&lt;="&amp;N431)*L431/ROUNDUP(L431,0)</f>
        <v/>
      </c>
      <c r="AA431" s="77">
        <f>SUMIFS(Regles_regimes!$F$3:$F$2000,Regles_regimes!$A$3:$A$2000,C431,Regles_regimes!$B$3:$B$2000,D431,Regles_regimes!$C$3:$C$2000,MAX(1915,MIN(2025,E431)))</f>
        <v/>
      </c>
      <c r="AB431" s="77">
        <f>IF(AND(SUMIFS(Regles_regimes!$L$3:$L$2000,Regles_regimes!$A$3:$A$2000,C431,Regles_regimes!$B$3:$B$2000,D431,Regles_regimes!$C$3:$C$2000,MAX(1915,MIN(2025,E431)))=1,G431&lt;2009,C431&lt;&gt;"Privé"),MIN(20,L431*4/5),0)</f>
        <v/>
      </c>
      <c r="AC431" s="89">
        <f>SUMIFS(Donnees_regimes!$M$3:$M$1118,Donnees_regimes!$A$3:$A$1118,C431,Donnees_regimes!$B$3:$B$1118,M431)</f>
        <v/>
      </c>
      <c r="AD431" s="14">
        <f>SUMIFS(Donnees_annuelles!$Y$3:$Y$188,Donnees_annuelles!$A$3:$A$188,M431)*SUMIFS(Donnees_generations!$I$3:$I$113,Donnees_generations!$A$3:$A$113,MAX(1915,MIN(2025,E431)))/H431</f>
        <v/>
      </c>
      <c r="AE431" s="14">
        <f>IF(C431="Privé",SUMIFS(Donnees_annuelles!$Y$3:$Y$188,Donnees_annuelles!$A$3:$A$188,M431)*MIN(L431,SUMIFS(Donnees_generations!$I$3:$I$113,Donnees_generations!$A$3:$A$113,MAX(1915,MIN(2025,E431))))/L431,AD431*AC431*MIN(IF(AB431&gt;0,0.8/0.75,1),(L431*4+AB431)/AA431))</f>
        <v/>
      </c>
      <c r="AF431" s="14">
        <f>AE431/12</f>
        <v/>
      </c>
      <c r="AG431" s="77">
        <f>MIN(68,MAX(56,2*INT(K431/2)))</f>
        <v/>
      </c>
      <c r="AH431" s="75">
        <f>(CHOOSE((AG431-56)/2+1,SUMIFS(Donnees_generations!$U$3:$U$113,Donnees_generations!$A$3:$A$113,MAX(1915,MIN(2025,E431))),SUMIFS(Donnees_generations!$V$3:$V$113,Donnees_generations!$A$3:$A$113,MAX(1915,MIN(2025,E431))),SUMIFS(Donnees_generations!$W$3:$W$113,Donnees_generations!$A$3:$A$113,MAX(1915,MIN(2025,E431))),SUMIFS(Donnees_generations!$X$3:$X$113,Donnees_generations!$A$3:$A$113,MAX(1915,MIN(2025,E431))),SUMIFS(Donnees_generations!$Y$3:$Y$113,Donnees_generations!$A$3:$A$113,MAX(1915,MIN(2025,E431))),SUMIFS(Donnees_generations!$Z$3:$Z$113,Donnees_generations!$A$3:$A$113,MAX(1915,MIN(2025,E431))),SUMIFS(Donnees_generations!$AA$3:$AA$113,Donnees_generations!$A$3:$A$113,MAX(1915,MIN(2025,E431))),SUMIFS(Donnees_generations!$AB$3:$AB$113,Donnees_generations!$A$3:$A$113,MAX(1915,MIN(2025,E431))))+CHOOSE((AG431-56)/2+1,SUMIFS(Donnees_generations!$AC$3:$AC$113,Donnees_generations!$A$3:$A$113,MAX(1915,MIN(2025,E431))),SUMIFS(Donnees_generations!$AD$3:$AD$113,Donnees_generations!$A$3:$A$113,MAX(1915,MIN(2025,E431))),SUMIFS(Donnees_generations!$AE$3:$AE$113,Donnees_generations!$A$3:$A$113,MAX(1915,MIN(2025,E431))),SUMIFS(Donnees_generations!$AF$3:$AF$113,Donnees_generations!$A$3:$A$113,MAX(1915,MIN(2025,E431))),SUMIFS(Donnees_generations!$AG$3:$AG$113,Donnees_generations!$A$3:$A$113,MAX(1915,MIN(2025,E431))),SUMIFS(Donnees_generations!$AH$3:$AH$113,Donnees_generations!$A$3:$A$113,MAX(1915,MIN(2025,E431))),SUMIFS(Donnees_generations!$AI$3:$AI$113,Donnees_generations!$A$3:$A$113,MAX(1915,MIN(2025,E431))),SUMIFS(Donnees_generations!$AJ$3:$AJ$113,Donnees_generations!$A$3:$A$113,MAX(1915,MIN(2025,E431)))))/2</f>
        <v/>
      </c>
      <c r="AI431" s="75">
        <f>(CHOOSE(((AG431+2)-56)/2+1,SUMIFS(Donnees_generations!$U$3:$U$113,Donnees_generations!$A$3:$A$113,MAX(1915,MIN(2025,E431))),SUMIFS(Donnees_generations!$V$3:$V$113,Donnees_generations!$A$3:$A$113,MAX(1915,MIN(2025,E431))),SUMIFS(Donnees_generations!$W$3:$W$113,Donnees_generations!$A$3:$A$113,MAX(1915,MIN(2025,E431))),SUMIFS(Donnees_generations!$X$3:$X$113,Donnees_generations!$A$3:$A$113,MAX(1915,MIN(2025,E431))),SUMIFS(Donnees_generations!$Y$3:$Y$113,Donnees_generations!$A$3:$A$113,MAX(1915,MIN(2025,E431))),SUMIFS(Donnees_generations!$Z$3:$Z$113,Donnees_generations!$A$3:$A$113,MAX(1915,MIN(2025,E431))),SUMIFS(Donnees_generations!$AA$3:$AA$113,Donnees_generations!$A$3:$A$113,MAX(1915,MIN(2025,E431))),SUMIFS(Donnees_generations!$AB$3:$AB$113,Donnees_generations!$A$3:$A$113,MAX(1915,MIN(2025,E431))))+CHOOSE(((AG431+2)-56)/2+1,SUMIFS(Donnees_generations!$AC$3:$AC$113,Donnees_generations!$A$3:$A$113,MAX(1915,MIN(2025,E431))),SUMIFS(Donnees_generations!$AD$3:$AD$113,Donnees_generations!$A$3:$A$113,MAX(1915,MIN(2025,E431))),SUMIFS(Donnees_generations!$AE$3:$AE$113,Donnees_generations!$A$3:$A$113,MAX(1915,MIN(2025,E431))),SUMIFS(Donnees_generations!$AF$3:$AF$113,Donnees_generations!$A$3:$A$113,MAX(1915,MIN(2025,E431))),SUMIFS(Donnees_generations!$AG$3:$AG$113,Donnees_generations!$A$3:$A$113,MAX(1915,MIN(2025,E431))),SUMIFS(Donnees_generations!$AH$3:$AH$113,Donnees_generations!$A$3:$A$113,MAX(1915,MIN(2025,E431))),SUMIFS(Donnees_generations!$AI$3:$AI$113,Donnees_generations!$A$3:$A$113,MAX(1915,MIN(2025,E431))),SUMIFS(Donnees_generations!$AJ$3:$AJ$113,Donnees_generations!$A$3:$A$113,MAX(1915,MIN(2025,E431)))))/2</f>
        <v/>
      </c>
      <c r="AJ431" s="8">
        <f>MAX(0,AH431+(AI431-AH431)*(K431-AG431)/2)</f>
        <v/>
      </c>
      <c r="AK431" s="8">
        <f>K431+AJ431</f>
        <v/>
      </c>
      <c r="AL431" s="14">
        <f>AE431*AJ431</f>
        <v/>
      </c>
      <c r="AM431" s="17">
        <f>V431/AL431</f>
        <v/>
      </c>
      <c r="AN431" s="17">
        <f>Z431/AL431</f>
        <v/>
      </c>
      <c r="AO431" s="33">
        <f>IF(V431+Z431=0,0,Z431/(V431+Z431))</f>
        <v/>
      </c>
      <c r="AP431" s="14">
        <f>AL431/V431*100</f>
        <v/>
      </c>
      <c r="AQ431" s="8">
        <f>P431/AL431*1000</f>
        <v/>
      </c>
      <c r="AR431" s="77">
        <f>MAX(N431,M431-1)</f>
        <v/>
      </c>
      <c r="AS431" s="14">
        <f>SUMIFS(Donnees_regimes!$R$3:$R$1118,Donnees_regimes!$A$3:$A$1118,C431,Donnees_regimes!$B$3:$B$1118,"&gt;="&amp;G431,Donnees_regimes!$B$3:$B$1118,"&lt;="&amp;N431)*L431/ROUNDUP(L431,0)*SUMIFS(Donnees_annuelles!$AG$3:$AG$188,Donnees_annuelles!$A$3:$A$188,AR431)*SUMIFS(Donnees_annuelles!$AA$3:$AA$188,Donnees_annuelles!$A$3:$A$188,AR431)</f>
        <v/>
      </c>
      <c r="AT431" s="36">
        <f>AS431/V431</f>
        <v/>
      </c>
      <c r="AU431" s="14">
        <f>AL431</f>
        <v/>
      </c>
      <c r="AV431" s="39">
        <f>AS431-AL431</f>
        <v/>
      </c>
      <c r="AW431" s="9">
        <f>AS431/AL431-1</f>
        <v/>
      </c>
      <c r="AX431" s="14">
        <f>AS431/AJ431/12</f>
        <v/>
      </c>
      <c r="AY431" s="14">
        <f>AF431</f>
        <v/>
      </c>
      <c r="AZ431" s="39">
        <f>AX431-AF431</f>
        <v/>
      </c>
      <c r="BA431" s="14">
        <f>SUMIFS(Donnees_regimes!$S$3:$S$1118,Donnees_regimes!$A$3:$A$1118,C431,Donnees_regimes!$B$3:$B$1118,"&gt;="&amp;G431,Donnees_regimes!$B$3:$B$1118,"&lt;="&amp;N431)*L431/ROUNDUP(L431,0)*SUMIFS(Donnees_annuelles!$AH$3:$AH$188,Donnees_annuelles!$A$3:$A$188,AR431)*SUMIFS(Donnees_annuelles!$AA$3:$AA$188,Donnees_annuelles!$A$3:$A$188,AR431)</f>
        <v/>
      </c>
      <c r="BB431" s="39">
        <f>BA431-AL431</f>
        <v/>
      </c>
      <c r="BC431" s="7">
        <f>IF(M431+AJ431&gt;2026,IF(G431&gt;2026,"entièrement projeté","en partie projeté"),"observé")</f>
        <v/>
      </c>
    </row>
    <row r="432">
      <c r="A432" s="7" t="inlineStr">
        <is>
          <t>Génération X</t>
        </is>
      </c>
      <c r="B432" s="84" t="inlineStr">
        <is>
          <t>RATP</t>
        </is>
      </c>
      <c r="C432" s="7">
        <f>IF(G432&gt;=SUMIFS(Regimes!$C$5:$C$10,Regimes!$A$5:$A$10,B432),"Privé",B432)</f>
        <v/>
      </c>
      <c r="D432" s="7">
        <f>INDEX(Regimes!$D$5:$D$10,MATCH(C432,Regimes!$A$5:$A$10,0))</f>
        <v/>
      </c>
      <c r="E432" s="88" t="n">
        <v>1965</v>
      </c>
      <c r="F432" s="8">
        <f>Donnees_generations!C53</f>
        <v/>
      </c>
      <c r="G432" s="77">
        <f>Donnees_generations!D53</f>
        <v/>
      </c>
      <c r="H432" s="8">
        <f>SUMIFS(Donnees_generations!$S$3:$S$113,Donnees_generations!$A$3:$A$113,MAX(1915,MIN(2025,E432)))</f>
        <v/>
      </c>
      <c r="I432" s="8">
        <f>SUMIFS(Donnees_generations!$T$3:$T$113,Donnees_generations!$A$3:$A$113,MAX(1915,MIN(2025,E432)))</f>
        <v/>
      </c>
      <c r="J432" s="8">
        <f>IF(G432&gt;=2000,MAX(I432,Parametres!$B$3),I432)</f>
        <v/>
      </c>
      <c r="K432" s="8">
        <f>IF(C432="Privé",J432,SUMIFS(Regles_regimes!$J$3:$J$2000,Regles_regimes!$A$3:$A$2000,C432,Regles_regimes!$B$3:$B$2000,D432,Regles_regimes!$C$3:$C$2000,MAX(1915,MIN(2025,E432))))</f>
        <v/>
      </c>
      <c r="L432" s="8">
        <f>IF(C432="Privé",H432,(K432-F432)*H432/(J432-F432))</f>
        <v/>
      </c>
      <c r="M432" s="77">
        <f>INT(E432+K432)</f>
        <v/>
      </c>
      <c r="N432" s="77">
        <f>G432+ROUNDUP(L432,0)-1</f>
        <v/>
      </c>
      <c r="O432" s="89">
        <f>SUMIFS(Regles_regimes!$K$3:$K$2000,Regles_regimes!$A$3:$A$2000,C432,Regles_regimes!$B$3:$B$2000,D432,Regles_regimes!$C$3:$C$2000,MAX(1915,MIN(2025,E432)))</f>
        <v/>
      </c>
      <c r="P432" s="13">
        <f>SUMIFS(Donnees_annuelles!$W$3:$W$188,Donnees_annuelles!$A$3:$A$188,"&gt;="&amp;G432,Donnees_annuelles!$A$3:$A$188,"&lt;="&amp;N432)*L432/ROUNDUP(L432,0)*O432</f>
        <v/>
      </c>
      <c r="Q432" s="13">
        <f>SUMIFS(Donnees_annuelles!$V$3:$V$188,Donnees_annuelles!$A$3:$A$188,"&gt;="&amp;G432,Donnees_annuelles!$A$3:$A$188,"&lt;="&amp;N432)*L432/ROUNDUP(L432,0)</f>
        <v/>
      </c>
      <c r="R432" s="13">
        <f>P432/L432</f>
        <v/>
      </c>
      <c r="S432" s="14">
        <f>SUMIFS(Donnees_annuelles!$D$3:$D$188,Donnees_annuelles!$A$3:$A$188,"&gt;="&amp;G432,Donnees_annuelles!$A$3:$A$188,"&lt;="&amp;N432)*L432/ROUNDUP(L432,0)</f>
        <v/>
      </c>
      <c r="T432" s="14">
        <f>SUMIFS(Donnees_regimes!$N$3:$N$1118,Donnees_regimes!$A$3:$A$1118,C432,Donnees_regimes!$B$3:$B$1118,"&gt;="&amp;G432,Donnees_regimes!$B$3:$B$1118,"&lt;="&amp;N432)*L432/ROUNDUP(L432,0)</f>
        <v/>
      </c>
      <c r="U432" s="14">
        <f>SUMIFS(Donnees_regimes!$O$3:$O$1118,Donnees_regimes!$A$3:$A$1118,C432,Donnees_regimes!$B$3:$B$1118,"&gt;="&amp;G432,Donnees_regimes!$B$3:$B$1118,"&lt;="&amp;N432)*L432/ROUNDUP(L432,0)</f>
        <v/>
      </c>
      <c r="V432" s="14">
        <f>T432+U432</f>
        <v/>
      </c>
      <c r="W432" s="33">
        <f>V432/S432</f>
        <v/>
      </c>
      <c r="X432" s="14">
        <f>S432+U432</f>
        <v/>
      </c>
      <c r="Y432" s="17">
        <f>V432/P432</f>
        <v/>
      </c>
      <c r="Z432" s="14">
        <f>SUMIFS(Donnees_regimes!$Q$3:$Q$1118,Donnees_regimes!$A$3:$A$1118,C432,Donnees_regimes!$B$3:$B$1118,"&gt;="&amp;G432,Donnees_regimes!$B$3:$B$1118,"&lt;="&amp;N432)*L432/ROUNDUP(L432,0)</f>
        <v/>
      </c>
      <c r="AA432" s="77">
        <f>SUMIFS(Regles_regimes!$F$3:$F$2000,Regles_regimes!$A$3:$A$2000,C432,Regles_regimes!$B$3:$B$2000,D432,Regles_regimes!$C$3:$C$2000,MAX(1915,MIN(2025,E432)))</f>
        <v/>
      </c>
      <c r="AB432" s="77">
        <f>IF(AND(SUMIFS(Regles_regimes!$L$3:$L$2000,Regles_regimes!$A$3:$A$2000,C432,Regles_regimes!$B$3:$B$2000,D432,Regles_regimes!$C$3:$C$2000,MAX(1915,MIN(2025,E432)))=1,G432&lt;2009,C432&lt;&gt;"Privé"),MIN(20,L432*4/5),0)</f>
        <v/>
      </c>
      <c r="AC432" s="89">
        <f>SUMIFS(Donnees_regimes!$M$3:$M$1118,Donnees_regimes!$A$3:$A$1118,C432,Donnees_regimes!$B$3:$B$1118,M432)</f>
        <v/>
      </c>
      <c r="AD432" s="14">
        <f>SUMIFS(Donnees_annuelles!$Y$3:$Y$188,Donnees_annuelles!$A$3:$A$188,M432)*SUMIFS(Donnees_generations!$I$3:$I$113,Donnees_generations!$A$3:$A$113,MAX(1915,MIN(2025,E432)))/H432</f>
        <v/>
      </c>
      <c r="AE432" s="14">
        <f>IF(C432="Privé",SUMIFS(Donnees_annuelles!$Y$3:$Y$188,Donnees_annuelles!$A$3:$A$188,M432)*MIN(L432,SUMIFS(Donnees_generations!$I$3:$I$113,Donnees_generations!$A$3:$A$113,MAX(1915,MIN(2025,E432))))/L432,AD432*AC432*MIN(IF(AB432&gt;0,0.8/0.75,1),(L432*4+AB432)/AA432))</f>
        <v/>
      </c>
      <c r="AF432" s="14">
        <f>AE432/12</f>
        <v/>
      </c>
      <c r="AG432" s="77">
        <f>MIN(68,MAX(56,2*INT(K432/2)))</f>
        <v/>
      </c>
      <c r="AH432" s="75">
        <f>(CHOOSE((AG432-56)/2+1,SUMIFS(Donnees_generations!$U$3:$U$113,Donnees_generations!$A$3:$A$113,MAX(1915,MIN(2025,E432))),SUMIFS(Donnees_generations!$V$3:$V$113,Donnees_generations!$A$3:$A$113,MAX(1915,MIN(2025,E432))),SUMIFS(Donnees_generations!$W$3:$W$113,Donnees_generations!$A$3:$A$113,MAX(1915,MIN(2025,E432))),SUMIFS(Donnees_generations!$X$3:$X$113,Donnees_generations!$A$3:$A$113,MAX(1915,MIN(2025,E432))),SUMIFS(Donnees_generations!$Y$3:$Y$113,Donnees_generations!$A$3:$A$113,MAX(1915,MIN(2025,E432))),SUMIFS(Donnees_generations!$Z$3:$Z$113,Donnees_generations!$A$3:$A$113,MAX(1915,MIN(2025,E432))),SUMIFS(Donnees_generations!$AA$3:$AA$113,Donnees_generations!$A$3:$A$113,MAX(1915,MIN(2025,E432))),SUMIFS(Donnees_generations!$AB$3:$AB$113,Donnees_generations!$A$3:$A$113,MAX(1915,MIN(2025,E432))))+CHOOSE((AG432-56)/2+1,SUMIFS(Donnees_generations!$AC$3:$AC$113,Donnees_generations!$A$3:$A$113,MAX(1915,MIN(2025,E432))),SUMIFS(Donnees_generations!$AD$3:$AD$113,Donnees_generations!$A$3:$A$113,MAX(1915,MIN(2025,E432))),SUMIFS(Donnees_generations!$AE$3:$AE$113,Donnees_generations!$A$3:$A$113,MAX(1915,MIN(2025,E432))),SUMIFS(Donnees_generations!$AF$3:$AF$113,Donnees_generations!$A$3:$A$113,MAX(1915,MIN(2025,E432))),SUMIFS(Donnees_generations!$AG$3:$AG$113,Donnees_generations!$A$3:$A$113,MAX(1915,MIN(2025,E432))),SUMIFS(Donnees_generations!$AH$3:$AH$113,Donnees_generations!$A$3:$A$113,MAX(1915,MIN(2025,E432))),SUMIFS(Donnees_generations!$AI$3:$AI$113,Donnees_generations!$A$3:$A$113,MAX(1915,MIN(2025,E432))),SUMIFS(Donnees_generations!$AJ$3:$AJ$113,Donnees_generations!$A$3:$A$113,MAX(1915,MIN(2025,E432)))))/2</f>
        <v/>
      </c>
      <c r="AI432" s="75">
        <f>(CHOOSE(((AG432+2)-56)/2+1,SUMIFS(Donnees_generations!$U$3:$U$113,Donnees_generations!$A$3:$A$113,MAX(1915,MIN(2025,E432))),SUMIFS(Donnees_generations!$V$3:$V$113,Donnees_generations!$A$3:$A$113,MAX(1915,MIN(2025,E432))),SUMIFS(Donnees_generations!$W$3:$W$113,Donnees_generations!$A$3:$A$113,MAX(1915,MIN(2025,E432))),SUMIFS(Donnees_generations!$X$3:$X$113,Donnees_generations!$A$3:$A$113,MAX(1915,MIN(2025,E432))),SUMIFS(Donnees_generations!$Y$3:$Y$113,Donnees_generations!$A$3:$A$113,MAX(1915,MIN(2025,E432))),SUMIFS(Donnees_generations!$Z$3:$Z$113,Donnees_generations!$A$3:$A$113,MAX(1915,MIN(2025,E432))),SUMIFS(Donnees_generations!$AA$3:$AA$113,Donnees_generations!$A$3:$A$113,MAX(1915,MIN(2025,E432))),SUMIFS(Donnees_generations!$AB$3:$AB$113,Donnees_generations!$A$3:$A$113,MAX(1915,MIN(2025,E432))))+CHOOSE(((AG432+2)-56)/2+1,SUMIFS(Donnees_generations!$AC$3:$AC$113,Donnees_generations!$A$3:$A$113,MAX(1915,MIN(2025,E432))),SUMIFS(Donnees_generations!$AD$3:$AD$113,Donnees_generations!$A$3:$A$113,MAX(1915,MIN(2025,E432))),SUMIFS(Donnees_generations!$AE$3:$AE$113,Donnees_generations!$A$3:$A$113,MAX(1915,MIN(2025,E432))),SUMIFS(Donnees_generations!$AF$3:$AF$113,Donnees_generations!$A$3:$A$113,MAX(1915,MIN(2025,E432))),SUMIFS(Donnees_generations!$AG$3:$AG$113,Donnees_generations!$A$3:$A$113,MAX(1915,MIN(2025,E432))),SUMIFS(Donnees_generations!$AH$3:$AH$113,Donnees_generations!$A$3:$A$113,MAX(1915,MIN(2025,E432))),SUMIFS(Donnees_generations!$AI$3:$AI$113,Donnees_generations!$A$3:$A$113,MAX(1915,MIN(2025,E432))),SUMIFS(Donnees_generations!$AJ$3:$AJ$113,Donnees_generations!$A$3:$A$113,MAX(1915,MIN(2025,E432)))))/2</f>
        <v/>
      </c>
      <c r="AJ432" s="8">
        <f>MAX(0,AH432+(AI432-AH432)*(K432-AG432)/2)</f>
        <v/>
      </c>
      <c r="AK432" s="8">
        <f>K432+AJ432</f>
        <v/>
      </c>
      <c r="AL432" s="14">
        <f>AE432*AJ432</f>
        <v/>
      </c>
      <c r="AM432" s="17">
        <f>V432/AL432</f>
        <v/>
      </c>
      <c r="AN432" s="17">
        <f>Z432/AL432</f>
        <v/>
      </c>
      <c r="AO432" s="33">
        <f>IF(V432+Z432=0,0,Z432/(V432+Z432))</f>
        <v/>
      </c>
      <c r="AP432" s="14">
        <f>AL432/V432*100</f>
        <v/>
      </c>
      <c r="AQ432" s="8">
        <f>P432/AL432*1000</f>
        <v/>
      </c>
      <c r="AR432" s="77">
        <f>MAX(N432,M432-1)</f>
        <v/>
      </c>
      <c r="AS432" s="14">
        <f>SUMIFS(Donnees_regimes!$R$3:$R$1118,Donnees_regimes!$A$3:$A$1118,C432,Donnees_regimes!$B$3:$B$1118,"&gt;="&amp;G432,Donnees_regimes!$B$3:$B$1118,"&lt;="&amp;N432)*L432/ROUNDUP(L432,0)*SUMIFS(Donnees_annuelles!$AG$3:$AG$188,Donnees_annuelles!$A$3:$A$188,AR432)*SUMIFS(Donnees_annuelles!$AA$3:$AA$188,Donnees_annuelles!$A$3:$A$188,AR432)</f>
        <v/>
      </c>
      <c r="AT432" s="36">
        <f>AS432/V432</f>
        <v/>
      </c>
      <c r="AU432" s="14">
        <f>AL432</f>
        <v/>
      </c>
      <c r="AV432" s="39">
        <f>AS432-AL432</f>
        <v/>
      </c>
      <c r="AW432" s="9">
        <f>AS432/AL432-1</f>
        <v/>
      </c>
      <c r="AX432" s="14">
        <f>AS432/AJ432/12</f>
        <v/>
      </c>
      <c r="AY432" s="14">
        <f>AF432</f>
        <v/>
      </c>
      <c r="AZ432" s="39">
        <f>AX432-AF432</f>
        <v/>
      </c>
      <c r="BA432" s="14">
        <f>SUMIFS(Donnees_regimes!$S$3:$S$1118,Donnees_regimes!$A$3:$A$1118,C432,Donnees_regimes!$B$3:$B$1118,"&gt;="&amp;G432,Donnees_regimes!$B$3:$B$1118,"&lt;="&amp;N432)*L432/ROUNDUP(L432,0)*SUMIFS(Donnees_annuelles!$AH$3:$AH$188,Donnees_annuelles!$A$3:$A$188,AR432)*SUMIFS(Donnees_annuelles!$AA$3:$AA$188,Donnees_annuelles!$A$3:$A$188,AR432)</f>
        <v/>
      </c>
      <c r="BB432" s="39">
        <f>BA432-AL432</f>
        <v/>
      </c>
      <c r="BC432" s="7">
        <f>IF(M432+AJ432&gt;2026,IF(G432&gt;2026,"entièrement projeté","en partie projeté"),"observé")</f>
        <v/>
      </c>
    </row>
    <row r="433">
      <c r="A433" s="7" t="inlineStr">
        <is>
          <t>Génération X</t>
        </is>
      </c>
      <c r="B433" s="84" t="inlineStr">
        <is>
          <t>RATP</t>
        </is>
      </c>
      <c r="C433" s="7">
        <f>IF(G433&gt;=SUMIFS(Regimes!$C$5:$C$10,Regimes!$A$5:$A$10,B433),"Privé",B433)</f>
        <v/>
      </c>
      <c r="D433" s="7">
        <f>INDEX(Regimes!$D$5:$D$10,MATCH(C433,Regimes!$A$5:$A$10,0))</f>
        <v/>
      </c>
      <c r="E433" s="88" t="n">
        <v>1966</v>
      </c>
      <c r="F433" s="8">
        <f>Donnees_generations!C54</f>
        <v/>
      </c>
      <c r="G433" s="77">
        <f>Donnees_generations!D54</f>
        <v/>
      </c>
      <c r="H433" s="8">
        <f>SUMIFS(Donnees_generations!$S$3:$S$113,Donnees_generations!$A$3:$A$113,MAX(1915,MIN(2025,E433)))</f>
        <v/>
      </c>
      <c r="I433" s="8">
        <f>SUMIFS(Donnees_generations!$T$3:$T$113,Donnees_generations!$A$3:$A$113,MAX(1915,MIN(2025,E433)))</f>
        <v/>
      </c>
      <c r="J433" s="8">
        <f>IF(G433&gt;=2000,MAX(I433,Parametres!$B$3),I433)</f>
        <v/>
      </c>
      <c r="K433" s="8">
        <f>IF(C433="Privé",J433,SUMIFS(Regles_regimes!$J$3:$J$2000,Regles_regimes!$A$3:$A$2000,C433,Regles_regimes!$B$3:$B$2000,D433,Regles_regimes!$C$3:$C$2000,MAX(1915,MIN(2025,E433))))</f>
        <v/>
      </c>
      <c r="L433" s="8">
        <f>IF(C433="Privé",H433,(K433-F433)*H433/(J433-F433))</f>
        <v/>
      </c>
      <c r="M433" s="77">
        <f>INT(E433+K433)</f>
        <v/>
      </c>
      <c r="N433" s="77">
        <f>G433+ROUNDUP(L433,0)-1</f>
        <v/>
      </c>
      <c r="O433" s="89">
        <f>SUMIFS(Regles_regimes!$K$3:$K$2000,Regles_regimes!$A$3:$A$2000,C433,Regles_regimes!$B$3:$B$2000,D433,Regles_regimes!$C$3:$C$2000,MAX(1915,MIN(2025,E433)))</f>
        <v/>
      </c>
      <c r="P433" s="13">
        <f>SUMIFS(Donnees_annuelles!$W$3:$W$188,Donnees_annuelles!$A$3:$A$188,"&gt;="&amp;G433,Donnees_annuelles!$A$3:$A$188,"&lt;="&amp;N433)*L433/ROUNDUP(L433,0)*O433</f>
        <v/>
      </c>
      <c r="Q433" s="13">
        <f>SUMIFS(Donnees_annuelles!$V$3:$V$188,Donnees_annuelles!$A$3:$A$188,"&gt;="&amp;G433,Donnees_annuelles!$A$3:$A$188,"&lt;="&amp;N433)*L433/ROUNDUP(L433,0)</f>
        <v/>
      </c>
      <c r="R433" s="13">
        <f>P433/L433</f>
        <v/>
      </c>
      <c r="S433" s="14">
        <f>SUMIFS(Donnees_annuelles!$D$3:$D$188,Donnees_annuelles!$A$3:$A$188,"&gt;="&amp;G433,Donnees_annuelles!$A$3:$A$188,"&lt;="&amp;N433)*L433/ROUNDUP(L433,0)</f>
        <v/>
      </c>
      <c r="T433" s="14">
        <f>SUMIFS(Donnees_regimes!$N$3:$N$1118,Donnees_regimes!$A$3:$A$1118,C433,Donnees_regimes!$B$3:$B$1118,"&gt;="&amp;G433,Donnees_regimes!$B$3:$B$1118,"&lt;="&amp;N433)*L433/ROUNDUP(L433,0)</f>
        <v/>
      </c>
      <c r="U433" s="14">
        <f>SUMIFS(Donnees_regimes!$O$3:$O$1118,Donnees_regimes!$A$3:$A$1118,C433,Donnees_regimes!$B$3:$B$1118,"&gt;="&amp;G433,Donnees_regimes!$B$3:$B$1118,"&lt;="&amp;N433)*L433/ROUNDUP(L433,0)</f>
        <v/>
      </c>
      <c r="V433" s="14">
        <f>T433+U433</f>
        <v/>
      </c>
      <c r="W433" s="33">
        <f>V433/S433</f>
        <v/>
      </c>
      <c r="X433" s="14">
        <f>S433+U433</f>
        <v/>
      </c>
      <c r="Y433" s="17">
        <f>V433/P433</f>
        <v/>
      </c>
      <c r="Z433" s="14">
        <f>SUMIFS(Donnees_regimes!$Q$3:$Q$1118,Donnees_regimes!$A$3:$A$1118,C433,Donnees_regimes!$B$3:$B$1118,"&gt;="&amp;G433,Donnees_regimes!$B$3:$B$1118,"&lt;="&amp;N433)*L433/ROUNDUP(L433,0)</f>
        <v/>
      </c>
      <c r="AA433" s="77">
        <f>SUMIFS(Regles_regimes!$F$3:$F$2000,Regles_regimes!$A$3:$A$2000,C433,Regles_regimes!$B$3:$B$2000,D433,Regles_regimes!$C$3:$C$2000,MAX(1915,MIN(2025,E433)))</f>
        <v/>
      </c>
      <c r="AB433" s="77">
        <f>IF(AND(SUMIFS(Regles_regimes!$L$3:$L$2000,Regles_regimes!$A$3:$A$2000,C433,Regles_regimes!$B$3:$B$2000,D433,Regles_regimes!$C$3:$C$2000,MAX(1915,MIN(2025,E433)))=1,G433&lt;2009,C433&lt;&gt;"Privé"),MIN(20,L433*4/5),0)</f>
        <v/>
      </c>
      <c r="AC433" s="89">
        <f>SUMIFS(Donnees_regimes!$M$3:$M$1118,Donnees_regimes!$A$3:$A$1118,C433,Donnees_regimes!$B$3:$B$1118,M433)</f>
        <v/>
      </c>
      <c r="AD433" s="14">
        <f>SUMIFS(Donnees_annuelles!$Y$3:$Y$188,Donnees_annuelles!$A$3:$A$188,M433)*SUMIFS(Donnees_generations!$I$3:$I$113,Donnees_generations!$A$3:$A$113,MAX(1915,MIN(2025,E433)))/H433</f>
        <v/>
      </c>
      <c r="AE433" s="14">
        <f>IF(C433="Privé",SUMIFS(Donnees_annuelles!$Y$3:$Y$188,Donnees_annuelles!$A$3:$A$188,M433)*MIN(L433,SUMIFS(Donnees_generations!$I$3:$I$113,Donnees_generations!$A$3:$A$113,MAX(1915,MIN(2025,E433))))/L433,AD433*AC433*MIN(IF(AB433&gt;0,0.8/0.75,1),(L433*4+AB433)/AA433))</f>
        <v/>
      </c>
      <c r="AF433" s="14">
        <f>AE433/12</f>
        <v/>
      </c>
      <c r="AG433" s="77">
        <f>MIN(68,MAX(56,2*INT(K433/2)))</f>
        <v/>
      </c>
      <c r="AH433" s="75">
        <f>(CHOOSE((AG433-56)/2+1,SUMIFS(Donnees_generations!$U$3:$U$113,Donnees_generations!$A$3:$A$113,MAX(1915,MIN(2025,E433))),SUMIFS(Donnees_generations!$V$3:$V$113,Donnees_generations!$A$3:$A$113,MAX(1915,MIN(2025,E433))),SUMIFS(Donnees_generations!$W$3:$W$113,Donnees_generations!$A$3:$A$113,MAX(1915,MIN(2025,E433))),SUMIFS(Donnees_generations!$X$3:$X$113,Donnees_generations!$A$3:$A$113,MAX(1915,MIN(2025,E433))),SUMIFS(Donnees_generations!$Y$3:$Y$113,Donnees_generations!$A$3:$A$113,MAX(1915,MIN(2025,E433))),SUMIFS(Donnees_generations!$Z$3:$Z$113,Donnees_generations!$A$3:$A$113,MAX(1915,MIN(2025,E433))),SUMIFS(Donnees_generations!$AA$3:$AA$113,Donnees_generations!$A$3:$A$113,MAX(1915,MIN(2025,E433))),SUMIFS(Donnees_generations!$AB$3:$AB$113,Donnees_generations!$A$3:$A$113,MAX(1915,MIN(2025,E433))))+CHOOSE((AG433-56)/2+1,SUMIFS(Donnees_generations!$AC$3:$AC$113,Donnees_generations!$A$3:$A$113,MAX(1915,MIN(2025,E433))),SUMIFS(Donnees_generations!$AD$3:$AD$113,Donnees_generations!$A$3:$A$113,MAX(1915,MIN(2025,E433))),SUMIFS(Donnees_generations!$AE$3:$AE$113,Donnees_generations!$A$3:$A$113,MAX(1915,MIN(2025,E433))),SUMIFS(Donnees_generations!$AF$3:$AF$113,Donnees_generations!$A$3:$A$113,MAX(1915,MIN(2025,E433))),SUMIFS(Donnees_generations!$AG$3:$AG$113,Donnees_generations!$A$3:$A$113,MAX(1915,MIN(2025,E433))),SUMIFS(Donnees_generations!$AH$3:$AH$113,Donnees_generations!$A$3:$A$113,MAX(1915,MIN(2025,E433))),SUMIFS(Donnees_generations!$AI$3:$AI$113,Donnees_generations!$A$3:$A$113,MAX(1915,MIN(2025,E433))),SUMIFS(Donnees_generations!$AJ$3:$AJ$113,Donnees_generations!$A$3:$A$113,MAX(1915,MIN(2025,E433)))))/2</f>
        <v/>
      </c>
      <c r="AI433" s="75">
        <f>(CHOOSE(((AG433+2)-56)/2+1,SUMIFS(Donnees_generations!$U$3:$U$113,Donnees_generations!$A$3:$A$113,MAX(1915,MIN(2025,E433))),SUMIFS(Donnees_generations!$V$3:$V$113,Donnees_generations!$A$3:$A$113,MAX(1915,MIN(2025,E433))),SUMIFS(Donnees_generations!$W$3:$W$113,Donnees_generations!$A$3:$A$113,MAX(1915,MIN(2025,E433))),SUMIFS(Donnees_generations!$X$3:$X$113,Donnees_generations!$A$3:$A$113,MAX(1915,MIN(2025,E433))),SUMIFS(Donnees_generations!$Y$3:$Y$113,Donnees_generations!$A$3:$A$113,MAX(1915,MIN(2025,E433))),SUMIFS(Donnees_generations!$Z$3:$Z$113,Donnees_generations!$A$3:$A$113,MAX(1915,MIN(2025,E433))),SUMIFS(Donnees_generations!$AA$3:$AA$113,Donnees_generations!$A$3:$A$113,MAX(1915,MIN(2025,E433))),SUMIFS(Donnees_generations!$AB$3:$AB$113,Donnees_generations!$A$3:$A$113,MAX(1915,MIN(2025,E433))))+CHOOSE(((AG433+2)-56)/2+1,SUMIFS(Donnees_generations!$AC$3:$AC$113,Donnees_generations!$A$3:$A$113,MAX(1915,MIN(2025,E433))),SUMIFS(Donnees_generations!$AD$3:$AD$113,Donnees_generations!$A$3:$A$113,MAX(1915,MIN(2025,E433))),SUMIFS(Donnees_generations!$AE$3:$AE$113,Donnees_generations!$A$3:$A$113,MAX(1915,MIN(2025,E433))),SUMIFS(Donnees_generations!$AF$3:$AF$113,Donnees_generations!$A$3:$A$113,MAX(1915,MIN(2025,E433))),SUMIFS(Donnees_generations!$AG$3:$AG$113,Donnees_generations!$A$3:$A$113,MAX(1915,MIN(2025,E433))),SUMIFS(Donnees_generations!$AH$3:$AH$113,Donnees_generations!$A$3:$A$113,MAX(1915,MIN(2025,E433))),SUMIFS(Donnees_generations!$AI$3:$AI$113,Donnees_generations!$A$3:$A$113,MAX(1915,MIN(2025,E433))),SUMIFS(Donnees_generations!$AJ$3:$AJ$113,Donnees_generations!$A$3:$A$113,MAX(1915,MIN(2025,E433)))))/2</f>
        <v/>
      </c>
      <c r="AJ433" s="8">
        <f>MAX(0,AH433+(AI433-AH433)*(K433-AG433)/2)</f>
        <v/>
      </c>
      <c r="AK433" s="8">
        <f>K433+AJ433</f>
        <v/>
      </c>
      <c r="AL433" s="14">
        <f>AE433*AJ433</f>
        <v/>
      </c>
      <c r="AM433" s="17">
        <f>V433/AL433</f>
        <v/>
      </c>
      <c r="AN433" s="17">
        <f>Z433/AL433</f>
        <v/>
      </c>
      <c r="AO433" s="33">
        <f>IF(V433+Z433=0,0,Z433/(V433+Z433))</f>
        <v/>
      </c>
      <c r="AP433" s="14">
        <f>AL433/V433*100</f>
        <v/>
      </c>
      <c r="AQ433" s="8">
        <f>P433/AL433*1000</f>
        <v/>
      </c>
      <c r="AR433" s="77">
        <f>MAX(N433,M433-1)</f>
        <v/>
      </c>
      <c r="AS433" s="14">
        <f>SUMIFS(Donnees_regimes!$R$3:$R$1118,Donnees_regimes!$A$3:$A$1118,C433,Donnees_regimes!$B$3:$B$1118,"&gt;="&amp;G433,Donnees_regimes!$B$3:$B$1118,"&lt;="&amp;N433)*L433/ROUNDUP(L433,0)*SUMIFS(Donnees_annuelles!$AG$3:$AG$188,Donnees_annuelles!$A$3:$A$188,AR433)*SUMIFS(Donnees_annuelles!$AA$3:$AA$188,Donnees_annuelles!$A$3:$A$188,AR433)</f>
        <v/>
      </c>
      <c r="AT433" s="36">
        <f>AS433/V433</f>
        <v/>
      </c>
      <c r="AU433" s="14">
        <f>AL433</f>
        <v/>
      </c>
      <c r="AV433" s="39">
        <f>AS433-AL433</f>
        <v/>
      </c>
      <c r="AW433" s="9">
        <f>AS433/AL433-1</f>
        <v/>
      </c>
      <c r="AX433" s="14">
        <f>AS433/AJ433/12</f>
        <v/>
      </c>
      <c r="AY433" s="14">
        <f>AF433</f>
        <v/>
      </c>
      <c r="AZ433" s="39">
        <f>AX433-AF433</f>
        <v/>
      </c>
      <c r="BA433" s="14">
        <f>SUMIFS(Donnees_regimes!$S$3:$S$1118,Donnees_regimes!$A$3:$A$1118,C433,Donnees_regimes!$B$3:$B$1118,"&gt;="&amp;G433,Donnees_regimes!$B$3:$B$1118,"&lt;="&amp;N433)*L433/ROUNDUP(L433,0)*SUMIFS(Donnees_annuelles!$AH$3:$AH$188,Donnees_annuelles!$A$3:$A$188,AR433)*SUMIFS(Donnees_annuelles!$AA$3:$AA$188,Donnees_annuelles!$A$3:$A$188,AR433)</f>
        <v/>
      </c>
      <c r="BB433" s="39">
        <f>BA433-AL433</f>
        <v/>
      </c>
      <c r="BC433" s="7">
        <f>IF(M433+AJ433&gt;2026,IF(G433&gt;2026,"entièrement projeté","en partie projeté"),"observé")</f>
        <v/>
      </c>
    </row>
    <row r="434">
      <c r="A434" s="7" t="inlineStr">
        <is>
          <t>Génération X</t>
        </is>
      </c>
      <c r="B434" s="84" t="inlineStr">
        <is>
          <t>RATP</t>
        </is>
      </c>
      <c r="C434" s="7">
        <f>IF(G434&gt;=SUMIFS(Regimes!$C$5:$C$10,Regimes!$A$5:$A$10,B434),"Privé",B434)</f>
        <v/>
      </c>
      <c r="D434" s="7">
        <f>INDEX(Regimes!$D$5:$D$10,MATCH(C434,Regimes!$A$5:$A$10,0))</f>
        <v/>
      </c>
      <c r="E434" s="88" t="n">
        <v>1967</v>
      </c>
      <c r="F434" s="8">
        <f>Donnees_generations!C55</f>
        <v/>
      </c>
      <c r="G434" s="77">
        <f>Donnees_generations!D55</f>
        <v/>
      </c>
      <c r="H434" s="8">
        <f>SUMIFS(Donnees_generations!$S$3:$S$113,Donnees_generations!$A$3:$A$113,MAX(1915,MIN(2025,E434)))</f>
        <v/>
      </c>
      <c r="I434" s="8">
        <f>SUMIFS(Donnees_generations!$T$3:$T$113,Donnees_generations!$A$3:$A$113,MAX(1915,MIN(2025,E434)))</f>
        <v/>
      </c>
      <c r="J434" s="8">
        <f>IF(G434&gt;=2000,MAX(I434,Parametres!$B$3),I434)</f>
        <v/>
      </c>
      <c r="K434" s="8">
        <f>IF(C434="Privé",J434,SUMIFS(Regles_regimes!$J$3:$J$2000,Regles_regimes!$A$3:$A$2000,C434,Regles_regimes!$B$3:$B$2000,D434,Regles_regimes!$C$3:$C$2000,MAX(1915,MIN(2025,E434))))</f>
        <v/>
      </c>
      <c r="L434" s="8">
        <f>IF(C434="Privé",H434,(K434-F434)*H434/(J434-F434))</f>
        <v/>
      </c>
      <c r="M434" s="77">
        <f>INT(E434+K434)</f>
        <v/>
      </c>
      <c r="N434" s="77">
        <f>G434+ROUNDUP(L434,0)-1</f>
        <v/>
      </c>
      <c r="O434" s="89">
        <f>SUMIFS(Regles_regimes!$K$3:$K$2000,Regles_regimes!$A$3:$A$2000,C434,Regles_regimes!$B$3:$B$2000,D434,Regles_regimes!$C$3:$C$2000,MAX(1915,MIN(2025,E434)))</f>
        <v/>
      </c>
      <c r="P434" s="13">
        <f>SUMIFS(Donnees_annuelles!$W$3:$W$188,Donnees_annuelles!$A$3:$A$188,"&gt;="&amp;G434,Donnees_annuelles!$A$3:$A$188,"&lt;="&amp;N434)*L434/ROUNDUP(L434,0)*O434</f>
        <v/>
      </c>
      <c r="Q434" s="13">
        <f>SUMIFS(Donnees_annuelles!$V$3:$V$188,Donnees_annuelles!$A$3:$A$188,"&gt;="&amp;G434,Donnees_annuelles!$A$3:$A$188,"&lt;="&amp;N434)*L434/ROUNDUP(L434,0)</f>
        <v/>
      </c>
      <c r="R434" s="13">
        <f>P434/L434</f>
        <v/>
      </c>
      <c r="S434" s="14">
        <f>SUMIFS(Donnees_annuelles!$D$3:$D$188,Donnees_annuelles!$A$3:$A$188,"&gt;="&amp;G434,Donnees_annuelles!$A$3:$A$188,"&lt;="&amp;N434)*L434/ROUNDUP(L434,0)</f>
        <v/>
      </c>
      <c r="T434" s="14">
        <f>SUMIFS(Donnees_regimes!$N$3:$N$1118,Donnees_regimes!$A$3:$A$1118,C434,Donnees_regimes!$B$3:$B$1118,"&gt;="&amp;G434,Donnees_regimes!$B$3:$B$1118,"&lt;="&amp;N434)*L434/ROUNDUP(L434,0)</f>
        <v/>
      </c>
      <c r="U434" s="14">
        <f>SUMIFS(Donnees_regimes!$O$3:$O$1118,Donnees_regimes!$A$3:$A$1118,C434,Donnees_regimes!$B$3:$B$1118,"&gt;="&amp;G434,Donnees_regimes!$B$3:$B$1118,"&lt;="&amp;N434)*L434/ROUNDUP(L434,0)</f>
        <v/>
      </c>
      <c r="V434" s="14">
        <f>T434+U434</f>
        <v/>
      </c>
      <c r="W434" s="33">
        <f>V434/S434</f>
        <v/>
      </c>
      <c r="X434" s="14">
        <f>S434+U434</f>
        <v/>
      </c>
      <c r="Y434" s="17">
        <f>V434/P434</f>
        <v/>
      </c>
      <c r="Z434" s="14">
        <f>SUMIFS(Donnees_regimes!$Q$3:$Q$1118,Donnees_regimes!$A$3:$A$1118,C434,Donnees_regimes!$B$3:$B$1118,"&gt;="&amp;G434,Donnees_regimes!$B$3:$B$1118,"&lt;="&amp;N434)*L434/ROUNDUP(L434,0)</f>
        <v/>
      </c>
      <c r="AA434" s="77">
        <f>SUMIFS(Regles_regimes!$F$3:$F$2000,Regles_regimes!$A$3:$A$2000,C434,Regles_regimes!$B$3:$B$2000,D434,Regles_regimes!$C$3:$C$2000,MAX(1915,MIN(2025,E434)))</f>
        <v/>
      </c>
      <c r="AB434" s="77">
        <f>IF(AND(SUMIFS(Regles_regimes!$L$3:$L$2000,Regles_regimes!$A$3:$A$2000,C434,Regles_regimes!$B$3:$B$2000,D434,Regles_regimes!$C$3:$C$2000,MAX(1915,MIN(2025,E434)))=1,G434&lt;2009,C434&lt;&gt;"Privé"),MIN(20,L434*4/5),0)</f>
        <v/>
      </c>
      <c r="AC434" s="89">
        <f>SUMIFS(Donnees_regimes!$M$3:$M$1118,Donnees_regimes!$A$3:$A$1118,C434,Donnees_regimes!$B$3:$B$1118,M434)</f>
        <v/>
      </c>
      <c r="AD434" s="14">
        <f>SUMIFS(Donnees_annuelles!$Y$3:$Y$188,Donnees_annuelles!$A$3:$A$188,M434)*SUMIFS(Donnees_generations!$I$3:$I$113,Donnees_generations!$A$3:$A$113,MAX(1915,MIN(2025,E434)))/H434</f>
        <v/>
      </c>
      <c r="AE434" s="14">
        <f>IF(C434="Privé",SUMIFS(Donnees_annuelles!$Y$3:$Y$188,Donnees_annuelles!$A$3:$A$188,M434)*MIN(L434,SUMIFS(Donnees_generations!$I$3:$I$113,Donnees_generations!$A$3:$A$113,MAX(1915,MIN(2025,E434))))/L434,AD434*AC434*MIN(IF(AB434&gt;0,0.8/0.75,1),(L434*4+AB434)/AA434))</f>
        <v/>
      </c>
      <c r="AF434" s="14">
        <f>AE434/12</f>
        <v/>
      </c>
      <c r="AG434" s="77">
        <f>MIN(68,MAX(56,2*INT(K434/2)))</f>
        <v/>
      </c>
      <c r="AH434" s="75">
        <f>(CHOOSE((AG434-56)/2+1,SUMIFS(Donnees_generations!$U$3:$U$113,Donnees_generations!$A$3:$A$113,MAX(1915,MIN(2025,E434))),SUMIFS(Donnees_generations!$V$3:$V$113,Donnees_generations!$A$3:$A$113,MAX(1915,MIN(2025,E434))),SUMIFS(Donnees_generations!$W$3:$W$113,Donnees_generations!$A$3:$A$113,MAX(1915,MIN(2025,E434))),SUMIFS(Donnees_generations!$X$3:$X$113,Donnees_generations!$A$3:$A$113,MAX(1915,MIN(2025,E434))),SUMIFS(Donnees_generations!$Y$3:$Y$113,Donnees_generations!$A$3:$A$113,MAX(1915,MIN(2025,E434))),SUMIFS(Donnees_generations!$Z$3:$Z$113,Donnees_generations!$A$3:$A$113,MAX(1915,MIN(2025,E434))),SUMIFS(Donnees_generations!$AA$3:$AA$113,Donnees_generations!$A$3:$A$113,MAX(1915,MIN(2025,E434))),SUMIFS(Donnees_generations!$AB$3:$AB$113,Donnees_generations!$A$3:$A$113,MAX(1915,MIN(2025,E434))))+CHOOSE((AG434-56)/2+1,SUMIFS(Donnees_generations!$AC$3:$AC$113,Donnees_generations!$A$3:$A$113,MAX(1915,MIN(2025,E434))),SUMIFS(Donnees_generations!$AD$3:$AD$113,Donnees_generations!$A$3:$A$113,MAX(1915,MIN(2025,E434))),SUMIFS(Donnees_generations!$AE$3:$AE$113,Donnees_generations!$A$3:$A$113,MAX(1915,MIN(2025,E434))),SUMIFS(Donnees_generations!$AF$3:$AF$113,Donnees_generations!$A$3:$A$113,MAX(1915,MIN(2025,E434))),SUMIFS(Donnees_generations!$AG$3:$AG$113,Donnees_generations!$A$3:$A$113,MAX(1915,MIN(2025,E434))),SUMIFS(Donnees_generations!$AH$3:$AH$113,Donnees_generations!$A$3:$A$113,MAX(1915,MIN(2025,E434))),SUMIFS(Donnees_generations!$AI$3:$AI$113,Donnees_generations!$A$3:$A$113,MAX(1915,MIN(2025,E434))),SUMIFS(Donnees_generations!$AJ$3:$AJ$113,Donnees_generations!$A$3:$A$113,MAX(1915,MIN(2025,E434)))))/2</f>
        <v/>
      </c>
      <c r="AI434" s="75">
        <f>(CHOOSE(((AG434+2)-56)/2+1,SUMIFS(Donnees_generations!$U$3:$U$113,Donnees_generations!$A$3:$A$113,MAX(1915,MIN(2025,E434))),SUMIFS(Donnees_generations!$V$3:$V$113,Donnees_generations!$A$3:$A$113,MAX(1915,MIN(2025,E434))),SUMIFS(Donnees_generations!$W$3:$W$113,Donnees_generations!$A$3:$A$113,MAX(1915,MIN(2025,E434))),SUMIFS(Donnees_generations!$X$3:$X$113,Donnees_generations!$A$3:$A$113,MAX(1915,MIN(2025,E434))),SUMIFS(Donnees_generations!$Y$3:$Y$113,Donnees_generations!$A$3:$A$113,MAX(1915,MIN(2025,E434))),SUMIFS(Donnees_generations!$Z$3:$Z$113,Donnees_generations!$A$3:$A$113,MAX(1915,MIN(2025,E434))),SUMIFS(Donnees_generations!$AA$3:$AA$113,Donnees_generations!$A$3:$A$113,MAX(1915,MIN(2025,E434))),SUMIFS(Donnees_generations!$AB$3:$AB$113,Donnees_generations!$A$3:$A$113,MAX(1915,MIN(2025,E434))))+CHOOSE(((AG434+2)-56)/2+1,SUMIFS(Donnees_generations!$AC$3:$AC$113,Donnees_generations!$A$3:$A$113,MAX(1915,MIN(2025,E434))),SUMIFS(Donnees_generations!$AD$3:$AD$113,Donnees_generations!$A$3:$A$113,MAX(1915,MIN(2025,E434))),SUMIFS(Donnees_generations!$AE$3:$AE$113,Donnees_generations!$A$3:$A$113,MAX(1915,MIN(2025,E434))),SUMIFS(Donnees_generations!$AF$3:$AF$113,Donnees_generations!$A$3:$A$113,MAX(1915,MIN(2025,E434))),SUMIFS(Donnees_generations!$AG$3:$AG$113,Donnees_generations!$A$3:$A$113,MAX(1915,MIN(2025,E434))),SUMIFS(Donnees_generations!$AH$3:$AH$113,Donnees_generations!$A$3:$A$113,MAX(1915,MIN(2025,E434))),SUMIFS(Donnees_generations!$AI$3:$AI$113,Donnees_generations!$A$3:$A$113,MAX(1915,MIN(2025,E434))),SUMIFS(Donnees_generations!$AJ$3:$AJ$113,Donnees_generations!$A$3:$A$113,MAX(1915,MIN(2025,E434)))))/2</f>
        <v/>
      </c>
      <c r="AJ434" s="8">
        <f>MAX(0,AH434+(AI434-AH434)*(K434-AG434)/2)</f>
        <v/>
      </c>
      <c r="AK434" s="8">
        <f>K434+AJ434</f>
        <v/>
      </c>
      <c r="AL434" s="14">
        <f>AE434*AJ434</f>
        <v/>
      </c>
      <c r="AM434" s="17">
        <f>V434/AL434</f>
        <v/>
      </c>
      <c r="AN434" s="17">
        <f>Z434/AL434</f>
        <v/>
      </c>
      <c r="AO434" s="33">
        <f>IF(V434+Z434=0,0,Z434/(V434+Z434))</f>
        <v/>
      </c>
      <c r="AP434" s="14">
        <f>AL434/V434*100</f>
        <v/>
      </c>
      <c r="AQ434" s="8">
        <f>P434/AL434*1000</f>
        <v/>
      </c>
      <c r="AR434" s="77">
        <f>MAX(N434,M434-1)</f>
        <v/>
      </c>
      <c r="AS434" s="14">
        <f>SUMIFS(Donnees_regimes!$R$3:$R$1118,Donnees_regimes!$A$3:$A$1118,C434,Donnees_regimes!$B$3:$B$1118,"&gt;="&amp;G434,Donnees_regimes!$B$3:$B$1118,"&lt;="&amp;N434)*L434/ROUNDUP(L434,0)*SUMIFS(Donnees_annuelles!$AG$3:$AG$188,Donnees_annuelles!$A$3:$A$188,AR434)*SUMIFS(Donnees_annuelles!$AA$3:$AA$188,Donnees_annuelles!$A$3:$A$188,AR434)</f>
        <v/>
      </c>
      <c r="AT434" s="36">
        <f>AS434/V434</f>
        <v/>
      </c>
      <c r="AU434" s="14">
        <f>AL434</f>
        <v/>
      </c>
      <c r="AV434" s="39">
        <f>AS434-AL434</f>
        <v/>
      </c>
      <c r="AW434" s="9">
        <f>AS434/AL434-1</f>
        <v/>
      </c>
      <c r="AX434" s="14">
        <f>AS434/AJ434/12</f>
        <v/>
      </c>
      <c r="AY434" s="14">
        <f>AF434</f>
        <v/>
      </c>
      <c r="AZ434" s="39">
        <f>AX434-AF434</f>
        <v/>
      </c>
      <c r="BA434" s="14">
        <f>SUMIFS(Donnees_regimes!$S$3:$S$1118,Donnees_regimes!$A$3:$A$1118,C434,Donnees_regimes!$B$3:$B$1118,"&gt;="&amp;G434,Donnees_regimes!$B$3:$B$1118,"&lt;="&amp;N434)*L434/ROUNDUP(L434,0)*SUMIFS(Donnees_annuelles!$AH$3:$AH$188,Donnees_annuelles!$A$3:$A$188,AR434)*SUMIFS(Donnees_annuelles!$AA$3:$AA$188,Donnees_annuelles!$A$3:$A$188,AR434)</f>
        <v/>
      </c>
      <c r="BB434" s="39">
        <f>BA434-AL434</f>
        <v/>
      </c>
      <c r="BC434" s="7">
        <f>IF(M434+AJ434&gt;2026,IF(G434&gt;2026,"entièrement projeté","en partie projeté"),"observé")</f>
        <v/>
      </c>
    </row>
    <row r="435">
      <c r="A435" s="7" t="inlineStr">
        <is>
          <t>Génération X</t>
        </is>
      </c>
      <c r="B435" s="84" t="inlineStr">
        <is>
          <t>RATP</t>
        </is>
      </c>
      <c r="C435" s="7">
        <f>IF(G435&gt;=SUMIFS(Regimes!$C$5:$C$10,Regimes!$A$5:$A$10,B435),"Privé",B435)</f>
        <v/>
      </c>
      <c r="D435" s="7">
        <f>INDEX(Regimes!$D$5:$D$10,MATCH(C435,Regimes!$A$5:$A$10,0))</f>
        <v/>
      </c>
      <c r="E435" s="88" t="n">
        <v>1968</v>
      </c>
      <c r="F435" s="8">
        <f>Donnees_generations!C56</f>
        <v/>
      </c>
      <c r="G435" s="77">
        <f>Donnees_generations!D56</f>
        <v/>
      </c>
      <c r="H435" s="8">
        <f>SUMIFS(Donnees_generations!$S$3:$S$113,Donnees_generations!$A$3:$A$113,MAX(1915,MIN(2025,E435)))</f>
        <v/>
      </c>
      <c r="I435" s="8">
        <f>SUMIFS(Donnees_generations!$T$3:$T$113,Donnees_generations!$A$3:$A$113,MAX(1915,MIN(2025,E435)))</f>
        <v/>
      </c>
      <c r="J435" s="8">
        <f>IF(G435&gt;=2000,MAX(I435,Parametres!$B$3),I435)</f>
        <v/>
      </c>
      <c r="K435" s="8">
        <f>IF(C435="Privé",J435,SUMIFS(Regles_regimes!$J$3:$J$2000,Regles_regimes!$A$3:$A$2000,C435,Regles_regimes!$B$3:$B$2000,D435,Regles_regimes!$C$3:$C$2000,MAX(1915,MIN(2025,E435))))</f>
        <v/>
      </c>
      <c r="L435" s="8">
        <f>IF(C435="Privé",H435,(K435-F435)*H435/(J435-F435))</f>
        <v/>
      </c>
      <c r="M435" s="77">
        <f>INT(E435+K435)</f>
        <v/>
      </c>
      <c r="N435" s="77">
        <f>G435+ROUNDUP(L435,0)-1</f>
        <v/>
      </c>
      <c r="O435" s="89">
        <f>SUMIFS(Regles_regimes!$K$3:$K$2000,Regles_regimes!$A$3:$A$2000,C435,Regles_regimes!$B$3:$B$2000,D435,Regles_regimes!$C$3:$C$2000,MAX(1915,MIN(2025,E435)))</f>
        <v/>
      </c>
      <c r="P435" s="13">
        <f>SUMIFS(Donnees_annuelles!$W$3:$W$188,Donnees_annuelles!$A$3:$A$188,"&gt;="&amp;G435,Donnees_annuelles!$A$3:$A$188,"&lt;="&amp;N435)*L435/ROUNDUP(L435,0)*O435</f>
        <v/>
      </c>
      <c r="Q435" s="13">
        <f>SUMIFS(Donnees_annuelles!$V$3:$V$188,Donnees_annuelles!$A$3:$A$188,"&gt;="&amp;G435,Donnees_annuelles!$A$3:$A$188,"&lt;="&amp;N435)*L435/ROUNDUP(L435,0)</f>
        <v/>
      </c>
      <c r="R435" s="13">
        <f>P435/L435</f>
        <v/>
      </c>
      <c r="S435" s="14">
        <f>SUMIFS(Donnees_annuelles!$D$3:$D$188,Donnees_annuelles!$A$3:$A$188,"&gt;="&amp;G435,Donnees_annuelles!$A$3:$A$188,"&lt;="&amp;N435)*L435/ROUNDUP(L435,0)</f>
        <v/>
      </c>
      <c r="T435" s="14">
        <f>SUMIFS(Donnees_regimes!$N$3:$N$1118,Donnees_regimes!$A$3:$A$1118,C435,Donnees_regimes!$B$3:$B$1118,"&gt;="&amp;G435,Donnees_regimes!$B$3:$B$1118,"&lt;="&amp;N435)*L435/ROUNDUP(L435,0)</f>
        <v/>
      </c>
      <c r="U435" s="14">
        <f>SUMIFS(Donnees_regimes!$O$3:$O$1118,Donnees_regimes!$A$3:$A$1118,C435,Donnees_regimes!$B$3:$B$1118,"&gt;="&amp;G435,Donnees_regimes!$B$3:$B$1118,"&lt;="&amp;N435)*L435/ROUNDUP(L435,0)</f>
        <v/>
      </c>
      <c r="V435" s="14">
        <f>T435+U435</f>
        <v/>
      </c>
      <c r="W435" s="33">
        <f>V435/S435</f>
        <v/>
      </c>
      <c r="X435" s="14">
        <f>S435+U435</f>
        <v/>
      </c>
      <c r="Y435" s="17">
        <f>V435/P435</f>
        <v/>
      </c>
      <c r="Z435" s="14">
        <f>SUMIFS(Donnees_regimes!$Q$3:$Q$1118,Donnees_regimes!$A$3:$A$1118,C435,Donnees_regimes!$B$3:$B$1118,"&gt;="&amp;G435,Donnees_regimes!$B$3:$B$1118,"&lt;="&amp;N435)*L435/ROUNDUP(L435,0)</f>
        <v/>
      </c>
      <c r="AA435" s="77">
        <f>SUMIFS(Regles_regimes!$F$3:$F$2000,Regles_regimes!$A$3:$A$2000,C435,Regles_regimes!$B$3:$B$2000,D435,Regles_regimes!$C$3:$C$2000,MAX(1915,MIN(2025,E435)))</f>
        <v/>
      </c>
      <c r="AB435" s="77">
        <f>IF(AND(SUMIFS(Regles_regimes!$L$3:$L$2000,Regles_regimes!$A$3:$A$2000,C435,Regles_regimes!$B$3:$B$2000,D435,Regles_regimes!$C$3:$C$2000,MAX(1915,MIN(2025,E435)))=1,G435&lt;2009,C435&lt;&gt;"Privé"),MIN(20,L435*4/5),0)</f>
        <v/>
      </c>
      <c r="AC435" s="89">
        <f>SUMIFS(Donnees_regimes!$M$3:$M$1118,Donnees_regimes!$A$3:$A$1118,C435,Donnees_regimes!$B$3:$B$1118,M435)</f>
        <v/>
      </c>
      <c r="AD435" s="14">
        <f>SUMIFS(Donnees_annuelles!$Y$3:$Y$188,Donnees_annuelles!$A$3:$A$188,M435)*SUMIFS(Donnees_generations!$I$3:$I$113,Donnees_generations!$A$3:$A$113,MAX(1915,MIN(2025,E435)))/H435</f>
        <v/>
      </c>
      <c r="AE435" s="14">
        <f>IF(C435="Privé",SUMIFS(Donnees_annuelles!$Y$3:$Y$188,Donnees_annuelles!$A$3:$A$188,M435)*MIN(L435,SUMIFS(Donnees_generations!$I$3:$I$113,Donnees_generations!$A$3:$A$113,MAX(1915,MIN(2025,E435))))/L435,AD435*AC435*MIN(IF(AB435&gt;0,0.8/0.75,1),(L435*4+AB435)/AA435))</f>
        <v/>
      </c>
      <c r="AF435" s="14">
        <f>AE435/12</f>
        <v/>
      </c>
      <c r="AG435" s="77">
        <f>MIN(68,MAX(56,2*INT(K435/2)))</f>
        <v/>
      </c>
      <c r="AH435" s="75">
        <f>(CHOOSE((AG435-56)/2+1,SUMIFS(Donnees_generations!$U$3:$U$113,Donnees_generations!$A$3:$A$113,MAX(1915,MIN(2025,E435))),SUMIFS(Donnees_generations!$V$3:$V$113,Donnees_generations!$A$3:$A$113,MAX(1915,MIN(2025,E435))),SUMIFS(Donnees_generations!$W$3:$W$113,Donnees_generations!$A$3:$A$113,MAX(1915,MIN(2025,E435))),SUMIFS(Donnees_generations!$X$3:$X$113,Donnees_generations!$A$3:$A$113,MAX(1915,MIN(2025,E435))),SUMIFS(Donnees_generations!$Y$3:$Y$113,Donnees_generations!$A$3:$A$113,MAX(1915,MIN(2025,E435))),SUMIFS(Donnees_generations!$Z$3:$Z$113,Donnees_generations!$A$3:$A$113,MAX(1915,MIN(2025,E435))),SUMIFS(Donnees_generations!$AA$3:$AA$113,Donnees_generations!$A$3:$A$113,MAX(1915,MIN(2025,E435))),SUMIFS(Donnees_generations!$AB$3:$AB$113,Donnees_generations!$A$3:$A$113,MAX(1915,MIN(2025,E435))))+CHOOSE((AG435-56)/2+1,SUMIFS(Donnees_generations!$AC$3:$AC$113,Donnees_generations!$A$3:$A$113,MAX(1915,MIN(2025,E435))),SUMIFS(Donnees_generations!$AD$3:$AD$113,Donnees_generations!$A$3:$A$113,MAX(1915,MIN(2025,E435))),SUMIFS(Donnees_generations!$AE$3:$AE$113,Donnees_generations!$A$3:$A$113,MAX(1915,MIN(2025,E435))),SUMIFS(Donnees_generations!$AF$3:$AF$113,Donnees_generations!$A$3:$A$113,MAX(1915,MIN(2025,E435))),SUMIFS(Donnees_generations!$AG$3:$AG$113,Donnees_generations!$A$3:$A$113,MAX(1915,MIN(2025,E435))),SUMIFS(Donnees_generations!$AH$3:$AH$113,Donnees_generations!$A$3:$A$113,MAX(1915,MIN(2025,E435))),SUMIFS(Donnees_generations!$AI$3:$AI$113,Donnees_generations!$A$3:$A$113,MAX(1915,MIN(2025,E435))),SUMIFS(Donnees_generations!$AJ$3:$AJ$113,Donnees_generations!$A$3:$A$113,MAX(1915,MIN(2025,E435)))))/2</f>
        <v/>
      </c>
      <c r="AI435" s="75">
        <f>(CHOOSE(((AG435+2)-56)/2+1,SUMIFS(Donnees_generations!$U$3:$U$113,Donnees_generations!$A$3:$A$113,MAX(1915,MIN(2025,E435))),SUMIFS(Donnees_generations!$V$3:$V$113,Donnees_generations!$A$3:$A$113,MAX(1915,MIN(2025,E435))),SUMIFS(Donnees_generations!$W$3:$W$113,Donnees_generations!$A$3:$A$113,MAX(1915,MIN(2025,E435))),SUMIFS(Donnees_generations!$X$3:$X$113,Donnees_generations!$A$3:$A$113,MAX(1915,MIN(2025,E435))),SUMIFS(Donnees_generations!$Y$3:$Y$113,Donnees_generations!$A$3:$A$113,MAX(1915,MIN(2025,E435))),SUMIFS(Donnees_generations!$Z$3:$Z$113,Donnees_generations!$A$3:$A$113,MAX(1915,MIN(2025,E435))),SUMIFS(Donnees_generations!$AA$3:$AA$113,Donnees_generations!$A$3:$A$113,MAX(1915,MIN(2025,E435))),SUMIFS(Donnees_generations!$AB$3:$AB$113,Donnees_generations!$A$3:$A$113,MAX(1915,MIN(2025,E435))))+CHOOSE(((AG435+2)-56)/2+1,SUMIFS(Donnees_generations!$AC$3:$AC$113,Donnees_generations!$A$3:$A$113,MAX(1915,MIN(2025,E435))),SUMIFS(Donnees_generations!$AD$3:$AD$113,Donnees_generations!$A$3:$A$113,MAX(1915,MIN(2025,E435))),SUMIFS(Donnees_generations!$AE$3:$AE$113,Donnees_generations!$A$3:$A$113,MAX(1915,MIN(2025,E435))),SUMIFS(Donnees_generations!$AF$3:$AF$113,Donnees_generations!$A$3:$A$113,MAX(1915,MIN(2025,E435))),SUMIFS(Donnees_generations!$AG$3:$AG$113,Donnees_generations!$A$3:$A$113,MAX(1915,MIN(2025,E435))),SUMIFS(Donnees_generations!$AH$3:$AH$113,Donnees_generations!$A$3:$A$113,MAX(1915,MIN(2025,E435))),SUMIFS(Donnees_generations!$AI$3:$AI$113,Donnees_generations!$A$3:$A$113,MAX(1915,MIN(2025,E435))),SUMIFS(Donnees_generations!$AJ$3:$AJ$113,Donnees_generations!$A$3:$A$113,MAX(1915,MIN(2025,E435)))))/2</f>
        <v/>
      </c>
      <c r="AJ435" s="8">
        <f>MAX(0,AH435+(AI435-AH435)*(K435-AG435)/2)</f>
        <v/>
      </c>
      <c r="AK435" s="8">
        <f>K435+AJ435</f>
        <v/>
      </c>
      <c r="AL435" s="14">
        <f>AE435*AJ435</f>
        <v/>
      </c>
      <c r="AM435" s="17">
        <f>V435/AL435</f>
        <v/>
      </c>
      <c r="AN435" s="17">
        <f>Z435/AL435</f>
        <v/>
      </c>
      <c r="AO435" s="33">
        <f>IF(V435+Z435=0,0,Z435/(V435+Z435))</f>
        <v/>
      </c>
      <c r="AP435" s="14">
        <f>AL435/V435*100</f>
        <v/>
      </c>
      <c r="AQ435" s="8">
        <f>P435/AL435*1000</f>
        <v/>
      </c>
      <c r="AR435" s="77">
        <f>MAX(N435,M435-1)</f>
        <v/>
      </c>
      <c r="AS435" s="14">
        <f>SUMIFS(Donnees_regimes!$R$3:$R$1118,Donnees_regimes!$A$3:$A$1118,C435,Donnees_regimes!$B$3:$B$1118,"&gt;="&amp;G435,Donnees_regimes!$B$3:$B$1118,"&lt;="&amp;N435)*L435/ROUNDUP(L435,0)*SUMIFS(Donnees_annuelles!$AG$3:$AG$188,Donnees_annuelles!$A$3:$A$188,AR435)*SUMIFS(Donnees_annuelles!$AA$3:$AA$188,Donnees_annuelles!$A$3:$A$188,AR435)</f>
        <v/>
      </c>
      <c r="AT435" s="36">
        <f>AS435/V435</f>
        <v/>
      </c>
      <c r="AU435" s="14">
        <f>AL435</f>
        <v/>
      </c>
      <c r="AV435" s="39">
        <f>AS435-AL435</f>
        <v/>
      </c>
      <c r="AW435" s="9">
        <f>AS435/AL435-1</f>
        <v/>
      </c>
      <c r="AX435" s="14">
        <f>AS435/AJ435/12</f>
        <v/>
      </c>
      <c r="AY435" s="14">
        <f>AF435</f>
        <v/>
      </c>
      <c r="AZ435" s="39">
        <f>AX435-AF435</f>
        <v/>
      </c>
      <c r="BA435" s="14">
        <f>SUMIFS(Donnees_regimes!$S$3:$S$1118,Donnees_regimes!$A$3:$A$1118,C435,Donnees_regimes!$B$3:$B$1118,"&gt;="&amp;G435,Donnees_regimes!$B$3:$B$1118,"&lt;="&amp;N435)*L435/ROUNDUP(L435,0)*SUMIFS(Donnees_annuelles!$AH$3:$AH$188,Donnees_annuelles!$A$3:$A$188,AR435)*SUMIFS(Donnees_annuelles!$AA$3:$AA$188,Donnees_annuelles!$A$3:$A$188,AR435)</f>
        <v/>
      </c>
      <c r="BB435" s="39">
        <f>BA435-AL435</f>
        <v/>
      </c>
      <c r="BC435" s="7">
        <f>IF(M435+AJ435&gt;2026,IF(G435&gt;2026,"entièrement projeté","en partie projeté"),"observé")</f>
        <v/>
      </c>
    </row>
    <row r="436">
      <c r="A436" s="7" t="inlineStr">
        <is>
          <t>Génération X</t>
        </is>
      </c>
      <c r="B436" s="84" t="inlineStr">
        <is>
          <t>RATP</t>
        </is>
      </c>
      <c r="C436" s="7">
        <f>IF(G436&gt;=SUMIFS(Regimes!$C$5:$C$10,Regimes!$A$5:$A$10,B436),"Privé",B436)</f>
        <v/>
      </c>
      <c r="D436" s="7">
        <f>INDEX(Regimes!$D$5:$D$10,MATCH(C436,Regimes!$A$5:$A$10,0))</f>
        <v/>
      </c>
      <c r="E436" s="88" t="n">
        <v>1969</v>
      </c>
      <c r="F436" s="8">
        <f>Donnees_generations!C57</f>
        <v/>
      </c>
      <c r="G436" s="77">
        <f>Donnees_generations!D57</f>
        <v/>
      </c>
      <c r="H436" s="8">
        <f>SUMIFS(Donnees_generations!$S$3:$S$113,Donnees_generations!$A$3:$A$113,MAX(1915,MIN(2025,E436)))</f>
        <v/>
      </c>
      <c r="I436" s="8">
        <f>SUMIFS(Donnees_generations!$T$3:$T$113,Donnees_generations!$A$3:$A$113,MAX(1915,MIN(2025,E436)))</f>
        <v/>
      </c>
      <c r="J436" s="8">
        <f>IF(G436&gt;=2000,MAX(I436,Parametres!$B$3),I436)</f>
        <v/>
      </c>
      <c r="K436" s="8">
        <f>IF(C436="Privé",J436,SUMIFS(Regles_regimes!$J$3:$J$2000,Regles_regimes!$A$3:$A$2000,C436,Regles_regimes!$B$3:$B$2000,D436,Regles_regimes!$C$3:$C$2000,MAX(1915,MIN(2025,E436))))</f>
        <v/>
      </c>
      <c r="L436" s="8">
        <f>IF(C436="Privé",H436,(K436-F436)*H436/(J436-F436))</f>
        <v/>
      </c>
      <c r="M436" s="77">
        <f>INT(E436+K436)</f>
        <v/>
      </c>
      <c r="N436" s="77">
        <f>G436+ROUNDUP(L436,0)-1</f>
        <v/>
      </c>
      <c r="O436" s="89">
        <f>SUMIFS(Regles_regimes!$K$3:$K$2000,Regles_regimes!$A$3:$A$2000,C436,Regles_regimes!$B$3:$B$2000,D436,Regles_regimes!$C$3:$C$2000,MAX(1915,MIN(2025,E436)))</f>
        <v/>
      </c>
      <c r="P436" s="13">
        <f>SUMIFS(Donnees_annuelles!$W$3:$W$188,Donnees_annuelles!$A$3:$A$188,"&gt;="&amp;G436,Donnees_annuelles!$A$3:$A$188,"&lt;="&amp;N436)*L436/ROUNDUP(L436,0)*O436</f>
        <v/>
      </c>
      <c r="Q436" s="13">
        <f>SUMIFS(Donnees_annuelles!$V$3:$V$188,Donnees_annuelles!$A$3:$A$188,"&gt;="&amp;G436,Donnees_annuelles!$A$3:$A$188,"&lt;="&amp;N436)*L436/ROUNDUP(L436,0)</f>
        <v/>
      </c>
      <c r="R436" s="13">
        <f>P436/L436</f>
        <v/>
      </c>
      <c r="S436" s="14">
        <f>SUMIFS(Donnees_annuelles!$D$3:$D$188,Donnees_annuelles!$A$3:$A$188,"&gt;="&amp;G436,Donnees_annuelles!$A$3:$A$188,"&lt;="&amp;N436)*L436/ROUNDUP(L436,0)</f>
        <v/>
      </c>
      <c r="T436" s="14">
        <f>SUMIFS(Donnees_regimes!$N$3:$N$1118,Donnees_regimes!$A$3:$A$1118,C436,Donnees_regimes!$B$3:$B$1118,"&gt;="&amp;G436,Donnees_regimes!$B$3:$B$1118,"&lt;="&amp;N436)*L436/ROUNDUP(L436,0)</f>
        <v/>
      </c>
      <c r="U436" s="14">
        <f>SUMIFS(Donnees_regimes!$O$3:$O$1118,Donnees_regimes!$A$3:$A$1118,C436,Donnees_regimes!$B$3:$B$1118,"&gt;="&amp;G436,Donnees_regimes!$B$3:$B$1118,"&lt;="&amp;N436)*L436/ROUNDUP(L436,0)</f>
        <v/>
      </c>
      <c r="V436" s="14">
        <f>T436+U436</f>
        <v/>
      </c>
      <c r="W436" s="33">
        <f>V436/S436</f>
        <v/>
      </c>
      <c r="X436" s="14">
        <f>S436+U436</f>
        <v/>
      </c>
      <c r="Y436" s="17">
        <f>V436/P436</f>
        <v/>
      </c>
      <c r="Z436" s="14">
        <f>SUMIFS(Donnees_regimes!$Q$3:$Q$1118,Donnees_regimes!$A$3:$A$1118,C436,Donnees_regimes!$B$3:$B$1118,"&gt;="&amp;G436,Donnees_regimes!$B$3:$B$1118,"&lt;="&amp;N436)*L436/ROUNDUP(L436,0)</f>
        <v/>
      </c>
      <c r="AA436" s="77">
        <f>SUMIFS(Regles_regimes!$F$3:$F$2000,Regles_regimes!$A$3:$A$2000,C436,Regles_regimes!$B$3:$B$2000,D436,Regles_regimes!$C$3:$C$2000,MAX(1915,MIN(2025,E436)))</f>
        <v/>
      </c>
      <c r="AB436" s="77">
        <f>IF(AND(SUMIFS(Regles_regimes!$L$3:$L$2000,Regles_regimes!$A$3:$A$2000,C436,Regles_regimes!$B$3:$B$2000,D436,Regles_regimes!$C$3:$C$2000,MAX(1915,MIN(2025,E436)))=1,G436&lt;2009,C436&lt;&gt;"Privé"),MIN(20,L436*4/5),0)</f>
        <v/>
      </c>
      <c r="AC436" s="89">
        <f>SUMIFS(Donnees_regimes!$M$3:$M$1118,Donnees_regimes!$A$3:$A$1118,C436,Donnees_regimes!$B$3:$B$1118,M436)</f>
        <v/>
      </c>
      <c r="AD436" s="14">
        <f>SUMIFS(Donnees_annuelles!$Y$3:$Y$188,Donnees_annuelles!$A$3:$A$188,M436)*SUMIFS(Donnees_generations!$I$3:$I$113,Donnees_generations!$A$3:$A$113,MAX(1915,MIN(2025,E436)))/H436</f>
        <v/>
      </c>
      <c r="AE436" s="14">
        <f>IF(C436="Privé",SUMIFS(Donnees_annuelles!$Y$3:$Y$188,Donnees_annuelles!$A$3:$A$188,M436)*MIN(L436,SUMIFS(Donnees_generations!$I$3:$I$113,Donnees_generations!$A$3:$A$113,MAX(1915,MIN(2025,E436))))/L436,AD436*AC436*MIN(IF(AB436&gt;0,0.8/0.75,1),(L436*4+AB436)/AA436))</f>
        <v/>
      </c>
      <c r="AF436" s="14">
        <f>AE436/12</f>
        <v/>
      </c>
      <c r="AG436" s="77">
        <f>MIN(68,MAX(56,2*INT(K436/2)))</f>
        <v/>
      </c>
      <c r="AH436" s="75">
        <f>(CHOOSE((AG436-56)/2+1,SUMIFS(Donnees_generations!$U$3:$U$113,Donnees_generations!$A$3:$A$113,MAX(1915,MIN(2025,E436))),SUMIFS(Donnees_generations!$V$3:$V$113,Donnees_generations!$A$3:$A$113,MAX(1915,MIN(2025,E436))),SUMIFS(Donnees_generations!$W$3:$W$113,Donnees_generations!$A$3:$A$113,MAX(1915,MIN(2025,E436))),SUMIFS(Donnees_generations!$X$3:$X$113,Donnees_generations!$A$3:$A$113,MAX(1915,MIN(2025,E436))),SUMIFS(Donnees_generations!$Y$3:$Y$113,Donnees_generations!$A$3:$A$113,MAX(1915,MIN(2025,E436))),SUMIFS(Donnees_generations!$Z$3:$Z$113,Donnees_generations!$A$3:$A$113,MAX(1915,MIN(2025,E436))),SUMIFS(Donnees_generations!$AA$3:$AA$113,Donnees_generations!$A$3:$A$113,MAX(1915,MIN(2025,E436))),SUMIFS(Donnees_generations!$AB$3:$AB$113,Donnees_generations!$A$3:$A$113,MAX(1915,MIN(2025,E436))))+CHOOSE((AG436-56)/2+1,SUMIFS(Donnees_generations!$AC$3:$AC$113,Donnees_generations!$A$3:$A$113,MAX(1915,MIN(2025,E436))),SUMIFS(Donnees_generations!$AD$3:$AD$113,Donnees_generations!$A$3:$A$113,MAX(1915,MIN(2025,E436))),SUMIFS(Donnees_generations!$AE$3:$AE$113,Donnees_generations!$A$3:$A$113,MAX(1915,MIN(2025,E436))),SUMIFS(Donnees_generations!$AF$3:$AF$113,Donnees_generations!$A$3:$A$113,MAX(1915,MIN(2025,E436))),SUMIFS(Donnees_generations!$AG$3:$AG$113,Donnees_generations!$A$3:$A$113,MAX(1915,MIN(2025,E436))),SUMIFS(Donnees_generations!$AH$3:$AH$113,Donnees_generations!$A$3:$A$113,MAX(1915,MIN(2025,E436))),SUMIFS(Donnees_generations!$AI$3:$AI$113,Donnees_generations!$A$3:$A$113,MAX(1915,MIN(2025,E436))),SUMIFS(Donnees_generations!$AJ$3:$AJ$113,Donnees_generations!$A$3:$A$113,MAX(1915,MIN(2025,E436)))))/2</f>
        <v/>
      </c>
      <c r="AI436" s="75">
        <f>(CHOOSE(((AG436+2)-56)/2+1,SUMIFS(Donnees_generations!$U$3:$U$113,Donnees_generations!$A$3:$A$113,MAX(1915,MIN(2025,E436))),SUMIFS(Donnees_generations!$V$3:$V$113,Donnees_generations!$A$3:$A$113,MAX(1915,MIN(2025,E436))),SUMIFS(Donnees_generations!$W$3:$W$113,Donnees_generations!$A$3:$A$113,MAX(1915,MIN(2025,E436))),SUMIFS(Donnees_generations!$X$3:$X$113,Donnees_generations!$A$3:$A$113,MAX(1915,MIN(2025,E436))),SUMIFS(Donnees_generations!$Y$3:$Y$113,Donnees_generations!$A$3:$A$113,MAX(1915,MIN(2025,E436))),SUMIFS(Donnees_generations!$Z$3:$Z$113,Donnees_generations!$A$3:$A$113,MAX(1915,MIN(2025,E436))),SUMIFS(Donnees_generations!$AA$3:$AA$113,Donnees_generations!$A$3:$A$113,MAX(1915,MIN(2025,E436))),SUMIFS(Donnees_generations!$AB$3:$AB$113,Donnees_generations!$A$3:$A$113,MAX(1915,MIN(2025,E436))))+CHOOSE(((AG436+2)-56)/2+1,SUMIFS(Donnees_generations!$AC$3:$AC$113,Donnees_generations!$A$3:$A$113,MAX(1915,MIN(2025,E436))),SUMIFS(Donnees_generations!$AD$3:$AD$113,Donnees_generations!$A$3:$A$113,MAX(1915,MIN(2025,E436))),SUMIFS(Donnees_generations!$AE$3:$AE$113,Donnees_generations!$A$3:$A$113,MAX(1915,MIN(2025,E436))),SUMIFS(Donnees_generations!$AF$3:$AF$113,Donnees_generations!$A$3:$A$113,MAX(1915,MIN(2025,E436))),SUMIFS(Donnees_generations!$AG$3:$AG$113,Donnees_generations!$A$3:$A$113,MAX(1915,MIN(2025,E436))),SUMIFS(Donnees_generations!$AH$3:$AH$113,Donnees_generations!$A$3:$A$113,MAX(1915,MIN(2025,E436))),SUMIFS(Donnees_generations!$AI$3:$AI$113,Donnees_generations!$A$3:$A$113,MAX(1915,MIN(2025,E436))),SUMIFS(Donnees_generations!$AJ$3:$AJ$113,Donnees_generations!$A$3:$A$113,MAX(1915,MIN(2025,E436)))))/2</f>
        <v/>
      </c>
      <c r="AJ436" s="8">
        <f>MAX(0,AH436+(AI436-AH436)*(K436-AG436)/2)</f>
        <v/>
      </c>
      <c r="AK436" s="8">
        <f>K436+AJ436</f>
        <v/>
      </c>
      <c r="AL436" s="14">
        <f>AE436*AJ436</f>
        <v/>
      </c>
      <c r="AM436" s="17">
        <f>V436/AL436</f>
        <v/>
      </c>
      <c r="AN436" s="17">
        <f>Z436/AL436</f>
        <v/>
      </c>
      <c r="AO436" s="33">
        <f>IF(V436+Z436=0,0,Z436/(V436+Z436))</f>
        <v/>
      </c>
      <c r="AP436" s="14">
        <f>AL436/V436*100</f>
        <v/>
      </c>
      <c r="AQ436" s="8">
        <f>P436/AL436*1000</f>
        <v/>
      </c>
      <c r="AR436" s="77">
        <f>MAX(N436,M436-1)</f>
        <v/>
      </c>
      <c r="AS436" s="14">
        <f>SUMIFS(Donnees_regimes!$R$3:$R$1118,Donnees_regimes!$A$3:$A$1118,C436,Donnees_regimes!$B$3:$B$1118,"&gt;="&amp;G436,Donnees_regimes!$B$3:$B$1118,"&lt;="&amp;N436)*L436/ROUNDUP(L436,0)*SUMIFS(Donnees_annuelles!$AG$3:$AG$188,Donnees_annuelles!$A$3:$A$188,AR436)*SUMIFS(Donnees_annuelles!$AA$3:$AA$188,Donnees_annuelles!$A$3:$A$188,AR436)</f>
        <v/>
      </c>
      <c r="AT436" s="36">
        <f>AS436/V436</f>
        <v/>
      </c>
      <c r="AU436" s="14">
        <f>AL436</f>
        <v/>
      </c>
      <c r="AV436" s="39">
        <f>AS436-AL436</f>
        <v/>
      </c>
      <c r="AW436" s="9">
        <f>AS436/AL436-1</f>
        <v/>
      </c>
      <c r="AX436" s="14">
        <f>AS436/AJ436/12</f>
        <v/>
      </c>
      <c r="AY436" s="14">
        <f>AF436</f>
        <v/>
      </c>
      <c r="AZ436" s="39">
        <f>AX436-AF436</f>
        <v/>
      </c>
      <c r="BA436" s="14">
        <f>SUMIFS(Donnees_regimes!$S$3:$S$1118,Donnees_regimes!$A$3:$A$1118,C436,Donnees_regimes!$B$3:$B$1118,"&gt;="&amp;G436,Donnees_regimes!$B$3:$B$1118,"&lt;="&amp;N436)*L436/ROUNDUP(L436,0)*SUMIFS(Donnees_annuelles!$AH$3:$AH$188,Donnees_annuelles!$A$3:$A$188,AR436)*SUMIFS(Donnees_annuelles!$AA$3:$AA$188,Donnees_annuelles!$A$3:$A$188,AR436)</f>
        <v/>
      </c>
      <c r="BB436" s="39">
        <f>BA436-AL436</f>
        <v/>
      </c>
      <c r="BC436" s="7">
        <f>IF(M436+AJ436&gt;2026,IF(G436&gt;2026,"entièrement projeté","en partie projeté"),"observé")</f>
        <v/>
      </c>
    </row>
    <row r="437">
      <c r="A437" s="7" t="inlineStr">
        <is>
          <t>Génération X</t>
        </is>
      </c>
      <c r="B437" s="84" t="inlineStr">
        <is>
          <t>RATP</t>
        </is>
      </c>
      <c r="C437" s="7">
        <f>IF(G437&gt;=SUMIFS(Regimes!$C$5:$C$10,Regimes!$A$5:$A$10,B437),"Privé",B437)</f>
        <v/>
      </c>
      <c r="D437" s="7">
        <f>INDEX(Regimes!$D$5:$D$10,MATCH(C437,Regimes!$A$5:$A$10,0))</f>
        <v/>
      </c>
      <c r="E437" s="88" t="n">
        <v>1970</v>
      </c>
      <c r="F437" s="8">
        <f>Donnees_generations!C58</f>
        <v/>
      </c>
      <c r="G437" s="77">
        <f>Donnees_generations!D58</f>
        <v/>
      </c>
      <c r="H437" s="8">
        <f>SUMIFS(Donnees_generations!$S$3:$S$113,Donnees_generations!$A$3:$A$113,MAX(1915,MIN(2025,E437)))</f>
        <v/>
      </c>
      <c r="I437" s="8">
        <f>SUMIFS(Donnees_generations!$T$3:$T$113,Donnees_generations!$A$3:$A$113,MAX(1915,MIN(2025,E437)))</f>
        <v/>
      </c>
      <c r="J437" s="8">
        <f>IF(G437&gt;=2000,MAX(I437,Parametres!$B$3),I437)</f>
        <v/>
      </c>
      <c r="K437" s="8">
        <f>IF(C437="Privé",J437,SUMIFS(Regles_regimes!$J$3:$J$2000,Regles_regimes!$A$3:$A$2000,C437,Regles_regimes!$B$3:$B$2000,D437,Regles_regimes!$C$3:$C$2000,MAX(1915,MIN(2025,E437))))</f>
        <v/>
      </c>
      <c r="L437" s="8">
        <f>IF(C437="Privé",H437,(K437-F437)*H437/(J437-F437))</f>
        <v/>
      </c>
      <c r="M437" s="77">
        <f>INT(E437+K437)</f>
        <v/>
      </c>
      <c r="N437" s="77">
        <f>G437+ROUNDUP(L437,0)-1</f>
        <v/>
      </c>
      <c r="O437" s="89">
        <f>SUMIFS(Regles_regimes!$K$3:$K$2000,Regles_regimes!$A$3:$A$2000,C437,Regles_regimes!$B$3:$B$2000,D437,Regles_regimes!$C$3:$C$2000,MAX(1915,MIN(2025,E437)))</f>
        <v/>
      </c>
      <c r="P437" s="13">
        <f>SUMIFS(Donnees_annuelles!$W$3:$W$188,Donnees_annuelles!$A$3:$A$188,"&gt;="&amp;G437,Donnees_annuelles!$A$3:$A$188,"&lt;="&amp;N437)*L437/ROUNDUP(L437,0)*O437</f>
        <v/>
      </c>
      <c r="Q437" s="13">
        <f>SUMIFS(Donnees_annuelles!$V$3:$V$188,Donnees_annuelles!$A$3:$A$188,"&gt;="&amp;G437,Donnees_annuelles!$A$3:$A$188,"&lt;="&amp;N437)*L437/ROUNDUP(L437,0)</f>
        <v/>
      </c>
      <c r="R437" s="13">
        <f>P437/L437</f>
        <v/>
      </c>
      <c r="S437" s="14">
        <f>SUMIFS(Donnees_annuelles!$D$3:$D$188,Donnees_annuelles!$A$3:$A$188,"&gt;="&amp;G437,Donnees_annuelles!$A$3:$A$188,"&lt;="&amp;N437)*L437/ROUNDUP(L437,0)</f>
        <v/>
      </c>
      <c r="T437" s="14">
        <f>SUMIFS(Donnees_regimes!$N$3:$N$1118,Donnees_regimes!$A$3:$A$1118,C437,Donnees_regimes!$B$3:$B$1118,"&gt;="&amp;G437,Donnees_regimes!$B$3:$B$1118,"&lt;="&amp;N437)*L437/ROUNDUP(L437,0)</f>
        <v/>
      </c>
      <c r="U437" s="14">
        <f>SUMIFS(Donnees_regimes!$O$3:$O$1118,Donnees_regimes!$A$3:$A$1118,C437,Donnees_regimes!$B$3:$B$1118,"&gt;="&amp;G437,Donnees_regimes!$B$3:$B$1118,"&lt;="&amp;N437)*L437/ROUNDUP(L437,0)</f>
        <v/>
      </c>
      <c r="V437" s="14">
        <f>T437+U437</f>
        <v/>
      </c>
      <c r="W437" s="33">
        <f>V437/S437</f>
        <v/>
      </c>
      <c r="X437" s="14">
        <f>S437+U437</f>
        <v/>
      </c>
      <c r="Y437" s="17">
        <f>V437/P437</f>
        <v/>
      </c>
      <c r="Z437" s="14">
        <f>SUMIFS(Donnees_regimes!$Q$3:$Q$1118,Donnees_regimes!$A$3:$A$1118,C437,Donnees_regimes!$B$3:$B$1118,"&gt;="&amp;G437,Donnees_regimes!$B$3:$B$1118,"&lt;="&amp;N437)*L437/ROUNDUP(L437,0)</f>
        <v/>
      </c>
      <c r="AA437" s="77">
        <f>SUMIFS(Regles_regimes!$F$3:$F$2000,Regles_regimes!$A$3:$A$2000,C437,Regles_regimes!$B$3:$B$2000,D437,Regles_regimes!$C$3:$C$2000,MAX(1915,MIN(2025,E437)))</f>
        <v/>
      </c>
      <c r="AB437" s="77">
        <f>IF(AND(SUMIFS(Regles_regimes!$L$3:$L$2000,Regles_regimes!$A$3:$A$2000,C437,Regles_regimes!$B$3:$B$2000,D437,Regles_regimes!$C$3:$C$2000,MAX(1915,MIN(2025,E437)))=1,G437&lt;2009,C437&lt;&gt;"Privé"),MIN(20,L437*4/5),0)</f>
        <v/>
      </c>
      <c r="AC437" s="89">
        <f>SUMIFS(Donnees_regimes!$M$3:$M$1118,Donnees_regimes!$A$3:$A$1118,C437,Donnees_regimes!$B$3:$B$1118,M437)</f>
        <v/>
      </c>
      <c r="AD437" s="14">
        <f>SUMIFS(Donnees_annuelles!$Y$3:$Y$188,Donnees_annuelles!$A$3:$A$188,M437)*SUMIFS(Donnees_generations!$I$3:$I$113,Donnees_generations!$A$3:$A$113,MAX(1915,MIN(2025,E437)))/H437</f>
        <v/>
      </c>
      <c r="AE437" s="14">
        <f>IF(C437="Privé",SUMIFS(Donnees_annuelles!$Y$3:$Y$188,Donnees_annuelles!$A$3:$A$188,M437)*MIN(L437,SUMIFS(Donnees_generations!$I$3:$I$113,Donnees_generations!$A$3:$A$113,MAX(1915,MIN(2025,E437))))/L437,AD437*AC437*MIN(IF(AB437&gt;0,0.8/0.75,1),(L437*4+AB437)/AA437))</f>
        <v/>
      </c>
      <c r="AF437" s="14">
        <f>AE437/12</f>
        <v/>
      </c>
      <c r="AG437" s="77">
        <f>MIN(68,MAX(56,2*INT(K437/2)))</f>
        <v/>
      </c>
      <c r="AH437" s="75">
        <f>(CHOOSE((AG437-56)/2+1,SUMIFS(Donnees_generations!$U$3:$U$113,Donnees_generations!$A$3:$A$113,MAX(1915,MIN(2025,E437))),SUMIFS(Donnees_generations!$V$3:$V$113,Donnees_generations!$A$3:$A$113,MAX(1915,MIN(2025,E437))),SUMIFS(Donnees_generations!$W$3:$W$113,Donnees_generations!$A$3:$A$113,MAX(1915,MIN(2025,E437))),SUMIFS(Donnees_generations!$X$3:$X$113,Donnees_generations!$A$3:$A$113,MAX(1915,MIN(2025,E437))),SUMIFS(Donnees_generations!$Y$3:$Y$113,Donnees_generations!$A$3:$A$113,MAX(1915,MIN(2025,E437))),SUMIFS(Donnees_generations!$Z$3:$Z$113,Donnees_generations!$A$3:$A$113,MAX(1915,MIN(2025,E437))),SUMIFS(Donnees_generations!$AA$3:$AA$113,Donnees_generations!$A$3:$A$113,MAX(1915,MIN(2025,E437))),SUMIFS(Donnees_generations!$AB$3:$AB$113,Donnees_generations!$A$3:$A$113,MAX(1915,MIN(2025,E437))))+CHOOSE((AG437-56)/2+1,SUMIFS(Donnees_generations!$AC$3:$AC$113,Donnees_generations!$A$3:$A$113,MAX(1915,MIN(2025,E437))),SUMIFS(Donnees_generations!$AD$3:$AD$113,Donnees_generations!$A$3:$A$113,MAX(1915,MIN(2025,E437))),SUMIFS(Donnees_generations!$AE$3:$AE$113,Donnees_generations!$A$3:$A$113,MAX(1915,MIN(2025,E437))),SUMIFS(Donnees_generations!$AF$3:$AF$113,Donnees_generations!$A$3:$A$113,MAX(1915,MIN(2025,E437))),SUMIFS(Donnees_generations!$AG$3:$AG$113,Donnees_generations!$A$3:$A$113,MAX(1915,MIN(2025,E437))),SUMIFS(Donnees_generations!$AH$3:$AH$113,Donnees_generations!$A$3:$A$113,MAX(1915,MIN(2025,E437))),SUMIFS(Donnees_generations!$AI$3:$AI$113,Donnees_generations!$A$3:$A$113,MAX(1915,MIN(2025,E437))),SUMIFS(Donnees_generations!$AJ$3:$AJ$113,Donnees_generations!$A$3:$A$113,MAX(1915,MIN(2025,E437)))))/2</f>
        <v/>
      </c>
      <c r="AI437" s="75">
        <f>(CHOOSE(((AG437+2)-56)/2+1,SUMIFS(Donnees_generations!$U$3:$U$113,Donnees_generations!$A$3:$A$113,MAX(1915,MIN(2025,E437))),SUMIFS(Donnees_generations!$V$3:$V$113,Donnees_generations!$A$3:$A$113,MAX(1915,MIN(2025,E437))),SUMIFS(Donnees_generations!$W$3:$W$113,Donnees_generations!$A$3:$A$113,MAX(1915,MIN(2025,E437))),SUMIFS(Donnees_generations!$X$3:$X$113,Donnees_generations!$A$3:$A$113,MAX(1915,MIN(2025,E437))),SUMIFS(Donnees_generations!$Y$3:$Y$113,Donnees_generations!$A$3:$A$113,MAX(1915,MIN(2025,E437))),SUMIFS(Donnees_generations!$Z$3:$Z$113,Donnees_generations!$A$3:$A$113,MAX(1915,MIN(2025,E437))),SUMIFS(Donnees_generations!$AA$3:$AA$113,Donnees_generations!$A$3:$A$113,MAX(1915,MIN(2025,E437))),SUMIFS(Donnees_generations!$AB$3:$AB$113,Donnees_generations!$A$3:$A$113,MAX(1915,MIN(2025,E437))))+CHOOSE(((AG437+2)-56)/2+1,SUMIFS(Donnees_generations!$AC$3:$AC$113,Donnees_generations!$A$3:$A$113,MAX(1915,MIN(2025,E437))),SUMIFS(Donnees_generations!$AD$3:$AD$113,Donnees_generations!$A$3:$A$113,MAX(1915,MIN(2025,E437))),SUMIFS(Donnees_generations!$AE$3:$AE$113,Donnees_generations!$A$3:$A$113,MAX(1915,MIN(2025,E437))),SUMIFS(Donnees_generations!$AF$3:$AF$113,Donnees_generations!$A$3:$A$113,MAX(1915,MIN(2025,E437))),SUMIFS(Donnees_generations!$AG$3:$AG$113,Donnees_generations!$A$3:$A$113,MAX(1915,MIN(2025,E437))),SUMIFS(Donnees_generations!$AH$3:$AH$113,Donnees_generations!$A$3:$A$113,MAX(1915,MIN(2025,E437))),SUMIFS(Donnees_generations!$AI$3:$AI$113,Donnees_generations!$A$3:$A$113,MAX(1915,MIN(2025,E437))),SUMIFS(Donnees_generations!$AJ$3:$AJ$113,Donnees_generations!$A$3:$A$113,MAX(1915,MIN(2025,E437)))))/2</f>
        <v/>
      </c>
      <c r="AJ437" s="8">
        <f>MAX(0,AH437+(AI437-AH437)*(K437-AG437)/2)</f>
        <v/>
      </c>
      <c r="AK437" s="8">
        <f>K437+AJ437</f>
        <v/>
      </c>
      <c r="AL437" s="14">
        <f>AE437*AJ437</f>
        <v/>
      </c>
      <c r="AM437" s="17">
        <f>V437/AL437</f>
        <v/>
      </c>
      <c r="AN437" s="17">
        <f>Z437/AL437</f>
        <v/>
      </c>
      <c r="AO437" s="33">
        <f>IF(V437+Z437=0,0,Z437/(V437+Z437))</f>
        <v/>
      </c>
      <c r="AP437" s="14">
        <f>AL437/V437*100</f>
        <v/>
      </c>
      <c r="AQ437" s="8">
        <f>P437/AL437*1000</f>
        <v/>
      </c>
      <c r="AR437" s="77">
        <f>MAX(N437,M437-1)</f>
        <v/>
      </c>
      <c r="AS437" s="14">
        <f>SUMIFS(Donnees_regimes!$R$3:$R$1118,Donnees_regimes!$A$3:$A$1118,C437,Donnees_regimes!$B$3:$B$1118,"&gt;="&amp;G437,Donnees_regimes!$B$3:$B$1118,"&lt;="&amp;N437)*L437/ROUNDUP(L437,0)*SUMIFS(Donnees_annuelles!$AG$3:$AG$188,Donnees_annuelles!$A$3:$A$188,AR437)*SUMIFS(Donnees_annuelles!$AA$3:$AA$188,Donnees_annuelles!$A$3:$A$188,AR437)</f>
        <v/>
      </c>
      <c r="AT437" s="36">
        <f>AS437/V437</f>
        <v/>
      </c>
      <c r="AU437" s="14">
        <f>AL437</f>
        <v/>
      </c>
      <c r="AV437" s="39">
        <f>AS437-AL437</f>
        <v/>
      </c>
      <c r="AW437" s="9">
        <f>AS437/AL437-1</f>
        <v/>
      </c>
      <c r="AX437" s="14">
        <f>AS437/AJ437/12</f>
        <v/>
      </c>
      <c r="AY437" s="14">
        <f>AF437</f>
        <v/>
      </c>
      <c r="AZ437" s="39">
        <f>AX437-AF437</f>
        <v/>
      </c>
      <c r="BA437" s="14">
        <f>SUMIFS(Donnees_regimes!$S$3:$S$1118,Donnees_regimes!$A$3:$A$1118,C437,Donnees_regimes!$B$3:$B$1118,"&gt;="&amp;G437,Donnees_regimes!$B$3:$B$1118,"&lt;="&amp;N437)*L437/ROUNDUP(L437,0)*SUMIFS(Donnees_annuelles!$AH$3:$AH$188,Donnees_annuelles!$A$3:$A$188,AR437)*SUMIFS(Donnees_annuelles!$AA$3:$AA$188,Donnees_annuelles!$A$3:$A$188,AR437)</f>
        <v/>
      </c>
      <c r="BB437" s="39">
        <f>BA437-AL437</f>
        <v/>
      </c>
      <c r="BC437" s="7">
        <f>IF(M437+AJ437&gt;2026,IF(G437&gt;2026,"entièrement projeté","en partie projeté"),"observé")</f>
        <v/>
      </c>
    </row>
    <row r="438">
      <c r="A438" s="7" t="inlineStr">
        <is>
          <t>Génération X</t>
        </is>
      </c>
      <c r="B438" s="84" t="inlineStr">
        <is>
          <t>RATP</t>
        </is>
      </c>
      <c r="C438" s="7">
        <f>IF(G438&gt;=SUMIFS(Regimes!$C$5:$C$10,Regimes!$A$5:$A$10,B438),"Privé",B438)</f>
        <v/>
      </c>
      <c r="D438" s="7">
        <f>INDEX(Regimes!$D$5:$D$10,MATCH(C438,Regimes!$A$5:$A$10,0))</f>
        <v/>
      </c>
      <c r="E438" s="88" t="n">
        <v>1971</v>
      </c>
      <c r="F438" s="8">
        <f>Donnees_generations!C59</f>
        <v/>
      </c>
      <c r="G438" s="77">
        <f>Donnees_generations!D59</f>
        <v/>
      </c>
      <c r="H438" s="8">
        <f>SUMIFS(Donnees_generations!$S$3:$S$113,Donnees_generations!$A$3:$A$113,MAX(1915,MIN(2025,E438)))</f>
        <v/>
      </c>
      <c r="I438" s="8">
        <f>SUMIFS(Donnees_generations!$T$3:$T$113,Donnees_generations!$A$3:$A$113,MAX(1915,MIN(2025,E438)))</f>
        <v/>
      </c>
      <c r="J438" s="8">
        <f>IF(G438&gt;=2000,MAX(I438,Parametres!$B$3),I438)</f>
        <v/>
      </c>
      <c r="K438" s="8">
        <f>IF(C438="Privé",J438,SUMIFS(Regles_regimes!$J$3:$J$2000,Regles_regimes!$A$3:$A$2000,C438,Regles_regimes!$B$3:$B$2000,D438,Regles_regimes!$C$3:$C$2000,MAX(1915,MIN(2025,E438))))</f>
        <v/>
      </c>
      <c r="L438" s="8">
        <f>IF(C438="Privé",H438,(K438-F438)*H438/(J438-F438))</f>
        <v/>
      </c>
      <c r="M438" s="77">
        <f>INT(E438+K438)</f>
        <v/>
      </c>
      <c r="N438" s="77">
        <f>G438+ROUNDUP(L438,0)-1</f>
        <v/>
      </c>
      <c r="O438" s="89">
        <f>SUMIFS(Regles_regimes!$K$3:$K$2000,Regles_regimes!$A$3:$A$2000,C438,Regles_regimes!$B$3:$B$2000,D438,Regles_regimes!$C$3:$C$2000,MAX(1915,MIN(2025,E438)))</f>
        <v/>
      </c>
      <c r="P438" s="13">
        <f>SUMIFS(Donnees_annuelles!$W$3:$W$188,Donnees_annuelles!$A$3:$A$188,"&gt;="&amp;G438,Donnees_annuelles!$A$3:$A$188,"&lt;="&amp;N438)*L438/ROUNDUP(L438,0)*O438</f>
        <v/>
      </c>
      <c r="Q438" s="13">
        <f>SUMIFS(Donnees_annuelles!$V$3:$V$188,Donnees_annuelles!$A$3:$A$188,"&gt;="&amp;G438,Donnees_annuelles!$A$3:$A$188,"&lt;="&amp;N438)*L438/ROUNDUP(L438,0)</f>
        <v/>
      </c>
      <c r="R438" s="13">
        <f>P438/L438</f>
        <v/>
      </c>
      <c r="S438" s="14">
        <f>SUMIFS(Donnees_annuelles!$D$3:$D$188,Donnees_annuelles!$A$3:$A$188,"&gt;="&amp;G438,Donnees_annuelles!$A$3:$A$188,"&lt;="&amp;N438)*L438/ROUNDUP(L438,0)</f>
        <v/>
      </c>
      <c r="T438" s="14">
        <f>SUMIFS(Donnees_regimes!$N$3:$N$1118,Donnees_regimes!$A$3:$A$1118,C438,Donnees_regimes!$B$3:$B$1118,"&gt;="&amp;G438,Donnees_regimes!$B$3:$B$1118,"&lt;="&amp;N438)*L438/ROUNDUP(L438,0)</f>
        <v/>
      </c>
      <c r="U438" s="14">
        <f>SUMIFS(Donnees_regimes!$O$3:$O$1118,Donnees_regimes!$A$3:$A$1118,C438,Donnees_regimes!$B$3:$B$1118,"&gt;="&amp;G438,Donnees_regimes!$B$3:$B$1118,"&lt;="&amp;N438)*L438/ROUNDUP(L438,0)</f>
        <v/>
      </c>
      <c r="V438" s="14">
        <f>T438+U438</f>
        <v/>
      </c>
      <c r="W438" s="33">
        <f>V438/S438</f>
        <v/>
      </c>
      <c r="X438" s="14">
        <f>S438+U438</f>
        <v/>
      </c>
      <c r="Y438" s="17">
        <f>V438/P438</f>
        <v/>
      </c>
      <c r="Z438" s="14">
        <f>SUMIFS(Donnees_regimes!$Q$3:$Q$1118,Donnees_regimes!$A$3:$A$1118,C438,Donnees_regimes!$B$3:$B$1118,"&gt;="&amp;G438,Donnees_regimes!$B$3:$B$1118,"&lt;="&amp;N438)*L438/ROUNDUP(L438,0)</f>
        <v/>
      </c>
      <c r="AA438" s="77">
        <f>SUMIFS(Regles_regimes!$F$3:$F$2000,Regles_regimes!$A$3:$A$2000,C438,Regles_regimes!$B$3:$B$2000,D438,Regles_regimes!$C$3:$C$2000,MAX(1915,MIN(2025,E438)))</f>
        <v/>
      </c>
      <c r="AB438" s="77">
        <f>IF(AND(SUMIFS(Regles_regimes!$L$3:$L$2000,Regles_regimes!$A$3:$A$2000,C438,Regles_regimes!$B$3:$B$2000,D438,Regles_regimes!$C$3:$C$2000,MAX(1915,MIN(2025,E438)))=1,G438&lt;2009,C438&lt;&gt;"Privé"),MIN(20,L438*4/5),0)</f>
        <v/>
      </c>
      <c r="AC438" s="89">
        <f>SUMIFS(Donnees_regimes!$M$3:$M$1118,Donnees_regimes!$A$3:$A$1118,C438,Donnees_regimes!$B$3:$B$1118,M438)</f>
        <v/>
      </c>
      <c r="AD438" s="14">
        <f>SUMIFS(Donnees_annuelles!$Y$3:$Y$188,Donnees_annuelles!$A$3:$A$188,M438)*SUMIFS(Donnees_generations!$I$3:$I$113,Donnees_generations!$A$3:$A$113,MAX(1915,MIN(2025,E438)))/H438</f>
        <v/>
      </c>
      <c r="AE438" s="14">
        <f>IF(C438="Privé",SUMIFS(Donnees_annuelles!$Y$3:$Y$188,Donnees_annuelles!$A$3:$A$188,M438)*MIN(L438,SUMIFS(Donnees_generations!$I$3:$I$113,Donnees_generations!$A$3:$A$113,MAX(1915,MIN(2025,E438))))/L438,AD438*AC438*MIN(IF(AB438&gt;0,0.8/0.75,1),(L438*4+AB438)/AA438))</f>
        <v/>
      </c>
      <c r="AF438" s="14">
        <f>AE438/12</f>
        <v/>
      </c>
      <c r="AG438" s="77">
        <f>MIN(68,MAX(56,2*INT(K438/2)))</f>
        <v/>
      </c>
      <c r="AH438" s="75">
        <f>(CHOOSE((AG438-56)/2+1,SUMIFS(Donnees_generations!$U$3:$U$113,Donnees_generations!$A$3:$A$113,MAX(1915,MIN(2025,E438))),SUMIFS(Donnees_generations!$V$3:$V$113,Donnees_generations!$A$3:$A$113,MAX(1915,MIN(2025,E438))),SUMIFS(Donnees_generations!$W$3:$W$113,Donnees_generations!$A$3:$A$113,MAX(1915,MIN(2025,E438))),SUMIFS(Donnees_generations!$X$3:$X$113,Donnees_generations!$A$3:$A$113,MAX(1915,MIN(2025,E438))),SUMIFS(Donnees_generations!$Y$3:$Y$113,Donnees_generations!$A$3:$A$113,MAX(1915,MIN(2025,E438))),SUMIFS(Donnees_generations!$Z$3:$Z$113,Donnees_generations!$A$3:$A$113,MAX(1915,MIN(2025,E438))),SUMIFS(Donnees_generations!$AA$3:$AA$113,Donnees_generations!$A$3:$A$113,MAX(1915,MIN(2025,E438))),SUMIFS(Donnees_generations!$AB$3:$AB$113,Donnees_generations!$A$3:$A$113,MAX(1915,MIN(2025,E438))))+CHOOSE((AG438-56)/2+1,SUMIFS(Donnees_generations!$AC$3:$AC$113,Donnees_generations!$A$3:$A$113,MAX(1915,MIN(2025,E438))),SUMIFS(Donnees_generations!$AD$3:$AD$113,Donnees_generations!$A$3:$A$113,MAX(1915,MIN(2025,E438))),SUMIFS(Donnees_generations!$AE$3:$AE$113,Donnees_generations!$A$3:$A$113,MAX(1915,MIN(2025,E438))),SUMIFS(Donnees_generations!$AF$3:$AF$113,Donnees_generations!$A$3:$A$113,MAX(1915,MIN(2025,E438))),SUMIFS(Donnees_generations!$AG$3:$AG$113,Donnees_generations!$A$3:$A$113,MAX(1915,MIN(2025,E438))),SUMIFS(Donnees_generations!$AH$3:$AH$113,Donnees_generations!$A$3:$A$113,MAX(1915,MIN(2025,E438))),SUMIFS(Donnees_generations!$AI$3:$AI$113,Donnees_generations!$A$3:$A$113,MAX(1915,MIN(2025,E438))),SUMIFS(Donnees_generations!$AJ$3:$AJ$113,Donnees_generations!$A$3:$A$113,MAX(1915,MIN(2025,E438)))))/2</f>
        <v/>
      </c>
      <c r="AI438" s="75">
        <f>(CHOOSE(((AG438+2)-56)/2+1,SUMIFS(Donnees_generations!$U$3:$U$113,Donnees_generations!$A$3:$A$113,MAX(1915,MIN(2025,E438))),SUMIFS(Donnees_generations!$V$3:$V$113,Donnees_generations!$A$3:$A$113,MAX(1915,MIN(2025,E438))),SUMIFS(Donnees_generations!$W$3:$W$113,Donnees_generations!$A$3:$A$113,MAX(1915,MIN(2025,E438))),SUMIFS(Donnees_generations!$X$3:$X$113,Donnees_generations!$A$3:$A$113,MAX(1915,MIN(2025,E438))),SUMIFS(Donnees_generations!$Y$3:$Y$113,Donnees_generations!$A$3:$A$113,MAX(1915,MIN(2025,E438))),SUMIFS(Donnees_generations!$Z$3:$Z$113,Donnees_generations!$A$3:$A$113,MAX(1915,MIN(2025,E438))),SUMIFS(Donnees_generations!$AA$3:$AA$113,Donnees_generations!$A$3:$A$113,MAX(1915,MIN(2025,E438))),SUMIFS(Donnees_generations!$AB$3:$AB$113,Donnees_generations!$A$3:$A$113,MAX(1915,MIN(2025,E438))))+CHOOSE(((AG438+2)-56)/2+1,SUMIFS(Donnees_generations!$AC$3:$AC$113,Donnees_generations!$A$3:$A$113,MAX(1915,MIN(2025,E438))),SUMIFS(Donnees_generations!$AD$3:$AD$113,Donnees_generations!$A$3:$A$113,MAX(1915,MIN(2025,E438))),SUMIFS(Donnees_generations!$AE$3:$AE$113,Donnees_generations!$A$3:$A$113,MAX(1915,MIN(2025,E438))),SUMIFS(Donnees_generations!$AF$3:$AF$113,Donnees_generations!$A$3:$A$113,MAX(1915,MIN(2025,E438))),SUMIFS(Donnees_generations!$AG$3:$AG$113,Donnees_generations!$A$3:$A$113,MAX(1915,MIN(2025,E438))),SUMIFS(Donnees_generations!$AH$3:$AH$113,Donnees_generations!$A$3:$A$113,MAX(1915,MIN(2025,E438))),SUMIFS(Donnees_generations!$AI$3:$AI$113,Donnees_generations!$A$3:$A$113,MAX(1915,MIN(2025,E438))),SUMIFS(Donnees_generations!$AJ$3:$AJ$113,Donnees_generations!$A$3:$A$113,MAX(1915,MIN(2025,E438)))))/2</f>
        <v/>
      </c>
      <c r="AJ438" s="8">
        <f>MAX(0,AH438+(AI438-AH438)*(K438-AG438)/2)</f>
        <v/>
      </c>
      <c r="AK438" s="8">
        <f>K438+AJ438</f>
        <v/>
      </c>
      <c r="AL438" s="14">
        <f>AE438*AJ438</f>
        <v/>
      </c>
      <c r="AM438" s="17">
        <f>V438/AL438</f>
        <v/>
      </c>
      <c r="AN438" s="17">
        <f>Z438/AL438</f>
        <v/>
      </c>
      <c r="AO438" s="33">
        <f>IF(V438+Z438=0,0,Z438/(V438+Z438))</f>
        <v/>
      </c>
      <c r="AP438" s="14">
        <f>AL438/V438*100</f>
        <v/>
      </c>
      <c r="AQ438" s="8">
        <f>P438/AL438*1000</f>
        <v/>
      </c>
      <c r="AR438" s="77">
        <f>MAX(N438,M438-1)</f>
        <v/>
      </c>
      <c r="AS438" s="14">
        <f>SUMIFS(Donnees_regimes!$R$3:$R$1118,Donnees_regimes!$A$3:$A$1118,C438,Donnees_regimes!$B$3:$B$1118,"&gt;="&amp;G438,Donnees_regimes!$B$3:$B$1118,"&lt;="&amp;N438)*L438/ROUNDUP(L438,0)*SUMIFS(Donnees_annuelles!$AG$3:$AG$188,Donnees_annuelles!$A$3:$A$188,AR438)*SUMIFS(Donnees_annuelles!$AA$3:$AA$188,Donnees_annuelles!$A$3:$A$188,AR438)</f>
        <v/>
      </c>
      <c r="AT438" s="36">
        <f>AS438/V438</f>
        <v/>
      </c>
      <c r="AU438" s="14">
        <f>AL438</f>
        <v/>
      </c>
      <c r="AV438" s="39">
        <f>AS438-AL438</f>
        <v/>
      </c>
      <c r="AW438" s="9">
        <f>AS438/AL438-1</f>
        <v/>
      </c>
      <c r="AX438" s="14">
        <f>AS438/AJ438/12</f>
        <v/>
      </c>
      <c r="AY438" s="14">
        <f>AF438</f>
        <v/>
      </c>
      <c r="AZ438" s="39">
        <f>AX438-AF438</f>
        <v/>
      </c>
      <c r="BA438" s="14">
        <f>SUMIFS(Donnees_regimes!$S$3:$S$1118,Donnees_regimes!$A$3:$A$1118,C438,Donnees_regimes!$B$3:$B$1118,"&gt;="&amp;G438,Donnees_regimes!$B$3:$B$1118,"&lt;="&amp;N438)*L438/ROUNDUP(L438,0)*SUMIFS(Donnees_annuelles!$AH$3:$AH$188,Donnees_annuelles!$A$3:$A$188,AR438)*SUMIFS(Donnees_annuelles!$AA$3:$AA$188,Donnees_annuelles!$A$3:$A$188,AR438)</f>
        <v/>
      </c>
      <c r="BB438" s="39">
        <f>BA438-AL438</f>
        <v/>
      </c>
      <c r="BC438" s="7">
        <f>IF(M438+AJ438&gt;2026,IF(G438&gt;2026,"entièrement projeté","en partie projeté"),"observé")</f>
        <v/>
      </c>
    </row>
    <row r="439">
      <c r="A439" s="7" t="inlineStr">
        <is>
          <t>Génération X</t>
        </is>
      </c>
      <c r="B439" s="84" t="inlineStr">
        <is>
          <t>RATP</t>
        </is>
      </c>
      <c r="C439" s="7">
        <f>IF(G439&gt;=SUMIFS(Regimes!$C$5:$C$10,Regimes!$A$5:$A$10,B439),"Privé",B439)</f>
        <v/>
      </c>
      <c r="D439" s="7">
        <f>INDEX(Regimes!$D$5:$D$10,MATCH(C439,Regimes!$A$5:$A$10,0))</f>
        <v/>
      </c>
      <c r="E439" s="88" t="n">
        <v>1972</v>
      </c>
      <c r="F439" s="8">
        <f>Donnees_generations!C60</f>
        <v/>
      </c>
      <c r="G439" s="77">
        <f>Donnees_generations!D60</f>
        <v/>
      </c>
      <c r="H439" s="8">
        <f>SUMIFS(Donnees_generations!$S$3:$S$113,Donnees_generations!$A$3:$A$113,MAX(1915,MIN(2025,E439)))</f>
        <v/>
      </c>
      <c r="I439" s="8">
        <f>SUMIFS(Donnees_generations!$T$3:$T$113,Donnees_generations!$A$3:$A$113,MAX(1915,MIN(2025,E439)))</f>
        <v/>
      </c>
      <c r="J439" s="8">
        <f>IF(G439&gt;=2000,MAX(I439,Parametres!$B$3),I439)</f>
        <v/>
      </c>
      <c r="K439" s="8">
        <f>IF(C439="Privé",J439,SUMIFS(Regles_regimes!$J$3:$J$2000,Regles_regimes!$A$3:$A$2000,C439,Regles_regimes!$B$3:$B$2000,D439,Regles_regimes!$C$3:$C$2000,MAX(1915,MIN(2025,E439))))</f>
        <v/>
      </c>
      <c r="L439" s="8">
        <f>IF(C439="Privé",H439,(K439-F439)*H439/(J439-F439))</f>
        <v/>
      </c>
      <c r="M439" s="77">
        <f>INT(E439+K439)</f>
        <v/>
      </c>
      <c r="N439" s="77">
        <f>G439+ROUNDUP(L439,0)-1</f>
        <v/>
      </c>
      <c r="O439" s="89">
        <f>SUMIFS(Regles_regimes!$K$3:$K$2000,Regles_regimes!$A$3:$A$2000,C439,Regles_regimes!$B$3:$B$2000,D439,Regles_regimes!$C$3:$C$2000,MAX(1915,MIN(2025,E439)))</f>
        <v/>
      </c>
      <c r="P439" s="13">
        <f>SUMIFS(Donnees_annuelles!$W$3:$W$188,Donnees_annuelles!$A$3:$A$188,"&gt;="&amp;G439,Donnees_annuelles!$A$3:$A$188,"&lt;="&amp;N439)*L439/ROUNDUP(L439,0)*O439</f>
        <v/>
      </c>
      <c r="Q439" s="13">
        <f>SUMIFS(Donnees_annuelles!$V$3:$V$188,Donnees_annuelles!$A$3:$A$188,"&gt;="&amp;G439,Donnees_annuelles!$A$3:$A$188,"&lt;="&amp;N439)*L439/ROUNDUP(L439,0)</f>
        <v/>
      </c>
      <c r="R439" s="13">
        <f>P439/L439</f>
        <v/>
      </c>
      <c r="S439" s="14">
        <f>SUMIFS(Donnees_annuelles!$D$3:$D$188,Donnees_annuelles!$A$3:$A$188,"&gt;="&amp;G439,Donnees_annuelles!$A$3:$A$188,"&lt;="&amp;N439)*L439/ROUNDUP(L439,0)</f>
        <v/>
      </c>
      <c r="T439" s="14">
        <f>SUMIFS(Donnees_regimes!$N$3:$N$1118,Donnees_regimes!$A$3:$A$1118,C439,Donnees_regimes!$B$3:$B$1118,"&gt;="&amp;G439,Donnees_regimes!$B$3:$B$1118,"&lt;="&amp;N439)*L439/ROUNDUP(L439,0)</f>
        <v/>
      </c>
      <c r="U439" s="14">
        <f>SUMIFS(Donnees_regimes!$O$3:$O$1118,Donnees_regimes!$A$3:$A$1118,C439,Donnees_regimes!$B$3:$B$1118,"&gt;="&amp;G439,Donnees_regimes!$B$3:$B$1118,"&lt;="&amp;N439)*L439/ROUNDUP(L439,0)</f>
        <v/>
      </c>
      <c r="V439" s="14">
        <f>T439+U439</f>
        <v/>
      </c>
      <c r="W439" s="33">
        <f>V439/S439</f>
        <v/>
      </c>
      <c r="X439" s="14">
        <f>S439+U439</f>
        <v/>
      </c>
      <c r="Y439" s="17">
        <f>V439/P439</f>
        <v/>
      </c>
      <c r="Z439" s="14">
        <f>SUMIFS(Donnees_regimes!$Q$3:$Q$1118,Donnees_regimes!$A$3:$A$1118,C439,Donnees_regimes!$B$3:$B$1118,"&gt;="&amp;G439,Donnees_regimes!$B$3:$B$1118,"&lt;="&amp;N439)*L439/ROUNDUP(L439,0)</f>
        <v/>
      </c>
      <c r="AA439" s="77">
        <f>SUMIFS(Regles_regimes!$F$3:$F$2000,Regles_regimes!$A$3:$A$2000,C439,Regles_regimes!$B$3:$B$2000,D439,Regles_regimes!$C$3:$C$2000,MAX(1915,MIN(2025,E439)))</f>
        <v/>
      </c>
      <c r="AB439" s="77">
        <f>IF(AND(SUMIFS(Regles_regimes!$L$3:$L$2000,Regles_regimes!$A$3:$A$2000,C439,Regles_regimes!$B$3:$B$2000,D439,Regles_regimes!$C$3:$C$2000,MAX(1915,MIN(2025,E439)))=1,G439&lt;2009,C439&lt;&gt;"Privé"),MIN(20,L439*4/5),0)</f>
        <v/>
      </c>
      <c r="AC439" s="89">
        <f>SUMIFS(Donnees_regimes!$M$3:$M$1118,Donnees_regimes!$A$3:$A$1118,C439,Donnees_regimes!$B$3:$B$1118,M439)</f>
        <v/>
      </c>
      <c r="AD439" s="14">
        <f>SUMIFS(Donnees_annuelles!$Y$3:$Y$188,Donnees_annuelles!$A$3:$A$188,M439)*SUMIFS(Donnees_generations!$I$3:$I$113,Donnees_generations!$A$3:$A$113,MAX(1915,MIN(2025,E439)))/H439</f>
        <v/>
      </c>
      <c r="AE439" s="14">
        <f>IF(C439="Privé",SUMIFS(Donnees_annuelles!$Y$3:$Y$188,Donnees_annuelles!$A$3:$A$188,M439)*MIN(L439,SUMIFS(Donnees_generations!$I$3:$I$113,Donnees_generations!$A$3:$A$113,MAX(1915,MIN(2025,E439))))/L439,AD439*AC439*MIN(IF(AB439&gt;0,0.8/0.75,1),(L439*4+AB439)/AA439))</f>
        <v/>
      </c>
      <c r="AF439" s="14">
        <f>AE439/12</f>
        <v/>
      </c>
      <c r="AG439" s="77">
        <f>MIN(68,MAX(56,2*INT(K439/2)))</f>
        <v/>
      </c>
      <c r="AH439" s="75">
        <f>(CHOOSE((AG439-56)/2+1,SUMIFS(Donnees_generations!$U$3:$U$113,Donnees_generations!$A$3:$A$113,MAX(1915,MIN(2025,E439))),SUMIFS(Donnees_generations!$V$3:$V$113,Donnees_generations!$A$3:$A$113,MAX(1915,MIN(2025,E439))),SUMIFS(Donnees_generations!$W$3:$W$113,Donnees_generations!$A$3:$A$113,MAX(1915,MIN(2025,E439))),SUMIFS(Donnees_generations!$X$3:$X$113,Donnees_generations!$A$3:$A$113,MAX(1915,MIN(2025,E439))),SUMIFS(Donnees_generations!$Y$3:$Y$113,Donnees_generations!$A$3:$A$113,MAX(1915,MIN(2025,E439))),SUMIFS(Donnees_generations!$Z$3:$Z$113,Donnees_generations!$A$3:$A$113,MAX(1915,MIN(2025,E439))),SUMIFS(Donnees_generations!$AA$3:$AA$113,Donnees_generations!$A$3:$A$113,MAX(1915,MIN(2025,E439))),SUMIFS(Donnees_generations!$AB$3:$AB$113,Donnees_generations!$A$3:$A$113,MAX(1915,MIN(2025,E439))))+CHOOSE((AG439-56)/2+1,SUMIFS(Donnees_generations!$AC$3:$AC$113,Donnees_generations!$A$3:$A$113,MAX(1915,MIN(2025,E439))),SUMIFS(Donnees_generations!$AD$3:$AD$113,Donnees_generations!$A$3:$A$113,MAX(1915,MIN(2025,E439))),SUMIFS(Donnees_generations!$AE$3:$AE$113,Donnees_generations!$A$3:$A$113,MAX(1915,MIN(2025,E439))),SUMIFS(Donnees_generations!$AF$3:$AF$113,Donnees_generations!$A$3:$A$113,MAX(1915,MIN(2025,E439))),SUMIFS(Donnees_generations!$AG$3:$AG$113,Donnees_generations!$A$3:$A$113,MAX(1915,MIN(2025,E439))),SUMIFS(Donnees_generations!$AH$3:$AH$113,Donnees_generations!$A$3:$A$113,MAX(1915,MIN(2025,E439))),SUMIFS(Donnees_generations!$AI$3:$AI$113,Donnees_generations!$A$3:$A$113,MAX(1915,MIN(2025,E439))),SUMIFS(Donnees_generations!$AJ$3:$AJ$113,Donnees_generations!$A$3:$A$113,MAX(1915,MIN(2025,E439)))))/2</f>
        <v/>
      </c>
      <c r="AI439" s="75">
        <f>(CHOOSE(((AG439+2)-56)/2+1,SUMIFS(Donnees_generations!$U$3:$U$113,Donnees_generations!$A$3:$A$113,MAX(1915,MIN(2025,E439))),SUMIFS(Donnees_generations!$V$3:$V$113,Donnees_generations!$A$3:$A$113,MAX(1915,MIN(2025,E439))),SUMIFS(Donnees_generations!$W$3:$W$113,Donnees_generations!$A$3:$A$113,MAX(1915,MIN(2025,E439))),SUMIFS(Donnees_generations!$X$3:$X$113,Donnees_generations!$A$3:$A$113,MAX(1915,MIN(2025,E439))),SUMIFS(Donnees_generations!$Y$3:$Y$113,Donnees_generations!$A$3:$A$113,MAX(1915,MIN(2025,E439))),SUMIFS(Donnees_generations!$Z$3:$Z$113,Donnees_generations!$A$3:$A$113,MAX(1915,MIN(2025,E439))),SUMIFS(Donnees_generations!$AA$3:$AA$113,Donnees_generations!$A$3:$A$113,MAX(1915,MIN(2025,E439))),SUMIFS(Donnees_generations!$AB$3:$AB$113,Donnees_generations!$A$3:$A$113,MAX(1915,MIN(2025,E439))))+CHOOSE(((AG439+2)-56)/2+1,SUMIFS(Donnees_generations!$AC$3:$AC$113,Donnees_generations!$A$3:$A$113,MAX(1915,MIN(2025,E439))),SUMIFS(Donnees_generations!$AD$3:$AD$113,Donnees_generations!$A$3:$A$113,MAX(1915,MIN(2025,E439))),SUMIFS(Donnees_generations!$AE$3:$AE$113,Donnees_generations!$A$3:$A$113,MAX(1915,MIN(2025,E439))),SUMIFS(Donnees_generations!$AF$3:$AF$113,Donnees_generations!$A$3:$A$113,MAX(1915,MIN(2025,E439))),SUMIFS(Donnees_generations!$AG$3:$AG$113,Donnees_generations!$A$3:$A$113,MAX(1915,MIN(2025,E439))),SUMIFS(Donnees_generations!$AH$3:$AH$113,Donnees_generations!$A$3:$A$113,MAX(1915,MIN(2025,E439))),SUMIFS(Donnees_generations!$AI$3:$AI$113,Donnees_generations!$A$3:$A$113,MAX(1915,MIN(2025,E439))),SUMIFS(Donnees_generations!$AJ$3:$AJ$113,Donnees_generations!$A$3:$A$113,MAX(1915,MIN(2025,E439)))))/2</f>
        <v/>
      </c>
      <c r="AJ439" s="8">
        <f>MAX(0,AH439+(AI439-AH439)*(K439-AG439)/2)</f>
        <v/>
      </c>
      <c r="AK439" s="8">
        <f>K439+AJ439</f>
        <v/>
      </c>
      <c r="AL439" s="14">
        <f>AE439*AJ439</f>
        <v/>
      </c>
      <c r="AM439" s="17">
        <f>V439/AL439</f>
        <v/>
      </c>
      <c r="AN439" s="17">
        <f>Z439/AL439</f>
        <v/>
      </c>
      <c r="AO439" s="33">
        <f>IF(V439+Z439=0,0,Z439/(V439+Z439))</f>
        <v/>
      </c>
      <c r="AP439" s="14">
        <f>AL439/V439*100</f>
        <v/>
      </c>
      <c r="AQ439" s="8">
        <f>P439/AL439*1000</f>
        <v/>
      </c>
      <c r="AR439" s="77">
        <f>MAX(N439,M439-1)</f>
        <v/>
      </c>
      <c r="AS439" s="14">
        <f>SUMIFS(Donnees_regimes!$R$3:$R$1118,Donnees_regimes!$A$3:$A$1118,C439,Donnees_regimes!$B$3:$B$1118,"&gt;="&amp;G439,Donnees_regimes!$B$3:$B$1118,"&lt;="&amp;N439)*L439/ROUNDUP(L439,0)*SUMIFS(Donnees_annuelles!$AG$3:$AG$188,Donnees_annuelles!$A$3:$A$188,AR439)*SUMIFS(Donnees_annuelles!$AA$3:$AA$188,Donnees_annuelles!$A$3:$A$188,AR439)</f>
        <v/>
      </c>
      <c r="AT439" s="36">
        <f>AS439/V439</f>
        <v/>
      </c>
      <c r="AU439" s="14">
        <f>AL439</f>
        <v/>
      </c>
      <c r="AV439" s="39">
        <f>AS439-AL439</f>
        <v/>
      </c>
      <c r="AW439" s="9">
        <f>AS439/AL439-1</f>
        <v/>
      </c>
      <c r="AX439" s="14">
        <f>AS439/AJ439/12</f>
        <v/>
      </c>
      <c r="AY439" s="14">
        <f>AF439</f>
        <v/>
      </c>
      <c r="AZ439" s="39">
        <f>AX439-AF439</f>
        <v/>
      </c>
      <c r="BA439" s="14">
        <f>SUMIFS(Donnees_regimes!$S$3:$S$1118,Donnees_regimes!$A$3:$A$1118,C439,Donnees_regimes!$B$3:$B$1118,"&gt;="&amp;G439,Donnees_regimes!$B$3:$B$1118,"&lt;="&amp;N439)*L439/ROUNDUP(L439,0)*SUMIFS(Donnees_annuelles!$AH$3:$AH$188,Donnees_annuelles!$A$3:$A$188,AR439)*SUMIFS(Donnees_annuelles!$AA$3:$AA$188,Donnees_annuelles!$A$3:$A$188,AR439)</f>
        <v/>
      </c>
      <c r="BB439" s="39">
        <f>BA439-AL439</f>
        <v/>
      </c>
      <c r="BC439" s="7">
        <f>IF(M439+AJ439&gt;2026,IF(G439&gt;2026,"entièrement projeté","en partie projeté"),"observé")</f>
        <v/>
      </c>
    </row>
    <row r="440">
      <c r="A440" s="7" t="inlineStr">
        <is>
          <t>Génération X</t>
        </is>
      </c>
      <c r="B440" s="84" t="inlineStr">
        <is>
          <t>RATP</t>
        </is>
      </c>
      <c r="C440" s="7">
        <f>IF(G440&gt;=SUMIFS(Regimes!$C$5:$C$10,Regimes!$A$5:$A$10,B440),"Privé",B440)</f>
        <v/>
      </c>
      <c r="D440" s="7">
        <f>INDEX(Regimes!$D$5:$D$10,MATCH(C440,Regimes!$A$5:$A$10,0))</f>
        <v/>
      </c>
      <c r="E440" s="88" t="n">
        <v>1973</v>
      </c>
      <c r="F440" s="8">
        <f>Donnees_generations!C61</f>
        <v/>
      </c>
      <c r="G440" s="77">
        <f>Donnees_generations!D61</f>
        <v/>
      </c>
      <c r="H440" s="8">
        <f>SUMIFS(Donnees_generations!$S$3:$S$113,Donnees_generations!$A$3:$A$113,MAX(1915,MIN(2025,E440)))</f>
        <v/>
      </c>
      <c r="I440" s="8">
        <f>SUMIFS(Donnees_generations!$T$3:$T$113,Donnees_generations!$A$3:$A$113,MAX(1915,MIN(2025,E440)))</f>
        <v/>
      </c>
      <c r="J440" s="8">
        <f>IF(G440&gt;=2000,MAX(I440,Parametres!$B$3),I440)</f>
        <v/>
      </c>
      <c r="K440" s="8">
        <f>IF(C440="Privé",J440,SUMIFS(Regles_regimes!$J$3:$J$2000,Regles_regimes!$A$3:$A$2000,C440,Regles_regimes!$B$3:$B$2000,D440,Regles_regimes!$C$3:$C$2000,MAX(1915,MIN(2025,E440))))</f>
        <v/>
      </c>
      <c r="L440" s="8">
        <f>IF(C440="Privé",H440,(K440-F440)*H440/(J440-F440))</f>
        <v/>
      </c>
      <c r="M440" s="77">
        <f>INT(E440+K440)</f>
        <v/>
      </c>
      <c r="N440" s="77">
        <f>G440+ROUNDUP(L440,0)-1</f>
        <v/>
      </c>
      <c r="O440" s="89">
        <f>SUMIFS(Regles_regimes!$K$3:$K$2000,Regles_regimes!$A$3:$A$2000,C440,Regles_regimes!$B$3:$B$2000,D440,Regles_regimes!$C$3:$C$2000,MAX(1915,MIN(2025,E440)))</f>
        <v/>
      </c>
      <c r="P440" s="13">
        <f>SUMIFS(Donnees_annuelles!$W$3:$W$188,Donnees_annuelles!$A$3:$A$188,"&gt;="&amp;G440,Donnees_annuelles!$A$3:$A$188,"&lt;="&amp;N440)*L440/ROUNDUP(L440,0)*O440</f>
        <v/>
      </c>
      <c r="Q440" s="13">
        <f>SUMIFS(Donnees_annuelles!$V$3:$V$188,Donnees_annuelles!$A$3:$A$188,"&gt;="&amp;G440,Donnees_annuelles!$A$3:$A$188,"&lt;="&amp;N440)*L440/ROUNDUP(L440,0)</f>
        <v/>
      </c>
      <c r="R440" s="13">
        <f>P440/L440</f>
        <v/>
      </c>
      <c r="S440" s="14">
        <f>SUMIFS(Donnees_annuelles!$D$3:$D$188,Donnees_annuelles!$A$3:$A$188,"&gt;="&amp;G440,Donnees_annuelles!$A$3:$A$188,"&lt;="&amp;N440)*L440/ROUNDUP(L440,0)</f>
        <v/>
      </c>
      <c r="T440" s="14">
        <f>SUMIFS(Donnees_regimes!$N$3:$N$1118,Donnees_regimes!$A$3:$A$1118,C440,Donnees_regimes!$B$3:$B$1118,"&gt;="&amp;G440,Donnees_regimes!$B$3:$B$1118,"&lt;="&amp;N440)*L440/ROUNDUP(L440,0)</f>
        <v/>
      </c>
      <c r="U440" s="14">
        <f>SUMIFS(Donnees_regimes!$O$3:$O$1118,Donnees_regimes!$A$3:$A$1118,C440,Donnees_regimes!$B$3:$B$1118,"&gt;="&amp;G440,Donnees_regimes!$B$3:$B$1118,"&lt;="&amp;N440)*L440/ROUNDUP(L440,0)</f>
        <v/>
      </c>
      <c r="V440" s="14">
        <f>T440+U440</f>
        <v/>
      </c>
      <c r="W440" s="33">
        <f>V440/S440</f>
        <v/>
      </c>
      <c r="X440" s="14">
        <f>S440+U440</f>
        <v/>
      </c>
      <c r="Y440" s="17">
        <f>V440/P440</f>
        <v/>
      </c>
      <c r="Z440" s="14">
        <f>SUMIFS(Donnees_regimes!$Q$3:$Q$1118,Donnees_regimes!$A$3:$A$1118,C440,Donnees_regimes!$B$3:$B$1118,"&gt;="&amp;G440,Donnees_regimes!$B$3:$B$1118,"&lt;="&amp;N440)*L440/ROUNDUP(L440,0)</f>
        <v/>
      </c>
      <c r="AA440" s="77">
        <f>SUMIFS(Regles_regimes!$F$3:$F$2000,Regles_regimes!$A$3:$A$2000,C440,Regles_regimes!$B$3:$B$2000,D440,Regles_regimes!$C$3:$C$2000,MAX(1915,MIN(2025,E440)))</f>
        <v/>
      </c>
      <c r="AB440" s="77">
        <f>IF(AND(SUMIFS(Regles_regimes!$L$3:$L$2000,Regles_regimes!$A$3:$A$2000,C440,Regles_regimes!$B$3:$B$2000,D440,Regles_regimes!$C$3:$C$2000,MAX(1915,MIN(2025,E440)))=1,G440&lt;2009,C440&lt;&gt;"Privé"),MIN(20,L440*4/5),0)</f>
        <v/>
      </c>
      <c r="AC440" s="89">
        <f>SUMIFS(Donnees_regimes!$M$3:$M$1118,Donnees_regimes!$A$3:$A$1118,C440,Donnees_regimes!$B$3:$B$1118,M440)</f>
        <v/>
      </c>
      <c r="AD440" s="14">
        <f>SUMIFS(Donnees_annuelles!$Y$3:$Y$188,Donnees_annuelles!$A$3:$A$188,M440)*SUMIFS(Donnees_generations!$I$3:$I$113,Donnees_generations!$A$3:$A$113,MAX(1915,MIN(2025,E440)))/H440</f>
        <v/>
      </c>
      <c r="AE440" s="14">
        <f>IF(C440="Privé",SUMIFS(Donnees_annuelles!$Y$3:$Y$188,Donnees_annuelles!$A$3:$A$188,M440)*MIN(L440,SUMIFS(Donnees_generations!$I$3:$I$113,Donnees_generations!$A$3:$A$113,MAX(1915,MIN(2025,E440))))/L440,AD440*AC440*MIN(IF(AB440&gt;0,0.8/0.75,1),(L440*4+AB440)/AA440))</f>
        <v/>
      </c>
      <c r="AF440" s="14">
        <f>AE440/12</f>
        <v/>
      </c>
      <c r="AG440" s="77">
        <f>MIN(68,MAX(56,2*INT(K440/2)))</f>
        <v/>
      </c>
      <c r="AH440" s="75">
        <f>(CHOOSE((AG440-56)/2+1,SUMIFS(Donnees_generations!$U$3:$U$113,Donnees_generations!$A$3:$A$113,MAX(1915,MIN(2025,E440))),SUMIFS(Donnees_generations!$V$3:$V$113,Donnees_generations!$A$3:$A$113,MAX(1915,MIN(2025,E440))),SUMIFS(Donnees_generations!$W$3:$W$113,Donnees_generations!$A$3:$A$113,MAX(1915,MIN(2025,E440))),SUMIFS(Donnees_generations!$X$3:$X$113,Donnees_generations!$A$3:$A$113,MAX(1915,MIN(2025,E440))),SUMIFS(Donnees_generations!$Y$3:$Y$113,Donnees_generations!$A$3:$A$113,MAX(1915,MIN(2025,E440))),SUMIFS(Donnees_generations!$Z$3:$Z$113,Donnees_generations!$A$3:$A$113,MAX(1915,MIN(2025,E440))),SUMIFS(Donnees_generations!$AA$3:$AA$113,Donnees_generations!$A$3:$A$113,MAX(1915,MIN(2025,E440))),SUMIFS(Donnees_generations!$AB$3:$AB$113,Donnees_generations!$A$3:$A$113,MAX(1915,MIN(2025,E440))))+CHOOSE((AG440-56)/2+1,SUMIFS(Donnees_generations!$AC$3:$AC$113,Donnees_generations!$A$3:$A$113,MAX(1915,MIN(2025,E440))),SUMIFS(Donnees_generations!$AD$3:$AD$113,Donnees_generations!$A$3:$A$113,MAX(1915,MIN(2025,E440))),SUMIFS(Donnees_generations!$AE$3:$AE$113,Donnees_generations!$A$3:$A$113,MAX(1915,MIN(2025,E440))),SUMIFS(Donnees_generations!$AF$3:$AF$113,Donnees_generations!$A$3:$A$113,MAX(1915,MIN(2025,E440))),SUMIFS(Donnees_generations!$AG$3:$AG$113,Donnees_generations!$A$3:$A$113,MAX(1915,MIN(2025,E440))),SUMIFS(Donnees_generations!$AH$3:$AH$113,Donnees_generations!$A$3:$A$113,MAX(1915,MIN(2025,E440))),SUMIFS(Donnees_generations!$AI$3:$AI$113,Donnees_generations!$A$3:$A$113,MAX(1915,MIN(2025,E440))),SUMIFS(Donnees_generations!$AJ$3:$AJ$113,Donnees_generations!$A$3:$A$113,MAX(1915,MIN(2025,E440)))))/2</f>
        <v/>
      </c>
      <c r="AI440" s="75">
        <f>(CHOOSE(((AG440+2)-56)/2+1,SUMIFS(Donnees_generations!$U$3:$U$113,Donnees_generations!$A$3:$A$113,MAX(1915,MIN(2025,E440))),SUMIFS(Donnees_generations!$V$3:$V$113,Donnees_generations!$A$3:$A$113,MAX(1915,MIN(2025,E440))),SUMIFS(Donnees_generations!$W$3:$W$113,Donnees_generations!$A$3:$A$113,MAX(1915,MIN(2025,E440))),SUMIFS(Donnees_generations!$X$3:$X$113,Donnees_generations!$A$3:$A$113,MAX(1915,MIN(2025,E440))),SUMIFS(Donnees_generations!$Y$3:$Y$113,Donnees_generations!$A$3:$A$113,MAX(1915,MIN(2025,E440))),SUMIFS(Donnees_generations!$Z$3:$Z$113,Donnees_generations!$A$3:$A$113,MAX(1915,MIN(2025,E440))),SUMIFS(Donnees_generations!$AA$3:$AA$113,Donnees_generations!$A$3:$A$113,MAX(1915,MIN(2025,E440))),SUMIFS(Donnees_generations!$AB$3:$AB$113,Donnees_generations!$A$3:$A$113,MAX(1915,MIN(2025,E440))))+CHOOSE(((AG440+2)-56)/2+1,SUMIFS(Donnees_generations!$AC$3:$AC$113,Donnees_generations!$A$3:$A$113,MAX(1915,MIN(2025,E440))),SUMIFS(Donnees_generations!$AD$3:$AD$113,Donnees_generations!$A$3:$A$113,MAX(1915,MIN(2025,E440))),SUMIFS(Donnees_generations!$AE$3:$AE$113,Donnees_generations!$A$3:$A$113,MAX(1915,MIN(2025,E440))),SUMIFS(Donnees_generations!$AF$3:$AF$113,Donnees_generations!$A$3:$A$113,MAX(1915,MIN(2025,E440))),SUMIFS(Donnees_generations!$AG$3:$AG$113,Donnees_generations!$A$3:$A$113,MAX(1915,MIN(2025,E440))),SUMIFS(Donnees_generations!$AH$3:$AH$113,Donnees_generations!$A$3:$A$113,MAX(1915,MIN(2025,E440))),SUMIFS(Donnees_generations!$AI$3:$AI$113,Donnees_generations!$A$3:$A$113,MAX(1915,MIN(2025,E440))),SUMIFS(Donnees_generations!$AJ$3:$AJ$113,Donnees_generations!$A$3:$A$113,MAX(1915,MIN(2025,E440)))))/2</f>
        <v/>
      </c>
      <c r="AJ440" s="8">
        <f>MAX(0,AH440+(AI440-AH440)*(K440-AG440)/2)</f>
        <v/>
      </c>
      <c r="AK440" s="8">
        <f>K440+AJ440</f>
        <v/>
      </c>
      <c r="AL440" s="14">
        <f>AE440*AJ440</f>
        <v/>
      </c>
      <c r="AM440" s="17">
        <f>V440/AL440</f>
        <v/>
      </c>
      <c r="AN440" s="17">
        <f>Z440/AL440</f>
        <v/>
      </c>
      <c r="AO440" s="33">
        <f>IF(V440+Z440=0,0,Z440/(V440+Z440))</f>
        <v/>
      </c>
      <c r="AP440" s="14">
        <f>AL440/V440*100</f>
        <v/>
      </c>
      <c r="AQ440" s="8">
        <f>P440/AL440*1000</f>
        <v/>
      </c>
      <c r="AR440" s="77">
        <f>MAX(N440,M440-1)</f>
        <v/>
      </c>
      <c r="AS440" s="14">
        <f>SUMIFS(Donnees_regimes!$R$3:$R$1118,Donnees_regimes!$A$3:$A$1118,C440,Donnees_regimes!$B$3:$B$1118,"&gt;="&amp;G440,Donnees_regimes!$B$3:$B$1118,"&lt;="&amp;N440)*L440/ROUNDUP(L440,0)*SUMIFS(Donnees_annuelles!$AG$3:$AG$188,Donnees_annuelles!$A$3:$A$188,AR440)*SUMIFS(Donnees_annuelles!$AA$3:$AA$188,Donnees_annuelles!$A$3:$A$188,AR440)</f>
        <v/>
      </c>
      <c r="AT440" s="36">
        <f>AS440/V440</f>
        <v/>
      </c>
      <c r="AU440" s="14">
        <f>AL440</f>
        <v/>
      </c>
      <c r="AV440" s="39">
        <f>AS440-AL440</f>
        <v/>
      </c>
      <c r="AW440" s="9">
        <f>AS440/AL440-1</f>
        <v/>
      </c>
      <c r="AX440" s="14">
        <f>AS440/AJ440/12</f>
        <v/>
      </c>
      <c r="AY440" s="14">
        <f>AF440</f>
        <v/>
      </c>
      <c r="AZ440" s="39">
        <f>AX440-AF440</f>
        <v/>
      </c>
      <c r="BA440" s="14">
        <f>SUMIFS(Donnees_regimes!$S$3:$S$1118,Donnees_regimes!$A$3:$A$1118,C440,Donnees_regimes!$B$3:$B$1118,"&gt;="&amp;G440,Donnees_regimes!$B$3:$B$1118,"&lt;="&amp;N440)*L440/ROUNDUP(L440,0)*SUMIFS(Donnees_annuelles!$AH$3:$AH$188,Donnees_annuelles!$A$3:$A$188,AR440)*SUMIFS(Donnees_annuelles!$AA$3:$AA$188,Donnees_annuelles!$A$3:$A$188,AR440)</f>
        <v/>
      </c>
      <c r="BB440" s="39">
        <f>BA440-AL440</f>
        <v/>
      </c>
      <c r="BC440" s="7">
        <f>IF(M440+AJ440&gt;2026,IF(G440&gt;2026,"entièrement projeté","en partie projeté"),"observé")</f>
        <v/>
      </c>
    </row>
    <row r="441">
      <c r="A441" s="7" t="inlineStr">
        <is>
          <t>Génération X</t>
        </is>
      </c>
      <c r="B441" s="84" t="inlineStr">
        <is>
          <t>RATP</t>
        </is>
      </c>
      <c r="C441" s="7">
        <f>IF(G441&gt;=SUMIFS(Regimes!$C$5:$C$10,Regimes!$A$5:$A$10,B441),"Privé",B441)</f>
        <v/>
      </c>
      <c r="D441" s="7">
        <f>INDEX(Regimes!$D$5:$D$10,MATCH(C441,Regimes!$A$5:$A$10,0))</f>
        <v/>
      </c>
      <c r="E441" s="88" t="n">
        <v>1974</v>
      </c>
      <c r="F441" s="8">
        <f>Donnees_generations!C62</f>
        <v/>
      </c>
      <c r="G441" s="77">
        <f>Donnees_generations!D62</f>
        <v/>
      </c>
      <c r="H441" s="8">
        <f>SUMIFS(Donnees_generations!$S$3:$S$113,Donnees_generations!$A$3:$A$113,MAX(1915,MIN(2025,E441)))</f>
        <v/>
      </c>
      <c r="I441" s="8">
        <f>SUMIFS(Donnees_generations!$T$3:$T$113,Donnees_generations!$A$3:$A$113,MAX(1915,MIN(2025,E441)))</f>
        <v/>
      </c>
      <c r="J441" s="8">
        <f>IF(G441&gt;=2000,MAX(I441,Parametres!$B$3),I441)</f>
        <v/>
      </c>
      <c r="K441" s="8">
        <f>IF(C441="Privé",J441,SUMIFS(Regles_regimes!$J$3:$J$2000,Regles_regimes!$A$3:$A$2000,C441,Regles_regimes!$B$3:$B$2000,D441,Regles_regimes!$C$3:$C$2000,MAX(1915,MIN(2025,E441))))</f>
        <v/>
      </c>
      <c r="L441" s="8">
        <f>IF(C441="Privé",H441,(K441-F441)*H441/(J441-F441))</f>
        <v/>
      </c>
      <c r="M441" s="77">
        <f>INT(E441+K441)</f>
        <v/>
      </c>
      <c r="N441" s="77">
        <f>G441+ROUNDUP(L441,0)-1</f>
        <v/>
      </c>
      <c r="O441" s="89">
        <f>SUMIFS(Regles_regimes!$K$3:$K$2000,Regles_regimes!$A$3:$A$2000,C441,Regles_regimes!$B$3:$B$2000,D441,Regles_regimes!$C$3:$C$2000,MAX(1915,MIN(2025,E441)))</f>
        <v/>
      </c>
      <c r="P441" s="13">
        <f>SUMIFS(Donnees_annuelles!$W$3:$W$188,Donnees_annuelles!$A$3:$A$188,"&gt;="&amp;G441,Donnees_annuelles!$A$3:$A$188,"&lt;="&amp;N441)*L441/ROUNDUP(L441,0)*O441</f>
        <v/>
      </c>
      <c r="Q441" s="13">
        <f>SUMIFS(Donnees_annuelles!$V$3:$V$188,Donnees_annuelles!$A$3:$A$188,"&gt;="&amp;G441,Donnees_annuelles!$A$3:$A$188,"&lt;="&amp;N441)*L441/ROUNDUP(L441,0)</f>
        <v/>
      </c>
      <c r="R441" s="13">
        <f>P441/L441</f>
        <v/>
      </c>
      <c r="S441" s="14">
        <f>SUMIFS(Donnees_annuelles!$D$3:$D$188,Donnees_annuelles!$A$3:$A$188,"&gt;="&amp;G441,Donnees_annuelles!$A$3:$A$188,"&lt;="&amp;N441)*L441/ROUNDUP(L441,0)</f>
        <v/>
      </c>
      <c r="T441" s="14">
        <f>SUMIFS(Donnees_regimes!$N$3:$N$1118,Donnees_regimes!$A$3:$A$1118,C441,Donnees_regimes!$B$3:$B$1118,"&gt;="&amp;G441,Donnees_regimes!$B$3:$B$1118,"&lt;="&amp;N441)*L441/ROUNDUP(L441,0)</f>
        <v/>
      </c>
      <c r="U441" s="14">
        <f>SUMIFS(Donnees_regimes!$O$3:$O$1118,Donnees_regimes!$A$3:$A$1118,C441,Donnees_regimes!$B$3:$B$1118,"&gt;="&amp;G441,Donnees_regimes!$B$3:$B$1118,"&lt;="&amp;N441)*L441/ROUNDUP(L441,0)</f>
        <v/>
      </c>
      <c r="V441" s="14">
        <f>T441+U441</f>
        <v/>
      </c>
      <c r="W441" s="33">
        <f>V441/S441</f>
        <v/>
      </c>
      <c r="X441" s="14">
        <f>S441+U441</f>
        <v/>
      </c>
      <c r="Y441" s="17">
        <f>V441/P441</f>
        <v/>
      </c>
      <c r="Z441" s="14">
        <f>SUMIFS(Donnees_regimes!$Q$3:$Q$1118,Donnees_regimes!$A$3:$A$1118,C441,Donnees_regimes!$B$3:$B$1118,"&gt;="&amp;G441,Donnees_regimes!$B$3:$B$1118,"&lt;="&amp;N441)*L441/ROUNDUP(L441,0)</f>
        <v/>
      </c>
      <c r="AA441" s="77">
        <f>SUMIFS(Regles_regimes!$F$3:$F$2000,Regles_regimes!$A$3:$A$2000,C441,Regles_regimes!$B$3:$B$2000,D441,Regles_regimes!$C$3:$C$2000,MAX(1915,MIN(2025,E441)))</f>
        <v/>
      </c>
      <c r="AB441" s="77">
        <f>IF(AND(SUMIFS(Regles_regimes!$L$3:$L$2000,Regles_regimes!$A$3:$A$2000,C441,Regles_regimes!$B$3:$B$2000,D441,Regles_regimes!$C$3:$C$2000,MAX(1915,MIN(2025,E441)))=1,G441&lt;2009,C441&lt;&gt;"Privé"),MIN(20,L441*4/5),0)</f>
        <v/>
      </c>
      <c r="AC441" s="89">
        <f>SUMIFS(Donnees_regimes!$M$3:$M$1118,Donnees_regimes!$A$3:$A$1118,C441,Donnees_regimes!$B$3:$B$1118,M441)</f>
        <v/>
      </c>
      <c r="AD441" s="14">
        <f>SUMIFS(Donnees_annuelles!$Y$3:$Y$188,Donnees_annuelles!$A$3:$A$188,M441)*SUMIFS(Donnees_generations!$I$3:$I$113,Donnees_generations!$A$3:$A$113,MAX(1915,MIN(2025,E441)))/H441</f>
        <v/>
      </c>
      <c r="AE441" s="14">
        <f>IF(C441="Privé",SUMIFS(Donnees_annuelles!$Y$3:$Y$188,Donnees_annuelles!$A$3:$A$188,M441)*MIN(L441,SUMIFS(Donnees_generations!$I$3:$I$113,Donnees_generations!$A$3:$A$113,MAX(1915,MIN(2025,E441))))/L441,AD441*AC441*MIN(IF(AB441&gt;0,0.8/0.75,1),(L441*4+AB441)/AA441))</f>
        <v/>
      </c>
      <c r="AF441" s="14">
        <f>AE441/12</f>
        <v/>
      </c>
      <c r="AG441" s="77">
        <f>MIN(68,MAX(56,2*INT(K441/2)))</f>
        <v/>
      </c>
      <c r="AH441" s="75">
        <f>(CHOOSE((AG441-56)/2+1,SUMIFS(Donnees_generations!$U$3:$U$113,Donnees_generations!$A$3:$A$113,MAX(1915,MIN(2025,E441))),SUMIFS(Donnees_generations!$V$3:$V$113,Donnees_generations!$A$3:$A$113,MAX(1915,MIN(2025,E441))),SUMIFS(Donnees_generations!$W$3:$W$113,Donnees_generations!$A$3:$A$113,MAX(1915,MIN(2025,E441))),SUMIFS(Donnees_generations!$X$3:$X$113,Donnees_generations!$A$3:$A$113,MAX(1915,MIN(2025,E441))),SUMIFS(Donnees_generations!$Y$3:$Y$113,Donnees_generations!$A$3:$A$113,MAX(1915,MIN(2025,E441))),SUMIFS(Donnees_generations!$Z$3:$Z$113,Donnees_generations!$A$3:$A$113,MAX(1915,MIN(2025,E441))),SUMIFS(Donnees_generations!$AA$3:$AA$113,Donnees_generations!$A$3:$A$113,MAX(1915,MIN(2025,E441))),SUMIFS(Donnees_generations!$AB$3:$AB$113,Donnees_generations!$A$3:$A$113,MAX(1915,MIN(2025,E441))))+CHOOSE((AG441-56)/2+1,SUMIFS(Donnees_generations!$AC$3:$AC$113,Donnees_generations!$A$3:$A$113,MAX(1915,MIN(2025,E441))),SUMIFS(Donnees_generations!$AD$3:$AD$113,Donnees_generations!$A$3:$A$113,MAX(1915,MIN(2025,E441))),SUMIFS(Donnees_generations!$AE$3:$AE$113,Donnees_generations!$A$3:$A$113,MAX(1915,MIN(2025,E441))),SUMIFS(Donnees_generations!$AF$3:$AF$113,Donnees_generations!$A$3:$A$113,MAX(1915,MIN(2025,E441))),SUMIFS(Donnees_generations!$AG$3:$AG$113,Donnees_generations!$A$3:$A$113,MAX(1915,MIN(2025,E441))),SUMIFS(Donnees_generations!$AH$3:$AH$113,Donnees_generations!$A$3:$A$113,MAX(1915,MIN(2025,E441))),SUMIFS(Donnees_generations!$AI$3:$AI$113,Donnees_generations!$A$3:$A$113,MAX(1915,MIN(2025,E441))),SUMIFS(Donnees_generations!$AJ$3:$AJ$113,Donnees_generations!$A$3:$A$113,MAX(1915,MIN(2025,E441)))))/2</f>
        <v/>
      </c>
      <c r="AI441" s="75">
        <f>(CHOOSE(((AG441+2)-56)/2+1,SUMIFS(Donnees_generations!$U$3:$U$113,Donnees_generations!$A$3:$A$113,MAX(1915,MIN(2025,E441))),SUMIFS(Donnees_generations!$V$3:$V$113,Donnees_generations!$A$3:$A$113,MAX(1915,MIN(2025,E441))),SUMIFS(Donnees_generations!$W$3:$W$113,Donnees_generations!$A$3:$A$113,MAX(1915,MIN(2025,E441))),SUMIFS(Donnees_generations!$X$3:$X$113,Donnees_generations!$A$3:$A$113,MAX(1915,MIN(2025,E441))),SUMIFS(Donnees_generations!$Y$3:$Y$113,Donnees_generations!$A$3:$A$113,MAX(1915,MIN(2025,E441))),SUMIFS(Donnees_generations!$Z$3:$Z$113,Donnees_generations!$A$3:$A$113,MAX(1915,MIN(2025,E441))),SUMIFS(Donnees_generations!$AA$3:$AA$113,Donnees_generations!$A$3:$A$113,MAX(1915,MIN(2025,E441))),SUMIFS(Donnees_generations!$AB$3:$AB$113,Donnees_generations!$A$3:$A$113,MAX(1915,MIN(2025,E441))))+CHOOSE(((AG441+2)-56)/2+1,SUMIFS(Donnees_generations!$AC$3:$AC$113,Donnees_generations!$A$3:$A$113,MAX(1915,MIN(2025,E441))),SUMIFS(Donnees_generations!$AD$3:$AD$113,Donnees_generations!$A$3:$A$113,MAX(1915,MIN(2025,E441))),SUMIFS(Donnees_generations!$AE$3:$AE$113,Donnees_generations!$A$3:$A$113,MAX(1915,MIN(2025,E441))),SUMIFS(Donnees_generations!$AF$3:$AF$113,Donnees_generations!$A$3:$A$113,MAX(1915,MIN(2025,E441))),SUMIFS(Donnees_generations!$AG$3:$AG$113,Donnees_generations!$A$3:$A$113,MAX(1915,MIN(2025,E441))),SUMIFS(Donnees_generations!$AH$3:$AH$113,Donnees_generations!$A$3:$A$113,MAX(1915,MIN(2025,E441))),SUMIFS(Donnees_generations!$AI$3:$AI$113,Donnees_generations!$A$3:$A$113,MAX(1915,MIN(2025,E441))),SUMIFS(Donnees_generations!$AJ$3:$AJ$113,Donnees_generations!$A$3:$A$113,MAX(1915,MIN(2025,E441)))))/2</f>
        <v/>
      </c>
      <c r="AJ441" s="8">
        <f>MAX(0,AH441+(AI441-AH441)*(K441-AG441)/2)</f>
        <v/>
      </c>
      <c r="AK441" s="8">
        <f>K441+AJ441</f>
        <v/>
      </c>
      <c r="AL441" s="14">
        <f>AE441*AJ441</f>
        <v/>
      </c>
      <c r="AM441" s="17">
        <f>V441/AL441</f>
        <v/>
      </c>
      <c r="AN441" s="17">
        <f>Z441/AL441</f>
        <v/>
      </c>
      <c r="AO441" s="33">
        <f>IF(V441+Z441=0,0,Z441/(V441+Z441))</f>
        <v/>
      </c>
      <c r="AP441" s="14">
        <f>AL441/V441*100</f>
        <v/>
      </c>
      <c r="AQ441" s="8">
        <f>P441/AL441*1000</f>
        <v/>
      </c>
      <c r="AR441" s="77">
        <f>MAX(N441,M441-1)</f>
        <v/>
      </c>
      <c r="AS441" s="14">
        <f>SUMIFS(Donnees_regimes!$R$3:$R$1118,Donnees_regimes!$A$3:$A$1118,C441,Donnees_regimes!$B$3:$B$1118,"&gt;="&amp;G441,Donnees_regimes!$B$3:$B$1118,"&lt;="&amp;N441)*L441/ROUNDUP(L441,0)*SUMIFS(Donnees_annuelles!$AG$3:$AG$188,Donnees_annuelles!$A$3:$A$188,AR441)*SUMIFS(Donnees_annuelles!$AA$3:$AA$188,Donnees_annuelles!$A$3:$A$188,AR441)</f>
        <v/>
      </c>
      <c r="AT441" s="36">
        <f>AS441/V441</f>
        <v/>
      </c>
      <c r="AU441" s="14">
        <f>AL441</f>
        <v/>
      </c>
      <c r="AV441" s="39">
        <f>AS441-AL441</f>
        <v/>
      </c>
      <c r="AW441" s="9">
        <f>AS441/AL441-1</f>
        <v/>
      </c>
      <c r="AX441" s="14">
        <f>AS441/AJ441/12</f>
        <v/>
      </c>
      <c r="AY441" s="14">
        <f>AF441</f>
        <v/>
      </c>
      <c r="AZ441" s="39">
        <f>AX441-AF441</f>
        <v/>
      </c>
      <c r="BA441" s="14">
        <f>SUMIFS(Donnees_regimes!$S$3:$S$1118,Donnees_regimes!$A$3:$A$1118,C441,Donnees_regimes!$B$3:$B$1118,"&gt;="&amp;G441,Donnees_regimes!$B$3:$B$1118,"&lt;="&amp;N441)*L441/ROUNDUP(L441,0)*SUMIFS(Donnees_annuelles!$AH$3:$AH$188,Donnees_annuelles!$A$3:$A$188,AR441)*SUMIFS(Donnees_annuelles!$AA$3:$AA$188,Donnees_annuelles!$A$3:$A$188,AR441)</f>
        <v/>
      </c>
      <c r="BB441" s="39">
        <f>BA441-AL441</f>
        <v/>
      </c>
      <c r="BC441" s="7">
        <f>IF(M441+AJ441&gt;2026,IF(G441&gt;2026,"entièrement projeté","en partie projeté"),"observé")</f>
        <v/>
      </c>
    </row>
    <row r="442">
      <c r="A442" s="7" t="inlineStr">
        <is>
          <t>Génération X</t>
        </is>
      </c>
      <c r="B442" s="84" t="inlineStr">
        <is>
          <t>RATP</t>
        </is>
      </c>
      <c r="C442" s="7">
        <f>IF(G442&gt;=SUMIFS(Regimes!$C$5:$C$10,Regimes!$A$5:$A$10,B442),"Privé",B442)</f>
        <v/>
      </c>
      <c r="D442" s="7">
        <f>INDEX(Regimes!$D$5:$D$10,MATCH(C442,Regimes!$A$5:$A$10,0))</f>
        <v/>
      </c>
      <c r="E442" s="88" t="n">
        <v>1975</v>
      </c>
      <c r="F442" s="8">
        <f>Donnees_generations!C63</f>
        <v/>
      </c>
      <c r="G442" s="77">
        <f>Donnees_generations!D63</f>
        <v/>
      </c>
      <c r="H442" s="8">
        <f>SUMIFS(Donnees_generations!$S$3:$S$113,Donnees_generations!$A$3:$A$113,MAX(1915,MIN(2025,E442)))</f>
        <v/>
      </c>
      <c r="I442" s="8">
        <f>SUMIFS(Donnees_generations!$T$3:$T$113,Donnees_generations!$A$3:$A$113,MAX(1915,MIN(2025,E442)))</f>
        <v/>
      </c>
      <c r="J442" s="8">
        <f>IF(G442&gt;=2000,MAX(I442,Parametres!$B$3),I442)</f>
        <v/>
      </c>
      <c r="K442" s="8">
        <f>IF(C442="Privé",J442,SUMIFS(Regles_regimes!$J$3:$J$2000,Regles_regimes!$A$3:$A$2000,C442,Regles_regimes!$B$3:$B$2000,D442,Regles_regimes!$C$3:$C$2000,MAX(1915,MIN(2025,E442))))</f>
        <v/>
      </c>
      <c r="L442" s="8">
        <f>IF(C442="Privé",H442,(K442-F442)*H442/(J442-F442))</f>
        <v/>
      </c>
      <c r="M442" s="77">
        <f>INT(E442+K442)</f>
        <v/>
      </c>
      <c r="N442" s="77">
        <f>G442+ROUNDUP(L442,0)-1</f>
        <v/>
      </c>
      <c r="O442" s="89">
        <f>SUMIFS(Regles_regimes!$K$3:$K$2000,Regles_regimes!$A$3:$A$2000,C442,Regles_regimes!$B$3:$B$2000,D442,Regles_regimes!$C$3:$C$2000,MAX(1915,MIN(2025,E442)))</f>
        <v/>
      </c>
      <c r="P442" s="13">
        <f>SUMIFS(Donnees_annuelles!$W$3:$W$188,Donnees_annuelles!$A$3:$A$188,"&gt;="&amp;G442,Donnees_annuelles!$A$3:$A$188,"&lt;="&amp;N442)*L442/ROUNDUP(L442,0)*O442</f>
        <v/>
      </c>
      <c r="Q442" s="13">
        <f>SUMIFS(Donnees_annuelles!$V$3:$V$188,Donnees_annuelles!$A$3:$A$188,"&gt;="&amp;G442,Donnees_annuelles!$A$3:$A$188,"&lt;="&amp;N442)*L442/ROUNDUP(L442,0)</f>
        <v/>
      </c>
      <c r="R442" s="13">
        <f>P442/L442</f>
        <v/>
      </c>
      <c r="S442" s="14">
        <f>SUMIFS(Donnees_annuelles!$D$3:$D$188,Donnees_annuelles!$A$3:$A$188,"&gt;="&amp;G442,Donnees_annuelles!$A$3:$A$188,"&lt;="&amp;N442)*L442/ROUNDUP(L442,0)</f>
        <v/>
      </c>
      <c r="T442" s="14">
        <f>SUMIFS(Donnees_regimes!$N$3:$N$1118,Donnees_regimes!$A$3:$A$1118,C442,Donnees_regimes!$B$3:$B$1118,"&gt;="&amp;G442,Donnees_regimes!$B$3:$B$1118,"&lt;="&amp;N442)*L442/ROUNDUP(L442,0)</f>
        <v/>
      </c>
      <c r="U442" s="14">
        <f>SUMIFS(Donnees_regimes!$O$3:$O$1118,Donnees_regimes!$A$3:$A$1118,C442,Donnees_regimes!$B$3:$B$1118,"&gt;="&amp;G442,Donnees_regimes!$B$3:$B$1118,"&lt;="&amp;N442)*L442/ROUNDUP(L442,0)</f>
        <v/>
      </c>
      <c r="V442" s="14">
        <f>T442+U442</f>
        <v/>
      </c>
      <c r="W442" s="33">
        <f>V442/S442</f>
        <v/>
      </c>
      <c r="X442" s="14">
        <f>S442+U442</f>
        <v/>
      </c>
      <c r="Y442" s="17">
        <f>V442/P442</f>
        <v/>
      </c>
      <c r="Z442" s="14">
        <f>SUMIFS(Donnees_regimes!$Q$3:$Q$1118,Donnees_regimes!$A$3:$A$1118,C442,Donnees_regimes!$B$3:$B$1118,"&gt;="&amp;G442,Donnees_regimes!$B$3:$B$1118,"&lt;="&amp;N442)*L442/ROUNDUP(L442,0)</f>
        <v/>
      </c>
      <c r="AA442" s="77">
        <f>SUMIFS(Regles_regimes!$F$3:$F$2000,Regles_regimes!$A$3:$A$2000,C442,Regles_regimes!$B$3:$B$2000,D442,Regles_regimes!$C$3:$C$2000,MAX(1915,MIN(2025,E442)))</f>
        <v/>
      </c>
      <c r="AB442" s="77">
        <f>IF(AND(SUMIFS(Regles_regimes!$L$3:$L$2000,Regles_regimes!$A$3:$A$2000,C442,Regles_regimes!$B$3:$B$2000,D442,Regles_regimes!$C$3:$C$2000,MAX(1915,MIN(2025,E442)))=1,G442&lt;2009,C442&lt;&gt;"Privé"),MIN(20,L442*4/5),0)</f>
        <v/>
      </c>
      <c r="AC442" s="89">
        <f>SUMIFS(Donnees_regimes!$M$3:$M$1118,Donnees_regimes!$A$3:$A$1118,C442,Donnees_regimes!$B$3:$B$1118,M442)</f>
        <v/>
      </c>
      <c r="AD442" s="14">
        <f>SUMIFS(Donnees_annuelles!$Y$3:$Y$188,Donnees_annuelles!$A$3:$A$188,M442)*SUMIFS(Donnees_generations!$I$3:$I$113,Donnees_generations!$A$3:$A$113,MAX(1915,MIN(2025,E442)))/H442</f>
        <v/>
      </c>
      <c r="AE442" s="14">
        <f>IF(C442="Privé",SUMIFS(Donnees_annuelles!$Y$3:$Y$188,Donnees_annuelles!$A$3:$A$188,M442)*MIN(L442,SUMIFS(Donnees_generations!$I$3:$I$113,Donnees_generations!$A$3:$A$113,MAX(1915,MIN(2025,E442))))/L442,AD442*AC442*MIN(IF(AB442&gt;0,0.8/0.75,1),(L442*4+AB442)/AA442))</f>
        <v/>
      </c>
      <c r="AF442" s="14">
        <f>AE442/12</f>
        <v/>
      </c>
      <c r="AG442" s="77">
        <f>MIN(68,MAX(56,2*INT(K442/2)))</f>
        <v/>
      </c>
      <c r="AH442" s="75">
        <f>(CHOOSE((AG442-56)/2+1,SUMIFS(Donnees_generations!$U$3:$U$113,Donnees_generations!$A$3:$A$113,MAX(1915,MIN(2025,E442))),SUMIFS(Donnees_generations!$V$3:$V$113,Donnees_generations!$A$3:$A$113,MAX(1915,MIN(2025,E442))),SUMIFS(Donnees_generations!$W$3:$W$113,Donnees_generations!$A$3:$A$113,MAX(1915,MIN(2025,E442))),SUMIFS(Donnees_generations!$X$3:$X$113,Donnees_generations!$A$3:$A$113,MAX(1915,MIN(2025,E442))),SUMIFS(Donnees_generations!$Y$3:$Y$113,Donnees_generations!$A$3:$A$113,MAX(1915,MIN(2025,E442))),SUMIFS(Donnees_generations!$Z$3:$Z$113,Donnees_generations!$A$3:$A$113,MAX(1915,MIN(2025,E442))),SUMIFS(Donnees_generations!$AA$3:$AA$113,Donnees_generations!$A$3:$A$113,MAX(1915,MIN(2025,E442))),SUMIFS(Donnees_generations!$AB$3:$AB$113,Donnees_generations!$A$3:$A$113,MAX(1915,MIN(2025,E442))))+CHOOSE((AG442-56)/2+1,SUMIFS(Donnees_generations!$AC$3:$AC$113,Donnees_generations!$A$3:$A$113,MAX(1915,MIN(2025,E442))),SUMIFS(Donnees_generations!$AD$3:$AD$113,Donnees_generations!$A$3:$A$113,MAX(1915,MIN(2025,E442))),SUMIFS(Donnees_generations!$AE$3:$AE$113,Donnees_generations!$A$3:$A$113,MAX(1915,MIN(2025,E442))),SUMIFS(Donnees_generations!$AF$3:$AF$113,Donnees_generations!$A$3:$A$113,MAX(1915,MIN(2025,E442))),SUMIFS(Donnees_generations!$AG$3:$AG$113,Donnees_generations!$A$3:$A$113,MAX(1915,MIN(2025,E442))),SUMIFS(Donnees_generations!$AH$3:$AH$113,Donnees_generations!$A$3:$A$113,MAX(1915,MIN(2025,E442))),SUMIFS(Donnees_generations!$AI$3:$AI$113,Donnees_generations!$A$3:$A$113,MAX(1915,MIN(2025,E442))),SUMIFS(Donnees_generations!$AJ$3:$AJ$113,Donnees_generations!$A$3:$A$113,MAX(1915,MIN(2025,E442)))))/2</f>
        <v/>
      </c>
      <c r="AI442" s="75">
        <f>(CHOOSE(((AG442+2)-56)/2+1,SUMIFS(Donnees_generations!$U$3:$U$113,Donnees_generations!$A$3:$A$113,MAX(1915,MIN(2025,E442))),SUMIFS(Donnees_generations!$V$3:$V$113,Donnees_generations!$A$3:$A$113,MAX(1915,MIN(2025,E442))),SUMIFS(Donnees_generations!$W$3:$W$113,Donnees_generations!$A$3:$A$113,MAX(1915,MIN(2025,E442))),SUMIFS(Donnees_generations!$X$3:$X$113,Donnees_generations!$A$3:$A$113,MAX(1915,MIN(2025,E442))),SUMIFS(Donnees_generations!$Y$3:$Y$113,Donnees_generations!$A$3:$A$113,MAX(1915,MIN(2025,E442))),SUMIFS(Donnees_generations!$Z$3:$Z$113,Donnees_generations!$A$3:$A$113,MAX(1915,MIN(2025,E442))),SUMIFS(Donnees_generations!$AA$3:$AA$113,Donnees_generations!$A$3:$A$113,MAX(1915,MIN(2025,E442))),SUMIFS(Donnees_generations!$AB$3:$AB$113,Donnees_generations!$A$3:$A$113,MAX(1915,MIN(2025,E442))))+CHOOSE(((AG442+2)-56)/2+1,SUMIFS(Donnees_generations!$AC$3:$AC$113,Donnees_generations!$A$3:$A$113,MAX(1915,MIN(2025,E442))),SUMIFS(Donnees_generations!$AD$3:$AD$113,Donnees_generations!$A$3:$A$113,MAX(1915,MIN(2025,E442))),SUMIFS(Donnees_generations!$AE$3:$AE$113,Donnees_generations!$A$3:$A$113,MAX(1915,MIN(2025,E442))),SUMIFS(Donnees_generations!$AF$3:$AF$113,Donnees_generations!$A$3:$A$113,MAX(1915,MIN(2025,E442))),SUMIFS(Donnees_generations!$AG$3:$AG$113,Donnees_generations!$A$3:$A$113,MAX(1915,MIN(2025,E442))),SUMIFS(Donnees_generations!$AH$3:$AH$113,Donnees_generations!$A$3:$A$113,MAX(1915,MIN(2025,E442))),SUMIFS(Donnees_generations!$AI$3:$AI$113,Donnees_generations!$A$3:$A$113,MAX(1915,MIN(2025,E442))),SUMIFS(Donnees_generations!$AJ$3:$AJ$113,Donnees_generations!$A$3:$A$113,MAX(1915,MIN(2025,E442)))))/2</f>
        <v/>
      </c>
      <c r="AJ442" s="8">
        <f>MAX(0,AH442+(AI442-AH442)*(K442-AG442)/2)</f>
        <v/>
      </c>
      <c r="AK442" s="8">
        <f>K442+AJ442</f>
        <v/>
      </c>
      <c r="AL442" s="14">
        <f>AE442*AJ442</f>
        <v/>
      </c>
      <c r="AM442" s="17">
        <f>V442/AL442</f>
        <v/>
      </c>
      <c r="AN442" s="17">
        <f>Z442/AL442</f>
        <v/>
      </c>
      <c r="AO442" s="33">
        <f>IF(V442+Z442=0,0,Z442/(V442+Z442))</f>
        <v/>
      </c>
      <c r="AP442" s="14">
        <f>AL442/V442*100</f>
        <v/>
      </c>
      <c r="AQ442" s="8">
        <f>P442/AL442*1000</f>
        <v/>
      </c>
      <c r="AR442" s="77">
        <f>MAX(N442,M442-1)</f>
        <v/>
      </c>
      <c r="AS442" s="14">
        <f>SUMIFS(Donnees_regimes!$R$3:$R$1118,Donnees_regimes!$A$3:$A$1118,C442,Donnees_regimes!$B$3:$B$1118,"&gt;="&amp;G442,Donnees_regimes!$B$3:$B$1118,"&lt;="&amp;N442)*L442/ROUNDUP(L442,0)*SUMIFS(Donnees_annuelles!$AG$3:$AG$188,Donnees_annuelles!$A$3:$A$188,AR442)*SUMIFS(Donnees_annuelles!$AA$3:$AA$188,Donnees_annuelles!$A$3:$A$188,AR442)</f>
        <v/>
      </c>
      <c r="AT442" s="36">
        <f>AS442/V442</f>
        <v/>
      </c>
      <c r="AU442" s="14">
        <f>AL442</f>
        <v/>
      </c>
      <c r="AV442" s="39">
        <f>AS442-AL442</f>
        <v/>
      </c>
      <c r="AW442" s="9">
        <f>AS442/AL442-1</f>
        <v/>
      </c>
      <c r="AX442" s="14">
        <f>AS442/AJ442/12</f>
        <v/>
      </c>
      <c r="AY442" s="14">
        <f>AF442</f>
        <v/>
      </c>
      <c r="AZ442" s="39">
        <f>AX442-AF442</f>
        <v/>
      </c>
      <c r="BA442" s="14">
        <f>SUMIFS(Donnees_regimes!$S$3:$S$1118,Donnees_regimes!$A$3:$A$1118,C442,Donnees_regimes!$B$3:$B$1118,"&gt;="&amp;G442,Donnees_regimes!$B$3:$B$1118,"&lt;="&amp;N442)*L442/ROUNDUP(L442,0)*SUMIFS(Donnees_annuelles!$AH$3:$AH$188,Donnees_annuelles!$A$3:$A$188,AR442)*SUMIFS(Donnees_annuelles!$AA$3:$AA$188,Donnees_annuelles!$A$3:$A$188,AR442)</f>
        <v/>
      </c>
      <c r="BB442" s="39">
        <f>BA442-AL442</f>
        <v/>
      </c>
      <c r="BC442" s="7">
        <f>IF(M442+AJ442&gt;2026,IF(G442&gt;2026,"entièrement projeté","en partie projeté"),"observé")</f>
        <v/>
      </c>
    </row>
    <row r="443">
      <c r="A443" s="7" t="inlineStr">
        <is>
          <t>Génération X</t>
        </is>
      </c>
      <c r="B443" s="84" t="inlineStr">
        <is>
          <t>RATP</t>
        </is>
      </c>
      <c r="C443" s="7">
        <f>IF(G443&gt;=SUMIFS(Regimes!$C$5:$C$10,Regimes!$A$5:$A$10,B443),"Privé",B443)</f>
        <v/>
      </c>
      <c r="D443" s="7">
        <f>INDEX(Regimes!$D$5:$D$10,MATCH(C443,Regimes!$A$5:$A$10,0))</f>
        <v/>
      </c>
      <c r="E443" s="88" t="n">
        <v>1976</v>
      </c>
      <c r="F443" s="8">
        <f>Donnees_generations!C64</f>
        <v/>
      </c>
      <c r="G443" s="77">
        <f>Donnees_generations!D64</f>
        <v/>
      </c>
      <c r="H443" s="8">
        <f>SUMIFS(Donnees_generations!$S$3:$S$113,Donnees_generations!$A$3:$A$113,MAX(1915,MIN(2025,E443)))</f>
        <v/>
      </c>
      <c r="I443" s="8">
        <f>SUMIFS(Donnees_generations!$T$3:$T$113,Donnees_generations!$A$3:$A$113,MAX(1915,MIN(2025,E443)))</f>
        <v/>
      </c>
      <c r="J443" s="8">
        <f>IF(G443&gt;=2000,MAX(I443,Parametres!$B$3),I443)</f>
        <v/>
      </c>
      <c r="K443" s="8">
        <f>IF(C443="Privé",J443,SUMIFS(Regles_regimes!$J$3:$J$2000,Regles_regimes!$A$3:$A$2000,C443,Regles_regimes!$B$3:$B$2000,D443,Regles_regimes!$C$3:$C$2000,MAX(1915,MIN(2025,E443))))</f>
        <v/>
      </c>
      <c r="L443" s="8">
        <f>IF(C443="Privé",H443,(K443-F443)*H443/(J443-F443))</f>
        <v/>
      </c>
      <c r="M443" s="77">
        <f>INT(E443+K443)</f>
        <v/>
      </c>
      <c r="N443" s="77">
        <f>G443+ROUNDUP(L443,0)-1</f>
        <v/>
      </c>
      <c r="O443" s="89">
        <f>SUMIFS(Regles_regimes!$K$3:$K$2000,Regles_regimes!$A$3:$A$2000,C443,Regles_regimes!$B$3:$B$2000,D443,Regles_regimes!$C$3:$C$2000,MAX(1915,MIN(2025,E443)))</f>
        <v/>
      </c>
      <c r="P443" s="13">
        <f>SUMIFS(Donnees_annuelles!$W$3:$W$188,Donnees_annuelles!$A$3:$A$188,"&gt;="&amp;G443,Donnees_annuelles!$A$3:$A$188,"&lt;="&amp;N443)*L443/ROUNDUP(L443,0)*O443</f>
        <v/>
      </c>
      <c r="Q443" s="13">
        <f>SUMIFS(Donnees_annuelles!$V$3:$V$188,Donnees_annuelles!$A$3:$A$188,"&gt;="&amp;G443,Donnees_annuelles!$A$3:$A$188,"&lt;="&amp;N443)*L443/ROUNDUP(L443,0)</f>
        <v/>
      </c>
      <c r="R443" s="13">
        <f>P443/L443</f>
        <v/>
      </c>
      <c r="S443" s="14">
        <f>SUMIFS(Donnees_annuelles!$D$3:$D$188,Donnees_annuelles!$A$3:$A$188,"&gt;="&amp;G443,Donnees_annuelles!$A$3:$A$188,"&lt;="&amp;N443)*L443/ROUNDUP(L443,0)</f>
        <v/>
      </c>
      <c r="T443" s="14">
        <f>SUMIFS(Donnees_regimes!$N$3:$N$1118,Donnees_regimes!$A$3:$A$1118,C443,Donnees_regimes!$B$3:$B$1118,"&gt;="&amp;G443,Donnees_regimes!$B$3:$B$1118,"&lt;="&amp;N443)*L443/ROUNDUP(L443,0)</f>
        <v/>
      </c>
      <c r="U443" s="14">
        <f>SUMIFS(Donnees_regimes!$O$3:$O$1118,Donnees_regimes!$A$3:$A$1118,C443,Donnees_regimes!$B$3:$B$1118,"&gt;="&amp;G443,Donnees_regimes!$B$3:$B$1118,"&lt;="&amp;N443)*L443/ROUNDUP(L443,0)</f>
        <v/>
      </c>
      <c r="V443" s="14">
        <f>T443+U443</f>
        <v/>
      </c>
      <c r="W443" s="33">
        <f>V443/S443</f>
        <v/>
      </c>
      <c r="X443" s="14">
        <f>S443+U443</f>
        <v/>
      </c>
      <c r="Y443" s="17">
        <f>V443/P443</f>
        <v/>
      </c>
      <c r="Z443" s="14">
        <f>SUMIFS(Donnees_regimes!$Q$3:$Q$1118,Donnees_regimes!$A$3:$A$1118,C443,Donnees_regimes!$B$3:$B$1118,"&gt;="&amp;G443,Donnees_regimes!$B$3:$B$1118,"&lt;="&amp;N443)*L443/ROUNDUP(L443,0)</f>
        <v/>
      </c>
      <c r="AA443" s="77">
        <f>SUMIFS(Regles_regimes!$F$3:$F$2000,Regles_regimes!$A$3:$A$2000,C443,Regles_regimes!$B$3:$B$2000,D443,Regles_regimes!$C$3:$C$2000,MAX(1915,MIN(2025,E443)))</f>
        <v/>
      </c>
      <c r="AB443" s="77">
        <f>IF(AND(SUMIFS(Regles_regimes!$L$3:$L$2000,Regles_regimes!$A$3:$A$2000,C443,Regles_regimes!$B$3:$B$2000,D443,Regles_regimes!$C$3:$C$2000,MAX(1915,MIN(2025,E443)))=1,G443&lt;2009,C443&lt;&gt;"Privé"),MIN(20,L443*4/5),0)</f>
        <v/>
      </c>
      <c r="AC443" s="89">
        <f>SUMIFS(Donnees_regimes!$M$3:$M$1118,Donnees_regimes!$A$3:$A$1118,C443,Donnees_regimes!$B$3:$B$1118,M443)</f>
        <v/>
      </c>
      <c r="AD443" s="14">
        <f>SUMIFS(Donnees_annuelles!$Y$3:$Y$188,Donnees_annuelles!$A$3:$A$188,M443)*SUMIFS(Donnees_generations!$I$3:$I$113,Donnees_generations!$A$3:$A$113,MAX(1915,MIN(2025,E443)))/H443</f>
        <v/>
      </c>
      <c r="AE443" s="14">
        <f>IF(C443="Privé",SUMIFS(Donnees_annuelles!$Y$3:$Y$188,Donnees_annuelles!$A$3:$A$188,M443)*MIN(L443,SUMIFS(Donnees_generations!$I$3:$I$113,Donnees_generations!$A$3:$A$113,MAX(1915,MIN(2025,E443))))/L443,AD443*AC443*MIN(IF(AB443&gt;0,0.8/0.75,1),(L443*4+AB443)/AA443))</f>
        <v/>
      </c>
      <c r="AF443" s="14">
        <f>AE443/12</f>
        <v/>
      </c>
      <c r="AG443" s="77">
        <f>MIN(68,MAX(56,2*INT(K443/2)))</f>
        <v/>
      </c>
      <c r="AH443" s="75">
        <f>(CHOOSE((AG443-56)/2+1,SUMIFS(Donnees_generations!$U$3:$U$113,Donnees_generations!$A$3:$A$113,MAX(1915,MIN(2025,E443))),SUMIFS(Donnees_generations!$V$3:$V$113,Donnees_generations!$A$3:$A$113,MAX(1915,MIN(2025,E443))),SUMIFS(Donnees_generations!$W$3:$W$113,Donnees_generations!$A$3:$A$113,MAX(1915,MIN(2025,E443))),SUMIFS(Donnees_generations!$X$3:$X$113,Donnees_generations!$A$3:$A$113,MAX(1915,MIN(2025,E443))),SUMIFS(Donnees_generations!$Y$3:$Y$113,Donnees_generations!$A$3:$A$113,MAX(1915,MIN(2025,E443))),SUMIFS(Donnees_generations!$Z$3:$Z$113,Donnees_generations!$A$3:$A$113,MAX(1915,MIN(2025,E443))),SUMIFS(Donnees_generations!$AA$3:$AA$113,Donnees_generations!$A$3:$A$113,MAX(1915,MIN(2025,E443))),SUMIFS(Donnees_generations!$AB$3:$AB$113,Donnees_generations!$A$3:$A$113,MAX(1915,MIN(2025,E443))))+CHOOSE((AG443-56)/2+1,SUMIFS(Donnees_generations!$AC$3:$AC$113,Donnees_generations!$A$3:$A$113,MAX(1915,MIN(2025,E443))),SUMIFS(Donnees_generations!$AD$3:$AD$113,Donnees_generations!$A$3:$A$113,MAX(1915,MIN(2025,E443))),SUMIFS(Donnees_generations!$AE$3:$AE$113,Donnees_generations!$A$3:$A$113,MAX(1915,MIN(2025,E443))),SUMIFS(Donnees_generations!$AF$3:$AF$113,Donnees_generations!$A$3:$A$113,MAX(1915,MIN(2025,E443))),SUMIFS(Donnees_generations!$AG$3:$AG$113,Donnees_generations!$A$3:$A$113,MAX(1915,MIN(2025,E443))),SUMIFS(Donnees_generations!$AH$3:$AH$113,Donnees_generations!$A$3:$A$113,MAX(1915,MIN(2025,E443))),SUMIFS(Donnees_generations!$AI$3:$AI$113,Donnees_generations!$A$3:$A$113,MAX(1915,MIN(2025,E443))),SUMIFS(Donnees_generations!$AJ$3:$AJ$113,Donnees_generations!$A$3:$A$113,MAX(1915,MIN(2025,E443)))))/2</f>
        <v/>
      </c>
      <c r="AI443" s="75">
        <f>(CHOOSE(((AG443+2)-56)/2+1,SUMIFS(Donnees_generations!$U$3:$U$113,Donnees_generations!$A$3:$A$113,MAX(1915,MIN(2025,E443))),SUMIFS(Donnees_generations!$V$3:$V$113,Donnees_generations!$A$3:$A$113,MAX(1915,MIN(2025,E443))),SUMIFS(Donnees_generations!$W$3:$W$113,Donnees_generations!$A$3:$A$113,MAX(1915,MIN(2025,E443))),SUMIFS(Donnees_generations!$X$3:$X$113,Donnees_generations!$A$3:$A$113,MAX(1915,MIN(2025,E443))),SUMIFS(Donnees_generations!$Y$3:$Y$113,Donnees_generations!$A$3:$A$113,MAX(1915,MIN(2025,E443))),SUMIFS(Donnees_generations!$Z$3:$Z$113,Donnees_generations!$A$3:$A$113,MAX(1915,MIN(2025,E443))),SUMIFS(Donnees_generations!$AA$3:$AA$113,Donnees_generations!$A$3:$A$113,MAX(1915,MIN(2025,E443))),SUMIFS(Donnees_generations!$AB$3:$AB$113,Donnees_generations!$A$3:$A$113,MAX(1915,MIN(2025,E443))))+CHOOSE(((AG443+2)-56)/2+1,SUMIFS(Donnees_generations!$AC$3:$AC$113,Donnees_generations!$A$3:$A$113,MAX(1915,MIN(2025,E443))),SUMIFS(Donnees_generations!$AD$3:$AD$113,Donnees_generations!$A$3:$A$113,MAX(1915,MIN(2025,E443))),SUMIFS(Donnees_generations!$AE$3:$AE$113,Donnees_generations!$A$3:$A$113,MAX(1915,MIN(2025,E443))),SUMIFS(Donnees_generations!$AF$3:$AF$113,Donnees_generations!$A$3:$A$113,MAX(1915,MIN(2025,E443))),SUMIFS(Donnees_generations!$AG$3:$AG$113,Donnees_generations!$A$3:$A$113,MAX(1915,MIN(2025,E443))),SUMIFS(Donnees_generations!$AH$3:$AH$113,Donnees_generations!$A$3:$A$113,MAX(1915,MIN(2025,E443))),SUMIFS(Donnees_generations!$AI$3:$AI$113,Donnees_generations!$A$3:$A$113,MAX(1915,MIN(2025,E443))),SUMIFS(Donnees_generations!$AJ$3:$AJ$113,Donnees_generations!$A$3:$A$113,MAX(1915,MIN(2025,E443)))))/2</f>
        <v/>
      </c>
      <c r="AJ443" s="8">
        <f>MAX(0,AH443+(AI443-AH443)*(K443-AG443)/2)</f>
        <v/>
      </c>
      <c r="AK443" s="8">
        <f>K443+AJ443</f>
        <v/>
      </c>
      <c r="AL443" s="14">
        <f>AE443*AJ443</f>
        <v/>
      </c>
      <c r="AM443" s="17">
        <f>V443/AL443</f>
        <v/>
      </c>
      <c r="AN443" s="17">
        <f>Z443/AL443</f>
        <v/>
      </c>
      <c r="AO443" s="33">
        <f>IF(V443+Z443=0,0,Z443/(V443+Z443))</f>
        <v/>
      </c>
      <c r="AP443" s="14">
        <f>AL443/V443*100</f>
        <v/>
      </c>
      <c r="AQ443" s="8">
        <f>P443/AL443*1000</f>
        <v/>
      </c>
      <c r="AR443" s="77">
        <f>MAX(N443,M443-1)</f>
        <v/>
      </c>
      <c r="AS443" s="14">
        <f>SUMIFS(Donnees_regimes!$R$3:$R$1118,Donnees_regimes!$A$3:$A$1118,C443,Donnees_regimes!$B$3:$B$1118,"&gt;="&amp;G443,Donnees_regimes!$B$3:$B$1118,"&lt;="&amp;N443)*L443/ROUNDUP(L443,0)*SUMIFS(Donnees_annuelles!$AG$3:$AG$188,Donnees_annuelles!$A$3:$A$188,AR443)*SUMIFS(Donnees_annuelles!$AA$3:$AA$188,Donnees_annuelles!$A$3:$A$188,AR443)</f>
        <v/>
      </c>
      <c r="AT443" s="36">
        <f>AS443/V443</f>
        <v/>
      </c>
      <c r="AU443" s="14">
        <f>AL443</f>
        <v/>
      </c>
      <c r="AV443" s="39">
        <f>AS443-AL443</f>
        <v/>
      </c>
      <c r="AW443" s="9">
        <f>AS443/AL443-1</f>
        <v/>
      </c>
      <c r="AX443" s="14">
        <f>AS443/AJ443/12</f>
        <v/>
      </c>
      <c r="AY443" s="14">
        <f>AF443</f>
        <v/>
      </c>
      <c r="AZ443" s="39">
        <f>AX443-AF443</f>
        <v/>
      </c>
      <c r="BA443" s="14">
        <f>SUMIFS(Donnees_regimes!$S$3:$S$1118,Donnees_regimes!$A$3:$A$1118,C443,Donnees_regimes!$B$3:$B$1118,"&gt;="&amp;G443,Donnees_regimes!$B$3:$B$1118,"&lt;="&amp;N443)*L443/ROUNDUP(L443,0)*SUMIFS(Donnees_annuelles!$AH$3:$AH$188,Donnees_annuelles!$A$3:$A$188,AR443)*SUMIFS(Donnees_annuelles!$AA$3:$AA$188,Donnees_annuelles!$A$3:$A$188,AR443)</f>
        <v/>
      </c>
      <c r="BB443" s="39">
        <f>BA443-AL443</f>
        <v/>
      </c>
      <c r="BC443" s="7">
        <f>IF(M443+AJ443&gt;2026,IF(G443&gt;2026,"entièrement projeté","en partie projeté"),"observé")</f>
        <v/>
      </c>
    </row>
    <row r="444">
      <c r="A444" s="7" t="inlineStr">
        <is>
          <t>Génération X</t>
        </is>
      </c>
      <c r="B444" s="84" t="inlineStr">
        <is>
          <t>RATP</t>
        </is>
      </c>
      <c r="C444" s="7">
        <f>IF(G444&gt;=SUMIFS(Regimes!$C$5:$C$10,Regimes!$A$5:$A$10,B444),"Privé",B444)</f>
        <v/>
      </c>
      <c r="D444" s="7">
        <f>INDEX(Regimes!$D$5:$D$10,MATCH(C444,Regimes!$A$5:$A$10,0))</f>
        <v/>
      </c>
      <c r="E444" s="88" t="n">
        <v>1977</v>
      </c>
      <c r="F444" s="8">
        <f>Donnees_generations!C65</f>
        <v/>
      </c>
      <c r="G444" s="77">
        <f>Donnees_generations!D65</f>
        <v/>
      </c>
      <c r="H444" s="8">
        <f>SUMIFS(Donnees_generations!$S$3:$S$113,Donnees_generations!$A$3:$A$113,MAX(1915,MIN(2025,E444)))</f>
        <v/>
      </c>
      <c r="I444" s="8">
        <f>SUMIFS(Donnees_generations!$T$3:$T$113,Donnees_generations!$A$3:$A$113,MAX(1915,MIN(2025,E444)))</f>
        <v/>
      </c>
      <c r="J444" s="8">
        <f>IF(G444&gt;=2000,MAX(I444,Parametres!$B$3),I444)</f>
        <v/>
      </c>
      <c r="K444" s="8">
        <f>IF(C444="Privé",J444,SUMIFS(Regles_regimes!$J$3:$J$2000,Regles_regimes!$A$3:$A$2000,C444,Regles_regimes!$B$3:$B$2000,D444,Regles_regimes!$C$3:$C$2000,MAX(1915,MIN(2025,E444))))</f>
        <v/>
      </c>
      <c r="L444" s="8">
        <f>IF(C444="Privé",H444,(K444-F444)*H444/(J444-F444))</f>
        <v/>
      </c>
      <c r="M444" s="77">
        <f>INT(E444+K444)</f>
        <v/>
      </c>
      <c r="N444" s="77">
        <f>G444+ROUNDUP(L444,0)-1</f>
        <v/>
      </c>
      <c r="O444" s="89">
        <f>SUMIFS(Regles_regimes!$K$3:$K$2000,Regles_regimes!$A$3:$A$2000,C444,Regles_regimes!$B$3:$B$2000,D444,Regles_regimes!$C$3:$C$2000,MAX(1915,MIN(2025,E444)))</f>
        <v/>
      </c>
      <c r="P444" s="13">
        <f>SUMIFS(Donnees_annuelles!$W$3:$W$188,Donnees_annuelles!$A$3:$A$188,"&gt;="&amp;G444,Donnees_annuelles!$A$3:$A$188,"&lt;="&amp;N444)*L444/ROUNDUP(L444,0)*O444</f>
        <v/>
      </c>
      <c r="Q444" s="13">
        <f>SUMIFS(Donnees_annuelles!$V$3:$V$188,Donnees_annuelles!$A$3:$A$188,"&gt;="&amp;G444,Donnees_annuelles!$A$3:$A$188,"&lt;="&amp;N444)*L444/ROUNDUP(L444,0)</f>
        <v/>
      </c>
      <c r="R444" s="13">
        <f>P444/L444</f>
        <v/>
      </c>
      <c r="S444" s="14">
        <f>SUMIFS(Donnees_annuelles!$D$3:$D$188,Donnees_annuelles!$A$3:$A$188,"&gt;="&amp;G444,Donnees_annuelles!$A$3:$A$188,"&lt;="&amp;N444)*L444/ROUNDUP(L444,0)</f>
        <v/>
      </c>
      <c r="T444" s="14">
        <f>SUMIFS(Donnees_regimes!$N$3:$N$1118,Donnees_regimes!$A$3:$A$1118,C444,Donnees_regimes!$B$3:$B$1118,"&gt;="&amp;G444,Donnees_regimes!$B$3:$B$1118,"&lt;="&amp;N444)*L444/ROUNDUP(L444,0)</f>
        <v/>
      </c>
      <c r="U444" s="14">
        <f>SUMIFS(Donnees_regimes!$O$3:$O$1118,Donnees_regimes!$A$3:$A$1118,C444,Donnees_regimes!$B$3:$B$1118,"&gt;="&amp;G444,Donnees_regimes!$B$3:$B$1118,"&lt;="&amp;N444)*L444/ROUNDUP(L444,0)</f>
        <v/>
      </c>
      <c r="V444" s="14">
        <f>T444+U444</f>
        <v/>
      </c>
      <c r="W444" s="33">
        <f>V444/S444</f>
        <v/>
      </c>
      <c r="X444" s="14">
        <f>S444+U444</f>
        <v/>
      </c>
      <c r="Y444" s="17">
        <f>V444/P444</f>
        <v/>
      </c>
      <c r="Z444" s="14">
        <f>SUMIFS(Donnees_regimes!$Q$3:$Q$1118,Donnees_regimes!$A$3:$A$1118,C444,Donnees_regimes!$B$3:$B$1118,"&gt;="&amp;G444,Donnees_regimes!$B$3:$B$1118,"&lt;="&amp;N444)*L444/ROUNDUP(L444,0)</f>
        <v/>
      </c>
      <c r="AA444" s="77">
        <f>SUMIFS(Regles_regimes!$F$3:$F$2000,Regles_regimes!$A$3:$A$2000,C444,Regles_regimes!$B$3:$B$2000,D444,Regles_regimes!$C$3:$C$2000,MAX(1915,MIN(2025,E444)))</f>
        <v/>
      </c>
      <c r="AB444" s="77">
        <f>IF(AND(SUMIFS(Regles_regimes!$L$3:$L$2000,Regles_regimes!$A$3:$A$2000,C444,Regles_regimes!$B$3:$B$2000,D444,Regles_regimes!$C$3:$C$2000,MAX(1915,MIN(2025,E444)))=1,G444&lt;2009,C444&lt;&gt;"Privé"),MIN(20,L444*4/5),0)</f>
        <v/>
      </c>
      <c r="AC444" s="89">
        <f>SUMIFS(Donnees_regimes!$M$3:$M$1118,Donnees_regimes!$A$3:$A$1118,C444,Donnees_regimes!$B$3:$B$1118,M444)</f>
        <v/>
      </c>
      <c r="AD444" s="14">
        <f>SUMIFS(Donnees_annuelles!$Y$3:$Y$188,Donnees_annuelles!$A$3:$A$188,M444)*SUMIFS(Donnees_generations!$I$3:$I$113,Donnees_generations!$A$3:$A$113,MAX(1915,MIN(2025,E444)))/H444</f>
        <v/>
      </c>
      <c r="AE444" s="14">
        <f>IF(C444="Privé",SUMIFS(Donnees_annuelles!$Y$3:$Y$188,Donnees_annuelles!$A$3:$A$188,M444)*MIN(L444,SUMIFS(Donnees_generations!$I$3:$I$113,Donnees_generations!$A$3:$A$113,MAX(1915,MIN(2025,E444))))/L444,AD444*AC444*MIN(IF(AB444&gt;0,0.8/0.75,1),(L444*4+AB444)/AA444))</f>
        <v/>
      </c>
      <c r="AF444" s="14">
        <f>AE444/12</f>
        <v/>
      </c>
      <c r="AG444" s="77">
        <f>MIN(68,MAX(56,2*INT(K444/2)))</f>
        <v/>
      </c>
      <c r="AH444" s="75">
        <f>(CHOOSE((AG444-56)/2+1,SUMIFS(Donnees_generations!$U$3:$U$113,Donnees_generations!$A$3:$A$113,MAX(1915,MIN(2025,E444))),SUMIFS(Donnees_generations!$V$3:$V$113,Donnees_generations!$A$3:$A$113,MAX(1915,MIN(2025,E444))),SUMIFS(Donnees_generations!$W$3:$W$113,Donnees_generations!$A$3:$A$113,MAX(1915,MIN(2025,E444))),SUMIFS(Donnees_generations!$X$3:$X$113,Donnees_generations!$A$3:$A$113,MAX(1915,MIN(2025,E444))),SUMIFS(Donnees_generations!$Y$3:$Y$113,Donnees_generations!$A$3:$A$113,MAX(1915,MIN(2025,E444))),SUMIFS(Donnees_generations!$Z$3:$Z$113,Donnees_generations!$A$3:$A$113,MAX(1915,MIN(2025,E444))),SUMIFS(Donnees_generations!$AA$3:$AA$113,Donnees_generations!$A$3:$A$113,MAX(1915,MIN(2025,E444))),SUMIFS(Donnees_generations!$AB$3:$AB$113,Donnees_generations!$A$3:$A$113,MAX(1915,MIN(2025,E444))))+CHOOSE((AG444-56)/2+1,SUMIFS(Donnees_generations!$AC$3:$AC$113,Donnees_generations!$A$3:$A$113,MAX(1915,MIN(2025,E444))),SUMIFS(Donnees_generations!$AD$3:$AD$113,Donnees_generations!$A$3:$A$113,MAX(1915,MIN(2025,E444))),SUMIFS(Donnees_generations!$AE$3:$AE$113,Donnees_generations!$A$3:$A$113,MAX(1915,MIN(2025,E444))),SUMIFS(Donnees_generations!$AF$3:$AF$113,Donnees_generations!$A$3:$A$113,MAX(1915,MIN(2025,E444))),SUMIFS(Donnees_generations!$AG$3:$AG$113,Donnees_generations!$A$3:$A$113,MAX(1915,MIN(2025,E444))),SUMIFS(Donnees_generations!$AH$3:$AH$113,Donnees_generations!$A$3:$A$113,MAX(1915,MIN(2025,E444))),SUMIFS(Donnees_generations!$AI$3:$AI$113,Donnees_generations!$A$3:$A$113,MAX(1915,MIN(2025,E444))),SUMIFS(Donnees_generations!$AJ$3:$AJ$113,Donnees_generations!$A$3:$A$113,MAX(1915,MIN(2025,E444)))))/2</f>
        <v/>
      </c>
      <c r="AI444" s="75">
        <f>(CHOOSE(((AG444+2)-56)/2+1,SUMIFS(Donnees_generations!$U$3:$U$113,Donnees_generations!$A$3:$A$113,MAX(1915,MIN(2025,E444))),SUMIFS(Donnees_generations!$V$3:$V$113,Donnees_generations!$A$3:$A$113,MAX(1915,MIN(2025,E444))),SUMIFS(Donnees_generations!$W$3:$W$113,Donnees_generations!$A$3:$A$113,MAX(1915,MIN(2025,E444))),SUMIFS(Donnees_generations!$X$3:$X$113,Donnees_generations!$A$3:$A$113,MAX(1915,MIN(2025,E444))),SUMIFS(Donnees_generations!$Y$3:$Y$113,Donnees_generations!$A$3:$A$113,MAX(1915,MIN(2025,E444))),SUMIFS(Donnees_generations!$Z$3:$Z$113,Donnees_generations!$A$3:$A$113,MAX(1915,MIN(2025,E444))),SUMIFS(Donnees_generations!$AA$3:$AA$113,Donnees_generations!$A$3:$A$113,MAX(1915,MIN(2025,E444))),SUMIFS(Donnees_generations!$AB$3:$AB$113,Donnees_generations!$A$3:$A$113,MAX(1915,MIN(2025,E444))))+CHOOSE(((AG444+2)-56)/2+1,SUMIFS(Donnees_generations!$AC$3:$AC$113,Donnees_generations!$A$3:$A$113,MAX(1915,MIN(2025,E444))),SUMIFS(Donnees_generations!$AD$3:$AD$113,Donnees_generations!$A$3:$A$113,MAX(1915,MIN(2025,E444))),SUMIFS(Donnees_generations!$AE$3:$AE$113,Donnees_generations!$A$3:$A$113,MAX(1915,MIN(2025,E444))),SUMIFS(Donnees_generations!$AF$3:$AF$113,Donnees_generations!$A$3:$A$113,MAX(1915,MIN(2025,E444))),SUMIFS(Donnees_generations!$AG$3:$AG$113,Donnees_generations!$A$3:$A$113,MAX(1915,MIN(2025,E444))),SUMIFS(Donnees_generations!$AH$3:$AH$113,Donnees_generations!$A$3:$A$113,MAX(1915,MIN(2025,E444))),SUMIFS(Donnees_generations!$AI$3:$AI$113,Donnees_generations!$A$3:$A$113,MAX(1915,MIN(2025,E444))),SUMIFS(Donnees_generations!$AJ$3:$AJ$113,Donnees_generations!$A$3:$A$113,MAX(1915,MIN(2025,E444)))))/2</f>
        <v/>
      </c>
      <c r="AJ444" s="8">
        <f>MAX(0,AH444+(AI444-AH444)*(K444-AG444)/2)</f>
        <v/>
      </c>
      <c r="AK444" s="8">
        <f>K444+AJ444</f>
        <v/>
      </c>
      <c r="AL444" s="14">
        <f>AE444*AJ444</f>
        <v/>
      </c>
      <c r="AM444" s="17">
        <f>V444/AL444</f>
        <v/>
      </c>
      <c r="AN444" s="17">
        <f>Z444/AL444</f>
        <v/>
      </c>
      <c r="AO444" s="33">
        <f>IF(V444+Z444=0,0,Z444/(V444+Z444))</f>
        <v/>
      </c>
      <c r="AP444" s="14">
        <f>AL444/V444*100</f>
        <v/>
      </c>
      <c r="AQ444" s="8">
        <f>P444/AL444*1000</f>
        <v/>
      </c>
      <c r="AR444" s="77">
        <f>MAX(N444,M444-1)</f>
        <v/>
      </c>
      <c r="AS444" s="14">
        <f>SUMIFS(Donnees_regimes!$R$3:$R$1118,Donnees_regimes!$A$3:$A$1118,C444,Donnees_regimes!$B$3:$B$1118,"&gt;="&amp;G444,Donnees_regimes!$B$3:$B$1118,"&lt;="&amp;N444)*L444/ROUNDUP(L444,0)*SUMIFS(Donnees_annuelles!$AG$3:$AG$188,Donnees_annuelles!$A$3:$A$188,AR444)*SUMIFS(Donnees_annuelles!$AA$3:$AA$188,Donnees_annuelles!$A$3:$A$188,AR444)</f>
        <v/>
      </c>
      <c r="AT444" s="36">
        <f>AS444/V444</f>
        <v/>
      </c>
      <c r="AU444" s="14">
        <f>AL444</f>
        <v/>
      </c>
      <c r="AV444" s="39">
        <f>AS444-AL444</f>
        <v/>
      </c>
      <c r="AW444" s="9">
        <f>AS444/AL444-1</f>
        <v/>
      </c>
      <c r="AX444" s="14">
        <f>AS444/AJ444/12</f>
        <v/>
      </c>
      <c r="AY444" s="14">
        <f>AF444</f>
        <v/>
      </c>
      <c r="AZ444" s="39">
        <f>AX444-AF444</f>
        <v/>
      </c>
      <c r="BA444" s="14">
        <f>SUMIFS(Donnees_regimes!$S$3:$S$1118,Donnees_regimes!$A$3:$A$1118,C444,Donnees_regimes!$B$3:$B$1118,"&gt;="&amp;G444,Donnees_regimes!$B$3:$B$1118,"&lt;="&amp;N444)*L444/ROUNDUP(L444,0)*SUMIFS(Donnees_annuelles!$AH$3:$AH$188,Donnees_annuelles!$A$3:$A$188,AR444)*SUMIFS(Donnees_annuelles!$AA$3:$AA$188,Donnees_annuelles!$A$3:$A$188,AR444)</f>
        <v/>
      </c>
      <c r="BB444" s="39">
        <f>BA444-AL444</f>
        <v/>
      </c>
      <c r="BC444" s="7">
        <f>IF(M444+AJ444&gt;2026,IF(G444&gt;2026,"entièrement projeté","en partie projeté"),"observé")</f>
        <v/>
      </c>
    </row>
    <row r="445">
      <c r="A445" s="7" t="inlineStr">
        <is>
          <t>Génération X</t>
        </is>
      </c>
      <c r="B445" s="84" t="inlineStr">
        <is>
          <t>RATP</t>
        </is>
      </c>
      <c r="C445" s="7">
        <f>IF(G445&gt;=SUMIFS(Regimes!$C$5:$C$10,Regimes!$A$5:$A$10,B445),"Privé",B445)</f>
        <v/>
      </c>
      <c r="D445" s="7">
        <f>INDEX(Regimes!$D$5:$D$10,MATCH(C445,Regimes!$A$5:$A$10,0))</f>
        <v/>
      </c>
      <c r="E445" s="88" t="n">
        <v>1978</v>
      </c>
      <c r="F445" s="8">
        <f>Donnees_generations!C66</f>
        <v/>
      </c>
      <c r="G445" s="77">
        <f>Donnees_generations!D66</f>
        <v/>
      </c>
      <c r="H445" s="8">
        <f>SUMIFS(Donnees_generations!$S$3:$S$113,Donnees_generations!$A$3:$A$113,MAX(1915,MIN(2025,E445)))</f>
        <v/>
      </c>
      <c r="I445" s="8">
        <f>SUMIFS(Donnees_generations!$T$3:$T$113,Donnees_generations!$A$3:$A$113,MAX(1915,MIN(2025,E445)))</f>
        <v/>
      </c>
      <c r="J445" s="8">
        <f>IF(G445&gt;=2000,MAX(I445,Parametres!$B$3),I445)</f>
        <v/>
      </c>
      <c r="K445" s="8">
        <f>IF(C445="Privé",J445,SUMIFS(Regles_regimes!$J$3:$J$2000,Regles_regimes!$A$3:$A$2000,C445,Regles_regimes!$B$3:$B$2000,D445,Regles_regimes!$C$3:$C$2000,MAX(1915,MIN(2025,E445))))</f>
        <v/>
      </c>
      <c r="L445" s="8">
        <f>IF(C445="Privé",H445,(K445-F445)*H445/(J445-F445))</f>
        <v/>
      </c>
      <c r="M445" s="77">
        <f>INT(E445+K445)</f>
        <v/>
      </c>
      <c r="N445" s="77">
        <f>G445+ROUNDUP(L445,0)-1</f>
        <v/>
      </c>
      <c r="O445" s="89">
        <f>SUMIFS(Regles_regimes!$K$3:$K$2000,Regles_regimes!$A$3:$A$2000,C445,Regles_regimes!$B$3:$B$2000,D445,Regles_regimes!$C$3:$C$2000,MAX(1915,MIN(2025,E445)))</f>
        <v/>
      </c>
      <c r="P445" s="13">
        <f>SUMIFS(Donnees_annuelles!$W$3:$W$188,Donnees_annuelles!$A$3:$A$188,"&gt;="&amp;G445,Donnees_annuelles!$A$3:$A$188,"&lt;="&amp;N445)*L445/ROUNDUP(L445,0)*O445</f>
        <v/>
      </c>
      <c r="Q445" s="13">
        <f>SUMIFS(Donnees_annuelles!$V$3:$V$188,Donnees_annuelles!$A$3:$A$188,"&gt;="&amp;G445,Donnees_annuelles!$A$3:$A$188,"&lt;="&amp;N445)*L445/ROUNDUP(L445,0)</f>
        <v/>
      </c>
      <c r="R445" s="13">
        <f>P445/L445</f>
        <v/>
      </c>
      <c r="S445" s="14">
        <f>SUMIFS(Donnees_annuelles!$D$3:$D$188,Donnees_annuelles!$A$3:$A$188,"&gt;="&amp;G445,Donnees_annuelles!$A$3:$A$188,"&lt;="&amp;N445)*L445/ROUNDUP(L445,0)</f>
        <v/>
      </c>
      <c r="T445" s="14">
        <f>SUMIFS(Donnees_regimes!$N$3:$N$1118,Donnees_regimes!$A$3:$A$1118,C445,Donnees_regimes!$B$3:$B$1118,"&gt;="&amp;G445,Donnees_regimes!$B$3:$B$1118,"&lt;="&amp;N445)*L445/ROUNDUP(L445,0)</f>
        <v/>
      </c>
      <c r="U445" s="14">
        <f>SUMIFS(Donnees_regimes!$O$3:$O$1118,Donnees_regimes!$A$3:$A$1118,C445,Donnees_regimes!$B$3:$B$1118,"&gt;="&amp;G445,Donnees_regimes!$B$3:$B$1118,"&lt;="&amp;N445)*L445/ROUNDUP(L445,0)</f>
        <v/>
      </c>
      <c r="V445" s="14">
        <f>T445+U445</f>
        <v/>
      </c>
      <c r="W445" s="33">
        <f>V445/S445</f>
        <v/>
      </c>
      <c r="X445" s="14">
        <f>S445+U445</f>
        <v/>
      </c>
      <c r="Y445" s="17">
        <f>V445/P445</f>
        <v/>
      </c>
      <c r="Z445" s="14">
        <f>SUMIFS(Donnees_regimes!$Q$3:$Q$1118,Donnees_regimes!$A$3:$A$1118,C445,Donnees_regimes!$B$3:$B$1118,"&gt;="&amp;G445,Donnees_regimes!$B$3:$B$1118,"&lt;="&amp;N445)*L445/ROUNDUP(L445,0)</f>
        <v/>
      </c>
      <c r="AA445" s="77">
        <f>SUMIFS(Regles_regimes!$F$3:$F$2000,Regles_regimes!$A$3:$A$2000,C445,Regles_regimes!$B$3:$B$2000,D445,Regles_regimes!$C$3:$C$2000,MAX(1915,MIN(2025,E445)))</f>
        <v/>
      </c>
      <c r="AB445" s="77">
        <f>IF(AND(SUMIFS(Regles_regimes!$L$3:$L$2000,Regles_regimes!$A$3:$A$2000,C445,Regles_regimes!$B$3:$B$2000,D445,Regles_regimes!$C$3:$C$2000,MAX(1915,MIN(2025,E445)))=1,G445&lt;2009,C445&lt;&gt;"Privé"),MIN(20,L445*4/5),0)</f>
        <v/>
      </c>
      <c r="AC445" s="89">
        <f>SUMIFS(Donnees_regimes!$M$3:$M$1118,Donnees_regimes!$A$3:$A$1118,C445,Donnees_regimes!$B$3:$B$1118,M445)</f>
        <v/>
      </c>
      <c r="AD445" s="14">
        <f>SUMIFS(Donnees_annuelles!$Y$3:$Y$188,Donnees_annuelles!$A$3:$A$188,M445)*SUMIFS(Donnees_generations!$I$3:$I$113,Donnees_generations!$A$3:$A$113,MAX(1915,MIN(2025,E445)))/H445</f>
        <v/>
      </c>
      <c r="AE445" s="14">
        <f>IF(C445="Privé",SUMIFS(Donnees_annuelles!$Y$3:$Y$188,Donnees_annuelles!$A$3:$A$188,M445)*MIN(L445,SUMIFS(Donnees_generations!$I$3:$I$113,Donnees_generations!$A$3:$A$113,MAX(1915,MIN(2025,E445))))/L445,AD445*AC445*MIN(IF(AB445&gt;0,0.8/0.75,1),(L445*4+AB445)/AA445))</f>
        <v/>
      </c>
      <c r="AF445" s="14">
        <f>AE445/12</f>
        <v/>
      </c>
      <c r="AG445" s="77">
        <f>MIN(68,MAX(56,2*INT(K445/2)))</f>
        <v/>
      </c>
      <c r="AH445" s="75">
        <f>(CHOOSE((AG445-56)/2+1,SUMIFS(Donnees_generations!$U$3:$U$113,Donnees_generations!$A$3:$A$113,MAX(1915,MIN(2025,E445))),SUMIFS(Donnees_generations!$V$3:$V$113,Donnees_generations!$A$3:$A$113,MAX(1915,MIN(2025,E445))),SUMIFS(Donnees_generations!$W$3:$W$113,Donnees_generations!$A$3:$A$113,MAX(1915,MIN(2025,E445))),SUMIFS(Donnees_generations!$X$3:$X$113,Donnees_generations!$A$3:$A$113,MAX(1915,MIN(2025,E445))),SUMIFS(Donnees_generations!$Y$3:$Y$113,Donnees_generations!$A$3:$A$113,MAX(1915,MIN(2025,E445))),SUMIFS(Donnees_generations!$Z$3:$Z$113,Donnees_generations!$A$3:$A$113,MAX(1915,MIN(2025,E445))),SUMIFS(Donnees_generations!$AA$3:$AA$113,Donnees_generations!$A$3:$A$113,MAX(1915,MIN(2025,E445))),SUMIFS(Donnees_generations!$AB$3:$AB$113,Donnees_generations!$A$3:$A$113,MAX(1915,MIN(2025,E445))))+CHOOSE((AG445-56)/2+1,SUMIFS(Donnees_generations!$AC$3:$AC$113,Donnees_generations!$A$3:$A$113,MAX(1915,MIN(2025,E445))),SUMIFS(Donnees_generations!$AD$3:$AD$113,Donnees_generations!$A$3:$A$113,MAX(1915,MIN(2025,E445))),SUMIFS(Donnees_generations!$AE$3:$AE$113,Donnees_generations!$A$3:$A$113,MAX(1915,MIN(2025,E445))),SUMIFS(Donnees_generations!$AF$3:$AF$113,Donnees_generations!$A$3:$A$113,MAX(1915,MIN(2025,E445))),SUMIFS(Donnees_generations!$AG$3:$AG$113,Donnees_generations!$A$3:$A$113,MAX(1915,MIN(2025,E445))),SUMIFS(Donnees_generations!$AH$3:$AH$113,Donnees_generations!$A$3:$A$113,MAX(1915,MIN(2025,E445))),SUMIFS(Donnees_generations!$AI$3:$AI$113,Donnees_generations!$A$3:$A$113,MAX(1915,MIN(2025,E445))),SUMIFS(Donnees_generations!$AJ$3:$AJ$113,Donnees_generations!$A$3:$A$113,MAX(1915,MIN(2025,E445)))))/2</f>
        <v/>
      </c>
      <c r="AI445" s="75">
        <f>(CHOOSE(((AG445+2)-56)/2+1,SUMIFS(Donnees_generations!$U$3:$U$113,Donnees_generations!$A$3:$A$113,MAX(1915,MIN(2025,E445))),SUMIFS(Donnees_generations!$V$3:$V$113,Donnees_generations!$A$3:$A$113,MAX(1915,MIN(2025,E445))),SUMIFS(Donnees_generations!$W$3:$W$113,Donnees_generations!$A$3:$A$113,MAX(1915,MIN(2025,E445))),SUMIFS(Donnees_generations!$X$3:$X$113,Donnees_generations!$A$3:$A$113,MAX(1915,MIN(2025,E445))),SUMIFS(Donnees_generations!$Y$3:$Y$113,Donnees_generations!$A$3:$A$113,MAX(1915,MIN(2025,E445))),SUMIFS(Donnees_generations!$Z$3:$Z$113,Donnees_generations!$A$3:$A$113,MAX(1915,MIN(2025,E445))),SUMIFS(Donnees_generations!$AA$3:$AA$113,Donnees_generations!$A$3:$A$113,MAX(1915,MIN(2025,E445))),SUMIFS(Donnees_generations!$AB$3:$AB$113,Donnees_generations!$A$3:$A$113,MAX(1915,MIN(2025,E445))))+CHOOSE(((AG445+2)-56)/2+1,SUMIFS(Donnees_generations!$AC$3:$AC$113,Donnees_generations!$A$3:$A$113,MAX(1915,MIN(2025,E445))),SUMIFS(Donnees_generations!$AD$3:$AD$113,Donnees_generations!$A$3:$A$113,MAX(1915,MIN(2025,E445))),SUMIFS(Donnees_generations!$AE$3:$AE$113,Donnees_generations!$A$3:$A$113,MAX(1915,MIN(2025,E445))),SUMIFS(Donnees_generations!$AF$3:$AF$113,Donnees_generations!$A$3:$A$113,MAX(1915,MIN(2025,E445))),SUMIFS(Donnees_generations!$AG$3:$AG$113,Donnees_generations!$A$3:$A$113,MAX(1915,MIN(2025,E445))),SUMIFS(Donnees_generations!$AH$3:$AH$113,Donnees_generations!$A$3:$A$113,MAX(1915,MIN(2025,E445))),SUMIFS(Donnees_generations!$AI$3:$AI$113,Donnees_generations!$A$3:$A$113,MAX(1915,MIN(2025,E445))),SUMIFS(Donnees_generations!$AJ$3:$AJ$113,Donnees_generations!$A$3:$A$113,MAX(1915,MIN(2025,E445)))))/2</f>
        <v/>
      </c>
      <c r="AJ445" s="8">
        <f>MAX(0,AH445+(AI445-AH445)*(K445-AG445)/2)</f>
        <v/>
      </c>
      <c r="AK445" s="8">
        <f>K445+AJ445</f>
        <v/>
      </c>
      <c r="AL445" s="14">
        <f>AE445*AJ445</f>
        <v/>
      </c>
      <c r="AM445" s="17">
        <f>V445/AL445</f>
        <v/>
      </c>
      <c r="AN445" s="17">
        <f>Z445/AL445</f>
        <v/>
      </c>
      <c r="AO445" s="33">
        <f>IF(V445+Z445=0,0,Z445/(V445+Z445))</f>
        <v/>
      </c>
      <c r="AP445" s="14">
        <f>AL445/V445*100</f>
        <v/>
      </c>
      <c r="AQ445" s="8">
        <f>P445/AL445*1000</f>
        <v/>
      </c>
      <c r="AR445" s="77">
        <f>MAX(N445,M445-1)</f>
        <v/>
      </c>
      <c r="AS445" s="14">
        <f>SUMIFS(Donnees_regimes!$R$3:$R$1118,Donnees_regimes!$A$3:$A$1118,C445,Donnees_regimes!$B$3:$B$1118,"&gt;="&amp;G445,Donnees_regimes!$B$3:$B$1118,"&lt;="&amp;N445)*L445/ROUNDUP(L445,0)*SUMIFS(Donnees_annuelles!$AG$3:$AG$188,Donnees_annuelles!$A$3:$A$188,AR445)*SUMIFS(Donnees_annuelles!$AA$3:$AA$188,Donnees_annuelles!$A$3:$A$188,AR445)</f>
        <v/>
      </c>
      <c r="AT445" s="36">
        <f>AS445/V445</f>
        <v/>
      </c>
      <c r="AU445" s="14">
        <f>AL445</f>
        <v/>
      </c>
      <c r="AV445" s="39">
        <f>AS445-AL445</f>
        <v/>
      </c>
      <c r="AW445" s="9">
        <f>AS445/AL445-1</f>
        <v/>
      </c>
      <c r="AX445" s="14">
        <f>AS445/AJ445/12</f>
        <v/>
      </c>
      <c r="AY445" s="14">
        <f>AF445</f>
        <v/>
      </c>
      <c r="AZ445" s="39">
        <f>AX445-AF445</f>
        <v/>
      </c>
      <c r="BA445" s="14">
        <f>SUMIFS(Donnees_regimes!$S$3:$S$1118,Donnees_regimes!$A$3:$A$1118,C445,Donnees_regimes!$B$3:$B$1118,"&gt;="&amp;G445,Donnees_regimes!$B$3:$B$1118,"&lt;="&amp;N445)*L445/ROUNDUP(L445,0)*SUMIFS(Donnees_annuelles!$AH$3:$AH$188,Donnees_annuelles!$A$3:$A$188,AR445)*SUMIFS(Donnees_annuelles!$AA$3:$AA$188,Donnees_annuelles!$A$3:$A$188,AR445)</f>
        <v/>
      </c>
      <c r="BB445" s="39">
        <f>BA445-AL445</f>
        <v/>
      </c>
      <c r="BC445" s="7">
        <f>IF(M445+AJ445&gt;2026,IF(G445&gt;2026,"entièrement projeté","en partie projeté"),"observé")</f>
        <v/>
      </c>
    </row>
    <row r="446">
      <c r="A446" s="7" t="inlineStr">
        <is>
          <t>Génération X</t>
        </is>
      </c>
      <c r="B446" s="84" t="inlineStr">
        <is>
          <t>RATP</t>
        </is>
      </c>
      <c r="C446" s="7">
        <f>IF(G446&gt;=SUMIFS(Regimes!$C$5:$C$10,Regimes!$A$5:$A$10,B446),"Privé",B446)</f>
        <v/>
      </c>
      <c r="D446" s="7">
        <f>INDEX(Regimes!$D$5:$D$10,MATCH(C446,Regimes!$A$5:$A$10,0))</f>
        <v/>
      </c>
      <c r="E446" s="88" t="n">
        <v>1979</v>
      </c>
      <c r="F446" s="8">
        <f>Donnees_generations!C67</f>
        <v/>
      </c>
      <c r="G446" s="77">
        <f>Donnees_generations!D67</f>
        <v/>
      </c>
      <c r="H446" s="8">
        <f>SUMIFS(Donnees_generations!$S$3:$S$113,Donnees_generations!$A$3:$A$113,MAX(1915,MIN(2025,E446)))</f>
        <v/>
      </c>
      <c r="I446" s="8">
        <f>SUMIFS(Donnees_generations!$T$3:$T$113,Donnees_generations!$A$3:$A$113,MAX(1915,MIN(2025,E446)))</f>
        <v/>
      </c>
      <c r="J446" s="8">
        <f>IF(G446&gt;=2000,MAX(I446,Parametres!$B$3),I446)</f>
        <v/>
      </c>
      <c r="K446" s="8">
        <f>IF(C446="Privé",J446,SUMIFS(Regles_regimes!$J$3:$J$2000,Regles_regimes!$A$3:$A$2000,C446,Regles_regimes!$B$3:$B$2000,D446,Regles_regimes!$C$3:$C$2000,MAX(1915,MIN(2025,E446))))</f>
        <v/>
      </c>
      <c r="L446" s="8">
        <f>IF(C446="Privé",H446,(K446-F446)*H446/(J446-F446))</f>
        <v/>
      </c>
      <c r="M446" s="77">
        <f>INT(E446+K446)</f>
        <v/>
      </c>
      <c r="N446" s="77">
        <f>G446+ROUNDUP(L446,0)-1</f>
        <v/>
      </c>
      <c r="O446" s="89">
        <f>SUMIFS(Regles_regimes!$K$3:$K$2000,Regles_regimes!$A$3:$A$2000,C446,Regles_regimes!$B$3:$B$2000,D446,Regles_regimes!$C$3:$C$2000,MAX(1915,MIN(2025,E446)))</f>
        <v/>
      </c>
      <c r="P446" s="13">
        <f>SUMIFS(Donnees_annuelles!$W$3:$W$188,Donnees_annuelles!$A$3:$A$188,"&gt;="&amp;G446,Donnees_annuelles!$A$3:$A$188,"&lt;="&amp;N446)*L446/ROUNDUP(L446,0)*O446</f>
        <v/>
      </c>
      <c r="Q446" s="13">
        <f>SUMIFS(Donnees_annuelles!$V$3:$V$188,Donnees_annuelles!$A$3:$A$188,"&gt;="&amp;G446,Donnees_annuelles!$A$3:$A$188,"&lt;="&amp;N446)*L446/ROUNDUP(L446,0)</f>
        <v/>
      </c>
      <c r="R446" s="13">
        <f>P446/L446</f>
        <v/>
      </c>
      <c r="S446" s="14">
        <f>SUMIFS(Donnees_annuelles!$D$3:$D$188,Donnees_annuelles!$A$3:$A$188,"&gt;="&amp;G446,Donnees_annuelles!$A$3:$A$188,"&lt;="&amp;N446)*L446/ROUNDUP(L446,0)</f>
        <v/>
      </c>
      <c r="T446" s="14">
        <f>SUMIFS(Donnees_regimes!$N$3:$N$1118,Donnees_regimes!$A$3:$A$1118,C446,Donnees_regimes!$B$3:$B$1118,"&gt;="&amp;G446,Donnees_regimes!$B$3:$B$1118,"&lt;="&amp;N446)*L446/ROUNDUP(L446,0)</f>
        <v/>
      </c>
      <c r="U446" s="14">
        <f>SUMIFS(Donnees_regimes!$O$3:$O$1118,Donnees_regimes!$A$3:$A$1118,C446,Donnees_regimes!$B$3:$B$1118,"&gt;="&amp;G446,Donnees_regimes!$B$3:$B$1118,"&lt;="&amp;N446)*L446/ROUNDUP(L446,0)</f>
        <v/>
      </c>
      <c r="V446" s="14">
        <f>T446+U446</f>
        <v/>
      </c>
      <c r="W446" s="33">
        <f>V446/S446</f>
        <v/>
      </c>
      <c r="X446" s="14">
        <f>S446+U446</f>
        <v/>
      </c>
      <c r="Y446" s="17">
        <f>V446/P446</f>
        <v/>
      </c>
      <c r="Z446" s="14">
        <f>SUMIFS(Donnees_regimes!$Q$3:$Q$1118,Donnees_regimes!$A$3:$A$1118,C446,Donnees_regimes!$B$3:$B$1118,"&gt;="&amp;G446,Donnees_regimes!$B$3:$B$1118,"&lt;="&amp;N446)*L446/ROUNDUP(L446,0)</f>
        <v/>
      </c>
      <c r="AA446" s="77">
        <f>SUMIFS(Regles_regimes!$F$3:$F$2000,Regles_regimes!$A$3:$A$2000,C446,Regles_regimes!$B$3:$B$2000,D446,Regles_regimes!$C$3:$C$2000,MAX(1915,MIN(2025,E446)))</f>
        <v/>
      </c>
      <c r="AB446" s="77">
        <f>IF(AND(SUMIFS(Regles_regimes!$L$3:$L$2000,Regles_regimes!$A$3:$A$2000,C446,Regles_regimes!$B$3:$B$2000,D446,Regles_regimes!$C$3:$C$2000,MAX(1915,MIN(2025,E446)))=1,G446&lt;2009,C446&lt;&gt;"Privé"),MIN(20,L446*4/5),0)</f>
        <v/>
      </c>
      <c r="AC446" s="89">
        <f>SUMIFS(Donnees_regimes!$M$3:$M$1118,Donnees_regimes!$A$3:$A$1118,C446,Donnees_regimes!$B$3:$B$1118,M446)</f>
        <v/>
      </c>
      <c r="AD446" s="14">
        <f>SUMIFS(Donnees_annuelles!$Y$3:$Y$188,Donnees_annuelles!$A$3:$A$188,M446)*SUMIFS(Donnees_generations!$I$3:$I$113,Donnees_generations!$A$3:$A$113,MAX(1915,MIN(2025,E446)))/H446</f>
        <v/>
      </c>
      <c r="AE446" s="14">
        <f>IF(C446="Privé",SUMIFS(Donnees_annuelles!$Y$3:$Y$188,Donnees_annuelles!$A$3:$A$188,M446)*MIN(L446,SUMIFS(Donnees_generations!$I$3:$I$113,Donnees_generations!$A$3:$A$113,MAX(1915,MIN(2025,E446))))/L446,AD446*AC446*MIN(IF(AB446&gt;0,0.8/0.75,1),(L446*4+AB446)/AA446))</f>
        <v/>
      </c>
      <c r="AF446" s="14">
        <f>AE446/12</f>
        <v/>
      </c>
      <c r="AG446" s="77">
        <f>MIN(68,MAX(56,2*INT(K446/2)))</f>
        <v/>
      </c>
      <c r="AH446" s="75">
        <f>(CHOOSE((AG446-56)/2+1,SUMIFS(Donnees_generations!$U$3:$U$113,Donnees_generations!$A$3:$A$113,MAX(1915,MIN(2025,E446))),SUMIFS(Donnees_generations!$V$3:$V$113,Donnees_generations!$A$3:$A$113,MAX(1915,MIN(2025,E446))),SUMIFS(Donnees_generations!$W$3:$W$113,Donnees_generations!$A$3:$A$113,MAX(1915,MIN(2025,E446))),SUMIFS(Donnees_generations!$X$3:$X$113,Donnees_generations!$A$3:$A$113,MAX(1915,MIN(2025,E446))),SUMIFS(Donnees_generations!$Y$3:$Y$113,Donnees_generations!$A$3:$A$113,MAX(1915,MIN(2025,E446))),SUMIFS(Donnees_generations!$Z$3:$Z$113,Donnees_generations!$A$3:$A$113,MAX(1915,MIN(2025,E446))),SUMIFS(Donnees_generations!$AA$3:$AA$113,Donnees_generations!$A$3:$A$113,MAX(1915,MIN(2025,E446))),SUMIFS(Donnees_generations!$AB$3:$AB$113,Donnees_generations!$A$3:$A$113,MAX(1915,MIN(2025,E446))))+CHOOSE((AG446-56)/2+1,SUMIFS(Donnees_generations!$AC$3:$AC$113,Donnees_generations!$A$3:$A$113,MAX(1915,MIN(2025,E446))),SUMIFS(Donnees_generations!$AD$3:$AD$113,Donnees_generations!$A$3:$A$113,MAX(1915,MIN(2025,E446))),SUMIFS(Donnees_generations!$AE$3:$AE$113,Donnees_generations!$A$3:$A$113,MAX(1915,MIN(2025,E446))),SUMIFS(Donnees_generations!$AF$3:$AF$113,Donnees_generations!$A$3:$A$113,MAX(1915,MIN(2025,E446))),SUMIFS(Donnees_generations!$AG$3:$AG$113,Donnees_generations!$A$3:$A$113,MAX(1915,MIN(2025,E446))),SUMIFS(Donnees_generations!$AH$3:$AH$113,Donnees_generations!$A$3:$A$113,MAX(1915,MIN(2025,E446))),SUMIFS(Donnees_generations!$AI$3:$AI$113,Donnees_generations!$A$3:$A$113,MAX(1915,MIN(2025,E446))),SUMIFS(Donnees_generations!$AJ$3:$AJ$113,Donnees_generations!$A$3:$A$113,MAX(1915,MIN(2025,E446)))))/2</f>
        <v/>
      </c>
      <c r="AI446" s="75">
        <f>(CHOOSE(((AG446+2)-56)/2+1,SUMIFS(Donnees_generations!$U$3:$U$113,Donnees_generations!$A$3:$A$113,MAX(1915,MIN(2025,E446))),SUMIFS(Donnees_generations!$V$3:$V$113,Donnees_generations!$A$3:$A$113,MAX(1915,MIN(2025,E446))),SUMIFS(Donnees_generations!$W$3:$W$113,Donnees_generations!$A$3:$A$113,MAX(1915,MIN(2025,E446))),SUMIFS(Donnees_generations!$X$3:$X$113,Donnees_generations!$A$3:$A$113,MAX(1915,MIN(2025,E446))),SUMIFS(Donnees_generations!$Y$3:$Y$113,Donnees_generations!$A$3:$A$113,MAX(1915,MIN(2025,E446))),SUMIFS(Donnees_generations!$Z$3:$Z$113,Donnees_generations!$A$3:$A$113,MAX(1915,MIN(2025,E446))),SUMIFS(Donnees_generations!$AA$3:$AA$113,Donnees_generations!$A$3:$A$113,MAX(1915,MIN(2025,E446))),SUMIFS(Donnees_generations!$AB$3:$AB$113,Donnees_generations!$A$3:$A$113,MAX(1915,MIN(2025,E446))))+CHOOSE(((AG446+2)-56)/2+1,SUMIFS(Donnees_generations!$AC$3:$AC$113,Donnees_generations!$A$3:$A$113,MAX(1915,MIN(2025,E446))),SUMIFS(Donnees_generations!$AD$3:$AD$113,Donnees_generations!$A$3:$A$113,MAX(1915,MIN(2025,E446))),SUMIFS(Donnees_generations!$AE$3:$AE$113,Donnees_generations!$A$3:$A$113,MAX(1915,MIN(2025,E446))),SUMIFS(Donnees_generations!$AF$3:$AF$113,Donnees_generations!$A$3:$A$113,MAX(1915,MIN(2025,E446))),SUMIFS(Donnees_generations!$AG$3:$AG$113,Donnees_generations!$A$3:$A$113,MAX(1915,MIN(2025,E446))),SUMIFS(Donnees_generations!$AH$3:$AH$113,Donnees_generations!$A$3:$A$113,MAX(1915,MIN(2025,E446))),SUMIFS(Donnees_generations!$AI$3:$AI$113,Donnees_generations!$A$3:$A$113,MAX(1915,MIN(2025,E446))),SUMIFS(Donnees_generations!$AJ$3:$AJ$113,Donnees_generations!$A$3:$A$113,MAX(1915,MIN(2025,E446)))))/2</f>
        <v/>
      </c>
      <c r="AJ446" s="8">
        <f>MAX(0,AH446+(AI446-AH446)*(K446-AG446)/2)</f>
        <v/>
      </c>
      <c r="AK446" s="8">
        <f>K446+AJ446</f>
        <v/>
      </c>
      <c r="AL446" s="14">
        <f>AE446*AJ446</f>
        <v/>
      </c>
      <c r="AM446" s="17">
        <f>V446/AL446</f>
        <v/>
      </c>
      <c r="AN446" s="17">
        <f>Z446/AL446</f>
        <v/>
      </c>
      <c r="AO446" s="33">
        <f>IF(V446+Z446=0,0,Z446/(V446+Z446))</f>
        <v/>
      </c>
      <c r="AP446" s="14">
        <f>AL446/V446*100</f>
        <v/>
      </c>
      <c r="AQ446" s="8">
        <f>P446/AL446*1000</f>
        <v/>
      </c>
      <c r="AR446" s="77">
        <f>MAX(N446,M446-1)</f>
        <v/>
      </c>
      <c r="AS446" s="14">
        <f>SUMIFS(Donnees_regimes!$R$3:$R$1118,Donnees_regimes!$A$3:$A$1118,C446,Donnees_regimes!$B$3:$B$1118,"&gt;="&amp;G446,Donnees_regimes!$B$3:$B$1118,"&lt;="&amp;N446)*L446/ROUNDUP(L446,0)*SUMIFS(Donnees_annuelles!$AG$3:$AG$188,Donnees_annuelles!$A$3:$A$188,AR446)*SUMIFS(Donnees_annuelles!$AA$3:$AA$188,Donnees_annuelles!$A$3:$A$188,AR446)</f>
        <v/>
      </c>
      <c r="AT446" s="36">
        <f>AS446/V446</f>
        <v/>
      </c>
      <c r="AU446" s="14">
        <f>AL446</f>
        <v/>
      </c>
      <c r="AV446" s="39">
        <f>AS446-AL446</f>
        <v/>
      </c>
      <c r="AW446" s="9">
        <f>AS446/AL446-1</f>
        <v/>
      </c>
      <c r="AX446" s="14">
        <f>AS446/AJ446/12</f>
        <v/>
      </c>
      <c r="AY446" s="14">
        <f>AF446</f>
        <v/>
      </c>
      <c r="AZ446" s="39">
        <f>AX446-AF446</f>
        <v/>
      </c>
      <c r="BA446" s="14">
        <f>SUMIFS(Donnees_regimes!$S$3:$S$1118,Donnees_regimes!$A$3:$A$1118,C446,Donnees_regimes!$B$3:$B$1118,"&gt;="&amp;G446,Donnees_regimes!$B$3:$B$1118,"&lt;="&amp;N446)*L446/ROUNDUP(L446,0)*SUMIFS(Donnees_annuelles!$AH$3:$AH$188,Donnees_annuelles!$A$3:$A$188,AR446)*SUMIFS(Donnees_annuelles!$AA$3:$AA$188,Donnees_annuelles!$A$3:$A$188,AR446)</f>
        <v/>
      </c>
      <c r="BB446" s="39">
        <f>BA446-AL446</f>
        <v/>
      </c>
      <c r="BC446" s="7">
        <f>IF(M446+AJ446&gt;2026,IF(G446&gt;2026,"entièrement projeté","en partie projeté"),"observé")</f>
        <v/>
      </c>
    </row>
    <row r="447">
      <c r="A447" s="7" t="inlineStr">
        <is>
          <t>Génération X</t>
        </is>
      </c>
      <c r="B447" s="84" t="inlineStr">
        <is>
          <t>RATP</t>
        </is>
      </c>
      <c r="C447" s="7">
        <f>IF(G447&gt;=SUMIFS(Regimes!$C$5:$C$10,Regimes!$A$5:$A$10,B447),"Privé",B447)</f>
        <v/>
      </c>
      <c r="D447" s="7">
        <f>INDEX(Regimes!$D$5:$D$10,MATCH(C447,Regimes!$A$5:$A$10,0))</f>
        <v/>
      </c>
      <c r="E447" s="88" t="n">
        <v>1980</v>
      </c>
      <c r="F447" s="8">
        <f>Donnees_generations!C68</f>
        <v/>
      </c>
      <c r="G447" s="77">
        <f>Donnees_generations!D68</f>
        <v/>
      </c>
      <c r="H447" s="8">
        <f>SUMIFS(Donnees_generations!$S$3:$S$113,Donnees_generations!$A$3:$A$113,MAX(1915,MIN(2025,E447)))</f>
        <v/>
      </c>
      <c r="I447" s="8">
        <f>SUMIFS(Donnees_generations!$T$3:$T$113,Donnees_generations!$A$3:$A$113,MAX(1915,MIN(2025,E447)))</f>
        <v/>
      </c>
      <c r="J447" s="8">
        <f>IF(G447&gt;=2000,MAX(I447,Parametres!$B$3),I447)</f>
        <v/>
      </c>
      <c r="K447" s="8">
        <f>IF(C447="Privé",J447,SUMIFS(Regles_regimes!$J$3:$J$2000,Regles_regimes!$A$3:$A$2000,C447,Regles_regimes!$B$3:$B$2000,D447,Regles_regimes!$C$3:$C$2000,MAX(1915,MIN(2025,E447))))</f>
        <v/>
      </c>
      <c r="L447" s="8">
        <f>IF(C447="Privé",H447,(K447-F447)*H447/(J447-F447))</f>
        <v/>
      </c>
      <c r="M447" s="77">
        <f>INT(E447+K447)</f>
        <v/>
      </c>
      <c r="N447" s="77">
        <f>G447+ROUNDUP(L447,0)-1</f>
        <v/>
      </c>
      <c r="O447" s="89">
        <f>SUMIFS(Regles_regimes!$K$3:$K$2000,Regles_regimes!$A$3:$A$2000,C447,Regles_regimes!$B$3:$B$2000,D447,Regles_regimes!$C$3:$C$2000,MAX(1915,MIN(2025,E447)))</f>
        <v/>
      </c>
      <c r="P447" s="13">
        <f>SUMIFS(Donnees_annuelles!$W$3:$W$188,Donnees_annuelles!$A$3:$A$188,"&gt;="&amp;G447,Donnees_annuelles!$A$3:$A$188,"&lt;="&amp;N447)*L447/ROUNDUP(L447,0)*O447</f>
        <v/>
      </c>
      <c r="Q447" s="13">
        <f>SUMIFS(Donnees_annuelles!$V$3:$V$188,Donnees_annuelles!$A$3:$A$188,"&gt;="&amp;G447,Donnees_annuelles!$A$3:$A$188,"&lt;="&amp;N447)*L447/ROUNDUP(L447,0)</f>
        <v/>
      </c>
      <c r="R447" s="13">
        <f>P447/L447</f>
        <v/>
      </c>
      <c r="S447" s="14">
        <f>SUMIFS(Donnees_annuelles!$D$3:$D$188,Donnees_annuelles!$A$3:$A$188,"&gt;="&amp;G447,Donnees_annuelles!$A$3:$A$188,"&lt;="&amp;N447)*L447/ROUNDUP(L447,0)</f>
        <v/>
      </c>
      <c r="T447" s="14">
        <f>SUMIFS(Donnees_regimes!$N$3:$N$1118,Donnees_regimes!$A$3:$A$1118,C447,Donnees_regimes!$B$3:$B$1118,"&gt;="&amp;G447,Donnees_regimes!$B$3:$B$1118,"&lt;="&amp;N447)*L447/ROUNDUP(L447,0)</f>
        <v/>
      </c>
      <c r="U447" s="14">
        <f>SUMIFS(Donnees_regimes!$O$3:$O$1118,Donnees_regimes!$A$3:$A$1118,C447,Donnees_regimes!$B$3:$B$1118,"&gt;="&amp;G447,Donnees_regimes!$B$3:$B$1118,"&lt;="&amp;N447)*L447/ROUNDUP(L447,0)</f>
        <v/>
      </c>
      <c r="V447" s="14">
        <f>T447+U447</f>
        <v/>
      </c>
      <c r="W447" s="33">
        <f>V447/S447</f>
        <v/>
      </c>
      <c r="X447" s="14">
        <f>S447+U447</f>
        <v/>
      </c>
      <c r="Y447" s="17">
        <f>V447/P447</f>
        <v/>
      </c>
      <c r="Z447" s="14">
        <f>SUMIFS(Donnees_regimes!$Q$3:$Q$1118,Donnees_regimes!$A$3:$A$1118,C447,Donnees_regimes!$B$3:$B$1118,"&gt;="&amp;G447,Donnees_regimes!$B$3:$B$1118,"&lt;="&amp;N447)*L447/ROUNDUP(L447,0)</f>
        <v/>
      </c>
      <c r="AA447" s="77">
        <f>SUMIFS(Regles_regimes!$F$3:$F$2000,Regles_regimes!$A$3:$A$2000,C447,Regles_regimes!$B$3:$B$2000,D447,Regles_regimes!$C$3:$C$2000,MAX(1915,MIN(2025,E447)))</f>
        <v/>
      </c>
      <c r="AB447" s="77">
        <f>IF(AND(SUMIFS(Regles_regimes!$L$3:$L$2000,Regles_regimes!$A$3:$A$2000,C447,Regles_regimes!$B$3:$B$2000,D447,Regles_regimes!$C$3:$C$2000,MAX(1915,MIN(2025,E447)))=1,G447&lt;2009,C447&lt;&gt;"Privé"),MIN(20,L447*4/5),0)</f>
        <v/>
      </c>
      <c r="AC447" s="89">
        <f>SUMIFS(Donnees_regimes!$M$3:$M$1118,Donnees_regimes!$A$3:$A$1118,C447,Donnees_regimes!$B$3:$B$1118,M447)</f>
        <v/>
      </c>
      <c r="AD447" s="14">
        <f>SUMIFS(Donnees_annuelles!$Y$3:$Y$188,Donnees_annuelles!$A$3:$A$188,M447)*SUMIFS(Donnees_generations!$I$3:$I$113,Donnees_generations!$A$3:$A$113,MAX(1915,MIN(2025,E447)))/H447</f>
        <v/>
      </c>
      <c r="AE447" s="14">
        <f>IF(C447="Privé",SUMIFS(Donnees_annuelles!$Y$3:$Y$188,Donnees_annuelles!$A$3:$A$188,M447)*MIN(L447,SUMIFS(Donnees_generations!$I$3:$I$113,Donnees_generations!$A$3:$A$113,MAX(1915,MIN(2025,E447))))/L447,AD447*AC447*MIN(IF(AB447&gt;0,0.8/0.75,1),(L447*4+AB447)/AA447))</f>
        <v/>
      </c>
      <c r="AF447" s="14">
        <f>AE447/12</f>
        <v/>
      </c>
      <c r="AG447" s="77">
        <f>MIN(68,MAX(56,2*INT(K447/2)))</f>
        <v/>
      </c>
      <c r="AH447" s="75">
        <f>(CHOOSE((AG447-56)/2+1,SUMIFS(Donnees_generations!$U$3:$U$113,Donnees_generations!$A$3:$A$113,MAX(1915,MIN(2025,E447))),SUMIFS(Donnees_generations!$V$3:$V$113,Donnees_generations!$A$3:$A$113,MAX(1915,MIN(2025,E447))),SUMIFS(Donnees_generations!$W$3:$W$113,Donnees_generations!$A$3:$A$113,MAX(1915,MIN(2025,E447))),SUMIFS(Donnees_generations!$X$3:$X$113,Donnees_generations!$A$3:$A$113,MAX(1915,MIN(2025,E447))),SUMIFS(Donnees_generations!$Y$3:$Y$113,Donnees_generations!$A$3:$A$113,MAX(1915,MIN(2025,E447))),SUMIFS(Donnees_generations!$Z$3:$Z$113,Donnees_generations!$A$3:$A$113,MAX(1915,MIN(2025,E447))),SUMIFS(Donnees_generations!$AA$3:$AA$113,Donnees_generations!$A$3:$A$113,MAX(1915,MIN(2025,E447))),SUMIFS(Donnees_generations!$AB$3:$AB$113,Donnees_generations!$A$3:$A$113,MAX(1915,MIN(2025,E447))))+CHOOSE((AG447-56)/2+1,SUMIFS(Donnees_generations!$AC$3:$AC$113,Donnees_generations!$A$3:$A$113,MAX(1915,MIN(2025,E447))),SUMIFS(Donnees_generations!$AD$3:$AD$113,Donnees_generations!$A$3:$A$113,MAX(1915,MIN(2025,E447))),SUMIFS(Donnees_generations!$AE$3:$AE$113,Donnees_generations!$A$3:$A$113,MAX(1915,MIN(2025,E447))),SUMIFS(Donnees_generations!$AF$3:$AF$113,Donnees_generations!$A$3:$A$113,MAX(1915,MIN(2025,E447))),SUMIFS(Donnees_generations!$AG$3:$AG$113,Donnees_generations!$A$3:$A$113,MAX(1915,MIN(2025,E447))),SUMIFS(Donnees_generations!$AH$3:$AH$113,Donnees_generations!$A$3:$A$113,MAX(1915,MIN(2025,E447))),SUMIFS(Donnees_generations!$AI$3:$AI$113,Donnees_generations!$A$3:$A$113,MAX(1915,MIN(2025,E447))),SUMIFS(Donnees_generations!$AJ$3:$AJ$113,Donnees_generations!$A$3:$A$113,MAX(1915,MIN(2025,E447)))))/2</f>
        <v/>
      </c>
      <c r="AI447" s="75">
        <f>(CHOOSE(((AG447+2)-56)/2+1,SUMIFS(Donnees_generations!$U$3:$U$113,Donnees_generations!$A$3:$A$113,MAX(1915,MIN(2025,E447))),SUMIFS(Donnees_generations!$V$3:$V$113,Donnees_generations!$A$3:$A$113,MAX(1915,MIN(2025,E447))),SUMIFS(Donnees_generations!$W$3:$W$113,Donnees_generations!$A$3:$A$113,MAX(1915,MIN(2025,E447))),SUMIFS(Donnees_generations!$X$3:$X$113,Donnees_generations!$A$3:$A$113,MAX(1915,MIN(2025,E447))),SUMIFS(Donnees_generations!$Y$3:$Y$113,Donnees_generations!$A$3:$A$113,MAX(1915,MIN(2025,E447))),SUMIFS(Donnees_generations!$Z$3:$Z$113,Donnees_generations!$A$3:$A$113,MAX(1915,MIN(2025,E447))),SUMIFS(Donnees_generations!$AA$3:$AA$113,Donnees_generations!$A$3:$A$113,MAX(1915,MIN(2025,E447))),SUMIFS(Donnees_generations!$AB$3:$AB$113,Donnees_generations!$A$3:$A$113,MAX(1915,MIN(2025,E447))))+CHOOSE(((AG447+2)-56)/2+1,SUMIFS(Donnees_generations!$AC$3:$AC$113,Donnees_generations!$A$3:$A$113,MAX(1915,MIN(2025,E447))),SUMIFS(Donnees_generations!$AD$3:$AD$113,Donnees_generations!$A$3:$A$113,MAX(1915,MIN(2025,E447))),SUMIFS(Donnees_generations!$AE$3:$AE$113,Donnees_generations!$A$3:$A$113,MAX(1915,MIN(2025,E447))),SUMIFS(Donnees_generations!$AF$3:$AF$113,Donnees_generations!$A$3:$A$113,MAX(1915,MIN(2025,E447))),SUMIFS(Donnees_generations!$AG$3:$AG$113,Donnees_generations!$A$3:$A$113,MAX(1915,MIN(2025,E447))),SUMIFS(Donnees_generations!$AH$3:$AH$113,Donnees_generations!$A$3:$A$113,MAX(1915,MIN(2025,E447))),SUMIFS(Donnees_generations!$AI$3:$AI$113,Donnees_generations!$A$3:$A$113,MAX(1915,MIN(2025,E447))),SUMIFS(Donnees_generations!$AJ$3:$AJ$113,Donnees_generations!$A$3:$A$113,MAX(1915,MIN(2025,E447)))))/2</f>
        <v/>
      </c>
      <c r="AJ447" s="8">
        <f>MAX(0,AH447+(AI447-AH447)*(K447-AG447)/2)</f>
        <v/>
      </c>
      <c r="AK447" s="8">
        <f>K447+AJ447</f>
        <v/>
      </c>
      <c r="AL447" s="14">
        <f>AE447*AJ447</f>
        <v/>
      </c>
      <c r="AM447" s="17">
        <f>V447/AL447</f>
        <v/>
      </c>
      <c r="AN447" s="17">
        <f>Z447/AL447</f>
        <v/>
      </c>
      <c r="AO447" s="33">
        <f>IF(V447+Z447=0,0,Z447/(V447+Z447))</f>
        <v/>
      </c>
      <c r="AP447" s="14">
        <f>AL447/V447*100</f>
        <v/>
      </c>
      <c r="AQ447" s="8">
        <f>P447/AL447*1000</f>
        <v/>
      </c>
      <c r="AR447" s="77">
        <f>MAX(N447,M447-1)</f>
        <v/>
      </c>
      <c r="AS447" s="14">
        <f>SUMIFS(Donnees_regimes!$R$3:$R$1118,Donnees_regimes!$A$3:$A$1118,C447,Donnees_regimes!$B$3:$B$1118,"&gt;="&amp;G447,Donnees_regimes!$B$3:$B$1118,"&lt;="&amp;N447)*L447/ROUNDUP(L447,0)*SUMIFS(Donnees_annuelles!$AG$3:$AG$188,Donnees_annuelles!$A$3:$A$188,AR447)*SUMIFS(Donnees_annuelles!$AA$3:$AA$188,Donnees_annuelles!$A$3:$A$188,AR447)</f>
        <v/>
      </c>
      <c r="AT447" s="36">
        <f>AS447/V447</f>
        <v/>
      </c>
      <c r="AU447" s="14">
        <f>AL447</f>
        <v/>
      </c>
      <c r="AV447" s="39">
        <f>AS447-AL447</f>
        <v/>
      </c>
      <c r="AW447" s="9">
        <f>AS447/AL447-1</f>
        <v/>
      </c>
      <c r="AX447" s="14">
        <f>AS447/AJ447/12</f>
        <v/>
      </c>
      <c r="AY447" s="14">
        <f>AF447</f>
        <v/>
      </c>
      <c r="AZ447" s="39">
        <f>AX447-AF447</f>
        <v/>
      </c>
      <c r="BA447" s="14">
        <f>SUMIFS(Donnees_regimes!$S$3:$S$1118,Donnees_regimes!$A$3:$A$1118,C447,Donnees_regimes!$B$3:$B$1118,"&gt;="&amp;G447,Donnees_regimes!$B$3:$B$1118,"&lt;="&amp;N447)*L447/ROUNDUP(L447,0)*SUMIFS(Donnees_annuelles!$AH$3:$AH$188,Donnees_annuelles!$A$3:$A$188,AR447)*SUMIFS(Donnees_annuelles!$AA$3:$AA$188,Donnees_annuelles!$A$3:$A$188,AR447)</f>
        <v/>
      </c>
      <c r="BB447" s="39">
        <f>BA447-AL447</f>
        <v/>
      </c>
      <c r="BC447" s="7">
        <f>IF(M447+AJ447&gt;2026,IF(G447&gt;2026,"entièrement projeté","en partie projeté"),"observé")</f>
        <v/>
      </c>
    </row>
    <row r="448">
      <c r="A448" s="7" t="inlineStr">
        <is>
          <t>Génération Y</t>
        </is>
      </c>
      <c r="B448" s="84" t="inlineStr">
        <is>
          <t>RATP</t>
        </is>
      </c>
      <c r="C448" s="7">
        <f>IF(G448&gt;=SUMIFS(Regimes!$C$5:$C$10,Regimes!$A$5:$A$10,B448),"Privé",B448)</f>
        <v/>
      </c>
      <c r="D448" s="7">
        <f>INDEX(Regimes!$D$5:$D$10,MATCH(C448,Regimes!$A$5:$A$10,0))</f>
        <v/>
      </c>
      <c r="E448" s="88" t="n">
        <v>1981</v>
      </c>
      <c r="F448" s="8">
        <f>Donnees_generations!C69</f>
        <v/>
      </c>
      <c r="G448" s="77">
        <f>Donnees_generations!D69</f>
        <v/>
      </c>
      <c r="H448" s="8">
        <f>SUMIFS(Donnees_generations!$S$3:$S$113,Donnees_generations!$A$3:$A$113,MAX(1915,MIN(2025,E448)))</f>
        <v/>
      </c>
      <c r="I448" s="8">
        <f>SUMIFS(Donnees_generations!$T$3:$T$113,Donnees_generations!$A$3:$A$113,MAX(1915,MIN(2025,E448)))</f>
        <v/>
      </c>
      <c r="J448" s="8">
        <f>IF(G448&gt;=2000,MAX(I448,Parametres!$B$3),I448)</f>
        <v/>
      </c>
      <c r="K448" s="8">
        <f>IF(C448="Privé",J448,SUMIFS(Regles_regimes!$J$3:$J$2000,Regles_regimes!$A$3:$A$2000,C448,Regles_regimes!$B$3:$B$2000,D448,Regles_regimes!$C$3:$C$2000,MAX(1915,MIN(2025,E448))))</f>
        <v/>
      </c>
      <c r="L448" s="8">
        <f>IF(C448="Privé",H448,(K448-F448)*H448/(J448-F448))</f>
        <v/>
      </c>
      <c r="M448" s="77">
        <f>INT(E448+K448)</f>
        <v/>
      </c>
      <c r="N448" s="77">
        <f>G448+ROUNDUP(L448,0)-1</f>
        <v/>
      </c>
      <c r="O448" s="89">
        <f>SUMIFS(Regles_regimes!$K$3:$K$2000,Regles_regimes!$A$3:$A$2000,C448,Regles_regimes!$B$3:$B$2000,D448,Regles_regimes!$C$3:$C$2000,MAX(1915,MIN(2025,E448)))</f>
        <v/>
      </c>
      <c r="P448" s="13">
        <f>SUMIFS(Donnees_annuelles!$W$3:$W$188,Donnees_annuelles!$A$3:$A$188,"&gt;="&amp;G448,Donnees_annuelles!$A$3:$A$188,"&lt;="&amp;N448)*L448/ROUNDUP(L448,0)*O448</f>
        <v/>
      </c>
      <c r="Q448" s="13">
        <f>SUMIFS(Donnees_annuelles!$V$3:$V$188,Donnees_annuelles!$A$3:$A$188,"&gt;="&amp;G448,Donnees_annuelles!$A$3:$A$188,"&lt;="&amp;N448)*L448/ROUNDUP(L448,0)</f>
        <v/>
      </c>
      <c r="R448" s="13">
        <f>P448/L448</f>
        <v/>
      </c>
      <c r="S448" s="14">
        <f>SUMIFS(Donnees_annuelles!$D$3:$D$188,Donnees_annuelles!$A$3:$A$188,"&gt;="&amp;G448,Donnees_annuelles!$A$3:$A$188,"&lt;="&amp;N448)*L448/ROUNDUP(L448,0)</f>
        <v/>
      </c>
      <c r="T448" s="14">
        <f>SUMIFS(Donnees_regimes!$N$3:$N$1118,Donnees_regimes!$A$3:$A$1118,C448,Donnees_regimes!$B$3:$B$1118,"&gt;="&amp;G448,Donnees_regimes!$B$3:$B$1118,"&lt;="&amp;N448)*L448/ROUNDUP(L448,0)</f>
        <v/>
      </c>
      <c r="U448" s="14">
        <f>SUMIFS(Donnees_regimes!$O$3:$O$1118,Donnees_regimes!$A$3:$A$1118,C448,Donnees_regimes!$B$3:$B$1118,"&gt;="&amp;G448,Donnees_regimes!$B$3:$B$1118,"&lt;="&amp;N448)*L448/ROUNDUP(L448,0)</f>
        <v/>
      </c>
      <c r="V448" s="14">
        <f>T448+U448</f>
        <v/>
      </c>
      <c r="W448" s="33">
        <f>V448/S448</f>
        <v/>
      </c>
      <c r="X448" s="14">
        <f>S448+U448</f>
        <v/>
      </c>
      <c r="Y448" s="17">
        <f>V448/P448</f>
        <v/>
      </c>
      <c r="Z448" s="14">
        <f>SUMIFS(Donnees_regimes!$Q$3:$Q$1118,Donnees_regimes!$A$3:$A$1118,C448,Donnees_regimes!$B$3:$B$1118,"&gt;="&amp;G448,Donnees_regimes!$B$3:$B$1118,"&lt;="&amp;N448)*L448/ROUNDUP(L448,0)</f>
        <v/>
      </c>
      <c r="AA448" s="77">
        <f>SUMIFS(Regles_regimes!$F$3:$F$2000,Regles_regimes!$A$3:$A$2000,C448,Regles_regimes!$B$3:$B$2000,D448,Regles_regimes!$C$3:$C$2000,MAX(1915,MIN(2025,E448)))</f>
        <v/>
      </c>
      <c r="AB448" s="77">
        <f>IF(AND(SUMIFS(Regles_regimes!$L$3:$L$2000,Regles_regimes!$A$3:$A$2000,C448,Regles_regimes!$B$3:$B$2000,D448,Regles_regimes!$C$3:$C$2000,MAX(1915,MIN(2025,E448)))=1,G448&lt;2009,C448&lt;&gt;"Privé"),MIN(20,L448*4/5),0)</f>
        <v/>
      </c>
      <c r="AC448" s="89">
        <f>SUMIFS(Donnees_regimes!$M$3:$M$1118,Donnees_regimes!$A$3:$A$1118,C448,Donnees_regimes!$B$3:$B$1118,M448)</f>
        <v/>
      </c>
      <c r="AD448" s="14">
        <f>SUMIFS(Donnees_annuelles!$Y$3:$Y$188,Donnees_annuelles!$A$3:$A$188,M448)*SUMIFS(Donnees_generations!$I$3:$I$113,Donnees_generations!$A$3:$A$113,MAX(1915,MIN(2025,E448)))/H448</f>
        <v/>
      </c>
      <c r="AE448" s="14">
        <f>IF(C448="Privé",SUMIFS(Donnees_annuelles!$Y$3:$Y$188,Donnees_annuelles!$A$3:$A$188,M448)*MIN(L448,SUMIFS(Donnees_generations!$I$3:$I$113,Donnees_generations!$A$3:$A$113,MAX(1915,MIN(2025,E448))))/L448,AD448*AC448*MIN(IF(AB448&gt;0,0.8/0.75,1),(L448*4+AB448)/AA448))</f>
        <v/>
      </c>
      <c r="AF448" s="14">
        <f>AE448/12</f>
        <v/>
      </c>
      <c r="AG448" s="77">
        <f>MIN(68,MAX(56,2*INT(K448/2)))</f>
        <v/>
      </c>
      <c r="AH448" s="75">
        <f>(CHOOSE((AG448-56)/2+1,SUMIFS(Donnees_generations!$U$3:$U$113,Donnees_generations!$A$3:$A$113,MAX(1915,MIN(2025,E448))),SUMIFS(Donnees_generations!$V$3:$V$113,Donnees_generations!$A$3:$A$113,MAX(1915,MIN(2025,E448))),SUMIFS(Donnees_generations!$W$3:$W$113,Donnees_generations!$A$3:$A$113,MAX(1915,MIN(2025,E448))),SUMIFS(Donnees_generations!$X$3:$X$113,Donnees_generations!$A$3:$A$113,MAX(1915,MIN(2025,E448))),SUMIFS(Donnees_generations!$Y$3:$Y$113,Donnees_generations!$A$3:$A$113,MAX(1915,MIN(2025,E448))),SUMIFS(Donnees_generations!$Z$3:$Z$113,Donnees_generations!$A$3:$A$113,MAX(1915,MIN(2025,E448))),SUMIFS(Donnees_generations!$AA$3:$AA$113,Donnees_generations!$A$3:$A$113,MAX(1915,MIN(2025,E448))),SUMIFS(Donnees_generations!$AB$3:$AB$113,Donnees_generations!$A$3:$A$113,MAX(1915,MIN(2025,E448))))+CHOOSE((AG448-56)/2+1,SUMIFS(Donnees_generations!$AC$3:$AC$113,Donnees_generations!$A$3:$A$113,MAX(1915,MIN(2025,E448))),SUMIFS(Donnees_generations!$AD$3:$AD$113,Donnees_generations!$A$3:$A$113,MAX(1915,MIN(2025,E448))),SUMIFS(Donnees_generations!$AE$3:$AE$113,Donnees_generations!$A$3:$A$113,MAX(1915,MIN(2025,E448))),SUMIFS(Donnees_generations!$AF$3:$AF$113,Donnees_generations!$A$3:$A$113,MAX(1915,MIN(2025,E448))),SUMIFS(Donnees_generations!$AG$3:$AG$113,Donnees_generations!$A$3:$A$113,MAX(1915,MIN(2025,E448))),SUMIFS(Donnees_generations!$AH$3:$AH$113,Donnees_generations!$A$3:$A$113,MAX(1915,MIN(2025,E448))),SUMIFS(Donnees_generations!$AI$3:$AI$113,Donnees_generations!$A$3:$A$113,MAX(1915,MIN(2025,E448))),SUMIFS(Donnees_generations!$AJ$3:$AJ$113,Donnees_generations!$A$3:$A$113,MAX(1915,MIN(2025,E448)))))/2</f>
        <v/>
      </c>
      <c r="AI448" s="75">
        <f>(CHOOSE(((AG448+2)-56)/2+1,SUMIFS(Donnees_generations!$U$3:$U$113,Donnees_generations!$A$3:$A$113,MAX(1915,MIN(2025,E448))),SUMIFS(Donnees_generations!$V$3:$V$113,Donnees_generations!$A$3:$A$113,MAX(1915,MIN(2025,E448))),SUMIFS(Donnees_generations!$W$3:$W$113,Donnees_generations!$A$3:$A$113,MAX(1915,MIN(2025,E448))),SUMIFS(Donnees_generations!$X$3:$X$113,Donnees_generations!$A$3:$A$113,MAX(1915,MIN(2025,E448))),SUMIFS(Donnees_generations!$Y$3:$Y$113,Donnees_generations!$A$3:$A$113,MAX(1915,MIN(2025,E448))),SUMIFS(Donnees_generations!$Z$3:$Z$113,Donnees_generations!$A$3:$A$113,MAX(1915,MIN(2025,E448))),SUMIFS(Donnees_generations!$AA$3:$AA$113,Donnees_generations!$A$3:$A$113,MAX(1915,MIN(2025,E448))),SUMIFS(Donnees_generations!$AB$3:$AB$113,Donnees_generations!$A$3:$A$113,MAX(1915,MIN(2025,E448))))+CHOOSE(((AG448+2)-56)/2+1,SUMIFS(Donnees_generations!$AC$3:$AC$113,Donnees_generations!$A$3:$A$113,MAX(1915,MIN(2025,E448))),SUMIFS(Donnees_generations!$AD$3:$AD$113,Donnees_generations!$A$3:$A$113,MAX(1915,MIN(2025,E448))),SUMIFS(Donnees_generations!$AE$3:$AE$113,Donnees_generations!$A$3:$A$113,MAX(1915,MIN(2025,E448))),SUMIFS(Donnees_generations!$AF$3:$AF$113,Donnees_generations!$A$3:$A$113,MAX(1915,MIN(2025,E448))),SUMIFS(Donnees_generations!$AG$3:$AG$113,Donnees_generations!$A$3:$A$113,MAX(1915,MIN(2025,E448))),SUMIFS(Donnees_generations!$AH$3:$AH$113,Donnees_generations!$A$3:$A$113,MAX(1915,MIN(2025,E448))),SUMIFS(Donnees_generations!$AI$3:$AI$113,Donnees_generations!$A$3:$A$113,MAX(1915,MIN(2025,E448))),SUMIFS(Donnees_generations!$AJ$3:$AJ$113,Donnees_generations!$A$3:$A$113,MAX(1915,MIN(2025,E448)))))/2</f>
        <v/>
      </c>
      <c r="AJ448" s="8">
        <f>MAX(0,AH448+(AI448-AH448)*(K448-AG448)/2)</f>
        <v/>
      </c>
      <c r="AK448" s="8">
        <f>K448+AJ448</f>
        <v/>
      </c>
      <c r="AL448" s="14">
        <f>AE448*AJ448</f>
        <v/>
      </c>
      <c r="AM448" s="17">
        <f>V448/AL448</f>
        <v/>
      </c>
      <c r="AN448" s="17">
        <f>Z448/AL448</f>
        <v/>
      </c>
      <c r="AO448" s="33">
        <f>IF(V448+Z448=0,0,Z448/(V448+Z448))</f>
        <v/>
      </c>
      <c r="AP448" s="14">
        <f>AL448/V448*100</f>
        <v/>
      </c>
      <c r="AQ448" s="8">
        <f>P448/AL448*1000</f>
        <v/>
      </c>
      <c r="AR448" s="77">
        <f>MAX(N448,M448-1)</f>
        <v/>
      </c>
      <c r="AS448" s="14">
        <f>SUMIFS(Donnees_regimes!$R$3:$R$1118,Donnees_regimes!$A$3:$A$1118,C448,Donnees_regimes!$B$3:$B$1118,"&gt;="&amp;G448,Donnees_regimes!$B$3:$B$1118,"&lt;="&amp;N448)*L448/ROUNDUP(L448,0)*SUMIFS(Donnees_annuelles!$AG$3:$AG$188,Donnees_annuelles!$A$3:$A$188,AR448)*SUMIFS(Donnees_annuelles!$AA$3:$AA$188,Donnees_annuelles!$A$3:$A$188,AR448)</f>
        <v/>
      </c>
      <c r="AT448" s="36">
        <f>AS448/V448</f>
        <v/>
      </c>
      <c r="AU448" s="14">
        <f>AL448</f>
        <v/>
      </c>
      <c r="AV448" s="39">
        <f>AS448-AL448</f>
        <v/>
      </c>
      <c r="AW448" s="9">
        <f>AS448/AL448-1</f>
        <v/>
      </c>
      <c r="AX448" s="14">
        <f>AS448/AJ448/12</f>
        <v/>
      </c>
      <c r="AY448" s="14">
        <f>AF448</f>
        <v/>
      </c>
      <c r="AZ448" s="39">
        <f>AX448-AF448</f>
        <v/>
      </c>
      <c r="BA448" s="14">
        <f>SUMIFS(Donnees_regimes!$S$3:$S$1118,Donnees_regimes!$A$3:$A$1118,C448,Donnees_regimes!$B$3:$B$1118,"&gt;="&amp;G448,Donnees_regimes!$B$3:$B$1118,"&lt;="&amp;N448)*L448/ROUNDUP(L448,0)*SUMIFS(Donnees_annuelles!$AH$3:$AH$188,Donnees_annuelles!$A$3:$A$188,AR448)*SUMIFS(Donnees_annuelles!$AA$3:$AA$188,Donnees_annuelles!$A$3:$A$188,AR448)</f>
        <v/>
      </c>
      <c r="BB448" s="39">
        <f>BA448-AL448</f>
        <v/>
      </c>
      <c r="BC448" s="7">
        <f>IF(M448+AJ448&gt;2026,IF(G448&gt;2026,"entièrement projeté","en partie projeté"),"observé")</f>
        <v/>
      </c>
    </row>
    <row r="449">
      <c r="A449" s="7" t="inlineStr">
        <is>
          <t>Génération Y</t>
        </is>
      </c>
      <c r="B449" s="84" t="inlineStr">
        <is>
          <t>RATP</t>
        </is>
      </c>
      <c r="C449" s="7">
        <f>IF(G449&gt;=SUMIFS(Regimes!$C$5:$C$10,Regimes!$A$5:$A$10,B449),"Privé",B449)</f>
        <v/>
      </c>
      <c r="D449" s="7">
        <f>INDEX(Regimes!$D$5:$D$10,MATCH(C449,Regimes!$A$5:$A$10,0))</f>
        <v/>
      </c>
      <c r="E449" s="88" t="n">
        <v>1982</v>
      </c>
      <c r="F449" s="8">
        <f>Donnees_generations!C70</f>
        <v/>
      </c>
      <c r="G449" s="77">
        <f>Donnees_generations!D70</f>
        <v/>
      </c>
      <c r="H449" s="8">
        <f>SUMIFS(Donnees_generations!$S$3:$S$113,Donnees_generations!$A$3:$A$113,MAX(1915,MIN(2025,E449)))</f>
        <v/>
      </c>
      <c r="I449" s="8">
        <f>SUMIFS(Donnees_generations!$T$3:$T$113,Donnees_generations!$A$3:$A$113,MAX(1915,MIN(2025,E449)))</f>
        <v/>
      </c>
      <c r="J449" s="8">
        <f>IF(G449&gt;=2000,MAX(I449,Parametres!$B$3),I449)</f>
        <v/>
      </c>
      <c r="K449" s="8">
        <f>IF(C449="Privé",J449,SUMIFS(Regles_regimes!$J$3:$J$2000,Regles_regimes!$A$3:$A$2000,C449,Regles_regimes!$B$3:$B$2000,D449,Regles_regimes!$C$3:$C$2000,MAX(1915,MIN(2025,E449))))</f>
        <v/>
      </c>
      <c r="L449" s="8">
        <f>IF(C449="Privé",H449,(K449-F449)*H449/(J449-F449))</f>
        <v/>
      </c>
      <c r="M449" s="77">
        <f>INT(E449+K449)</f>
        <v/>
      </c>
      <c r="N449" s="77">
        <f>G449+ROUNDUP(L449,0)-1</f>
        <v/>
      </c>
      <c r="O449" s="89">
        <f>SUMIFS(Regles_regimes!$K$3:$K$2000,Regles_regimes!$A$3:$A$2000,C449,Regles_regimes!$B$3:$B$2000,D449,Regles_regimes!$C$3:$C$2000,MAX(1915,MIN(2025,E449)))</f>
        <v/>
      </c>
      <c r="P449" s="13">
        <f>SUMIFS(Donnees_annuelles!$W$3:$W$188,Donnees_annuelles!$A$3:$A$188,"&gt;="&amp;G449,Donnees_annuelles!$A$3:$A$188,"&lt;="&amp;N449)*L449/ROUNDUP(L449,0)*O449</f>
        <v/>
      </c>
      <c r="Q449" s="13">
        <f>SUMIFS(Donnees_annuelles!$V$3:$V$188,Donnees_annuelles!$A$3:$A$188,"&gt;="&amp;G449,Donnees_annuelles!$A$3:$A$188,"&lt;="&amp;N449)*L449/ROUNDUP(L449,0)</f>
        <v/>
      </c>
      <c r="R449" s="13">
        <f>P449/L449</f>
        <v/>
      </c>
      <c r="S449" s="14">
        <f>SUMIFS(Donnees_annuelles!$D$3:$D$188,Donnees_annuelles!$A$3:$A$188,"&gt;="&amp;G449,Donnees_annuelles!$A$3:$A$188,"&lt;="&amp;N449)*L449/ROUNDUP(L449,0)</f>
        <v/>
      </c>
      <c r="T449" s="14">
        <f>SUMIFS(Donnees_regimes!$N$3:$N$1118,Donnees_regimes!$A$3:$A$1118,C449,Donnees_regimes!$B$3:$B$1118,"&gt;="&amp;G449,Donnees_regimes!$B$3:$B$1118,"&lt;="&amp;N449)*L449/ROUNDUP(L449,0)</f>
        <v/>
      </c>
      <c r="U449" s="14">
        <f>SUMIFS(Donnees_regimes!$O$3:$O$1118,Donnees_regimes!$A$3:$A$1118,C449,Donnees_regimes!$B$3:$B$1118,"&gt;="&amp;G449,Donnees_regimes!$B$3:$B$1118,"&lt;="&amp;N449)*L449/ROUNDUP(L449,0)</f>
        <v/>
      </c>
      <c r="V449" s="14">
        <f>T449+U449</f>
        <v/>
      </c>
      <c r="W449" s="33">
        <f>V449/S449</f>
        <v/>
      </c>
      <c r="X449" s="14">
        <f>S449+U449</f>
        <v/>
      </c>
      <c r="Y449" s="17">
        <f>V449/P449</f>
        <v/>
      </c>
      <c r="Z449" s="14">
        <f>SUMIFS(Donnees_regimes!$Q$3:$Q$1118,Donnees_regimes!$A$3:$A$1118,C449,Donnees_regimes!$B$3:$B$1118,"&gt;="&amp;G449,Donnees_regimes!$B$3:$B$1118,"&lt;="&amp;N449)*L449/ROUNDUP(L449,0)</f>
        <v/>
      </c>
      <c r="AA449" s="77">
        <f>SUMIFS(Regles_regimes!$F$3:$F$2000,Regles_regimes!$A$3:$A$2000,C449,Regles_regimes!$B$3:$B$2000,D449,Regles_regimes!$C$3:$C$2000,MAX(1915,MIN(2025,E449)))</f>
        <v/>
      </c>
      <c r="AB449" s="77">
        <f>IF(AND(SUMIFS(Regles_regimes!$L$3:$L$2000,Regles_regimes!$A$3:$A$2000,C449,Regles_regimes!$B$3:$B$2000,D449,Regles_regimes!$C$3:$C$2000,MAX(1915,MIN(2025,E449)))=1,G449&lt;2009,C449&lt;&gt;"Privé"),MIN(20,L449*4/5),0)</f>
        <v/>
      </c>
      <c r="AC449" s="89">
        <f>SUMIFS(Donnees_regimes!$M$3:$M$1118,Donnees_regimes!$A$3:$A$1118,C449,Donnees_regimes!$B$3:$B$1118,M449)</f>
        <v/>
      </c>
      <c r="AD449" s="14">
        <f>SUMIFS(Donnees_annuelles!$Y$3:$Y$188,Donnees_annuelles!$A$3:$A$188,M449)*SUMIFS(Donnees_generations!$I$3:$I$113,Donnees_generations!$A$3:$A$113,MAX(1915,MIN(2025,E449)))/H449</f>
        <v/>
      </c>
      <c r="AE449" s="14">
        <f>IF(C449="Privé",SUMIFS(Donnees_annuelles!$Y$3:$Y$188,Donnees_annuelles!$A$3:$A$188,M449)*MIN(L449,SUMIFS(Donnees_generations!$I$3:$I$113,Donnees_generations!$A$3:$A$113,MAX(1915,MIN(2025,E449))))/L449,AD449*AC449*MIN(IF(AB449&gt;0,0.8/0.75,1),(L449*4+AB449)/AA449))</f>
        <v/>
      </c>
      <c r="AF449" s="14">
        <f>AE449/12</f>
        <v/>
      </c>
      <c r="AG449" s="77">
        <f>MIN(68,MAX(56,2*INT(K449/2)))</f>
        <v/>
      </c>
      <c r="AH449" s="75">
        <f>(CHOOSE((AG449-56)/2+1,SUMIFS(Donnees_generations!$U$3:$U$113,Donnees_generations!$A$3:$A$113,MAX(1915,MIN(2025,E449))),SUMIFS(Donnees_generations!$V$3:$V$113,Donnees_generations!$A$3:$A$113,MAX(1915,MIN(2025,E449))),SUMIFS(Donnees_generations!$W$3:$W$113,Donnees_generations!$A$3:$A$113,MAX(1915,MIN(2025,E449))),SUMIFS(Donnees_generations!$X$3:$X$113,Donnees_generations!$A$3:$A$113,MAX(1915,MIN(2025,E449))),SUMIFS(Donnees_generations!$Y$3:$Y$113,Donnees_generations!$A$3:$A$113,MAX(1915,MIN(2025,E449))),SUMIFS(Donnees_generations!$Z$3:$Z$113,Donnees_generations!$A$3:$A$113,MAX(1915,MIN(2025,E449))),SUMIFS(Donnees_generations!$AA$3:$AA$113,Donnees_generations!$A$3:$A$113,MAX(1915,MIN(2025,E449))),SUMIFS(Donnees_generations!$AB$3:$AB$113,Donnees_generations!$A$3:$A$113,MAX(1915,MIN(2025,E449))))+CHOOSE((AG449-56)/2+1,SUMIFS(Donnees_generations!$AC$3:$AC$113,Donnees_generations!$A$3:$A$113,MAX(1915,MIN(2025,E449))),SUMIFS(Donnees_generations!$AD$3:$AD$113,Donnees_generations!$A$3:$A$113,MAX(1915,MIN(2025,E449))),SUMIFS(Donnees_generations!$AE$3:$AE$113,Donnees_generations!$A$3:$A$113,MAX(1915,MIN(2025,E449))),SUMIFS(Donnees_generations!$AF$3:$AF$113,Donnees_generations!$A$3:$A$113,MAX(1915,MIN(2025,E449))),SUMIFS(Donnees_generations!$AG$3:$AG$113,Donnees_generations!$A$3:$A$113,MAX(1915,MIN(2025,E449))),SUMIFS(Donnees_generations!$AH$3:$AH$113,Donnees_generations!$A$3:$A$113,MAX(1915,MIN(2025,E449))),SUMIFS(Donnees_generations!$AI$3:$AI$113,Donnees_generations!$A$3:$A$113,MAX(1915,MIN(2025,E449))),SUMIFS(Donnees_generations!$AJ$3:$AJ$113,Donnees_generations!$A$3:$A$113,MAX(1915,MIN(2025,E449)))))/2</f>
        <v/>
      </c>
      <c r="AI449" s="75">
        <f>(CHOOSE(((AG449+2)-56)/2+1,SUMIFS(Donnees_generations!$U$3:$U$113,Donnees_generations!$A$3:$A$113,MAX(1915,MIN(2025,E449))),SUMIFS(Donnees_generations!$V$3:$V$113,Donnees_generations!$A$3:$A$113,MAX(1915,MIN(2025,E449))),SUMIFS(Donnees_generations!$W$3:$W$113,Donnees_generations!$A$3:$A$113,MAX(1915,MIN(2025,E449))),SUMIFS(Donnees_generations!$X$3:$X$113,Donnees_generations!$A$3:$A$113,MAX(1915,MIN(2025,E449))),SUMIFS(Donnees_generations!$Y$3:$Y$113,Donnees_generations!$A$3:$A$113,MAX(1915,MIN(2025,E449))),SUMIFS(Donnees_generations!$Z$3:$Z$113,Donnees_generations!$A$3:$A$113,MAX(1915,MIN(2025,E449))),SUMIFS(Donnees_generations!$AA$3:$AA$113,Donnees_generations!$A$3:$A$113,MAX(1915,MIN(2025,E449))),SUMIFS(Donnees_generations!$AB$3:$AB$113,Donnees_generations!$A$3:$A$113,MAX(1915,MIN(2025,E449))))+CHOOSE(((AG449+2)-56)/2+1,SUMIFS(Donnees_generations!$AC$3:$AC$113,Donnees_generations!$A$3:$A$113,MAX(1915,MIN(2025,E449))),SUMIFS(Donnees_generations!$AD$3:$AD$113,Donnees_generations!$A$3:$A$113,MAX(1915,MIN(2025,E449))),SUMIFS(Donnees_generations!$AE$3:$AE$113,Donnees_generations!$A$3:$A$113,MAX(1915,MIN(2025,E449))),SUMIFS(Donnees_generations!$AF$3:$AF$113,Donnees_generations!$A$3:$A$113,MAX(1915,MIN(2025,E449))),SUMIFS(Donnees_generations!$AG$3:$AG$113,Donnees_generations!$A$3:$A$113,MAX(1915,MIN(2025,E449))),SUMIFS(Donnees_generations!$AH$3:$AH$113,Donnees_generations!$A$3:$A$113,MAX(1915,MIN(2025,E449))),SUMIFS(Donnees_generations!$AI$3:$AI$113,Donnees_generations!$A$3:$A$113,MAX(1915,MIN(2025,E449))),SUMIFS(Donnees_generations!$AJ$3:$AJ$113,Donnees_generations!$A$3:$A$113,MAX(1915,MIN(2025,E449)))))/2</f>
        <v/>
      </c>
      <c r="AJ449" s="8">
        <f>MAX(0,AH449+(AI449-AH449)*(K449-AG449)/2)</f>
        <v/>
      </c>
      <c r="AK449" s="8">
        <f>K449+AJ449</f>
        <v/>
      </c>
      <c r="AL449" s="14">
        <f>AE449*AJ449</f>
        <v/>
      </c>
      <c r="AM449" s="17">
        <f>V449/AL449</f>
        <v/>
      </c>
      <c r="AN449" s="17">
        <f>Z449/AL449</f>
        <v/>
      </c>
      <c r="AO449" s="33">
        <f>IF(V449+Z449=0,0,Z449/(V449+Z449))</f>
        <v/>
      </c>
      <c r="AP449" s="14">
        <f>AL449/V449*100</f>
        <v/>
      </c>
      <c r="AQ449" s="8">
        <f>P449/AL449*1000</f>
        <v/>
      </c>
      <c r="AR449" s="77">
        <f>MAX(N449,M449-1)</f>
        <v/>
      </c>
      <c r="AS449" s="14">
        <f>SUMIFS(Donnees_regimes!$R$3:$R$1118,Donnees_regimes!$A$3:$A$1118,C449,Donnees_regimes!$B$3:$B$1118,"&gt;="&amp;G449,Donnees_regimes!$B$3:$B$1118,"&lt;="&amp;N449)*L449/ROUNDUP(L449,0)*SUMIFS(Donnees_annuelles!$AG$3:$AG$188,Donnees_annuelles!$A$3:$A$188,AR449)*SUMIFS(Donnees_annuelles!$AA$3:$AA$188,Donnees_annuelles!$A$3:$A$188,AR449)</f>
        <v/>
      </c>
      <c r="AT449" s="36">
        <f>AS449/V449</f>
        <v/>
      </c>
      <c r="AU449" s="14">
        <f>AL449</f>
        <v/>
      </c>
      <c r="AV449" s="39">
        <f>AS449-AL449</f>
        <v/>
      </c>
      <c r="AW449" s="9">
        <f>AS449/AL449-1</f>
        <v/>
      </c>
      <c r="AX449" s="14">
        <f>AS449/AJ449/12</f>
        <v/>
      </c>
      <c r="AY449" s="14">
        <f>AF449</f>
        <v/>
      </c>
      <c r="AZ449" s="39">
        <f>AX449-AF449</f>
        <v/>
      </c>
      <c r="BA449" s="14">
        <f>SUMIFS(Donnees_regimes!$S$3:$S$1118,Donnees_regimes!$A$3:$A$1118,C449,Donnees_regimes!$B$3:$B$1118,"&gt;="&amp;G449,Donnees_regimes!$B$3:$B$1118,"&lt;="&amp;N449)*L449/ROUNDUP(L449,0)*SUMIFS(Donnees_annuelles!$AH$3:$AH$188,Donnees_annuelles!$A$3:$A$188,AR449)*SUMIFS(Donnees_annuelles!$AA$3:$AA$188,Donnees_annuelles!$A$3:$A$188,AR449)</f>
        <v/>
      </c>
      <c r="BB449" s="39">
        <f>BA449-AL449</f>
        <v/>
      </c>
      <c r="BC449" s="7">
        <f>IF(M449+AJ449&gt;2026,IF(G449&gt;2026,"entièrement projeté","en partie projeté"),"observé")</f>
        <v/>
      </c>
    </row>
    <row r="450">
      <c r="A450" s="7" t="inlineStr">
        <is>
          <t>Génération Y</t>
        </is>
      </c>
      <c r="B450" s="84" t="inlineStr">
        <is>
          <t>RATP</t>
        </is>
      </c>
      <c r="C450" s="7">
        <f>IF(G450&gt;=SUMIFS(Regimes!$C$5:$C$10,Regimes!$A$5:$A$10,B450),"Privé",B450)</f>
        <v/>
      </c>
      <c r="D450" s="7">
        <f>INDEX(Regimes!$D$5:$D$10,MATCH(C450,Regimes!$A$5:$A$10,0))</f>
        <v/>
      </c>
      <c r="E450" s="88" t="n">
        <v>1983</v>
      </c>
      <c r="F450" s="8">
        <f>Donnees_generations!C71</f>
        <v/>
      </c>
      <c r="G450" s="77">
        <f>Donnees_generations!D71</f>
        <v/>
      </c>
      <c r="H450" s="8">
        <f>SUMIFS(Donnees_generations!$S$3:$S$113,Donnees_generations!$A$3:$A$113,MAX(1915,MIN(2025,E450)))</f>
        <v/>
      </c>
      <c r="I450" s="8">
        <f>SUMIFS(Donnees_generations!$T$3:$T$113,Donnees_generations!$A$3:$A$113,MAX(1915,MIN(2025,E450)))</f>
        <v/>
      </c>
      <c r="J450" s="8">
        <f>IF(G450&gt;=2000,MAX(I450,Parametres!$B$3),I450)</f>
        <v/>
      </c>
      <c r="K450" s="8">
        <f>IF(C450="Privé",J450,SUMIFS(Regles_regimes!$J$3:$J$2000,Regles_regimes!$A$3:$A$2000,C450,Regles_regimes!$B$3:$B$2000,D450,Regles_regimes!$C$3:$C$2000,MAX(1915,MIN(2025,E450))))</f>
        <v/>
      </c>
      <c r="L450" s="8">
        <f>IF(C450="Privé",H450,(K450-F450)*H450/(J450-F450))</f>
        <v/>
      </c>
      <c r="M450" s="77">
        <f>INT(E450+K450)</f>
        <v/>
      </c>
      <c r="N450" s="77">
        <f>G450+ROUNDUP(L450,0)-1</f>
        <v/>
      </c>
      <c r="O450" s="89">
        <f>SUMIFS(Regles_regimes!$K$3:$K$2000,Regles_regimes!$A$3:$A$2000,C450,Regles_regimes!$B$3:$B$2000,D450,Regles_regimes!$C$3:$C$2000,MAX(1915,MIN(2025,E450)))</f>
        <v/>
      </c>
      <c r="P450" s="13">
        <f>SUMIFS(Donnees_annuelles!$W$3:$W$188,Donnees_annuelles!$A$3:$A$188,"&gt;="&amp;G450,Donnees_annuelles!$A$3:$A$188,"&lt;="&amp;N450)*L450/ROUNDUP(L450,0)*O450</f>
        <v/>
      </c>
      <c r="Q450" s="13">
        <f>SUMIFS(Donnees_annuelles!$V$3:$V$188,Donnees_annuelles!$A$3:$A$188,"&gt;="&amp;G450,Donnees_annuelles!$A$3:$A$188,"&lt;="&amp;N450)*L450/ROUNDUP(L450,0)</f>
        <v/>
      </c>
      <c r="R450" s="13">
        <f>P450/L450</f>
        <v/>
      </c>
      <c r="S450" s="14">
        <f>SUMIFS(Donnees_annuelles!$D$3:$D$188,Donnees_annuelles!$A$3:$A$188,"&gt;="&amp;G450,Donnees_annuelles!$A$3:$A$188,"&lt;="&amp;N450)*L450/ROUNDUP(L450,0)</f>
        <v/>
      </c>
      <c r="T450" s="14">
        <f>SUMIFS(Donnees_regimes!$N$3:$N$1118,Donnees_regimes!$A$3:$A$1118,C450,Donnees_regimes!$B$3:$B$1118,"&gt;="&amp;G450,Donnees_regimes!$B$3:$B$1118,"&lt;="&amp;N450)*L450/ROUNDUP(L450,0)</f>
        <v/>
      </c>
      <c r="U450" s="14">
        <f>SUMIFS(Donnees_regimes!$O$3:$O$1118,Donnees_regimes!$A$3:$A$1118,C450,Donnees_regimes!$B$3:$B$1118,"&gt;="&amp;G450,Donnees_regimes!$B$3:$B$1118,"&lt;="&amp;N450)*L450/ROUNDUP(L450,0)</f>
        <v/>
      </c>
      <c r="V450" s="14">
        <f>T450+U450</f>
        <v/>
      </c>
      <c r="W450" s="33">
        <f>V450/S450</f>
        <v/>
      </c>
      <c r="X450" s="14">
        <f>S450+U450</f>
        <v/>
      </c>
      <c r="Y450" s="17">
        <f>V450/P450</f>
        <v/>
      </c>
      <c r="Z450" s="14">
        <f>SUMIFS(Donnees_regimes!$Q$3:$Q$1118,Donnees_regimes!$A$3:$A$1118,C450,Donnees_regimes!$B$3:$B$1118,"&gt;="&amp;G450,Donnees_regimes!$B$3:$B$1118,"&lt;="&amp;N450)*L450/ROUNDUP(L450,0)</f>
        <v/>
      </c>
      <c r="AA450" s="77">
        <f>SUMIFS(Regles_regimes!$F$3:$F$2000,Regles_regimes!$A$3:$A$2000,C450,Regles_regimes!$B$3:$B$2000,D450,Regles_regimes!$C$3:$C$2000,MAX(1915,MIN(2025,E450)))</f>
        <v/>
      </c>
      <c r="AB450" s="77">
        <f>IF(AND(SUMIFS(Regles_regimes!$L$3:$L$2000,Regles_regimes!$A$3:$A$2000,C450,Regles_regimes!$B$3:$B$2000,D450,Regles_regimes!$C$3:$C$2000,MAX(1915,MIN(2025,E450)))=1,G450&lt;2009,C450&lt;&gt;"Privé"),MIN(20,L450*4/5),0)</f>
        <v/>
      </c>
      <c r="AC450" s="89">
        <f>SUMIFS(Donnees_regimes!$M$3:$M$1118,Donnees_regimes!$A$3:$A$1118,C450,Donnees_regimes!$B$3:$B$1118,M450)</f>
        <v/>
      </c>
      <c r="AD450" s="14">
        <f>SUMIFS(Donnees_annuelles!$Y$3:$Y$188,Donnees_annuelles!$A$3:$A$188,M450)*SUMIFS(Donnees_generations!$I$3:$I$113,Donnees_generations!$A$3:$A$113,MAX(1915,MIN(2025,E450)))/H450</f>
        <v/>
      </c>
      <c r="AE450" s="14">
        <f>IF(C450="Privé",SUMIFS(Donnees_annuelles!$Y$3:$Y$188,Donnees_annuelles!$A$3:$A$188,M450)*MIN(L450,SUMIFS(Donnees_generations!$I$3:$I$113,Donnees_generations!$A$3:$A$113,MAX(1915,MIN(2025,E450))))/L450,AD450*AC450*MIN(IF(AB450&gt;0,0.8/0.75,1),(L450*4+AB450)/AA450))</f>
        <v/>
      </c>
      <c r="AF450" s="14">
        <f>AE450/12</f>
        <v/>
      </c>
      <c r="AG450" s="77">
        <f>MIN(68,MAX(56,2*INT(K450/2)))</f>
        <v/>
      </c>
      <c r="AH450" s="75">
        <f>(CHOOSE((AG450-56)/2+1,SUMIFS(Donnees_generations!$U$3:$U$113,Donnees_generations!$A$3:$A$113,MAX(1915,MIN(2025,E450))),SUMIFS(Donnees_generations!$V$3:$V$113,Donnees_generations!$A$3:$A$113,MAX(1915,MIN(2025,E450))),SUMIFS(Donnees_generations!$W$3:$W$113,Donnees_generations!$A$3:$A$113,MAX(1915,MIN(2025,E450))),SUMIFS(Donnees_generations!$X$3:$X$113,Donnees_generations!$A$3:$A$113,MAX(1915,MIN(2025,E450))),SUMIFS(Donnees_generations!$Y$3:$Y$113,Donnees_generations!$A$3:$A$113,MAX(1915,MIN(2025,E450))),SUMIFS(Donnees_generations!$Z$3:$Z$113,Donnees_generations!$A$3:$A$113,MAX(1915,MIN(2025,E450))),SUMIFS(Donnees_generations!$AA$3:$AA$113,Donnees_generations!$A$3:$A$113,MAX(1915,MIN(2025,E450))),SUMIFS(Donnees_generations!$AB$3:$AB$113,Donnees_generations!$A$3:$A$113,MAX(1915,MIN(2025,E450))))+CHOOSE((AG450-56)/2+1,SUMIFS(Donnees_generations!$AC$3:$AC$113,Donnees_generations!$A$3:$A$113,MAX(1915,MIN(2025,E450))),SUMIFS(Donnees_generations!$AD$3:$AD$113,Donnees_generations!$A$3:$A$113,MAX(1915,MIN(2025,E450))),SUMIFS(Donnees_generations!$AE$3:$AE$113,Donnees_generations!$A$3:$A$113,MAX(1915,MIN(2025,E450))),SUMIFS(Donnees_generations!$AF$3:$AF$113,Donnees_generations!$A$3:$A$113,MAX(1915,MIN(2025,E450))),SUMIFS(Donnees_generations!$AG$3:$AG$113,Donnees_generations!$A$3:$A$113,MAX(1915,MIN(2025,E450))),SUMIFS(Donnees_generations!$AH$3:$AH$113,Donnees_generations!$A$3:$A$113,MAX(1915,MIN(2025,E450))),SUMIFS(Donnees_generations!$AI$3:$AI$113,Donnees_generations!$A$3:$A$113,MAX(1915,MIN(2025,E450))),SUMIFS(Donnees_generations!$AJ$3:$AJ$113,Donnees_generations!$A$3:$A$113,MAX(1915,MIN(2025,E450)))))/2</f>
        <v/>
      </c>
      <c r="AI450" s="75">
        <f>(CHOOSE(((AG450+2)-56)/2+1,SUMIFS(Donnees_generations!$U$3:$U$113,Donnees_generations!$A$3:$A$113,MAX(1915,MIN(2025,E450))),SUMIFS(Donnees_generations!$V$3:$V$113,Donnees_generations!$A$3:$A$113,MAX(1915,MIN(2025,E450))),SUMIFS(Donnees_generations!$W$3:$W$113,Donnees_generations!$A$3:$A$113,MAX(1915,MIN(2025,E450))),SUMIFS(Donnees_generations!$X$3:$X$113,Donnees_generations!$A$3:$A$113,MAX(1915,MIN(2025,E450))),SUMIFS(Donnees_generations!$Y$3:$Y$113,Donnees_generations!$A$3:$A$113,MAX(1915,MIN(2025,E450))),SUMIFS(Donnees_generations!$Z$3:$Z$113,Donnees_generations!$A$3:$A$113,MAX(1915,MIN(2025,E450))),SUMIFS(Donnees_generations!$AA$3:$AA$113,Donnees_generations!$A$3:$A$113,MAX(1915,MIN(2025,E450))),SUMIFS(Donnees_generations!$AB$3:$AB$113,Donnees_generations!$A$3:$A$113,MAX(1915,MIN(2025,E450))))+CHOOSE(((AG450+2)-56)/2+1,SUMIFS(Donnees_generations!$AC$3:$AC$113,Donnees_generations!$A$3:$A$113,MAX(1915,MIN(2025,E450))),SUMIFS(Donnees_generations!$AD$3:$AD$113,Donnees_generations!$A$3:$A$113,MAX(1915,MIN(2025,E450))),SUMIFS(Donnees_generations!$AE$3:$AE$113,Donnees_generations!$A$3:$A$113,MAX(1915,MIN(2025,E450))),SUMIFS(Donnees_generations!$AF$3:$AF$113,Donnees_generations!$A$3:$A$113,MAX(1915,MIN(2025,E450))),SUMIFS(Donnees_generations!$AG$3:$AG$113,Donnees_generations!$A$3:$A$113,MAX(1915,MIN(2025,E450))),SUMIFS(Donnees_generations!$AH$3:$AH$113,Donnees_generations!$A$3:$A$113,MAX(1915,MIN(2025,E450))),SUMIFS(Donnees_generations!$AI$3:$AI$113,Donnees_generations!$A$3:$A$113,MAX(1915,MIN(2025,E450))),SUMIFS(Donnees_generations!$AJ$3:$AJ$113,Donnees_generations!$A$3:$A$113,MAX(1915,MIN(2025,E450)))))/2</f>
        <v/>
      </c>
      <c r="AJ450" s="8">
        <f>MAX(0,AH450+(AI450-AH450)*(K450-AG450)/2)</f>
        <v/>
      </c>
      <c r="AK450" s="8">
        <f>K450+AJ450</f>
        <v/>
      </c>
      <c r="AL450" s="14">
        <f>AE450*AJ450</f>
        <v/>
      </c>
      <c r="AM450" s="17">
        <f>V450/AL450</f>
        <v/>
      </c>
      <c r="AN450" s="17">
        <f>Z450/AL450</f>
        <v/>
      </c>
      <c r="AO450" s="33">
        <f>IF(V450+Z450=0,0,Z450/(V450+Z450))</f>
        <v/>
      </c>
      <c r="AP450" s="14">
        <f>AL450/V450*100</f>
        <v/>
      </c>
      <c r="AQ450" s="8">
        <f>P450/AL450*1000</f>
        <v/>
      </c>
      <c r="AR450" s="77">
        <f>MAX(N450,M450-1)</f>
        <v/>
      </c>
      <c r="AS450" s="14">
        <f>SUMIFS(Donnees_regimes!$R$3:$R$1118,Donnees_regimes!$A$3:$A$1118,C450,Donnees_regimes!$B$3:$B$1118,"&gt;="&amp;G450,Donnees_regimes!$B$3:$B$1118,"&lt;="&amp;N450)*L450/ROUNDUP(L450,0)*SUMIFS(Donnees_annuelles!$AG$3:$AG$188,Donnees_annuelles!$A$3:$A$188,AR450)*SUMIFS(Donnees_annuelles!$AA$3:$AA$188,Donnees_annuelles!$A$3:$A$188,AR450)</f>
        <v/>
      </c>
      <c r="AT450" s="36">
        <f>AS450/V450</f>
        <v/>
      </c>
      <c r="AU450" s="14">
        <f>AL450</f>
        <v/>
      </c>
      <c r="AV450" s="39">
        <f>AS450-AL450</f>
        <v/>
      </c>
      <c r="AW450" s="9">
        <f>AS450/AL450-1</f>
        <v/>
      </c>
      <c r="AX450" s="14">
        <f>AS450/AJ450/12</f>
        <v/>
      </c>
      <c r="AY450" s="14">
        <f>AF450</f>
        <v/>
      </c>
      <c r="AZ450" s="39">
        <f>AX450-AF450</f>
        <v/>
      </c>
      <c r="BA450" s="14">
        <f>SUMIFS(Donnees_regimes!$S$3:$S$1118,Donnees_regimes!$A$3:$A$1118,C450,Donnees_regimes!$B$3:$B$1118,"&gt;="&amp;G450,Donnees_regimes!$B$3:$B$1118,"&lt;="&amp;N450)*L450/ROUNDUP(L450,0)*SUMIFS(Donnees_annuelles!$AH$3:$AH$188,Donnees_annuelles!$A$3:$A$188,AR450)*SUMIFS(Donnees_annuelles!$AA$3:$AA$188,Donnees_annuelles!$A$3:$A$188,AR450)</f>
        <v/>
      </c>
      <c r="BB450" s="39">
        <f>BA450-AL450</f>
        <v/>
      </c>
      <c r="BC450" s="7">
        <f>IF(M450+AJ450&gt;2026,IF(G450&gt;2026,"entièrement projeté","en partie projeté"),"observé")</f>
        <v/>
      </c>
    </row>
    <row r="451">
      <c r="A451" s="7" t="inlineStr">
        <is>
          <t>Génération Y</t>
        </is>
      </c>
      <c r="B451" s="84" t="inlineStr">
        <is>
          <t>RATP</t>
        </is>
      </c>
      <c r="C451" s="7">
        <f>IF(G451&gt;=SUMIFS(Regimes!$C$5:$C$10,Regimes!$A$5:$A$10,B451),"Privé",B451)</f>
        <v/>
      </c>
      <c r="D451" s="7">
        <f>INDEX(Regimes!$D$5:$D$10,MATCH(C451,Regimes!$A$5:$A$10,0))</f>
        <v/>
      </c>
      <c r="E451" s="88" t="n">
        <v>1984</v>
      </c>
      <c r="F451" s="8">
        <f>Donnees_generations!C72</f>
        <v/>
      </c>
      <c r="G451" s="77">
        <f>Donnees_generations!D72</f>
        <v/>
      </c>
      <c r="H451" s="8">
        <f>SUMIFS(Donnees_generations!$S$3:$S$113,Donnees_generations!$A$3:$A$113,MAX(1915,MIN(2025,E451)))</f>
        <v/>
      </c>
      <c r="I451" s="8">
        <f>SUMIFS(Donnees_generations!$T$3:$T$113,Donnees_generations!$A$3:$A$113,MAX(1915,MIN(2025,E451)))</f>
        <v/>
      </c>
      <c r="J451" s="8">
        <f>IF(G451&gt;=2000,MAX(I451,Parametres!$B$3),I451)</f>
        <v/>
      </c>
      <c r="K451" s="8">
        <f>IF(C451="Privé",J451,SUMIFS(Regles_regimes!$J$3:$J$2000,Regles_regimes!$A$3:$A$2000,C451,Regles_regimes!$B$3:$B$2000,D451,Regles_regimes!$C$3:$C$2000,MAX(1915,MIN(2025,E451))))</f>
        <v/>
      </c>
      <c r="L451" s="8">
        <f>IF(C451="Privé",H451,(K451-F451)*H451/(J451-F451))</f>
        <v/>
      </c>
      <c r="M451" s="77">
        <f>INT(E451+K451)</f>
        <v/>
      </c>
      <c r="N451" s="77">
        <f>G451+ROUNDUP(L451,0)-1</f>
        <v/>
      </c>
      <c r="O451" s="89">
        <f>SUMIFS(Regles_regimes!$K$3:$K$2000,Regles_regimes!$A$3:$A$2000,C451,Regles_regimes!$B$3:$B$2000,D451,Regles_regimes!$C$3:$C$2000,MAX(1915,MIN(2025,E451)))</f>
        <v/>
      </c>
      <c r="P451" s="13">
        <f>SUMIFS(Donnees_annuelles!$W$3:$W$188,Donnees_annuelles!$A$3:$A$188,"&gt;="&amp;G451,Donnees_annuelles!$A$3:$A$188,"&lt;="&amp;N451)*L451/ROUNDUP(L451,0)*O451</f>
        <v/>
      </c>
      <c r="Q451" s="13">
        <f>SUMIFS(Donnees_annuelles!$V$3:$V$188,Donnees_annuelles!$A$3:$A$188,"&gt;="&amp;G451,Donnees_annuelles!$A$3:$A$188,"&lt;="&amp;N451)*L451/ROUNDUP(L451,0)</f>
        <v/>
      </c>
      <c r="R451" s="13">
        <f>P451/L451</f>
        <v/>
      </c>
      <c r="S451" s="14">
        <f>SUMIFS(Donnees_annuelles!$D$3:$D$188,Donnees_annuelles!$A$3:$A$188,"&gt;="&amp;G451,Donnees_annuelles!$A$3:$A$188,"&lt;="&amp;N451)*L451/ROUNDUP(L451,0)</f>
        <v/>
      </c>
      <c r="T451" s="14">
        <f>SUMIFS(Donnees_regimes!$N$3:$N$1118,Donnees_regimes!$A$3:$A$1118,C451,Donnees_regimes!$B$3:$B$1118,"&gt;="&amp;G451,Donnees_regimes!$B$3:$B$1118,"&lt;="&amp;N451)*L451/ROUNDUP(L451,0)</f>
        <v/>
      </c>
      <c r="U451" s="14">
        <f>SUMIFS(Donnees_regimes!$O$3:$O$1118,Donnees_regimes!$A$3:$A$1118,C451,Donnees_regimes!$B$3:$B$1118,"&gt;="&amp;G451,Donnees_regimes!$B$3:$B$1118,"&lt;="&amp;N451)*L451/ROUNDUP(L451,0)</f>
        <v/>
      </c>
      <c r="V451" s="14">
        <f>T451+U451</f>
        <v/>
      </c>
      <c r="W451" s="33">
        <f>V451/S451</f>
        <v/>
      </c>
      <c r="X451" s="14">
        <f>S451+U451</f>
        <v/>
      </c>
      <c r="Y451" s="17">
        <f>V451/P451</f>
        <v/>
      </c>
      <c r="Z451" s="14">
        <f>SUMIFS(Donnees_regimes!$Q$3:$Q$1118,Donnees_regimes!$A$3:$A$1118,C451,Donnees_regimes!$B$3:$B$1118,"&gt;="&amp;G451,Donnees_regimes!$B$3:$B$1118,"&lt;="&amp;N451)*L451/ROUNDUP(L451,0)</f>
        <v/>
      </c>
      <c r="AA451" s="77">
        <f>SUMIFS(Regles_regimes!$F$3:$F$2000,Regles_regimes!$A$3:$A$2000,C451,Regles_regimes!$B$3:$B$2000,D451,Regles_regimes!$C$3:$C$2000,MAX(1915,MIN(2025,E451)))</f>
        <v/>
      </c>
      <c r="AB451" s="77">
        <f>IF(AND(SUMIFS(Regles_regimes!$L$3:$L$2000,Regles_regimes!$A$3:$A$2000,C451,Regles_regimes!$B$3:$B$2000,D451,Regles_regimes!$C$3:$C$2000,MAX(1915,MIN(2025,E451)))=1,G451&lt;2009,C451&lt;&gt;"Privé"),MIN(20,L451*4/5),0)</f>
        <v/>
      </c>
      <c r="AC451" s="89">
        <f>SUMIFS(Donnees_regimes!$M$3:$M$1118,Donnees_regimes!$A$3:$A$1118,C451,Donnees_regimes!$B$3:$B$1118,M451)</f>
        <v/>
      </c>
      <c r="AD451" s="14">
        <f>SUMIFS(Donnees_annuelles!$Y$3:$Y$188,Donnees_annuelles!$A$3:$A$188,M451)*SUMIFS(Donnees_generations!$I$3:$I$113,Donnees_generations!$A$3:$A$113,MAX(1915,MIN(2025,E451)))/H451</f>
        <v/>
      </c>
      <c r="AE451" s="14">
        <f>IF(C451="Privé",SUMIFS(Donnees_annuelles!$Y$3:$Y$188,Donnees_annuelles!$A$3:$A$188,M451)*MIN(L451,SUMIFS(Donnees_generations!$I$3:$I$113,Donnees_generations!$A$3:$A$113,MAX(1915,MIN(2025,E451))))/L451,AD451*AC451*MIN(IF(AB451&gt;0,0.8/0.75,1),(L451*4+AB451)/AA451))</f>
        <v/>
      </c>
      <c r="AF451" s="14">
        <f>AE451/12</f>
        <v/>
      </c>
      <c r="AG451" s="77">
        <f>MIN(68,MAX(56,2*INT(K451/2)))</f>
        <v/>
      </c>
      <c r="AH451" s="75">
        <f>(CHOOSE((AG451-56)/2+1,SUMIFS(Donnees_generations!$U$3:$U$113,Donnees_generations!$A$3:$A$113,MAX(1915,MIN(2025,E451))),SUMIFS(Donnees_generations!$V$3:$V$113,Donnees_generations!$A$3:$A$113,MAX(1915,MIN(2025,E451))),SUMIFS(Donnees_generations!$W$3:$W$113,Donnees_generations!$A$3:$A$113,MAX(1915,MIN(2025,E451))),SUMIFS(Donnees_generations!$X$3:$X$113,Donnees_generations!$A$3:$A$113,MAX(1915,MIN(2025,E451))),SUMIFS(Donnees_generations!$Y$3:$Y$113,Donnees_generations!$A$3:$A$113,MAX(1915,MIN(2025,E451))),SUMIFS(Donnees_generations!$Z$3:$Z$113,Donnees_generations!$A$3:$A$113,MAX(1915,MIN(2025,E451))),SUMIFS(Donnees_generations!$AA$3:$AA$113,Donnees_generations!$A$3:$A$113,MAX(1915,MIN(2025,E451))),SUMIFS(Donnees_generations!$AB$3:$AB$113,Donnees_generations!$A$3:$A$113,MAX(1915,MIN(2025,E451))))+CHOOSE((AG451-56)/2+1,SUMIFS(Donnees_generations!$AC$3:$AC$113,Donnees_generations!$A$3:$A$113,MAX(1915,MIN(2025,E451))),SUMIFS(Donnees_generations!$AD$3:$AD$113,Donnees_generations!$A$3:$A$113,MAX(1915,MIN(2025,E451))),SUMIFS(Donnees_generations!$AE$3:$AE$113,Donnees_generations!$A$3:$A$113,MAX(1915,MIN(2025,E451))),SUMIFS(Donnees_generations!$AF$3:$AF$113,Donnees_generations!$A$3:$A$113,MAX(1915,MIN(2025,E451))),SUMIFS(Donnees_generations!$AG$3:$AG$113,Donnees_generations!$A$3:$A$113,MAX(1915,MIN(2025,E451))),SUMIFS(Donnees_generations!$AH$3:$AH$113,Donnees_generations!$A$3:$A$113,MAX(1915,MIN(2025,E451))),SUMIFS(Donnees_generations!$AI$3:$AI$113,Donnees_generations!$A$3:$A$113,MAX(1915,MIN(2025,E451))),SUMIFS(Donnees_generations!$AJ$3:$AJ$113,Donnees_generations!$A$3:$A$113,MAX(1915,MIN(2025,E451)))))/2</f>
        <v/>
      </c>
      <c r="AI451" s="75">
        <f>(CHOOSE(((AG451+2)-56)/2+1,SUMIFS(Donnees_generations!$U$3:$U$113,Donnees_generations!$A$3:$A$113,MAX(1915,MIN(2025,E451))),SUMIFS(Donnees_generations!$V$3:$V$113,Donnees_generations!$A$3:$A$113,MAX(1915,MIN(2025,E451))),SUMIFS(Donnees_generations!$W$3:$W$113,Donnees_generations!$A$3:$A$113,MAX(1915,MIN(2025,E451))),SUMIFS(Donnees_generations!$X$3:$X$113,Donnees_generations!$A$3:$A$113,MAX(1915,MIN(2025,E451))),SUMIFS(Donnees_generations!$Y$3:$Y$113,Donnees_generations!$A$3:$A$113,MAX(1915,MIN(2025,E451))),SUMIFS(Donnees_generations!$Z$3:$Z$113,Donnees_generations!$A$3:$A$113,MAX(1915,MIN(2025,E451))),SUMIFS(Donnees_generations!$AA$3:$AA$113,Donnees_generations!$A$3:$A$113,MAX(1915,MIN(2025,E451))),SUMIFS(Donnees_generations!$AB$3:$AB$113,Donnees_generations!$A$3:$A$113,MAX(1915,MIN(2025,E451))))+CHOOSE(((AG451+2)-56)/2+1,SUMIFS(Donnees_generations!$AC$3:$AC$113,Donnees_generations!$A$3:$A$113,MAX(1915,MIN(2025,E451))),SUMIFS(Donnees_generations!$AD$3:$AD$113,Donnees_generations!$A$3:$A$113,MAX(1915,MIN(2025,E451))),SUMIFS(Donnees_generations!$AE$3:$AE$113,Donnees_generations!$A$3:$A$113,MAX(1915,MIN(2025,E451))),SUMIFS(Donnees_generations!$AF$3:$AF$113,Donnees_generations!$A$3:$A$113,MAX(1915,MIN(2025,E451))),SUMIFS(Donnees_generations!$AG$3:$AG$113,Donnees_generations!$A$3:$A$113,MAX(1915,MIN(2025,E451))),SUMIFS(Donnees_generations!$AH$3:$AH$113,Donnees_generations!$A$3:$A$113,MAX(1915,MIN(2025,E451))),SUMIFS(Donnees_generations!$AI$3:$AI$113,Donnees_generations!$A$3:$A$113,MAX(1915,MIN(2025,E451))),SUMIFS(Donnees_generations!$AJ$3:$AJ$113,Donnees_generations!$A$3:$A$113,MAX(1915,MIN(2025,E451)))))/2</f>
        <v/>
      </c>
      <c r="AJ451" s="8">
        <f>MAX(0,AH451+(AI451-AH451)*(K451-AG451)/2)</f>
        <v/>
      </c>
      <c r="AK451" s="8">
        <f>K451+AJ451</f>
        <v/>
      </c>
      <c r="AL451" s="14">
        <f>AE451*AJ451</f>
        <v/>
      </c>
      <c r="AM451" s="17">
        <f>V451/AL451</f>
        <v/>
      </c>
      <c r="AN451" s="17">
        <f>Z451/AL451</f>
        <v/>
      </c>
      <c r="AO451" s="33">
        <f>IF(V451+Z451=0,0,Z451/(V451+Z451))</f>
        <v/>
      </c>
      <c r="AP451" s="14">
        <f>AL451/V451*100</f>
        <v/>
      </c>
      <c r="AQ451" s="8">
        <f>P451/AL451*1000</f>
        <v/>
      </c>
      <c r="AR451" s="77">
        <f>MAX(N451,M451-1)</f>
        <v/>
      </c>
      <c r="AS451" s="14">
        <f>SUMIFS(Donnees_regimes!$R$3:$R$1118,Donnees_regimes!$A$3:$A$1118,C451,Donnees_regimes!$B$3:$B$1118,"&gt;="&amp;G451,Donnees_regimes!$B$3:$B$1118,"&lt;="&amp;N451)*L451/ROUNDUP(L451,0)*SUMIFS(Donnees_annuelles!$AG$3:$AG$188,Donnees_annuelles!$A$3:$A$188,AR451)*SUMIFS(Donnees_annuelles!$AA$3:$AA$188,Donnees_annuelles!$A$3:$A$188,AR451)</f>
        <v/>
      </c>
      <c r="AT451" s="36">
        <f>AS451/V451</f>
        <v/>
      </c>
      <c r="AU451" s="14">
        <f>AL451</f>
        <v/>
      </c>
      <c r="AV451" s="39">
        <f>AS451-AL451</f>
        <v/>
      </c>
      <c r="AW451" s="9">
        <f>AS451/AL451-1</f>
        <v/>
      </c>
      <c r="AX451" s="14">
        <f>AS451/AJ451/12</f>
        <v/>
      </c>
      <c r="AY451" s="14">
        <f>AF451</f>
        <v/>
      </c>
      <c r="AZ451" s="39">
        <f>AX451-AF451</f>
        <v/>
      </c>
      <c r="BA451" s="14">
        <f>SUMIFS(Donnees_regimes!$S$3:$S$1118,Donnees_regimes!$A$3:$A$1118,C451,Donnees_regimes!$B$3:$B$1118,"&gt;="&amp;G451,Donnees_regimes!$B$3:$B$1118,"&lt;="&amp;N451)*L451/ROUNDUP(L451,0)*SUMIFS(Donnees_annuelles!$AH$3:$AH$188,Donnees_annuelles!$A$3:$A$188,AR451)*SUMIFS(Donnees_annuelles!$AA$3:$AA$188,Donnees_annuelles!$A$3:$A$188,AR451)</f>
        <v/>
      </c>
      <c r="BB451" s="39">
        <f>BA451-AL451</f>
        <v/>
      </c>
      <c r="BC451" s="7">
        <f>IF(M451+AJ451&gt;2026,IF(G451&gt;2026,"entièrement projeté","en partie projeté"),"observé")</f>
        <v/>
      </c>
    </row>
    <row r="452">
      <c r="A452" s="7" t="inlineStr">
        <is>
          <t>Génération Y</t>
        </is>
      </c>
      <c r="B452" s="84" t="inlineStr">
        <is>
          <t>RATP</t>
        </is>
      </c>
      <c r="C452" s="7">
        <f>IF(G452&gt;=SUMIFS(Regimes!$C$5:$C$10,Regimes!$A$5:$A$10,B452),"Privé",B452)</f>
        <v/>
      </c>
      <c r="D452" s="7">
        <f>INDEX(Regimes!$D$5:$D$10,MATCH(C452,Regimes!$A$5:$A$10,0))</f>
        <v/>
      </c>
      <c r="E452" s="88" t="n">
        <v>1985</v>
      </c>
      <c r="F452" s="8">
        <f>Donnees_generations!C73</f>
        <v/>
      </c>
      <c r="G452" s="77">
        <f>Donnees_generations!D73</f>
        <v/>
      </c>
      <c r="H452" s="8">
        <f>SUMIFS(Donnees_generations!$S$3:$S$113,Donnees_generations!$A$3:$A$113,MAX(1915,MIN(2025,E452)))</f>
        <v/>
      </c>
      <c r="I452" s="8">
        <f>SUMIFS(Donnees_generations!$T$3:$T$113,Donnees_generations!$A$3:$A$113,MAX(1915,MIN(2025,E452)))</f>
        <v/>
      </c>
      <c r="J452" s="8">
        <f>IF(G452&gt;=2000,MAX(I452,Parametres!$B$3),I452)</f>
        <v/>
      </c>
      <c r="K452" s="8">
        <f>IF(C452="Privé",J452,SUMIFS(Regles_regimes!$J$3:$J$2000,Regles_regimes!$A$3:$A$2000,C452,Regles_regimes!$B$3:$B$2000,D452,Regles_regimes!$C$3:$C$2000,MAX(1915,MIN(2025,E452))))</f>
        <v/>
      </c>
      <c r="L452" s="8">
        <f>IF(C452="Privé",H452,(K452-F452)*H452/(J452-F452))</f>
        <v/>
      </c>
      <c r="M452" s="77">
        <f>INT(E452+K452)</f>
        <v/>
      </c>
      <c r="N452" s="77">
        <f>G452+ROUNDUP(L452,0)-1</f>
        <v/>
      </c>
      <c r="O452" s="89">
        <f>SUMIFS(Regles_regimes!$K$3:$K$2000,Regles_regimes!$A$3:$A$2000,C452,Regles_regimes!$B$3:$B$2000,D452,Regles_regimes!$C$3:$C$2000,MAX(1915,MIN(2025,E452)))</f>
        <v/>
      </c>
      <c r="P452" s="13">
        <f>SUMIFS(Donnees_annuelles!$W$3:$W$188,Donnees_annuelles!$A$3:$A$188,"&gt;="&amp;G452,Donnees_annuelles!$A$3:$A$188,"&lt;="&amp;N452)*L452/ROUNDUP(L452,0)*O452</f>
        <v/>
      </c>
      <c r="Q452" s="13">
        <f>SUMIFS(Donnees_annuelles!$V$3:$V$188,Donnees_annuelles!$A$3:$A$188,"&gt;="&amp;G452,Donnees_annuelles!$A$3:$A$188,"&lt;="&amp;N452)*L452/ROUNDUP(L452,0)</f>
        <v/>
      </c>
      <c r="R452" s="13">
        <f>P452/L452</f>
        <v/>
      </c>
      <c r="S452" s="14">
        <f>SUMIFS(Donnees_annuelles!$D$3:$D$188,Donnees_annuelles!$A$3:$A$188,"&gt;="&amp;G452,Donnees_annuelles!$A$3:$A$188,"&lt;="&amp;N452)*L452/ROUNDUP(L452,0)</f>
        <v/>
      </c>
      <c r="T452" s="14">
        <f>SUMIFS(Donnees_regimes!$N$3:$N$1118,Donnees_regimes!$A$3:$A$1118,C452,Donnees_regimes!$B$3:$B$1118,"&gt;="&amp;G452,Donnees_regimes!$B$3:$B$1118,"&lt;="&amp;N452)*L452/ROUNDUP(L452,0)</f>
        <v/>
      </c>
      <c r="U452" s="14">
        <f>SUMIFS(Donnees_regimes!$O$3:$O$1118,Donnees_regimes!$A$3:$A$1118,C452,Donnees_regimes!$B$3:$B$1118,"&gt;="&amp;G452,Donnees_regimes!$B$3:$B$1118,"&lt;="&amp;N452)*L452/ROUNDUP(L452,0)</f>
        <v/>
      </c>
      <c r="V452" s="14">
        <f>T452+U452</f>
        <v/>
      </c>
      <c r="W452" s="33">
        <f>V452/S452</f>
        <v/>
      </c>
      <c r="X452" s="14">
        <f>S452+U452</f>
        <v/>
      </c>
      <c r="Y452" s="17">
        <f>V452/P452</f>
        <v/>
      </c>
      <c r="Z452" s="14">
        <f>SUMIFS(Donnees_regimes!$Q$3:$Q$1118,Donnees_regimes!$A$3:$A$1118,C452,Donnees_regimes!$B$3:$B$1118,"&gt;="&amp;G452,Donnees_regimes!$B$3:$B$1118,"&lt;="&amp;N452)*L452/ROUNDUP(L452,0)</f>
        <v/>
      </c>
      <c r="AA452" s="77">
        <f>SUMIFS(Regles_regimes!$F$3:$F$2000,Regles_regimes!$A$3:$A$2000,C452,Regles_regimes!$B$3:$B$2000,D452,Regles_regimes!$C$3:$C$2000,MAX(1915,MIN(2025,E452)))</f>
        <v/>
      </c>
      <c r="AB452" s="77">
        <f>IF(AND(SUMIFS(Regles_regimes!$L$3:$L$2000,Regles_regimes!$A$3:$A$2000,C452,Regles_regimes!$B$3:$B$2000,D452,Regles_regimes!$C$3:$C$2000,MAX(1915,MIN(2025,E452)))=1,G452&lt;2009,C452&lt;&gt;"Privé"),MIN(20,L452*4/5),0)</f>
        <v/>
      </c>
      <c r="AC452" s="89">
        <f>SUMIFS(Donnees_regimes!$M$3:$M$1118,Donnees_regimes!$A$3:$A$1118,C452,Donnees_regimes!$B$3:$B$1118,M452)</f>
        <v/>
      </c>
      <c r="AD452" s="14">
        <f>SUMIFS(Donnees_annuelles!$Y$3:$Y$188,Donnees_annuelles!$A$3:$A$188,M452)*SUMIFS(Donnees_generations!$I$3:$I$113,Donnees_generations!$A$3:$A$113,MAX(1915,MIN(2025,E452)))/H452</f>
        <v/>
      </c>
      <c r="AE452" s="14">
        <f>IF(C452="Privé",SUMIFS(Donnees_annuelles!$Y$3:$Y$188,Donnees_annuelles!$A$3:$A$188,M452)*MIN(L452,SUMIFS(Donnees_generations!$I$3:$I$113,Donnees_generations!$A$3:$A$113,MAX(1915,MIN(2025,E452))))/L452,AD452*AC452*MIN(IF(AB452&gt;0,0.8/0.75,1),(L452*4+AB452)/AA452))</f>
        <v/>
      </c>
      <c r="AF452" s="14">
        <f>AE452/12</f>
        <v/>
      </c>
      <c r="AG452" s="77">
        <f>MIN(68,MAX(56,2*INT(K452/2)))</f>
        <v/>
      </c>
      <c r="AH452" s="75">
        <f>(CHOOSE((AG452-56)/2+1,SUMIFS(Donnees_generations!$U$3:$U$113,Donnees_generations!$A$3:$A$113,MAX(1915,MIN(2025,E452))),SUMIFS(Donnees_generations!$V$3:$V$113,Donnees_generations!$A$3:$A$113,MAX(1915,MIN(2025,E452))),SUMIFS(Donnees_generations!$W$3:$W$113,Donnees_generations!$A$3:$A$113,MAX(1915,MIN(2025,E452))),SUMIFS(Donnees_generations!$X$3:$X$113,Donnees_generations!$A$3:$A$113,MAX(1915,MIN(2025,E452))),SUMIFS(Donnees_generations!$Y$3:$Y$113,Donnees_generations!$A$3:$A$113,MAX(1915,MIN(2025,E452))),SUMIFS(Donnees_generations!$Z$3:$Z$113,Donnees_generations!$A$3:$A$113,MAX(1915,MIN(2025,E452))),SUMIFS(Donnees_generations!$AA$3:$AA$113,Donnees_generations!$A$3:$A$113,MAX(1915,MIN(2025,E452))),SUMIFS(Donnees_generations!$AB$3:$AB$113,Donnees_generations!$A$3:$A$113,MAX(1915,MIN(2025,E452))))+CHOOSE((AG452-56)/2+1,SUMIFS(Donnees_generations!$AC$3:$AC$113,Donnees_generations!$A$3:$A$113,MAX(1915,MIN(2025,E452))),SUMIFS(Donnees_generations!$AD$3:$AD$113,Donnees_generations!$A$3:$A$113,MAX(1915,MIN(2025,E452))),SUMIFS(Donnees_generations!$AE$3:$AE$113,Donnees_generations!$A$3:$A$113,MAX(1915,MIN(2025,E452))),SUMIFS(Donnees_generations!$AF$3:$AF$113,Donnees_generations!$A$3:$A$113,MAX(1915,MIN(2025,E452))),SUMIFS(Donnees_generations!$AG$3:$AG$113,Donnees_generations!$A$3:$A$113,MAX(1915,MIN(2025,E452))),SUMIFS(Donnees_generations!$AH$3:$AH$113,Donnees_generations!$A$3:$A$113,MAX(1915,MIN(2025,E452))),SUMIFS(Donnees_generations!$AI$3:$AI$113,Donnees_generations!$A$3:$A$113,MAX(1915,MIN(2025,E452))),SUMIFS(Donnees_generations!$AJ$3:$AJ$113,Donnees_generations!$A$3:$A$113,MAX(1915,MIN(2025,E452)))))/2</f>
        <v/>
      </c>
      <c r="AI452" s="75">
        <f>(CHOOSE(((AG452+2)-56)/2+1,SUMIFS(Donnees_generations!$U$3:$U$113,Donnees_generations!$A$3:$A$113,MAX(1915,MIN(2025,E452))),SUMIFS(Donnees_generations!$V$3:$V$113,Donnees_generations!$A$3:$A$113,MAX(1915,MIN(2025,E452))),SUMIFS(Donnees_generations!$W$3:$W$113,Donnees_generations!$A$3:$A$113,MAX(1915,MIN(2025,E452))),SUMIFS(Donnees_generations!$X$3:$X$113,Donnees_generations!$A$3:$A$113,MAX(1915,MIN(2025,E452))),SUMIFS(Donnees_generations!$Y$3:$Y$113,Donnees_generations!$A$3:$A$113,MAX(1915,MIN(2025,E452))),SUMIFS(Donnees_generations!$Z$3:$Z$113,Donnees_generations!$A$3:$A$113,MAX(1915,MIN(2025,E452))),SUMIFS(Donnees_generations!$AA$3:$AA$113,Donnees_generations!$A$3:$A$113,MAX(1915,MIN(2025,E452))),SUMIFS(Donnees_generations!$AB$3:$AB$113,Donnees_generations!$A$3:$A$113,MAX(1915,MIN(2025,E452))))+CHOOSE(((AG452+2)-56)/2+1,SUMIFS(Donnees_generations!$AC$3:$AC$113,Donnees_generations!$A$3:$A$113,MAX(1915,MIN(2025,E452))),SUMIFS(Donnees_generations!$AD$3:$AD$113,Donnees_generations!$A$3:$A$113,MAX(1915,MIN(2025,E452))),SUMIFS(Donnees_generations!$AE$3:$AE$113,Donnees_generations!$A$3:$A$113,MAX(1915,MIN(2025,E452))),SUMIFS(Donnees_generations!$AF$3:$AF$113,Donnees_generations!$A$3:$A$113,MAX(1915,MIN(2025,E452))),SUMIFS(Donnees_generations!$AG$3:$AG$113,Donnees_generations!$A$3:$A$113,MAX(1915,MIN(2025,E452))),SUMIFS(Donnees_generations!$AH$3:$AH$113,Donnees_generations!$A$3:$A$113,MAX(1915,MIN(2025,E452))),SUMIFS(Donnees_generations!$AI$3:$AI$113,Donnees_generations!$A$3:$A$113,MAX(1915,MIN(2025,E452))),SUMIFS(Donnees_generations!$AJ$3:$AJ$113,Donnees_generations!$A$3:$A$113,MAX(1915,MIN(2025,E452)))))/2</f>
        <v/>
      </c>
      <c r="AJ452" s="8">
        <f>MAX(0,AH452+(AI452-AH452)*(K452-AG452)/2)</f>
        <v/>
      </c>
      <c r="AK452" s="8">
        <f>K452+AJ452</f>
        <v/>
      </c>
      <c r="AL452" s="14">
        <f>AE452*AJ452</f>
        <v/>
      </c>
      <c r="AM452" s="17">
        <f>V452/AL452</f>
        <v/>
      </c>
      <c r="AN452" s="17">
        <f>Z452/AL452</f>
        <v/>
      </c>
      <c r="AO452" s="33">
        <f>IF(V452+Z452=0,0,Z452/(V452+Z452))</f>
        <v/>
      </c>
      <c r="AP452" s="14">
        <f>AL452/V452*100</f>
        <v/>
      </c>
      <c r="AQ452" s="8">
        <f>P452/AL452*1000</f>
        <v/>
      </c>
      <c r="AR452" s="77">
        <f>MAX(N452,M452-1)</f>
        <v/>
      </c>
      <c r="AS452" s="14">
        <f>SUMIFS(Donnees_regimes!$R$3:$R$1118,Donnees_regimes!$A$3:$A$1118,C452,Donnees_regimes!$B$3:$B$1118,"&gt;="&amp;G452,Donnees_regimes!$B$3:$B$1118,"&lt;="&amp;N452)*L452/ROUNDUP(L452,0)*SUMIFS(Donnees_annuelles!$AG$3:$AG$188,Donnees_annuelles!$A$3:$A$188,AR452)*SUMIFS(Donnees_annuelles!$AA$3:$AA$188,Donnees_annuelles!$A$3:$A$188,AR452)</f>
        <v/>
      </c>
      <c r="AT452" s="36">
        <f>AS452/V452</f>
        <v/>
      </c>
      <c r="AU452" s="14">
        <f>AL452</f>
        <v/>
      </c>
      <c r="AV452" s="39">
        <f>AS452-AL452</f>
        <v/>
      </c>
      <c r="AW452" s="9">
        <f>AS452/AL452-1</f>
        <v/>
      </c>
      <c r="AX452" s="14">
        <f>AS452/AJ452/12</f>
        <v/>
      </c>
      <c r="AY452" s="14">
        <f>AF452</f>
        <v/>
      </c>
      <c r="AZ452" s="39">
        <f>AX452-AF452</f>
        <v/>
      </c>
      <c r="BA452" s="14">
        <f>SUMIFS(Donnees_regimes!$S$3:$S$1118,Donnees_regimes!$A$3:$A$1118,C452,Donnees_regimes!$B$3:$B$1118,"&gt;="&amp;G452,Donnees_regimes!$B$3:$B$1118,"&lt;="&amp;N452)*L452/ROUNDUP(L452,0)*SUMIFS(Donnees_annuelles!$AH$3:$AH$188,Donnees_annuelles!$A$3:$A$188,AR452)*SUMIFS(Donnees_annuelles!$AA$3:$AA$188,Donnees_annuelles!$A$3:$A$188,AR452)</f>
        <v/>
      </c>
      <c r="BB452" s="39">
        <f>BA452-AL452</f>
        <v/>
      </c>
      <c r="BC452" s="7">
        <f>IF(M452+AJ452&gt;2026,IF(G452&gt;2026,"entièrement projeté","en partie projeté"),"observé")</f>
        <v/>
      </c>
    </row>
    <row r="453">
      <c r="A453" s="7" t="inlineStr">
        <is>
          <t>Génération Y</t>
        </is>
      </c>
      <c r="B453" s="84" t="inlineStr">
        <is>
          <t>RATP</t>
        </is>
      </c>
      <c r="C453" s="7">
        <f>IF(G453&gt;=SUMIFS(Regimes!$C$5:$C$10,Regimes!$A$5:$A$10,B453),"Privé",B453)</f>
        <v/>
      </c>
      <c r="D453" s="7">
        <f>INDEX(Regimes!$D$5:$D$10,MATCH(C453,Regimes!$A$5:$A$10,0))</f>
        <v/>
      </c>
      <c r="E453" s="88" t="n">
        <v>1986</v>
      </c>
      <c r="F453" s="8">
        <f>Donnees_generations!C74</f>
        <v/>
      </c>
      <c r="G453" s="77">
        <f>Donnees_generations!D74</f>
        <v/>
      </c>
      <c r="H453" s="8">
        <f>SUMIFS(Donnees_generations!$S$3:$S$113,Donnees_generations!$A$3:$A$113,MAX(1915,MIN(2025,E453)))</f>
        <v/>
      </c>
      <c r="I453" s="8">
        <f>SUMIFS(Donnees_generations!$T$3:$T$113,Donnees_generations!$A$3:$A$113,MAX(1915,MIN(2025,E453)))</f>
        <v/>
      </c>
      <c r="J453" s="8">
        <f>IF(G453&gt;=2000,MAX(I453,Parametres!$B$3),I453)</f>
        <v/>
      </c>
      <c r="K453" s="8">
        <f>IF(C453="Privé",J453,SUMIFS(Regles_regimes!$J$3:$J$2000,Regles_regimes!$A$3:$A$2000,C453,Regles_regimes!$B$3:$B$2000,D453,Regles_regimes!$C$3:$C$2000,MAX(1915,MIN(2025,E453))))</f>
        <v/>
      </c>
      <c r="L453" s="8">
        <f>IF(C453="Privé",H453,(K453-F453)*H453/(J453-F453))</f>
        <v/>
      </c>
      <c r="M453" s="77">
        <f>INT(E453+K453)</f>
        <v/>
      </c>
      <c r="N453" s="77">
        <f>G453+ROUNDUP(L453,0)-1</f>
        <v/>
      </c>
      <c r="O453" s="89">
        <f>SUMIFS(Regles_regimes!$K$3:$K$2000,Regles_regimes!$A$3:$A$2000,C453,Regles_regimes!$B$3:$B$2000,D453,Regles_regimes!$C$3:$C$2000,MAX(1915,MIN(2025,E453)))</f>
        <v/>
      </c>
      <c r="P453" s="13">
        <f>SUMIFS(Donnees_annuelles!$W$3:$W$188,Donnees_annuelles!$A$3:$A$188,"&gt;="&amp;G453,Donnees_annuelles!$A$3:$A$188,"&lt;="&amp;N453)*L453/ROUNDUP(L453,0)*O453</f>
        <v/>
      </c>
      <c r="Q453" s="13">
        <f>SUMIFS(Donnees_annuelles!$V$3:$V$188,Donnees_annuelles!$A$3:$A$188,"&gt;="&amp;G453,Donnees_annuelles!$A$3:$A$188,"&lt;="&amp;N453)*L453/ROUNDUP(L453,0)</f>
        <v/>
      </c>
      <c r="R453" s="13">
        <f>P453/L453</f>
        <v/>
      </c>
      <c r="S453" s="14">
        <f>SUMIFS(Donnees_annuelles!$D$3:$D$188,Donnees_annuelles!$A$3:$A$188,"&gt;="&amp;G453,Donnees_annuelles!$A$3:$A$188,"&lt;="&amp;N453)*L453/ROUNDUP(L453,0)</f>
        <v/>
      </c>
      <c r="T453" s="14">
        <f>SUMIFS(Donnees_regimes!$N$3:$N$1118,Donnees_regimes!$A$3:$A$1118,C453,Donnees_regimes!$B$3:$B$1118,"&gt;="&amp;G453,Donnees_regimes!$B$3:$B$1118,"&lt;="&amp;N453)*L453/ROUNDUP(L453,0)</f>
        <v/>
      </c>
      <c r="U453" s="14">
        <f>SUMIFS(Donnees_regimes!$O$3:$O$1118,Donnees_regimes!$A$3:$A$1118,C453,Donnees_regimes!$B$3:$B$1118,"&gt;="&amp;G453,Donnees_regimes!$B$3:$B$1118,"&lt;="&amp;N453)*L453/ROUNDUP(L453,0)</f>
        <v/>
      </c>
      <c r="V453" s="14">
        <f>T453+U453</f>
        <v/>
      </c>
      <c r="W453" s="33">
        <f>V453/S453</f>
        <v/>
      </c>
      <c r="X453" s="14">
        <f>S453+U453</f>
        <v/>
      </c>
      <c r="Y453" s="17">
        <f>V453/P453</f>
        <v/>
      </c>
      <c r="Z453" s="14">
        <f>SUMIFS(Donnees_regimes!$Q$3:$Q$1118,Donnees_regimes!$A$3:$A$1118,C453,Donnees_regimes!$B$3:$B$1118,"&gt;="&amp;G453,Donnees_regimes!$B$3:$B$1118,"&lt;="&amp;N453)*L453/ROUNDUP(L453,0)</f>
        <v/>
      </c>
      <c r="AA453" s="77">
        <f>SUMIFS(Regles_regimes!$F$3:$F$2000,Regles_regimes!$A$3:$A$2000,C453,Regles_regimes!$B$3:$B$2000,D453,Regles_regimes!$C$3:$C$2000,MAX(1915,MIN(2025,E453)))</f>
        <v/>
      </c>
      <c r="AB453" s="77">
        <f>IF(AND(SUMIFS(Regles_regimes!$L$3:$L$2000,Regles_regimes!$A$3:$A$2000,C453,Regles_regimes!$B$3:$B$2000,D453,Regles_regimes!$C$3:$C$2000,MAX(1915,MIN(2025,E453)))=1,G453&lt;2009,C453&lt;&gt;"Privé"),MIN(20,L453*4/5),0)</f>
        <v/>
      </c>
      <c r="AC453" s="89">
        <f>SUMIFS(Donnees_regimes!$M$3:$M$1118,Donnees_regimes!$A$3:$A$1118,C453,Donnees_regimes!$B$3:$B$1118,M453)</f>
        <v/>
      </c>
      <c r="AD453" s="14">
        <f>SUMIFS(Donnees_annuelles!$Y$3:$Y$188,Donnees_annuelles!$A$3:$A$188,M453)*SUMIFS(Donnees_generations!$I$3:$I$113,Donnees_generations!$A$3:$A$113,MAX(1915,MIN(2025,E453)))/H453</f>
        <v/>
      </c>
      <c r="AE453" s="14">
        <f>IF(C453="Privé",SUMIFS(Donnees_annuelles!$Y$3:$Y$188,Donnees_annuelles!$A$3:$A$188,M453)*MIN(L453,SUMIFS(Donnees_generations!$I$3:$I$113,Donnees_generations!$A$3:$A$113,MAX(1915,MIN(2025,E453))))/L453,AD453*AC453*MIN(IF(AB453&gt;0,0.8/0.75,1),(L453*4+AB453)/AA453))</f>
        <v/>
      </c>
      <c r="AF453" s="14">
        <f>AE453/12</f>
        <v/>
      </c>
      <c r="AG453" s="77">
        <f>MIN(68,MAX(56,2*INT(K453/2)))</f>
        <v/>
      </c>
      <c r="AH453" s="75">
        <f>(CHOOSE((AG453-56)/2+1,SUMIFS(Donnees_generations!$U$3:$U$113,Donnees_generations!$A$3:$A$113,MAX(1915,MIN(2025,E453))),SUMIFS(Donnees_generations!$V$3:$V$113,Donnees_generations!$A$3:$A$113,MAX(1915,MIN(2025,E453))),SUMIFS(Donnees_generations!$W$3:$W$113,Donnees_generations!$A$3:$A$113,MAX(1915,MIN(2025,E453))),SUMIFS(Donnees_generations!$X$3:$X$113,Donnees_generations!$A$3:$A$113,MAX(1915,MIN(2025,E453))),SUMIFS(Donnees_generations!$Y$3:$Y$113,Donnees_generations!$A$3:$A$113,MAX(1915,MIN(2025,E453))),SUMIFS(Donnees_generations!$Z$3:$Z$113,Donnees_generations!$A$3:$A$113,MAX(1915,MIN(2025,E453))),SUMIFS(Donnees_generations!$AA$3:$AA$113,Donnees_generations!$A$3:$A$113,MAX(1915,MIN(2025,E453))),SUMIFS(Donnees_generations!$AB$3:$AB$113,Donnees_generations!$A$3:$A$113,MAX(1915,MIN(2025,E453))))+CHOOSE((AG453-56)/2+1,SUMIFS(Donnees_generations!$AC$3:$AC$113,Donnees_generations!$A$3:$A$113,MAX(1915,MIN(2025,E453))),SUMIFS(Donnees_generations!$AD$3:$AD$113,Donnees_generations!$A$3:$A$113,MAX(1915,MIN(2025,E453))),SUMIFS(Donnees_generations!$AE$3:$AE$113,Donnees_generations!$A$3:$A$113,MAX(1915,MIN(2025,E453))),SUMIFS(Donnees_generations!$AF$3:$AF$113,Donnees_generations!$A$3:$A$113,MAX(1915,MIN(2025,E453))),SUMIFS(Donnees_generations!$AG$3:$AG$113,Donnees_generations!$A$3:$A$113,MAX(1915,MIN(2025,E453))),SUMIFS(Donnees_generations!$AH$3:$AH$113,Donnees_generations!$A$3:$A$113,MAX(1915,MIN(2025,E453))),SUMIFS(Donnees_generations!$AI$3:$AI$113,Donnees_generations!$A$3:$A$113,MAX(1915,MIN(2025,E453))),SUMIFS(Donnees_generations!$AJ$3:$AJ$113,Donnees_generations!$A$3:$A$113,MAX(1915,MIN(2025,E453)))))/2</f>
        <v/>
      </c>
      <c r="AI453" s="75">
        <f>(CHOOSE(((AG453+2)-56)/2+1,SUMIFS(Donnees_generations!$U$3:$U$113,Donnees_generations!$A$3:$A$113,MAX(1915,MIN(2025,E453))),SUMIFS(Donnees_generations!$V$3:$V$113,Donnees_generations!$A$3:$A$113,MAX(1915,MIN(2025,E453))),SUMIFS(Donnees_generations!$W$3:$W$113,Donnees_generations!$A$3:$A$113,MAX(1915,MIN(2025,E453))),SUMIFS(Donnees_generations!$X$3:$X$113,Donnees_generations!$A$3:$A$113,MAX(1915,MIN(2025,E453))),SUMIFS(Donnees_generations!$Y$3:$Y$113,Donnees_generations!$A$3:$A$113,MAX(1915,MIN(2025,E453))),SUMIFS(Donnees_generations!$Z$3:$Z$113,Donnees_generations!$A$3:$A$113,MAX(1915,MIN(2025,E453))),SUMIFS(Donnees_generations!$AA$3:$AA$113,Donnees_generations!$A$3:$A$113,MAX(1915,MIN(2025,E453))),SUMIFS(Donnees_generations!$AB$3:$AB$113,Donnees_generations!$A$3:$A$113,MAX(1915,MIN(2025,E453))))+CHOOSE(((AG453+2)-56)/2+1,SUMIFS(Donnees_generations!$AC$3:$AC$113,Donnees_generations!$A$3:$A$113,MAX(1915,MIN(2025,E453))),SUMIFS(Donnees_generations!$AD$3:$AD$113,Donnees_generations!$A$3:$A$113,MAX(1915,MIN(2025,E453))),SUMIFS(Donnees_generations!$AE$3:$AE$113,Donnees_generations!$A$3:$A$113,MAX(1915,MIN(2025,E453))),SUMIFS(Donnees_generations!$AF$3:$AF$113,Donnees_generations!$A$3:$A$113,MAX(1915,MIN(2025,E453))),SUMIFS(Donnees_generations!$AG$3:$AG$113,Donnees_generations!$A$3:$A$113,MAX(1915,MIN(2025,E453))),SUMIFS(Donnees_generations!$AH$3:$AH$113,Donnees_generations!$A$3:$A$113,MAX(1915,MIN(2025,E453))),SUMIFS(Donnees_generations!$AI$3:$AI$113,Donnees_generations!$A$3:$A$113,MAX(1915,MIN(2025,E453))),SUMIFS(Donnees_generations!$AJ$3:$AJ$113,Donnees_generations!$A$3:$A$113,MAX(1915,MIN(2025,E453)))))/2</f>
        <v/>
      </c>
      <c r="AJ453" s="8">
        <f>MAX(0,AH453+(AI453-AH453)*(K453-AG453)/2)</f>
        <v/>
      </c>
      <c r="AK453" s="8">
        <f>K453+AJ453</f>
        <v/>
      </c>
      <c r="AL453" s="14">
        <f>AE453*AJ453</f>
        <v/>
      </c>
      <c r="AM453" s="17">
        <f>V453/AL453</f>
        <v/>
      </c>
      <c r="AN453" s="17">
        <f>Z453/AL453</f>
        <v/>
      </c>
      <c r="AO453" s="33">
        <f>IF(V453+Z453=0,0,Z453/(V453+Z453))</f>
        <v/>
      </c>
      <c r="AP453" s="14">
        <f>AL453/V453*100</f>
        <v/>
      </c>
      <c r="AQ453" s="8">
        <f>P453/AL453*1000</f>
        <v/>
      </c>
      <c r="AR453" s="77">
        <f>MAX(N453,M453-1)</f>
        <v/>
      </c>
      <c r="AS453" s="14">
        <f>SUMIFS(Donnees_regimes!$R$3:$R$1118,Donnees_regimes!$A$3:$A$1118,C453,Donnees_regimes!$B$3:$B$1118,"&gt;="&amp;G453,Donnees_regimes!$B$3:$B$1118,"&lt;="&amp;N453)*L453/ROUNDUP(L453,0)*SUMIFS(Donnees_annuelles!$AG$3:$AG$188,Donnees_annuelles!$A$3:$A$188,AR453)*SUMIFS(Donnees_annuelles!$AA$3:$AA$188,Donnees_annuelles!$A$3:$A$188,AR453)</f>
        <v/>
      </c>
      <c r="AT453" s="36">
        <f>AS453/V453</f>
        <v/>
      </c>
      <c r="AU453" s="14">
        <f>AL453</f>
        <v/>
      </c>
      <c r="AV453" s="39">
        <f>AS453-AL453</f>
        <v/>
      </c>
      <c r="AW453" s="9">
        <f>AS453/AL453-1</f>
        <v/>
      </c>
      <c r="AX453" s="14">
        <f>AS453/AJ453/12</f>
        <v/>
      </c>
      <c r="AY453" s="14">
        <f>AF453</f>
        <v/>
      </c>
      <c r="AZ453" s="39">
        <f>AX453-AF453</f>
        <v/>
      </c>
      <c r="BA453" s="14">
        <f>SUMIFS(Donnees_regimes!$S$3:$S$1118,Donnees_regimes!$A$3:$A$1118,C453,Donnees_regimes!$B$3:$B$1118,"&gt;="&amp;G453,Donnees_regimes!$B$3:$B$1118,"&lt;="&amp;N453)*L453/ROUNDUP(L453,0)*SUMIFS(Donnees_annuelles!$AH$3:$AH$188,Donnees_annuelles!$A$3:$A$188,AR453)*SUMIFS(Donnees_annuelles!$AA$3:$AA$188,Donnees_annuelles!$A$3:$A$188,AR453)</f>
        <v/>
      </c>
      <c r="BB453" s="39">
        <f>BA453-AL453</f>
        <v/>
      </c>
      <c r="BC453" s="7">
        <f>IF(M453+AJ453&gt;2026,IF(G453&gt;2026,"entièrement projeté","en partie projeté"),"observé")</f>
        <v/>
      </c>
    </row>
    <row r="454">
      <c r="A454" s="7" t="inlineStr">
        <is>
          <t>Génération Y</t>
        </is>
      </c>
      <c r="B454" s="84" t="inlineStr">
        <is>
          <t>RATP</t>
        </is>
      </c>
      <c r="C454" s="7">
        <f>IF(G454&gt;=SUMIFS(Regimes!$C$5:$C$10,Regimes!$A$5:$A$10,B454),"Privé",B454)</f>
        <v/>
      </c>
      <c r="D454" s="7">
        <f>INDEX(Regimes!$D$5:$D$10,MATCH(C454,Regimes!$A$5:$A$10,0))</f>
        <v/>
      </c>
      <c r="E454" s="88" t="n">
        <v>1987</v>
      </c>
      <c r="F454" s="8">
        <f>Donnees_generations!C75</f>
        <v/>
      </c>
      <c r="G454" s="77">
        <f>Donnees_generations!D75</f>
        <v/>
      </c>
      <c r="H454" s="8">
        <f>SUMIFS(Donnees_generations!$S$3:$S$113,Donnees_generations!$A$3:$A$113,MAX(1915,MIN(2025,E454)))</f>
        <v/>
      </c>
      <c r="I454" s="8">
        <f>SUMIFS(Donnees_generations!$T$3:$T$113,Donnees_generations!$A$3:$A$113,MAX(1915,MIN(2025,E454)))</f>
        <v/>
      </c>
      <c r="J454" s="8">
        <f>IF(G454&gt;=2000,MAX(I454,Parametres!$B$3),I454)</f>
        <v/>
      </c>
      <c r="K454" s="8">
        <f>IF(C454="Privé",J454,SUMIFS(Regles_regimes!$J$3:$J$2000,Regles_regimes!$A$3:$A$2000,C454,Regles_regimes!$B$3:$B$2000,D454,Regles_regimes!$C$3:$C$2000,MAX(1915,MIN(2025,E454))))</f>
        <v/>
      </c>
      <c r="L454" s="8">
        <f>IF(C454="Privé",H454,(K454-F454)*H454/(J454-F454))</f>
        <v/>
      </c>
      <c r="M454" s="77">
        <f>INT(E454+K454)</f>
        <v/>
      </c>
      <c r="N454" s="77">
        <f>G454+ROUNDUP(L454,0)-1</f>
        <v/>
      </c>
      <c r="O454" s="89">
        <f>SUMIFS(Regles_regimes!$K$3:$K$2000,Regles_regimes!$A$3:$A$2000,C454,Regles_regimes!$B$3:$B$2000,D454,Regles_regimes!$C$3:$C$2000,MAX(1915,MIN(2025,E454)))</f>
        <v/>
      </c>
      <c r="P454" s="13">
        <f>SUMIFS(Donnees_annuelles!$W$3:$W$188,Donnees_annuelles!$A$3:$A$188,"&gt;="&amp;G454,Donnees_annuelles!$A$3:$A$188,"&lt;="&amp;N454)*L454/ROUNDUP(L454,0)*O454</f>
        <v/>
      </c>
      <c r="Q454" s="13">
        <f>SUMIFS(Donnees_annuelles!$V$3:$V$188,Donnees_annuelles!$A$3:$A$188,"&gt;="&amp;G454,Donnees_annuelles!$A$3:$A$188,"&lt;="&amp;N454)*L454/ROUNDUP(L454,0)</f>
        <v/>
      </c>
      <c r="R454" s="13">
        <f>P454/L454</f>
        <v/>
      </c>
      <c r="S454" s="14">
        <f>SUMIFS(Donnees_annuelles!$D$3:$D$188,Donnees_annuelles!$A$3:$A$188,"&gt;="&amp;G454,Donnees_annuelles!$A$3:$A$188,"&lt;="&amp;N454)*L454/ROUNDUP(L454,0)</f>
        <v/>
      </c>
      <c r="T454" s="14">
        <f>SUMIFS(Donnees_regimes!$N$3:$N$1118,Donnees_regimes!$A$3:$A$1118,C454,Donnees_regimes!$B$3:$B$1118,"&gt;="&amp;G454,Donnees_regimes!$B$3:$B$1118,"&lt;="&amp;N454)*L454/ROUNDUP(L454,0)</f>
        <v/>
      </c>
      <c r="U454" s="14">
        <f>SUMIFS(Donnees_regimes!$O$3:$O$1118,Donnees_regimes!$A$3:$A$1118,C454,Donnees_regimes!$B$3:$B$1118,"&gt;="&amp;G454,Donnees_regimes!$B$3:$B$1118,"&lt;="&amp;N454)*L454/ROUNDUP(L454,0)</f>
        <v/>
      </c>
      <c r="V454" s="14">
        <f>T454+U454</f>
        <v/>
      </c>
      <c r="W454" s="33">
        <f>V454/S454</f>
        <v/>
      </c>
      <c r="X454" s="14">
        <f>S454+U454</f>
        <v/>
      </c>
      <c r="Y454" s="17">
        <f>V454/P454</f>
        <v/>
      </c>
      <c r="Z454" s="14">
        <f>SUMIFS(Donnees_regimes!$Q$3:$Q$1118,Donnees_regimes!$A$3:$A$1118,C454,Donnees_regimes!$B$3:$B$1118,"&gt;="&amp;G454,Donnees_regimes!$B$3:$B$1118,"&lt;="&amp;N454)*L454/ROUNDUP(L454,0)</f>
        <v/>
      </c>
      <c r="AA454" s="77">
        <f>SUMIFS(Regles_regimes!$F$3:$F$2000,Regles_regimes!$A$3:$A$2000,C454,Regles_regimes!$B$3:$B$2000,D454,Regles_regimes!$C$3:$C$2000,MAX(1915,MIN(2025,E454)))</f>
        <v/>
      </c>
      <c r="AB454" s="77">
        <f>IF(AND(SUMIFS(Regles_regimes!$L$3:$L$2000,Regles_regimes!$A$3:$A$2000,C454,Regles_regimes!$B$3:$B$2000,D454,Regles_regimes!$C$3:$C$2000,MAX(1915,MIN(2025,E454)))=1,G454&lt;2009,C454&lt;&gt;"Privé"),MIN(20,L454*4/5),0)</f>
        <v/>
      </c>
      <c r="AC454" s="89">
        <f>SUMIFS(Donnees_regimes!$M$3:$M$1118,Donnees_regimes!$A$3:$A$1118,C454,Donnees_regimes!$B$3:$B$1118,M454)</f>
        <v/>
      </c>
      <c r="AD454" s="14">
        <f>SUMIFS(Donnees_annuelles!$Y$3:$Y$188,Donnees_annuelles!$A$3:$A$188,M454)*SUMIFS(Donnees_generations!$I$3:$I$113,Donnees_generations!$A$3:$A$113,MAX(1915,MIN(2025,E454)))/H454</f>
        <v/>
      </c>
      <c r="AE454" s="14">
        <f>IF(C454="Privé",SUMIFS(Donnees_annuelles!$Y$3:$Y$188,Donnees_annuelles!$A$3:$A$188,M454)*MIN(L454,SUMIFS(Donnees_generations!$I$3:$I$113,Donnees_generations!$A$3:$A$113,MAX(1915,MIN(2025,E454))))/L454,AD454*AC454*MIN(IF(AB454&gt;0,0.8/0.75,1),(L454*4+AB454)/AA454))</f>
        <v/>
      </c>
      <c r="AF454" s="14">
        <f>AE454/12</f>
        <v/>
      </c>
      <c r="AG454" s="77">
        <f>MIN(68,MAX(56,2*INT(K454/2)))</f>
        <v/>
      </c>
      <c r="AH454" s="75">
        <f>(CHOOSE((AG454-56)/2+1,SUMIFS(Donnees_generations!$U$3:$U$113,Donnees_generations!$A$3:$A$113,MAX(1915,MIN(2025,E454))),SUMIFS(Donnees_generations!$V$3:$V$113,Donnees_generations!$A$3:$A$113,MAX(1915,MIN(2025,E454))),SUMIFS(Donnees_generations!$W$3:$W$113,Donnees_generations!$A$3:$A$113,MAX(1915,MIN(2025,E454))),SUMIFS(Donnees_generations!$X$3:$X$113,Donnees_generations!$A$3:$A$113,MAX(1915,MIN(2025,E454))),SUMIFS(Donnees_generations!$Y$3:$Y$113,Donnees_generations!$A$3:$A$113,MAX(1915,MIN(2025,E454))),SUMIFS(Donnees_generations!$Z$3:$Z$113,Donnees_generations!$A$3:$A$113,MAX(1915,MIN(2025,E454))),SUMIFS(Donnees_generations!$AA$3:$AA$113,Donnees_generations!$A$3:$A$113,MAX(1915,MIN(2025,E454))),SUMIFS(Donnees_generations!$AB$3:$AB$113,Donnees_generations!$A$3:$A$113,MAX(1915,MIN(2025,E454))))+CHOOSE((AG454-56)/2+1,SUMIFS(Donnees_generations!$AC$3:$AC$113,Donnees_generations!$A$3:$A$113,MAX(1915,MIN(2025,E454))),SUMIFS(Donnees_generations!$AD$3:$AD$113,Donnees_generations!$A$3:$A$113,MAX(1915,MIN(2025,E454))),SUMIFS(Donnees_generations!$AE$3:$AE$113,Donnees_generations!$A$3:$A$113,MAX(1915,MIN(2025,E454))),SUMIFS(Donnees_generations!$AF$3:$AF$113,Donnees_generations!$A$3:$A$113,MAX(1915,MIN(2025,E454))),SUMIFS(Donnees_generations!$AG$3:$AG$113,Donnees_generations!$A$3:$A$113,MAX(1915,MIN(2025,E454))),SUMIFS(Donnees_generations!$AH$3:$AH$113,Donnees_generations!$A$3:$A$113,MAX(1915,MIN(2025,E454))),SUMIFS(Donnees_generations!$AI$3:$AI$113,Donnees_generations!$A$3:$A$113,MAX(1915,MIN(2025,E454))),SUMIFS(Donnees_generations!$AJ$3:$AJ$113,Donnees_generations!$A$3:$A$113,MAX(1915,MIN(2025,E454)))))/2</f>
        <v/>
      </c>
      <c r="AI454" s="75">
        <f>(CHOOSE(((AG454+2)-56)/2+1,SUMIFS(Donnees_generations!$U$3:$U$113,Donnees_generations!$A$3:$A$113,MAX(1915,MIN(2025,E454))),SUMIFS(Donnees_generations!$V$3:$V$113,Donnees_generations!$A$3:$A$113,MAX(1915,MIN(2025,E454))),SUMIFS(Donnees_generations!$W$3:$W$113,Donnees_generations!$A$3:$A$113,MAX(1915,MIN(2025,E454))),SUMIFS(Donnees_generations!$X$3:$X$113,Donnees_generations!$A$3:$A$113,MAX(1915,MIN(2025,E454))),SUMIFS(Donnees_generations!$Y$3:$Y$113,Donnees_generations!$A$3:$A$113,MAX(1915,MIN(2025,E454))),SUMIFS(Donnees_generations!$Z$3:$Z$113,Donnees_generations!$A$3:$A$113,MAX(1915,MIN(2025,E454))),SUMIFS(Donnees_generations!$AA$3:$AA$113,Donnees_generations!$A$3:$A$113,MAX(1915,MIN(2025,E454))),SUMIFS(Donnees_generations!$AB$3:$AB$113,Donnees_generations!$A$3:$A$113,MAX(1915,MIN(2025,E454))))+CHOOSE(((AG454+2)-56)/2+1,SUMIFS(Donnees_generations!$AC$3:$AC$113,Donnees_generations!$A$3:$A$113,MAX(1915,MIN(2025,E454))),SUMIFS(Donnees_generations!$AD$3:$AD$113,Donnees_generations!$A$3:$A$113,MAX(1915,MIN(2025,E454))),SUMIFS(Donnees_generations!$AE$3:$AE$113,Donnees_generations!$A$3:$A$113,MAX(1915,MIN(2025,E454))),SUMIFS(Donnees_generations!$AF$3:$AF$113,Donnees_generations!$A$3:$A$113,MAX(1915,MIN(2025,E454))),SUMIFS(Donnees_generations!$AG$3:$AG$113,Donnees_generations!$A$3:$A$113,MAX(1915,MIN(2025,E454))),SUMIFS(Donnees_generations!$AH$3:$AH$113,Donnees_generations!$A$3:$A$113,MAX(1915,MIN(2025,E454))),SUMIFS(Donnees_generations!$AI$3:$AI$113,Donnees_generations!$A$3:$A$113,MAX(1915,MIN(2025,E454))),SUMIFS(Donnees_generations!$AJ$3:$AJ$113,Donnees_generations!$A$3:$A$113,MAX(1915,MIN(2025,E454)))))/2</f>
        <v/>
      </c>
      <c r="AJ454" s="8">
        <f>MAX(0,AH454+(AI454-AH454)*(K454-AG454)/2)</f>
        <v/>
      </c>
      <c r="AK454" s="8">
        <f>K454+AJ454</f>
        <v/>
      </c>
      <c r="AL454" s="14">
        <f>AE454*AJ454</f>
        <v/>
      </c>
      <c r="AM454" s="17">
        <f>V454/AL454</f>
        <v/>
      </c>
      <c r="AN454" s="17">
        <f>Z454/AL454</f>
        <v/>
      </c>
      <c r="AO454" s="33">
        <f>IF(V454+Z454=0,0,Z454/(V454+Z454))</f>
        <v/>
      </c>
      <c r="AP454" s="14">
        <f>AL454/V454*100</f>
        <v/>
      </c>
      <c r="AQ454" s="8">
        <f>P454/AL454*1000</f>
        <v/>
      </c>
      <c r="AR454" s="77">
        <f>MAX(N454,M454-1)</f>
        <v/>
      </c>
      <c r="AS454" s="14">
        <f>SUMIFS(Donnees_regimes!$R$3:$R$1118,Donnees_regimes!$A$3:$A$1118,C454,Donnees_regimes!$B$3:$B$1118,"&gt;="&amp;G454,Donnees_regimes!$B$3:$B$1118,"&lt;="&amp;N454)*L454/ROUNDUP(L454,0)*SUMIFS(Donnees_annuelles!$AG$3:$AG$188,Donnees_annuelles!$A$3:$A$188,AR454)*SUMIFS(Donnees_annuelles!$AA$3:$AA$188,Donnees_annuelles!$A$3:$A$188,AR454)</f>
        <v/>
      </c>
      <c r="AT454" s="36">
        <f>AS454/V454</f>
        <v/>
      </c>
      <c r="AU454" s="14">
        <f>AL454</f>
        <v/>
      </c>
      <c r="AV454" s="39">
        <f>AS454-AL454</f>
        <v/>
      </c>
      <c r="AW454" s="9">
        <f>AS454/AL454-1</f>
        <v/>
      </c>
      <c r="AX454" s="14">
        <f>AS454/AJ454/12</f>
        <v/>
      </c>
      <c r="AY454" s="14">
        <f>AF454</f>
        <v/>
      </c>
      <c r="AZ454" s="39">
        <f>AX454-AF454</f>
        <v/>
      </c>
      <c r="BA454" s="14">
        <f>SUMIFS(Donnees_regimes!$S$3:$S$1118,Donnees_regimes!$A$3:$A$1118,C454,Donnees_regimes!$B$3:$B$1118,"&gt;="&amp;G454,Donnees_regimes!$B$3:$B$1118,"&lt;="&amp;N454)*L454/ROUNDUP(L454,0)*SUMIFS(Donnees_annuelles!$AH$3:$AH$188,Donnees_annuelles!$A$3:$A$188,AR454)*SUMIFS(Donnees_annuelles!$AA$3:$AA$188,Donnees_annuelles!$A$3:$A$188,AR454)</f>
        <v/>
      </c>
      <c r="BB454" s="39">
        <f>BA454-AL454</f>
        <v/>
      </c>
      <c r="BC454" s="7">
        <f>IF(M454+AJ454&gt;2026,IF(G454&gt;2026,"entièrement projeté","en partie projeté"),"observé")</f>
        <v/>
      </c>
    </row>
    <row r="455">
      <c r="A455" s="7" t="inlineStr">
        <is>
          <t>Génération Y</t>
        </is>
      </c>
      <c r="B455" s="84" t="inlineStr">
        <is>
          <t>RATP</t>
        </is>
      </c>
      <c r="C455" s="7">
        <f>IF(G455&gt;=SUMIFS(Regimes!$C$5:$C$10,Regimes!$A$5:$A$10,B455),"Privé",B455)</f>
        <v/>
      </c>
      <c r="D455" s="7">
        <f>INDEX(Regimes!$D$5:$D$10,MATCH(C455,Regimes!$A$5:$A$10,0))</f>
        <v/>
      </c>
      <c r="E455" s="88" t="n">
        <v>1988</v>
      </c>
      <c r="F455" s="8">
        <f>Donnees_generations!C76</f>
        <v/>
      </c>
      <c r="G455" s="77">
        <f>Donnees_generations!D76</f>
        <v/>
      </c>
      <c r="H455" s="8">
        <f>SUMIFS(Donnees_generations!$S$3:$S$113,Donnees_generations!$A$3:$A$113,MAX(1915,MIN(2025,E455)))</f>
        <v/>
      </c>
      <c r="I455" s="8">
        <f>SUMIFS(Donnees_generations!$T$3:$T$113,Donnees_generations!$A$3:$A$113,MAX(1915,MIN(2025,E455)))</f>
        <v/>
      </c>
      <c r="J455" s="8">
        <f>IF(G455&gt;=2000,MAX(I455,Parametres!$B$3),I455)</f>
        <v/>
      </c>
      <c r="K455" s="8">
        <f>IF(C455="Privé",J455,SUMIFS(Regles_regimes!$J$3:$J$2000,Regles_regimes!$A$3:$A$2000,C455,Regles_regimes!$B$3:$B$2000,D455,Regles_regimes!$C$3:$C$2000,MAX(1915,MIN(2025,E455))))</f>
        <v/>
      </c>
      <c r="L455" s="8">
        <f>IF(C455="Privé",H455,(K455-F455)*H455/(J455-F455))</f>
        <v/>
      </c>
      <c r="M455" s="77">
        <f>INT(E455+K455)</f>
        <v/>
      </c>
      <c r="N455" s="77">
        <f>G455+ROUNDUP(L455,0)-1</f>
        <v/>
      </c>
      <c r="O455" s="89">
        <f>SUMIFS(Regles_regimes!$K$3:$K$2000,Regles_regimes!$A$3:$A$2000,C455,Regles_regimes!$B$3:$B$2000,D455,Regles_regimes!$C$3:$C$2000,MAX(1915,MIN(2025,E455)))</f>
        <v/>
      </c>
      <c r="P455" s="13">
        <f>SUMIFS(Donnees_annuelles!$W$3:$W$188,Donnees_annuelles!$A$3:$A$188,"&gt;="&amp;G455,Donnees_annuelles!$A$3:$A$188,"&lt;="&amp;N455)*L455/ROUNDUP(L455,0)*O455</f>
        <v/>
      </c>
      <c r="Q455" s="13">
        <f>SUMIFS(Donnees_annuelles!$V$3:$V$188,Donnees_annuelles!$A$3:$A$188,"&gt;="&amp;G455,Donnees_annuelles!$A$3:$A$188,"&lt;="&amp;N455)*L455/ROUNDUP(L455,0)</f>
        <v/>
      </c>
      <c r="R455" s="13">
        <f>P455/L455</f>
        <v/>
      </c>
      <c r="S455" s="14">
        <f>SUMIFS(Donnees_annuelles!$D$3:$D$188,Donnees_annuelles!$A$3:$A$188,"&gt;="&amp;G455,Donnees_annuelles!$A$3:$A$188,"&lt;="&amp;N455)*L455/ROUNDUP(L455,0)</f>
        <v/>
      </c>
      <c r="T455" s="14">
        <f>SUMIFS(Donnees_regimes!$N$3:$N$1118,Donnees_regimes!$A$3:$A$1118,C455,Donnees_regimes!$B$3:$B$1118,"&gt;="&amp;G455,Donnees_regimes!$B$3:$B$1118,"&lt;="&amp;N455)*L455/ROUNDUP(L455,0)</f>
        <v/>
      </c>
      <c r="U455" s="14">
        <f>SUMIFS(Donnees_regimes!$O$3:$O$1118,Donnees_regimes!$A$3:$A$1118,C455,Donnees_regimes!$B$3:$B$1118,"&gt;="&amp;G455,Donnees_regimes!$B$3:$B$1118,"&lt;="&amp;N455)*L455/ROUNDUP(L455,0)</f>
        <v/>
      </c>
      <c r="V455" s="14">
        <f>T455+U455</f>
        <v/>
      </c>
      <c r="W455" s="33">
        <f>V455/S455</f>
        <v/>
      </c>
      <c r="X455" s="14">
        <f>S455+U455</f>
        <v/>
      </c>
      <c r="Y455" s="17">
        <f>V455/P455</f>
        <v/>
      </c>
      <c r="Z455" s="14">
        <f>SUMIFS(Donnees_regimes!$Q$3:$Q$1118,Donnees_regimes!$A$3:$A$1118,C455,Donnees_regimes!$B$3:$B$1118,"&gt;="&amp;G455,Donnees_regimes!$B$3:$B$1118,"&lt;="&amp;N455)*L455/ROUNDUP(L455,0)</f>
        <v/>
      </c>
      <c r="AA455" s="77">
        <f>SUMIFS(Regles_regimes!$F$3:$F$2000,Regles_regimes!$A$3:$A$2000,C455,Regles_regimes!$B$3:$B$2000,D455,Regles_regimes!$C$3:$C$2000,MAX(1915,MIN(2025,E455)))</f>
        <v/>
      </c>
      <c r="AB455" s="77">
        <f>IF(AND(SUMIFS(Regles_regimes!$L$3:$L$2000,Regles_regimes!$A$3:$A$2000,C455,Regles_regimes!$B$3:$B$2000,D455,Regles_regimes!$C$3:$C$2000,MAX(1915,MIN(2025,E455)))=1,G455&lt;2009,C455&lt;&gt;"Privé"),MIN(20,L455*4/5),0)</f>
        <v/>
      </c>
      <c r="AC455" s="89">
        <f>SUMIFS(Donnees_regimes!$M$3:$M$1118,Donnees_regimes!$A$3:$A$1118,C455,Donnees_regimes!$B$3:$B$1118,M455)</f>
        <v/>
      </c>
      <c r="AD455" s="14">
        <f>SUMIFS(Donnees_annuelles!$Y$3:$Y$188,Donnees_annuelles!$A$3:$A$188,M455)*SUMIFS(Donnees_generations!$I$3:$I$113,Donnees_generations!$A$3:$A$113,MAX(1915,MIN(2025,E455)))/H455</f>
        <v/>
      </c>
      <c r="AE455" s="14">
        <f>IF(C455="Privé",SUMIFS(Donnees_annuelles!$Y$3:$Y$188,Donnees_annuelles!$A$3:$A$188,M455)*MIN(L455,SUMIFS(Donnees_generations!$I$3:$I$113,Donnees_generations!$A$3:$A$113,MAX(1915,MIN(2025,E455))))/L455,AD455*AC455*MIN(IF(AB455&gt;0,0.8/0.75,1),(L455*4+AB455)/AA455))</f>
        <v/>
      </c>
      <c r="AF455" s="14">
        <f>AE455/12</f>
        <v/>
      </c>
      <c r="AG455" s="77">
        <f>MIN(68,MAX(56,2*INT(K455/2)))</f>
        <v/>
      </c>
      <c r="AH455" s="75">
        <f>(CHOOSE((AG455-56)/2+1,SUMIFS(Donnees_generations!$U$3:$U$113,Donnees_generations!$A$3:$A$113,MAX(1915,MIN(2025,E455))),SUMIFS(Donnees_generations!$V$3:$V$113,Donnees_generations!$A$3:$A$113,MAX(1915,MIN(2025,E455))),SUMIFS(Donnees_generations!$W$3:$W$113,Donnees_generations!$A$3:$A$113,MAX(1915,MIN(2025,E455))),SUMIFS(Donnees_generations!$X$3:$X$113,Donnees_generations!$A$3:$A$113,MAX(1915,MIN(2025,E455))),SUMIFS(Donnees_generations!$Y$3:$Y$113,Donnees_generations!$A$3:$A$113,MAX(1915,MIN(2025,E455))),SUMIFS(Donnees_generations!$Z$3:$Z$113,Donnees_generations!$A$3:$A$113,MAX(1915,MIN(2025,E455))),SUMIFS(Donnees_generations!$AA$3:$AA$113,Donnees_generations!$A$3:$A$113,MAX(1915,MIN(2025,E455))),SUMIFS(Donnees_generations!$AB$3:$AB$113,Donnees_generations!$A$3:$A$113,MAX(1915,MIN(2025,E455))))+CHOOSE((AG455-56)/2+1,SUMIFS(Donnees_generations!$AC$3:$AC$113,Donnees_generations!$A$3:$A$113,MAX(1915,MIN(2025,E455))),SUMIFS(Donnees_generations!$AD$3:$AD$113,Donnees_generations!$A$3:$A$113,MAX(1915,MIN(2025,E455))),SUMIFS(Donnees_generations!$AE$3:$AE$113,Donnees_generations!$A$3:$A$113,MAX(1915,MIN(2025,E455))),SUMIFS(Donnees_generations!$AF$3:$AF$113,Donnees_generations!$A$3:$A$113,MAX(1915,MIN(2025,E455))),SUMIFS(Donnees_generations!$AG$3:$AG$113,Donnees_generations!$A$3:$A$113,MAX(1915,MIN(2025,E455))),SUMIFS(Donnees_generations!$AH$3:$AH$113,Donnees_generations!$A$3:$A$113,MAX(1915,MIN(2025,E455))),SUMIFS(Donnees_generations!$AI$3:$AI$113,Donnees_generations!$A$3:$A$113,MAX(1915,MIN(2025,E455))),SUMIFS(Donnees_generations!$AJ$3:$AJ$113,Donnees_generations!$A$3:$A$113,MAX(1915,MIN(2025,E455)))))/2</f>
        <v/>
      </c>
      <c r="AI455" s="75">
        <f>(CHOOSE(((AG455+2)-56)/2+1,SUMIFS(Donnees_generations!$U$3:$U$113,Donnees_generations!$A$3:$A$113,MAX(1915,MIN(2025,E455))),SUMIFS(Donnees_generations!$V$3:$V$113,Donnees_generations!$A$3:$A$113,MAX(1915,MIN(2025,E455))),SUMIFS(Donnees_generations!$W$3:$W$113,Donnees_generations!$A$3:$A$113,MAX(1915,MIN(2025,E455))),SUMIFS(Donnees_generations!$X$3:$X$113,Donnees_generations!$A$3:$A$113,MAX(1915,MIN(2025,E455))),SUMIFS(Donnees_generations!$Y$3:$Y$113,Donnees_generations!$A$3:$A$113,MAX(1915,MIN(2025,E455))),SUMIFS(Donnees_generations!$Z$3:$Z$113,Donnees_generations!$A$3:$A$113,MAX(1915,MIN(2025,E455))),SUMIFS(Donnees_generations!$AA$3:$AA$113,Donnees_generations!$A$3:$A$113,MAX(1915,MIN(2025,E455))),SUMIFS(Donnees_generations!$AB$3:$AB$113,Donnees_generations!$A$3:$A$113,MAX(1915,MIN(2025,E455))))+CHOOSE(((AG455+2)-56)/2+1,SUMIFS(Donnees_generations!$AC$3:$AC$113,Donnees_generations!$A$3:$A$113,MAX(1915,MIN(2025,E455))),SUMIFS(Donnees_generations!$AD$3:$AD$113,Donnees_generations!$A$3:$A$113,MAX(1915,MIN(2025,E455))),SUMIFS(Donnees_generations!$AE$3:$AE$113,Donnees_generations!$A$3:$A$113,MAX(1915,MIN(2025,E455))),SUMIFS(Donnees_generations!$AF$3:$AF$113,Donnees_generations!$A$3:$A$113,MAX(1915,MIN(2025,E455))),SUMIFS(Donnees_generations!$AG$3:$AG$113,Donnees_generations!$A$3:$A$113,MAX(1915,MIN(2025,E455))),SUMIFS(Donnees_generations!$AH$3:$AH$113,Donnees_generations!$A$3:$A$113,MAX(1915,MIN(2025,E455))),SUMIFS(Donnees_generations!$AI$3:$AI$113,Donnees_generations!$A$3:$A$113,MAX(1915,MIN(2025,E455))),SUMIFS(Donnees_generations!$AJ$3:$AJ$113,Donnees_generations!$A$3:$A$113,MAX(1915,MIN(2025,E455)))))/2</f>
        <v/>
      </c>
      <c r="AJ455" s="8">
        <f>MAX(0,AH455+(AI455-AH455)*(K455-AG455)/2)</f>
        <v/>
      </c>
      <c r="AK455" s="8">
        <f>K455+AJ455</f>
        <v/>
      </c>
      <c r="AL455" s="14">
        <f>AE455*AJ455</f>
        <v/>
      </c>
      <c r="AM455" s="17">
        <f>V455/AL455</f>
        <v/>
      </c>
      <c r="AN455" s="17">
        <f>Z455/AL455</f>
        <v/>
      </c>
      <c r="AO455" s="33">
        <f>IF(V455+Z455=0,0,Z455/(V455+Z455))</f>
        <v/>
      </c>
      <c r="AP455" s="14">
        <f>AL455/V455*100</f>
        <v/>
      </c>
      <c r="AQ455" s="8">
        <f>P455/AL455*1000</f>
        <v/>
      </c>
      <c r="AR455" s="77">
        <f>MAX(N455,M455-1)</f>
        <v/>
      </c>
      <c r="AS455" s="14">
        <f>SUMIFS(Donnees_regimes!$R$3:$R$1118,Donnees_regimes!$A$3:$A$1118,C455,Donnees_regimes!$B$3:$B$1118,"&gt;="&amp;G455,Donnees_regimes!$B$3:$B$1118,"&lt;="&amp;N455)*L455/ROUNDUP(L455,0)*SUMIFS(Donnees_annuelles!$AG$3:$AG$188,Donnees_annuelles!$A$3:$A$188,AR455)*SUMIFS(Donnees_annuelles!$AA$3:$AA$188,Donnees_annuelles!$A$3:$A$188,AR455)</f>
        <v/>
      </c>
      <c r="AT455" s="36">
        <f>AS455/V455</f>
        <v/>
      </c>
      <c r="AU455" s="14">
        <f>AL455</f>
        <v/>
      </c>
      <c r="AV455" s="39">
        <f>AS455-AL455</f>
        <v/>
      </c>
      <c r="AW455" s="9">
        <f>AS455/AL455-1</f>
        <v/>
      </c>
      <c r="AX455" s="14">
        <f>AS455/AJ455/12</f>
        <v/>
      </c>
      <c r="AY455" s="14">
        <f>AF455</f>
        <v/>
      </c>
      <c r="AZ455" s="39">
        <f>AX455-AF455</f>
        <v/>
      </c>
      <c r="BA455" s="14">
        <f>SUMIFS(Donnees_regimes!$S$3:$S$1118,Donnees_regimes!$A$3:$A$1118,C455,Donnees_regimes!$B$3:$B$1118,"&gt;="&amp;G455,Donnees_regimes!$B$3:$B$1118,"&lt;="&amp;N455)*L455/ROUNDUP(L455,0)*SUMIFS(Donnees_annuelles!$AH$3:$AH$188,Donnees_annuelles!$A$3:$A$188,AR455)*SUMIFS(Donnees_annuelles!$AA$3:$AA$188,Donnees_annuelles!$A$3:$A$188,AR455)</f>
        <v/>
      </c>
      <c r="BB455" s="39">
        <f>BA455-AL455</f>
        <v/>
      </c>
      <c r="BC455" s="7">
        <f>IF(M455+AJ455&gt;2026,IF(G455&gt;2026,"entièrement projeté","en partie projeté"),"observé")</f>
        <v/>
      </c>
    </row>
    <row r="456">
      <c r="A456" s="7" t="inlineStr">
        <is>
          <t>Génération Y</t>
        </is>
      </c>
      <c r="B456" s="84" t="inlineStr">
        <is>
          <t>RATP</t>
        </is>
      </c>
      <c r="C456" s="7">
        <f>IF(G456&gt;=SUMIFS(Regimes!$C$5:$C$10,Regimes!$A$5:$A$10,B456),"Privé",B456)</f>
        <v/>
      </c>
      <c r="D456" s="7">
        <f>INDEX(Regimes!$D$5:$D$10,MATCH(C456,Regimes!$A$5:$A$10,0))</f>
        <v/>
      </c>
      <c r="E456" s="88" t="n">
        <v>1989</v>
      </c>
      <c r="F456" s="8">
        <f>Donnees_generations!C77</f>
        <v/>
      </c>
      <c r="G456" s="77">
        <f>Donnees_generations!D77</f>
        <v/>
      </c>
      <c r="H456" s="8">
        <f>SUMIFS(Donnees_generations!$S$3:$S$113,Donnees_generations!$A$3:$A$113,MAX(1915,MIN(2025,E456)))</f>
        <v/>
      </c>
      <c r="I456" s="8">
        <f>SUMIFS(Donnees_generations!$T$3:$T$113,Donnees_generations!$A$3:$A$113,MAX(1915,MIN(2025,E456)))</f>
        <v/>
      </c>
      <c r="J456" s="8">
        <f>IF(G456&gt;=2000,MAX(I456,Parametres!$B$3),I456)</f>
        <v/>
      </c>
      <c r="K456" s="8">
        <f>IF(C456="Privé",J456,SUMIFS(Regles_regimes!$J$3:$J$2000,Regles_regimes!$A$3:$A$2000,C456,Regles_regimes!$B$3:$B$2000,D456,Regles_regimes!$C$3:$C$2000,MAX(1915,MIN(2025,E456))))</f>
        <v/>
      </c>
      <c r="L456" s="8">
        <f>IF(C456="Privé",H456,(K456-F456)*H456/(J456-F456))</f>
        <v/>
      </c>
      <c r="M456" s="77">
        <f>INT(E456+K456)</f>
        <v/>
      </c>
      <c r="N456" s="77">
        <f>G456+ROUNDUP(L456,0)-1</f>
        <v/>
      </c>
      <c r="O456" s="89">
        <f>SUMIFS(Regles_regimes!$K$3:$K$2000,Regles_regimes!$A$3:$A$2000,C456,Regles_regimes!$B$3:$B$2000,D456,Regles_regimes!$C$3:$C$2000,MAX(1915,MIN(2025,E456)))</f>
        <v/>
      </c>
      <c r="P456" s="13">
        <f>SUMIFS(Donnees_annuelles!$W$3:$W$188,Donnees_annuelles!$A$3:$A$188,"&gt;="&amp;G456,Donnees_annuelles!$A$3:$A$188,"&lt;="&amp;N456)*L456/ROUNDUP(L456,0)*O456</f>
        <v/>
      </c>
      <c r="Q456" s="13">
        <f>SUMIFS(Donnees_annuelles!$V$3:$V$188,Donnees_annuelles!$A$3:$A$188,"&gt;="&amp;G456,Donnees_annuelles!$A$3:$A$188,"&lt;="&amp;N456)*L456/ROUNDUP(L456,0)</f>
        <v/>
      </c>
      <c r="R456" s="13">
        <f>P456/L456</f>
        <v/>
      </c>
      <c r="S456" s="14">
        <f>SUMIFS(Donnees_annuelles!$D$3:$D$188,Donnees_annuelles!$A$3:$A$188,"&gt;="&amp;G456,Donnees_annuelles!$A$3:$A$188,"&lt;="&amp;N456)*L456/ROUNDUP(L456,0)</f>
        <v/>
      </c>
      <c r="T456" s="14">
        <f>SUMIFS(Donnees_regimes!$N$3:$N$1118,Donnees_regimes!$A$3:$A$1118,C456,Donnees_regimes!$B$3:$B$1118,"&gt;="&amp;G456,Donnees_regimes!$B$3:$B$1118,"&lt;="&amp;N456)*L456/ROUNDUP(L456,0)</f>
        <v/>
      </c>
      <c r="U456" s="14">
        <f>SUMIFS(Donnees_regimes!$O$3:$O$1118,Donnees_regimes!$A$3:$A$1118,C456,Donnees_regimes!$B$3:$B$1118,"&gt;="&amp;G456,Donnees_regimes!$B$3:$B$1118,"&lt;="&amp;N456)*L456/ROUNDUP(L456,0)</f>
        <v/>
      </c>
      <c r="V456" s="14">
        <f>T456+U456</f>
        <v/>
      </c>
      <c r="W456" s="33">
        <f>V456/S456</f>
        <v/>
      </c>
      <c r="X456" s="14">
        <f>S456+U456</f>
        <v/>
      </c>
      <c r="Y456" s="17">
        <f>V456/P456</f>
        <v/>
      </c>
      <c r="Z456" s="14">
        <f>SUMIFS(Donnees_regimes!$Q$3:$Q$1118,Donnees_regimes!$A$3:$A$1118,C456,Donnees_regimes!$B$3:$B$1118,"&gt;="&amp;G456,Donnees_regimes!$B$3:$B$1118,"&lt;="&amp;N456)*L456/ROUNDUP(L456,0)</f>
        <v/>
      </c>
      <c r="AA456" s="77">
        <f>SUMIFS(Regles_regimes!$F$3:$F$2000,Regles_regimes!$A$3:$A$2000,C456,Regles_regimes!$B$3:$B$2000,D456,Regles_regimes!$C$3:$C$2000,MAX(1915,MIN(2025,E456)))</f>
        <v/>
      </c>
      <c r="AB456" s="77">
        <f>IF(AND(SUMIFS(Regles_regimes!$L$3:$L$2000,Regles_regimes!$A$3:$A$2000,C456,Regles_regimes!$B$3:$B$2000,D456,Regles_regimes!$C$3:$C$2000,MAX(1915,MIN(2025,E456)))=1,G456&lt;2009,C456&lt;&gt;"Privé"),MIN(20,L456*4/5),0)</f>
        <v/>
      </c>
      <c r="AC456" s="89">
        <f>SUMIFS(Donnees_regimes!$M$3:$M$1118,Donnees_regimes!$A$3:$A$1118,C456,Donnees_regimes!$B$3:$B$1118,M456)</f>
        <v/>
      </c>
      <c r="AD456" s="14">
        <f>SUMIFS(Donnees_annuelles!$Y$3:$Y$188,Donnees_annuelles!$A$3:$A$188,M456)*SUMIFS(Donnees_generations!$I$3:$I$113,Donnees_generations!$A$3:$A$113,MAX(1915,MIN(2025,E456)))/H456</f>
        <v/>
      </c>
      <c r="AE456" s="14">
        <f>IF(C456="Privé",SUMIFS(Donnees_annuelles!$Y$3:$Y$188,Donnees_annuelles!$A$3:$A$188,M456)*MIN(L456,SUMIFS(Donnees_generations!$I$3:$I$113,Donnees_generations!$A$3:$A$113,MAX(1915,MIN(2025,E456))))/L456,AD456*AC456*MIN(IF(AB456&gt;0,0.8/0.75,1),(L456*4+AB456)/AA456))</f>
        <v/>
      </c>
      <c r="AF456" s="14">
        <f>AE456/12</f>
        <v/>
      </c>
      <c r="AG456" s="77">
        <f>MIN(68,MAX(56,2*INT(K456/2)))</f>
        <v/>
      </c>
      <c r="AH456" s="75">
        <f>(CHOOSE((AG456-56)/2+1,SUMIFS(Donnees_generations!$U$3:$U$113,Donnees_generations!$A$3:$A$113,MAX(1915,MIN(2025,E456))),SUMIFS(Donnees_generations!$V$3:$V$113,Donnees_generations!$A$3:$A$113,MAX(1915,MIN(2025,E456))),SUMIFS(Donnees_generations!$W$3:$W$113,Donnees_generations!$A$3:$A$113,MAX(1915,MIN(2025,E456))),SUMIFS(Donnees_generations!$X$3:$X$113,Donnees_generations!$A$3:$A$113,MAX(1915,MIN(2025,E456))),SUMIFS(Donnees_generations!$Y$3:$Y$113,Donnees_generations!$A$3:$A$113,MAX(1915,MIN(2025,E456))),SUMIFS(Donnees_generations!$Z$3:$Z$113,Donnees_generations!$A$3:$A$113,MAX(1915,MIN(2025,E456))),SUMIFS(Donnees_generations!$AA$3:$AA$113,Donnees_generations!$A$3:$A$113,MAX(1915,MIN(2025,E456))),SUMIFS(Donnees_generations!$AB$3:$AB$113,Donnees_generations!$A$3:$A$113,MAX(1915,MIN(2025,E456))))+CHOOSE((AG456-56)/2+1,SUMIFS(Donnees_generations!$AC$3:$AC$113,Donnees_generations!$A$3:$A$113,MAX(1915,MIN(2025,E456))),SUMIFS(Donnees_generations!$AD$3:$AD$113,Donnees_generations!$A$3:$A$113,MAX(1915,MIN(2025,E456))),SUMIFS(Donnees_generations!$AE$3:$AE$113,Donnees_generations!$A$3:$A$113,MAX(1915,MIN(2025,E456))),SUMIFS(Donnees_generations!$AF$3:$AF$113,Donnees_generations!$A$3:$A$113,MAX(1915,MIN(2025,E456))),SUMIFS(Donnees_generations!$AG$3:$AG$113,Donnees_generations!$A$3:$A$113,MAX(1915,MIN(2025,E456))),SUMIFS(Donnees_generations!$AH$3:$AH$113,Donnees_generations!$A$3:$A$113,MAX(1915,MIN(2025,E456))),SUMIFS(Donnees_generations!$AI$3:$AI$113,Donnees_generations!$A$3:$A$113,MAX(1915,MIN(2025,E456))),SUMIFS(Donnees_generations!$AJ$3:$AJ$113,Donnees_generations!$A$3:$A$113,MAX(1915,MIN(2025,E456)))))/2</f>
        <v/>
      </c>
      <c r="AI456" s="75">
        <f>(CHOOSE(((AG456+2)-56)/2+1,SUMIFS(Donnees_generations!$U$3:$U$113,Donnees_generations!$A$3:$A$113,MAX(1915,MIN(2025,E456))),SUMIFS(Donnees_generations!$V$3:$V$113,Donnees_generations!$A$3:$A$113,MAX(1915,MIN(2025,E456))),SUMIFS(Donnees_generations!$W$3:$W$113,Donnees_generations!$A$3:$A$113,MAX(1915,MIN(2025,E456))),SUMIFS(Donnees_generations!$X$3:$X$113,Donnees_generations!$A$3:$A$113,MAX(1915,MIN(2025,E456))),SUMIFS(Donnees_generations!$Y$3:$Y$113,Donnees_generations!$A$3:$A$113,MAX(1915,MIN(2025,E456))),SUMIFS(Donnees_generations!$Z$3:$Z$113,Donnees_generations!$A$3:$A$113,MAX(1915,MIN(2025,E456))),SUMIFS(Donnees_generations!$AA$3:$AA$113,Donnees_generations!$A$3:$A$113,MAX(1915,MIN(2025,E456))),SUMIFS(Donnees_generations!$AB$3:$AB$113,Donnees_generations!$A$3:$A$113,MAX(1915,MIN(2025,E456))))+CHOOSE(((AG456+2)-56)/2+1,SUMIFS(Donnees_generations!$AC$3:$AC$113,Donnees_generations!$A$3:$A$113,MAX(1915,MIN(2025,E456))),SUMIFS(Donnees_generations!$AD$3:$AD$113,Donnees_generations!$A$3:$A$113,MAX(1915,MIN(2025,E456))),SUMIFS(Donnees_generations!$AE$3:$AE$113,Donnees_generations!$A$3:$A$113,MAX(1915,MIN(2025,E456))),SUMIFS(Donnees_generations!$AF$3:$AF$113,Donnees_generations!$A$3:$A$113,MAX(1915,MIN(2025,E456))),SUMIFS(Donnees_generations!$AG$3:$AG$113,Donnees_generations!$A$3:$A$113,MAX(1915,MIN(2025,E456))),SUMIFS(Donnees_generations!$AH$3:$AH$113,Donnees_generations!$A$3:$A$113,MAX(1915,MIN(2025,E456))),SUMIFS(Donnees_generations!$AI$3:$AI$113,Donnees_generations!$A$3:$A$113,MAX(1915,MIN(2025,E456))),SUMIFS(Donnees_generations!$AJ$3:$AJ$113,Donnees_generations!$A$3:$A$113,MAX(1915,MIN(2025,E456)))))/2</f>
        <v/>
      </c>
      <c r="AJ456" s="8">
        <f>MAX(0,AH456+(AI456-AH456)*(K456-AG456)/2)</f>
        <v/>
      </c>
      <c r="AK456" s="8">
        <f>K456+AJ456</f>
        <v/>
      </c>
      <c r="AL456" s="14">
        <f>AE456*AJ456</f>
        <v/>
      </c>
      <c r="AM456" s="17">
        <f>V456/AL456</f>
        <v/>
      </c>
      <c r="AN456" s="17">
        <f>Z456/AL456</f>
        <v/>
      </c>
      <c r="AO456" s="33">
        <f>IF(V456+Z456=0,0,Z456/(V456+Z456))</f>
        <v/>
      </c>
      <c r="AP456" s="14">
        <f>AL456/V456*100</f>
        <v/>
      </c>
      <c r="AQ456" s="8">
        <f>P456/AL456*1000</f>
        <v/>
      </c>
      <c r="AR456" s="77">
        <f>MAX(N456,M456-1)</f>
        <v/>
      </c>
      <c r="AS456" s="14">
        <f>SUMIFS(Donnees_regimes!$R$3:$R$1118,Donnees_regimes!$A$3:$A$1118,C456,Donnees_regimes!$B$3:$B$1118,"&gt;="&amp;G456,Donnees_regimes!$B$3:$B$1118,"&lt;="&amp;N456)*L456/ROUNDUP(L456,0)*SUMIFS(Donnees_annuelles!$AG$3:$AG$188,Donnees_annuelles!$A$3:$A$188,AR456)*SUMIFS(Donnees_annuelles!$AA$3:$AA$188,Donnees_annuelles!$A$3:$A$188,AR456)</f>
        <v/>
      </c>
      <c r="AT456" s="36">
        <f>AS456/V456</f>
        <v/>
      </c>
      <c r="AU456" s="14">
        <f>AL456</f>
        <v/>
      </c>
      <c r="AV456" s="39">
        <f>AS456-AL456</f>
        <v/>
      </c>
      <c r="AW456" s="9">
        <f>AS456/AL456-1</f>
        <v/>
      </c>
      <c r="AX456" s="14">
        <f>AS456/AJ456/12</f>
        <v/>
      </c>
      <c r="AY456" s="14">
        <f>AF456</f>
        <v/>
      </c>
      <c r="AZ456" s="39">
        <f>AX456-AF456</f>
        <v/>
      </c>
      <c r="BA456" s="14">
        <f>SUMIFS(Donnees_regimes!$S$3:$S$1118,Donnees_regimes!$A$3:$A$1118,C456,Donnees_regimes!$B$3:$B$1118,"&gt;="&amp;G456,Donnees_regimes!$B$3:$B$1118,"&lt;="&amp;N456)*L456/ROUNDUP(L456,0)*SUMIFS(Donnees_annuelles!$AH$3:$AH$188,Donnees_annuelles!$A$3:$A$188,AR456)*SUMIFS(Donnees_annuelles!$AA$3:$AA$188,Donnees_annuelles!$A$3:$A$188,AR456)</f>
        <v/>
      </c>
      <c r="BB456" s="39">
        <f>BA456-AL456</f>
        <v/>
      </c>
      <c r="BC456" s="7">
        <f>IF(M456+AJ456&gt;2026,IF(G456&gt;2026,"entièrement projeté","en partie projeté"),"observé")</f>
        <v/>
      </c>
    </row>
    <row r="457">
      <c r="A457" s="7" t="inlineStr">
        <is>
          <t>Génération Y</t>
        </is>
      </c>
      <c r="B457" s="84" t="inlineStr">
        <is>
          <t>RATP</t>
        </is>
      </c>
      <c r="C457" s="7">
        <f>IF(G457&gt;=SUMIFS(Regimes!$C$5:$C$10,Regimes!$A$5:$A$10,B457),"Privé",B457)</f>
        <v/>
      </c>
      <c r="D457" s="7">
        <f>INDEX(Regimes!$D$5:$D$10,MATCH(C457,Regimes!$A$5:$A$10,0))</f>
        <v/>
      </c>
      <c r="E457" s="88" t="n">
        <v>1990</v>
      </c>
      <c r="F457" s="8">
        <f>Donnees_generations!C78</f>
        <v/>
      </c>
      <c r="G457" s="77">
        <f>Donnees_generations!D78</f>
        <v/>
      </c>
      <c r="H457" s="8">
        <f>SUMIFS(Donnees_generations!$S$3:$S$113,Donnees_generations!$A$3:$A$113,MAX(1915,MIN(2025,E457)))</f>
        <v/>
      </c>
      <c r="I457" s="8">
        <f>SUMIFS(Donnees_generations!$T$3:$T$113,Donnees_generations!$A$3:$A$113,MAX(1915,MIN(2025,E457)))</f>
        <v/>
      </c>
      <c r="J457" s="8">
        <f>IF(G457&gt;=2000,MAX(I457,Parametres!$B$3),I457)</f>
        <v/>
      </c>
      <c r="K457" s="8">
        <f>IF(C457="Privé",J457,SUMIFS(Regles_regimes!$J$3:$J$2000,Regles_regimes!$A$3:$A$2000,C457,Regles_regimes!$B$3:$B$2000,D457,Regles_regimes!$C$3:$C$2000,MAX(1915,MIN(2025,E457))))</f>
        <v/>
      </c>
      <c r="L457" s="8">
        <f>IF(C457="Privé",H457,(K457-F457)*H457/(J457-F457))</f>
        <v/>
      </c>
      <c r="M457" s="77">
        <f>INT(E457+K457)</f>
        <v/>
      </c>
      <c r="N457" s="77">
        <f>G457+ROUNDUP(L457,0)-1</f>
        <v/>
      </c>
      <c r="O457" s="89">
        <f>SUMIFS(Regles_regimes!$K$3:$K$2000,Regles_regimes!$A$3:$A$2000,C457,Regles_regimes!$B$3:$B$2000,D457,Regles_regimes!$C$3:$C$2000,MAX(1915,MIN(2025,E457)))</f>
        <v/>
      </c>
      <c r="P457" s="13">
        <f>SUMIFS(Donnees_annuelles!$W$3:$W$188,Donnees_annuelles!$A$3:$A$188,"&gt;="&amp;G457,Donnees_annuelles!$A$3:$A$188,"&lt;="&amp;N457)*L457/ROUNDUP(L457,0)*O457</f>
        <v/>
      </c>
      <c r="Q457" s="13">
        <f>SUMIFS(Donnees_annuelles!$V$3:$V$188,Donnees_annuelles!$A$3:$A$188,"&gt;="&amp;G457,Donnees_annuelles!$A$3:$A$188,"&lt;="&amp;N457)*L457/ROUNDUP(L457,0)</f>
        <v/>
      </c>
      <c r="R457" s="13">
        <f>P457/L457</f>
        <v/>
      </c>
      <c r="S457" s="14">
        <f>SUMIFS(Donnees_annuelles!$D$3:$D$188,Donnees_annuelles!$A$3:$A$188,"&gt;="&amp;G457,Donnees_annuelles!$A$3:$A$188,"&lt;="&amp;N457)*L457/ROUNDUP(L457,0)</f>
        <v/>
      </c>
      <c r="T457" s="14">
        <f>SUMIFS(Donnees_regimes!$N$3:$N$1118,Donnees_regimes!$A$3:$A$1118,C457,Donnees_regimes!$B$3:$B$1118,"&gt;="&amp;G457,Donnees_regimes!$B$3:$B$1118,"&lt;="&amp;N457)*L457/ROUNDUP(L457,0)</f>
        <v/>
      </c>
      <c r="U457" s="14">
        <f>SUMIFS(Donnees_regimes!$O$3:$O$1118,Donnees_regimes!$A$3:$A$1118,C457,Donnees_regimes!$B$3:$B$1118,"&gt;="&amp;G457,Donnees_regimes!$B$3:$B$1118,"&lt;="&amp;N457)*L457/ROUNDUP(L457,0)</f>
        <v/>
      </c>
      <c r="V457" s="14">
        <f>T457+U457</f>
        <v/>
      </c>
      <c r="W457" s="33">
        <f>V457/S457</f>
        <v/>
      </c>
      <c r="X457" s="14">
        <f>S457+U457</f>
        <v/>
      </c>
      <c r="Y457" s="17">
        <f>V457/P457</f>
        <v/>
      </c>
      <c r="Z457" s="14">
        <f>SUMIFS(Donnees_regimes!$Q$3:$Q$1118,Donnees_regimes!$A$3:$A$1118,C457,Donnees_regimes!$B$3:$B$1118,"&gt;="&amp;G457,Donnees_regimes!$B$3:$B$1118,"&lt;="&amp;N457)*L457/ROUNDUP(L457,0)</f>
        <v/>
      </c>
      <c r="AA457" s="77">
        <f>SUMIFS(Regles_regimes!$F$3:$F$2000,Regles_regimes!$A$3:$A$2000,C457,Regles_regimes!$B$3:$B$2000,D457,Regles_regimes!$C$3:$C$2000,MAX(1915,MIN(2025,E457)))</f>
        <v/>
      </c>
      <c r="AB457" s="77">
        <f>IF(AND(SUMIFS(Regles_regimes!$L$3:$L$2000,Regles_regimes!$A$3:$A$2000,C457,Regles_regimes!$B$3:$B$2000,D457,Regles_regimes!$C$3:$C$2000,MAX(1915,MIN(2025,E457)))=1,G457&lt;2009,C457&lt;&gt;"Privé"),MIN(20,L457*4/5),0)</f>
        <v/>
      </c>
      <c r="AC457" s="89">
        <f>SUMIFS(Donnees_regimes!$M$3:$M$1118,Donnees_regimes!$A$3:$A$1118,C457,Donnees_regimes!$B$3:$B$1118,M457)</f>
        <v/>
      </c>
      <c r="AD457" s="14">
        <f>SUMIFS(Donnees_annuelles!$Y$3:$Y$188,Donnees_annuelles!$A$3:$A$188,M457)*SUMIFS(Donnees_generations!$I$3:$I$113,Donnees_generations!$A$3:$A$113,MAX(1915,MIN(2025,E457)))/H457</f>
        <v/>
      </c>
      <c r="AE457" s="14">
        <f>IF(C457="Privé",SUMIFS(Donnees_annuelles!$Y$3:$Y$188,Donnees_annuelles!$A$3:$A$188,M457)*MIN(L457,SUMIFS(Donnees_generations!$I$3:$I$113,Donnees_generations!$A$3:$A$113,MAX(1915,MIN(2025,E457))))/L457,AD457*AC457*MIN(IF(AB457&gt;0,0.8/0.75,1),(L457*4+AB457)/AA457))</f>
        <v/>
      </c>
      <c r="AF457" s="14">
        <f>AE457/12</f>
        <v/>
      </c>
      <c r="AG457" s="77">
        <f>MIN(68,MAX(56,2*INT(K457/2)))</f>
        <v/>
      </c>
      <c r="AH457" s="75">
        <f>(CHOOSE((AG457-56)/2+1,SUMIFS(Donnees_generations!$U$3:$U$113,Donnees_generations!$A$3:$A$113,MAX(1915,MIN(2025,E457))),SUMIFS(Donnees_generations!$V$3:$V$113,Donnees_generations!$A$3:$A$113,MAX(1915,MIN(2025,E457))),SUMIFS(Donnees_generations!$W$3:$W$113,Donnees_generations!$A$3:$A$113,MAX(1915,MIN(2025,E457))),SUMIFS(Donnees_generations!$X$3:$X$113,Donnees_generations!$A$3:$A$113,MAX(1915,MIN(2025,E457))),SUMIFS(Donnees_generations!$Y$3:$Y$113,Donnees_generations!$A$3:$A$113,MAX(1915,MIN(2025,E457))),SUMIFS(Donnees_generations!$Z$3:$Z$113,Donnees_generations!$A$3:$A$113,MAX(1915,MIN(2025,E457))),SUMIFS(Donnees_generations!$AA$3:$AA$113,Donnees_generations!$A$3:$A$113,MAX(1915,MIN(2025,E457))),SUMIFS(Donnees_generations!$AB$3:$AB$113,Donnees_generations!$A$3:$A$113,MAX(1915,MIN(2025,E457))))+CHOOSE((AG457-56)/2+1,SUMIFS(Donnees_generations!$AC$3:$AC$113,Donnees_generations!$A$3:$A$113,MAX(1915,MIN(2025,E457))),SUMIFS(Donnees_generations!$AD$3:$AD$113,Donnees_generations!$A$3:$A$113,MAX(1915,MIN(2025,E457))),SUMIFS(Donnees_generations!$AE$3:$AE$113,Donnees_generations!$A$3:$A$113,MAX(1915,MIN(2025,E457))),SUMIFS(Donnees_generations!$AF$3:$AF$113,Donnees_generations!$A$3:$A$113,MAX(1915,MIN(2025,E457))),SUMIFS(Donnees_generations!$AG$3:$AG$113,Donnees_generations!$A$3:$A$113,MAX(1915,MIN(2025,E457))),SUMIFS(Donnees_generations!$AH$3:$AH$113,Donnees_generations!$A$3:$A$113,MAX(1915,MIN(2025,E457))),SUMIFS(Donnees_generations!$AI$3:$AI$113,Donnees_generations!$A$3:$A$113,MAX(1915,MIN(2025,E457))),SUMIFS(Donnees_generations!$AJ$3:$AJ$113,Donnees_generations!$A$3:$A$113,MAX(1915,MIN(2025,E457)))))/2</f>
        <v/>
      </c>
      <c r="AI457" s="75">
        <f>(CHOOSE(((AG457+2)-56)/2+1,SUMIFS(Donnees_generations!$U$3:$U$113,Donnees_generations!$A$3:$A$113,MAX(1915,MIN(2025,E457))),SUMIFS(Donnees_generations!$V$3:$V$113,Donnees_generations!$A$3:$A$113,MAX(1915,MIN(2025,E457))),SUMIFS(Donnees_generations!$W$3:$W$113,Donnees_generations!$A$3:$A$113,MAX(1915,MIN(2025,E457))),SUMIFS(Donnees_generations!$X$3:$X$113,Donnees_generations!$A$3:$A$113,MAX(1915,MIN(2025,E457))),SUMIFS(Donnees_generations!$Y$3:$Y$113,Donnees_generations!$A$3:$A$113,MAX(1915,MIN(2025,E457))),SUMIFS(Donnees_generations!$Z$3:$Z$113,Donnees_generations!$A$3:$A$113,MAX(1915,MIN(2025,E457))),SUMIFS(Donnees_generations!$AA$3:$AA$113,Donnees_generations!$A$3:$A$113,MAX(1915,MIN(2025,E457))),SUMIFS(Donnees_generations!$AB$3:$AB$113,Donnees_generations!$A$3:$A$113,MAX(1915,MIN(2025,E457))))+CHOOSE(((AG457+2)-56)/2+1,SUMIFS(Donnees_generations!$AC$3:$AC$113,Donnees_generations!$A$3:$A$113,MAX(1915,MIN(2025,E457))),SUMIFS(Donnees_generations!$AD$3:$AD$113,Donnees_generations!$A$3:$A$113,MAX(1915,MIN(2025,E457))),SUMIFS(Donnees_generations!$AE$3:$AE$113,Donnees_generations!$A$3:$A$113,MAX(1915,MIN(2025,E457))),SUMIFS(Donnees_generations!$AF$3:$AF$113,Donnees_generations!$A$3:$A$113,MAX(1915,MIN(2025,E457))),SUMIFS(Donnees_generations!$AG$3:$AG$113,Donnees_generations!$A$3:$A$113,MAX(1915,MIN(2025,E457))),SUMIFS(Donnees_generations!$AH$3:$AH$113,Donnees_generations!$A$3:$A$113,MAX(1915,MIN(2025,E457))),SUMIFS(Donnees_generations!$AI$3:$AI$113,Donnees_generations!$A$3:$A$113,MAX(1915,MIN(2025,E457))),SUMIFS(Donnees_generations!$AJ$3:$AJ$113,Donnees_generations!$A$3:$A$113,MAX(1915,MIN(2025,E457)))))/2</f>
        <v/>
      </c>
      <c r="AJ457" s="8">
        <f>MAX(0,AH457+(AI457-AH457)*(K457-AG457)/2)</f>
        <v/>
      </c>
      <c r="AK457" s="8">
        <f>K457+AJ457</f>
        <v/>
      </c>
      <c r="AL457" s="14">
        <f>AE457*AJ457</f>
        <v/>
      </c>
      <c r="AM457" s="17">
        <f>V457/AL457</f>
        <v/>
      </c>
      <c r="AN457" s="17">
        <f>Z457/AL457</f>
        <v/>
      </c>
      <c r="AO457" s="33">
        <f>IF(V457+Z457=0,0,Z457/(V457+Z457))</f>
        <v/>
      </c>
      <c r="AP457" s="14">
        <f>AL457/V457*100</f>
        <v/>
      </c>
      <c r="AQ457" s="8">
        <f>P457/AL457*1000</f>
        <v/>
      </c>
      <c r="AR457" s="77">
        <f>MAX(N457,M457-1)</f>
        <v/>
      </c>
      <c r="AS457" s="14">
        <f>SUMIFS(Donnees_regimes!$R$3:$R$1118,Donnees_regimes!$A$3:$A$1118,C457,Donnees_regimes!$B$3:$B$1118,"&gt;="&amp;G457,Donnees_regimes!$B$3:$B$1118,"&lt;="&amp;N457)*L457/ROUNDUP(L457,0)*SUMIFS(Donnees_annuelles!$AG$3:$AG$188,Donnees_annuelles!$A$3:$A$188,AR457)*SUMIFS(Donnees_annuelles!$AA$3:$AA$188,Donnees_annuelles!$A$3:$A$188,AR457)</f>
        <v/>
      </c>
      <c r="AT457" s="36">
        <f>AS457/V457</f>
        <v/>
      </c>
      <c r="AU457" s="14">
        <f>AL457</f>
        <v/>
      </c>
      <c r="AV457" s="39">
        <f>AS457-AL457</f>
        <v/>
      </c>
      <c r="AW457" s="9">
        <f>AS457/AL457-1</f>
        <v/>
      </c>
      <c r="AX457" s="14">
        <f>AS457/AJ457/12</f>
        <v/>
      </c>
      <c r="AY457" s="14">
        <f>AF457</f>
        <v/>
      </c>
      <c r="AZ457" s="39">
        <f>AX457-AF457</f>
        <v/>
      </c>
      <c r="BA457" s="14">
        <f>SUMIFS(Donnees_regimes!$S$3:$S$1118,Donnees_regimes!$A$3:$A$1118,C457,Donnees_regimes!$B$3:$B$1118,"&gt;="&amp;G457,Donnees_regimes!$B$3:$B$1118,"&lt;="&amp;N457)*L457/ROUNDUP(L457,0)*SUMIFS(Donnees_annuelles!$AH$3:$AH$188,Donnees_annuelles!$A$3:$A$188,AR457)*SUMIFS(Donnees_annuelles!$AA$3:$AA$188,Donnees_annuelles!$A$3:$A$188,AR457)</f>
        <v/>
      </c>
      <c r="BB457" s="39">
        <f>BA457-AL457</f>
        <v/>
      </c>
      <c r="BC457" s="7">
        <f>IF(M457+AJ457&gt;2026,IF(G457&gt;2026,"entièrement projeté","en partie projeté"),"observé")</f>
        <v/>
      </c>
    </row>
    <row r="458">
      <c r="A458" s="7" t="inlineStr">
        <is>
          <t>Génération Y</t>
        </is>
      </c>
      <c r="B458" s="84" t="inlineStr">
        <is>
          <t>RATP</t>
        </is>
      </c>
      <c r="C458" s="7">
        <f>IF(G458&gt;=SUMIFS(Regimes!$C$5:$C$10,Regimes!$A$5:$A$10,B458),"Privé",B458)</f>
        <v/>
      </c>
      <c r="D458" s="7">
        <f>INDEX(Regimes!$D$5:$D$10,MATCH(C458,Regimes!$A$5:$A$10,0))</f>
        <v/>
      </c>
      <c r="E458" s="88" t="n">
        <v>1991</v>
      </c>
      <c r="F458" s="8">
        <f>Donnees_generations!C79</f>
        <v/>
      </c>
      <c r="G458" s="77">
        <f>Donnees_generations!D79</f>
        <v/>
      </c>
      <c r="H458" s="8">
        <f>SUMIFS(Donnees_generations!$S$3:$S$113,Donnees_generations!$A$3:$A$113,MAX(1915,MIN(2025,E458)))</f>
        <v/>
      </c>
      <c r="I458" s="8">
        <f>SUMIFS(Donnees_generations!$T$3:$T$113,Donnees_generations!$A$3:$A$113,MAX(1915,MIN(2025,E458)))</f>
        <v/>
      </c>
      <c r="J458" s="8">
        <f>IF(G458&gt;=2000,MAX(I458,Parametres!$B$3),I458)</f>
        <v/>
      </c>
      <c r="K458" s="8">
        <f>IF(C458="Privé",J458,SUMIFS(Regles_regimes!$J$3:$J$2000,Regles_regimes!$A$3:$A$2000,C458,Regles_regimes!$B$3:$B$2000,D458,Regles_regimes!$C$3:$C$2000,MAX(1915,MIN(2025,E458))))</f>
        <v/>
      </c>
      <c r="L458" s="8">
        <f>IF(C458="Privé",H458,(K458-F458)*H458/(J458-F458))</f>
        <v/>
      </c>
      <c r="M458" s="77">
        <f>INT(E458+K458)</f>
        <v/>
      </c>
      <c r="N458" s="77">
        <f>G458+ROUNDUP(L458,0)-1</f>
        <v/>
      </c>
      <c r="O458" s="89">
        <f>SUMIFS(Regles_regimes!$K$3:$K$2000,Regles_regimes!$A$3:$A$2000,C458,Regles_regimes!$B$3:$B$2000,D458,Regles_regimes!$C$3:$C$2000,MAX(1915,MIN(2025,E458)))</f>
        <v/>
      </c>
      <c r="P458" s="13">
        <f>SUMIFS(Donnees_annuelles!$W$3:$W$188,Donnees_annuelles!$A$3:$A$188,"&gt;="&amp;G458,Donnees_annuelles!$A$3:$A$188,"&lt;="&amp;N458)*L458/ROUNDUP(L458,0)*O458</f>
        <v/>
      </c>
      <c r="Q458" s="13">
        <f>SUMIFS(Donnees_annuelles!$V$3:$V$188,Donnees_annuelles!$A$3:$A$188,"&gt;="&amp;G458,Donnees_annuelles!$A$3:$A$188,"&lt;="&amp;N458)*L458/ROUNDUP(L458,0)</f>
        <v/>
      </c>
      <c r="R458" s="13">
        <f>P458/L458</f>
        <v/>
      </c>
      <c r="S458" s="14">
        <f>SUMIFS(Donnees_annuelles!$D$3:$D$188,Donnees_annuelles!$A$3:$A$188,"&gt;="&amp;G458,Donnees_annuelles!$A$3:$A$188,"&lt;="&amp;N458)*L458/ROUNDUP(L458,0)</f>
        <v/>
      </c>
      <c r="T458" s="14">
        <f>SUMIFS(Donnees_regimes!$N$3:$N$1118,Donnees_regimes!$A$3:$A$1118,C458,Donnees_regimes!$B$3:$B$1118,"&gt;="&amp;G458,Donnees_regimes!$B$3:$B$1118,"&lt;="&amp;N458)*L458/ROUNDUP(L458,0)</f>
        <v/>
      </c>
      <c r="U458" s="14">
        <f>SUMIFS(Donnees_regimes!$O$3:$O$1118,Donnees_regimes!$A$3:$A$1118,C458,Donnees_regimes!$B$3:$B$1118,"&gt;="&amp;G458,Donnees_regimes!$B$3:$B$1118,"&lt;="&amp;N458)*L458/ROUNDUP(L458,0)</f>
        <v/>
      </c>
      <c r="V458" s="14">
        <f>T458+U458</f>
        <v/>
      </c>
      <c r="W458" s="33">
        <f>V458/S458</f>
        <v/>
      </c>
      <c r="X458" s="14">
        <f>S458+U458</f>
        <v/>
      </c>
      <c r="Y458" s="17">
        <f>V458/P458</f>
        <v/>
      </c>
      <c r="Z458" s="14">
        <f>SUMIFS(Donnees_regimes!$Q$3:$Q$1118,Donnees_regimes!$A$3:$A$1118,C458,Donnees_regimes!$B$3:$B$1118,"&gt;="&amp;G458,Donnees_regimes!$B$3:$B$1118,"&lt;="&amp;N458)*L458/ROUNDUP(L458,0)</f>
        <v/>
      </c>
      <c r="AA458" s="77">
        <f>SUMIFS(Regles_regimes!$F$3:$F$2000,Regles_regimes!$A$3:$A$2000,C458,Regles_regimes!$B$3:$B$2000,D458,Regles_regimes!$C$3:$C$2000,MAX(1915,MIN(2025,E458)))</f>
        <v/>
      </c>
      <c r="AB458" s="77">
        <f>IF(AND(SUMIFS(Regles_regimes!$L$3:$L$2000,Regles_regimes!$A$3:$A$2000,C458,Regles_regimes!$B$3:$B$2000,D458,Regles_regimes!$C$3:$C$2000,MAX(1915,MIN(2025,E458)))=1,G458&lt;2009,C458&lt;&gt;"Privé"),MIN(20,L458*4/5),0)</f>
        <v/>
      </c>
      <c r="AC458" s="89">
        <f>SUMIFS(Donnees_regimes!$M$3:$M$1118,Donnees_regimes!$A$3:$A$1118,C458,Donnees_regimes!$B$3:$B$1118,M458)</f>
        <v/>
      </c>
      <c r="AD458" s="14">
        <f>SUMIFS(Donnees_annuelles!$Y$3:$Y$188,Donnees_annuelles!$A$3:$A$188,M458)*SUMIFS(Donnees_generations!$I$3:$I$113,Donnees_generations!$A$3:$A$113,MAX(1915,MIN(2025,E458)))/H458</f>
        <v/>
      </c>
      <c r="AE458" s="14">
        <f>IF(C458="Privé",SUMIFS(Donnees_annuelles!$Y$3:$Y$188,Donnees_annuelles!$A$3:$A$188,M458)*MIN(L458,SUMIFS(Donnees_generations!$I$3:$I$113,Donnees_generations!$A$3:$A$113,MAX(1915,MIN(2025,E458))))/L458,AD458*AC458*MIN(IF(AB458&gt;0,0.8/0.75,1),(L458*4+AB458)/AA458))</f>
        <v/>
      </c>
      <c r="AF458" s="14">
        <f>AE458/12</f>
        <v/>
      </c>
      <c r="AG458" s="77">
        <f>MIN(68,MAX(56,2*INT(K458/2)))</f>
        <v/>
      </c>
      <c r="AH458" s="75">
        <f>(CHOOSE((AG458-56)/2+1,SUMIFS(Donnees_generations!$U$3:$U$113,Donnees_generations!$A$3:$A$113,MAX(1915,MIN(2025,E458))),SUMIFS(Donnees_generations!$V$3:$V$113,Donnees_generations!$A$3:$A$113,MAX(1915,MIN(2025,E458))),SUMIFS(Donnees_generations!$W$3:$W$113,Donnees_generations!$A$3:$A$113,MAX(1915,MIN(2025,E458))),SUMIFS(Donnees_generations!$X$3:$X$113,Donnees_generations!$A$3:$A$113,MAX(1915,MIN(2025,E458))),SUMIFS(Donnees_generations!$Y$3:$Y$113,Donnees_generations!$A$3:$A$113,MAX(1915,MIN(2025,E458))),SUMIFS(Donnees_generations!$Z$3:$Z$113,Donnees_generations!$A$3:$A$113,MAX(1915,MIN(2025,E458))),SUMIFS(Donnees_generations!$AA$3:$AA$113,Donnees_generations!$A$3:$A$113,MAX(1915,MIN(2025,E458))),SUMIFS(Donnees_generations!$AB$3:$AB$113,Donnees_generations!$A$3:$A$113,MAX(1915,MIN(2025,E458))))+CHOOSE((AG458-56)/2+1,SUMIFS(Donnees_generations!$AC$3:$AC$113,Donnees_generations!$A$3:$A$113,MAX(1915,MIN(2025,E458))),SUMIFS(Donnees_generations!$AD$3:$AD$113,Donnees_generations!$A$3:$A$113,MAX(1915,MIN(2025,E458))),SUMIFS(Donnees_generations!$AE$3:$AE$113,Donnees_generations!$A$3:$A$113,MAX(1915,MIN(2025,E458))),SUMIFS(Donnees_generations!$AF$3:$AF$113,Donnees_generations!$A$3:$A$113,MAX(1915,MIN(2025,E458))),SUMIFS(Donnees_generations!$AG$3:$AG$113,Donnees_generations!$A$3:$A$113,MAX(1915,MIN(2025,E458))),SUMIFS(Donnees_generations!$AH$3:$AH$113,Donnees_generations!$A$3:$A$113,MAX(1915,MIN(2025,E458))),SUMIFS(Donnees_generations!$AI$3:$AI$113,Donnees_generations!$A$3:$A$113,MAX(1915,MIN(2025,E458))),SUMIFS(Donnees_generations!$AJ$3:$AJ$113,Donnees_generations!$A$3:$A$113,MAX(1915,MIN(2025,E458)))))/2</f>
        <v/>
      </c>
      <c r="AI458" s="75">
        <f>(CHOOSE(((AG458+2)-56)/2+1,SUMIFS(Donnees_generations!$U$3:$U$113,Donnees_generations!$A$3:$A$113,MAX(1915,MIN(2025,E458))),SUMIFS(Donnees_generations!$V$3:$V$113,Donnees_generations!$A$3:$A$113,MAX(1915,MIN(2025,E458))),SUMIFS(Donnees_generations!$W$3:$W$113,Donnees_generations!$A$3:$A$113,MAX(1915,MIN(2025,E458))),SUMIFS(Donnees_generations!$X$3:$X$113,Donnees_generations!$A$3:$A$113,MAX(1915,MIN(2025,E458))),SUMIFS(Donnees_generations!$Y$3:$Y$113,Donnees_generations!$A$3:$A$113,MAX(1915,MIN(2025,E458))),SUMIFS(Donnees_generations!$Z$3:$Z$113,Donnees_generations!$A$3:$A$113,MAX(1915,MIN(2025,E458))),SUMIFS(Donnees_generations!$AA$3:$AA$113,Donnees_generations!$A$3:$A$113,MAX(1915,MIN(2025,E458))),SUMIFS(Donnees_generations!$AB$3:$AB$113,Donnees_generations!$A$3:$A$113,MAX(1915,MIN(2025,E458))))+CHOOSE(((AG458+2)-56)/2+1,SUMIFS(Donnees_generations!$AC$3:$AC$113,Donnees_generations!$A$3:$A$113,MAX(1915,MIN(2025,E458))),SUMIFS(Donnees_generations!$AD$3:$AD$113,Donnees_generations!$A$3:$A$113,MAX(1915,MIN(2025,E458))),SUMIFS(Donnees_generations!$AE$3:$AE$113,Donnees_generations!$A$3:$A$113,MAX(1915,MIN(2025,E458))),SUMIFS(Donnees_generations!$AF$3:$AF$113,Donnees_generations!$A$3:$A$113,MAX(1915,MIN(2025,E458))),SUMIFS(Donnees_generations!$AG$3:$AG$113,Donnees_generations!$A$3:$A$113,MAX(1915,MIN(2025,E458))),SUMIFS(Donnees_generations!$AH$3:$AH$113,Donnees_generations!$A$3:$A$113,MAX(1915,MIN(2025,E458))),SUMIFS(Donnees_generations!$AI$3:$AI$113,Donnees_generations!$A$3:$A$113,MAX(1915,MIN(2025,E458))),SUMIFS(Donnees_generations!$AJ$3:$AJ$113,Donnees_generations!$A$3:$A$113,MAX(1915,MIN(2025,E458)))))/2</f>
        <v/>
      </c>
      <c r="AJ458" s="8">
        <f>MAX(0,AH458+(AI458-AH458)*(K458-AG458)/2)</f>
        <v/>
      </c>
      <c r="AK458" s="8">
        <f>K458+AJ458</f>
        <v/>
      </c>
      <c r="AL458" s="14">
        <f>AE458*AJ458</f>
        <v/>
      </c>
      <c r="AM458" s="17">
        <f>V458/AL458</f>
        <v/>
      </c>
      <c r="AN458" s="17">
        <f>Z458/AL458</f>
        <v/>
      </c>
      <c r="AO458" s="33">
        <f>IF(V458+Z458=0,0,Z458/(V458+Z458))</f>
        <v/>
      </c>
      <c r="AP458" s="14">
        <f>AL458/V458*100</f>
        <v/>
      </c>
      <c r="AQ458" s="8">
        <f>P458/AL458*1000</f>
        <v/>
      </c>
      <c r="AR458" s="77">
        <f>MAX(N458,M458-1)</f>
        <v/>
      </c>
      <c r="AS458" s="14">
        <f>SUMIFS(Donnees_regimes!$R$3:$R$1118,Donnees_regimes!$A$3:$A$1118,C458,Donnees_regimes!$B$3:$B$1118,"&gt;="&amp;G458,Donnees_regimes!$B$3:$B$1118,"&lt;="&amp;N458)*L458/ROUNDUP(L458,0)*SUMIFS(Donnees_annuelles!$AG$3:$AG$188,Donnees_annuelles!$A$3:$A$188,AR458)*SUMIFS(Donnees_annuelles!$AA$3:$AA$188,Donnees_annuelles!$A$3:$A$188,AR458)</f>
        <v/>
      </c>
      <c r="AT458" s="36">
        <f>AS458/V458</f>
        <v/>
      </c>
      <c r="AU458" s="14">
        <f>AL458</f>
        <v/>
      </c>
      <c r="AV458" s="39">
        <f>AS458-AL458</f>
        <v/>
      </c>
      <c r="AW458" s="9">
        <f>AS458/AL458-1</f>
        <v/>
      </c>
      <c r="AX458" s="14">
        <f>AS458/AJ458/12</f>
        <v/>
      </c>
      <c r="AY458" s="14">
        <f>AF458</f>
        <v/>
      </c>
      <c r="AZ458" s="39">
        <f>AX458-AF458</f>
        <v/>
      </c>
      <c r="BA458" s="14">
        <f>SUMIFS(Donnees_regimes!$S$3:$S$1118,Donnees_regimes!$A$3:$A$1118,C458,Donnees_regimes!$B$3:$B$1118,"&gt;="&amp;G458,Donnees_regimes!$B$3:$B$1118,"&lt;="&amp;N458)*L458/ROUNDUP(L458,0)*SUMIFS(Donnees_annuelles!$AH$3:$AH$188,Donnees_annuelles!$A$3:$A$188,AR458)*SUMIFS(Donnees_annuelles!$AA$3:$AA$188,Donnees_annuelles!$A$3:$A$188,AR458)</f>
        <v/>
      </c>
      <c r="BB458" s="39">
        <f>BA458-AL458</f>
        <v/>
      </c>
      <c r="BC458" s="7">
        <f>IF(M458+AJ458&gt;2026,IF(G458&gt;2026,"entièrement projeté","en partie projeté"),"observé")</f>
        <v/>
      </c>
    </row>
    <row r="459">
      <c r="A459" s="7" t="inlineStr">
        <is>
          <t>Génération Y</t>
        </is>
      </c>
      <c r="B459" s="84" t="inlineStr">
        <is>
          <t>RATP</t>
        </is>
      </c>
      <c r="C459" s="7">
        <f>IF(G459&gt;=SUMIFS(Regimes!$C$5:$C$10,Regimes!$A$5:$A$10,B459),"Privé",B459)</f>
        <v/>
      </c>
      <c r="D459" s="7">
        <f>INDEX(Regimes!$D$5:$D$10,MATCH(C459,Regimes!$A$5:$A$10,0))</f>
        <v/>
      </c>
      <c r="E459" s="88" t="n">
        <v>1992</v>
      </c>
      <c r="F459" s="8">
        <f>Donnees_generations!C80</f>
        <v/>
      </c>
      <c r="G459" s="77">
        <f>Donnees_generations!D80</f>
        <v/>
      </c>
      <c r="H459" s="8">
        <f>SUMIFS(Donnees_generations!$S$3:$S$113,Donnees_generations!$A$3:$A$113,MAX(1915,MIN(2025,E459)))</f>
        <v/>
      </c>
      <c r="I459" s="8">
        <f>SUMIFS(Donnees_generations!$T$3:$T$113,Donnees_generations!$A$3:$A$113,MAX(1915,MIN(2025,E459)))</f>
        <v/>
      </c>
      <c r="J459" s="8">
        <f>IF(G459&gt;=2000,MAX(I459,Parametres!$B$3),I459)</f>
        <v/>
      </c>
      <c r="K459" s="8">
        <f>IF(C459="Privé",J459,SUMIFS(Regles_regimes!$J$3:$J$2000,Regles_regimes!$A$3:$A$2000,C459,Regles_regimes!$B$3:$B$2000,D459,Regles_regimes!$C$3:$C$2000,MAX(1915,MIN(2025,E459))))</f>
        <v/>
      </c>
      <c r="L459" s="8">
        <f>IF(C459="Privé",H459,(K459-F459)*H459/(J459-F459))</f>
        <v/>
      </c>
      <c r="M459" s="77">
        <f>INT(E459+K459)</f>
        <v/>
      </c>
      <c r="N459" s="77">
        <f>G459+ROUNDUP(L459,0)-1</f>
        <v/>
      </c>
      <c r="O459" s="89">
        <f>SUMIFS(Regles_regimes!$K$3:$K$2000,Regles_regimes!$A$3:$A$2000,C459,Regles_regimes!$B$3:$B$2000,D459,Regles_regimes!$C$3:$C$2000,MAX(1915,MIN(2025,E459)))</f>
        <v/>
      </c>
      <c r="P459" s="13">
        <f>SUMIFS(Donnees_annuelles!$W$3:$W$188,Donnees_annuelles!$A$3:$A$188,"&gt;="&amp;G459,Donnees_annuelles!$A$3:$A$188,"&lt;="&amp;N459)*L459/ROUNDUP(L459,0)*O459</f>
        <v/>
      </c>
      <c r="Q459" s="13">
        <f>SUMIFS(Donnees_annuelles!$V$3:$V$188,Donnees_annuelles!$A$3:$A$188,"&gt;="&amp;G459,Donnees_annuelles!$A$3:$A$188,"&lt;="&amp;N459)*L459/ROUNDUP(L459,0)</f>
        <v/>
      </c>
      <c r="R459" s="13">
        <f>P459/L459</f>
        <v/>
      </c>
      <c r="S459" s="14">
        <f>SUMIFS(Donnees_annuelles!$D$3:$D$188,Donnees_annuelles!$A$3:$A$188,"&gt;="&amp;G459,Donnees_annuelles!$A$3:$A$188,"&lt;="&amp;N459)*L459/ROUNDUP(L459,0)</f>
        <v/>
      </c>
      <c r="T459" s="14">
        <f>SUMIFS(Donnees_regimes!$N$3:$N$1118,Donnees_regimes!$A$3:$A$1118,C459,Donnees_regimes!$B$3:$B$1118,"&gt;="&amp;G459,Donnees_regimes!$B$3:$B$1118,"&lt;="&amp;N459)*L459/ROUNDUP(L459,0)</f>
        <v/>
      </c>
      <c r="U459" s="14">
        <f>SUMIFS(Donnees_regimes!$O$3:$O$1118,Donnees_regimes!$A$3:$A$1118,C459,Donnees_regimes!$B$3:$B$1118,"&gt;="&amp;G459,Donnees_regimes!$B$3:$B$1118,"&lt;="&amp;N459)*L459/ROUNDUP(L459,0)</f>
        <v/>
      </c>
      <c r="V459" s="14">
        <f>T459+U459</f>
        <v/>
      </c>
      <c r="W459" s="33">
        <f>V459/S459</f>
        <v/>
      </c>
      <c r="X459" s="14">
        <f>S459+U459</f>
        <v/>
      </c>
      <c r="Y459" s="17">
        <f>V459/P459</f>
        <v/>
      </c>
      <c r="Z459" s="14">
        <f>SUMIFS(Donnees_regimes!$Q$3:$Q$1118,Donnees_regimes!$A$3:$A$1118,C459,Donnees_regimes!$B$3:$B$1118,"&gt;="&amp;G459,Donnees_regimes!$B$3:$B$1118,"&lt;="&amp;N459)*L459/ROUNDUP(L459,0)</f>
        <v/>
      </c>
      <c r="AA459" s="77">
        <f>SUMIFS(Regles_regimes!$F$3:$F$2000,Regles_regimes!$A$3:$A$2000,C459,Regles_regimes!$B$3:$B$2000,D459,Regles_regimes!$C$3:$C$2000,MAX(1915,MIN(2025,E459)))</f>
        <v/>
      </c>
      <c r="AB459" s="77">
        <f>IF(AND(SUMIFS(Regles_regimes!$L$3:$L$2000,Regles_regimes!$A$3:$A$2000,C459,Regles_regimes!$B$3:$B$2000,D459,Regles_regimes!$C$3:$C$2000,MAX(1915,MIN(2025,E459)))=1,G459&lt;2009,C459&lt;&gt;"Privé"),MIN(20,L459*4/5),0)</f>
        <v/>
      </c>
      <c r="AC459" s="89">
        <f>SUMIFS(Donnees_regimes!$M$3:$M$1118,Donnees_regimes!$A$3:$A$1118,C459,Donnees_regimes!$B$3:$B$1118,M459)</f>
        <v/>
      </c>
      <c r="AD459" s="14">
        <f>SUMIFS(Donnees_annuelles!$Y$3:$Y$188,Donnees_annuelles!$A$3:$A$188,M459)*SUMIFS(Donnees_generations!$I$3:$I$113,Donnees_generations!$A$3:$A$113,MAX(1915,MIN(2025,E459)))/H459</f>
        <v/>
      </c>
      <c r="AE459" s="14">
        <f>IF(C459="Privé",SUMIFS(Donnees_annuelles!$Y$3:$Y$188,Donnees_annuelles!$A$3:$A$188,M459)*MIN(L459,SUMIFS(Donnees_generations!$I$3:$I$113,Donnees_generations!$A$3:$A$113,MAX(1915,MIN(2025,E459))))/L459,AD459*AC459*MIN(IF(AB459&gt;0,0.8/0.75,1),(L459*4+AB459)/AA459))</f>
        <v/>
      </c>
      <c r="AF459" s="14">
        <f>AE459/12</f>
        <v/>
      </c>
      <c r="AG459" s="77">
        <f>MIN(68,MAX(56,2*INT(K459/2)))</f>
        <v/>
      </c>
      <c r="AH459" s="75">
        <f>(CHOOSE((AG459-56)/2+1,SUMIFS(Donnees_generations!$U$3:$U$113,Donnees_generations!$A$3:$A$113,MAX(1915,MIN(2025,E459))),SUMIFS(Donnees_generations!$V$3:$V$113,Donnees_generations!$A$3:$A$113,MAX(1915,MIN(2025,E459))),SUMIFS(Donnees_generations!$W$3:$W$113,Donnees_generations!$A$3:$A$113,MAX(1915,MIN(2025,E459))),SUMIFS(Donnees_generations!$X$3:$X$113,Donnees_generations!$A$3:$A$113,MAX(1915,MIN(2025,E459))),SUMIFS(Donnees_generations!$Y$3:$Y$113,Donnees_generations!$A$3:$A$113,MAX(1915,MIN(2025,E459))),SUMIFS(Donnees_generations!$Z$3:$Z$113,Donnees_generations!$A$3:$A$113,MAX(1915,MIN(2025,E459))),SUMIFS(Donnees_generations!$AA$3:$AA$113,Donnees_generations!$A$3:$A$113,MAX(1915,MIN(2025,E459))),SUMIFS(Donnees_generations!$AB$3:$AB$113,Donnees_generations!$A$3:$A$113,MAX(1915,MIN(2025,E459))))+CHOOSE((AG459-56)/2+1,SUMIFS(Donnees_generations!$AC$3:$AC$113,Donnees_generations!$A$3:$A$113,MAX(1915,MIN(2025,E459))),SUMIFS(Donnees_generations!$AD$3:$AD$113,Donnees_generations!$A$3:$A$113,MAX(1915,MIN(2025,E459))),SUMIFS(Donnees_generations!$AE$3:$AE$113,Donnees_generations!$A$3:$A$113,MAX(1915,MIN(2025,E459))),SUMIFS(Donnees_generations!$AF$3:$AF$113,Donnees_generations!$A$3:$A$113,MAX(1915,MIN(2025,E459))),SUMIFS(Donnees_generations!$AG$3:$AG$113,Donnees_generations!$A$3:$A$113,MAX(1915,MIN(2025,E459))),SUMIFS(Donnees_generations!$AH$3:$AH$113,Donnees_generations!$A$3:$A$113,MAX(1915,MIN(2025,E459))),SUMIFS(Donnees_generations!$AI$3:$AI$113,Donnees_generations!$A$3:$A$113,MAX(1915,MIN(2025,E459))),SUMIFS(Donnees_generations!$AJ$3:$AJ$113,Donnees_generations!$A$3:$A$113,MAX(1915,MIN(2025,E459)))))/2</f>
        <v/>
      </c>
      <c r="AI459" s="75">
        <f>(CHOOSE(((AG459+2)-56)/2+1,SUMIFS(Donnees_generations!$U$3:$U$113,Donnees_generations!$A$3:$A$113,MAX(1915,MIN(2025,E459))),SUMIFS(Donnees_generations!$V$3:$V$113,Donnees_generations!$A$3:$A$113,MAX(1915,MIN(2025,E459))),SUMIFS(Donnees_generations!$W$3:$W$113,Donnees_generations!$A$3:$A$113,MAX(1915,MIN(2025,E459))),SUMIFS(Donnees_generations!$X$3:$X$113,Donnees_generations!$A$3:$A$113,MAX(1915,MIN(2025,E459))),SUMIFS(Donnees_generations!$Y$3:$Y$113,Donnees_generations!$A$3:$A$113,MAX(1915,MIN(2025,E459))),SUMIFS(Donnees_generations!$Z$3:$Z$113,Donnees_generations!$A$3:$A$113,MAX(1915,MIN(2025,E459))),SUMIFS(Donnees_generations!$AA$3:$AA$113,Donnees_generations!$A$3:$A$113,MAX(1915,MIN(2025,E459))),SUMIFS(Donnees_generations!$AB$3:$AB$113,Donnees_generations!$A$3:$A$113,MAX(1915,MIN(2025,E459))))+CHOOSE(((AG459+2)-56)/2+1,SUMIFS(Donnees_generations!$AC$3:$AC$113,Donnees_generations!$A$3:$A$113,MAX(1915,MIN(2025,E459))),SUMIFS(Donnees_generations!$AD$3:$AD$113,Donnees_generations!$A$3:$A$113,MAX(1915,MIN(2025,E459))),SUMIFS(Donnees_generations!$AE$3:$AE$113,Donnees_generations!$A$3:$A$113,MAX(1915,MIN(2025,E459))),SUMIFS(Donnees_generations!$AF$3:$AF$113,Donnees_generations!$A$3:$A$113,MAX(1915,MIN(2025,E459))),SUMIFS(Donnees_generations!$AG$3:$AG$113,Donnees_generations!$A$3:$A$113,MAX(1915,MIN(2025,E459))),SUMIFS(Donnees_generations!$AH$3:$AH$113,Donnees_generations!$A$3:$A$113,MAX(1915,MIN(2025,E459))),SUMIFS(Donnees_generations!$AI$3:$AI$113,Donnees_generations!$A$3:$A$113,MAX(1915,MIN(2025,E459))),SUMIFS(Donnees_generations!$AJ$3:$AJ$113,Donnees_generations!$A$3:$A$113,MAX(1915,MIN(2025,E459)))))/2</f>
        <v/>
      </c>
      <c r="AJ459" s="8">
        <f>MAX(0,AH459+(AI459-AH459)*(K459-AG459)/2)</f>
        <v/>
      </c>
      <c r="AK459" s="8">
        <f>K459+AJ459</f>
        <v/>
      </c>
      <c r="AL459" s="14">
        <f>AE459*AJ459</f>
        <v/>
      </c>
      <c r="AM459" s="17">
        <f>V459/AL459</f>
        <v/>
      </c>
      <c r="AN459" s="17">
        <f>Z459/AL459</f>
        <v/>
      </c>
      <c r="AO459" s="33">
        <f>IF(V459+Z459=0,0,Z459/(V459+Z459))</f>
        <v/>
      </c>
      <c r="AP459" s="14">
        <f>AL459/V459*100</f>
        <v/>
      </c>
      <c r="AQ459" s="8">
        <f>P459/AL459*1000</f>
        <v/>
      </c>
      <c r="AR459" s="77">
        <f>MAX(N459,M459-1)</f>
        <v/>
      </c>
      <c r="AS459" s="14">
        <f>SUMIFS(Donnees_regimes!$R$3:$R$1118,Donnees_regimes!$A$3:$A$1118,C459,Donnees_regimes!$B$3:$B$1118,"&gt;="&amp;G459,Donnees_regimes!$B$3:$B$1118,"&lt;="&amp;N459)*L459/ROUNDUP(L459,0)*SUMIFS(Donnees_annuelles!$AG$3:$AG$188,Donnees_annuelles!$A$3:$A$188,AR459)*SUMIFS(Donnees_annuelles!$AA$3:$AA$188,Donnees_annuelles!$A$3:$A$188,AR459)</f>
        <v/>
      </c>
      <c r="AT459" s="36">
        <f>AS459/V459</f>
        <v/>
      </c>
      <c r="AU459" s="14">
        <f>AL459</f>
        <v/>
      </c>
      <c r="AV459" s="39">
        <f>AS459-AL459</f>
        <v/>
      </c>
      <c r="AW459" s="9">
        <f>AS459/AL459-1</f>
        <v/>
      </c>
      <c r="AX459" s="14">
        <f>AS459/AJ459/12</f>
        <v/>
      </c>
      <c r="AY459" s="14">
        <f>AF459</f>
        <v/>
      </c>
      <c r="AZ459" s="39">
        <f>AX459-AF459</f>
        <v/>
      </c>
      <c r="BA459" s="14">
        <f>SUMIFS(Donnees_regimes!$S$3:$S$1118,Donnees_regimes!$A$3:$A$1118,C459,Donnees_regimes!$B$3:$B$1118,"&gt;="&amp;G459,Donnees_regimes!$B$3:$B$1118,"&lt;="&amp;N459)*L459/ROUNDUP(L459,0)*SUMIFS(Donnees_annuelles!$AH$3:$AH$188,Donnees_annuelles!$A$3:$A$188,AR459)*SUMIFS(Donnees_annuelles!$AA$3:$AA$188,Donnees_annuelles!$A$3:$A$188,AR459)</f>
        <v/>
      </c>
      <c r="BB459" s="39">
        <f>BA459-AL459</f>
        <v/>
      </c>
      <c r="BC459" s="7">
        <f>IF(M459+AJ459&gt;2026,IF(G459&gt;2026,"entièrement projeté","en partie projeté"),"observé")</f>
        <v/>
      </c>
    </row>
    <row r="460">
      <c r="A460" s="7" t="inlineStr">
        <is>
          <t>Génération Y</t>
        </is>
      </c>
      <c r="B460" s="84" t="inlineStr">
        <is>
          <t>RATP</t>
        </is>
      </c>
      <c r="C460" s="7">
        <f>IF(G460&gt;=SUMIFS(Regimes!$C$5:$C$10,Regimes!$A$5:$A$10,B460),"Privé",B460)</f>
        <v/>
      </c>
      <c r="D460" s="7">
        <f>INDEX(Regimes!$D$5:$D$10,MATCH(C460,Regimes!$A$5:$A$10,0))</f>
        <v/>
      </c>
      <c r="E460" s="88" t="n">
        <v>1993</v>
      </c>
      <c r="F460" s="8">
        <f>Donnees_generations!C81</f>
        <v/>
      </c>
      <c r="G460" s="77">
        <f>Donnees_generations!D81</f>
        <v/>
      </c>
      <c r="H460" s="8">
        <f>SUMIFS(Donnees_generations!$S$3:$S$113,Donnees_generations!$A$3:$A$113,MAX(1915,MIN(2025,E460)))</f>
        <v/>
      </c>
      <c r="I460" s="8">
        <f>SUMIFS(Donnees_generations!$T$3:$T$113,Donnees_generations!$A$3:$A$113,MAX(1915,MIN(2025,E460)))</f>
        <v/>
      </c>
      <c r="J460" s="8">
        <f>IF(G460&gt;=2000,MAX(I460,Parametres!$B$3),I460)</f>
        <v/>
      </c>
      <c r="K460" s="8">
        <f>IF(C460="Privé",J460,SUMIFS(Regles_regimes!$J$3:$J$2000,Regles_regimes!$A$3:$A$2000,C460,Regles_regimes!$B$3:$B$2000,D460,Regles_regimes!$C$3:$C$2000,MAX(1915,MIN(2025,E460))))</f>
        <v/>
      </c>
      <c r="L460" s="8">
        <f>IF(C460="Privé",H460,(K460-F460)*H460/(J460-F460))</f>
        <v/>
      </c>
      <c r="M460" s="77">
        <f>INT(E460+K460)</f>
        <v/>
      </c>
      <c r="N460" s="77">
        <f>G460+ROUNDUP(L460,0)-1</f>
        <v/>
      </c>
      <c r="O460" s="89">
        <f>SUMIFS(Regles_regimes!$K$3:$K$2000,Regles_regimes!$A$3:$A$2000,C460,Regles_regimes!$B$3:$B$2000,D460,Regles_regimes!$C$3:$C$2000,MAX(1915,MIN(2025,E460)))</f>
        <v/>
      </c>
      <c r="P460" s="13">
        <f>SUMIFS(Donnees_annuelles!$W$3:$W$188,Donnees_annuelles!$A$3:$A$188,"&gt;="&amp;G460,Donnees_annuelles!$A$3:$A$188,"&lt;="&amp;N460)*L460/ROUNDUP(L460,0)*O460</f>
        <v/>
      </c>
      <c r="Q460" s="13">
        <f>SUMIFS(Donnees_annuelles!$V$3:$V$188,Donnees_annuelles!$A$3:$A$188,"&gt;="&amp;G460,Donnees_annuelles!$A$3:$A$188,"&lt;="&amp;N460)*L460/ROUNDUP(L460,0)</f>
        <v/>
      </c>
      <c r="R460" s="13">
        <f>P460/L460</f>
        <v/>
      </c>
      <c r="S460" s="14">
        <f>SUMIFS(Donnees_annuelles!$D$3:$D$188,Donnees_annuelles!$A$3:$A$188,"&gt;="&amp;G460,Donnees_annuelles!$A$3:$A$188,"&lt;="&amp;N460)*L460/ROUNDUP(L460,0)</f>
        <v/>
      </c>
      <c r="T460" s="14">
        <f>SUMIFS(Donnees_regimes!$N$3:$N$1118,Donnees_regimes!$A$3:$A$1118,C460,Donnees_regimes!$B$3:$B$1118,"&gt;="&amp;G460,Donnees_regimes!$B$3:$B$1118,"&lt;="&amp;N460)*L460/ROUNDUP(L460,0)</f>
        <v/>
      </c>
      <c r="U460" s="14">
        <f>SUMIFS(Donnees_regimes!$O$3:$O$1118,Donnees_regimes!$A$3:$A$1118,C460,Donnees_regimes!$B$3:$B$1118,"&gt;="&amp;G460,Donnees_regimes!$B$3:$B$1118,"&lt;="&amp;N460)*L460/ROUNDUP(L460,0)</f>
        <v/>
      </c>
      <c r="V460" s="14">
        <f>T460+U460</f>
        <v/>
      </c>
      <c r="W460" s="33">
        <f>V460/S460</f>
        <v/>
      </c>
      <c r="X460" s="14">
        <f>S460+U460</f>
        <v/>
      </c>
      <c r="Y460" s="17">
        <f>V460/P460</f>
        <v/>
      </c>
      <c r="Z460" s="14">
        <f>SUMIFS(Donnees_regimes!$Q$3:$Q$1118,Donnees_regimes!$A$3:$A$1118,C460,Donnees_regimes!$B$3:$B$1118,"&gt;="&amp;G460,Donnees_regimes!$B$3:$B$1118,"&lt;="&amp;N460)*L460/ROUNDUP(L460,0)</f>
        <v/>
      </c>
      <c r="AA460" s="77">
        <f>SUMIFS(Regles_regimes!$F$3:$F$2000,Regles_regimes!$A$3:$A$2000,C460,Regles_regimes!$B$3:$B$2000,D460,Regles_regimes!$C$3:$C$2000,MAX(1915,MIN(2025,E460)))</f>
        <v/>
      </c>
      <c r="AB460" s="77">
        <f>IF(AND(SUMIFS(Regles_regimes!$L$3:$L$2000,Regles_regimes!$A$3:$A$2000,C460,Regles_regimes!$B$3:$B$2000,D460,Regles_regimes!$C$3:$C$2000,MAX(1915,MIN(2025,E460)))=1,G460&lt;2009,C460&lt;&gt;"Privé"),MIN(20,L460*4/5),0)</f>
        <v/>
      </c>
      <c r="AC460" s="89">
        <f>SUMIFS(Donnees_regimes!$M$3:$M$1118,Donnees_regimes!$A$3:$A$1118,C460,Donnees_regimes!$B$3:$B$1118,M460)</f>
        <v/>
      </c>
      <c r="AD460" s="14">
        <f>SUMIFS(Donnees_annuelles!$Y$3:$Y$188,Donnees_annuelles!$A$3:$A$188,M460)*SUMIFS(Donnees_generations!$I$3:$I$113,Donnees_generations!$A$3:$A$113,MAX(1915,MIN(2025,E460)))/H460</f>
        <v/>
      </c>
      <c r="AE460" s="14">
        <f>IF(C460="Privé",SUMIFS(Donnees_annuelles!$Y$3:$Y$188,Donnees_annuelles!$A$3:$A$188,M460)*MIN(L460,SUMIFS(Donnees_generations!$I$3:$I$113,Donnees_generations!$A$3:$A$113,MAX(1915,MIN(2025,E460))))/L460,AD460*AC460*MIN(IF(AB460&gt;0,0.8/0.75,1),(L460*4+AB460)/AA460))</f>
        <v/>
      </c>
      <c r="AF460" s="14">
        <f>AE460/12</f>
        <v/>
      </c>
      <c r="AG460" s="77">
        <f>MIN(68,MAX(56,2*INT(K460/2)))</f>
        <v/>
      </c>
      <c r="AH460" s="75">
        <f>(CHOOSE((AG460-56)/2+1,SUMIFS(Donnees_generations!$U$3:$U$113,Donnees_generations!$A$3:$A$113,MAX(1915,MIN(2025,E460))),SUMIFS(Donnees_generations!$V$3:$V$113,Donnees_generations!$A$3:$A$113,MAX(1915,MIN(2025,E460))),SUMIFS(Donnees_generations!$W$3:$W$113,Donnees_generations!$A$3:$A$113,MAX(1915,MIN(2025,E460))),SUMIFS(Donnees_generations!$X$3:$X$113,Donnees_generations!$A$3:$A$113,MAX(1915,MIN(2025,E460))),SUMIFS(Donnees_generations!$Y$3:$Y$113,Donnees_generations!$A$3:$A$113,MAX(1915,MIN(2025,E460))),SUMIFS(Donnees_generations!$Z$3:$Z$113,Donnees_generations!$A$3:$A$113,MAX(1915,MIN(2025,E460))),SUMIFS(Donnees_generations!$AA$3:$AA$113,Donnees_generations!$A$3:$A$113,MAX(1915,MIN(2025,E460))),SUMIFS(Donnees_generations!$AB$3:$AB$113,Donnees_generations!$A$3:$A$113,MAX(1915,MIN(2025,E460))))+CHOOSE((AG460-56)/2+1,SUMIFS(Donnees_generations!$AC$3:$AC$113,Donnees_generations!$A$3:$A$113,MAX(1915,MIN(2025,E460))),SUMIFS(Donnees_generations!$AD$3:$AD$113,Donnees_generations!$A$3:$A$113,MAX(1915,MIN(2025,E460))),SUMIFS(Donnees_generations!$AE$3:$AE$113,Donnees_generations!$A$3:$A$113,MAX(1915,MIN(2025,E460))),SUMIFS(Donnees_generations!$AF$3:$AF$113,Donnees_generations!$A$3:$A$113,MAX(1915,MIN(2025,E460))),SUMIFS(Donnees_generations!$AG$3:$AG$113,Donnees_generations!$A$3:$A$113,MAX(1915,MIN(2025,E460))),SUMIFS(Donnees_generations!$AH$3:$AH$113,Donnees_generations!$A$3:$A$113,MAX(1915,MIN(2025,E460))),SUMIFS(Donnees_generations!$AI$3:$AI$113,Donnees_generations!$A$3:$A$113,MAX(1915,MIN(2025,E460))),SUMIFS(Donnees_generations!$AJ$3:$AJ$113,Donnees_generations!$A$3:$A$113,MAX(1915,MIN(2025,E460)))))/2</f>
        <v/>
      </c>
      <c r="AI460" s="75">
        <f>(CHOOSE(((AG460+2)-56)/2+1,SUMIFS(Donnees_generations!$U$3:$U$113,Donnees_generations!$A$3:$A$113,MAX(1915,MIN(2025,E460))),SUMIFS(Donnees_generations!$V$3:$V$113,Donnees_generations!$A$3:$A$113,MAX(1915,MIN(2025,E460))),SUMIFS(Donnees_generations!$W$3:$W$113,Donnees_generations!$A$3:$A$113,MAX(1915,MIN(2025,E460))),SUMIFS(Donnees_generations!$X$3:$X$113,Donnees_generations!$A$3:$A$113,MAX(1915,MIN(2025,E460))),SUMIFS(Donnees_generations!$Y$3:$Y$113,Donnees_generations!$A$3:$A$113,MAX(1915,MIN(2025,E460))),SUMIFS(Donnees_generations!$Z$3:$Z$113,Donnees_generations!$A$3:$A$113,MAX(1915,MIN(2025,E460))),SUMIFS(Donnees_generations!$AA$3:$AA$113,Donnees_generations!$A$3:$A$113,MAX(1915,MIN(2025,E460))),SUMIFS(Donnees_generations!$AB$3:$AB$113,Donnees_generations!$A$3:$A$113,MAX(1915,MIN(2025,E460))))+CHOOSE(((AG460+2)-56)/2+1,SUMIFS(Donnees_generations!$AC$3:$AC$113,Donnees_generations!$A$3:$A$113,MAX(1915,MIN(2025,E460))),SUMIFS(Donnees_generations!$AD$3:$AD$113,Donnees_generations!$A$3:$A$113,MAX(1915,MIN(2025,E460))),SUMIFS(Donnees_generations!$AE$3:$AE$113,Donnees_generations!$A$3:$A$113,MAX(1915,MIN(2025,E460))),SUMIFS(Donnees_generations!$AF$3:$AF$113,Donnees_generations!$A$3:$A$113,MAX(1915,MIN(2025,E460))),SUMIFS(Donnees_generations!$AG$3:$AG$113,Donnees_generations!$A$3:$A$113,MAX(1915,MIN(2025,E460))),SUMIFS(Donnees_generations!$AH$3:$AH$113,Donnees_generations!$A$3:$A$113,MAX(1915,MIN(2025,E460))),SUMIFS(Donnees_generations!$AI$3:$AI$113,Donnees_generations!$A$3:$A$113,MAX(1915,MIN(2025,E460))),SUMIFS(Donnees_generations!$AJ$3:$AJ$113,Donnees_generations!$A$3:$A$113,MAX(1915,MIN(2025,E460)))))/2</f>
        <v/>
      </c>
      <c r="AJ460" s="8">
        <f>MAX(0,AH460+(AI460-AH460)*(K460-AG460)/2)</f>
        <v/>
      </c>
      <c r="AK460" s="8">
        <f>K460+AJ460</f>
        <v/>
      </c>
      <c r="AL460" s="14">
        <f>AE460*AJ460</f>
        <v/>
      </c>
      <c r="AM460" s="17">
        <f>V460/AL460</f>
        <v/>
      </c>
      <c r="AN460" s="17">
        <f>Z460/AL460</f>
        <v/>
      </c>
      <c r="AO460" s="33">
        <f>IF(V460+Z460=0,0,Z460/(V460+Z460))</f>
        <v/>
      </c>
      <c r="AP460" s="14">
        <f>AL460/V460*100</f>
        <v/>
      </c>
      <c r="AQ460" s="8">
        <f>P460/AL460*1000</f>
        <v/>
      </c>
      <c r="AR460" s="77">
        <f>MAX(N460,M460-1)</f>
        <v/>
      </c>
      <c r="AS460" s="14">
        <f>SUMIFS(Donnees_regimes!$R$3:$R$1118,Donnees_regimes!$A$3:$A$1118,C460,Donnees_regimes!$B$3:$B$1118,"&gt;="&amp;G460,Donnees_regimes!$B$3:$B$1118,"&lt;="&amp;N460)*L460/ROUNDUP(L460,0)*SUMIFS(Donnees_annuelles!$AG$3:$AG$188,Donnees_annuelles!$A$3:$A$188,AR460)*SUMIFS(Donnees_annuelles!$AA$3:$AA$188,Donnees_annuelles!$A$3:$A$188,AR460)</f>
        <v/>
      </c>
      <c r="AT460" s="36">
        <f>AS460/V460</f>
        <v/>
      </c>
      <c r="AU460" s="14">
        <f>AL460</f>
        <v/>
      </c>
      <c r="AV460" s="39">
        <f>AS460-AL460</f>
        <v/>
      </c>
      <c r="AW460" s="9">
        <f>AS460/AL460-1</f>
        <v/>
      </c>
      <c r="AX460" s="14">
        <f>AS460/AJ460/12</f>
        <v/>
      </c>
      <c r="AY460" s="14">
        <f>AF460</f>
        <v/>
      </c>
      <c r="AZ460" s="39">
        <f>AX460-AF460</f>
        <v/>
      </c>
      <c r="BA460" s="14">
        <f>SUMIFS(Donnees_regimes!$S$3:$S$1118,Donnees_regimes!$A$3:$A$1118,C460,Donnees_regimes!$B$3:$B$1118,"&gt;="&amp;G460,Donnees_regimes!$B$3:$B$1118,"&lt;="&amp;N460)*L460/ROUNDUP(L460,0)*SUMIFS(Donnees_annuelles!$AH$3:$AH$188,Donnees_annuelles!$A$3:$A$188,AR460)*SUMIFS(Donnees_annuelles!$AA$3:$AA$188,Donnees_annuelles!$A$3:$A$188,AR460)</f>
        <v/>
      </c>
      <c r="BB460" s="39">
        <f>BA460-AL460</f>
        <v/>
      </c>
      <c r="BC460" s="7">
        <f>IF(M460+AJ460&gt;2026,IF(G460&gt;2026,"entièrement projeté","en partie projeté"),"observé")</f>
        <v/>
      </c>
    </row>
    <row r="461">
      <c r="A461" s="7" t="inlineStr">
        <is>
          <t>Génération Y</t>
        </is>
      </c>
      <c r="B461" s="84" t="inlineStr">
        <is>
          <t>RATP</t>
        </is>
      </c>
      <c r="C461" s="7">
        <f>IF(G461&gt;=SUMIFS(Regimes!$C$5:$C$10,Regimes!$A$5:$A$10,B461),"Privé",B461)</f>
        <v/>
      </c>
      <c r="D461" s="7">
        <f>INDEX(Regimes!$D$5:$D$10,MATCH(C461,Regimes!$A$5:$A$10,0))</f>
        <v/>
      </c>
      <c r="E461" s="88" t="n">
        <v>1994</v>
      </c>
      <c r="F461" s="8">
        <f>Donnees_generations!C82</f>
        <v/>
      </c>
      <c r="G461" s="77">
        <f>Donnees_generations!D82</f>
        <v/>
      </c>
      <c r="H461" s="8">
        <f>SUMIFS(Donnees_generations!$S$3:$S$113,Donnees_generations!$A$3:$A$113,MAX(1915,MIN(2025,E461)))</f>
        <v/>
      </c>
      <c r="I461" s="8">
        <f>SUMIFS(Donnees_generations!$T$3:$T$113,Donnees_generations!$A$3:$A$113,MAX(1915,MIN(2025,E461)))</f>
        <v/>
      </c>
      <c r="J461" s="8">
        <f>IF(G461&gt;=2000,MAX(I461,Parametres!$B$3),I461)</f>
        <v/>
      </c>
      <c r="K461" s="8">
        <f>IF(C461="Privé",J461,SUMIFS(Regles_regimes!$J$3:$J$2000,Regles_regimes!$A$3:$A$2000,C461,Regles_regimes!$B$3:$B$2000,D461,Regles_regimes!$C$3:$C$2000,MAX(1915,MIN(2025,E461))))</f>
        <v/>
      </c>
      <c r="L461" s="8">
        <f>IF(C461="Privé",H461,(K461-F461)*H461/(J461-F461))</f>
        <v/>
      </c>
      <c r="M461" s="77">
        <f>INT(E461+K461)</f>
        <v/>
      </c>
      <c r="N461" s="77">
        <f>G461+ROUNDUP(L461,0)-1</f>
        <v/>
      </c>
      <c r="O461" s="89">
        <f>SUMIFS(Regles_regimes!$K$3:$K$2000,Regles_regimes!$A$3:$A$2000,C461,Regles_regimes!$B$3:$B$2000,D461,Regles_regimes!$C$3:$C$2000,MAX(1915,MIN(2025,E461)))</f>
        <v/>
      </c>
      <c r="P461" s="13">
        <f>SUMIFS(Donnees_annuelles!$W$3:$W$188,Donnees_annuelles!$A$3:$A$188,"&gt;="&amp;G461,Donnees_annuelles!$A$3:$A$188,"&lt;="&amp;N461)*L461/ROUNDUP(L461,0)*O461</f>
        <v/>
      </c>
      <c r="Q461" s="13">
        <f>SUMIFS(Donnees_annuelles!$V$3:$V$188,Donnees_annuelles!$A$3:$A$188,"&gt;="&amp;G461,Donnees_annuelles!$A$3:$A$188,"&lt;="&amp;N461)*L461/ROUNDUP(L461,0)</f>
        <v/>
      </c>
      <c r="R461" s="13">
        <f>P461/L461</f>
        <v/>
      </c>
      <c r="S461" s="14">
        <f>SUMIFS(Donnees_annuelles!$D$3:$D$188,Donnees_annuelles!$A$3:$A$188,"&gt;="&amp;G461,Donnees_annuelles!$A$3:$A$188,"&lt;="&amp;N461)*L461/ROUNDUP(L461,0)</f>
        <v/>
      </c>
      <c r="T461" s="14">
        <f>SUMIFS(Donnees_regimes!$N$3:$N$1118,Donnees_regimes!$A$3:$A$1118,C461,Donnees_regimes!$B$3:$B$1118,"&gt;="&amp;G461,Donnees_regimes!$B$3:$B$1118,"&lt;="&amp;N461)*L461/ROUNDUP(L461,0)</f>
        <v/>
      </c>
      <c r="U461" s="14">
        <f>SUMIFS(Donnees_regimes!$O$3:$O$1118,Donnees_regimes!$A$3:$A$1118,C461,Donnees_regimes!$B$3:$B$1118,"&gt;="&amp;G461,Donnees_regimes!$B$3:$B$1118,"&lt;="&amp;N461)*L461/ROUNDUP(L461,0)</f>
        <v/>
      </c>
      <c r="V461" s="14">
        <f>T461+U461</f>
        <v/>
      </c>
      <c r="W461" s="33">
        <f>V461/S461</f>
        <v/>
      </c>
      <c r="X461" s="14">
        <f>S461+U461</f>
        <v/>
      </c>
      <c r="Y461" s="17">
        <f>V461/P461</f>
        <v/>
      </c>
      <c r="Z461" s="14">
        <f>SUMIFS(Donnees_regimes!$Q$3:$Q$1118,Donnees_regimes!$A$3:$A$1118,C461,Donnees_regimes!$B$3:$B$1118,"&gt;="&amp;G461,Donnees_regimes!$B$3:$B$1118,"&lt;="&amp;N461)*L461/ROUNDUP(L461,0)</f>
        <v/>
      </c>
      <c r="AA461" s="77">
        <f>SUMIFS(Regles_regimes!$F$3:$F$2000,Regles_regimes!$A$3:$A$2000,C461,Regles_regimes!$B$3:$B$2000,D461,Regles_regimes!$C$3:$C$2000,MAX(1915,MIN(2025,E461)))</f>
        <v/>
      </c>
      <c r="AB461" s="77">
        <f>IF(AND(SUMIFS(Regles_regimes!$L$3:$L$2000,Regles_regimes!$A$3:$A$2000,C461,Regles_regimes!$B$3:$B$2000,D461,Regles_regimes!$C$3:$C$2000,MAX(1915,MIN(2025,E461)))=1,G461&lt;2009,C461&lt;&gt;"Privé"),MIN(20,L461*4/5),0)</f>
        <v/>
      </c>
      <c r="AC461" s="89">
        <f>SUMIFS(Donnees_regimes!$M$3:$M$1118,Donnees_regimes!$A$3:$A$1118,C461,Donnees_regimes!$B$3:$B$1118,M461)</f>
        <v/>
      </c>
      <c r="AD461" s="14">
        <f>SUMIFS(Donnees_annuelles!$Y$3:$Y$188,Donnees_annuelles!$A$3:$A$188,M461)*SUMIFS(Donnees_generations!$I$3:$I$113,Donnees_generations!$A$3:$A$113,MAX(1915,MIN(2025,E461)))/H461</f>
        <v/>
      </c>
      <c r="AE461" s="14">
        <f>IF(C461="Privé",SUMIFS(Donnees_annuelles!$Y$3:$Y$188,Donnees_annuelles!$A$3:$A$188,M461)*MIN(L461,SUMIFS(Donnees_generations!$I$3:$I$113,Donnees_generations!$A$3:$A$113,MAX(1915,MIN(2025,E461))))/L461,AD461*AC461*MIN(IF(AB461&gt;0,0.8/0.75,1),(L461*4+AB461)/AA461))</f>
        <v/>
      </c>
      <c r="AF461" s="14">
        <f>AE461/12</f>
        <v/>
      </c>
      <c r="AG461" s="77">
        <f>MIN(68,MAX(56,2*INT(K461/2)))</f>
        <v/>
      </c>
      <c r="AH461" s="75">
        <f>(CHOOSE((AG461-56)/2+1,SUMIFS(Donnees_generations!$U$3:$U$113,Donnees_generations!$A$3:$A$113,MAX(1915,MIN(2025,E461))),SUMIFS(Donnees_generations!$V$3:$V$113,Donnees_generations!$A$3:$A$113,MAX(1915,MIN(2025,E461))),SUMIFS(Donnees_generations!$W$3:$W$113,Donnees_generations!$A$3:$A$113,MAX(1915,MIN(2025,E461))),SUMIFS(Donnees_generations!$X$3:$X$113,Donnees_generations!$A$3:$A$113,MAX(1915,MIN(2025,E461))),SUMIFS(Donnees_generations!$Y$3:$Y$113,Donnees_generations!$A$3:$A$113,MAX(1915,MIN(2025,E461))),SUMIFS(Donnees_generations!$Z$3:$Z$113,Donnees_generations!$A$3:$A$113,MAX(1915,MIN(2025,E461))),SUMIFS(Donnees_generations!$AA$3:$AA$113,Donnees_generations!$A$3:$A$113,MAX(1915,MIN(2025,E461))),SUMIFS(Donnees_generations!$AB$3:$AB$113,Donnees_generations!$A$3:$A$113,MAX(1915,MIN(2025,E461))))+CHOOSE((AG461-56)/2+1,SUMIFS(Donnees_generations!$AC$3:$AC$113,Donnees_generations!$A$3:$A$113,MAX(1915,MIN(2025,E461))),SUMIFS(Donnees_generations!$AD$3:$AD$113,Donnees_generations!$A$3:$A$113,MAX(1915,MIN(2025,E461))),SUMIFS(Donnees_generations!$AE$3:$AE$113,Donnees_generations!$A$3:$A$113,MAX(1915,MIN(2025,E461))),SUMIFS(Donnees_generations!$AF$3:$AF$113,Donnees_generations!$A$3:$A$113,MAX(1915,MIN(2025,E461))),SUMIFS(Donnees_generations!$AG$3:$AG$113,Donnees_generations!$A$3:$A$113,MAX(1915,MIN(2025,E461))),SUMIFS(Donnees_generations!$AH$3:$AH$113,Donnees_generations!$A$3:$A$113,MAX(1915,MIN(2025,E461))),SUMIFS(Donnees_generations!$AI$3:$AI$113,Donnees_generations!$A$3:$A$113,MAX(1915,MIN(2025,E461))),SUMIFS(Donnees_generations!$AJ$3:$AJ$113,Donnees_generations!$A$3:$A$113,MAX(1915,MIN(2025,E461)))))/2</f>
        <v/>
      </c>
      <c r="AI461" s="75">
        <f>(CHOOSE(((AG461+2)-56)/2+1,SUMIFS(Donnees_generations!$U$3:$U$113,Donnees_generations!$A$3:$A$113,MAX(1915,MIN(2025,E461))),SUMIFS(Donnees_generations!$V$3:$V$113,Donnees_generations!$A$3:$A$113,MAX(1915,MIN(2025,E461))),SUMIFS(Donnees_generations!$W$3:$W$113,Donnees_generations!$A$3:$A$113,MAX(1915,MIN(2025,E461))),SUMIFS(Donnees_generations!$X$3:$X$113,Donnees_generations!$A$3:$A$113,MAX(1915,MIN(2025,E461))),SUMIFS(Donnees_generations!$Y$3:$Y$113,Donnees_generations!$A$3:$A$113,MAX(1915,MIN(2025,E461))),SUMIFS(Donnees_generations!$Z$3:$Z$113,Donnees_generations!$A$3:$A$113,MAX(1915,MIN(2025,E461))),SUMIFS(Donnees_generations!$AA$3:$AA$113,Donnees_generations!$A$3:$A$113,MAX(1915,MIN(2025,E461))),SUMIFS(Donnees_generations!$AB$3:$AB$113,Donnees_generations!$A$3:$A$113,MAX(1915,MIN(2025,E461))))+CHOOSE(((AG461+2)-56)/2+1,SUMIFS(Donnees_generations!$AC$3:$AC$113,Donnees_generations!$A$3:$A$113,MAX(1915,MIN(2025,E461))),SUMIFS(Donnees_generations!$AD$3:$AD$113,Donnees_generations!$A$3:$A$113,MAX(1915,MIN(2025,E461))),SUMIFS(Donnees_generations!$AE$3:$AE$113,Donnees_generations!$A$3:$A$113,MAX(1915,MIN(2025,E461))),SUMIFS(Donnees_generations!$AF$3:$AF$113,Donnees_generations!$A$3:$A$113,MAX(1915,MIN(2025,E461))),SUMIFS(Donnees_generations!$AG$3:$AG$113,Donnees_generations!$A$3:$A$113,MAX(1915,MIN(2025,E461))),SUMIFS(Donnees_generations!$AH$3:$AH$113,Donnees_generations!$A$3:$A$113,MAX(1915,MIN(2025,E461))),SUMIFS(Donnees_generations!$AI$3:$AI$113,Donnees_generations!$A$3:$A$113,MAX(1915,MIN(2025,E461))),SUMIFS(Donnees_generations!$AJ$3:$AJ$113,Donnees_generations!$A$3:$A$113,MAX(1915,MIN(2025,E461)))))/2</f>
        <v/>
      </c>
      <c r="AJ461" s="8">
        <f>MAX(0,AH461+(AI461-AH461)*(K461-AG461)/2)</f>
        <v/>
      </c>
      <c r="AK461" s="8">
        <f>K461+AJ461</f>
        <v/>
      </c>
      <c r="AL461" s="14">
        <f>AE461*AJ461</f>
        <v/>
      </c>
      <c r="AM461" s="17">
        <f>V461/AL461</f>
        <v/>
      </c>
      <c r="AN461" s="17">
        <f>Z461/AL461</f>
        <v/>
      </c>
      <c r="AO461" s="33">
        <f>IF(V461+Z461=0,0,Z461/(V461+Z461))</f>
        <v/>
      </c>
      <c r="AP461" s="14">
        <f>AL461/V461*100</f>
        <v/>
      </c>
      <c r="AQ461" s="8">
        <f>P461/AL461*1000</f>
        <v/>
      </c>
      <c r="AR461" s="77">
        <f>MAX(N461,M461-1)</f>
        <v/>
      </c>
      <c r="AS461" s="14">
        <f>SUMIFS(Donnees_regimes!$R$3:$R$1118,Donnees_regimes!$A$3:$A$1118,C461,Donnees_regimes!$B$3:$B$1118,"&gt;="&amp;G461,Donnees_regimes!$B$3:$B$1118,"&lt;="&amp;N461)*L461/ROUNDUP(L461,0)*SUMIFS(Donnees_annuelles!$AG$3:$AG$188,Donnees_annuelles!$A$3:$A$188,AR461)*SUMIFS(Donnees_annuelles!$AA$3:$AA$188,Donnees_annuelles!$A$3:$A$188,AR461)</f>
        <v/>
      </c>
      <c r="AT461" s="36">
        <f>AS461/V461</f>
        <v/>
      </c>
      <c r="AU461" s="14">
        <f>AL461</f>
        <v/>
      </c>
      <c r="AV461" s="39">
        <f>AS461-AL461</f>
        <v/>
      </c>
      <c r="AW461" s="9">
        <f>AS461/AL461-1</f>
        <v/>
      </c>
      <c r="AX461" s="14">
        <f>AS461/AJ461/12</f>
        <v/>
      </c>
      <c r="AY461" s="14">
        <f>AF461</f>
        <v/>
      </c>
      <c r="AZ461" s="39">
        <f>AX461-AF461</f>
        <v/>
      </c>
      <c r="BA461" s="14">
        <f>SUMIFS(Donnees_regimes!$S$3:$S$1118,Donnees_regimes!$A$3:$A$1118,C461,Donnees_regimes!$B$3:$B$1118,"&gt;="&amp;G461,Donnees_regimes!$B$3:$B$1118,"&lt;="&amp;N461)*L461/ROUNDUP(L461,0)*SUMIFS(Donnees_annuelles!$AH$3:$AH$188,Donnees_annuelles!$A$3:$A$188,AR461)*SUMIFS(Donnees_annuelles!$AA$3:$AA$188,Donnees_annuelles!$A$3:$A$188,AR461)</f>
        <v/>
      </c>
      <c r="BB461" s="39">
        <f>BA461-AL461</f>
        <v/>
      </c>
      <c r="BC461" s="7">
        <f>IF(M461+AJ461&gt;2026,IF(G461&gt;2026,"entièrement projeté","en partie projeté"),"observé")</f>
        <v/>
      </c>
    </row>
    <row r="462">
      <c r="A462" s="7" t="inlineStr">
        <is>
          <t>Génération Y</t>
        </is>
      </c>
      <c r="B462" s="84" t="inlineStr">
        <is>
          <t>RATP</t>
        </is>
      </c>
      <c r="C462" s="7">
        <f>IF(G462&gt;=SUMIFS(Regimes!$C$5:$C$10,Regimes!$A$5:$A$10,B462),"Privé",B462)</f>
        <v/>
      </c>
      <c r="D462" s="7">
        <f>INDEX(Regimes!$D$5:$D$10,MATCH(C462,Regimes!$A$5:$A$10,0))</f>
        <v/>
      </c>
      <c r="E462" s="88" t="n">
        <v>1995</v>
      </c>
      <c r="F462" s="8">
        <f>Donnees_generations!C83</f>
        <v/>
      </c>
      <c r="G462" s="77">
        <f>Donnees_generations!D83</f>
        <v/>
      </c>
      <c r="H462" s="8">
        <f>SUMIFS(Donnees_generations!$S$3:$S$113,Donnees_generations!$A$3:$A$113,MAX(1915,MIN(2025,E462)))</f>
        <v/>
      </c>
      <c r="I462" s="8">
        <f>SUMIFS(Donnees_generations!$T$3:$T$113,Donnees_generations!$A$3:$A$113,MAX(1915,MIN(2025,E462)))</f>
        <v/>
      </c>
      <c r="J462" s="8">
        <f>IF(G462&gt;=2000,MAX(I462,Parametres!$B$3),I462)</f>
        <v/>
      </c>
      <c r="K462" s="8">
        <f>IF(C462="Privé",J462,SUMIFS(Regles_regimes!$J$3:$J$2000,Regles_regimes!$A$3:$A$2000,C462,Regles_regimes!$B$3:$B$2000,D462,Regles_regimes!$C$3:$C$2000,MAX(1915,MIN(2025,E462))))</f>
        <v/>
      </c>
      <c r="L462" s="8">
        <f>IF(C462="Privé",H462,(K462-F462)*H462/(J462-F462))</f>
        <v/>
      </c>
      <c r="M462" s="77">
        <f>INT(E462+K462)</f>
        <v/>
      </c>
      <c r="N462" s="77">
        <f>G462+ROUNDUP(L462,0)-1</f>
        <v/>
      </c>
      <c r="O462" s="89">
        <f>SUMIFS(Regles_regimes!$K$3:$K$2000,Regles_regimes!$A$3:$A$2000,C462,Regles_regimes!$B$3:$B$2000,D462,Regles_regimes!$C$3:$C$2000,MAX(1915,MIN(2025,E462)))</f>
        <v/>
      </c>
      <c r="P462" s="13">
        <f>SUMIFS(Donnees_annuelles!$W$3:$W$188,Donnees_annuelles!$A$3:$A$188,"&gt;="&amp;G462,Donnees_annuelles!$A$3:$A$188,"&lt;="&amp;N462)*L462/ROUNDUP(L462,0)*O462</f>
        <v/>
      </c>
      <c r="Q462" s="13">
        <f>SUMIFS(Donnees_annuelles!$V$3:$V$188,Donnees_annuelles!$A$3:$A$188,"&gt;="&amp;G462,Donnees_annuelles!$A$3:$A$188,"&lt;="&amp;N462)*L462/ROUNDUP(L462,0)</f>
        <v/>
      </c>
      <c r="R462" s="13">
        <f>P462/L462</f>
        <v/>
      </c>
      <c r="S462" s="14">
        <f>SUMIFS(Donnees_annuelles!$D$3:$D$188,Donnees_annuelles!$A$3:$A$188,"&gt;="&amp;G462,Donnees_annuelles!$A$3:$A$188,"&lt;="&amp;N462)*L462/ROUNDUP(L462,0)</f>
        <v/>
      </c>
      <c r="T462" s="14">
        <f>SUMIFS(Donnees_regimes!$N$3:$N$1118,Donnees_regimes!$A$3:$A$1118,C462,Donnees_regimes!$B$3:$B$1118,"&gt;="&amp;G462,Donnees_regimes!$B$3:$B$1118,"&lt;="&amp;N462)*L462/ROUNDUP(L462,0)</f>
        <v/>
      </c>
      <c r="U462" s="14">
        <f>SUMIFS(Donnees_regimes!$O$3:$O$1118,Donnees_regimes!$A$3:$A$1118,C462,Donnees_regimes!$B$3:$B$1118,"&gt;="&amp;G462,Donnees_regimes!$B$3:$B$1118,"&lt;="&amp;N462)*L462/ROUNDUP(L462,0)</f>
        <v/>
      </c>
      <c r="V462" s="14">
        <f>T462+U462</f>
        <v/>
      </c>
      <c r="W462" s="33">
        <f>V462/S462</f>
        <v/>
      </c>
      <c r="X462" s="14">
        <f>S462+U462</f>
        <v/>
      </c>
      <c r="Y462" s="17">
        <f>V462/P462</f>
        <v/>
      </c>
      <c r="Z462" s="14">
        <f>SUMIFS(Donnees_regimes!$Q$3:$Q$1118,Donnees_regimes!$A$3:$A$1118,C462,Donnees_regimes!$B$3:$B$1118,"&gt;="&amp;G462,Donnees_regimes!$B$3:$B$1118,"&lt;="&amp;N462)*L462/ROUNDUP(L462,0)</f>
        <v/>
      </c>
      <c r="AA462" s="77">
        <f>SUMIFS(Regles_regimes!$F$3:$F$2000,Regles_regimes!$A$3:$A$2000,C462,Regles_regimes!$B$3:$B$2000,D462,Regles_regimes!$C$3:$C$2000,MAX(1915,MIN(2025,E462)))</f>
        <v/>
      </c>
      <c r="AB462" s="77">
        <f>IF(AND(SUMIFS(Regles_regimes!$L$3:$L$2000,Regles_regimes!$A$3:$A$2000,C462,Regles_regimes!$B$3:$B$2000,D462,Regles_regimes!$C$3:$C$2000,MAX(1915,MIN(2025,E462)))=1,G462&lt;2009,C462&lt;&gt;"Privé"),MIN(20,L462*4/5),0)</f>
        <v/>
      </c>
      <c r="AC462" s="89">
        <f>SUMIFS(Donnees_regimes!$M$3:$M$1118,Donnees_regimes!$A$3:$A$1118,C462,Donnees_regimes!$B$3:$B$1118,M462)</f>
        <v/>
      </c>
      <c r="AD462" s="14">
        <f>SUMIFS(Donnees_annuelles!$Y$3:$Y$188,Donnees_annuelles!$A$3:$A$188,M462)*SUMIFS(Donnees_generations!$I$3:$I$113,Donnees_generations!$A$3:$A$113,MAX(1915,MIN(2025,E462)))/H462</f>
        <v/>
      </c>
      <c r="AE462" s="14">
        <f>IF(C462="Privé",SUMIFS(Donnees_annuelles!$Y$3:$Y$188,Donnees_annuelles!$A$3:$A$188,M462)*MIN(L462,SUMIFS(Donnees_generations!$I$3:$I$113,Donnees_generations!$A$3:$A$113,MAX(1915,MIN(2025,E462))))/L462,AD462*AC462*MIN(IF(AB462&gt;0,0.8/0.75,1),(L462*4+AB462)/AA462))</f>
        <v/>
      </c>
      <c r="AF462" s="14">
        <f>AE462/12</f>
        <v/>
      </c>
      <c r="AG462" s="77">
        <f>MIN(68,MAX(56,2*INT(K462/2)))</f>
        <v/>
      </c>
      <c r="AH462" s="75">
        <f>(CHOOSE((AG462-56)/2+1,SUMIFS(Donnees_generations!$U$3:$U$113,Donnees_generations!$A$3:$A$113,MAX(1915,MIN(2025,E462))),SUMIFS(Donnees_generations!$V$3:$V$113,Donnees_generations!$A$3:$A$113,MAX(1915,MIN(2025,E462))),SUMIFS(Donnees_generations!$W$3:$W$113,Donnees_generations!$A$3:$A$113,MAX(1915,MIN(2025,E462))),SUMIFS(Donnees_generations!$X$3:$X$113,Donnees_generations!$A$3:$A$113,MAX(1915,MIN(2025,E462))),SUMIFS(Donnees_generations!$Y$3:$Y$113,Donnees_generations!$A$3:$A$113,MAX(1915,MIN(2025,E462))),SUMIFS(Donnees_generations!$Z$3:$Z$113,Donnees_generations!$A$3:$A$113,MAX(1915,MIN(2025,E462))),SUMIFS(Donnees_generations!$AA$3:$AA$113,Donnees_generations!$A$3:$A$113,MAX(1915,MIN(2025,E462))),SUMIFS(Donnees_generations!$AB$3:$AB$113,Donnees_generations!$A$3:$A$113,MAX(1915,MIN(2025,E462))))+CHOOSE((AG462-56)/2+1,SUMIFS(Donnees_generations!$AC$3:$AC$113,Donnees_generations!$A$3:$A$113,MAX(1915,MIN(2025,E462))),SUMIFS(Donnees_generations!$AD$3:$AD$113,Donnees_generations!$A$3:$A$113,MAX(1915,MIN(2025,E462))),SUMIFS(Donnees_generations!$AE$3:$AE$113,Donnees_generations!$A$3:$A$113,MAX(1915,MIN(2025,E462))),SUMIFS(Donnees_generations!$AF$3:$AF$113,Donnees_generations!$A$3:$A$113,MAX(1915,MIN(2025,E462))),SUMIFS(Donnees_generations!$AG$3:$AG$113,Donnees_generations!$A$3:$A$113,MAX(1915,MIN(2025,E462))),SUMIFS(Donnees_generations!$AH$3:$AH$113,Donnees_generations!$A$3:$A$113,MAX(1915,MIN(2025,E462))),SUMIFS(Donnees_generations!$AI$3:$AI$113,Donnees_generations!$A$3:$A$113,MAX(1915,MIN(2025,E462))),SUMIFS(Donnees_generations!$AJ$3:$AJ$113,Donnees_generations!$A$3:$A$113,MAX(1915,MIN(2025,E462)))))/2</f>
        <v/>
      </c>
      <c r="AI462" s="75">
        <f>(CHOOSE(((AG462+2)-56)/2+1,SUMIFS(Donnees_generations!$U$3:$U$113,Donnees_generations!$A$3:$A$113,MAX(1915,MIN(2025,E462))),SUMIFS(Donnees_generations!$V$3:$V$113,Donnees_generations!$A$3:$A$113,MAX(1915,MIN(2025,E462))),SUMIFS(Donnees_generations!$W$3:$W$113,Donnees_generations!$A$3:$A$113,MAX(1915,MIN(2025,E462))),SUMIFS(Donnees_generations!$X$3:$X$113,Donnees_generations!$A$3:$A$113,MAX(1915,MIN(2025,E462))),SUMIFS(Donnees_generations!$Y$3:$Y$113,Donnees_generations!$A$3:$A$113,MAX(1915,MIN(2025,E462))),SUMIFS(Donnees_generations!$Z$3:$Z$113,Donnees_generations!$A$3:$A$113,MAX(1915,MIN(2025,E462))),SUMIFS(Donnees_generations!$AA$3:$AA$113,Donnees_generations!$A$3:$A$113,MAX(1915,MIN(2025,E462))),SUMIFS(Donnees_generations!$AB$3:$AB$113,Donnees_generations!$A$3:$A$113,MAX(1915,MIN(2025,E462))))+CHOOSE(((AG462+2)-56)/2+1,SUMIFS(Donnees_generations!$AC$3:$AC$113,Donnees_generations!$A$3:$A$113,MAX(1915,MIN(2025,E462))),SUMIFS(Donnees_generations!$AD$3:$AD$113,Donnees_generations!$A$3:$A$113,MAX(1915,MIN(2025,E462))),SUMIFS(Donnees_generations!$AE$3:$AE$113,Donnees_generations!$A$3:$A$113,MAX(1915,MIN(2025,E462))),SUMIFS(Donnees_generations!$AF$3:$AF$113,Donnees_generations!$A$3:$A$113,MAX(1915,MIN(2025,E462))),SUMIFS(Donnees_generations!$AG$3:$AG$113,Donnees_generations!$A$3:$A$113,MAX(1915,MIN(2025,E462))),SUMIFS(Donnees_generations!$AH$3:$AH$113,Donnees_generations!$A$3:$A$113,MAX(1915,MIN(2025,E462))),SUMIFS(Donnees_generations!$AI$3:$AI$113,Donnees_generations!$A$3:$A$113,MAX(1915,MIN(2025,E462))),SUMIFS(Donnees_generations!$AJ$3:$AJ$113,Donnees_generations!$A$3:$A$113,MAX(1915,MIN(2025,E462)))))/2</f>
        <v/>
      </c>
      <c r="AJ462" s="8">
        <f>MAX(0,AH462+(AI462-AH462)*(K462-AG462)/2)</f>
        <v/>
      </c>
      <c r="AK462" s="8">
        <f>K462+AJ462</f>
        <v/>
      </c>
      <c r="AL462" s="14">
        <f>AE462*AJ462</f>
        <v/>
      </c>
      <c r="AM462" s="17">
        <f>V462/AL462</f>
        <v/>
      </c>
      <c r="AN462" s="17">
        <f>Z462/AL462</f>
        <v/>
      </c>
      <c r="AO462" s="33">
        <f>IF(V462+Z462=0,0,Z462/(V462+Z462))</f>
        <v/>
      </c>
      <c r="AP462" s="14">
        <f>AL462/V462*100</f>
        <v/>
      </c>
      <c r="AQ462" s="8">
        <f>P462/AL462*1000</f>
        <v/>
      </c>
      <c r="AR462" s="77">
        <f>MAX(N462,M462-1)</f>
        <v/>
      </c>
      <c r="AS462" s="14">
        <f>SUMIFS(Donnees_regimes!$R$3:$R$1118,Donnees_regimes!$A$3:$A$1118,C462,Donnees_regimes!$B$3:$B$1118,"&gt;="&amp;G462,Donnees_regimes!$B$3:$B$1118,"&lt;="&amp;N462)*L462/ROUNDUP(L462,0)*SUMIFS(Donnees_annuelles!$AG$3:$AG$188,Donnees_annuelles!$A$3:$A$188,AR462)*SUMIFS(Donnees_annuelles!$AA$3:$AA$188,Donnees_annuelles!$A$3:$A$188,AR462)</f>
        <v/>
      </c>
      <c r="AT462" s="36">
        <f>AS462/V462</f>
        <v/>
      </c>
      <c r="AU462" s="14">
        <f>AL462</f>
        <v/>
      </c>
      <c r="AV462" s="39">
        <f>AS462-AL462</f>
        <v/>
      </c>
      <c r="AW462" s="9">
        <f>AS462/AL462-1</f>
        <v/>
      </c>
      <c r="AX462" s="14">
        <f>AS462/AJ462/12</f>
        <v/>
      </c>
      <c r="AY462" s="14">
        <f>AF462</f>
        <v/>
      </c>
      <c r="AZ462" s="39">
        <f>AX462-AF462</f>
        <v/>
      </c>
      <c r="BA462" s="14">
        <f>SUMIFS(Donnees_regimes!$S$3:$S$1118,Donnees_regimes!$A$3:$A$1118,C462,Donnees_regimes!$B$3:$B$1118,"&gt;="&amp;G462,Donnees_regimes!$B$3:$B$1118,"&lt;="&amp;N462)*L462/ROUNDUP(L462,0)*SUMIFS(Donnees_annuelles!$AH$3:$AH$188,Donnees_annuelles!$A$3:$A$188,AR462)*SUMIFS(Donnees_annuelles!$AA$3:$AA$188,Donnees_annuelles!$A$3:$A$188,AR462)</f>
        <v/>
      </c>
      <c r="BB462" s="39">
        <f>BA462-AL462</f>
        <v/>
      </c>
      <c r="BC462" s="7">
        <f>IF(M462+AJ462&gt;2026,IF(G462&gt;2026,"entièrement projeté","en partie projeté"),"observé")</f>
        <v/>
      </c>
    </row>
    <row r="463">
      <c r="A463" s="7" t="inlineStr">
        <is>
          <t>Génération Y</t>
        </is>
      </c>
      <c r="B463" s="84" t="inlineStr">
        <is>
          <t>RATP</t>
        </is>
      </c>
      <c r="C463" s="7">
        <f>IF(G463&gt;=SUMIFS(Regimes!$C$5:$C$10,Regimes!$A$5:$A$10,B463),"Privé",B463)</f>
        <v/>
      </c>
      <c r="D463" s="7">
        <f>INDEX(Regimes!$D$5:$D$10,MATCH(C463,Regimes!$A$5:$A$10,0))</f>
        <v/>
      </c>
      <c r="E463" s="88" t="n">
        <v>1996</v>
      </c>
      <c r="F463" s="8">
        <f>Donnees_generations!C84</f>
        <v/>
      </c>
      <c r="G463" s="77">
        <f>Donnees_generations!D84</f>
        <v/>
      </c>
      <c r="H463" s="8">
        <f>SUMIFS(Donnees_generations!$S$3:$S$113,Donnees_generations!$A$3:$A$113,MAX(1915,MIN(2025,E463)))</f>
        <v/>
      </c>
      <c r="I463" s="8">
        <f>SUMIFS(Donnees_generations!$T$3:$T$113,Donnees_generations!$A$3:$A$113,MAX(1915,MIN(2025,E463)))</f>
        <v/>
      </c>
      <c r="J463" s="8">
        <f>IF(G463&gt;=2000,MAX(I463,Parametres!$B$3),I463)</f>
        <v/>
      </c>
      <c r="K463" s="8">
        <f>IF(C463="Privé",J463,SUMIFS(Regles_regimes!$J$3:$J$2000,Regles_regimes!$A$3:$A$2000,C463,Regles_regimes!$B$3:$B$2000,D463,Regles_regimes!$C$3:$C$2000,MAX(1915,MIN(2025,E463))))</f>
        <v/>
      </c>
      <c r="L463" s="8">
        <f>IF(C463="Privé",H463,(K463-F463)*H463/(J463-F463))</f>
        <v/>
      </c>
      <c r="M463" s="77">
        <f>INT(E463+K463)</f>
        <v/>
      </c>
      <c r="N463" s="77">
        <f>G463+ROUNDUP(L463,0)-1</f>
        <v/>
      </c>
      <c r="O463" s="89">
        <f>SUMIFS(Regles_regimes!$K$3:$K$2000,Regles_regimes!$A$3:$A$2000,C463,Regles_regimes!$B$3:$B$2000,D463,Regles_regimes!$C$3:$C$2000,MAX(1915,MIN(2025,E463)))</f>
        <v/>
      </c>
      <c r="P463" s="13">
        <f>SUMIFS(Donnees_annuelles!$W$3:$W$188,Donnees_annuelles!$A$3:$A$188,"&gt;="&amp;G463,Donnees_annuelles!$A$3:$A$188,"&lt;="&amp;N463)*L463/ROUNDUP(L463,0)*O463</f>
        <v/>
      </c>
      <c r="Q463" s="13">
        <f>SUMIFS(Donnees_annuelles!$V$3:$V$188,Donnees_annuelles!$A$3:$A$188,"&gt;="&amp;G463,Donnees_annuelles!$A$3:$A$188,"&lt;="&amp;N463)*L463/ROUNDUP(L463,0)</f>
        <v/>
      </c>
      <c r="R463" s="13">
        <f>P463/L463</f>
        <v/>
      </c>
      <c r="S463" s="14">
        <f>SUMIFS(Donnees_annuelles!$D$3:$D$188,Donnees_annuelles!$A$3:$A$188,"&gt;="&amp;G463,Donnees_annuelles!$A$3:$A$188,"&lt;="&amp;N463)*L463/ROUNDUP(L463,0)</f>
        <v/>
      </c>
      <c r="T463" s="14">
        <f>SUMIFS(Donnees_regimes!$N$3:$N$1118,Donnees_regimes!$A$3:$A$1118,C463,Donnees_regimes!$B$3:$B$1118,"&gt;="&amp;G463,Donnees_regimes!$B$3:$B$1118,"&lt;="&amp;N463)*L463/ROUNDUP(L463,0)</f>
        <v/>
      </c>
      <c r="U463" s="14">
        <f>SUMIFS(Donnees_regimes!$O$3:$O$1118,Donnees_regimes!$A$3:$A$1118,C463,Donnees_regimes!$B$3:$B$1118,"&gt;="&amp;G463,Donnees_regimes!$B$3:$B$1118,"&lt;="&amp;N463)*L463/ROUNDUP(L463,0)</f>
        <v/>
      </c>
      <c r="V463" s="14">
        <f>T463+U463</f>
        <v/>
      </c>
      <c r="W463" s="33">
        <f>V463/S463</f>
        <v/>
      </c>
      <c r="X463" s="14">
        <f>S463+U463</f>
        <v/>
      </c>
      <c r="Y463" s="17">
        <f>V463/P463</f>
        <v/>
      </c>
      <c r="Z463" s="14">
        <f>SUMIFS(Donnees_regimes!$Q$3:$Q$1118,Donnees_regimes!$A$3:$A$1118,C463,Donnees_regimes!$B$3:$B$1118,"&gt;="&amp;G463,Donnees_regimes!$B$3:$B$1118,"&lt;="&amp;N463)*L463/ROUNDUP(L463,0)</f>
        <v/>
      </c>
      <c r="AA463" s="77">
        <f>SUMIFS(Regles_regimes!$F$3:$F$2000,Regles_regimes!$A$3:$A$2000,C463,Regles_regimes!$B$3:$B$2000,D463,Regles_regimes!$C$3:$C$2000,MAX(1915,MIN(2025,E463)))</f>
        <v/>
      </c>
      <c r="AB463" s="77">
        <f>IF(AND(SUMIFS(Regles_regimes!$L$3:$L$2000,Regles_regimes!$A$3:$A$2000,C463,Regles_regimes!$B$3:$B$2000,D463,Regles_regimes!$C$3:$C$2000,MAX(1915,MIN(2025,E463)))=1,G463&lt;2009,C463&lt;&gt;"Privé"),MIN(20,L463*4/5),0)</f>
        <v/>
      </c>
      <c r="AC463" s="89">
        <f>SUMIFS(Donnees_regimes!$M$3:$M$1118,Donnees_regimes!$A$3:$A$1118,C463,Donnees_regimes!$B$3:$B$1118,M463)</f>
        <v/>
      </c>
      <c r="AD463" s="14">
        <f>SUMIFS(Donnees_annuelles!$Y$3:$Y$188,Donnees_annuelles!$A$3:$A$188,M463)*SUMIFS(Donnees_generations!$I$3:$I$113,Donnees_generations!$A$3:$A$113,MAX(1915,MIN(2025,E463)))/H463</f>
        <v/>
      </c>
      <c r="AE463" s="14">
        <f>IF(C463="Privé",SUMIFS(Donnees_annuelles!$Y$3:$Y$188,Donnees_annuelles!$A$3:$A$188,M463)*MIN(L463,SUMIFS(Donnees_generations!$I$3:$I$113,Donnees_generations!$A$3:$A$113,MAX(1915,MIN(2025,E463))))/L463,AD463*AC463*MIN(IF(AB463&gt;0,0.8/0.75,1),(L463*4+AB463)/AA463))</f>
        <v/>
      </c>
      <c r="AF463" s="14">
        <f>AE463/12</f>
        <v/>
      </c>
      <c r="AG463" s="77">
        <f>MIN(68,MAX(56,2*INT(K463/2)))</f>
        <v/>
      </c>
      <c r="AH463" s="75">
        <f>(CHOOSE((AG463-56)/2+1,SUMIFS(Donnees_generations!$U$3:$U$113,Donnees_generations!$A$3:$A$113,MAX(1915,MIN(2025,E463))),SUMIFS(Donnees_generations!$V$3:$V$113,Donnees_generations!$A$3:$A$113,MAX(1915,MIN(2025,E463))),SUMIFS(Donnees_generations!$W$3:$W$113,Donnees_generations!$A$3:$A$113,MAX(1915,MIN(2025,E463))),SUMIFS(Donnees_generations!$X$3:$X$113,Donnees_generations!$A$3:$A$113,MAX(1915,MIN(2025,E463))),SUMIFS(Donnees_generations!$Y$3:$Y$113,Donnees_generations!$A$3:$A$113,MAX(1915,MIN(2025,E463))),SUMIFS(Donnees_generations!$Z$3:$Z$113,Donnees_generations!$A$3:$A$113,MAX(1915,MIN(2025,E463))),SUMIFS(Donnees_generations!$AA$3:$AA$113,Donnees_generations!$A$3:$A$113,MAX(1915,MIN(2025,E463))),SUMIFS(Donnees_generations!$AB$3:$AB$113,Donnees_generations!$A$3:$A$113,MAX(1915,MIN(2025,E463))))+CHOOSE((AG463-56)/2+1,SUMIFS(Donnees_generations!$AC$3:$AC$113,Donnees_generations!$A$3:$A$113,MAX(1915,MIN(2025,E463))),SUMIFS(Donnees_generations!$AD$3:$AD$113,Donnees_generations!$A$3:$A$113,MAX(1915,MIN(2025,E463))),SUMIFS(Donnees_generations!$AE$3:$AE$113,Donnees_generations!$A$3:$A$113,MAX(1915,MIN(2025,E463))),SUMIFS(Donnees_generations!$AF$3:$AF$113,Donnees_generations!$A$3:$A$113,MAX(1915,MIN(2025,E463))),SUMIFS(Donnees_generations!$AG$3:$AG$113,Donnees_generations!$A$3:$A$113,MAX(1915,MIN(2025,E463))),SUMIFS(Donnees_generations!$AH$3:$AH$113,Donnees_generations!$A$3:$A$113,MAX(1915,MIN(2025,E463))),SUMIFS(Donnees_generations!$AI$3:$AI$113,Donnees_generations!$A$3:$A$113,MAX(1915,MIN(2025,E463))),SUMIFS(Donnees_generations!$AJ$3:$AJ$113,Donnees_generations!$A$3:$A$113,MAX(1915,MIN(2025,E463)))))/2</f>
        <v/>
      </c>
      <c r="AI463" s="75">
        <f>(CHOOSE(((AG463+2)-56)/2+1,SUMIFS(Donnees_generations!$U$3:$U$113,Donnees_generations!$A$3:$A$113,MAX(1915,MIN(2025,E463))),SUMIFS(Donnees_generations!$V$3:$V$113,Donnees_generations!$A$3:$A$113,MAX(1915,MIN(2025,E463))),SUMIFS(Donnees_generations!$W$3:$W$113,Donnees_generations!$A$3:$A$113,MAX(1915,MIN(2025,E463))),SUMIFS(Donnees_generations!$X$3:$X$113,Donnees_generations!$A$3:$A$113,MAX(1915,MIN(2025,E463))),SUMIFS(Donnees_generations!$Y$3:$Y$113,Donnees_generations!$A$3:$A$113,MAX(1915,MIN(2025,E463))),SUMIFS(Donnees_generations!$Z$3:$Z$113,Donnees_generations!$A$3:$A$113,MAX(1915,MIN(2025,E463))),SUMIFS(Donnees_generations!$AA$3:$AA$113,Donnees_generations!$A$3:$A$113,MAX(1915,MIN(2025,E463))),SUMIFS(Donnees_generations!$AB$3:$AB$113,Donnees_generations!$A$3:$A$113,MAX(1915,MIN(2025,E463))))+CHOOSE(((AG463+2)-56)/2+1,SUMIFS(Donnees_generations!$AC$3:$AC$113,Donnees_generations!$A$3:$A$113,MAX(1915,MIN(2025,E463))),SUMIFS(Donnees_generations!$AD$3:$AD$113,Donnees_generations!$A$3:$A$113,MAX(1915,MIN(2025,E463))),SUMIFS(Donnees_generations!$AE$3:$AE$113,Donnees_generations!$A$3:$A$113,MAX(1915,MIN(2025,E463))),SUMIFS(Donnees_generations!$AF$3:$AF$113,Donnees_generations!$A$3:$A$113,MAX(1915,MIN(2025,E463))),SUMIFS(Donnees_generations!$AG$3:$AG$113,Donnees_generations!$A$3:$A$113,MAX(1915,MIN(2025,E463))),SUMIFS(Donnees_generations!$AH$3:$AH$113,Donnees_generations!$A$3:$A$113,MAX(1915,MIN(2025,E463))),SUMIFS(Donnees_generations!$AI$3:$AI$113,Donnees_generations!$A$3:$A$113,MAX(1915,MIN(2025,E463))),SUMIFS(Donnees_generations!$AJ$3:$AJ$113,Donnees_generations!$A$3:$A$113,MAX(1915,MIN(2025,E463)))))/2</f>
        <v/>
      </c>
      <c r="AJ463" s="8">
        <f>MAX(0,AH463+(AI463-AH463)*(K463-AG463)/2)</f>
        <v/>
      </c>
      <c r="AK463" s="8">
        <f>K463+AJ463</f>
        <v/>
      </c>
      <c r="AL463" s="14">
        <f>AE463*AJ463</f>
        <v/>
      </c>
      <c r="AM463" s="17">
        <f>V463/AL463</f>
        <v/>
      </c>
      <c r="AN463" s="17">
        <f>Z463/AL463</f>
        <v/>
      </c>
      <c r="AO463" s="33">
        <f>IF(V463+Z463=0,0,Z463/(V463+Z463))</f>
        <v/>
      </c>
      <c r="AP463" s="14">
        <f>AL463/V463*100</f>
        <v/>
      </c>
      <c r="AQ463" s="8">
        <f>P463/AL463*1000</f>
        <v/>
      </c>
      <c r="AR463" s="77">
        <f>MAX(N463,M463-1)</f>
        <v/>
      </c>
      <c r="AS463" s="14">
        <f>SUMIFS(Donnees_regimes!$R$3:$R$1118,Donnees_regimes!$A$3:$A$1118,C463,Donnees_regimes!$B$3:$B$1118,"&gt;="&amp;G463,Donnees_regimes!$B$3:$B$1118,"&lt;="&amp;N463)*L463/ROUNDUP(L463,0)*SUMIFS(Donnees_annuelles!$AG$3:$AG$188,Donnees_annuelles!$A$3:$A$188,AR463)*SUMIFS(Donnees_annuelles!$AA$3:$AA$188,Donnees_annuelles!$A$3:$A$188,AR463)</f>
        <v/>
      </c>
      <c r="AT463" s="36">
        <f>AS463/V463</f>
        <v/>
      </c>
      <c r="AU463" s="14">
        <f>AL463</f>
        <v/>
      </c>
      <c r="AV463" s="39">
        <f>AS463-AL463</f>
        <v/>
      </c>
      <c r="AW463" s="9">
        <f>AS463/AL463-1</f>
        <v/>
      </c>
      <c r="AX463" s="14">
        <f>AS463/AJ463/12</f>
        <v/>
      </c>
      <c r="AY463" s="14">
        <f>AF463</f>
        <v/>
      </c>
      <c r="AZ463" s="39">
        <f>AX463-AF463</f>
        <v/>
      </c>
      <c r="BA463" s="14">
        <f>SUMIFS(Donnees_regimes!$S$3:$S$1118,Donnees_regimes!$A$3:$A$1118,C463,Donnees_regimes!$B$3:$B$1118,"&gt;="&amp;G463,Donnees_regimes!$B$3:$B$1118,"&lt;="&amp;N463)*L463/ROUNDUP(L463,0)*SUMIFS(Donnees_annuelles!$AH$3:$AH$188,Donnees_annuelles!$A$3:$A$188,AR463)*SUMIFS(Donnees_annuelles!$AA$3:$AA$188,Donnees_annuelles!$A$3:$A$188,AR463)</f>
        <v/>
      </c>
      <c r="BB463" s="39">
        <f>BA463-AL463</f>
        <v/>
      </c>
      <c r="BC463" s="7">
        <f>IF(M463+AJ463&gt;2026,IF(G463&gt;2026,"entièrement projeté","en partie projeté"),"observé")</f>
        <v/>
      </c>
    </row>
    <row r="464">
      <c r="A464" s="7" t="inlineStr">
        <is>
          <t>Génération Z</t>
        </is>
      </c>
      <c r="B464" s="84" t="inlineStr">
        <is>
          <t>RATP</t>
        </is>
      </c>
      <c r="C464" s="7">
        <f>IF(G464&gt;=SUMIFS(Regimes!$C$5:$C$10,Regimes!$A$5:$A$10,B464),"Privé",B464)</f>
        <v/>
      </c>
      <c r="D464" s="7">
        <f>INDEX(Regimes!$D$5:$D$10,MATCH(C464,Regimes!$A$5:$A$10,0))</f>
        <v/>
      </c>
      <c r="E464" s="88" t="n">
        <v>1997</v>
      </c>
      <c r="F464" s="8">
        <f>Donnees_generations!C85</f>
        <v/>
      </c>
      <c r="G464" s="77">
        <f>Donnees_generations!D85</f>
        <v/>
      </c>
      <c r="H464" s="8">
        <f>SUMIFS(Donnees_generations!$S$3:$S$113,Donnees_generations!$A$3:$A$113,MAX(1915,MIN(2025,E464)))</f>
        <v/>
      </c>
      <c r="I464" s="8">
        <f>SUMIFS(Donnees_generations!$T$3:$T$113,Donnees_generations!$A$3:$A$113,MAX(1915,MIN(2025,E464)))</f>
        <v/>
      </c>
      <c r="J464" s="8">
        <f>IF(G464&gt;=2000,MAX(I464,Parametres!$B$3),I464)</f>
        <v/>
      </c>
      <c r="K464" s="8">
        <f>IF(C464="Privé",J464,SUMIFS(Regles_regimes!$J$3:$J$2000,Regles_regimes!$A$3:$A$2000,C464,Regles_regimes!$B$3:$B$2000,D464,Regles_regimes!$C$3:$C$2000,MAX(1915,MIN(2025,E464))))</f>
        <v/>
      </c>
      <c r="L464" s="8">
        <f>IF(C464="Privé",H464,(K464-F464)*H464/(J464-F464))</f>
        <v/>
      </c>
      <c r="M464" s="77">
        <f>INT(E464+K464)</f>
        <v/>
      </c>
      <c r="N464" s="77">
        <f>G464+ROUNDUP(L464,0)-1</f>
        <v/>
      </c>
      <c r="O464" s="89">
        <f>SUMIFS(Regles_regimes!$K$3:$K$2000,Regles_regimes!$A$3:$A$2000,C464,Regles_regimes!$B$3:$B$2000,D464,Regles_regimes!$C$3:$C$2000,MAX(1915,MIN(2025,E464)))</f>
        <v/>
      </c>
      <c r="P464" s="13">
        <f>SUMIFS(Donnees_annuelles!$W$3:$W$188,Donnees_annuelles!$A$3:$A$188,"&gt;="&amp;G464,Donnees_annuelles!$A$3:$A$188,"&lt;="&amp;N464)*L464/ROUNDUP(L464,0)*O464</f>
        <v/>
      </c>
      <c r="Q464" s="13">
        <f>SUMIFS(Donnees_annuelles!$V$3:$V$188,Donnees_annuelles!$A$3:$A$188,"&gt;="&amp;G464,Donnees_annuelles!$A$3:$A$188,"&lt;="&amp;N464)*L464/ROUNDUP(L464,0)</f>
        <v/>
      </c>
      <c r="R464" s="13">
        <f>P464/L464</f>
        <v/>
      </c>
      <c r="S464" s="14">
        <f>SUMIFS(Donnees_annuelles!$D$3:$D$188,Donnees_annuelles!$A$3:$A$188,"&gt;="&amp;G464,Donnees_annuelles!$A$3:$A$188,"&lt;="&amp;N464)*L464/ROUNDUP(L464,0)</f>
        <v/>
      </c>
      <c r="T464" s="14">
        <f>SUMIFS(Donnees_regimes!$N$3:$N$1118,Donnees_regimes!$A$3:$A$1118,C464,Donnees_regimes!$B$3:$B$1118,"&gt;="&amp;G464,Donnees_regimes!$B$3:$B$1118,"&lt;="&amp;N464)*L464/ROUNDUP(L464,0)</f>
        <v/>
      </c>
      <c r="U464" s="14">
        <f>SUMIFS(Donnees_regimes!$O$3:$O$1118,Donnees_regimes!$A$3:$A$1118,C464,Donnees_regimes!$B$3:$B$1118,"&gt;="&amp;G464,Donnees_regimes!$B$3:$B$1118,"&lt;="&amp;N464)*L464/ROUNDUP(L464,0)</f>
        <v/>
      </c>
      <c r="V464" s="14">
        <f>T464+U464</f>
        <v/>
      </c>
      <c r="W464" s="33">
        <f>V464/S464</f>
        <v/>
      </c>
      <c r="X464" s="14">
        <f>S464+U464</f>
        <v/>
      </c>
      <c r="Y464" s="17">
        <f>V464/P464</f>
        <v/>
      </c>
      <c r="Z464" s="14">
        <f>SUMIFS(Donnees_regimes!$Q$3:$Q$1118,Donnees_regimes!$A$3:$A$1118,C464,Donnees_regimes!$B$3:$B$1118,"&gt;="&amp;G464,Donnees_regimes!$B$3:$B$1118,"&lt;="&amp;N464)*L464/ROUNDUP(L464,0)</f>
        <v/>
      </c>
      <c r="AA464" s="77">
        <f>SUMIFS(Regles_regimes!$F$3:$F$2000,Regles_regimes!$A$3:$A$2000,C464,Regles_regimes!$B$3:$B$2000,D464,Regles_regimes!$C$3:$C$2000,MAX(1915,MIN(2025,E464)))</f>
        <v/>
      </c>
      <c r="AB464" s="77">
        <f>IF(AND(SUMIFS(Regles_regimes!$L$3:$L$2000,Regles_regimes!$A$3:$A$2000,C464,Regles_regimes!$B$3:$B$2000,D464,Regles_regimes!$C$3:$C$2000,MAX(1915,MIN(2025,E464)))=1,G464&lt;2009,C464&lt;&gt;"Privé"),MIN(20,L464*4/5),0)</f>
        <v/>
      </c>
      <c r="AC464" s="89">
        <f>SUMIFS(Donnees_regimes!$M$3:$M$1118,Donnees_regimes!$A$3:$A$1118,C464,Donnees_regimes!$B$3:$B$1118,M464)</f>
        <v/>
      </c>
      <c r="AD464" s="14">
        <f>SUMIFS(Donnees_annuelles!$Y$3:$Y$188,Donnees_annuelles!$A$3:$A$188,M464)*SUMIFS(Donnees_generations!$I$3:$I$113,Donnees_generations!$A$3:$A$113,MAX(1915,MIN(2025,E464)))/H464</f>
        <v/>
      </c>
      <c r="AE464" s="14">
        <f>IF(C464="Privé",SUMIFS(Donnees_annuelles!$Y$3:$Y$188,Donnees_annuelles!$A$3:$A$188,M464)*MIN(L464,SUMIFS(Donnees_generations!$I$3:$I$113,Donnees_generations!$A$3:$A$113,MAX(1915,MIN(2025,E464))))/L464,AD464*AC464*MIN(IF(AB464&gt;0,0.8/0.75,1),(L464*4+AB464)/AA464))</f>
        <v/>
      </c>
      <c r="AF464" s="14">
        <f>AE464/12</f>
        <v/>
      </c>
      <c r="AG464" s="77">
        <f>MIN(68,MAX(56,2*INT(K464/2)))</f>
        <v/>
      </c>
      <c r="AH464" s="75">
        <f>(CHOOSE((AG464-56)/2+1,SUMIFS(Donnees_generations!$U$3:$U$113,Donnees_generations!$A$3:$A$113,MAX(1915,MIN(2025,E464))),SUMIFS(Donnees_generations!$V$3:$V$113,Donnees_generations!$A$3:$A$113,MAX(1915,MIN(2025,E464))),SUMIFS(Donnees_generations!$W$3:$W$113,Donnees_generations!$A$3:$A$113,MAX(1915,MIN(2025,E464))),SUMIFS(Donnees_generations!$X$3:$X$113,Donnees_generations!$A$3:$A$113,MAX(1915,MIN(2025,E464))),SUMIFS(Donnees_generations!$Y$3:$Y$113,Donnees_generations!$A$3:$A$113,MAX(1915,MIN(2025,E464))),SUMIFS(Donnees_generations!$Z$3:$Z$113,Donnees_generations!$A$3:$A$113,MAX(1915,MIN(2025,E464))),SUMIFS(Donnees_generations!$AA$3:$AA$113,Donnees_generations!$A$3:$A$113,MAX(1915,MIN(2025,E464))),SUMIFS(Donnees_generations!$AB$3:$AB$113,Donnees_generations!$A$3:$A$113,MAX(1915,MIN(2025,E464))))+CHOOSE((AG464-56)/2+1,SUMIFS(Donnees_generations!$AC$3:$AC$113,Donnees_generations!$A$3:$A$113,MAX(1915,MIN(2025,E464))),SUMIFS(Donnees_generations!$AD$3:$AD$113,Donnees_generations!$A$3:$A$113,MAX(1915,MIN(2025,E464))),SUMIFS(Donnees_generations!$AE$3:$AE$113,Donnees_generations!$A$3:$A$113,MAX(1915,MIN(2025,E464))),SUMIFS(Donnees_generations!$AF$3:$AF$113,Donnees_generations!$A$3:$A$113,MAX(1915,MIN(2025,E464))),SUMIFS(Donnees_generations!$AG$3:$AG$113,Donnees_generations!$A$3:$A$113,MAX(1915,MIN(2025,E464))),SUMIFS(Donnees_generations!$AH$3:$AH$113,Donnees_generations!$A$3:$A$113,MAX(1915,MIN(2025,E464))),SUMIFS(Donnees_generations!$AI$3:$AI$113,Donnees_generations!$A$3:$A$113,MAX(1915,MIN(2025,E464))),SUMIFS(Donnees_generations!$AJ$3:$AJ$113,Donnees_generations!$A$3:$A$113,MAX(1915,MIN(2025,E464)))))/2</f>
        <v/>
      </c>
      <c r="AI464" s="75">
        <f>(CHOOSE(((AG464+2)-56)/2+1,SUMIFS(Donnees_generations!$U$3:$U$113,Donnees_generations!$A$3:$A$113,MAX(1915,MIN(2025,E464))),SUMIFS(Donnees_generations!$V$3:$V$113,Donnees_generations!$A$3:$A$113,MAX(1915,MIN(2025,E464))),SUMIFS(Donnees_generations!$W$3:$W$113,Donnees_generations!$A$3:$A$113,MAX(1915,MIN(2025,E464))),SUMIFS(Donnees_generations!$X$3:$X$113,Donnees_generations!$A$3:$A$113,MAX(1915,MIN(2025,E464))),SUMIFS(Donnees_generations!$Y$3:$Y$113,Donnees_generations!$A$3:$A$113,MAX(1915,MIN(2025,E464))),SUMIFS(Donnees_generations!$Z$3:$Z$113,Donnees_generations!$A$3:$A$113,MAX(1915,MIN(2025,E464))),SUMIFS(Donnees_generations!$AA$3:$AA$113,Donnees_generations!$A$3:$A$113,MAX(1915,MIN(2025,E464))),SUMIFS(Donnees_generations!$AB$3:$AB$113,Donnees_generations!$A$3:$A$113,MAX(1915,MIN(2025,E464))))+CHOOSE(((AG464+2)-56)/2+1,SUMIFS(Donnees_generations!$AC$3:$AC$113,Donnees_generations!$A$3:$A$113,MAX(1915,MIN(2025,E464))),SUMIFS(Donnees_generations!$AD$3:$AD$113,Donnees_generations!$A$3:$A$113,MAX(1915,MIN(2025,E464))),SUMIFS(Donnees_generations!$AE$3:$AE$113,Donnees_generations!$A$3:$A$113,MAX(1915,MIN(2025,E464))),SUMIFS(Donnees_generations!$AF$3:$AF$113,Donnees_generations!$A$3:$A$113,MAX(1915,MIN(2025,E464))),SUMIFS(Donnees_generations!$AG$3:$AG$113,Donnees_generations!$A$3:$A$113,MAX(1915,MIN(2025,E464))),SUMIFS(Donnees_generations!$AH$3:$AH$113,Donnees_generations!$A$3:$A$113,MAX(1915,MIN(2025,E464))),SUMIFS(Donnees_generations!$AI$3:$AI$113,Donnees_generations!$A$3:$A$113,MAX(1915,MIN(2025,E464))),SUMIFS(Donnees_generations!$AJ$3:$AJ$113,Donnees_generations!$A$3:$A$113,MAX(1915,MIN(2025,E464)))))/2</f>
        <v/>
      </c>
      <c r="AJ464" s="8">
        <f>MAX(0,AH464+(AI464-AH464)*(K464-AG464)/2)</f>
        <v/>
      </c>
      <c r="AK464" s="8">
        <f>K464+AJ464</f>
        <v/>
      </c>
      <c r="AL464" s="14">
        <f>AE464*AJ464</f>
        <v/>
      </c>
      <c r="AM464" s="17">
        <f>V464/AL464</f>
        <v/>
      </c>
      <c r="AN464" s="17">
        <f>Z464/AL464</f>
        <v/>
      </c>
      <c r="AO464" s="33">
        <f>IF(V464+Z464=0,0,Z464/(V464+Z464))</f>
        <v/>
      </c>
      <c r="AP464" s="14">
        <f>AL464/V464*100</f>
        <v/>
      </c>
      <c r="AQ464" s="8">
        <f>P464/AL464*1000</f>
        <v/>
      </c>
      <c r="AR464" s="77">
        <f>MAX(N464,M464-1)</f>
        <v/>
      </c>
      <c r="AS464" s="14">
        <f>SUMIFS(Donnees_regimes!$R$3:$R$1118,Donnees_regimes!$A$3:$A$1118,C464,Donnees_regimes!$B$3:$B$1118,"&gt;="&amp;G464,Donnees_regimes!$B$3:$B$1118,"&lt;="&amp;N464)*L464/ROUNDUP(L464,0)*SUMIFS(Donnees_annuelles!$AG$3:$AG$188,Donnees_annuelles!$A$3:$A$188,AR464)*SUMIFS(Donnees_annuelles!$AA$3:$AA$188,Donnees_annuelles!$A$3:$A$188,AR464)</f>
        <v/>
      </c>
      <c r="AT464" s="36">
        <f>AS464/V464</f>
        <v/>
      </c>
      <c r="AU464" s="14">
        <f>AL464</f>
        <v/>
      </c>
      <c r="AV464" s="39">
        <f>AS464-AL464</f>
        <v/>
      </c>
      <c r="AW464" s="9">
        <f>AS464/AL464-1</f>
        <v/>
      </c>
      <c r="AX464" s="14">
        <f>AS464/AJ464/12</f>
        <v/>
      </c>
      <c r="AY464" s="14">
        <f>AF464</f>
        <v/>
      </c>
      <c r="AZ464" s="39">
        <f>AX464-AF464</f>
        <v/>
      </c>
      <c r="BA464" s="14">
        <f>SUMIFS(Donnees_regimes!$S$3:$S$1118,Donnees_regimes!$A$3:$A$1118,C464,Donnees_regimes!$B$3:$B$1118,"&gt;="&amp;G464,Donnees_regimes!$B$3:$B$1118,"&lt;="&amp;N464)*L464/ROUNDUP(L464,0)*SUMIFS(Donnees_annuelles!$AH$3:$AH$188,Donnees_annuelles!$A$3:$A$188,AR464)*SUMIFS(Donnees_annuelles!$AA$3:$AA$188,Donnees_annuelles!$A$3:$A$188,AR464)</f>
        <v/>
      </c>
      <c r="BB464" s="39">
        <f>BA464-AL464</f>
        <v/>
      </c>
      <c r="BC464" s="7">
        <f>IF(M464+AJ464&gt;2026,IF(G464&gt;2026,"entièrement projeté","en partie projeté"),"observé")</f>
        <v/>
      </c>
    </row>
    <row r="465">
      <c r="A465" s="7" t="inlineStr">
        <is>
          <t>Génération Z</t>
        </is>
      </c>
      <c r="B465" s="84" t="inlineStr">
        <is>
          <t>RATP</t>
        </is>
      </c>
      <c r="C465" s="7">
        <f>IF(G465&gt;=SUMIFS(Regimes!$C$5:$C$10,Regimes!$A$5:$A$10,B465),"Privé",B465)</f>
        <v/>
      </c>
      <c r="D465" s="7">
        <f>INDEX(Regimes!$D$5:$D$10,MATCH(C465,Regimes!$A$5:$A$10,0))</f>
        <v/>
      </c>
      <c r="E465" s="88" t="n">
        <v>1998</v>
      </c>
      <c r="F465" s="8">
        <f>Donnees_generations!C86</f>
        <v/>
      </c>
      <c r="G465" s="77">
        <f>Donnees_generations!D86</f>
        <v/>
      </c>
      <c r="H465" s="8">
        <f>SUMIFS(Donnees_generations!$S$3:$S$113,Donnees_generations!$A$3:$A$113,MAX(1915,MIN(2025,E465)))</f>
        <v/>
      </c>
      <c r="I465" s="8">
        <f>SUMIFS(Donnees_generations!$T$3:$T$113,Donnees_generations!$A$3:$A$113,MAX(1915,MIN(2025,E465)))</f>
        <v/>
      </c>
      <c r="J465" s="8">
        <f>IF(G465&gt;=2000,MAX(I465,Parametres!$B$3),I465)</f>
        <v/>
      </c>
      <c r="K465" s="8">
        <f>IF(C465="Privé",J465,SUMIFS(Regles_regimes!$J$3:$J$2000,Regles_regimes!$A$3:$A$2000,C465,Regles_regimes!$B$3:$B$2000,D465,Regles_regimes!$C$3:$C$2000,MAX(1915,MIN(2025,E465))))</f>
        <v/>
      </c>
      <c r="L465" s="8">
        <f>IF(C465="Privé",H465,(K465-F465)*H465/(J465-F465))</f>
        <v/>
      </c>
      <c r="M465" s="77">
        <f>INT(E465+K465)</f>
        <v/>
      </c>
      <c r="N465" s="77">
        <f>G465+ROUNDUP(L465,0)-1</f>
        <v/>
      </c>
      <c r="O465" s="89">
        <f>SUMIFS(Regles_regimes!$K$3:$K$2000,Regles_regimes!$A$3:$A$2000,C465,Regles_regimes!$B$3:$B$2000,D465,Regles_regimes!$C$3:$C$2000,MAX(1915,MIN(2025,E465)))</f>
        <v/>
      </c>
      <c r="P465" s="13">
        <f>SUMIFS(Donnees_annuelles!$W$3:$W$188,Donnees_annuelles!$A$3:$A$188,"&gt;="&amp;G465,Donnees_annuelles!$A$3:$A$188,"&lt;="&amp;N465)*L465/ROUNDUP(L465,0)*O465</f>
        <v/>
      </c>
      <c r="Q465" s="13">
        <f>SUMIFS(Donnees_annuelles!$V$3:$V$188,Donnees_annuelles!$A$3:$A$188,"&gt;="&amp;G465,Donnees_annuelles!$A$3:$A$188,"&lt;="&amp;N465)*L465/ROUNDUP(L465,0)</f>
        <v/>
      </c>
      <c r="R465" s="13">
        <f>P465/L465</f>
        <v/>
      </c>
      <c r="S465" s="14">
        <f>SUMIFS(Donnees_annuelles!$D$3:$D$188,Donnees_annuelles!$A$3:$A$188,"&gt;="&amp;G465,Donnees_annuelles!$A$3:$A$188,"&lt;="&amp;N465)*L465/ROUNDUP(L465,0)</f>
        <v/>
      </c>
      <c r="T465" s="14">
        <f>SUMIFS(Donnees_regimes!$N$3:$N$1118,Donnees_regimes!$A$3:$A$1118,C465,Donnees_regimes!$B$3:$B$1118,"&gt;="&amp;G465,Donnees_regimes!$B$3:$B$1118,"&lt;="&amp;N465)*L465/ROUNDUP(L465,0)</f>
        <v/>
      </c>
      <c r="U465" s="14">
        <f>SUMIFS(Donnees_regimes!$O$3:$O$1118,Donnees_regimes!$A$3:$A$1118,C465,Donnees_regimes!$B$3:$B$1118,"&gt;="&amp;G465,Donnees_regimes!$B$3:$B$1118,"&lt;="&amp;N465)*L465/ROUNDUP(L465,0)</f>
        <v/>
      </c>
      <c r="V465" s="14">
        <f>T465+U465</f>
        <v/>
      </c>
      <c r="W465" s="33">
        <f>V465/S465</f>
        <v/>
      </c>
      <c r="X465" s="14">
        <f>S465+U465</f>
        <v/>
      </c>
      <c r="Y465" s="17">
        <f>V465/P465</f>
        <v/>
      </c>
      <c r="Z465" s="14">
        <f>SUMIFS(Donnees_regimes!$Q$3:$Q$1118,Donnees_regimes!$A$3:$A$1118,C465,Donnees_regimes!$B$3:$B$1118,"&gt;="&amp;G465,Donnees_regimes!$B$3:$B$1118,"&lt;="&amp;N465)*L465/ROUNDUP(L465,0)</f>
        <v/>
      </c>
      <c r="AA465" s="77">
        <f>SUMIFS(Regles_regimes!$F$3:$F$2000,Regles_regimes!$A$3:$A$2000,C465,Regles_regimes!$B$3:$B$2000,D465,Regles_regimes!$C$3:$C$2000,MAX(1915,MIN(2025,E465)))</f>
        <v/>
      </c>
      <c r="AB465" s="77">
        <f>IF(AND(SUMIFS(Regles_regimes!$L$3:$L$2000,Regles_regimes!$A$3:$A$2000,C465,Regles_regimes!$B$3:$B$2000,D465,Regles_regimes!$C$3:$C$2000,MAX(1915,MIN(2025,E465)))=1,G465&lt;2009,C465&lt;&gt;"Privé"),MIN(20,L465*4/5),0)</f>
        <v/>
      </c>
      <c r="AC465" s="89">
        <f>SUMIFS(Donnees_regimes!$M$3:$M$1118,Donnees_regimes!$A$3:$A$1118,C465,Donnees_regimes!$B$3:$B$1118,M465)</f>
        <v/>
      </c>
      <c r="AD465" s="14">
        <f>SUMIFS(Donnees_annuelles!$Y$3:$Y$188,Donnees_annuelles!$A$3:$A$188,M465)*SUMIFS(Donnees_generations!$I$3:$I$113,Donnees_generations!$A$3:$A$113,MAX(1915,MIN(2025,E465)))/H465</f>
        <v/>
      </c>
      <c r="AE465" s="14">
        <f>IF(C465="Privé",SUMIFS(Donnees_annuelles!$Y$3:$Y$188,Donnees_annuelles!$A$3:$A$188,M465)*MIN(L465,SUMIFS(Donnees_generations!$I$3:$I$113,Donnees_generations!$A$3:$A$113,MAX(1915,MIN(2025,E465))))/L465,AD465*AC465*MIN(IF(AB465&gt;0,0.8/0.75,1),(L465*4+AB465)/AA465))</f>
        <v/>
      </c>
      <c r="AF465" s="14">
        <f>AE465/12</f>
        <v/>
      </c>
      <c r="AG465" s="77">
        <f>MIN(68,MAX(56,2*INT(K465/2)))</f>
        <v/>
      </c>
      <c r="AH465" s="75">
        <f>(CHOOSE((AG465-56)/2+1,SUMIFS(Donnees_generations!$U$3:$U$113,Donnees_generations!$A$3:$A$113,MAX(1915,MIN(2025,E465))),SUMIFS(Donnees_generations!$V$3:$V$113,Donnees_generations!$A$3:$A$113,MAX(1915,MIN(2025,E465))),SUMIFS(Donnees_generations!$W$3:$W$113,Donnees_generations!$A$3:$A$113,MAX(1915,MIN(2025,E465))),SUMIFS(Donnees_generations!$X$3:$X$113,Donnees_generations!$A$3:$A$113,MAX(1915,MIN(2025,E465))),SUMIFS(Donnees_generations!$Y$3:$Y$113,Donnees_generations!$A$3:$A$113,MAX(1915,MIN(2025,E465))),SUMIFS(Donnees_generations!$Z$3:$Z$113,Donnees_generations!$A$3:$A$113,MAX(1915,MIN(2025,E465))),SUMIFS(Donnees_generations!$AA$3:$AA$113,Donnees_generations!$A$3:$A$113,MAX(1915,MIN(2025,E465))),SUMIFS(Donnees_generations!$AB$3:$AB$113,Donnees_generations!$A$3:$A$113,MAX(1915,MIN(2025,E465))))+CHOOSE((AG465-56)/2+1,SUMIFS(Donnees_generations!$AC$3:$AC$113,Donnees_generations!$A$3:$A$113,MAX(1915,MIN(2025,E465))),SUMIFS(Donnees_generations!$AD$3:$AD$113,Donnees_generations!$A$3:$A$113,MAX(1915,MIN(2025,E465))),SUMIFS(Donnees_generations!$AE$3:$AE$113,Donnees_generations!$A$3:$A$113,MAX(1915,MIN(2025,E465))),SUMIFS(Donnees_generations!$AF$3:$AF$113,Donnees_generations!$A$3:$A$113,MAX(1915,MIN(2025,E465))),SUMIFS(Donnees_generations!$AG$3:$AG$113,Donnees_generations!$A$3:$A$113,MAX(1915,MIN(2025,E465))),SUMIFS(Donnees_generations!$AH$3:$AH$113,Donnees_generations!$A$3:$A$113,MAX(1915,MIN(2025,E465))),SUMIFS(Donnees_generations!$AI$3:$AI$113,Donnees_generations!$A$3:$A$113,MAX(1915,MIN(2025,E465))),SUMIFS(Donnees_generations!$AJ$3:$AJ$113,Donnees_generations!$A$3:$A$113,MAX(1915,MIN(2025,E465)))))/2</f>
        <v/>
      </c>
      <c r="AI465" s="75">
        <f>(CHOOSE(((AG465+2)-56)/2+1,SUMIFS(Donnees_generations!$U$3:$U$113,Donnees_generations!$A$3:$A$113,MAX(1915,MIN(2025,E465))),SUMIFS(Donnees_generations!$V$3:$V$113,Donnees_generations!$A$3:$A$113,MAX(1915,MIN(2025,E465))),SUMIFS(Donnees_generations!$W$3:$W$113,Donnees_generations!$A$3:$A$113,MAX(1915,MIN(2025,E465))),SUMIFS(Donnees_generations!$X$3:$X$113,Donnees_generations!$A$3:$A$113,MAX(1915,MIN(2025,E465))),SUMIFS(Donnees_generations!$Y$3:$Y$113,Donnees_generations!$A$3:$A$113,MAX(1915,MIN(2025,E465))),SUMIFS(Donnees_generations!$Z$3:$Z$113,Donnees_generations!$A$3:$A$113,MAX(1915,MIN(2025,E465))),SUMIFS(Donnees_generations!$AA$3:$AA$113,Donnees_generations!$A$3:$A$113,MAX(1915,MIN(2025,E465))),SUMIFS(Donnees_generations!$AB$3:$AB$113,Donnees_generations!$A$3:$A$113,MAX(1915,MIN(2025,E465))))+CHOOSE(((AG465+2)-56)/2+1,SUMIFS(Donnees_generations!$AC$3:$AC$113,Donnees_generations!$A$3:$A$113,MAX(1915,MIN(2025,E465))),SUMIFS(Donnees_generations!$AD$3:$AD$113,Donnees_generations!$A$3:$A$113,MAX(1915,MIN(2025,E465))),SUMIFS(Donnees_generations!$AE$3:$AE$113,Donnees_generations!$A$3:$A$113,MAX(1915,MIN(2025,E465))),SUMIFS(Donnees_generations!$AF$3:$AF$113,Donnees_generations!$A$3:$A$113,MAX(1915,MIN(2025,E465))),SUMIFS(Donnees_generations!$AG$3:$AG$113,Donnees_generations!$A$3:$A$113,MAX(1915,MIN(2025,E465))),SUMIFS(Donnees_generations!$AH$3:$AH$113,Donnees_generations!$A$3:$A$113,MAX(1915,MIN(2025,E465))),SUMIFS(Donnees_generations!$AI$3:$AI$113,Donnees_generations!$A$3:$A$113,MAX(1915,MIN(2025,E465))),SUMIFS(Donnees_generations!$AJ$3:$AJ$113,Donnees_generations!$A$3:$A$113,MAX(1915,MIN(2025,E465)))))/2</f>
        <v/>
      </c>
      <c r="AJ465" s="8">
        <f>MAX(0,AH465+(AI465-AH465)*(K465-AG465)/2)</f>
        <v/>
      </c>
      <c r="AK465" s="8">
        <f>K465+AJ465</f>
        <v/>
      </c>
      <c r="AL465" s="14">
        <f>AE465*AJ465</f>
        <v/>
      </c>
      <c r="AM465" s="17">
        <f>V465/AL465</f>
        <v/>
      </c>
      <c r="AN465" s="17">
        <f>Z465/AL465</f>
        <v/>
      </c>
      <c r="AO465" s="33">
        <f>IF(V465+Z465=0,0,Z465/(V465+Z465))</f>
        <v/>
      </c>
      <c r="AP465" s="14">
        <f>AL465/V465*100</f>
        <v/>
      </c>
      <c r="AQ465" s="8">
        <f>P465/AL465*1000</f>
        <v/>
      </c>
      <c r="AR465" s="77">
        <f>MAX(N465,M465-1)</f>
        <v/>
      </c>
      <c r="AS465" s="14">
        <f>SUMIFS(Donnees_regimes!$R$3:$R$1118,Donnees_regimes!$A$3:$A$1118,C465,Donnees_regimes!$B$3:$B$1118,"&gt;="&amp;G465,Donnees_regimes!$B$3:$B$1118,"&lt;="&amp;N465)*L465/ROUNDUP(L465,0)*SUMIFS(Donnees_annuelles!$AG$3:$AG$188,Donnees_annuelles!$A$3:$A$188,AR465)*SUMIFS(Donnees_annuelles!$AA$3:$AA$188,Donnees_annuelles!$A$3:$A$188,AR465)</f>
        <v/>
      </c>
      <c r="AT465" s="36">
        <f>AS465/V465</f>
        <v/>
      </c>
      <c r="AU465" s="14">
        <f>AL465</f>
        <v/>
      </c>
      <c r="AV465" s="39">
        <f>AS465-AL465</f>
        <v/>
      </c>
      <c r="AW465" s="9">
        <f>AS465/AL465-1</f>
        <v/>
      </c>
      <c r="AX465" s="14">
        <f>AS465/AJ465/12</f>
        <v/>
      </c>
      <c r="AY465" s="14">
        <f>AF465</f>
        <v/>
      </c>
      <c r="AZ465" s="39">
        <f>AX465-AF465</f>
        <v/>
      </c>
      <c r="BA465" s="14">
        <f>SUMIFS(Donnees_regimes!$S$3:$S$1118,Donnees_regimes!$A$3:$A$1118,C465,Donnees_regimes!$B$3:$B$1118,"&gt;="&amp;G465,Donnees_regimes!$B$3:$B$1118,"&lt;="&amp;N465)*L465/ROUNDUP(L465,0)*SUMIFS(Donnees_annuelles!$AH$3:$AH$188,Donnees_annuelles!$A$3:$A$188,AR465)*SUMIFS(Donnees_annuelles!$AA$3:$AA$188,Donnees_annuelles!$A$3:$A$188,AR465)</f>
        <v/>
      </c>
      <c r="BB465" s="39">
        <f>BA465-AL465</f>
        <v/>
      </c>
      <c r="BC465" s="7">
        <f>IF(M465+AJ465&gt;2026,IF(G465&gt;2026,"entièrement projeté","en partie projeté"),"observé")</f>
        <v/>
      </c>
    </row>
    <row r="466">
      <c r="A466" s="7" t="inlineStr">
        <is>
          <t>Génération Z</t>
        </is>
      </c>
      <c r="B466" s="84" t="inlineStr">
        <is>
          <t>RATP</t>
        </is>
      </c>
      <c r="C466" s="7">
        <f>IF(G466&gt;=SUMIFS(Regimes!$C$5:$C$10,Regimes!$A$5:$A$10,B466),"Privé",B466)</f>
        <v/>
      </c>
      <c r="D466" s="7">
        <f>INDEX(Regimes!$D$5:$D$10,MATCH(C466,Regimes!$A$5:$A$10,0))</f>
        <v/>
      </c>
      <c r="E466" s="88" t="n">
        <v>1999</v>
      </c>
      <c r="F466" s="8">
        <f>Donnees_generations!C87</f>
        <v/>
      </c>
      <c r="G466" s="77">
        <f>Donnees_generations!D87</f>
        <v/>
      </c>
      <c r="H466" s="8">
        <f>SUMIFS(Donnees_generations!$S$3:$S$113,Donnees_generations!$A$3:$A$113,MAX(1915,MIN(2025,E466)))</f>
        <v/>
      </c>
      <c r="I466" s="8">
        <f>SUMIFS(Donnees_generations!$T$3:$T$113,Donnees_generations!$A$3:$A$113,MAX(1915,MIN(2025,E466)))</f>
        <v/>
      </c>
      <c r="J466" s="8">
        <f>IF(G466&gt;=2000,MAX(I466,Parametres!$B$3),I466)</f>
        <v/>
      </c>
      <c r="K466" s="8">
        <f>IF(C466="Privé",J466,SUMIFS(Regles_regimes!$J$3:$J$2000,Regles_regimes!$A$3:$A$2000,C466,Regles_regimes!$B$3:$B$2000,D466,Regles_regimes!$C$3:$C$2000,MAX(1915,MIN(2025,E466))))</f>
        <v/>
      </c>
      <c r="L466" s="8">
        <f>IF(C466="Privé",H466,(K466-F466)*H466/(J466-F466))</f>
        <v/>
      </c>
      <c r="M466" s="77">
        <f>INT(E466+K466)</f>
        <v/>
      </c>
      <c r="N466" s="77">
        <f>G466+ROUNDUP(L466,0)-1</f>
        <v/>
      </c>
      <c r="O466" s="89">
        <f>SUMIFS(Regles_regimes!$K$3:$K$2000,Regles_regimes!$A$3:$A$2000,C466,Regles_regimes!$B$3:$B$2000,D466,Regles_regimes!$C$3:$C$2000,MAX(1915,MIN(2025,E466)))</f>
        <v/>
      </c>
      <c r="P466" s="13">
        <f>SUMIFS(Donnees_annuelles!$W$3:$W$188,Donnees_annuelles!$A$3:$A$188,"&gt;="&amp;G466,Donnees_annuelles!$A$3:$A$188,"&lt;="&amp;N466)*L466/ROUNDUP(L466,0)*O466</f>
        <v/>
      </c>
      <c r="Q466" s="13">
        <f>SUMIFS(Donnees_annuelles!$V$3:$V$188,Donnees_annuelles!$A$3:$A$188,"&gt;="&amp;G466,Donnees_annuelles!$A$3:$A$188,"&lt;="&amp;N466)*L466/ROUNDUP(L466,0)</f>
        <v/>
      </c>
      <c r="R466" s="13">
        <f>P466/L466</f>
        <v/>
      </c>
      <c r="S466" s="14">
        <f>SUMIFS(Donnees_annuelles!$D$3:$D$188,Donnees_annuelles!$A$3:$A$188,"&gt;="&amp;G466,Donnees_annuelles!$A$3:$A$188,"&lt;="&amp;N466)*L466/ROUNDUP(L466,0)</f>
        <v/>
      </c>
      <c r="T466" s="14">
        <f>SUMIFS(Donnees_regimes!$N$3:$N$1118,Donnees_regimes!$A$3:$A$1118,C466,Donnees_regimes!$B$3:$B$1118,"&gt;="&amp;G466,Donnees_regimes!$B$3:$B$1118,"&lt;="&amp;N466)*L466/ROUNDUP(L466,0)</f>
        <v/>
      </c>
      <c r="U466" s="14">
        <f>SUMIFS(Donnees_regimes!$O$3:$O$1118,Donnees_regimes!$A$3:$A$1118,C466,Donnees_regimes!$B$3:$B$1118,"&gt;="&amp;G466,Donnees_regimes!$B$3:$B$1118,"&lt;="&amp;N466)*L466/ROUNDUP(L466,0)</f>
        <v/>
      </c>
      <c r="V466" s="14">
        <f>T466+U466</f>
        <v/>
      </c>
      <c r="W466" s="33">
        <f>V466/S466</f>
        <v/>
      </c>
      <c r="X466" s="14">
        <f>S466+U466</f>
        <v/>
      </c>
      <c r="Y466" s="17">
        <f>V466/P466</f>
        <v/>
      </c>
      <c r="Z466" s="14">
        <f>SUMIFS(Donnees_regimes!$Q$3:$Q$1118,Donnees_regimes!$A$3:$A$1118,C466,Donnees_regimes!$B$3:$B$1118,"&gt;="&amp;G466,Donnees_regimes!$B$3:$B$1118,"&lt;="&amp;N466)*L466/ROUNDUP(L466,0)</f>
        <v/>
      </c>
      <c r="AA466" s="77">
        <f>SUMIFS(Regles_regimes!$F$3:$F$2000,Regles_regimes!$A$3:$A$2000,C466,Regles_regimes!$B$3:$B$2000,D466,Regles_regimes!$C$3:$C$2000,MAX(1915,MIN(2025,E466)))</f>
        <v/>
      </c>
      <c r="AB466" s="77">
        <f>IF(AND(SUMIFS(Regles_regimes!$L$3:$L$2000,Regles_regimes!$A$3:$A$2000,C466,Regles_regimes!$B$3:$B$2000,D466,Regles_regimes!$C$3:$C$2000,MAX(1915,MIN(2025,E466)))=1,G466&lt;2009,C466&lt;&gt;"Privé"),MIN(20,L466*4/5),0)</f>
        <v/>
      </c>
      <c r="AC466" s="89">
        <f>SUMIFS(Donnees_regimes!$M$3:$M$1118,Donnees_regimes!$A$3:$A$1118,C466,Donnees_regimes!$B$3:$B$1118,M466)</f>
        <v/>
      </c>
      <c r="AD466" s="14">
        <f>SUMIFS(Donnees_annuelles!$Y$3:$Y$188,Donnees_annuelles!$A$3:$A$188,M466)*SUMIFS(Donnees_generations!$I$3:$I$113,Donnees_generations!$A$3:$A$113,MAX(1915,MIN(2025,E466)))/H466</f>
        <v/>
      </c>
      <c r="AE466" s="14">
        <f>IF(C466="Privé",SUMIFS(Donnees_annuelles!$Y$3:$Y$188,Donnees_annuelles!$A$3:$A$188,M466)*MIN(L466,SUMIFS(Donnees_generations!$I$3:$I$113,Donnees_generations!$A$3:$A$113,MAX(1915,MIN(2025,E466))))/L466,AD466*AC466*MIN(IF(AB466&gt;0,0.8/0.75,1),(L466*4+AB466)/AA466))</f>
        <v/>
      </c>
      <c r="AF466" s="14">
        <f>AE466/12</f>
        <v/>
      </c>
      <c r="AG466" s="77">
        <f>MIN(68,MAX(56,2*INT(K466/2)))</f>
        <v/>
      </c>
      <c r="AH466" s="75">
        <f>(CHOOSE((AG466-56)/2+1,SUMIFS(Donnees_generations!$U$3:$U$113,Donnees_generations!$A$3:$A$113,MAX(1915,MIN(2025,E466))),SUMIFS(Donnees_generations!$V$3:$V$113,Donnees_generations!$A$3:$A$113,MAX(1915,MIN(2025,E466))),SUMIFS(Donnees_generations!$W$3:$W$113,Donnees_generations!$A$3:$A$113,MAX(1915,MIN(2025,E466))),SUMIFS(Donnees_generations!$X$3:$X$113,Donnees_generations!$A$3:$A$113,MAX(1915,MIN(2025,E466))),SUMIFS(Donnees_generations!$Y$3:$Y$113,Donnees_generations!$A$3:$A$113,MAX(1915,MIN(2025,E466))),SUMIFS(Donnees_generations!$Z$3:$Z$113,Donnees_generations!$A$3:$A$113,MAX(1915,MIN(2025,E466))),SUMIFS(Donnees_generations!$AA$3:$AA$113,Donnees_generations!$A$3:$A$113,MAX(1915,MIN(2025,E466))),SUMIFS(Donnees_generations!$AB$3:$AB$113,Donnees_generations!$A$3:$A$113,MAX(1915,MIN(2025,E466))))+CHOOSE((AG466-56)/2+1,SUMIFS(Donnees_generations!$AC$3:$AC$113,Donnees_generations!$A$3:$A$113,MAX(1915,MIN(2025,E466))),SUMIFS(Donnees_generations!$AD$3:$AD$113,Donnees_generations!$A$3:$A$113,MAX(1915,MIN(2025,E466))),SUMIFS(Donnees_generations!$AE$3:$AE$113,Donnees_generations!$A$3:$A$113,MAX(1915,MIN(2025,E466))),SUMIFS(Donnees_generations!$AF$3:$AF$113,Donnees_generations!$A$3:$A$113,MAX(1915,MIN(2025,E466))),SUMIFS(Donnees_generations!$AG$3:$AG$113,Donnees_generations!$A$3:$A$113,MAX(1915,MIN(2025,E466))),SUMIFS(Donnees_generations!$AH$3:$AH$113,Donnees_generations!$A$3:$A$113,MAX(1915,MIN(2025,E466))),SUMIFS(Donnees_generations!$AI$3:$AI$113,Donnees_generations!$A$3:$A$113,MAX(1915,MIN(2025,E466))),SUMIFS(Donnees_generations!$AJ$3:$AJ$113,Donnees_generations!$A$3:$A$113,MAX(1915,MIN(2025,E466)))))/2</f>
        <v/>
      </c>
      <c r="AI466" s="75">
        <f>(CHOOSE(((AG466+2)-56)/2+1,SUMIFS(Donnees_generations!$U$3:$U$113,Donnees_generations!$A$3:$A$113,MAX(1915,MIN(2025,E466))),SUMIFS(Donnees_generations!$V$3:$V$113,Donnees_generations!$A$3:$A$113,MAX(1915,MIN(2025,E466))),SUMIFS(Donnees_generations!$W$3:$W$113,Donnees_generations!$A$3:$A$113,MAX(1915,MIN(2025,E466))),SUMIFS(Donnees_generations!$X$3:$X$113,Donnees_generations!$A$3:$A$113,MAX(1915,MIN(2025,E466))),SUMIFS(Donnees_generations!$Y$3:$Y$113,Donnees_generations!$A$3:$A$113,MAX(1915,MIN(2025,E466))),SUMIFS(Donnees_generations!$Z$3:$Z$113,Donnees_generations!$A$3:$A$113,MAX(1915,MIN(2025,E466))),SUMIFS(Donnees_generations!$AA$3:$AA$113,Donnees_generations!$A$3:$A$113,MAX(1915,MIN(2025,E466))),SUMIFS(Donnees_generations!$AB$3:$AB$113,Donnees_generations!$A$3:$A$113,MAX(1915,MIN(2025,E466))))+CHOOSE(((AG466+2)-56)/2+1,SUMIFS(Donnees_generations!$AC$3:$AC$113,Donnees_generations!$A$3:$A$113,MAX(1915,MIN(2025,E466))),SUMIFS(Donnees_generations!$AD$3:$AD$113,Donnees_generations!$A$3:$A$113,MAX(1915,MIN(2025,E466))),SUMIFS(Donnees_generations!$AE$3:$AE$113,Donnees_generations!$A$3:$A$113,MAX(1915,MIN(2025,E466))),SUMIFS(Donnees_generations!$AF$3:$AF$113,Donnees_generations!$A$3:$A$113,MAX(1915,MIN(2025,E466))),SUMIFS(Donnees_generations!$AG$3:$AG$113,Donnees_generations!$A$3:$A$113,MAX(1915,MIN(2025,E466))),SUMIFS(Donnees_generations!$AH$3:$AH$113,Donnees_generations!$A$3:$A$113,MAX(1915,MIN(2025,E466))),SUMIFS(Donnees_generations!$AI$3:$AI$113,Donnees_generations!$A$3:$A$113,MAX(1915,MIN(2025,E466))),SUMIFS(Donnees_generations!$AJ$3:$AJ$113,Donnees_generations!$A$3:$A$113,MAX(1915,MIN(2025,E466)))))/2</f>
        <v/>
      </c>
      <c r="AJ466" s="8">
        <f>MAX(0,AH466+(AI466-AH466)*(K466-AG466)/2)</f>
        <v/>
      </c>
      <c r="AK466" s="8">
        <f>K466+AJ466</f>
        <v/>
      </c>
      <c r="AL466" s="14">
        <f>AE466*AJ466</f>
        <v/>
      </c>
      <c r="AM466" s="17">
        <f>V466/AL466</f>
        <v/>
      </c>
      <c r="AN466" s="17">
        <f>Z466/AL466</f>
        <v/>
      </c>
      <c r="AO466" s="33">
        <f>IF(V466+Z466=0,0,Z466/(V466+Z466))</f>
        <v/>
      </c>
      <c r="AP466" s="14">
        <f>AL466/V466*100</f>
        <v/>
      </c>
      <c r="AQ466" s="8">
        <f>P466/AL466*1000</f>
        <v/>
      </c>
      <c r="AR466" s="77">
        <f>MAX(N466,M466-1)</f>
        <v/>
      </c>
      <c r="AS466" s="14">
        <f>SUMIFS(Donnees_regimes!$R$3:$R$1118,Donnees_regimes!$A$3:$A$1118,C466,Donnees_regimes!$B$3:$B$1118,"&gt;="&amp;G466,Donnees_regimes!$B$3:$B$1118,"&lt;="&amp;N466)*L466/ROUNDUP(L466,0)*SUMIFS(Donnees_annuelles!$AG$3:$AG$188,Donnees_annuelles!$A$3:$A$188,AR466)*SUMIFS(Donnees_annuelles!$AA$3:$AA$188,Donnees_annuelles!$A$3:$A$188,AR466)</f>
        <v/>
      </c>
      <c r="AT466" s="36">
        <f>AS466/V466</f>
        <v/>
      </c>
      <c r="AU466" s="14">
        <f>AL466</f>
        <v/>
      </c>
      <c r="AV466" s="39">
        <f>AS466-AL466</f>
        <v/>
      </c>
      <c r="AW466" s="9">
        <f>AS466/AL466-1</f>
        <v/>
      </c>
      <c r="AX466" s="14">
        <f>AS466/AJ466/12</f>
        <v/>
      </c>
      <c r="AY466" s="14">
        <f>AF466</f>
        <v/>
      </c>
      <c r="AZ466" s="39">
        <f>AX466-AF466</f>
        <v/>
      </c>
      <c r="BA466" s="14">
        <f>SUMIFS(Donnees_regimes!$S$3:$S$1118,Donnees_regimes!$A$3:$A$1118,C466,Donnees_regimes!$B$3:$B$1118,"&gt;="&amp;G466,Donnees_regimes!$B$3:$B$1118,"&lt;="&amp;N466)*L466/ROUNDUP(L466,0)*SUMIFS(Donnees_annuelles!$AH$3:$AH$188,Donnees_annuelles!$A$3:$A$188,AR466)*SUMIFS(Donnees_annuelles!$AA$3:$AA$188,Donnees_annuelles!$A$3:$A$188,AR466)</f>
        <v/>
      </c>
      <c r="BB466" s="39">
        <f>BA466-AL466</f>
        <v/>
      </c>
      <c r="BC466" s="7">
        <f>IF(M466+AJ466&gt;2026,IF(G466&gt;2026,"entièrement projeté","en partie projeté"),"observé")</f>
        <v/>
      </c>
    </row>
    <row r="467">
      <c r="A467" s="7" t="inlineStr">
        <is>
          <t>Génération Z</t>
        </is>
      </c>
      <c r="B467" s="84" t="inlineStr">
        <is>
          <t>RATP</t>
        </is>
      </c>
      <c r="C467" s="7">
        <f>IF(G467&gt;=SUMIFS(Regimes!$C$5:$C$10,Regimes!$A$5:$A$10,B467),"Privé",B467)</f>
        <v/>
      </c>
      <c r="D467" s="7">
        <f>INDEX(Regimes!$D$5:$D$10,MATCH(C467,Regimes!$A$5:$A$10,0))</f>
        <v/>
      </c>
      <c r="E467" s="88" t="n">
        <v>2000</v>
      </c>
      <c r="F467" s="8">
        <f>Donnees_generations!C88</f>
        <v/>
      </c>
      <c r="G467" s="77">
        <f>Donnees_generations!D88</f>
        <v/>
      </c>
      <c r="H467" s="8">
        <f>SUMIFS(Donnees_generations!$S$3:$S$113,Donnees_generations!$A$3:$A$113,MAX(1915,MIN(2025,E467)))</f>
        <v/>
      </c>
      <c r="I467" s="8">
        <f>SUMIFS(Donnees_generations!$T$3:$T$113,Donnees_generations!$A$3:$A$113,MAX(1915,MIN(2025,E467)))</f>
        <v/>
      </c>
      <c r="J467" s="8">
        <f>IF(G467&gt;=2000,MAX(I467,Parametres!$B$3),I467)</f>
        <v/>
      </c>
      <c r="K467" s="8">
        <f>IF(C467="Privé",J467,SUMIFS(Regles_regimes!$J$3:$J$2000,Regles_regimes!$A$3:$A$2000,C467,Regles_regimes!$B$3:$B$2000,D467,Regles_regimes!$C$3:$C$2000,MAX(1915,MIN(2025,E467))))</f>
        <v/>
      </c>
      <c r="L467" s="8">
        <f>IF(C467="Privé",H467,(K467-F467)*H467/(J467-F467))</f>
        <v/>
      </c>
      <c r="M467" s="77">
        <f>INT(E467+K467)</f>
        <v/>
      </c>
      <c r="N467" s="77">
        <f>G467+ROUNDUP(L467,0)-1</f>
        <v/>
      </c>
      <c r="O467" s="89">
        <f>SUMIFS(Regles_regimes!$K$3:$K$2000,Regles_regimes!$A$3:$A$2000,C467,Regles_regimes!$B$3:$B$2000,D467,Regles_regimes!$C$3:$C$2000,MAX(1915,MIN(2025,E467)))</f>
        <v/>
      </c>
      <c r="P467" s="13">
        <f>SUMIFS(Donnees_annuelles!$W$3:$W$188,Donnees_annuelles!$A$3:$A$188,"&gt;="&amp;G467,Donnees_annuelles!$A$3:$A$188,"&lt;="&amp;N467)*L467/ROUNDUP(L467,0)*O467</f>
        <v/>
      </c>
      <c r="Q467" s="13">
        <f>SUMIFS(Donnees_annuelles!$V$3:$V$188,Donnees_annuelles!$A$3:$A$188,"&gt;="&amp;G467,Donnees_annuelles!$A$3:$A$188,"&lt;="&amp;N467)*L467/ROUNDUP(L467,0)</f>
        <v/>
      </c>
      <c r="R467" s="13">
        <f>P467/L467</f>
        <v/>
      </c>
      <c r="S467" s="14">
        <f>SUMIFS(Donnees_annuelles!$D$3:$D$188,Donnees_annuelles!$A$3:$A$188,"&gt;="&amp;G467,Donnees_annuelles!$A$3:$A$188,"&lt;="&amp;N467)*L467/ROUNDUP(L467,0)</f>
        <v/>
      </c>
      <c r="T467" s="14">
        <f>SUMIFS(Donnees_regimes!$N$3:$N$1118,Donnees_regimes!$A$3:$A$1118,C467,Donnees_regimes!$B$3:$B$1118,"&gt;="&amp;G467,Donnees_regimes!$B$3:$B$1118,"&lt;="&amp;N467)*L467/ROUNDUP(L467,0)</f>
        <v/>
      </c>
      <c r="U467" s="14">
        <f>SUMIFS(Donnees_regimes!$O$3:$O$1118,Donnees_regimes!$A$3:$A$1118,C467,Donnees_regimes!$B$3:$B$1118,"&gt;="&amp;G467,Donnees_regimes!$B$3:$B$1118,"&lt;="&amp;N467)*L467/ROUNDUP(L467,0)</f>
        <v/>
      </c>
      <c r="V467" s="14">
        <f>T467+U467</f>
        <v/>
      </c>
      <c r="W467" s="33">
        <f>V467/S467</f>
        <v/>
      </c>
      <c r="X467" s="14">
        <f>S467+U467</f>
        <v/>
      </c>
      <c r="Y467" s="17">
        <f>V467/P467</f>
        <v/>
      </c>
      <c r="Z467" s="14">
        <f>SUMIFS(Donnees_regimes!$Q$3:$Q$1118,Donnees_regimes!$A$3:$A$1118,C467,Donnees_regimes!$B$3:$B$1118,"&gt;="&amp;G467,Donnees_regimes!$B$3:$B$1118,"&lt;="&amp;N467)*L467/ROUNDUP(L467,0)</f>
        <v/>
      </c>
      <c r="AA467" s="77">
        <f>SUMIFS(Regles_regimes!$F$3:$F$2000,Regles_regimes!$A$3:$A$2000,C467,Regles_regimes!$B$3:$B$2000,D467,Regles_regimes!$C$3:$C$2000,MAX(1915,MIN(2025,E467)))</f>
        <v/>
      </c>
      <c r="AB467" s="77">
        <f>IF(AND(SUMIFS(Regles_regimes!$L$3:$L$2000,Regles_regimes!$A$3:$A$2000,C467,Regles_regimes!$B$3:$B$2000,D467,Regles_regimes!$C$3:$C$2000,MAX(1915,MIN(2025,E467)))=1,G467&lt;2009,C467&lt;&gt;"Privé"),MIN(20,L467*4/5),0)</f>
        <v/>
      </c>
      <c r="AC467" s="89">
        <f>SUMIFS(Donnees_regimes!$M$3:$M$1118,Donnees_regimes!$A$3:$A$1118,C467,Donnees_regimes!$B$3:$B$1118,M467)</f>
        <v/>
      </c>
      <c r="AD467" s="14">
        <f>SUMIFS(Donnees_annuelles!$Y$3:$Y$188,Donnees_annuelles!$A$3:$A$188,M467)*SUMIFS(Donnees_generations!$I$3:$I$113,Donnees_generations!$A$3:$A$113,MAX(1915,MIN(2025,E467)))/H467</f>
        <v/>
      </c>
      <c r="AE467" s="14">
        <f>IF(C467="Privé",SUMIFS(Donnees_annuelles!$Y$3:$Y$188,Donnees_annuelles!$A$3:$A$188,M467)*MIN(L467,SUMIFS(Donnees_generations!$I$3:$I$113,Donnees_generations!$A$3:$A$113,MAX(1915,MIN(2025,E467))))/L467,AD467*AC467*MIN(IF(AB467&gt;0,0.8/0.75,1),(L467*4+AB467)/AA467))</f>
        <v/>
      </c>
      <c r="AF467" s="14">
        <f>AE467/12</f>
        <v/>
      </c>
      <c r="AG467" s="77">
        <f>MIN(68,MAX(56,2*INT(K467/2)))</f>
        <v/>
      </c>
      <c r="AH467" s="75">
        <f>(CHOOSE((AG467-56)/2+1,SUMIFS(Donnees_generations!$U$3:$U$113,Donnees_generations!$A$3:$A$113,MAX(1915,MIN(2025,E467))),SUMIFS(Donnees_generations!$V$3:$V$113,Donnees_generations!$A$3:$A$113,MAX(1915,MIN(2025,E467))),SUMIFS(Donnees_generations!$W$3:$W$113,Donnees_generations!$A$3:$A$113,MAX(1915,MIN(2025,E467))),SUMIFS(Donnees_generations!$X$3:$X$113,Donnees_generations!$A$3:$A$113,MAX(1915,MIN(2025,E467))),SUMIFS(Donnees_generations!$Y$3:$Y$113,Donnees_generations!$A$3:$A$113,MAX(1915,MIN(2025,E467))),SUMIFS(Donnees_generations!$Z$3:$Z$113,Donnees_generations!$A$3:$A$113,MAX(1915,MIN(2025,E467))),SUMIFS(Donnees_generations!$AA$3:$AA$113,Donnees_generations!$A$3:$A$113,MAX(1915,MIN(2025,E467))),SUMIFS(Donnees_generations!$AB$3:$AB$113,Donnees_generations!$A$3:$A$113,MAX(1915,MIN(2025,E467))))+CHOOSE((AG467-56)/2+1,SUMIFS(Donnees_generations!$AC$3:$AC$113,Donnees_generations!$A$3:$A$113,MAX(1915,MIN(2025,E467))),SUMIFS(Donnees_generations!$AD$3:$AD$113,Donnees_generations!$A$3:$A$113,MAX(1915,MIN(2025,E467))),SUMIFS(Donnees_generations!$AE$3:$AE$113,Donnees_generations!$A$3:$A$113,MAX(1915,MIN(2025,E467))),SUMIFS(Donnees_generations!$AF$3:$AF$113,Donnees_generations!$A$3:$A$113,MAX(1915,MIN(2025,E467))),SUMIFS(Donnees_generations!$AG$3:$AG$113,Donnees_generations!$A$3:$A$113,MAX(1915,MIN(2025,E467))),SUMIFS(Donnees_generations!$AH$3:$AH$113,Donnees_generations!$A$3:$A$113,MAX(1915,MIN(2025,E467))),SUMIFS(Donnees_generations!$AI$3:$AI$113,Donnees_generations!$A$3:$A$113,MAX(1915,MIN(2025,E467))),SUMIFS(Donnees_generations!$AJ$3:$AJ$113,Donnees_generations!$A$3:$A$113,MAX(1915,MIN(2025,E467)))))/2</f>
        <v/>
      </c>
      <c r="AI467" s="75">
        <f>(CHOOSE(((AG467+2)-56)/2+1,SUMIFS(Donnees_generations!$U$3:$U$113,Donnees_generations!$A$3:$A$113,MAX(1915,MIN(2025,E467))),SUMIFS(Donnees_generations!$V$3:$V$113,Donnees_generations!$A$3:$A$113,MAX(1915,MIN(2025,E467))),SUMIFS(Donnees_generations!$W$3:$W$113,Donnees_generations!$A$3:$A$113,MAX(1915,MIN(2025,E467))),SUMIFS(Donnees_generations!$X$3:$X$113,Donnees_generations!$A$3:$A$113,MAX(1915,MIN(2025,E467))),SUMIFS(Donnees_generations!$Y$3:$Y$113,Donnees_generations!$A$3:$A$113,MAX(1915,MIN(2025,E467))),SUMIFS(Donnees_generations!$Z$3:$Z$113,Donnees_generations!$A$3:$A$113,MAX(1915,MIN(2025,E467))),SUMIFS(Donnees_generations!$AA$3:$AA$113,Donnees_generations!$A$3:$A$113,MAX(1915,MIN(2025,E467))),SUMIFS(Donnees_generations!$AB$3:$AB$113,Donnees_generations!$A$3:$A$113,MAX(1915,MIN(2025,E467))))+CHOOSE(((AG467+2)-56)/2+1,SUMIFS(Donnees_generations!$AC$3:$AC$113,Donnees_generations!$A$3:$A$113,MAX(1915,MIN(2025,E467))),SUMIFS(Donnees_generations!$AD$3:$AD$113,Donnees_generations!$A$3:$A$113,MAX(1915,MIN(2025,E467))),SUMIFS(Donnees_generations!$AE$3:$AE$113,Donnees_generations!$A$3:$A$113,MAX(1915,MIN(2025,E467))),SUMIFS(Donnees_generations!$AF$3:$AF$113,Donnees_generations!$A$3:$A$113,MAX(1915,MIN(2025,E467))),SUMIFS(Donnees_generations!$AG$3:$AG$113,Donnees_generations!$A$3:$A$113,MAX(1915,MIN(2025,E467))),SUMIFS(Donnees_generations!$AH$3:$AH$113,Donnees_generations!$A$3:$A$113,MAX(1915,MIN(2025,E467))),SUMIFS(Donnees_generations!$AI$3:$AI$113,Donnees_generations!$A$3:$A$113,MAX(1915,MIN(2025,E467))),SUMIFS(Donnees_generations!$AJ$3:$AJ$113,Donnees_generations!$A$3:$A$113,MAX(1915,MIN(2025,E467)))))/2</f>
        <v/>
      </c>
      <c r="AJ467" s="8">
        <f>MAX(0,AH467+(AI467-AH467)*(K467-AG467)/2)</f>
        <v/>
      </c>
      <c r="AK467" s="8">
        <f>K467+AJ467</f>
        <v/>
      </c>
      <c r="AL467" s="14">
        <f>AE467*AJ467</f>
        <v/>
      </c>
      <c r="AM467" s="17">
        <f>V467/AL467</f>
        <v/>
      </c>
      <c r="AN467" s="17">
        <f>Z467/AL467</f>
        <v/>
      </c>
      <c r="AO467" s="33">
        <f>IF(V467+Z467=0,0,Z467/(V467+Z467))</f>
        <v/>
      </c>
      <c r="AP467" s="14">
        <f>AL467/V467*100</f>
        <v/>
      </c>
      <c r="AQ467" s="8">
        <f>P467/AL467*1000</f>
        <v/>
      </c>
      <c r="AR467" s="77">
        <f>MAX(N467,M467-1)</f>
        <v/>
      </c>
      <c r="AS467" s="14">
        <f>SUMIFS(Donnees_regimes!$R$3:$R$1118,Donnees_regimes!$A$3:$A$1118,C467,Donnees_regimes!$B$3:$B$1118,"&gt;="&amp;G467,Donnees_regimes!$B$3:$B$1118,"&lt;="&amp;N467)*L467/ROUNDUP(L467,0)*SUMIFS(Donnees_annuelles!$AG$3:$AG$188,Donnees_annuelles!$A$3:$A$188,AR467)*SUMIFS(Donnees_annuelles!$AA$3:$AA$188,Donnees_annuelles!$A$3:$A$188,AR467)</f>
        <v/>
      </c>
      <c r="AT467" s="36">
        <f>AS467/V467</f>
        <v/>
      </c>
      <c r="AU467" s="14">
        <f>AL467</f>
        <v/>
      </c>
      <c r="AV467" s="39">
        <f>AS467-AL467</f>
        <v/>
      </c>
      <c r="AW467" s="9">
        <f>AS467/AL467-1</f>
        <v/>
      </c>
      <c r="AX467" s="14">
        <f>AS467/AJ467/12</f>
        <v/>
      </c>
      <c r="AY467" s="14">
        <f>AF467</f>
        <v/>
      </c>
      <c r="AZ467" s="39">
        <f>AX467-AF467</f>
        <v/>
      </c>
      <c r="BA467" s="14">
        <f>SUMIFS(Donnees_regimes!$S$3:$S$1118,Donnees_regimes!$A$3:$A$1118,C467,Donnees_regimes!$B$3:$B$1118,"&gt;="&amp;G467,Donnees_regimes!$B$3:$B$1118,"&lt;="&amp;N467)*L467/ROUNDUP(L467,0)*SUMIFS(Donnees_annuelles!$AH$3:$AH$188,Donnees_annuelles!$A$3:$A$188,AR467)*SUMIFS(Donnees_annuelles!$AA$3:$AA$188,Donnees_annuelles!$A$3:$A$188,AR467)</f>
        <v/>
      </c>
      <c r="BB467" s="39">
        <f>BA467-AL467</f>
        <v/>
      </c>
      <c r="BC467" s="7">
        <f>IF(M467+AJ467&gt;2026,IF(G467&gt;2026,"entièrement projeté","en partie projeté"),"observé")</f>
        <v/>
      </c>
    </row>
    <row r="468">
      <c r="A468" s="7" t="inlineStr">
        <is>
          <t>Génération Z</t>
        </is>
      </c>
      <c r="B468" s="84" t="inlineStr">
        <is>
          <t>RATP</t>
        </is>
      </c>
      <c r="C468" s="7">
        <f>IF(G468&gt;=SUMIFS(Regimes!$C$5:$C$10,Regimes!$A$5:$A$10,B468),"Privé",B468)</f>
        <v/>
      </c>
      <c r="D468" s="7">
        <f>INDEX(Regimes!$D$5:$D$10,MATCH(C468,Regimes!$A$5:$A$10,0))</f>
        <v/>
      </c>
      <c r="E468" s="88" t="n">
        <v>2001</v>
      </c>
      <c r="F468" s="8">
        <f>Donnees_generations!C89</f>
        <v/>
      </c>
      <c r="G468" s="77">
        <f>Donnees_generations!D89</f>
        <v/>
      </c>
      <c r="H468" s="8">
        <f>SUMIFS(Donnees_generations!$S$3:$S$113,Donnees_generations!$A$3:$A$113,MAX(1915,MIN(2025,E468)))</f>
        <v/>
      </c>
      <c r="I468" s="8">
        <f>SUMIFS(Donnees_generations!$T$3:$T$113,Donnees_generations!$A$3:$A$113,MAX(1915,MIN(2025,E468)))</f>
        <v/>
      </c>
      <c r="J468" s="8">
        <f>IF(G468&gt;=2000,MAX(I468,Parametres!$B$3),I468)</f>
        <v/>
      </c>
      <c r="K468" s="8">
        <f>IF(C468="Privé",J468,SUMIFS(Regles_regimes!$J$3:$J$2000,Regles_regimes!$A$3:$A$2000,C468,Regles_regimes!$B$3:$B$2000,D468,Regles_regimes!$C$3:$C$2000,MAX(1915,MIN(2025,E468))))</f>
        <v/>
      </c>
      <c r="L468" s="8">
        <f>IF(C468="Privé",H468,(K468-F468)*H468/(J468-F468))</f>
        <v/>
      </c>
      <c r="M468" s="77">
        <f>INT(E468+K468)</f>
        <v/>
      </c>
      <c r="N468" s="77">
        <f>G468+ROUNDUP(L468,0)-1</f>
        <v/>
      </c>
      <c r="O468" s="89">
        <f>SUMIFS(Regles_regimes!$K$3:$K$2000,Regles_regimes!$A$3:$A$2000,C468,Regles_regimes!$B$3:$B$2000,D468,Regles_regimes!$C$3:$C$2000,MAX(1915,MIN(2025,E468)))</f>
        <v/>
      </c>
      <c r="P468" s="13">
        <f>SUMIFS(Donnees_annuelles!$W$3:$W$188,Donnees_annuelles!$A$3:$A$188,"&gt;="&amp;G468,Donnees_annuelles!$A$3:$A$188,"&lt;="&amp;N468)*L468/ROUNDUP(L468,0)*O468</f>
        <v/>
      </c>
      <c r="Q468" s="13">
        <f>SUMIFS(Donnees_annuelles!$V$3:$V$188,Donnees_annuelles!$A$3:$A$188,"&gt;="&amp;G468,Donnees_annuelles!$A$3:$A$188,"&lt;="&amp;N468)*L468/ROUNDUP(L468,0)</f>
        <v/>
      </c>
      <c r="R468" s="13">
        <f>P468/L468</f>
        <v/>
      </c>
      <c r="S468" s="14">
        <f>SUMIFS(Donnees_annuelles!$D$3:$D$188,Donnees_annuelles!$A$3:$A$188,"&gt;="&amp;G468,Donnees_annuelles!$A$3:$A$188,"&lt;="&amp;N468)*L468/ROUNDUP(L468,0)</f>
        <v/>
      </c>
      <c r="T468" s="14">
        <f>SUMIFS(Donnees_regimes!$N$3:$N$1118,Donnees_regimes!$A$3:$A$1118,C468,Donnees_regimes!$B$3:$B$1118,"&gt;="&amp;G468,Donnees_regimes!$B$3:$B$1118,"&lt;="&amp;N468)*L468/ROUNDUP(L468,0)</f>
        <v/>
      </c>
      <c r="U468" s="14">
        <f>SUMIFS(Donnees_regimes!$O$3:$O$1118,Donnees_regimes!$A$3:$A$1118,C468,Donnees_regimes!$B$3:$B$1118,"&gt;="&amp;G468,Donnees_regimes!$B$3:$B$1118,"&lt;="&amp;N468)*L468/ROUNDUP(L468,0)</f>
        <v/>
      </c>
      <c r="V468" s="14">
        <f>T468+U468</f>
        <v/>
      </c>
      <c r="W468" s="33">
        <f>V468/S468</f>
        <v/>
      </c>
      <c r="X468" s="14">
        <f>S468+U468</f>
        <v/>
      </c>
      <c r="Y468" s="17">
        <f>V468/P468</f>
        <v/>
      </c>
      <c r="Z468" s="14">
        <f>SUMIFS(Donnees_regimes!$Q$3:$Q$1118,Donnees_regimes!$A$3:$A$1118,C468,Donnees_regimes!$B$3:$B$1118,"&gt;="&amp;G468,Donnees_regimes!$B$3:$B$1118,"&lt;="&amp;N468)*L468/ROUNDUP(L468,0)</f>
        <v/>
      </c>
      <c r="AA468" s="77">
        <f>SUMIFS(Regles_regimes!$F$3:$F$2000,Regles_regimes!$A$3:$A$2000,C468,Regles_regimes!$B$3:$B$2000,D468,Regles_regimes!$C$3:$C$2000,MAX(1915,MIN(2025,E468)))</f>
        <v/>
      </c>
      <c r="AB468" s="77">
        <f>IF(AND(SUMIFS(Regles_regimes!$L$3:$L$2000,Regles_regimes!$A$3:$A$2000,C468,Regles_regimes!$B$3:$B$2000,D468,Regles_regimes!$C$3:$C$2000,MAX(1915,MIN(2025,E468)))=1,G468&lt;2009,C468&lt;&gt;"Privé"),MIN(20,L468*4/5),0)</f>
        <v/>
      </c>
      <c r="AC468" s="89">
        <f>SUMIFS(Donnees_regimes!$M$3:$M$1118,Donnees_regimes!$A$3:$A$1118,C468,Donnees_regimes!$B$3:$B$1118,M468)</f>
        <v/>
      </c>
      <c r="AD468" s="14">
        <f>SUMIFS(Donnees_annuelles!$Y$3:$Y$188,Donnees_annuelles!$A$3:$A$188,M468)*SUMIFS(Donnees_generations!$I$3:$I$113,Donnees_generations!$A$3:$A$113,MAX(1915,MIN(2025,E468)))/H468</f>
        <v/>
      </c>
      <c r="AE468" s="14">
        <f>IF(C468="Privé",SUMIFS(Donnees_annuelles!$Y$3:$Y$188,Donnees_annuelles!$A$3:$A$188,M468)*MIN(L468,SUMIFS(Donnees_generations!$I$3:$I$113,Donnees_generations!$A$3:$A$113,MAX(1915,MIN(2025,E468))))/L468,AD468*AC468*MIN(IF(AB468&gt;0,0.8/0.75,1),(L468*4+AB468)/AA468))</f>
        <v/>
      </c>
      <c r="AF468" s="14">
        <f>AE468/12</f>
        <v/>
      </c>
      <c r="AG468" s="77">
        <f>MIN(68,MAX(56,2*INT(K468/2)))</f>
        <v/>
      </c>
      <c r="AH468" s="75">
        <f>(CHOOSE((AG468-56)/2+1,SUMIFS(Donnees_generations!$U$3:$U$113,Donnees_generations!$A$3:$A$113,MAX(1915,MIN(2025,E468))),SUMIFS(Donnees_generations!$V$3:$V$113,Donnees_generations!$A$3:$A$113,MAX(1915,MIN(2025,E468))),SUMIFS(Donnees_generations!$W$3:$W$113,Donnees_generations!$A$3:$A$113,MAX(1915,MIN(2025,E468))),SUMIFS(Donnees_generations!$X$3:$X$113,Donnees_generations!$A$3:$A$113,MAX(1915,MIN(2025,E468))),SUMIFS(Donnees_generations!$Y$3:$Y$113,Donnees_generations!$A$3:$A$113,MAX(1915,MIN(2025,E468))),SUMIFS(Donnees_generations!$Z$3:$Z$113,Donnees_generations!$A$3:$A$113,MAX(1915,MIN(2025,E468))),SUMIFS(Donnees_generations!$AA$3:$AA$113,Donnees_generations!$A$3:$A$113,MAX(1915,MIN(2025,E468))),SUMIFS(Donnees_generations!$AB$3:$AB$113,Donnees_generations!$A$3:$A$113,MAX(1915,MIN(2025,E468))))+CHOOSE((AG468-56)/2+1,SUMIFS(Donnees_generations!$AC$3:$AC$113,Donnees_generations!$A$3:$A$113,MAX(1915,MIN(2025,E468))),SUMIFS(Donnees_generations!$AD$3:$AD$113,Donnees_generations!$A$3:$A$113,MAX(1915,MIN(2025,E468))),SUMIFS(Donnees_generations!$AE$3:$AE$113,Donnees_generations!$A$3:$A$113,MAX(1915,MIN(2025,E468))),SUMIFS(Donnees_generations!$AF$3:$AF$113,Donnees_generations!$A$3:$A$113,MAX(1915,MIN(2025,E468))),SUMIFS(Donnees_generations!$AG$3:$AG$113,Donnees_generations!$A$3:$A$113,MAX(1915,MIN(2025,E468))),SUMIFS(Donnees_generations!$AH$3:$AH$113,Donnees_generations!$A$3:$A$113,MAX(1915,MIN(2025,E468))),SUMIFS(Donnees_generations!$AI$3:$AI$113,Donnees_generations!$A$3:$A$113,MAX(1915,MIN(2025,E468))),SUMIFS(Donnees_generations!$AJ$3:$AJ$113,Donnees_generations!$A$3:$A$113,MAX(1915,MIN(2025,E468)))))/2</f>
        <v/>
      </c>
      <c r="AI468" s="75">
        <f>(CHOOSE(((AG468+2)-56)/2+1,SUMIFS(Donnees_generations!$U$3:$U$113,Donnees_generations!$A$3:$A$113,MAX(1915,MIN(2025,E468))),SUMIFS(Donnees_generations!$V$3:$V$113,Donnees_generations!$A$3:$A$113,MAX(1915,MIN(2025,E468))),SUMIFS(Donnees_generations!$W$3:$W$113,Donnees_generations!$A$3:$A$113,MAX(1915,MIN(2025,E468))),SUMIFS(Donnees_generations!$X$3:$X$113,Donnees_generations!$A$3:$A$113,MAX(1915,MIN(2025,E468))),SUMIFS(Donnees_generations!$Y$3:$Y$113,Donnees_generations!$A$3:$A$113,MAX(1915,MIN(2025,E468))),SUMIFS(Donnees_generations!$Z$3:$Z$113,Donnees_generations!$A$3:$A$113,MAX(1915,MIN(2025,E468))),SUMIFS(Donnees_generations!$AA$3:$AA$113,Donnees_generations!$A$3:$A$113,MAX(1915,MIN(2025,E468))),SUMIFS(Donnees_generations!$AB$3:$AB$113,Donnees_generations!$A$3:$A$113,MAX(1915,MIN(2025,E468))))+CHOOSE(((AG468+2)-56)/2+1,SUMIFS(Donnees_generations!$AC$3:$AC$113,Donnees_generations!$A$3:$A$113,MAX(1915,MIN(2025,E468))),SUMIFS(Donnees_generations!$AD$3:$AD$113,Donnees_generations!$A$3:$A$113,MAX(1915,MIN(2025,E468))),SUMIFS(Donnees_generations!$AE$3:$AE$113,Donnees_generations!$A$3:$A$113,MAX(1915,MIN(2025,E468))),SUMIFS(Donnees_generations!$AF$3:$AF$113,Donnees_generations!$A$3:$A$113,MAX(1915,MIN(2025,E468))),SUMIFS(Donnees_generations!$AG$3:$AG$113,Donnees_generations!$A$3:$A$113,MAX(1915,MIN(2025,E468))),SUMIFS(Donnees_generations!$AH$3:$AH$113,Donnees_generations!$A$3:$A$113,MAX(1915,MIN(2025,E468))),SUMIFS(Donnees_generations!$AI$3:$AI$113,Donnees_generations!$A$3:$A$113,MAX(1915,MIN(2025,E468))),SUMIFS(Donnees_generations!$AJ$3:$AJ$113,Donnees_generations!$A$3:$A$113,MAX(1915,MIN(2025,E468)))))/2</f>
        <v/>
      </c>
      <c r="AJ468" s="8">
        <f>MAX(0,AH468+(AI468-AH468)*(K468-AG468)/2)</f>
        <v/>
      </c>
      <c r="AK468" s="8">
        <f>K468+AJ468</f>
        <v/>
      </c>
      <c r="AL468" s="14">
        <f>AE468*AJ468</f>
        <v/>
      </c>
      <c r="AM468" s="17">
        <f>V468/AL468</f>
        <v/>
      </c>
      <c r="AN468" s="17">
        <f>Z468/AL468</f>
        <v/>
      </c>
      <c r="AO468" s="33">
        <f>IF(V468+Z468=0,0,Z468/(V468+Z468))</f>
        <v/>
      </c>
      <c r="AP468" s="14">
        <f>AL468/V468*100</f>
        <v/>
      </c>
      <c r="AQ468" s="8">
        <f>P468/AL468*1000</f>
        <v/>
      </c>
      <c r="AR468" s="77">
        <f>MAX(N468,M468-1)</f>
        <v/>
      </c>
      <c r="AS468" s="14">
        <f>SUMIFS(Donnees_regimes!$R$3:$R$1118,Donnees_regimes!$A$3:$A$1118,C468,Donnees_regimes!$B$3:$B$1118,"&gt;="&amp;G468,Donnees_regimes!$B$3:$B$1118,"&lt;="&amp;N468)*L468/ROUNDUP(L468,0)*SUMIFS(Donnees_annuelles!$AG$3:$AG$188,Donnees_annuelles!$A$3:$A$188,AR468)*SUMIFS(Donnees_annuelles!$AA$3:$AA$188,Donnees_annuelles!$A$3:$A$188,AR468)</f>
        <v/>
      </c>
      <c r="AT468" s="36">
        <f>AS468/V468</f>
        <v/>
      </c>
      <c r="AU468" s="14">
        <f>AL468</f>
        <v/>
      </c>
      <c r="AV468" s="39">
        <f>AS468-AL468</f>
        <v/>
      </c>
      <c r="AW468" s="9">
        <f>AS468/AL468-1</f>
        <v/>
      </c>
      <c r="AX468" s="14">
        <f>AS468/AJ468/12</f>
        <v/>
      </c>
      <c r="AY468" s="14">
        <f>AF468</f>
        <v/>
      </c>
      <c r="AZ468" s="39">
        <f>AX468-AF468</f>
        <v/>
      </c>
      <c r="BA468" s="14">
        <f>SUMIFS(Donnees_regimes!$S$3:$S$1118,Donnees_regimes!$A$3:$A$1118,C468,Donnees_regimes!$B$3:$B$1118,"&gt;="&amp;G468,Donnees_regimes!$B$3:$B$1118,"&lt;="&amp;N468)*L468/ROUNDUP(L468,0)*SUMIFS(Donnees_annuelles!$AH$3:$AH$188,Donnees_annuelles!$A$3:$A$188,AR468)*SUMIFS(Donnees_annuelles!$AA$3:$AA$188,Donnees_annuelles!$A$3:$A$188,AR468)</f>
        <v/>
      </c>
      <c r="BB468" s="39">
        <f>BA468-AL468</f>
        <v/>
      </c>
      <c r="BC468" s="7">
        <f>IF(M468+AJ468&gt;2026,IF(G468&gt;2026,"entièrement projeté","en partie projeté"),"observé")</f>
        <v/>
      </c>
    </row>
    <row r="469">
      <c r="A469" s="7" t="inlineStr">
        <is>
          <t>Génération Z</t>
        </is>
      </c>
      <c r="B469" s="84" t="inlineStr">
        <is>
          <t>RATP</t>
        </is>
      </c>
      <c r="C469" s="7">
        <f>IF(G469&gt;=SUMIFS(Regimes!$C$5:$C$10,Regimes!$A$5:$A$10,B469),"Privé",B469)</f>
        <v/>
      </c>
      <c r="D469" s="7">
        <f>INDEX(Regimes!$D$5:$D$10,MATCH(C469,Regimes!$A$5:$A$10,0))</f>
        <v/>
      </c>
      <c r="E469" s="88" t="n">
        <v>2002</v>
      </c>
      <c r="F469" s="8">
        <f>Donnees_generations!C90</f>
        <v/>
      </c>
      <c r="G469" s="77">
        <f>Donnees_generations!D90</f>
        <v/>
      </c>
      <c r="H469" s="8">
        <f>SUMIFS(Donnees_generations!$S$3:$S$113,Donnees_generations!$A$3:$A$113,MAX(1915,MIN(2025,E469)))</f>
        <v/>
      </c>
      <c r="I469" s="8">
        <f>SUMIFS(Donnees_generations!$T$3:$T$113,Donnees_generations!$A$3:$A$113,MAX(1915,MIN(2025,E469)))</f>
        <v/>
      </c>
      <c r="J469" s="8">
        <f>IF(G469&gt;=2000,MAX(I469,Parametres!$B$3),I469)</f>
        <v/>
      </c>
      <c r="K469" s="8">
        <f>IF(C469="Privé",J469,SUMIFS(Regles_regimes!$J$3:$J$2000,Regles_regimes!$A$3:$A$2000,C469,Regles_regimes!$B$3:$B$2000,D469,Regles_regimes!$C$3:$C$2000,MAX(1915,MIN(2025,E469))))</f>
        <v/>
      </c>
      <c r="L469" s="8">
        <f>IF(C469="Privé",H469,(K469-F469)*H469/(J469-F469))</f>
        <v/>
      </c>
      <c r="M469" s="77">
        <f>INT(E469+K469)</f>
        <v/>
      </c>
      <c r="N469" s="77">
        <f>G469+ROUNDUP(L469,0)-1</f>
        <v/>
      </c>
      <c r="O469" s="89">
        <f>SUMIFS(Regles_regimes!$K$3:$K$2000,Regles_regimes!$A$3:$A$2000,C469,Regles_regimes!$B$3:$B$2000,D469,Regles_regimes!$C$3:$C$2000,MAX(1915,MIN(2025,E469)))</f>
        <v/>
      </c>
      <c r="P469" s="13">
        <f>SUMIFS(Donnees_annuelles!$W$3:$W$188,Donnees_annuelles!$A$3:$A$188,"&gt;="&amp;G469,Donnees_annuelles!$A$3:$A$188,"&lt;="&amp;N469)*L469/ROUNDUP(L469,0)*O469</f>
        <v/>
      </c>
      <c r="Q469" s="13">
        <f>SUMIFS(Donnees_annuelles!$V$3:$V$188,Donnees_annuelles!$A$3:$A$188,"&gt;="&amp;G469,Donnees_annuelles!$A$3:$A$188,"&lt;="&amp;N469)*L469/ROUNDUP(L469,0)</f>
        <v/>
      </c>
      <c r="R469" s="13">
        <f>P469/L469</f>
        <v/>
      </c>
      <c r="S469" s="14">
        <f>SUMIFS(Donnees_annuelles!$D$3:$D$188,Donnees_annuelles!$A$3:$A$188,"&gt;="&amp;G469,Donnees_annuelles!$A$3:$A$188,"&lt;="&amp;N469)*L469/ROUNDUP(L469,0)</f>
        <v/>
      </c>
      <c r="T469" s="14">
        <f>SUMIFS(Donnees_regimes!$N$3:$N$1118,Donnees_regimes!$A$3:$A$1118,C469,Donnees_regimes!$B$3:$B$1118,"&gt;="&amp;G469,Donnees_regimes!$B$3:$B$1118,"&lt;="&amp;N469)*L469/ROUNDUP(L469,0)</f>
        <v/>
      </c>
      <c r="U469" s="14">
        <f>SUMIFS(Donnees_regimes!$O$3:$O$1118,Donnees_regimes!$A$3:$A$1118,C469,Donnees_regimes!$B$3:$B$1118,"&gt;="&amp;G469,Donnees_regimes!$B$3:$B$1118,"&lt;="&amp;N469)*L469/ROUNDUP(L469,0)</f>
        <v/>
      </c>
      <c r="V469" s="14">
        <f>T469+U469</f>
        <v/>
      </c>
      <c r="W469" s="33">
        <f>V469/S469</f>
        <v/>
      </c>
      <c r="X469" s="14">
        <f>S469+U469</f>
        <v/>
      </c>
      <c r="Y469" s="17">
        <f>V469/P469</f>
        <v/>
      </c>
      <c r="Z469" s="14">
        <f>SUMIFS(Donnees_regimes!$Q$3:$Q$1118,Donnees_regimes!$A$3:$A$1118,C469,Donnees_regimes!$B$3:$B$1118,"&gt;="&amp;G469,Donnees_regimes!$B$3:$B$1118,"&lt;="&amp;N469)*L469/ROUNDUP(L469,0)</f>
        <v/>
      </c>
      <c r="AA469" s="77">
        <f>SUMIFS(Regles_regimes!$F$3:$F$2000,Regles_regimes!$A$3:$A$2000,C469,Regles_regimes!$B$3:$B$2000,D469,Regles_regimes!$C$3:$C$2000,MAX(1915,MIN(2025,E469)))</f>
        <v/>
      </c>
      <c r="AB469" s="77">
        <f>IF(AND(SUMIFS(Regles_regimes!$L$3:$L$2000,Regles_regimes!$A$3:$A$2000,C469,Regles_regimes!$B$3:$B$2000,D469,Regles_regimes!$C$3:$C$2000,MAX(1915,MIN(2025,E469)))=1,G469&lt;2009,C469&lt;&gt;"Privé"),MIN(20,L469*4/5),0)</f>
        <v/>
      </c>
      <c r="AC469" s="89">
        <f>SUMIFS(Donnees_regimes!$M$3:$M$1118,Donnees_regimes!$A$3:$A$1118,C469,Donnees_regimes!$B$3:$B$1118,M469)</f>
        <v/>
      </c>
      <c r="AD469" s="14">
        <f>SUMIFS(Donnees_annuelles!$Y$3:$Y$188,Donnees_annuelles!$A$3:$A$188,M469)*SUMIFS(Donnees_generations!$I$3:$I$113,Donnees_generations!$A$3:$A$113,MAX(1915,MIN(2025,E469)))/H469</f>
        <v/>
      </c>
      <c r="AE469" s="14">
        <f>IF(C469="Privé",SUMIFS(Donnees_annuelles!$Y$3:$Y$188,Donnees_annuelles!$A$3:$A$188,M469)*MIN(L469,SUMIFS(Donnees_generations!$I$3:$I$113,Donnees_generations!$A$3:$A$113,MAX(1915,MIN(2025,E469))))/L469,AD469*AC469*MIN(IF(AB469&gt;0,0.8/0.75,1),(L469*4+AB469)/AA469))</f>
        <v/>
      </c>
      <c r="AF469" s="14">
        <f>AE469/12</f>
        <v/>
      </c>
      <c r="AG469" s="77">
        <f>MIN(68,MAX(56,2*INT(K469/2)))</f>
        <v/>
      </c>
      <c r="AH469" s="75">
        <f>(CHOOSE((AG469-56)/2+1,SUMIFS(Donnees_generations!$U$3:$U$113,Donnees_generations!$A$3:$A$113,MAX(1915,MIN(2025,E469))),SUMIFS(Donnees_generations!$V$3:$V$113,Donnees_generations!$A$3:$A$113,MAX(1915,MIN(2025,E469))),SUMIFS(Donnees_generations!$W$3:$W$113,Donnees_generations!$A$3:$A$113,MAX(1915,MIN(2025,E469))),SUMIFS(Donnees_generations!$X$3:$X$113,Donnees_generations!$A$3:$A$113,MAX(1915,MIN(2025,E469))),SUMIFS(Donnees_generations!$Y$3:$Y$113,Donnees_generations!$A$3:$A$113,MAX(1915,MIN(2025,E469))),SUMIFS(Donnees_generations!$Z$3:$Z$113,Donnees_generations!$A$3:$A$113,MAX(1915,MIN(2025,E469))),SUMIFS(Donnees_generations!$AA$3:$AA$113,Donnees_generations!$A$3:$A$113,MAX(1915,MIN(2025,E469))),SUMIFS(Donnees_generations!$AB$3:$AB$113,Donnees_generations!$A$3:$A$113,MAX(1915,MIN(2025,E469))))+CHOOSE((AG469-56)/2+1,SUMIFS(Donnees_generations!$AC$3:$AC$113,Donnees_generations!$A$3:$A$113,MAX(1915,MIN(2025,E469))),SUMIFS(Donnees_generations!$AD$3:$AD$113,Donnees_generations!$A$3:$A$113,MAX(1915,MIN(2025,E469))),SUMIFS(Donnees_generations!$AE$3:$AE$113,Donnees_generations!$A$3:$A$113,MAX(1915,MIN(2025,E469))),SUMIFS(Donnees_generations!$AF$3:$AF$113,Donnees_generations!$A$3:$A$113,MAX(1915,MIN(2025,E469))),SUMIFS(Donnees_generations!$AG$3:$AG$113,Donnees_generations!$A$3:$A$113,MAX(1915,MIN(2025,E469))),SUMIFS(Donnees_generations!$AH$3:$AH$113,Donnees_generations!$A$3:$A$113,MAX(1915,MIN(2025,E469))),SUMIFS(Donnees_generations!$AI$3:$AI$113,Donnees_generations!$A$3:$A$113,MAX(1915,MIN(2025,E469))),SUMIFS(Donnees_generations!$AJ$3:$AJ$113,Donnees_generations!$A$3:$A$113,MAX(1915,MIN(2025,E469)))))/2</f>
        <v/>
      </c>
      <c r="AI469" s="75">
        <f>(CHOOSE(((AG469+2)-56)/2+1,SUMIFS(Donnees_generations!$U$3:$U$113,Donnees_generations!$A$3:$A$113,MAX(1915,MIN(2025,E469))),SUMIFS(Donnees_generations!$V$3:$V$113,Donnees_generations!$A$3:$A$113,MAX(1915,MIN(2025,E469))),SUMIFS(Donnees_generations!$W$3:$W$113,Donnees_generations!$A$3:$A$113,MAX(1915,MIN(2025,E469))),SUMIFS(Donnees_generations!$X$3:$X$113,Donnees_generations!$A$3:$A$113,MAX(1915,MIN(2025,E469))),SUMIFS(Donnees_generations!$Y$3:$Y$113,Donnees_generations!$A$3:$A$113,MAX(1915,MIN(2025,E469))),SUMIFS(Donnees_generations!$Z$3:$Z$113,Donnees_generations!$A$3:$A$113,MAX(1915,MIN(2025,E469))),SUMIFS(Donnees_generations!$AA$3:$AA$113,Donnees_generations!$A$3:$A$113,MAX(1915,MIN(2025,E469))),SUMIFS(Donnees_generations!$AB$3:$AB$113,Donnees_generations!$A$3:$A$113,MAX(1915,MIN(2025,E469))))+CHOOSE(((AG469+2)-56)/2+1,SUMIFS(Donnees_generations!$AC$3:$AC$113,Donnees_generations!$A$3:$A$113,MAX(1915,MIN(2025,E469))),SUMIFS(Donnees_generations!$AD$3:$AD$113,Donnees_generations!$A$3:$A$113,MAX(1915,MIN(2025,E469))),SUMIFS(Donnees_generations!$AE$3:$AE$113,Donnees_generations!$A$3:$A$113,MAX(1915,MIN(2025,E469))),SUMIFS(Donnees_generations!$AF$3:$AF$113,Donnees_generations!$A$3:$A$113,MAX(1915,MIN(2025,E469))),SUMIFS(Donnees_generations!$AG$3:$AG$113,Donnees_generations!$A$3:$A$113,MAX(1915,MIN(2025,E469))),SUMIFS(Donnees_generations!$AH$3:$AH$113,Donnees_generations!$A$3:$A$113,MAX(1915,MIN(2025,E469))),SUMIFS(Donnees_generations!$AI$3:$AI$113,Donnees_generations!$A$3:$A$113,MAX(1915,MIN(2025,E469))),SUMIFS(Donnees_generations!$AJ$3:$AJ$113,Donnees_generations!$A$3:$A$113,MAX(1915,MIN(2025,E469)))))/2</f>
        <v/>
      </c>
      <c r="AJ469" s="8">
        <f>MAX(0,AH469+(AI469-AH469)*(K469-AG469)/2)</f>
        <v/>
      </c>
      <c r="AK469" s="8">
        <f>K469+AJ469</f>
        <v/>
      </c>
      <c r="AL469" s="14">
        <f>AE469*AJ469</f>
        <v/>
      </c>
      <c r="AM469" s="17">
        <f>V469/AL469</f>
        <v/>
      </c>
      <c r="AN469" s="17">
        <f>Z469/AL469</f>
        <v/>
      </c>
      <c r="AO469" s="33">
        <f>IF(V469+Z469=0,0,Z469/(V469+Z469))</f>
        <v/>
      </c>
      <c r="AP469" s="14">
        <f>AL469/V469*100</f>
        <v/>
      </c>
      <c r="AQ469" s="8">
        <f>P469/AL469*1000</f>
        <v/>
      </c>
      <c r="AR469" s="77">
        <f>MAX(N469,M469-1)</f>
        <v/>
      </c>
      <c r="AS469" s="14">
        <f>SUMIFS(Donnees_regimes!$R$3:$R$1118,Donnees_regimes!$A$3:$A$1118,C469,Donnees_regimes!$B$3:$B$1118,"&gt;="&amp;G469,Donnees_regimes!$B$3:$B$1118,"&lt;="&amp;N469)*L469/ROUNDUP(L469,0)*SUMIFS(Donnees_annuelles!$AG$3:$AG$188,Donnees_annuelles!$A$3:$A$188,AR469)*SUMIFS(Donnees_annuelles!$AA$3:$AA$188,Donnees_annuelles!$A$3:$A$188,AR469)</f>
        <v/>
      </c>
      <c r="AT469" s="36">
        <f>AS469/V469</f>
        <v/>
      </c>
      <c r="AU469" s="14">
        <f>AL469</f>
        <v/>
      </c>
      <c r="AV469" s="39">
        <f>AS469-AL469</f>
        <v/>
      </c>
      <c r="AW469" s="9">
        <f>AS469/AL469-1</f>
        <v/>
      </c>
      <c r="AX469" s="14">
        <f>AS469/AJ469/12</f>
        <v/>
      </c>
      <c r="AY469" s="14">
        <f>AF469</f>
        <v/>
      </c>
      <c r="AZ469" s="39">
        <f>AX469-AF469</f>
        <v/>
      </c>
      <c r="BA469" s="14">
        <f>SUMIFS(Donnees_regimes!$S$3:$S$1118,Donnees_regimes!$A$3:$A$1118,C469,Donnees_regimes!$B$3:$B$1118,"&gt;="&amp;G469,Donnees_regimes!$B$3:$B$1118,"&lt;="&amp;N469)*L469/ROUNDUP(L469,0)*SUMIFS(Donnees_annuelles!$AH$3:$AH$188,Donnees_annuelles!$A$3:$A$188,AR469)*SUMIFS(Donnees_annuelles!$AA$3:$AA$188,Donnees_annuelles!$A$3:$A$188,AR469)</f>
        <v/>
      </c>
      <c r="BB469" s="39">
        <f>BA469-AL469</f>
        <v/>
      </c>
      <c r="BC469" s="7">
        <f>IF(M469+AJ469&gt;2026,IF(G469&gt;2026,"entièrement projeté","en partie projeté"),"observé")</f>
        <v/>
      </c>
    </row>
    <row r="470">
      <c r="A470" s="7" t="inlineStr">
        <is>
          <t>Génération Z</t>
        </is>
      </c>
      <c r="B470" s="84" t="inlineStr">
        <is>
          <t>RATP</t>
        </is>
      </c>
      <c r="C470" s="7">
        <f>IF(G470&gt;=SUMIFS(Regimes!$C$5:$C$10,Regimes!$A$5:$A$10,B470),"Privé",B470)</f>
        <v/>
      </c>
      <c r="D470" s="7">
        <f>INDEX(Regimes!$D$5:$D$10,MATCH(C470,Regimes!$A$5:$A$10,0))</f>
        <v/>
      </c>
      <c r="E470" s="88" t="n">
        <v>2003</v>
      </c>
      <c r="F470" s="8">
        <f>Donnees_generations!C91</f>
        <v/>
      </c>
      <c r="G470" s="77">
        <f>Donnees_generations!D91</f>
        <v/>
      </c>
      <c r="H470" s="8">
        <f>SUMIFS(Donnees_generations!$S$3:$S$113,Donnees_generations!$A$3:$A$113,MAX(1915,MIN(2025,E470)))</f>
        <v/>
      </c>
      <c r="I470" s="8">
        <f>SUMIFS(Donnees_generations!$T$3:$T$113,Donnees_generations!$A$3:$A$113,MAX(1915,MIN(2025,E470)))</f>
        <v/>
      </c>
      <c r="J470" s="8">
        <f>IF(G470&gt;=2000,MAX(I470,Parametres!$B$3),I470)</f>
        <v/>
      </c>
      <c r="K470" s="8">
        <f>IF(C470="Privé",J470,SUMIFS(Regles_regimes!$J$3:$J$2000,Regles_regimes!$A$3:$A$2000,C470,Regles_regimes!$B$3:$B$2000,D470,Regles_regimes!$C$3:$C$2000,MAX(1915,MIN(2025,E470))))</f>
        <v/>
      </c>
      <c r="L470" s="8">
        <f>IF(C470="Privé",H470,(K470-F470)*H470/(J470-F470))</f>
        <v/>
      </c>
      <c r="M470" s="77">
        <f>INT(E470+K470)</f>
        <v/>
      </c>
      <c r="N470" s="77">
        <f>G470+ROUNDUP(L470,0)-1</f>
        <v/>
      </c>
      <c r="O470" s="89">
        <f>SUMIFS(Regles_regimes!$K$3:$K$2000,Regles_regimes!$A$3:$A$2000,C470,Regles_regimes!$B$3:$B$2000,D470,Regles_regimes!$C$3:$C$2000,MAX(1915,MIN(2025,E470)))</f>
        <v/>
      </c>
      <c r="P470" s="13">
        <f>SUMIFS(Donnees_annuelles!$W$3:$W$188,Donnees_annuelles!$A$3:$A$188,"&gt;="&amp;G470,Donnees_annuelles!$A$3:$A$188,"&lt;="&amp;N470)*L470/ROUNDUP(L470,0)*O470</f>
        <v/>
      </c>
      <c r="Q470" s="13">
        <f>SUMIFS(Donnees_annuelles!$V$3:$V$188,Donnees_annuelles!$A$3:$A$188,"&gt;="&amp;G470,Donnees_annuelles!$A$3:$A$188,"&lt;="&amp;N470)*L470/ROUNDUP(L470,0)</f>
        <v/>
      </c>
      <c r="R470" s="13">
        <f>P470/L470</f>
        <v/>
      </c>
      <c r="S470" s="14">
        <f>SUMIFS(Donnees_annuelles!$D$3:$D$188,Donnees_annuelles!$A$3:$A$188,"&gt;="&amp;G470,Donnees_annuelles!$A$3:$A$188,"&lt;="&amp;N470)*L470/ROUNDUP(L470,0)</f>
        <v/>
      </c>
      <c r="T470" s="14">
        <f>SUMIFS(Donnees_regimes!$N$3:$N$1118,Donnees_regimes!$A$3:$A$1118,C470,Donnees_regimes!$B$3:$B$1118,"&gt;="&amp;G470,Donnees_regimes!$B$3:$B$1118,"&lt;="&amp;N470)*L470/ROUNDUP(L470,0)</f>
        <v/>
      </c>
      <c r="U470" s="14">
        <f>SUMIFS(Donnees_regimes!$O$3:$O$1118,Donnees_regimes!$A$3:$A$1118,C470,Donnees_regimes!$B$3:$B$1118,"&gt;="&amp;G470,Donnees_regimes!$B$3:$B$1118,"&lt;="&amp;N470)*L470/ROUNDUP(L470,0)</f>
        <v/>
      </c>
      <c r="V470" s="14">
        <f>T470+U470</f>
        <v/>
      </c>
      <c r="W470" s="33">
        <f>V470/S470</f>
        <v/>
      </c>
      <c r="X470" s="14">
        <f>S470+U470</f>
        <v/>
      </c>
      <c r="Y470" s="17">
        <f>V470/P470</f>
        <v/>
      </c>
      <c r="Z470" s="14">
        <f>SUMIFS(Donnees_regimes!$Q$3:$Q$1118,Donnees_regimes!$A$3:$A$1118,C470,Donnees_regimes!$B$3:$B$1118,"&gt;="&amp;G470,Donnees_regimes!$B$3:$B$1118,"&lt;="&amp;N470)*L470/ROUNDUP(L470,0)</f>
        <v/>
      </c>
      <c r="AA470" s="77">
        <f>SUMIFS(Regles_regimes!$F$3:$F$2000,Regles_regimes!$A$3:$A$2000,C470,Regles_regimes!$B$3:$B$2000,D470,Regles_regimes!$C$3:$C$2000,MAX(1915,MIN(2025,E470)))</f>
        <v/>
      </c>
      <c r="AB470" s="77">
        <f>IF(AND(SUMIFS(Regles_regimes!$L$3:$L$2000,Regles_regimes!$A$3:$A$2000,C470,Regles_regimes!$B$3:$B$2000,D470,Regles_regimes!$C$3:$C$2000,MAX(1915,MIN(2025,E470)))=1,G470&lt;2009,C470&lt;&gt;"Privé"),MIN(20,L470*4/5),0)</f>
        <v/>
      </c>
      <c r="AC470" s="89">
        <f>SUMIFS(Donnees_regimes!$M$3:$M$1118,Donnees_regimes!$A$3:$A$1118,C470,Donnees_regimes!$B$3:$B$1118,M470)</f>
        <v/>
      </c>
      <c r="AD470" s="14">
        <f>SUMIFS(Donnees_annuelles!$Y$3:$Y$188,Donnees_annuelles!$A$3:$A$188,M470)*SUMIFS(Donnees_generations!$I$3:$I$113,Donnees_generations!$A$3:$A$113,MAX(1915,MIN(2025,E470)))/H470</f>
        <v/>
      </c>
      <c r="AE470" s="14">
        <f>IF(C470="Privé",SUMIFS(Donnees_annuelles!$Y$3:$Y$188,Donnees_annuelles!$A$3:$A$188,M470)*MIN(L470,SUMIFS(Donnees_generations!$I$3:$I$113,Donnees_generations!$A$3:$A$113,MAX(1915,MIN(2025,E470))))/L470,AD470*AC470*MIN(IF(AB470&gt;0,0.8/0.75,1),(L470*4+AB470)/AA470))</f>
        <v/>
      </c>
      <c r="AF470" s="14">
        <f>AE470/12</f>
        <v/>
      </c>
      <c r="AG470" s="77">
        <f>MIN(68,MAX(56,2*INT(K470/2)))</f>
        <v/>
      </c>
      <c r="AH470" s="75">
        <f>(CHOOSE((AG470-56)/2+1,SUMIFS(Donnees_generations!$U$3:$U$113,Donnees_generations!$A$3:$A$113,MAX(1915,MIN(2025,E470))),SUMIFS(Donnees_generations!$V$3:$V$113,Donnees_generations!$A$3:$A$113,MAX(1915,MIN(2025,E470))),SUMIFS(Donnees_generations!$W$3:$W$113,Donnees_generations!$A$3:$A$113,MAX(1915,MIN(2025,E470))),SUMIFS(Donnees_generations!$X$3:$X$113,Donnees_generations!$A$3:$A$113,MAX(1915,MIN(2025,E470))),SUMIFS(Donnees_generations!$Y$3:$Y$113,Donnees_generations!$A$3:$A$113,MAX(1915,MIN(2025,E470))),SUMIFS(Donnees_generations!$Z$3:$Z$113,Donnees_generations!$A$3:$A$113,MAX(1915,MIN(2025,E470))),SUMIFS(Donnees_generations!$AA$3:$AA$113,Donnees_generations!$A$3:$A$113,MAX(1915,MIN(2025,E470))),SUMIFS(Donnees_generations!$AB$3:$AB$113,Donnees_generations!$A$3:$A$113,MAX(1915,MIN(2025,E470))))+CHOOSE((AG470-56)/2+1,SUMIFS(Donnees_generations!$AC$3:$AC$113,Donnees_generations!$A$3:$A$113,MAX(1915,MIN(2025,E470))),SUMIFS(Donnees_generations!$AD$3:$AD$113,Donnees_generations!$A$3:$A$113,MAX(1915,MIN(2025,E470))),SUMIFS(Donnees_generations!$AE$3:$AE$113,Donnees_generations!$A$3:$A$113,MAX(1915,MIN(2025,E470))),SUMIFS(Donnees_generations!$AF$3:$AF$113,Donnees_generations!$A$3:$A$113,MAX(1915,MIN(2025,E470))),SUMIFS(Donnees_generations!$AG$3:$AG$113,Donnees_generations!$A$3:$A$113,MAX(1915,MIN(2025,E470))),SUMIFS(Donnees_generations!$AH$3:$AH$113,Donnees_generations!$A$3:$A$113,MAX(1915,MIN(2025,E470))),SUMIFS(Donnees_generations!$AI$3:$AI$113,Donnees_generations!$A$3:$A$113,MAX(1915,MIN(2025,E470))),SUMIFS(Donnees_generations!$AJ$3:$AJ$113,Donnees_generations!$A$3:$A$113,MAX(1915,MIN(2025,E470)))))/2</f>
        <v/>
      </c>
      <c r="AI470" s="75">
        <f>(CHOOSE(((AG470+2)-56)/2+1,SUMIFS(Donnees_generations!$U$3:$U$113,Donnees_generations!$A$3:$A$113,MAX(1915,MIN(2025,E470))),SUMIFS(Donnees_generations!$V$3:$V$113,Donnees_generations!$A$3:$A$113,MAX(1915,MIN(2025,E470))),SUMIFS(Donnees_generations!$W$3:$W$113,Donnees_generations!$A$3:$A$113,MAX(1915,MIN(2025,E470))),SUMIFS(Donnees_generations!$X$3:$X$113,Donnees_generations!$A$3:$A$113,MAX(1915,MIN(2025,E470))),SUMIFS(Donnees_generations!$Y$3:$Y$113,Donnees_generations!$A$3:$A$113,MAX(1915,MIN(2025,E470))),SUMIFS(Donnees_generations!$Z$3:$Z$113,Donnees_generations!$A$3:$A$113,MAX(1915,MIN(2025,E470))),SUMIFS(Donnees_generations!$AA$3:$AA$113,Donnees_generations!$A$3:$A$113,MAX(1915,MIN(2025,E470))),SUMIFS(Donnees_generations!$AB$3:$AB$113,Donnees_generations!$A$3:$A$113,MAX(1915,MIN(2025,E470))))+CHOOSE(((AG470+2)-56)/2+1,SUMIFS(Donnees_generations!$AC$3:$AC$113,Donnees_generations!$A$3:$A$113,MAX(1915,MIN(2025,E470))),SUMIFS(Donnees_generations!$AD$3:$AD$113,Donnees_generations!$A$3:$A$113,MAX(1915,MIN(2025,E470))),SUMIFS(Donnees_generations!$AE$3:$AE$113,Donnees_generations!$A$3:$A$113,MAX(1915,MIN(2025,E470))),SUMIFS(Donnees_generations!$AF$3:$AF$113,Donnees_generations!$A$3:$A$113,MAX(1915,MIN(2025,E470))),SUMIFS(Donnees_generations!$AG$3:$AG$113,Donnees_generations!$A$3:$A$113,MAX(1915,MIN(2025,E470))),SUMIFS(Donnees_generations!$AH$3:$AH$113,Donnees_generations!$A$3:$A$113,MAX(1915,MIN(2025,E470))),SUMIFS(Donnees_generations!$AI$3:$AI$113,Donnees_generations!$A$3:$A$113,MAX(1915,MIN(2025,E470))),SUMIFS(Donnees_generations!$AJ$3:$AJ$113,Donnees_generations!$A$3:$A$113,MAX(1915,MIN(2025,E470)))))/2</f>
        <v/>
      </c>
      <c r="AJ470" s="8">
        <f>MAX(0,AH470+(AI470-AH470)*(K470-AG470)/2)</f>
        <v/>
      </c>
      <c r="AK470" s="8">
        <f>K470+AJ470</f>
        <v/>
      </c>
      <c r="AL470" s="14">
        <f>AE470*AJ470</f>
        <v/>
      </c>
      <c r="AM470" s="17">
        <f>V470/AL470</f>
        <v/>
      </c>
      <c r="AN470" s="17">
        <f>Z470/AL470</f>
        <v/>
      </c>
      <c r="AO470" s="33">
        <f>IF(V470+Z470=0,0,Z470/(V470+Z470))</f>
        <v/>
      </c>
      <c r="AP470" s="14">
        <f>AL470/V470*100</f>
        <v/>
      </c>
      <c r="AQ470" s="8">
        <f>P470/AL470*1000</f>
        <v/>
      </c>
      <c r="AR470" s="77">
        <f>MAX(N470,M470-1)</f>
        <v/>
      </c>
      <c r="AS470" s="14">
        <f>SUMIFS(Donnees_regimes!$R$3:$R$1118,Donnees_regimes!$A$3:$A$1118,C470,Donnees_regimes!$B$3:$B$1118,"&gt;="&amp;G470,Donnees_regimes!$B$3:$B$1118,"&lt;="&amp;N470)*L470/ROUNDUP(L470,0)*SUMIFS(Donnees_annuelles!$AG$3:$AG$188,Donnees_annuelles!$A$3:$A$188,AR470)*SUMIFS(Donnees_annuelles!$AA$3:$AA$188,Donnees_annuelles!$A$3:$A$188,AR470)</f>
        <v/>
      </c>
      <c r="AT470" s="36">
        <f>AS470/V470</f>
        <v/>
      </c>
      <c r="AU470" s="14">
        <f>AL470</f>
        <v/>
      </c>
      <c r="AV470" s="39">
        <f>AS470-AL470</f>
        <v/>
      </c>
      <c r="AW470" s="9">
        <f>AS470/AL470-1</f>
        <v/>
      </c>
      <c r="AX470" s="14">
        <f>AS470/AJ470/12</f>
        <v/>
      </c>
      <c r="AY470" s="14">
        <f>AF470</f>
        <v/>
      </c>
      <c r="AZ470" s="39">
        <f>AX470-AF470</f>
        <v/>
      </c>
      <c r="BA470" s="14">
        <f>SUMIFS(Donnees_regimes!$S$3:$S$1118,Donnees_regimes!$A$3:$A$1118,C470,Donnees_regimes!$B$3:$B$1118,"&gt;="&amp;G470,Donnees_regimes!$B$3:$B$1118,"&lt;="&amp;N470)*L470/ROUNDUP(L470,0)*SUMIFS(Donnees_annuelles!$AH$3:$AH$188,Donnees_annuelles!$A$3:$A$188,AR470)*SUMIFS(Donnees_annuelles!$AA$3:$AA$188,Donnees_annuelles!$A$3:$A$188,AR470)</f>
        <v/>
      </c>
      <c r="BB470" s="39">
        <f>BA470-AL470</f>
        <v/>
      </c>
      <c r="BC470" s="7">
        <f>IF(M470+AJ470&gt;2026,IF(G470&gt;2026,"entièrement projeté","en partie projeté"),"observé")</f>
        <v/>
      </c>
    </row>
    <row r="471">
      <c r="A471" s="7" t="inlineStr">
        <is>
          <t>Génération Z</t>
        </is>
      </c>
      <c r="B471" s="84" t="inlineStr">
        <is>
          <t>RATP</t>
        </is>
      </c>
      <c r="C471" s="7">
        <f>IF(G471&gt;=SUMIFS(Regimes!$C$5:$C$10,Regimes!$A$5:$A$10,B471),"Privé",B471)</f>
        <v/>
      </c>
      <c r="D471" s="7">
        <f>INDEX(Regimes!$D$5:$D$10,MATCH(C471,Regimes!$A$5:$A$10,0))</f>
        <v/>
      </c>
      <c r="E471" s="88" t="n">
        <v>2004</v>
      </c>
      <c r="F471" s="8">
        <f>Donnees_generations!C92</f>
        <v/>
      </c>
      <c r="G471" s="77">
        <f>Donnees_generations!D92</f>
        <v/>
      </c>
      <c r="H471" s="8">
        <f>SUMIFS(Donnees_generations!$S$3:$S$113,Donnees_generations!$A$3:$A$113,MAX(1915,MIN(2025,E471)))</f>
        <v/>
      </c>
      <c r="I471" s="8">
        <f>SUMIFS(Donnees_generations!$T$3:$T$113,Donnees_generations!$A$3:$A$113,MAX(1915,MIN(2025,E471)))</f>
        <v/>
      </c>
      <c r="J471" s="8">
        <f>IF(G471&gt;=2000,MAX(I471,Parametres!$B$3),I471)</f>
        <v/>
      </c>
      <c r="K471" s="8">
        <f>IF(C471="Privé",J471,SUMIFS(Regles_regimes!$J$3:$J$2000,Regles_regimes!$A$3:$A$2000,C471,Regles_regimes!$B$3:$B$2000,D471,Regles_regimes!$C$3:$C$2000,MAX(1915,MIN(2025,E471))))</f>
        <v/>
      </c>
      <c r="L471" s="8">
        <f>IF(C471="Privé",H471,(K471-F471)*H471/(J471-F471))</f>
        <v/>
      </c>
      <c r="M471" s="77">
        <f>INT(E471+K471)</f>
        <v/>
      </c>
      <c r="N471" s="77">
        <f>G471+ROUNDUP(L471,0)-1</f>
        <v/>
      </c>
      <c r="O471" s="89">
        <f>SUMIFS(Regles_regimes!$K$3:$K$2000,Regles_regimes!$A$3:$A$2000,C471,Regles_regimes!$B$3:$B$2000,D471,Regles_regimes!$C$3:$C$2000,MAX(1915,MIN(2025,E471)))</f>
        <v/>
      </c>
      <c r="P471" s="13">
        <f>SUMIFS(Donnees_annuelles!$W$3:$W$188,Donnees_annuelles!$A$3:$A$188,"&gt;="&amp;G471,Donnees_annuelles!$A$3:$A$188,"&lt;="&amp;N471)*L471/ROUNDUP(L471,0)*O471</f>
        <v/>
      </c>
      <c r="Q471" s="13">
        <f>SUMIFS(Donnees_annuelles!$V$3:$V$188,Donnees_annuelles!$A$3:$A$188,"&gt;="&amp;G471,Donnees_annuelles!$A$3:$A$188,"&lt;="&amp;N471)*L471/ROUNDUP(L471,0)</f>
        <v/>
      </c>
      <c r="R471" s="13">
        <f>P471/L471</f>
        <v/>
      </c>
      <c r="S471" s="14">
        <f>SUMIFS(Donnees_annuelles!$D$3:$D$188,Donnees_annuelles!$A$3:$A$188,"&gt;="&amp;G471,Donnees_annuelles!$A$3:$A$188,"&lt;="&amp;N471)*L471/ROUNDUP(L471,0)</f>
        <v/>
      </c>
      <c r="T471" s="14">
        <f>SUMIFS(Donnees_regimes!$N$3:$N$1118,Donnees_regimes!$A$3:$A$1118,C471,Donnees_regimes!$B$3:$B$1118,"&gt;="&amp;G471,Donnees_regimes!$B$3:$B$1118,"&lt;="&amp;N471)*L471/ROUNDUP(L471,0)</f>
        <v/>
      </c>
      <c r="U471" s="14">
        <f>SUMIFS(Donnees_regimes!$O$3:$O$1118,Donnees_regimes!$A$3:$A$1118,C471,Donnees_regimes!$B$3:$B$1118,"&gt;="&amp;G471,Donnees_regimes!$B$3:$B$1118,"&lt;="&amp;N471)*L471/ROUNDUP(L471,0)</f>
        <v/>
      </c>
      <c r="V471" s="14">
        <f>T471+U471</f>
        <v/>
      </c>
      <c r="W471" s="33">
        <f>V471/S471</f>
        <v/>
      </c>
      <c r="X471" s="14">
        <f>S471+U471</f>
        <v/>
      </c>
      <c r="Y471" s="17">
        <f>V471/P471</f>
        <v/>
      </c>
      <c r="Z471" s="14">
        <f>SUMIFS(Donnees_regimes!$Q$3:$Q$1118,Donnees_regimes!$A$3:$A$1118,C471,Donnees_regimes!$B$3:$B$1118,"&gt;="&amp;G471,Donnees_regimes!$B$3:$B$1118,"&lt;="&amp;N471)*L471/ROUNDUP(L471,0)</f>
        <v/>
      </c>
      <c r="AA471" s="77">
        <f>SUMIFS(Regles_regimes!$F$3:$F$2000,Regles_regimes!$A$3:$A$2000,C471,Regles_regimes!$B$3:$B$2000,D471,Regles_regimes!$C$3:$C$2000,MAX(1915,MIN(2025,E471)))</f>
        <v/>
      </c>
      <c r="AB471" s="77">
        <f>IF(AND(SUMIFS(Regles_regimes!$L$3:$L$2000,Regles_regimes!$A$3:$A$2000,C471,Regles_regimes!$B$3:$B$2000,D471,Regles_regimes!$C$3:$C$2000,MAX(1915,MIN(2025,E471)))=1,G471&lt;2009,C471&lt;&gt;"Privé"),MIN(20,L471*4/5),0)</f>
        <v/>
      </c>
      <c r="AC471" s="89">
        <f>SUMIFS(Donnees_regimes!$M$3:$M$1118,Donnees_regimes!$A$3:$A$1118,C471,Donnees_regimes!$B$3:$B$1118,M471)</f>
        <v/>
      </c>
      <c r="AD471" s="14">
        <f>SUMIFS(Donnees_annuelles!$Y$3:$Y$188,Donnees_annuelles!$A$3:$A$188,M471)*SUMIFS(Donnees_generations!$I$3:$I$113,Donnees_generations!$A$3:$A$113,MAX(1915,MIN(2025,E471)))/H471</f>
        <v/>
      </c>
      <c r="AE471" s="14">
        <f>IF(C471="Privé",SUMIFS(Donnees_annuelles!$Y$3:$Y$188,Donnees_annuelles!$A$3:$A$188,M471)*MIN(L471,SUMIFS(Donnees_generations!$I$3:$I$113,Donnees_generations!$A$3:$A$113,MAX(1915,MIN(2025,E471))))/L471,AD471*AC471*MIN(IF(AB471&gt;0,0.8/0.75,1),(L471*4+AB471)/AA471))</f>
        <v/>
      </c>
      <c r="AF471" s="14">
        <f>AE471/12</f>
        <v/>
      </c>
      <c r="AG471" s="77">
        <f>MIN(68,MAX(56,2*INT(K471/2)))</f>
        <v/>
      </c>
      <c r="AH471" s="75">
        <f>(CHOOSE((AG471-56)/2+1,SUMIFS(Donnees_generations!$U$3:$U$113,Donnees_generations!$A$3:$A$113,MAX(1915,MIN(2025,E471))),SUMIFS(Donnees_generations!$V$3:$V$113,Donnees_generations!$A$3:$A$113,MAX(1915,MIN(2025,E471))),SUMIFS(Donnees_generations!$W$3:$W$113,Donnees_generations!$A$3:$A$113,MAX(1915,MIN(2025,E471))),SUMIFS(Donnees_generations!$X$3:$X$113,Donnees_generations!$A$3:$A$113,MAX(1915,MIN(2025,E471))),SUMIFS(Donnees_generations!$Y$3:$Y$113,Donnees_generations!$A$3:$A$113,MAX(1915,MIN(2025,E471))),SUMIFS(Donnees_generations!$Z$3:$Z$113,Donnees_generations!$A$3:$A$113,MAX(1915,MIN(2025,E471))),SUMIFS(Donnees_generations!$AA$3:$AA$113,Donnees_generations!$A$3:$A$113,MAX(1915,MIN(2025,E471))),SUMIFS(Donnees_generations!$AB$3:$AB$113,Donnees_generations!$A$3:$A$113,MAX(1915,MIN(2025,E471))))+CHOOSE((AG471-56)/2+1,SUMIFS(Donnees_generations!$AC$3:$AC$113,Donnees_generations!$A$3:$A$113,MAX(1915,MIN(2025,E471))),SUMIFS(Donnees_generations!$AD$3:$AD$113,Donnees_generations!$A$3:$A$113,MAX(1915,MIN(2025,E471))),SUMIFS(Donnees_generations!$AE$3:$AE$113,Donnees_generations!$A$3:$A$113,MAX(1915,MIN(2025,E471))),SUMIFS(Donnees_generations!$AF$3:$AF$113,Donnees_generations!$A$3:$A$113,MAX(1915,MIN(2025,E471))),SUMIFS(Donnees_generations!$AG$3:$AG$113,Donnees_generations!$A$3:$A$113,MAX(1915,MIN(2025,E471))),SUMIFS(Donnees_generations!$AH$3:$AH$113,Donnees_generations!$A$3:$A$113,MAX(1915,MIN(2025,E471))),SUMIFS(Donnees_generations!$AI$3:$AI$113,Donnees_generations!$A$3:$A$113,MAX(1915,MIN(2025,E471))),SUMIFS(Donnees_generations!$AJ$3:$AJ$113,Donnees_generations!$A$3:$A$113,MAX(1915,MIN(2025,E471)))))/2</f>
        <v/>
      </c>
      <c r="AI471" s="75">
        <f>(CHOOSE(((AG471+2)-56)/2+1,SUMIFS(Donnees_generations!$U$3:$U$113,Donnees_generations!$A$3:$A$113,MAX(1915,MIN(2025,E471))),SUMIFS(Donnees_generations!$V$3:$V$113,Donnees_generations!$A$3:$A$113,MAX(1915,MIN(2025,E471))),SUMIFS(Donnees_generations!$W$3:$W$113,Donnees_generations!$A$3:$A$113,MAX(1915,MIN(2025,E471))),SUMIFS(Donnees_generations!$X$3:$X$113,Donnees_generations!$A$3:$A$113,MAX(1915,MIN(2025,E471))),SUMIFS(Donnees_generations!$Y$3:$Y$113,Donnees_generations!$A$3:$A$113,MAX(1915,MIN(2025,E471))),SUMIFS(Donnees_generations!$Z$3:$Z$113,Donnees_generations!$A$3:$A$113,MAX(1915,MIN(2025,E471))),SUMIFS(Donnees_generations!$AA$3:$AA$113,Donnees_generations!$A$3:$A$113,MAX(1915,MIN(2025,E471))),SUMIFS(Donnees_generations!$AB$3:$AB$113,Donnees_generations!$A$3:$A$113,MAX(1915,MIN(2025,E471))))+CHOOSE(((AG471+2)-56)/2+1,SUMIFS(Donnees_generations!$AC$3:$AC$113,Donnees_generations!$A$3:$A$113,MAX(1915,MIN(2025,E471))),SUMIFS(Donnees_generations!$AD$3:$AD$113,Donnees_generations!$A$3:$A$113,MAX(1915,MIN(2025,E471))),SUMIFS(Donnees_generations!$AE$3:$AE$113,Donnees_generations!$A$3:$A$113,MAX(1915,MIN(2025,E471))),SUMIFS(Donnees_generations!$AF$3:$AF$113,Donnees_generations!$A$3:$A$113,MAX(1915,MIN(2025,E471))),SUMIFS(Donnees_generations!$AG$3:$AG$113,Donnees_generations!$A$3:$A$113,MAX(1915,MIN(2025,E471))),SUMIFS(Donnees_generations!$AH$3:$AH$113,Donnees_generations!$A$3:$A$113,MAX(1915,MIN(2025,E471))),SUMIFS(Donnees_generations!$AI$3:$AI$113,Donnees_generations!$A$3:$A$113,MAX(1915,MIN(2025,E471))),SUMIFS(Donnees_generations!$AJ$3:$AJ$113,Donnees_generations!$A$3:$A$113,MAX(1915,MIN(2025,E471)))))/2</f>
        <v/>
      </c>
      <c r="AJ471" s="8">
        <f>MAX(0,AH471+(AI471-AH471)*(K471-AG471)/2)</f>
        <v/>
      </c>
      <c r="AK471" s="8">
        <f>K471+AJ471</f>
        <v/>
      </c>
      <c r="AL471" s="14">
        <f>AE471*AJ471</f>
        <v/>
      </c>
      <c r="AM471" s="17">
        <f>V471/AL471</f>
        <v/>
      </c>
      <c r="AN471" s="17">
        <f>Z471/AL471</f>
        <v/>
      </c>
      <c r="AO471" s="33">
        <f>IF(V471+Z471=0,0,Z471/(V471+Z471))</f>
        <v/>
      </c>
      <c r="AP471" s="14">
        <f>AL471/V471*100</f>
        <v/>
      </c>
      <c r="AQ471" s="8">
        <f>P471/AL471*1000</f>
        <v/>
      </c>
      <c r="AR471" s="77">
        <f>MAX(N471,M471-1)</f>
        <v/>
      </c>
      <c r="AS471" s="14">
        <f>SUMIFS(Donnees_regimes!$R$3:$R$1118,Donnees_regimes!$A$3:$A$1118,C471,Donnees_regimes!$B$3:$B$1118,"&gt;="&amp;G471,Donnees_regimes!$B$3:$B$1118,"&lt;="&amp;N471)*L471/ROUNDUP(L471,0)*SUMIFS(Donnees_annuelles!$AG$3:$AG$188,Donnees_annuelles!$A$3:$A$188,AR471)*SUMIFS(Donnees_annuelles!$AA$3:$AA$188,Donnees_annuelles!$A$3:$A$188,AR471)</f>
        <v/>
      </c>
      <c r="AT471" s="36">
        <f>AS471/V471</f>
        <v/>
      </c>
      <c r="AU471" s="14">
        <f>AL471</f>
        <v/>
      </c>
      <c r="AV471" s="39">
        <f>AS471-AL471</f>
        <v/>
      </c>
      <c r="AW471" s="9">
        <f>AS471/AL471-1</f>
        <v/>
      </c>
      <c r="AX471" s="14">
        <f>AS471/AJ471/12</f>
        <v/>
      </c>
      <c r="AY471" s="14">
        <f>AF471</f>
        <v/>
      </c>
      <c r="AZ471" s="39">
        <f>AX471-AF471</f>
        <v/>
      </c>
      <c r="BA471" s="14">
        <f>SUMIFS(Donnees_regimes!$S$3:$S$1118,Donnees_regimes!$A$3:$A$1118,C471,Donnees_regimes!$B$3:$B$1118,"&gt;="&amp;G471,Donnees_regimes!$B$3:$B$1118,"&lt;="&amp;N471)*L471/ROUNDUP(L471,0)*SUMIFS(Donnees_annuelles!$AH$3:$AH$188,Donnees_annuelles!$A$3:$A$188,AR471)*SUMIFS(Donnees_annuelles!$AA$3:$AA$188,Donnees_annuelles!$A$3:$A$188,AR471)</f>
        <v/>
      </c>
      <c r="BB471" s="39">
        <f>BA471-AL471</f>
        <v/>
      </c>
      <c r="BC471" s="7">
        <f>IF(M471+AJ471&gt;2026,IF(G471&gt;2026,"entièrement projeté","en partie projeté"),"observé")</f>
        <v/>
      </c>
    </row>
    <row r="472">
      <c r="A472" s="7" t="inlineStr">
        <is>
          <t>Génération Z</t>
        </is>
      </c>
      <c r="B472" s="84" t="inlineStr">
        <is>
          <t>RATP</t>
        </is>
      </c>
      <c r="C472" s="7">
        <f>IF(G472&gt;=SUMIFS(Regimes!$C$5:$C$10,Regimes!$A$5:$A$10,B472),"Privé",B472)</f>
        <v/>
      </c>
      <c r="D472" s="7">
        <f>INDEX(Regimes!$D$5:$D$10,MATCH(C472,Regimes!$A$5:$A$10,0))</f>
        <v/>
      </c>
      <c r="E472" s="88" t="n">
        <v>2005</v>
      </c>
      <c r="F472" s="8">
        <f>Donnees_generations!C93</f>
        <v/>
      </c>
      <c r="G472" s="77">
        <f>Donnees_generations!D93</f>
        <v/>
      </c>
      <c r="H472" s="8">
        <f>SUMIFS(Donnees_generations!$S$3:$S$113,Donnees_generations!$A$3:$A$113,MAX(1915,MIN(2025,E472)))</f>
        <v/>
      </c>
      <c r="I472" s="8">
        <f>SUMIFS(Donnees_generations!$T$3:$T$113,Donnees_generations!$A$3:$A$113,MAX(1915,MIN(2025,E472)))</f>
        <v/>
      </c>
      <c r="J472" s="8">
        <f>IF(G472&gt;=2000,MAX(I472,Parametres!$B$3),I472)</f>
        <v/>
      </c>
      <c r="K472" s="8">
        <f>IF(C472="Privé",J472,SUMIFS(Regles_regimes!$J$3:$J$2000,Regles_regimes!$A$3:$A$2000,C472,Regles_regimes!$B$3:$B$2000,D472,Regles_regimes!$C$3:$C$2000,MAX(1915,MIN(2025,E472))))</f>
        <v/>
      </c>
      <c r="L472" s="8">
        <f>IF(C472="Privé",H472,(K472-F472)*H472/(J472-F472))</f>
        <v/>
      </c>
      <c r="M472" s="77">
        <f>INT(E472+K472)</f>
        <v/>
      </c>
      <c r="N472" s="77">
        <f>G472+ROUNDUP(L472,0)-1</f>
        <v/>
      </c>
      <c r="O472" s="89">
        <f>SUMIFS(Regles_regimes!$K$3:$K$2000,Regles_regimes!$A$3:$A$2000,C472,Regles_regimes!$B$3:$B$2000,D472,Regles_regimes!$C$3:$C$2000,MAX(1915,MIN(2025,E472)))</f>
        <v/>
      </c>
      <c r="P472" s="13">
        <f>SUMIFS(Donnees_annuelles!$W$3:$W$188,Donnees_annuelles!$A$3:$A$188,"&gt;="&amp;G472,Donnees_annuelles!$A$3:$A$188,"&lt;="&amp;N472)*L472/ROUNDUP(L472,0)*O472</f>
        <v/>
      </c>
      <c r="Q472" s="13">
        <f>SUMIFS(Donnees_annuelles!$V$3:$V$188,Donnees_annuelles!$A$3:$A$188,"&gt;="&amp;G472,Donnees_annuelles!$A$3:$A$188,"&lt;="&amp;N472)*L472/ROUNDUP(L472,0)</f>
        <v/>
      </c>
      <c r="R472" s="13">
        <f>P472/L472</f>
        <v/>
      </c>
      <c r="S472" s="14">
        <f>SUMIFS(Donnees_annuelles!$D$3:$D$188,Donnees_annuelles!$A$3:$A$188,"&gt;="&amp;G472,Donnees_annuelles!$A$3:$A$188,"&lt;="&amp;N472)*L472/ROUNDUP(L472,0)</f>
        <v/>
      </c>
      <c r="T472" s="14">
        <f>SUMIFS(Donnees_regimes!$N$3:$N$1118,Donnees_regimes!$A$3:$A$1118,C472,Donnees_regimes!$B$3:$B$1118,"&gt;="&amp;G472,Donnees_regimes!$B$3:$B$1118,"&lt;="&amp;N472)*L472/ROUNDUP(L472,0)</f>
        <v/>
      </c>
      <c r="U472" s="14">
        <f>SUMIFS(Donnees_regimes!$O$3:$O$1118,Donnees_regimes!$A$3:$A$1118,C472,Donnees_regimes!$B$3:$B$1118,"&gt;="&amp;G472,Donnees_regimes!$B$3:$B$1118,"&lt;="&amp;N472)*L472/ROUNDUP(L472,0)</f>
        <v/>
      </c>
      <c r="V472" s="14">
        <f>T472+U472</f>
        <v/>
      </c>
      <c r="W472" s="33">
        <f>V472/S472</f>
        <v/>
      </c>
      <c r="X472" s="14">
        <f>S472+U472</f>
        <v/>
      </c>
      <c r="Y472" s="17">
        <f>V472/P472</f>
        <v/>
      </c>
      <c r="Z472" s="14">
        <f>SUMIFS(Donnees_regimes!$Q$3:$Q$1118,Donnees_regimes!$A$3:$A$1118,C472,Donnees_regimes!$B$3:$B$1118,"&gt;="&amp;G472,Donnees_regimes!$B$3:$B$1118,"&lt;="&amp;N472)*L472/ROUNDUP(L472,0)</f>
        <v/>
      </c>
      <c r="AA472" s="77">
        <f>SUMIFS(Regles_regimes!$F$3:$F$2000,Regles_regimes!$A$3:$A$2000,C472,Regles_regimes!$B$3:$B$2000,D472,Regles_regimes!$C$3:$C$2000,MAX(1915,MIN(2025,E472)))</f>
        <v/>
      </c>
      <c r="AB472" s="77">
        <f>IF(AND(SUMIFS(Regles_regimes!$L$3:$L$2000,Regles_regimes!$A$3:$A$2000,C472,Regles_regimes!$B$3:$B$2000,D472,Regles_regimes!$C$3:$C$2000,MAX(1915,MIN(2025,E472)))=1,G472&lt;2009,C472&lt;&gt;"Privé"),MIN(20,L472*4/5),0)</f>
        <v/>
      </c>
      <c r="AC472" s="89">
        <f>SUMIFS(Donnees_regimes!$M$3:$M$1118,Donnees_regimes!$A$3:$A$1118,C472,Donnees_regimes!$B$3:$B$1118,M472)</f>
        <v/>
      </c>
      <c r="AD472" s="14">
        <f>SUMIFS(Donnees_annuelles!$Y$3:$Y$188,Donnees_annuelles!$A$3:$A$188,M472)*SUMIFS(Donnees_generations!$I$3:$I$113,Donnees_generations!$A$3:$A$113,MAX(1915,MIN(2025,E472)))/H472</f>
        <v/>
      </c>
      <c r="AE472" s="14">
        <f>IF(C472="Privé",SUMIFS(Donnees_annuelles!$Y$3:$Y$188,Donnees_annuelles!$A$3:$A$188,M472)*MIN(L472,SUMIFS(Donnees_generations!$I$3:$I$113,Donnees_generations!$A$3:$A$113,MAX(1915,MIN(2025,E472))))/L472,AD472*AC472*MIN(IF(AB472&gt;0,0.8/0.75,1),(L472*4+AB472)/AA472))</f>
        <v/>
      </c>
      <c r="AF472" s="14">
        <f>AE472/12</f>
        <v/>
      </c>
      <c r="AG472" s="77">
        <f>MIN(68,MAX(56,2*INT(K472/2)))</f>
        <v/>
      </c>
      <c r="AH472" s="75">
        <f>(CHOOSE((AG472-56)/2+1,SUMIFS(Donnees_generations!$U$3:$U$113,Donnees_generations!$A$3:$A$113,MAX(1915,MIN(2025,E472))),SUMIFS(Donnees_generations!$V$3:$V$113,Donnees_generations!$A$3:$A$113,MAX(1915,MIN(2025,E472))),SUMIFS(Donnees_generations!$W$3:$W$113,Donnees_generations!$A$3:$A$113,MAX(1915,MIN(2025,E472))),SUMIFS(Donnees_generations!$X$3:$X$113,Donnees_generations!$A$3:$A$113,MAX(1915,MIN(2025,E472))),SUMIFS(Donnees_generations!$Y$3:$Y$113,Donnees_generations!$A$3:$A$113,MAX(1915,MIN(2025,E472))),SUMIFS(Donnees_generations!$Z$3:$Z$113,Donnees_generations!$A$3:$A$113,MAX(1915,MIN(2025,E472))),SUMIFS(Donnees_generations!$AA$3:$AA$113,Donnees_generations!$A$3:$A$113,MAX(1915,MIN(2025,E472))),SUMIFS(Donnees_generations!$AB$3:$AB$113,Donnees_generations!$A$3:$A$113,MAX(1915,MIN(2025,E472))))+CHOOSE((AG472-56)/2+1,SUMIFS(Donnees_generations!$AC$3:$AC$113,Donnees_generations!$A$3:$A$113,MAX(1915,MIN(2025,E472))),SUMIFS(Donnees_generations!$AD$3:$AD$113,Donnees_generations!$A$3:$A$113,MAX(1915,MIN(2025,E472))),SUMIFS(Donnees_generations!$AE$3:$AE$113,Donnees_generations!$A$3:$A$113,MAX(1915,MIN(2025,E472))),SUMIFS(Donnees_generations!$AF$3:$AF$113,Donnees_generations!$A$3:$A$113,MAX(1915,MIN(2025,E472))),SUMIFS(Donnees_generations!$AG$3:$AG$113,Donnees_generations!$A$3:$A$113,MAX(1915,MIN(2025,E472))),SUMIFS(Donnees_generations!$AH$3:$AH$113,Donnees_generations!$A$3:$A$113,MAX(1915,MIN(2025,E472))),SUMIFS(Donnees_generations!$AI$3:$AI$113,Donnees_generations!$A$3:$A$113,MAX(1915,MIN(2025,E472))),SUMIFS(Donnees_generations!$AJ$3:$AJ$113,Donnees_generations!$A$3:$A$113,MAX(1915,MIN(2025,E472)))))/2</f>
        <v/>
      </c>
      <c r="AI472" s="75">
        <f>(CHOOSE(((AG472+2)-56)/2+1,SUMIFS(Donnees_generations!$U$3:$U$113,Donnees_generations!$A$3:$A$113,MAX(1915,MIN(2025,E472))),SUMIFS(Donnees_generations!$V$3:$V$113,Donnees_generations!$A$3:$A$113,MAX(1915,MIN(2025,E472))),SUMIFS(Donnees_generations!$W$3:$W$113,Donnees_generations!$A$3:$A$113,MAX(1915,MIN(2025,E472))),SUMIFS(Donnees_generations!$X$3:$X$113,Donnees_generations!$A$3:$A$113,MAX(1915,MIN(2025,E472))),SUMIFS(Donnees_generations!$Y$3:$Y$113,Donnees_generations!$A$3:$A$113,MAX(1915,MIN(2025,E472))),SUMIFS(Donnees_generations!$Z$3:$Z$113,Donnees_generations!$A$3:$A$113,MAX(1915,MIN(2025,E472))),SUMIFS(Donnees_generations!$AA$3:$AA$113,Donnees_generations!$A$3:$A$113,MAX(1915,MIN(2025,E472))),SUMIFS(Donnees_generations!$AB$3:$AB$113,Donnees_generations!$A$3:$A$113,MAX(1915,MIN(2025,E472))))+CHOOSE(((AG472+2)-56)/2+1,SUMIFS(Donnees_generations!$AC$3:$AC$113,Donnees_generations!$A$3:$A$113,MAX(1915,MIN(2025,E472))),SUMIFS(Donnees_generations!$AD$3:$AD$113,Donnees_generations!$A$3:$A$113,MAX(1915,MIN(2025,E472))),SUMIFS(Donnees_generations!$AE$3:$AE$113,Donnees_generations!$A$3:$A$113,MAX(1915,MIN(2025,E472))),SUMIFS(Donnees_generations!$AF$3:$AF$113,Donnees_generations!$A$3:$A$113,MAX(1915,MIN(2025,E472))),SUMIFS(Donnees_generations!$AG$3:$AG$113,Donnees_generations!$A$3:$A$113,MAX(1915,MIN(2025,E472))),SUMIFS(Donnees_generations!$AH$3:$AH$113,Donnees_generations!$A$3:$A$113,MAX(1915,MIN(2025,E472))),SUMIFS(Donnees_generations!$AI$3:$AI$113,Donnees_generations!$A$3:$A$113,MAX(1915,MIN(2025,E472))),SUMIFS(Donnees_generations!$AJ$3:$AJ$113,Donnees_generations!$A$3:$A$113,MAX(1915,MIN(2025,E472)))))/2</f>
        <v/>
      </c>
      <c r="AJ472" s="8">
        <f>MAX(0,AH472+(AI472-AH472)*(K472-AG472)/2)</f>
        <v/>
      </c>
      <c r="AK472" s="8">
        <f>K472+AJ472</f>
        <v/>
      </c>
      <c r="AL472" s="14">
        <f>AE472*AJ472</f>
        <v/>
      </c>
      <c r="AM472" s="17">
        <f>V472/AL472</f>
        <v/>
      </c>
      <c r="AN472" s="17">
        <f>Z472/AL472</f>
        <v/>
      </c>
      <c r="AO472" s="33">
        <f>IF(V472+Z472=0,0,Z472/(V472+Z472))</f>
        <v/>
      </c>
      <c r="AP472" s="14">
        <f>AL472/V472*100</f>
        <v/>
      </c>
      <c r="AQ472" s="8">
        <f>P472/AL472*1000</f>
        <v/>
      </c>
      <c r="AR472" s="77">
        <f>MAX(N472,M472-1)</f>
        <v/>
      </c>
      <c r="AS472" s="14">
        <f>SUMIFS(Donnees_regimes!$R$3:$R$1118,Donnees_regimes!$A$3:$A$1118,C472,Donnees_regimes!$B$3:$B$1118,"&gt;="&amp;G472,Donnees_regimes!$B$3:$B$1118,"&lt;="&amp;N472)*L472/ROUNDUP(L472,0)*SUMIFS(Donnees_annuelles!$AG$3:$AG$188,Donnees_annuelles!$A$3:$A$188,AR472)*SUMIFS(Donnees_annuelles!$AA$3:$AA$188,Donnees_annuelles!$A$3:$A$188,AR472)</f>
        <v/>
      </c>
      <c r="AT472" s="36">
        <f>AS472/V472</f>
        <v/>
      </c>
      <c r="AU472" s="14">
        <f>AL472</f>
        <v/>
      </c>
      <c r="AV472" s="39">
        <f>AS472-AL472</f>
        <v/>
      </c>
      <c r="AW472" s="9">
        <f>AS472/AL472-1</f>
        <v/>
      </c>
      <c r="AX472" s="14">
        <f>AS472/AJ472/12</f>
        <v/>
      </c>
      <c r="AY472" s="14">
        <f>AF472</f>
        <v/>
      </c>
      <c r="AZ472" s="39">
        <f>AX472-AF472</f>
        <v/>
      </c>
      <c r="BA472" s="14">
        <f>SUMIFS(Donnees_regimes!$S$3:$S$1118,Donnees_regimes!$A$3:$A$1118,C472,Donnees_regimes!$B$3:$B$1118,"&gt;="&amp;G472,Donnees_regimes!$B$3:$B$1118,"&lt;="&amp;N472)*L472/ROUNDUP(L472,0)*SUMIFS(Donnees_annuelles!$AH$3:$AH$188,Donnees_annuelles!$A$3:$A$188,AR472)*SUMIFS(Donnees_annuelles!$AA$3:$AA$188,Donnees_annuelles!$A$3:$A$188,AR472)</f>
        <v/>
      </c>
      <c r="BB472" s="39">
        <f>BA472-AL472</f>
        <v/>
      </c>
      <c r="BC472" s="7">
        <f>IF(M472+AJ472&gt;2026,IF(G472&gt;2026,"entièrement projeté","en partie projeté"),"observé")</f>
        <v/>
      </c>
    </row>
    <row r="473">
      <c r="A473" s="7" t="inlineStr">
        <is>
          <t>Génération Z</t>
        </is>
      </c>
      <c r="B473" s="84" t="inlineStr">
        <is>
          <t>RATP</t>
        </is>
      </c>
      <c r="C473" s="7">
        <f>IF(G473&gt;=SUMIFS(Regimes!$C$5:$C$10,Regimes!$A$5:$A$10,B473),"Privé",B473)</f>
        <v/>
      </c>
      <c r="D473" s="7">
        <f>INDEX(Regimes!$D$5:$D$10,MATCH(C473,Regimes!$A$5:$A$10,0))</f>
        <v/>
      </c>
      <c r="E473" s="88" t="n">
        <v>2006</v>
      </c>
      <c r="F473" s="8">
        <f>Donnees_generations!C94</f>
        <v/>
      </c>
      <c r="G473" s="77">
        <f>Donnees_generations!D94</f>
        <v/>
      </c>
      <c r="H473" s="8">
        <f>SUMIFS(Donnees_generations!$S$3:$S$113,Donnees_generations!$A$3:$A$113,MAX(1915,MIN(2025,E473)))</f>
        <v/>
      </c>
      <c r="I473" s="8">
        <f>SUMIFS(Donnees_generations!$T$3:$T$113,Donnees_generations!$A$3:$A$113,MAX(1915,MIN(2025,E473)))</f>
        <v/>
      </c>
      <c r="J473" s="8">
        <f>IF(G473&gt;=2000,MAX(I473,Parametres!$B$3),I473)</f>
        <v/>
      </c>
      <c r="K473" s="8">
        <f>IF(C473="Privé",J473,SUMIFS(Regles_regimes!$J$3:$J$2000,Regles_regimes!$A$3:$A$2000,C473,Regles_regimes!$B$3:$B$2000,D473,Regles_regimes!$C$3:$C$2000,MAX(1915,MIN(2025,E473))))</f>
        <v/>
      </c>
      <c r="L473" s="8">
        <f>IF(C473="Privé",H473,(K473-F473)*H473/(J473-F473))</f>
        <v/>
      </c>
      <c r="M473" s="77">
        <f>INT(E473+K473)</f>
        <v/>
      </c>
      <c r="N473" s="77">
        <f>G473+ROUNDUP(L473,0)-1</f>
        <v/>
      </c>
      <c r="O473" s="89">
        <f>SUMIFS(Regles_regimes!$K$3:$K$2000,Regles_regimes!$A$3:$A$2000,C473,Regles_regimes!$B$3:$B$2000,D473,Regles_regimes!$C$3:$C$2000,MAX(1915,MIN(2025,E473)))</f>
        <v/>
      </c>
      <c r="P473" s="13">
        <f>SUMIFS(Donnees_annuelles!$W$3:$W$188,Donnees_annuelles!$A$3:$A$188,"&gt;="&amp;G473,Donnees_annuelles!$A$3:$A$188,"&lt;="&amp;N473)*L473/ROUNDUP(L473,0)*O473</f>
        <v/>
      </c>
      <c r="Q473" s="13">
        <f>SUMIFS(Donnees_annuelles!$V$3:$V$188,Donnees_annuelles!$A$3:$A$188,"&gt;="&amp;G473,Donnees_annuelles!$A$3:$A$188,"&lt;="&amp;N473)*L473/ROUNDUP(L473,0)</f>
        <v/>
      </c>
      <c r="R473" s="13">
        <f>P473/L473</f>
        <v/>
      </c>
      <c r="S473" s="14">
        <f>SUMIFS(Donnees_annuelles!$D$3:$D$188,Donnees_annuelles!$A$3:$A$188,"&gt;="&amp;G473,Donnees_annuelles!$A$3:$A$188,"&lt;="&amp;N473)*L473/ROUNDUP(L473,0)</f>
        <v/>
      </c>
      <c r="T473" s="14">
        <f>SUMIFS(Donnees_regimes!$N$3:$N$1118,Donnees_regimes!$A$3:$A$1118,C473,Donnees_regimes!$B$3:$B$1118,"&gt;="&amp;G473,Donnees_regimes!$B$3:$B$1118,"&lt;="&amp;N473)*L473/ROUNDUP(L473,0)</f>
        <v/>
      </c>
      <c r="U473" s="14">
        <f>SUMIFS(Donnees_regimes!$O$3:$O$1118,Donnees_regimes!$A$3:$A$1118,C473,Donnees_regimes!$B$3:$B$1118,"&gt;="&amp;G473,Donnees_regimes!$B$3:$B$1118,"&lt;="&amp;N473)*L473/ROUNDUP(L473,0)</f>
        <v/>
      </c>
      <c r="V473" s="14">
        <f>T473+U473</f>
        <v/>
      </c>
      <c r="W473" s="33">
        <f>V473/S473</f>
        <v/>
      </c>
      <c r="X473" s="14">
        <f>S473+U473</f>
        <v/>
      </c>
      <c r="Y473" s="17">
        <f>V473/P473</f>
        <v/>
      </c>
      <c r="Z473" s="14">
        <f>SUMIFS(Donnees_regimes!$Q$3:$Q$1118,Donnees_regimes!$A$3:$A$1118,C473,Donnees_regimes!$B$3:$B$1118,"&gt;="&amp;G473,Donnees_regimes!$B$3:$B$1118,"&lt;="&amp;N473)*L473/ROUNDUP(L473,0)</f>
        <v/>
      </c>
      <c r="AA473" s="77">
        <f>SUMIFS(Regles_regimes!$F$3:$F$2000,Regles_regimes!$A$3:$A$2000,C473,Regles_regimes!$B$3:$B$2000,D473,Regles_regimes!$C$3:$C$2000,MAX(1915,MIN(2025,E473)))</f>
        <v/>
      </c>
      <c r="AB473" s="77">
        <f>IF(AND(SUMIFS(Regles_regimes!$L$3:$L$2000,Regles_regimes!$A$3:$A$2000,C473,Regles_regimes!$B$3:$B$2000,D473,Regles_regimes!$C$3:$C$2000,MAX(1915,MIN(2025,E473)))=1,G473&lt;2009,C473&lt;&gt;"Privé"),MIN(20,L473*4/5),0)</f>
        <v/>
      </c>
      <c r="AC473" s="89">
        <f>SUMIFS(Donnees_regimes!$M$3:$M$1118,Donnees_regimes!$A$3:$A$1118,C473,Donnees_regimes!$B$3:$B$1118,M473)</f>
        <v/>
      </c>
      <c r="AD473" s="14">
        <f>SUMIFS(Donnees_annuelles!$Y$3:$Y$188,Donnees_annuelles!$A$3:$A$188,M473)*SUMIFS(Donnees_generations!$I$3:$I$113,Donnees_generations!$A$3:$A$113,MAX(1915,MIN(2025,E473)))/H473</f>
        <v/>
      </c>
      <c r="AE473" s="14">
        <f>IF(C473="Privé",SUMIFS(Donnees_annuelles!$Y$3:$Y$188,Donnees_annuelles!$A$3:$A$188,M473)*MIN(L473,SUMIFS(Donnees_generations!$I$3:$I$113,Donnees_generations!$A$3:$A$113,MAX(1915,MIN(2025,E473))))/L473,AD473*AC473*MIN(IF(AB473&gt;0,0.8/0.75,1),(L473*4+AB473)/AA473))</f>
        <v/>
      </c>
      <c r="AF473" s="14">
        <f>AE473/12</f>
        <v/>
      </c>
      <c r="AG473" s="77">
        <f>MIN(68,MAX(56,2*INT(K473/2)))</f>
        <v/>
      </c>
      <c r="AH473" s="75">
        <f>(CHOOSE((AG473-56)/2+1,SUMIFS(Donnees_generations!$U$3:$U$113,Donnees_generations!$A$3:$A$113,MAX(1915,MIN(2025,E473))),SUMIFS(Donnees_generations!$V$3:$V$113,Donnees_generations!$A$3:$A$113,MAX(1915,MIN(2025,E473))),SUMIFS(Donnees_generations!$W$3:$W$113,Donnees_generations!$A$3:$A$113,MAX(1915,MIN(2025,E473))),SUMIFS(Donnees_generations!$X$3:$X$113,Donnees_generations!$A$3:$A$113,MAX(1915,MIN(2025,E473))),SUMIFS(Donnees_generations!$Y$3:$Y$113,Donnees_generations!$A$3:$A$113,MAX(1915,MIN(2025,E473))),SUMIFS(Donnees_generations!$Z$3:$Z$113,Donnees_generations!$A$3:$A$113,MAX(1915,MIN(2025,E473))),SUMIFS(Donnees_generations!$AA$3:$AA$113,Donnees_generations!$A$3:$A$113,MAX(1915,MIN(2025,E473))),SUMIFS(Donnees_generations!$AB$3:$AB$113,Donnees_generations!$A$3:$A$113,MAX(1915,MIN(2025,E473))))+CHOOSE((AG473-56)/2+1,SUMIFS(Donnees_generations!$AC$3:$AC$113,Donnees_generations!$A$3:$A$113,MAX(1915,MIN(2025,E473))),SUMIFS(Donnees_generations!$AD$3:$AD$113,Donnees_generations!$A$3:$A$113,MAX(1915,MIN(2025,E473))),SUMIFS(Donnees_generations!$AE$3:$AE$113,Donnees_generations!$A$3:$A$113,MAX(1915,MIN(2025,E473))),SUMIFS(Donnees_generations!$AF$3:$AF$113,Donnees_generations!$A$3:$A$113,MAX(1915,MIN(2025,E473))),SUMIFS(Donnees_generations!$AG$3:$AG$113,Donnees_generations!$A$3:$A$113,MAX(1915,MIN(2025,E473))),SUMIFS(Donnees_generations!$AH$3:$AH$113,Donnees_generations!$A$3:$A$113,MAX(1915,MIN(2025,E473))),SUMIFS(Donnees_generations!$AI$3:$AI$113,Donnees_generations!$A$3:$A$113,MAX(1915,MIN(2025,E473))),SUMIFS(Donnees_generations!$AJ$3:$AJ$113,Donnees_generations!$A$3:$A$113,MAX(1915,MIN(2025,E473)))))/2</f>
        <v/>
      </c>
      <c r="AI473" s="75">
        <f>(CHOOSE(((AG473+2)-56)/2+1,SUMIFS(Donnees_generations!$U$3:$U$113,Donnees_generations!$A$3:$A$113,MAX(1915,MIN(2025,E473))),SUMIFS(Donnees_generations!$V$3:$V$113,Donnees_generations!$A$3:$A$113,MAX(1915,MIN(2025,E473))),SUMIFS(Donnees_generations!$W$3:$W$113,Donnees_generations!$A$3:$A$113,MAX(1915,MIN(2025,E473))),SUMIFS(Donnees_generations!$X$3:$X$113,Donnees_generations!$A$3:$A$113,MAX(1915,MIN(2025,E473))),SUMIFS(Donnees_generations!$Y$3:$Y$113,Donnees_generations!$A$3:$A$113,MAX(1915,MIN(2025,E473))),SUMIFS(Donnees_generations!$Z$3:$Z$113,Donnees_generations!$A$3:$A$113,MAX(1915,MIN(2025,E473))),SUMIFS(Donnees_generations!$AA$3:$AA$113,Donnees_generations!$A$3:$A$113,MAX(1915,MIN(2025,E473))),SUMIFS(Donnees_generations!$AB$3:$AB$113,Donnees_generations!$A$3:$A$113,MAX(1915,MIN(2025,E473))))+CHOOSE(((AG473+2)-56)/2+1,SUMIFS(Donnees_generations!$AC$3:$AC$113,Donnees_generations!$A$3:$A$113,MAX(1915,MIN(2025,E473))),SUMIFS(Donnees_generations!$AD$3:$AD$113,Donnees_generations!$A$3:$A$113,MAX(1915,MIN(2025,E473))),SUMIFS(Donnees_generations!$AE$3:$AE$113,Donnees_generations!$A$3:$A$113,MAX(1915,MIN(2025,E473))),SUMIFS(Donnees_generations!$AF$3:$AF$113,Donnees_generations!$A$3:$A$113,MAX(1915,MIN(2025,E473))),SUMIFS(Donnees_generations!$AG$3:$AG$113,Donnees_generations!$A$3:$A$113,MAX(1915,MIN(2025,E473))),SUMIFS(Donnees_generations!$AH$3:$AH$113,Donnees_generations!$A$3:$A$113,MAX(1915,MIN(2025,E473))),SUMIFS(Donnees_generations!$AI$3:$AI$113,Donnees_generations!$A$3:$A$113,MAX(1915,MIN(2025,E473))),SUMIFS(Donnees_generations!$AJ$3:$AJ$113,Donnees_generations!$A$3:$A$113,MAX(1915,MIN(2025,E473)))))/2</f>
        <v/>
      </c>
      <c r="AJ473" s="8">
        <f>MAX(0,AH473+(AI473-AH473)*(K473-AG473)/2)</f>
        <v/>
      </c>
      <c r="AK473" s="8">
        <f>K473+AJ473</f>
        <v/>
      </c>
      <c r="AL473" s="14">
        <f>AE473*AJ473</f>
        <v/>
      </c>
      <c r="AM473" s="17">
        <f>V473/AL473</f>
        <v/>
      </c>
      <c r="AN473" s="17">
        <f>Z473/AL473</f>
        <v/>
      </c>
      <c r="AO473" s="33">
        <f>IF(V473+Z473=0,0,Z473/(V473+Z473))</f>
        <v/>
      </c>
      <c r="AP473" s="14">
        <f>AL473/V473*100</f>
        <v/>
      </c>
      <c r="AQ473" s="8">
        <f>P473/AL473*1000</f>
        <v/>
      </c>
      <c r="AR473" s="77">
        <f>MAX(N473,M473-1)</f>
        <v/>
      </c>
      <c r="AS473" s="14">
        <f>SUMIFS(Donnees_regimes!$R$3:$R$1118,Donnees_regimes!$A$3:$A$1118,C473,Donnees_regimes!$B$3:$B$1118,"&gt;="&amp;G473,Donnees_regimes!$B$3:$B$1118,"&lt;="&amp;N473)*L473/ROUNDUP(L473,0)*SUMIFS(Donnees_annuelles!$AG$3:$AG$188,Donnees_annuelles!$A$3:$A$188,AR473)*SUMIFS(Donnees_annuelles!$AA$3:$AA$188,Donnees_annuelles!$A$3:$A$188,AR473)</f>
        <v/>
      </c>
      <c r="AT473" s="36">
        <f>AS473/V473</f>
        <v/>
      </c>
      <c r="AU473" s="14">
        <f>AL473</f>
        <v/>
      </c>
      <c r="AV473" s="39">
        <f>AS473-AL473</f>
        <v/>
      </c>
      <c r="AW473" s="9">
        <f>AS473/AL473-1</f>
        <v/>
      </c>
      <c r="AX473" s="14">
        <f>AS473/AJ473/12</f>
        <v/>
      </c>
      <c r="AY473" s="14">
        <f>AF473</f>
        <v/>
      </c>
      <c r="AZ473" s="39">
        <f>AX473-AF473</f>
        <v/>
      </c>
      <c r="BA473" s="14">
        <f>SUMIFS(Donnees_regimes!$S$3:$S$1118,Donnees_regimes!$A$3:$A$1118,C473,Donnees_regimes!$B$3:$B$1118,"&gt;="&amp;G473,Donnees_regimes!$B$3:$B$1118,"&lt;="&amp;N473)*L473/ROUNDUP(L473,0)*SUMIFS(Donnees_annuelles!$AH$3:$AH$188,Donnees_annuelles!$A$3:$A$188,AR473)*SUMIFS(Donnees_annuelles!$AA$3:$AA$188,Donnees_annuelles!$A$3:$A$188,AR473)</f>
        <v/>
      </c>
      <c r="BB473" s="39">
        <f>BA473-AL473</f>
        <v/>
      </c>
      <c r="BC473" s="7">
        <f>IF(M473+AJ473&gt;2026,IF(G473&gt;2026,"entièrement projeté","en partie projeté"),"observé")</f>
        <v/>
      </c>
    </row>
    <row r="474">
      <c r="A474" s="7" t="inlineStr">
        <is>
          <t>Génération Z</t>
        </is>
      </c>
      <c r="B474" s="84" t="inlineStr">
        <is>
          <t>RATP</t>
        </is>
      </c>
      <c r="C474" s="7">
        <f>IF(G474&gt;=SUMIFS(Regimes!$C$5:$C$10,Regimes!$A$5:$A$10,B474),"Privé",B474)</f>
        <v/>
      </c>
      <c r="D474" s="7">
        <f>INDEX(Regimes!$D$5:$D$10,MATCH(C474,Regimes!$A$5:$A$10,0))</f>
        <v/>
      </c>
      <c r="E474" s="88" t="n">
        <v>2007</v>
      </c>
      <c r="F474" s="8">
        <f>Donnees_generations!C95</f>
        <v/>
      </c>
      <c r="G474" s="77">
        <f>Donnees_generations!D95</f>
        <v/>
      </c>
      <c r="H474" s="8">
        <f>SUMIFS(Donnees_generations!$S$3:$S$113,Donnees_generations!$A$3:$A$113,MAX(1915,MIN(2025,E474)))</f>
        <v/>
      </c>
      <c r="I474" s="8">
        <f>SUMIFS(Donnees_generations!$T$3:$T$113,Donnees_generations!$A$3:$A$113,MAX(1915,MIN(2025,E474)))</f>
        <v/>
      </c>
      <c r="J474" s="8">
        <f>IF(G474&gt;=2000,MAX(I474,Parametres!$B$3),I474)</f>
        <v/>
      </c>
      <c r="K474" s="8">
        <f>IF(C474="Privé",J474,SUMIFS(Regles_regimes!$J$3:$J$2000,Regles_regimes!$A$3:$A$2000,C474,Regles_regimes!$B$3:$B$2000,D474,Regles_regimes!$C$3:$C$2000,MAX(1915,MIN(2025,E474))))</f>
        <v/>
      </c>
      <c r="L474" s="8">
        <f>IF(C474="Privé",H474,(K474-F474)*H474/(J474-F474))</f>
        <v/>
      </c>
      <c r="M474" s="77">
        <f>INT(E474+K474)</f>
        <v/>
      </c>
      <c r="N474" s="77">
        <f>G474+ROUNDUP(L474,0)-1</f>
        <v/>
      </c>
      <c r="O474" s="89">
        <f>SUMIFS(Regles_regimes!$K$3:$K$2000,Regles_regimes!$A$3:$A$2000,C474,Regles_regimes!$B$3:$B$2000,D474,Regles_regimes!$C$3:$C$2000,MAX(1915,MIN(2025,E474)))</f>
        <v/>
      </c>
      <c r="P474" s="13">
        <f>SUMIFS(Donnees_annuelles!$W$3:$W$188,Donnees_annuelles!$A$3:$A$188,"&gt;="&amp;G474,Donnees_annuelles!$A$3:$A$188,"&lt;="&amp;N474)*L474/ROUNDUP(L474,0)*O474</f>
        <v/>
      </c>
      <c r="Q474" s="13">
        <f>SUMIFS(Donnees_annuelles!$V$3:$V$188,Donnees_annuelles!$A$3:$A$188,"&gt;="&amp;G474,Donnees_annuelles!$A$3:$A$188,"&lt;="&amp;N474)*L474/ROUNDUP(L474,0)</f>
        <v/>
      </c>
      <c r="R474" s="13">
        <f>P474/L474</f>
        <v/>
      </c>
      <c r="S474" s="14">
        <f>SUMIFS(Donnees_annuelles!$D$3:$D$188,Donnees_annuelles!$A$3:$A$188,"&gt;="&amp;G474,Donnees_annuelles!$A$3:$A$188,"&lt;="&amp;N474)*L474/ROUNDUP(L474,0)</f>
        <v/>
      </c>
      <c r="T474" s="14">
        <f>SUMIFS(Donnees_regimes!$N$3:$N$1118,Donnees_regimes!$A$3:$A$1118,C474,Donnees_regimes!$B$3:$B$1118,"&gt;="&amp;G474,Donnees_regimes!$B$3:$B$1118,"&lt;="&amp;N474)*L474/ROUNDUP(L474,0)</f>
        <v/>
      </c>
      <c r="U474" s="14">
        <f>SUMIFS(Donnees_regimes!$O$3:$O$1118,Donnees_regimes!$A$3:$A$1118,C474,Donnees_regimes!$B$3:$B$1118,"&gt;="&amp;G474,Donnees_regimes!$B$3:$B$1118,"&lt;="&amp;N474)*L474/ROUNDUP(L474,0)</f>
        <v/>
      </c>
      <c r="V474" s="14">
        <f>T474+U474</f>
        <v/>
      </c>
      <c r="W474" s="33">
        <f>V474/S474</f>
        <v/>
      </c>
      <c r="X474" s="14">
        <f>S474+U474</f>
        <v/>
      </c>
      <c r="Y474" s="17">
        <f>V474/P474</f>
        <v/>
      </c>
      <c r="Z474" s="14">
        <f>SUMIFS(Donnees_regimes!$Q$3:$Q$1118,Donnees_regimes!$A$3:$A$1118,C474,Donnees_regimes!$B$3:$B$1118,"&gt;="&amp;G474,Donnees_regimes!$B$3:$B$1118,"&lt;="&amp;N474)*L474/ROUNDUP(L474,0)</f>
        <v/>
      </c>
      <c r="AA474" s="77">
        <f>SUMIFS(Regles_regimes!$F$3:$F$2000,Regles_regimes!$A$3:$A$2000,C474,Regles_regimes!$B$3:$B$2000,D474,Regles_regimes!$C$3:$C$2000,MAX(1915,MIN(2025,E474)))</f>
        <v/>
      </c>
      <c r="AB474" s="77">
        <f>IF(AND(SUMIFS(Regles_regimes!$L$3:$L$2000,Regles_regimes!$A$3:$A$2000,C474,Regles_regimes!$B$3:$B$2000,D474,Regles_regimes!$C$3:$C$2000,MAX(1915,MIN(2025,E474)))=1,G474&lt;2009,C474&lt;&gt;"Privé"),MIN(20,L474*4/5),0)</f>
        <v/>
      </c>
      <c r="AC474" s="89">
        <f>SUMIFS(Donnees_regimes!$M$3:$M$1118,Donnees_regimes!$A$3:$A$1118,C474,Donnees_regimes!$B$3:$B$1118,M474)</f>
        <v/>
      </c>
      <c r="AD474" s="14">
        <f>SUMIFS(Donnees_annuelles!$Y$3:$Y$188,Donnees_annuelles!$A$3:$A$188,M474)*SUMIFS(Donnees_generations!$I$3:$I$113,Donnees_generations!$A$3:$A$113,MAX(1915,MIN(2025,E474)))/H474</f>
        <v/>
      </c>
      <c r="AE474" s="14">
        <f>IF(C474="Privé",SUMIFS(Donnees_annuelles!$Y$3:$Y$188,Donnees_annuelles!$A$3:$A$188,M474)*MIN(L474,SUMIFS(Donnees_generations!$I$3:$I$113,Donnees_generations!$A$3:$A$113,MAX(1915,MIN(2025,E474))))/L474,AD474*AC474*MIN(IF(AB474&gt;0,0.8/0.75,1),(L474*4+AB474)/AA474))</f>
        <v/>
      </c>
      <c r="AF474" s="14">
        <f>AE474/12</f>
        <v/>
      </c>
      <c r="AG474" s="77">
        <f>MIN(68,MAX(56,2*INT(K474/2)))</f>
        <v/>
      </c>
      <c r="AH474" s="75">
        <f>(CHOOSE((AG474-56)/2+1,SUMIFS(Donnees_generations!$U$3:$U$113,Donnees_generations!$A$3:$A$113,MAX(1915,MIN(2025,E474))),SUMIFS(Donnees_generations!$V$3:$V$113,Donnees_generations!$A$3:$A$113,MAX(1915,MIN(2025,E474))),SUMIFS(Donnees_generations!$W$3:$W$113,Donnees_generations!$A$3:$A$113,MAX(1915,MIN(2025,E474))),SUMIFS(Donnees_generations!$X$3:$X$113,Donnees_generations!$A$3:$A$113,MAX(1915,MIN(2025,E474))),SUMIFS(Donnees_generations!$Y$3:$Y$113,Donnees_generations!$A$3:$A$113,MAX(1915,MIN(2025,E474))),SUMIFS(Donnees_generations!$Z$3:$Z$113,Donnees_generations!$A$3:$A$113,MAX(1915,MIN(2025,E474))),SUMIFS(Donnees_generations!$AA$3:$AA$113,Donnees_generations!$A$3:$A$113,MAX(1915,MIN(2025,E474))),SUMIFS(Donnees_generations!$AB$3:$AB$113,Donnees_generations!$A$3:$A$113,MAX(1915,MIN(2025,E474))))+CHOOSE((AG474-56)/2+1,SUMIFS(Donnees_generations!$AC$3:$AC$113,Donnees_generations!$A$3:$A$113,MAX(1915,MIN(2025,E474))),SUMIFS(Donnees_generations!$AD$3:$AD$113,Donnees_generations!$A$3:$A$113,MAX(1915,MIN(2025,E474))),SUMIFS(Donnees_generations!$AE$3:$AE$113,Donnees_generations!$A$3:$A$113,MAX(1915,MIN(2025,E474))),SUMIFS(Donnees_generations!$AF$3:$AF$113,Donnees_generations!$A$3:$A$113,MAX(1915,MIN(2025,E474))),SUMIFS(Donnees_generations!$AG$3:$AG$113,Donnees_generations!$A$3:$A$113,MAX(1915,MIN(2025,E474))),SUMIFS(Donnees_generations!$AH$3:$AH$113,Donnees_generations!$A$3:$A$113,MAX(1915,MIN(2025,E474))),SUMIFS(Donnees_generations!$AI$3:$AI$113,Donnees_generations!$A$3:$A$113,MAX(1915,MIN(2025,E474))),SUMIFS(Donnees_generations!$AJ$3:$AJ$113,Donnees_generations!$A$3:$A$113,MAX(1915,MIN(2025,E474)))))/2</f>
        <v/>
      </c>
      <c r="AI474" s="75">
        <f>(CHOOSE(((AG474+2)-56)/2+1,SUMIFS(Donnees_generations!$U$3:$U$113,Donnees_generations!$A$3:$A$113,MAX(1915,MIN(2025,E474))),SUMIFS(Donnees_generations!$V$3:$V$113,Donnees_generations!$A$3:$A$113,MAX(1915,MIN(2025,E474))),SUMIFS(Donnees_generations!$W$3:$W$113,Donnees_generations!$A$3:$A$113,MAX(1915,MIN(2025,E474))),SUMIFS(Donnees_generations!$X$3:$X$113,Donnees_generations!$A$3:$A$113,MAX(1915,MIN(2025,E474))),SUMIFS(Donnees_generations!$Y$3:$Y$113,Donnees_generations!$A$3:$A$113,MAX(1915,MIN(2025,E474))),SUMIFS(Donnees_generations!$Z$3:$Z$113,Donnees_generations!$A$3:$A$113,MAX(1915,MIN(2025,E474))),SUMIFS(Donnees_generations!$AA$3:$AA$113,Donnees_generations!$A$3:$A$113,MAX(1915,MIN(2025,E474))),SUMIFS(Donnees_generations!$AB$3:$AB$113,Donnees_generations!$A$3:$A$113,MAX(1915,MIN(2025,E474))))+CHOOSE(((AG474+2)-56)/2+1,SUMIFS(Donnees_generations!$AC$3:$AC$113,Donnees_generations!$A$3:$A$113,MAX(1915,MIN(2025,E474))),SUMIFS(Donnees_generations!$AD$3:$AD$113,Donnees_generations!$A$3:$A$113,MAX(1915,MIN(2025,E474))),SUMIFS(Donnees_generations!$AE$3:$AE$113,Donnees_generations!$A$3:$A$113,MAX(1915,MIN(2025,E474))),SUMIFS(Donnees_generations!$AF$3:$AF$113,Donnees_generations!$A$3:$A$113,MAX(1915,MIN(2025,E474))),SUMIFS(Donnees_generations!$AG$3:$AG$113,Donnees_generations!$A$3:$A$113,MAX(1915,MIN(2025,E474))),SUMIFS(Donnees_generations!$AH$3:$AH$113,Donnees_generations!$A$3:$A$113,MAX(1915,MIN(2025,E474))),SUMIFS(Donnees_generations!$AI$3:$AI$113,Donnees_generations!$A$3:$A$113,MAX(1915,MIN(2025,E474))),SUMIFS(Donnees_generations!$AJ$3:$AJ$113,Donnees_generations!$A$3:$A$113,MAX(1915,MIN(2025,E474)))))/2</f>
        <v/>
      </c>
      <c r="AJ474" s="8">
        <f>MAX(0,AH474+(AI474-AH474)*(K474-AG474)/2)</f>
        <v/>
      </c>
      <c r="AK474" s="8">
        <f>K474+AJ474</f>
        <v/>
      </c>
      <c r="AL474" s="14">
        <f>AE474*AJ474</f>
        <v/>
      </c>
      <c r="AM474" s="17">
        <f>V474/AL474</f>
        <v/>
      </c>
      <c r="AN474" s="17">
        <f>Z474/AL474</f>
        <v/>
      </c>
      <c r="AO474" s="33">
        <f>IF(V474+Z474=0,0,Z474/(V474+Z474))</f>
        <v/>
      </c>
      <c r="AP474" s="14">
        <f>AL474/V474*100</f>
        <v/>
      </c>
      <c r="AQ474" s="8">
        <f>P474/AL474*1000</f>
        <v/>
      </c>
      <c r="AR474" s="77">
        <f>MAX(N474,M474-1)</f>
        <v/>
      </c>
      <c r="AS474" s="14">
        <f>SUMIFS(Donnees_regimes!$R$3:$R$1118,Donnees_regimes!$A$3:$A$1118,C474,Donnees_regimes!$B$3:$B$1118,"&gt;="&amp;G474,Donnees_regimes!$B$3:$B$1118,"&lt;="&amp;N474)*L474/ROUNDUP(L474,0)*SUMIFS(Donnees_annuelles!$AG$3:$AG$188,Donnees_annuelles!$A$3:$A$188,AR474)*SUMIFS(Donnees_annuelles!$AA$3:$AA$188,Donnees_annuelles!$A$3:$A$188,AR474)</f>
        <v/>
      </c>
      <c r="AT474" s="36">
        <f>AS474/V474</f>
        <v/>
      </c>
      <c r="AU474" s="14">
        <f>AL474</f>
        <v/>
      </c>
      <c r="AV474" s="39">
        <f>AS474-AL474</f>
        <v/>
      </c>
      <c r="AW474" s="9">
        <f>AS474/AL474-1</f>
        <v/>
      </c>
      <c r="AX474" s="14">
        <f>AS474/AJ474/12</f>
        <v/>
      </c>
      <c r="AY474" s="14">
        <f>AF474</f>
        <v/>
      </c>
      <c r="AZ474" s="39">
        <f>AX474-AF474</f>
        <v/>
      </c>
      <c r="BA474" s="14">
        <f>SUMIFS(Donnees_regimes!$S$3:$S$1118,Donnees_regimes!$A$3:$A$1118,C474,Donnees_regimes!$B$3:$B$1118,"&gt;="&amp;G474,Donnees_regimes!$B$3:$B$1118,"&lt;="&amp;N474)*L474/ROUNDUP(L474,0)*SUMIFS(Donnees_annuelles!$AH$3:$AH$188,Donnees_annuelles!$A$3:$A$188,AR474)*SUMIFS(Donnees_annuelles!$AA$3:$AA$188,Donnees_annuelles!$A$3:$A$188,AR474)</f>
        <v/>
      </c>
      <c r="BB474" s="39">
        <f>BA474-AL474</f>
        <v/>
      </c>
      <c r="BC474" s="7">
        <f>IF(M474+AJ474&gt;2026,IF(G474&gt;2026,"entièrement projeté","en partie projeté"),"observé")</f>
        <v/>
      </c>
    </row>
    <row r="475">
      <c r="A475" s="7" t="inlineStr">
        <is>
          <t>Génération Z</t>
        </is>
      </c>
      <c r="B475" s="84" t="inlineStr">
        <is>
          <t>RATP</t>
        </is>
      </c>
      <c r="C475" s="7">
        <f>IF(G475&gt;=SUMIFS(Regimes!$C$5:$C$10,Regimes!$A$5:$A$10,B475),"Privé",B475)</f>
        <v/>
      </c>
      <c r="D475" s="7">
        <f>INDEX(Regimes!$D$5:$D$10,MATCH(C475,Regimes!$A$5:$A$10,0))</f>
        <v/>
      </c>
      <c r="E475" s="88" t="n">
        <v>2008</v>
      </c>
      <c r="F475" s="8">
        <f>Donnees_generations!C96</f>
        <v/>
      </c>
      <c r="G475" s="77">
        <f>Donnees_generations!D96</f>
        <v/>
      </c>
      <c r="H475" s="8">
        <f>SUMIFS(Donnees_generations!$S$3:$S$113,Donnees_generations!$A$3:$A$113,MAX(1915,MIN(2025,E475)))</f>
        <v/>
      </c>
      <c r="I475" s="8">
        <f>SUMIFS(Donnees_generations!$T$3:$T$113,Donnees_generations!$A$3:$A$113,MAX(1915,MIN(2025,E475)))</f>
        <v/>
      </c>
      <c r="J475" s="8">
        <f>IF(G475&gt;=2000,MAX(I475,Parametres!$B$3),I475)</f>
        <v/>
      </c>
      <c r="K475" s="8">
        <f>IF(C475="Privé",J475,SUMIFS(Regles_regimes!$J$3:$J$2000,Regles_regimes!$A$3:$A$2000,C475,Regles_regimes!$B$3:$B$2000,D475,Regles_regimes!$C$3:$C$2000,MAX(1915,MIN(2025,E475))))</f>
        <v/>
      </c>
      <c r="L475" s="8">
        <f>IF(C475="Privé",H475,(K475-F475)*H475/(J475-F475))</f>
        <v/>
      </c>
      <c r="M475" s="77">
        <f>INT(E475+K475)</f>
        <v/>
      </c>
      <c r="N475" s="77">
        <f>G475+ROUNDUP(L475,0)-1</f>
        <v/>
      </c>
      <c r="O475" s="89">
        <f>SUMIFS(Regles_regimes!$K$3:$K$2000,Regles_regimes!$A$3:$A$2000,C475,Regles_regimes!$B$3:$B$2000,D475,Regles_regimes!$C$3:$C$2000,MAX(1915,MIN(2025,E475)))</f>
        <v/>
      </c>
      <c r="P475" s="13">
        <f>SUMIFS(Donnees_annuelles!$W$3:$W$188,Donnees_annuelles!$A$3:$A$188,"&gt;="&amp;G475,Donnees_annuelles!$A$3:$A$188,"&lt;="&amp;N475)*L475/ROUNDUP(L475,0)*O475</f>
        <v/>
      </c>
      <c r="Q475" s="13">
        <f>SUMIFS(Donnees_annuelles!$V$3:$V$188,Donnees_annuelles!$A$3:$A$188,"&gt;="&amp;G475,Donnees_annuelles!$A$3:$A$188,"&lt;="&amp;N475)*L475/ROUNDUP(L475,0)</f>
        <v/>
      </c>
      <c r="R475" s="13">
        <f>P475/L475</f>
        <v/>
      </c>
      <c r="S475" s="14">
        <f>SUMIFS(Donnees_annuelles!$D$3:$D$188,Donnees_annuelles!$A$3:$A$188,"&gt;="&amp;G475,Donnees_annuelles!$A$3:$A$188,"&lt;="&amp;N475)*L475/ROUNDUP(L475,0)</f>
        <v/>
      </c>
      <c r="T475" s="14">
        <f>SUMIFS(Donnees_regimes!$N$3:$N$1118,Donnees_regimes!$A$3:$A$1118,C475,Donnees_regimes!$B$3:$B$1118,"&gt;="&amp;G475,Donnees_regimes!$B$3:$B$1118,"&lt;="&amp;N475)*L475/ROUNDUP(L475,0)</f>
        <v/>
      </c>
      <c r="U475" s="14">
        <f>SUMIFS(Donnees_regimes!$O$3:$O$1118,Donnees_regimes!$A$3:$A$1118,C475,Donnees_regimes!$B$3:$B$1118,"&gt;="&amp;G475,Donnees_regimes!$B$3:$B$1118,"&lt;="&amp;N475)*L475/ROUNDUP(L475,0)</f>
        <v/>
      </c>
      <c r="V475" s="14">
        <f>T475+U475</f>
        <v/>
      </c>
      <c r="W475" s="33">
        <f>V475/S475</f>
        <v/>
      </c>
      <c r="X475" s="14">
        <f>S475+U475</f>
        <v/>
      </c>
      <c r="Y475" s="17">
        <f>V475/P475</f>
        <v/>
      </c>
      <c r="Z475" s="14">
        <f>SUMIFS(Donnees_regimes!$Q$3:$Q$1118,Donnees_regimes!$A$3:$A$1118,C475,Donnees_regimes!$B$3:$B$1118,"&gt;="&amp;G475,Donnees_regimes!$B$3:$B$1118,"&lt;="&amp;N475)*L475/ROUNDUP(L475,0)</f>
        <v/>
      </c>
      <c r="AA475" s="77">
        <f>SUMIFS(Regles_regimes!$F$3:$F$2000,Regles_regimes!$A$3:$A$2000,C475,Regles_regimes!$B$3:$B$2000,D475,Regles_regimes!$C$3:$C$2000,MAX(1915,MIN(2025,E475)))</f>
        <v/>
      </c>
      <c r="AB475" s="77">
        <f>IF(AND(SUMIFS(Regles_regimes!$L$3:$L$2000,Regles_regimes!$A$3:$A$2000,C475,Regles_regimes!$B$3:$B$2000,D475,Regles_regimes!$C$3:$C$2000,MAX(1915,MIN(2025,E475)))=1,G475&lt;2009,C475&lt;&gt;"Privé"),MIN(20,L475*4/5),0)</f>
        <v/>
      </c>
      <c r="AC475" s="89">
        <f>SUMIFS(Donnees_regimes!$M$3:$M$1118,Donnees_regimes!$A$3:$A$1118,C475,Donnees_regimes!$B$3:$B$1118,M475)</f>
        <v/>
      </c>
      <c r="AD475" s="14">
        <f>SUMIFS(Donnees_annuelles!$Y$3:$Y$188,Donnees_annuelles!$A$3:$A$188,M475)*SUMIFS(Donnees_generations!$I$3:$I$113,Donnees_generations!$A$3:$A$113,MAX(1915,MIN(2025,E475)))/H475</f>
        <v/>
      </c>
      <c r="AE475" s="14">
        <f>IF(C475="Privé",SUMIFS(Donnees_annuelles!$Y$3:$Y$188,Donnees_annuelles!$A$3:$A$188,M475)*MIN(L475,SUMIFS(Donnees_generations!$I$3:$I$113,Donnees_generations!$A$3:$A$113,MAX(1915,MIN(2025,E475))))/L475,AD475*AC475*MIN(IF(AB475&gt;0,0.8/0.75,1),(L475*4+AB475)/AA475))</f>
        <v/>
      </c>
      <c r="AF475" s="14">
        <f>AE475/12</f>
        <v/>
      </c>
      <c r="AG475" s="77">
        <f>MIN(68,MAX(56,2*INT(K475/2)))</f>
        <v/>
      </c>
      <c r="AH475" s="75">
        <f>(CHOOSE((AG475-56)/2+1,SUMIFS(Donnees_generations!$U$3:$U$113,Donnees_generations!$A$3:$A$113,MAX(1915,MIN(2025,E475))),SUMIFS(Donnees_generations!$V$3:$V$113,Donnees_generations!$A$3:$A$113,MAX(1915,MIN(2025,E475))),SUMIFS(Donnees_generations!$W$3:$W$113,Donnees_generations!$A$3:$A$113,MAX(1915,MIN(2025,E475))),SUMIFS(Donnees_generations!$X$3:$X$113,Donnees_generations!$A$3:$A$113,MAX(1915,MIN(2025,E475))),SUMIFS(Donnees_generations!$Y$3:$Y$113,Donnees_generations!$A$3:$A$113,MAX(1915,MIN(2025,E475))),SUMIFS(Donnees_generations!$Z$3:$Z$113,Donnees_generations!$A$3:$A$113,MAX(1915,MIN(2025,E475))),SUMIFS(Donnees_generations!$AA$3:$AA$113,Donnees_generations!$A$3:$A$113,MAX(1915,MIN(2025,E475))),SUMIFS(Donnees_generations!$AB$3:$AB$113,Donnees_generations!$A$3:$A$113,MAX(1915,MIN(2025,E475))))+CHOOSE((AG475-56)/2+1,SUMIFS(Donnees_generations!$AC$3:$AC$113,Donnees_generations!$A$3:$A$113,MAX(1915,MIN(2025,E475))),SUMIFS(Donnees_generations!$AD$3:$AD$113,Donnees_generations!$A$3:$A$113,MAX(1915,MIN(2025,E475))),SUMIFS(Donnees_generations!$AE$3:$AE$113,Donnees_generations!$A$3:$A$113,MAX(1915,MIN(2025,E475))),SUMIFS(Donnees_generations!$AF$3:$AF$113,Donnees_generations!$A$3:$A$113,MAX(1915,MIN(2025,E475))),SUMIFS(Donnees_generations!$AG$3:$AG$113,Donnees_generations!$A$3:$A$113,MAX(1915,MIN(2025,E475))),SUMIFS(Donnees_generations!$AH$3:$AH$113,Donnees_generations!$A$3:$A$113,MAX(1915,MIN(2025,E475))),SUMIFS(Donnees_generations!$AI$3:$AI$113,Donnees_generations!$A$3:$A$113,MAX(1915,MIN(2025,E475))),SUMIFS(Donnees_generations!$AJ$3:$AJ$113,Donnees_generations!$A$3:$A$113,MAX(1915,MIN(2025,E475)))))/2</f>
        <v/>
      </c>
      <c r="AI475" s="75">
        <f>(CHOOSE(((AG475+2)-56)/2+1,SUMIFS(Donnees_generations!$U$3:$U$113,Donnees_generations!$A$3:$A$113,MAX(1915,MIN(2025,E475))),SUMIFS(Donnees_generations!$V$3:$V$113,Donnees_generations!$A$3:$A$113,MAX(1915,MIN(2025,E475))),SUMIFS(Donnees_generations!$W$3:$W$113,Donnees_generations!$A$3:$A$113,MAX(1915,MIN(2025,E475))),SUMIFS(Donnees_generations!$X$3:$X$113,Donnees_generations!$A$3:$A$113,MAX(1915,MIN(2025,E475))),SUMIFS(Donnees_generations!$Y$3:$Y$113,Donnees_generations!$A$3:$A$113,MAX(1915,MIN(2025,E475))),SUMIFS(Donnees_generations!$Z$3:$Z$113,Donnees_generations!$A$3:$A$113,MAX(1915,MIN(2025,E475))),SUMIFS(Donnees_generations!$AA$3:$AA$113,Donnees_generations!$A$3:$A$113,MAX(1915,MIN(2025,E475))),SUMIFS(Donnees_generations!$AB$3:$AB$113,Donnees_generations!$A$3:$A$113,MAX(1915,MIN(2025,E475))))+CHOOSE(((AG475+2)-56)/2+1,SUMIFS(Donnees_generations!$AC$3:$AC$113,Donnees_generations!$A$3:$A$113,MAX(1915,MIN(2025,E475))),SUMIFS(Donnees_generations!$AD$3:$AD$113,Donnees_generations!$A$3:$A$113,MAX(1915,MIN(2025,E475))),SUMIFS(Donnees_generations!$AE$3:$AE$113,Donnees_generations!$A$3:$A$113,MAX(1915,MIN(2025,E475))),SUMIFS(Donnees_generations!$AF$3:$AF$113,Donnees_generations!$A$3:$A$113,MAX(1915,MIN(2025,E475))),SUMIFS(Donnees_generations!$AG$3:$AG$113,Donnees_generations!$A$3:$A$113,MAX(1915,MIN(2025,E475))),SUMIFS(Donnees_generations!$AH$3:$AH$113,Donnees_generations!$A$3:$A$113,MAX(1915,MIN(2025,E475))),SUMIFS(Donnees_generations!$AI$3:$AI$113,Donnees_generations!$A$3:$A$113,MAX(1915,MIN(2025,E475))),SUMIFS(Donnees_generations!$AJ$3:$AJ$113,Donnees_generations!$A$3:$A$113,MAX(1915,MIN(2025,E475)))))/2</f>
        <v/>
      </c>
      <c r="AJ475" s="8">
        <f>MAX(0,AH475+(AI475-AH475)*(K475-AG475)/2)</f>
        <v/>
      </c>
      <c r="AK475" s="8">
        <f>K475+AJ475</f>
        <v/>
      </c>
      <c r="AL475" s="14">
        <f>AE475*AJ475</f>
        <v/>
      </c>
      <c r="AM475" s="17">
        <f>V475/AL475</f>
        <v/>
      </c>
      <c r="AN475" s="17">
        <f>Z475/AL475</f>
        <v/>
      </c>
      <c r="AO475" s="33">
        <f>IF(V475+Z475=0,0,Z475/(V475+Z475))</f>
        <v/>
      </c>
      <c r="AP475" s="14">
        <f>AL475/V475*100</f>
        <v/>
      </c>
      <c r="AQ475" s="8">
        <f>P475/AL475*1000</f>
        <v/>
      </c>
      <c r="AR475" s="77">
        <f>MAX(N475,M475-1)</f>
        <v/>
      </c>
      <c r="AS475" s="14">
        <f>SUMIFS(Donnees_regimes!$R$3:$R$1118,Donnees_regimes!$A$3:$A$1118,C475,Donnees_regimes!$B$3:$B$1118,"&gt;="&amp;G475,Donnees_regimes!$B$3:$B$1118,"&lt;="&amp;N475)*L475/ROUNDUP(L475,0)*SUMIFS(Donnees_annuelles!$AG$3:$AG$188,Donnees_annuelles!$A$3:$A$188,AR475)*SUMIFS(Donnees_annuelles!$AA$3:$AA$188,Donnees_annuelles!$A$3:$A$188,AR475)</f>
        <v/>
      </c>
      <c r="AT475" s="36">
        <f>AS475/V475</f>
        <v/>
      </c>
      <c r="AU475" s="14">
        <f>AL475</f>
        <v/>
      </c>
      <c r="AV475" s="39">
        <f>AS475-AL475</f>
        <v/>
      </c>
      <c r="AW475" s="9">
        <f>AS475/AL475-1</f>
        <v/>
      </c>
      <c r="AX475" s="14">
        <f>AS475/AJ475/12</f>
        <v/>
      </c>
      <c r="AY475" s="14">
        <f>AF475</f>
        <v/>
      </c>
      <c r="AZ475" s="39">
        <f>AX475-AF475</f>
        <v/>
      </c>
      <c r="BA475" s="14">
        <f>SUMIFS(Donnees_regimes!$S$3:$S$1118,Donnees_regimes!$A$3:$A$1118,C475,Donnees_regimes!$B$3:$B$1118,"&gt;="&amp;G475,Donnees_regimes!$B$3:$B$1118,"&lt;="&amp;N475)*L475/ROUNDUP(L475,0)*SUMIFS(Donnees_annuelles!$AH$3:$AH$188,Donnees_annuelles!$A$3:$A$188,AR475)*SUMIFS(Donnees_annuelles!$AA$3:$AA$188,Donnees_annuelles!$A$3:$A$188,AR475)</f>
        <v/>
      </c>
      <c r="BB475" s="39">
        <f>BA475-AL475</f>
        <v/>
      </c>
      <c r="BC475" s="7">
        <f>IF(M475+AJ475&gt;2026,IF(G475&gt;2026,"entièrement projeté","en partie projeté"),"observé")</f>
        <v/>
      </c>
    </row>
    <row r="476">
      <c r="A476" s="7" t="inlineStr">
        <is>
          <t>Génération Z</t>
        </is>
      </c>
      <c r="B476" s="84" t="inlineStr">
        <is>
          <t>RATP</t>
        </is>
      </c>
      <c r="C476" s="7">
        <f>IF(G476&gt;=SUMIFS(Regimes!$C$5:$C$10,Regimes!$A$5:$A$10,B476),"Privé",B476)</f>
        <v/>
      </c>
      <c r="D476" s="7">
        <f>INDEX(Regimes!$D$5:$D$10,MATCH(C476,Regimes!$A$5:$A$10,0))</f>
        <v/>
      </c>
      <c r="E476" s="88" t="n">
        <v>2009</v>
      </c>
      <c r="F476" s="8">
        <f>Donnees_generations!C97</f>
        <v/>
      </c>
      <c r="G476" s="77">
        <f>Donnees_generations!D97</f>
        <v/>
      </c>
      <c r="H476" s="8">
        <f>SUMIFS(Donnees_generations!$S$3:$S$113,Donnees_generations!$A$3:$A$113,MAX(1915,MIN(2025,E476)))</f>
        <v/>
      </c>
      <c r="I476" s="8">
        <f>SUMIFS(Donnees_generations!$T$3:$T$113,Donnees_generations!$A$3:$A$113,MAX(1915,MIN(2025,E476)))</f>
        <v/>
      </c>
      <c r="J476" s="8">
        <f>IF(G476&gt;=2000,MAX(I476,Parametres!$B$3),I476)</f>
        <v/>
      </c>
      <c r="K476" s="8">
        <f>IF(C476="Privé",J476,SUMIFS(Regles_regimes!$J$3:$J$2000,Regles_regimes!$A$3:$A$2000,C476,Regles_regimes!$B$3:$B$2000,D476,Regles_regimes!$C$3:$C$2000,MAX(1915,MIN(2025,E476))))</f>
        <v/>
      </c>
      <c r="L476" s="8">
        <f>IF(C476="Privé",H476,(K476-F476)*H476/(J476-F476))</f>
        <v/>
      </c>
      <c r="M476" s="77">
        <f>INT(E476+K476)</f>
        <v/>
      </c>
      <c r="N476" s="77">
        <f>G476+ROUNDUP(L476,0)-1</f>
        <v/>
      </c>
      <c r="O476" s="89">
        <f>SUMIFS(Regles_regimes!$K$3:$K$2000,Regles_regimes!$A$3:$A$2000,C476,Regles_regimes!$B$3:$B$2000,D476,Regles_regimes!$C$3:$C$2000,MAX(1915,MIN(2025,E476)))</f>
        <v/>
      </c>
      <c r="P476" s="13">
        <f>SUMIFS(Donnees_annuelles!$W$3:$W$188,Donnees_annuelles!$A$3:$A$188,"&gt;="&amp;G476,Donnees_annuelles!$A$3:$A$188,"&lt;="&amp;N476)*L476/ROUNDUP(L476,0)*O476</f>
        <v/>
      </c>
      <c r="Q476" s="13">
        <f>SUMIFS(Donnees_annuelles!$V$3:$V$188,Donnees_annuelles!$A$3:$A$188,"&gt;="&amp;G476,Donnees_annuelles!$A$3:$A$188,"&lt;="&amp;N476)*L476/ROUNDUP(L476,0)</f>
        <v/>
      </c>
      <c r="R476" s="13">
        <f>P476/L476</f>
        <v/>
      </c>
      <c r="S476" s="14">
        <f>SUMIFS(Donnees_annuelles!$D$3:$D$188,Donnees_annuelles!$A$3:$A$188,"&gt;="&amp;G476,Donnees_annuelles!$A$3:$A$188,"&lt;="&amp;N476)*L476/ROUNDUP(L476,0)</f>
        <v/>
      </c>
      <c r="T476" s="14">
        <f>SUMIFS(Donnees_regimes!$N$3:$N$1118,Donnees_regimes!$A$3:$A$1118,C476,Donnees_regimes!$B$3:$B$1118,"&gt;="&amp;G476,Donnees_regimes!$B$3:$B$1118,"&lt;="&amp;N476)*L476/ROUNDUP(L476,0)</f>
        <v/>
      </c>
      <c r="U476" s="14">
        <f>SUMIFS(Donnees_regimes!$O$3:$O$1118,Donnees_regimes!$A$3:$A$1118,C476,Donnees_regimes!$B$3:$B$1118,"&gt;="&amp;G476,Donnees_regimes!$B$3:$B$1118,"&lt;="&amp;N476)*L476/ROUNDUP(L476,0)</f>
        <v/>
      </c>
      <c r="V476" s="14">
        <f>T476+U476</f>
        <v/>
      </c>
      <c r="W476" s="33">
        <f>V476/S476</f>
        <v/>
      </c>
      <c r="X476" s="14">
        <f>S476+U476</f>
        <v/>
      </c>
      <c r="Y476" s="17">
        <f>V476/P476</f>
        <v/>
      </c>
      <c r="Z476" s="14">
        <f>SUMIFS(Donnees_regimes!$Q$3:$Q$1118,Donnees_regimes!$A$3:$A$1118,C476,Donnees_regimes!$B$3:$B$1118,"&gt;="&amp;G476,Donnees_regimes!$B$3:$B$1118,"&lt;="&amp;N476)*L476/ROUNDUP(L476,0)</f>
        <v/>
      </c>
      <c r="AA476" s="77">
        <f>SUMIFS(Regles_regimes!$F$3:$F$2000,Regles_regimes!$A$3:$A$2000,C476,Regles_regimes!$B$3:$B$2000,D476,Regles_regimes!$C$3:$C$2000,MAX(1915,MIN(2025,E476)))</f>
        <v/>
      </c>
      <c r="AB476" s="77">
        <f>IF(AND(SUMIFS(Regles_regimes!$L$3:$L$2000,Regles_regimes!$A$3:$A$2000,C476,Regles_regimes!$B$3:$B$2000,D476,Regles_regimes!$C$3:$C$2000,MAX(1915,MIN(2025,E476)))=1,G476&lt;2009,C476&lt;&gt;"Privé"),MIN(20,L476*4/5),0)</f>
        <v/>
      </c>
      <c r="AC476" s="89">
        <f>SUMIFS(Donnees_regimes!$M$3:$M$1118,Donnees_regimes!$A$3:$A$1118,C476,Donnees_regimes!$B$3:$B$1118,M476)</f>
        <v/>
      </c>
      <c r="AD476" s="14">
        <f>SUMIFS(Donnees_annuelles!$Y$3:$Y$188,Donnees_annuelles!$A$3:$A$188,M476)*SUMIFS(Donnees_generations!$I$3:$I$113,Donnees_generations!$A$3:$A$113,MAX(1915,MIN(2025,E476)))/H476</f>
        <v/>
      </c>
      <c r="AE476" s="14">
        <f>IF(C476="Privé",SUMIFS(Donnees_annuelles!$Y$3:$Y$188,Donnees_annuelles!$A$3:$A$188,M476)*MIN(L476,SUMIFS(Donnees_generations!$I$3:$I$113,Donnees_generations!$A$3:$A$113,MAX(1915,MIN(2025,E476))))/L476,AD476*AC476*MIN(IF(AB476&gt;0,0.8/0.75,1),(L476*4+AB476)/AA476))</f>
        <v/>
      </c>
      <c r="AF476" s="14">
        <f>AE476/12</f>
        <v/>
      </c>
      <c r="AG476" s="77">
        <f>MIN(68,MAX(56,2*INT(K476/2)))</f>
        <v/>
      </c>
      <c r="AH476" s="75">
        <f>(CHOOSE((AG476-56)/2+1,SUMIFS(Donnees_generations!$U$3:$U$113,Donnees_generations!$A$3:$A$113,MAX(1915,MIN(2025,E476))),SUMIFS(Donnees_generations!$V$3:$V$113,Donnees_generations!$A$3:$A$113,MAX(1915,MIN(2025,E476))),SUMIFS(Donnees_generations!$W$3:$W$113,Donnees_generations!$A$3:$A$113,MAX(1915,MIN(2025,E476))),SUMIFS(Donnees_generations!$X$3:$X$113,Donnees_generations!$A$3:$A$113,MAX(1915,MIN(2025,E476))),SUMIFS(Donnees_generations!$Y$3:$Y$113,Donnees_generations!$A$3:$A$113,MAX(1915,MIN(2025,E476))),SUMIFS(Donnees_generations!$Z$3:$Z$113,Donnees_generations!$A$3:$A$113,MAX(1915,MIN(2025,E476))),SUMIFS(Donnees_generations!$AA$3:$AA$113,Donnees_generations!$A$3:$A$113,MAX(1915,MIN(2025,E476))),SUMIFS(Donnees_generations!$AB$3:$AB$113,Donnees_generations!$A$3:$A$113,MAX(1915,MIN(2025,E476))))+CHOOSE((AG476-56)/2+1,SUMIFS(Donnees_generations!$AC$3:$AC$113,Donnees_generations!$A$3:$A$113,MAX(1915,MIN(2025,E476))),SUMIFS(Donnees_generations!$AD$3:$AD$113,Donnees_generations!$A$3:$A$113,MAX(1915,MIN(2025,E476))),SUMIFS(Donnees_generations!$AE$3:$AE$113,Donnees_generations!$A$3:$A$113,MAX(1915,MIN(2025,E476))),SUMIFS(Donnees_generations!$AF$3:$AF$113,Donnees_generations!$A$3:$A$113,MAX(1915,MIN(2025,E476))),SUMIFS(Donnees_generations!$AG$3:$AG$113,Donnees_generations!$A$3:$A$113,MAX(1915,MIN(2025,E476))),SUMIFS(Donnees_generations!$AH$3:$AH$113,Donnees_generations!$A$3:$A$113,MAX(1915,MIN(2025,E476))),SUMIFS(Donnees_generations!$AI$3:$AI$113,Donnees_generations!$A$3:$A$113,MAX(1915,MIN(2025,E476))),SUMIFS(Donnees_generations!$AJ$3:$AJ$113,Donnees_generations!$A$3:$A$113,MAX(1915,MIN(2025,E476)))))/2</f>
        <v/>
      </c>
      <c r="AI476" s="75">
        <f>(CHOOSE(((AG476+2)-56)/2+1,SUMIFS(Donnees_generations!$U$3:$U$113,Donnees_generations!$A$3:$A$113,MAX(1915,MIN(2025,E476))),SUMIFS(Donnees_generations!$V$3:$V$113,Donnees_generations!$A$3:$A$113,MAX(1915,MIN(2025,E476))),SUMIFS(Donnees_generations!$W$3:$W$113,Donnees_generations!$A$3:$A$113,MAX(1915,MIN(2025,E476))),SUMIFS(Donnees_generations!$X$3:$X$113,Donnees_generations!$A$3:$A$113,MAX(1915,MIN(2025,E476))),SUMIFS(Donnees_generations!$Y$3:$Y$113,Donnees_generations!$A$3:$A$113,MAX(1915,MIN(2025,E476))),SUMIFS(Donnees_generations!$Z$3:$Z$113,Donnees_generations!$A$3:$A$113,MAX(1915,MIN(2025,E476))),SUMIFS(Donnees_generations!$AA$3:$AA$113,Donnees_generations!$A$3:$A$113,MAX(1915,MIN(2025,E476))),SUMIFS(Donnees_generations!$AB$3:$AB$113,Donnees_generations!$A$3:$A$113,MAX(1915,MIN(2025,E476))))+CHOOSE(((AG476+2)-56)/2+1,SUMIFS(Donnees_generations!$AC$3:$AC$113,Donnees_generations!$A$3:$A$113,MAX(1915,MIN(2025,E476))),SUMIFS(Donnees_generations!$AD$3:$AD$113,Donnees_generations!$A$3:$A$113,MAX(1915,MIN(2025,E476))),SUMIFS(Donnees_generations!$AE$3:$AE$113,Donnees_generations!$A$3:$A$113,MAX(1915,MIN(2025,E476))),SUMIFS(Donnees_generations!$AF$3:$AF$113,Donnees_generations!$A$3:$A$113,MAX(1915,MIN(2025,E476))),SUMIFS(Donnees_generations!$AG$3:$AG$113,Donnees_generations!$A$3:$A$113,MAX(1915,MIN(2025,E476))),SUMIFS(Donnees_generations!$AH$3:$AH$113,Donnees_generations!$A$3:$A$113,MAX(1915,MIN(2025,E476))),SUMIFS(Donnees_generations!$AI$3:$AI$113,Donnees_generations!$A$3:$A$113,MAX(1915,MIN(2025,E476))),SUMIFS(Donnees_generations!$AJ$3:$AJ$113,Donnees_generations!$A$3:$A$113,MAX(1915,MIN(2025,E476)))))/2</f>
        <v/>
      </c>
      <c r="AJ476" s="8">
        <f>MAX(0,AH476+(AI476-AH476)*(K476-AG476)/2)</f>
        <v/>
      </c>
      <c r="AK476" s="8">
        <f>K476+AJ476</f>
        <v/>
      </c>
      <c r="AL476" s="14">
        <f>AE476*AJ476</f>
        <v/>
      </c>
      <c r="AM476" s="17">
        <f>V476/AL476</f>
        <v/>
      </c>
      <c r="AN476" s="17">
        <f>Z476/AL476</f>
        <v/>
      </c>
      <c r="AO476" s="33">
        <f>IF(V476+Z476=0,0,Z476/(V476+Z476))</f>
        <v/>
      </c>
      <c r="AP476" s="14">
        <f>AL476/V476*100</f>
        <v/>
      </c>
      <c r="AQ476" s="8">
        <f>P476/AL476*1000</f>
        <v/>
      </c>
      <c r="AR476" s="77">
        <f>MAX(N476,M476-1)</f>
        <v/>
      </c>
      <c r="AS476" s="14">
        <f>SUMIFS(Donnees_regimes!$R$3:$R$1118,Donnees_regimes!$A$3:$A$1118,C476,Donnees_regimes!$B$3:$B$1118,"&gt;="&amp;G476,Donnees_regimes!$B$3:$B$1118,"&lt;="&amp;N476)*L476/ROUNDUP(L476,0)*SUMIFS(Donnees_annuelles!$AG$3:$AG$188,Donnees_annuelles!$A$3:$A$188,AR476)*SUMIFS(Donnees_annuelles!$AA$3:$AA$188,Donnees_annuelles!$A$3:$A$188,AR476)</f>
        <v/>
      </c>
      <c r="AT476" s="36">
        <f>AS476/V476</f>
        <v/>
      </c>
      <c r="AU476" s="14">
        <f>AL476</f>
        <v/>
      </c>
      <c r="AV476" s="39">
        <f>AS476-AL476</f>
        <v/>
      </c>
      <c r="AW476" s="9">
        <f>AS476/AL476-1</f>
        <v/>
      </c>
      <c r="AX476" s="14">
        <f>AS476/AJ476/12</f>
        <v/>
      </c>
      <c r="AY476" s="14">
        <f>AF476</f>
        <v/>
      </c>
      <c r="AZ476" s="39">
        <f>AX476-AF476</f>
        <v/>
      </c>
      <c r="BA476" s="14">
        <f>SUMIFS(Donnees_regimes!$S$3:$S$1118,Donnees_regimes!$A$3:$A$1118,C476,Donnees_regimes!$B$3:$B$1118,"&gt;="&amp;G476,Donnees_regimes!$B$3:$B$1118,"&lt;="&amp;N476)*L476/ROUNDUP(L476,0)*SUMIFS(Donnees_annuelles!$AH$3:$AH$188,Donnees_annuelles!$A$3:$A$188,AR476)*SUMIFS(Donnees_annuelles!$AA$3:$AA$188,Donnees_annuelles!$A$3:$A$188,AR476)</f>
        <v/>
      </c>
      <c r="BB476" s="39">
        <f>BA476-AL476</f>
        <v/>
      </c>
      <c r="BC476" s="7">
        <f>IF(M476+AJ476&gt;2026,IF(G476&gt;2026,"entièrement projeté","en partie projeté"),"observé")</f>
        <v/>
      </c>
    </row>
    <row r="477">
      <c r="A477" s="7" t="inlineStr">
        <is>
          <t>Génération Z</t>
        </is>
      </c>
      <c r="B477" s="84" t="inlineStr">
        <is>
          <t>RATP</t>
        </is>
      </c>
      <c r="C477" s="7">
        <f>IF(G477&gt;=SUMIFS(Regimes!$C$5:$C$10,Regimes!$A$5:$A$10,B477),"Privé",B477)</f>
        <v/>
      </c>
      <c r="D477" s="7">
        <f>INDEX(Regimes!$D$5:$D$10,MATCH(C477,Regimes!$A$5:$A$10,0))</f>
        <v/>
      </c>
      <c r="E477" s="88" t="n">
        <v>2010</v>
      </c>
      <c r="F477" s="8">
        <f>Donnees_generations!C98</f>
        <v/>
      </c>
      <c r="G477" s="77">
        <f>Donnees_generations!D98</f>
        <v/>
      </c>
      <c r="H477" s="8">
        <f>SUMIFS(Donnees_generations!$S$3:$S$113,Donnees_generations!$A$3:$A$113,MAX(1915,MIN(2025,E477)))</f>
        <v/>
      </c>
      <c r="I477" s="8">
        <f>SUMIFS(Donnees_generations!$T$3:$T$113,Donnees_generations!$A$3:$A$113,MAX(1915,MIN(2025,E477)))</f>
        <v/>
      </c>
      <c r="J477" s="8">
        <f>IF(G477&gt;=2000,MAX(I477,Parametres!$B$3),I477)</f>
        <v/>
      </c>
      <c r="K477" s="8">
        <f>IF(C477="Privé",J477,SUMIFS(Regles_regimes!$J$3:$J$2000,Regles_regimes!$A$3:$A$2000,C477,Regles_regimes!$B$3:$B$2000,D477,Regles_regimes!$C$3:$C$2000,MAX(1915,MIN(2025,E477))))</f>
        <v/>
      </c>
      <c r="L477" s="8">
        <f>IF(C477="Privé",H477,(K477-F477)*H477/(J477-F477))</f>
        <v/>
      </c>
      <c r="M477" s="77">
        <f>INT(E477+K477)</f>
        <v/>
      </c>
      <c r="N477" s="77">
        <f>G477+ROUNDUP(L477,0)-1</f>
        <v/>
      </c>
      <c r="O477" s="89">
        <f>SUMIFS(Regles_regimes!$K$3:$K$2000,Regles_regimes!$A$3:$A$2000,C477,Regles_regimes!$B$3:$B$2000,D477,Regles_regimes!$C$3:$C$2000,MAX(1915,MIN(2025,E477)))</f>
        <v/>
      </c>
      <c r="P477" s="13">
        <f>SUMIFS(Donnees_annuelles!$W$3:$W$188,Donnees_annuelles!$A$3:$A$188,"&gt;="&amp;G477,Donnees_annuelles!$A$3:$A$188,"&lt;="&amp;N477)*L477/ROUNDUP(L477,0)*O477</f>
        <v/>
      </c>
      <c r="Q477" s="13">
        <f>SUMIFS(Donnees_annuelles!$V$3:$V$188,Donnees_annuelles!$A$3:$A$188,"&gt;="&amp;G477,Donnees_annuelles!$A$3:$A$188,"&lt;="&amp;N477)*L477/ROUNDUP(L477,0)</f>
        <v/>
      </c>
      <c r="R477" s="13">
        <f>P477/L477</f>
        <v/>
      </c>
      <c r="S477" s="14">
        <f>SUMIFS(Donnees_annuelles!$D$3:$D$188,Donnees_annuelles!$A$3:$A$188,"&gt;="&amp;G477,Donnees_annuelles!$A$3:$A$188,"&lt;="&amp;N477)*L477/ROUNDUP(L477,0)</f>
        <v/>
      </c>
      <c r="T477" s="14">
        <f>SUMIFS(Donnees_regimes!$N$3:$N$1118,Donnees_regimes!$A$3:$A$1118,C477,Donnees_regimes!$B$3:$B$1118,"&gt;="&amp;G477,Donnees_regimes!$B$3:$B$1118,"&lt;="&amp;N477)*L477/ROUNDUP(L477,0)</f>
        <v/>
      </c>
      <c r="U477" s="14">
        <f>SUMIFS(Donnees_regimes!$O$3:$O$1118,Donnees_regimes!$A$3:$A$1118,C477,Donnees_regimes!$B$3:$B$1118,"&gt;="&amp;G477,Donnees_regimes!$B$3:$B$1118,"&lt;="&amp;N477)*L477/ROUNDUP(L477,0)</f>
        <v/>
      </c>
      <c r="V477" s="14">
        <f>T477+U477</f>
        <v/>
      </c>
      <c r="W477" s="33">
        <f>V477/S477</f>
        <v/>
      </c>
      <c r="X477" s="14">
        <f>S477+U477</f>
        <v/>
      </c>
      <c r="Y477" s="17">
        <f>V477/P477</f>
        <v/>
      </c>
      <c r="Z477" s="14">
        <f>SUMIFS(Donnees_regimes!$Q$3:$Q$1118,Donnees_regimes!$A$3:$A$1118,C477,Donnees_regimes!$B$3:$B$1118,"&gt;="&amp;G477,Donnees_regimes!$B$3:$B$1118,"&lt;="&amp;N477)*L477/ROUNDUP(L477,0)</f>
        <v/>
      </c>
      <c r="AA477" s="77">
        <f>SUMIFS(Regles_regimes!$F$3:$F$2000,Regles_regimes!$A$3:$A$2000,C477,Regles_regimes!$B$3:$B$2000,D477,Regles_regimes!$C$3:$C$2000,MAX(1915,MIN(2025,E477)))</f>
        <v/>
      </c>
      <c r="AB477" s="77">
        <f>IF(AND(SUMIFS(Regles_regimes!$L$3:$L$2000,Regles_regimes!$A$3:$A$2000,C477,Regles_regimes!$B$3:$B$2000,D477,Regles_regimes!$C$3:$C$2000,MAX(1915,MIN(2025,E477)))=1,G477&lt;2009,C477&lt;&gt;"Privé"),MIN(20,L477*4/5),0)</f>
        <v/>
      </c>
      <c r="AC477" s="89">
        <f>SUMIFS(Donnees_regimes!$M$3:$M$1118,Donnees_regimes!$A$3:$A$1118,C477,Donnees_regimes!$B$3:$B$1118,M477)</f>
        <v/>
      </c>
      <c r="AD477" s="14">
        <f>SUMIFS(Donnees_annuelles!$Y$3:$Y$188,Donnees_annuelles!$A$3:$A$188,M477)*SUMIFS(Donnees_generations!$I$3:$I$113,Donnees_generations!$A$3:$A$113,MAX(1915,MIN(2025,E477)))/H477</f>
        <v/>
      </c>
      <c r="AE477" s="14">
        <f>IF(C477="Privé",SUMIFS(Donnees_annuelles!$Y$3:$Y$188,Donnees_annuelles!$A$3:$A$188,M477)*MIN(L477,SUMIFS(Donnees_generations!$I$3:$I$113,Donnees_generations!$A$3:$A$113,MAX(1915,MIN(2025,E477))))/L477,AD477*AC477*MIN(IF(AB477&gt;0,0.8/0.75,1),(L477*4+AB477)/AA477))</f>
        <v/>
      </c>
      <c r="AF477" s="14">
        <f>AE477/12</f>
        <v/>
      </c>
      <c r="AG477" s="77">
        <f>MIN(68,MAX(56,2*INT(K477/2)))</f>
        <v/>
      </c>
      <c r="AH477" s="75">
        <f>(CHOOSE((AG477-56)/2+1,SUMIFS(Donnees_generations!$U$3:$U$113,Donnees_generations!$A$3:$A$113,MAX(1915,MIN(2025,E477))),SUMIFS(Donnees_generations!$V$3:$V$113,Donnees_generations!$A$3:$A$113,MAX(1915,MIN(2025,E477))),SUMIFS(Donnees_generations!$W$3:$W$113,Donnees_generations!$A$3:$A$113,MAX(1915,MIN(2025,E477))),SUMIFS(Donnees_generations!$X$3:$X$113,Donnees_generations!$A$3:$A$113,MAX(1915,MIN(2025,E477))),SUMIFS(Donnees_generations!$Y$3:$Y$113,Donnees_generations!$A$3:$A$113,MAX(1915,MIN(2025,E477))),SUMIFS(Donnees_generations!$Z$3:$Z$113,Donnees_generations!$A$3:$A$113,MAX(1915,MIN(2025,E477))),SUMIFS(Donnees_generations!$AA$3:$AA$113,Donnees_generations!$A$3:$A$113,MAX(1915,MIN(2025,E477))),SUMIFS(Donnees_generations!$AB$3:$AB$113,Donnees_generations!$A$3:$A$113,MAX(1915,MIN(2025,E477))))+CHOOSE((AG477-56)/2+1,SUMIFS(Donnees_generations!$AC$3:$AC$113,Donnees_generations!$A$3:$A$113,MAX(1915,MIN(2025,E477))),SUMIFS(Donnees_generations!$AD$3:$AD$113,Donnees_generations!$A$3:$A$113,MAX(1915,MIN(2025,E477))),SUMIFS(Donnees_generations!$AE$3:$AE$113,Donnees_generations!$A$3:$A$113,MAX(1915,MIN(2025,E477))),SUMIFS(Donnees_generations!$AF$3:$AF$113,Donnees_generations!$A$3:$A$113,MAX(1915,MIN(2025,E477))),SUMIFS(Donnees_generations!$AG$3:$AG$113,Donnees_generations!$A$3:$A$113,MAX(1915,MIN(2025,E477))),SUMIFS(Donnees_generations!$AH$3:$AH$113,Donnees_generations!$A$3:$A$113,MAX(1915,MIN(2025,E477))),SUMIFS(Donnees_generations!$AI$3:$AI$113,Donnees_generations!$A$3:$A$113,MAX(1915,MIN(2025,E477))),SUMIFS(Donnees_generations!$AJ$3:$AJ$113,Donnees_generations!$A$3:$A$113,MAX(1915,MIN(2025,E477)))))/2</f>
        <v/>
      </c>
      <c r="AI477" s="75">
        <f>(CHOOSE(((AG477+2)-56)/2+1,SUMIFS(Donnees_generations!$U$3:$U$113,Donnees_generations!$A$3:$A$113,MAX(1915,MIN(2025,E477))),SUMIFS(Donnees_generations!$V$3:$V$113,Donnees_generations!$A$3:$A$113,MAX(1915,MIN(2025,E477))),SUMIFS(Donnees_generations!$W$3:$W$113,Donnees_generations!$A$3:$A$113,MAX(1915,MIN(2025,E477))),SUMIFS(Donnees_generations!$X$3:$X$113,Donnees_generations!$A$3:$A$113,MAX(1915,MIN(2025,E477))),SUMIFS(Donnees_generations!$Y$3:$Y$113,Donnees_generations!$A$3:$A$113,MAX(1915,MIN(2025,E477))),SUMIFS(Donnees_generations!$Z$3:$Z$113,Donnees_generations!$A$3:$A$113,MAX(1915,MIN(2025,E477))),SUMIFS(Donnees_generations!$AA$3:$AA$113,Donnees_generations!$A$3:$A$113,MAX(1915,MIN(2025,E477))),SUMIFS(Donnees_generations!$AB$3:$AB$113,Donnees_generations!$A$3:$A$113,MAX(1915,MIN(2025,E477))))+CHOOSE(((AG477+2)-56)/2+1,SUMIFS(Donnees_generations!$AC$3:$AC$113,Donnees_generations!$A$3:$A$113,MAX(1915,MIN(2025,E477))),SUMIFS(Donnees_generations!$AD$3:$AD$113,Donnees_generations!$A$3:$A$113,MAX(1915,MIN(2025,E477))),SUMIFS(Donnees_generations!$AE$3:$AE$113,Donnees_generations!$A$3:$A$113,MAX(1915,MIN(2025,E477))),SUMIFS(Donnees_generations!$AF$3:$AF$113,Donnees_generations!$A$3:$A$113,MAX(1915,MIN(2025,E477))),SUMIFS(Donnees_generations!$AG$3:$AG$113,Donnees_generations!$A$3:$A$113,MAX(1915,MIN(2025,E477))),SUMIFS(Donnees_generations!$AH$3:$AH$113,Donnees_generations!$A$3:$A$113,MAX(1915,MIN(2025,E477))),SUMIFS(Donnees_generations!$AI$3:$AI$113,Donnees_generations!$A$3:$A$113,MAX(1915,MIN(2025,E477))),SUMIFS(Donnees_generations!$AJ$3:$AJ$113,Donnees_generations!$A$3:$A$113,MAX(1915,MIN(2025,E477)))))/2</f>
        <v/>
      </c>
      <c r="AJ477" s="8">
        <f>MAX(0,AH477+(AI477-AH477)*(K477-AG477)/2)</f>
        <v/>
      </c>
      <c r="AK477" s="8">
        <f>K477+AJ477</f>
        <v/>
      </c>
      <c r="AL477" s="14">
        <f>AE477*AJ477</f>
        <v/>
      </c>
      <c r="AM477" s="17">
        <f>V477/AL477</f>
        <v/>
      </c>
      <c r="AN477" s="17">
        <f>Z477/AL477</f>
        <v/>
      </c>
      <c r="AO477" s="33">
        <f>IF(V477+Z477=0,0,Z477/(V477+Z477))</f>
        <v/>
      </c>
      <c r="AP477" s="14">
        <f>AL477/V477*100</f>
        <v/>
      </c>
      <c r="AQ477" s="8">
        <f>P477/AL477*1000</f>
        <v/>
      </c>
      <c r="AR477" s="77">
        <f>MAX(N477,M477-1)</f>
        <v/>
      </c>
      <c r="AS477" s="14">
        <f>SUMIFS(Donnees_regimes!$R$3:$R$1118,Donnees_regimes!$A$3:$A$1118,C477,Donnees_regimes!$B$3:$B$1118,"&gt;="&amp;G477,Donnees_regimes!$B$3:$B$1118,"&lt;="&amp;N477)*L477/ROUNDUP(L477,0)*SUMIFS(Donnees_annuelles!$AG$3:$AG$188,Donnees_annuelles!$A$3:$A$188,AR477)*SUMIFS(Donnees_annuelles!$AA$3:$AA$188,Donnees_annuelles!$A$3:$A$188,AR477)</f>
        <v/>
      </c>
      <c r="AT477" s="36">
        <f>AS477/V477</f>
        <v/>
      </c>
      <c r="AU477" s="14">
        <f>AL477</f>
        <v/>
      </c>
      <c r="AV477" s="39">
        <f>AS477-AL477</f>
        <v/>
      </c>
      <c r="AW477" s="9">
        <f>AS477/AL477-1</f>
        <v/>
      </c>
      <c r="AX477" s="14">
        <f>AS477/AJ477/12</f>
        <v/>
      </c>
      <c r="AY477" s="14">
        <f>AF477</f>
        <v/>
      </c>
      <c r="AZ477" s="39">
        <f>AX477-AF477</f>
        <v/>
      </c>
      <c r="BA477" s="14">
        <f>SUMIFS(Donnees_regimes!$S$3:$S$1118,Donnees_regimes!$A$3:$A$1118,C477,Donnees_regimes!$B$3:$B$1118,"&gt;="&amp;G477,Donnees_regimes!$B$3:$B$1118,"&lt;="&amp;N477)*L477/ROUNDUP(L477,0)*SUMIFS(Donnees_annuelles!$AH$3:$AH$188,Donnees_annuelles!$A$3:$A$188,AR477)*SUMIFS(Donnees_annuelles!$AA$3:$AA$188,Donnees_annuelles!$A$3:$A$188,AR477)</f>
        <v/>
      </c>
      <c r="BB477" s="39">
        <f>BA477-AL477</f>
        <v/>
      </c>
      <c r="BC477" s="7">
        <f>IF(M477+AJ477&gt;2026,IF(G477&gt;2026,"entièrement projeté","en partie projeté"),"observé")</f>
        <v/>
      </c>
    </row>
    <row r="478">
      <c r="A478" s="7" t="inlineStr">
        <is>
          <t>Génération Z</t>
        </is>
      </c>
      <c r="B478" s="84" t="inlineStr">
        <is>
          <t>RATP</t>
        </is>
      </c>
      <c r="C478" s="7">
        <f>IF(G478&gt;=SUMIFS(Regimes!$C$5:$C$10,Regimes!$A$5:$A$10,B478),"Privé",B478)</f>
        <v/>
      </c>
      <c r="D478" s="7">
        <f>INDEX(Regimes!$D$5:$D$10,MATCH(C478,Regimes!$A$5:$A$10,0))</f>
        <v/>
      </c>
      <c r="E478" s="88" t="n">
        <v>2011</v>
      </c>
      <c r="F478" s="8">
        <f>Donnees_generations!C99</f>
        <v/>
      </c>
      <c r="G478" s="77">
        <f>Donnees_generations!D99</f>
        <v/>
      </c>
      <c r="H478" s="8">
        <f>SUMIFS(Donnees_generations!$S$3:$S$113,Donnees_generations!$A$3:$A$113,MAX(1915,MIN(2025,E478)))</f>
        <v/>
      </c>
      <c r="I478" s="8">
        <f>SUMIFS(Donnees_generations!$T$3:$T$113,Donnees_generations!$A$3:$A$113,MAX(1915,MIN(2025,E478)))</f>
        <v/>
      </c>
      <c r="J478" s="8">
        <f>IF(G478&gt;=2000,MAX(I478,Parametres!$B$3),I478)</f>
        <v/>
      </c>
      <c r="K478" s="8">
        <f>IF(C478="Privé",J478,SUMIFS(Regles_regimes!$J$3:$J$2000,Regles_regimes!$A$3:$A$2000,C478,Regles_regimes!$B$3:$B$2000,D478,Regles_regimes!$C$3:$C$2000,MAX(1915,MIN(2025,E478))))</f>
        <v/>
      </c>
      <c r="L478" s="8">
        <f>IF(C478="Privé",H478,(K478-F478)*H478/(J478-F478))</f>
        <v/>
      </c>
      <c r="M478" s="77">
        <f>INT(E478+K478)</f>
        <v/>
      </c>
      <c r="N478" s="77">
        <f>G478+ROUNDUP(L478,0)-1</f>
        <v/>
      </c>
      <c r="O478" s="89">
        <f>SUMIFS(Regles_regimes!$K$3:$K$2000,Regles_regimes!$A$3:$A$2000,C478,Regles_regimes!$B$3:$B$2000,D478,Regles_regimes!$C$3:$C$2000,MAX(1915,MIN(2025,E478)))</f>
        <v/>
      </c>
      <c r="P478" s="13">
        <f>SUMIFS(Donnees_annuelles!$W$3:$W$188,Donnees_annuelles!$A$3:$A$188,"&gt;="&amp;G478,Donnees_annuelles!$A$3:$A$188,"&lt;="&amp;N478)*L478/ROUNDUP(L478,0)*O478</f>
        <v/>
      </c>
      <c r="Q478" s="13">
        <f>SUMIFS(Donnees_annuelles!$V$3:$V$188,Donnees_annuelles!$A$3:$A$188,"&gt;="&amp;G478,Donnees_annuelles!$A$3:$A$188,"&lt;="&amp;N478)*L478/ROUNDUP(L478,0)</f>
        <v/>
      </c>
      <c r="R478" s="13">
        <f>P478/L478</f>
        <v/>
      </c>
      <c r="S478" s="14">
        <f>SUMIFS(Donnees_annuelles!$D$3:$D$188,Donnees_annuelles!$A$3:$A$188,"&gt;="&amp;G478,Donnees_annuelles!$A$3:$A$188,"&lt;="&amp;N478)*L478/ROUNDUP(L478,0)</f>
        <v/>
      </c>
      <c r="T478" s="14">
        <f>SUMIFS(Donnees_regimes!$N$3:$N$1118,Donnees_regimes!$A$3:$A$1118,C478,Donnees_regimes!$B$3:$B$1118,"&gt;="&amp;G478,Donnees_regimes!$B$3:$B$1118,"&lt;="&amp;N478)*L478/ROUNDUP(L478,0)</f>
        <v/>
      </c>
      <c r="U478" s="14">
        <f>SUMIFS(Donnees_regimes!$O$3:$O$1118,Donnees_regimes!$A$3:$A$1118,C478,Donnees_regimes!$B$3:$B$1118,"&gt;="&amp;G478,Donnees_regimes!$B$3:$B$1118,"&lt;="&amp;N478)*L478/ROUNDUP(L478,0)</f>
        <v/>
      </c>
      <c r="V478" s="14">
        <f>T478+U478</f>
        <v/>
      </c>
      <c r="W478" s="33">
        <f>V478/S478</f>
        <v/>
      </c>
      <c r="X478" s="14">
        <f>S478+U478</f>
        <v/>
      </c>
      <c r="Y478" s="17">
        <f>V478/P478</f>
        <v/>
      </c>
      <c r="Z478" s="14">
        <f>SUMIFS(Donnees_regimes!$Q$3:$Q$1118,Donnees_regimes!$A$3:$A$1118,C478,Donnees_regimes!$B$3:$B$1118,"&gt;="&amp;G478,Donnees_regimes!$B$3:$B$1118,"&lt;="&amp;N478)*L478/ROUNDUP(L478,0)</f>
        <v/>
      </c>
      <c r="AA478" s="77">
        <f>SUMIFS(Regles_regimes!$F$3:$F$2000,Regles_regimes!$A$3:$A$2000,C478,Regles_regimes!$B$3:$B$2000,D478,Regles_regimes!$C$3:$C$2000,MAX(1915,MIN(2025,E478)))</f>
        <v/>
      </c>
      <c r="AB478" s="77">
        <f>IF(AND(SUMIFS(Regles_regimes!$L$3:$L$2000,Regles_regimes!$A$3:$A$2000,C478,Regles_regimes!$B$3:$B$2000,D478,Regles_regimes!$C$3:$C$2000,MAX(1915,MIN(2025,E478)))=1,G478&lt;2009,C478&lt;&gt;"Privé"),MIN(20,L478*4/5),0)</f>
        <v/>
      </c>
      <c r="AC478" s="89">
        <f>SUMIFS(Donnees_regimes!$M$3:$M$1118,Donnees_regimes!$A$3:$A$1118,C478,Donnees_regimes!$B$3:$B$1118,M478)</f>
        <v/>
      </c>
      <c r="AD478" s="14">
        <f>SUMIFS(Donnees_annuelles!$Y$3:$Y$188,Donnees_annuelles!$A$3:$A$188,M478)*SUMIFS(Donnees_generations!$I$3:$I$113,Donnees_generations!$A$3:$A$113,MAX(1915,MIN(2025,E478)))/H478</f>
        <v/>
      </c>
      <c r="AE478" s="14">
        <f>IF(C478="Privé",SUMIFS(Donnees_annuelles!$Y$3:$Y$188,Donnees_annuelles!$A$3:$A$188,M478)*MIN(L478,SUMIFS(Donnees_generations!$I$3:$I$113,Donnees_generations!$A$3:$A$113,MAX(1915,MIN(2025,E478))))/L478,AD478*AC478*MIN(IF(AB478&gt;0,0.8/0.75,1),(L478*4+AB478)/AA478))</f>
        <v/>
      </c>
      <c r="AF478" s="14">
        <f>AE478/12</f>
        <v/>
      </c>
      <c r="AG478" s="77">
        <f>MIN(68,MAX(56,2*INT(K478/2)))</f>
        <v/>
      </c>
      <c r="AH478" s="75">
        <f>(CHOOSE((AG478-56)/2+1,SUMIFS(Donnees_generations!$U$3:$U$113,Donnees_generations!$A$3:$A$113,MAX(1915,MIN(2025,E478))),SUMIFS(Donnees_generations!$V$3:$V$113,Donnees_generations!$A$3:$A$113,MAX(1915,MIN(2025,E478))),SUMIFS(Donnees_generations!$W$3:$W$113,Donnees_generations!$A$3:$A$113,MAX(1915,MIN(2025,E478))),SUMIFS(Donnees_generations!$X$3:$X$113,Donnees_generations!$A$3:$A$113,MAX(1915,MIN(2025,E478))),SUMIFS(Donnees_generations!$Y$3:$Y$113,Donnees_generations!$A$3:$A$113,MAX(1915,MIN(2025,E478))),SUMIFS(Donnees_generations!$Z$3:$Z$113,Donnees_generations!$A$3:$A$113,MAX(1915,MIN(2025,E478))),SUMIFS(Donnees_generations!$AA$3:$AA$113,Donnees_generations!$A$3:$A$113,MAX(1915,MIN(2025,E478))),SUMIFS(Donnees_generations!$AB$3:$AB$113,Donnees_generations!$A$3:$A$113,MAX(1915,MIN(2025,E478))))+CHOOSE((AG478-56)/2+1,SUMIFS(Donnees_generations!$AC$3:$AC$113,Donnees_generations!$A$3:$A$113,MAX(1915,MIN(2025,E478))),SUMIFS(Donnees_generations!$AD$3:$AD$113,Donnees_generations!$A$3:$A$113,MAX(1915,MIN(2025,E478))),SUMIFS(Donnees_generations!$AE$3:$AE$113,Donnees_generations!$A$3:$A$113,MAX(1915,MIN(2025,E478))),SUMIFS(Donnees_generations!$AF$3:$AF$113,Donnees_generations!$A$3:$A$113,MAX(1915,MIN(2025,E478))),SUMIFS(Donnees_generations!$AG$3:$AG$113,Donnees_generations!$A$3:$A$113,MAX(1915,MIN(2025,E478))),SUMIFS(Donnees_generations!$AH$3:$AH$113,Donnees_generations!$A$3:$A$113,MAX(1915,MIN(2025,E478))),SUMIFS(Donnees_generations!$AI$3:$AI$113,Donnees_generations!$A$3:$A$113,MAX(1915,MIN(2025,E478))),SUMIFS(Donnees_generations!$AJ$3:$AJ$113,Donnees_generations!$A$3:$A$113,MAX(1915,MIN(2025,E478)))))/2</f>
        <v/>
      </c>
      <c r="AI478" s="75">
        <f>(CHOOSE(((AG478+2)-56)/2+1,SUMIFS(Donnees_generations!$U$3:$U$113,Donnees_generations!$A$3:$A$113,MAX(1915,MIN(2025,E478))),SUMIFS(Donnees_generations!$V$3:$V$113,Donnees_generations!$A$3:$A$113,MAX(1915,MIN(2025,E478))),SUMIFS(Donnees_generations!$W$3:$W$113,Donnees_generations!$A$3:$A$113,MAX(1915,MIN(2025,E478))),SUMIFS(Donnees_generations!$X$3:$X$113,Donnees_generations!$A$3:$A$113,MAX(1915,MIN(2025,E478))),SUMIFS(Donnees_generations!$Y$3:$Y$113,Donnees_generations!$A$3:$A$113,MAX(1915,MIN(2025,E478))),SUMIFS(Donnees_generations!$Z$3:$Z$113,Donnees_generations!$A$3:$A$113,MAX(1915,MIN(2025,E478))),SUMIFS(Donnees_generations!$AA$3:$AA$113,Donnees_generations!$A$3:$A$113,MAX(1915,MIN(2025,E478))),SUMIFS(Donnees_generations!$AB$3:$AB$113,Donnees_generations!$A$3:$A$113,MAX(1915,MIN(2025,E478))))+CHOOSE(((AG478+2)-56)/2+1,SUMIFS(Donnees_generations!$AC$3:$AC$113,Donnees_generations!$A$3:$A$113,MAX(1915,MIN(2025,E478))),SUMIFS(Donnees_generations!$AD$3:$AD$113,Donnees_generations!$A$3:$A$113,MAX(1915,MIN(2025,E478))),SUMIFS(Donnees_generations!$AE$3:$AE$113,Donnees_generations!$A$3:$A$113,MAX(1915,MIN(2025,E478))),SUMIFS(Donnees_generations!$AF$3:$AF$113,Donnees_generations!$A$3:$A$113,MAX(1915,MIN(2025,E478))),SUMIFS(Donnees_generations!$AG$3:$AG$113,Donnees_generations!$A$3:$A$113,MAX(1915,MIN(2025,E478))),SUMIFS(Donnees_generations!$AH$3:$AH$113,Donnees_generations!$A$3:$A$113,MAX(1915,MIN(2025,E478))),SUMIFS(Donnees_generations!$AI$3:$AI$113,Donnees_generations!$A$3:$A$113,MAX(1915,MIN(2025,E478))),SUMIFS(Donnees_generations!$AJ$3:$AJ$113,Donnees_generations!$A$3:$A$113,MAX(1915,MIN(2025,E478)))))/2</f>
        <v/>
      </c>
      <c r="AJ478" s="8">
        <f>MAX(0,AH478+(AI478-AH478)*(K478-AG478)/2)</f>
        <v/>
      </c>
      <c r="AK478" s="8">
        <f>K478+AJ478</f>
        <v/>
      </c>
      <c r="AL478" s="14">
        <f>AE478*AJ478</f>
        <v/>
      </c>
      <c r="AM478" s="17">
        <f>V478/AL478</f>
        <v/>
      </c>
      <c r="AN478" s="17">
        <f>Z478/AL478</f>
        <v/>
      </c>
      <c r="AO478" s="33">
        <f>IF(V478+Z478=0,0,Z478/(V478+Z478))</f>
        <v/>
      </c>
      <c r="AP478" s="14">
        <f>AL478/V478*100</f>
        <v/>
      </c>
      <c r="AQ478" s="8">
        <f>P478/AL478*1000</f>
        <v/>
      </c>
      <c r="AR478" s="77">
        <f>MAX(N478,M478-1)</f>
        <v/>
      </c>
      <c r="AS478" s="14">
        <f>SUMIFS(Donnees_regimes!$R$3:$R$1118,Donnees_regimes!$A$3:$A$1118,C478,Donnees_regimes!$B$3:$B$1118,"&gt;="&amp;G478,Donnees_regimes!$B$3:$B$1118,"&lt;="&amp;N478)*L478/ROUNDUP(L478,0)*SUMIFS(Donnees_annuelles!$AG$3:$AG$188,Donnees_annuelles!$A$3:$A$188,AR478)*SUMIFS(Donnees_annuelles!$AA$3:$AA$188,Donnees_annuelles!$A$3:$A$188,AR478)</f>
        <v/>
      </c>
      <c r="AT478" s="36">
        <f>AS478/V478</f>
        <v/>
      </c>
      <c r="AU478" s="14">
        <f>AL478</f>
        <v/>
      </c>
      <c r="AV478" s="39">
        <f>AS478-AL478</f>
        <v/>
      </c>
      <c r="AW478" s="9">
        <f>AS478/AL478-1</f>
        <v/>
      </c>
      <c r="AX478" s="14">
        <f>AS478/AJ478/12</f>
        <v/>
      </c>
      <c r="AY478" s="14">
        <f>AF478</f>
        <v/>
      </c>
      <c r="AZ478" s="39">
        <f>AX478-AF478</f>
        <v/>
      </c>
      <c r="BA478" s="14">
        <f>SUMIFS(Donnees_regimes!$S$3:$S$1118,Donnees_regimes!$A$3:$A$1118,C478,Donnees_regimes!$B$3:$B$1118,"&gt;="&amp;G478,Donnees_regimes!$B$3:$B$1118,"&lt;="&amp;N478)*L478/ROUNDUP(L478,0)*SUMIFS(Donnees_annuelles!$AH$3:$AH$188,Donnees_annuelles!$A$3:$A$188,AR478)*SUMIFS(Donnees_annuelles!$AA$3:$AA$188,Donnees_annuelles!$A$3:$A$188,AR478)</f>
        <v/>
      </c>
      <c r="BB478" s="39">
        <f>BA478-AL478</f>
        <v/>
      </c>
      <c r="BC478" s="7">
        <f>IF(M478+AJ478&gt;2026,IF(G478&gt;2026,"entièrement projeté","en partie projeté"),"observé")</f>
        <v/>
      </c>
    </row>
    <row r="479">
      <c r="A479" s="7" t="inlineStr">
        <is>
          <t>Génération Z</t>
        </is>
      </c>
      <c r="B479" s="84" t="inlineStr">
        <is>
          <t>RATP</t>
        </is>
      </c>
      <c r="C479" s="7">
        <f>IF(G479&gt;=SUMIFS(Regimes!$C$5:$C$10,Regimes!$A$5:$A$10,B479),"Privé",B479)</f>
        <v/>
      </c>
      <c r="D479" s="7">
        <f>INDEX(Regimes!$D$5:$D$10,MATCH(C479,Regimes!$A$5:$A$10,0))</f>
        <v/>
      </c>
      <c r="E479" s="88" t="n">
        <v>2012</v>
      </c>
      <c r="F479" s="8">
        <f>Donnees_generations!C100</f>
        <v/>
      </c>
      <c r="G479" s="77">
        <f>Donnees_generations!D100</f>
        <v/>
      </c>
      <c r="H479" s="8">
        <f>SUMIFS(Donnees_generations!$S$3:$S$113,Donnees_generations!$A$3:$A$113,MAX(1915,MIN(2025,E479)))</f>
        <v/>
      </c>
      <c r="I479" s="8">
        <f>SUMIFS(Donnees_generations!$T$3:$T$113,Donnees_generations!$A$3:$A$113,MAX(1915,MIN(2025,E479)))</f>
        <v/>
      </c>
      <c r="J479" s="8">
        <f>IF(G479&gt;=2000,MAX(I479,Parametres!$B$3),I479)</f>
        <v/>
      </c>
      <c r="K479" s="8">
        <f>IF(C479="Privé",J479,SUMIFS(Regles_regimes!$J$3:$J$2000,Regles_regimes!$A$3:$A$2000,C479,Regles_regimes!$B$3:$B$2000,D479,Regles_regimes!$C$3:$C$2000,MAX(1915,MIN(2025,E479))))</f>
        <v/>
      </c>
      <c r="L479" s="8">
        <f>IF(C479="Privé",H479,(K479-F479)*H479/(J479-F479))</f>
        <v/>
      </c>
      <c r="M479" s="77">
        <f>INT(E479+K479)</f>
        <v/>
      </c>
      <c r="N479" s="77">
        <f>G479+ROUNDUP(L479,0)-1</f>
        <v/>
      </c>
      <c r="O479" s="89">
        <f>SUMIFS(Regles_regimes!$K$3:$K$2000,Regles_regimes!$A$3:$A$2000,C479,Regles_regimes!$B$3:$B$2000,D479,Regles_regimes!$C$3:$C$2000,MAX(1915,MIN(2025,E479)))</f>
        <v/>
      </c>
      <c r="P479" s="13">
        <f>SUMIFS(Donnees_annuelles!$W$3:$W$188,Donnees_annuelles!$A$3:$A$188,"&gt;="&amp;G479,Donnees_annuelles!$A$3:$A$188,"&lt;="&amp;N479)*L479/ROUNDUP(L479,0)*O479</f>
        <v/>
      </c>
      <c r="Q479" s="13">
        <f>SUMIFS(Donnees_annuelles!$V$3:$V$188,Donnees_annuelles!$A$3:$A$188,"&gt;="&amp;G479,Donnees_annuelles!$A$3:$A$188,"&lt;="&amp;N479)*L479/ROUNDUP(L479,0)</f>
        <v/>
      </c>
      <c r="R479" s="13">
        <f>P479/L479</f>
        <v/>
      </c>
      <c r="S479" s="14">
        <f>SUMIFS(Donnees_annuelles!$D$3:$D$188,Donnees_annuelles!$A$3:$A$188,"&gt;="&amp;G479,Donnees_annuelles!$A$3:$A$188,"&lt;="&amp;N479)*L479/ROUNDUP(L479,0)</f>
        <v/>
      </c>
      <c r="T479" s="14">
        <f>SUMIFS(Donnees_regimes!$N$3:$N$1118,Donnees_regimes!$A$3:$A$1118,C479,Donnees_regimes!$B$3:$B$1118,"&gt;="&amp;G479,Donnees_regimes!$B$3:$B$1118,"&lt;="&amp;N479)*L479/ROUNDUP(L479,0)</f>
        <v/>
      </c>
      <c r="U479" s="14">
        <f>SUMIFS(Donnees_regimes!$O$3:$O$1118,Donnees_regimes!$A$3:$A$1118,C479,Donnees_regimes!$B$3:$B$1118,"&gt;="&amp;G479,Donnees_regimes!$B$3:$B$1118,"&lt;="&amp;N479)*L479/ROUNDUP(L479,0)</f>
        <v/>
      </c>
      <c r="V479" s="14">
        <f>T479+U479</f>
        <v/>
      </c>
      <c r="W479" s="33">
        <f>V479/S479</f>
        <v/>
      </c>
      <c r="X479" s="14">
        <f>S479+U479</f>
        <v/>
      </c>
      <c r="Y479" s="17">
        <f>V479/P479</f>
        <v/>
      </c>
      <c r="Z479" s="14">
        <f>SUMIFS(Donnees_regimes!$Q$3:$Q$1118,Donnees_regimes!$A$3:$A$1118,C479,Donnees_regimes!$B$3:$B$1118,"&gt;="&amp;G479,Donnees_regimes!$B$3:$B$1118,"&lt;="&amp;N479)*L479/ROUNDUP(L479,0)</f>
        <v/>
      </c>
      <c r="AA479" s="77">
        <f>SUMIFS(Regles_regimes!$F$3:$F$2000,Regles_regimes!$A$3:$A$2000,C479,Regles_regimes!$B$3:$B$2000,D479,Regles_regimes!$C$3:$C$2000,MAX(1915,MIN(2025,E479)))</f>
        <v/>
      </c>
      <c r="AB479" s="77">
        <f>IF(AND(SUMIFS(Regles_regimes!$L$3:$L$2000,Regles_regimes!$A$3:$A$2000,C479,Regles_regimes!$B$3:$B$2000,D479,Regles_regimes!$C$3:$C$2000,MAX(1915,MIN(2025,E479)))=1,G479&lt;2009,C479&lt;&gt;"Privé"),MIN(20,L479*4/5),0)</f>
        <v/>
      </c>
      <c r="AC479" s="89">
        <f>SUMIFS(Donnees_regimes!$M$3:$M$1118,Donnees_regimes!$A$3:$A$1118,C479,Donnees_regimes!$B$3:$B$1118,M479)</f>
        <v/>
      </c>
      <c r="AD479" s="14">
        <f>SUMIFS(Donnees_annuelles!$Y$3:$Y$188,Donnees_annuelles!$A$3:$A$188,M479)*SUMIFS(Donnees_generations!$I$3:$I$113,Donnees_generations!$A$3:$A$113,MAX(1915,MIN(2025,E479)))/H479</f>
        <v/>
      </c>
      <c r="AE479" s="14">
        <f>IF(C479="Privé",SUMIFS(Donnees_annuelles!$Y$3:$Y$188,Donnees_annuelles!$A$3:$A$188,M479)*MIN(L479,SUMIFS(Donnees_generations!$I$3:$I$113,Donnees_generations!$A$3:$A$113,MAX(1915,MIN(2025,E479))))/L479,AD479*AC479*MIN(IF(AB479&gt;0,0.8/0.75,1),(L479*4+AB479)/AA479))</f>
        <v/>
      </c>
      <c r="AF479" s="14">
        <f>AE479/12</f>
        <v/>
      </c>
      <c r="AG479" s="77">
        <f>MIN(68,MAX(56,2*INT(K479/2)))</f>
        <v/>
      </c>
      <c r="AH479" s="75">
        <f>(CHOOSE((AG479-56)/2+1,SUMIFS(Donnees_generations!$U$3:$U$113,Donnees_generations!$A$3:$A$113,MAX(1915,MIN(2025,E479))),SUMIFS(Donnees_generations!$V$3:$V$113,Donnees_generations!$A$3:$A$113,MAX(1915,MIN(2025,E479))),SUMIFS(Donnees_generations!$W$3:$W$113,Donnees_generations!$A$3:$A$113,MAX(1915,MIN(2025,E479))),SUMIFS(Donnees_generations!$X$3:$X$113,Donnees_generations!$A$3:$A$113,MAX(1915,MIN(2025,E479))),SUMIFS(Donnees_generations!$Y$3:$Y$113,Donnees_generations!$A$3:$A$113,MAX(1915,MIN(2025,E479))),SUMIFS(Donnees_generations!$Z$3:$Z$113,Donnees_generations!$A$3:$A$113,MAX(1915,MIN(2025,E479))),SUMIFS(Donnees_generations!$AA$3:$AA$113,Donnees_generations!$A$3:$A$113,MAX(1915,MIN(2025,E479))),SUMIFS(Donnees_generations!$AB$3:$AB$113,Donnees_generations!$A$3:$A$113,MAX(1915,MIN(2025,E479))))+CHOOSE((AG479-56)/2+1,SUMIFS(Donnees_generations!$AC$3:$AC$113,Donnees_generations!$A$3:$A$113,MAX(1915,MIN(2025,E479))),SUMIFS(Donnees_generations!$AD$3:$AD$113,Donnees_generations!$A$3:$A$113,MAX(1915,MIN(2025,E479))),SUMIFS(Donnees_generations!$AE$3:$AE$113,Donnees_generations!$A$3:$A$113,MAX(1915,MIN(2025,E479))),SUMIFS(Donnees_generations!$AF$3:$AF$113,Donnees_generations!$A$3:$A$113,MAX(1915,MIN(2025,E479))),SUMIFS(Donnees_generations!$AG$3:$AG$113,Donnees_generations!$A$3:$A$113,MAX(1915,MIN(2025,E479))),SUMIFS(Donnees_generations!$AH$3:$AH$113,Donnees_generations!$A$3:$A$113,MAX(1915,MIN(2025,E479))),SUMIFS(Donnees_generations!$AI$3:$AI$113,Donnees_generations!$A$3:$A$113,MAX(1915,MIN(2025,E479))),SUMIFS(Donnees_generations!$AJ$3:$AJ$113,Donnees_generations!$A$3:$A$113,MAX(1915,MIN(2025,E479)))))/2</f>
        <v/>
      </c>
      <c r="AI479" s="75">
        <f>(CHOOSE(((AG479+2)-56)/2+1,SUMIFS(Donnees_generations!$U$3:$U$113,Donnees_generations!$A$3:$A$113,MAX(1915,MIN(2025,E479))),SUMIFS(Donnees_generations!$V$3:$V$113,Donnees_generations!$A$3:$A$113,MAX(1915,MIN(2025,E479))),SUMIFS(Donnees_generations!$W$3:$W$113,Donnees_generations!$A$3:$A$113,MAX(1915,MIN(2025,E479))),SUMIFS(Donnees_generations!$X$3:$X$113,Donnees_generations!$A$3:$A$113,MAX(1915,MIN(2025,E479))),SUMIFS(Donnees_generations!$Y$3:$Y$113,Donnees_generations!$A$3:$A$113,MAX(1915,MIN(2025,E479))),SUMIFS(Donnees_generations!$Z$3:$Z$113,Donnees_generations!$A$3:$A$113,MAX(1915,MIN(2025,E479))),SUMIFS(Donnees_generations!$AA$3:$AA$113,Donnees_generations!$A$3:$A$113,MAX(1915,MIN(2025,E479))),SUMIFS(Donnees_generations!$AB$3:$AB$113,Donnees_generations!$A$3:$A$113,MAX(1915,MIN(2025,E479))))+CHOOSE(((AG479+2)-56)/2+1,SUMIFS(Donnees_generations!$AC$3:$AC$113,Donnees_generations!$A$3:$A$113,MAX(1915,MIN(2025,E479))),SUMIFS(Donnees_generations!$AD$3:$AD$113,Donnees_generations!$A$3:$A$113,MAX(1915,MIN(2025,E479))),SUMIFS(Donnees_generations!$AE$3:$AE$113,Donnees_generations!$A$3:$A$113,MAX(1915,MIN(2025,E479))),SUMIFS(Donnees_generations!$AF$3:$AF$113,Donnees_generations!$A$3:$A$113,MAX(1915,MIN(2025,E479))),SUMIFS(Donnees_generations!$AG$3:$AG$113,Donnees_generations!$A$3:$A$113,MAX(1915,MIN(2025,E479))),SUMIFS(Donnees_generations!$AH$3:$AH$113,Donnees_generations!$A$3:$A$113,MAX(1915,MIN(2025,E479))),SUMIFS(Donnees_generations!$AI$3:$AI$113,Donnees_generations!$A$3:$A$113,MAX(1915,MIN(2025,E479))),SUMIFS(Donnees_generations!$AJ$3:$AJ$113,Donnees_generations!$A$3:$A$113,MAX(1915,MIN(2025,E479)))))/2</f>
        <v/>
      </c>
      <c r="AJ479" s="8">
        <f>MAX(0,AH479+(AI479-AH479)*(K479-AG479)/2)</f>
        <v/>
      </c>
      <c r="AK479" s="8">
        <f>K479+AJ479</f>
        <v/>
      </c>
      <c r="AL479" s="14">
        <f>AE479*AJ479</f>
        <v/>
      </c>
      <c r="AM479" s="17">
        <f>V479/AL479</f>
        <v/>
      </c>
      <c r="AN479" s="17">
        <f>Z479/AL479</f>
        <v/>
      </c>
      <c r="AO479" s="33">
        <f>IF(V479+Z479=0,0,Z479/(V479+Z479))</f>
        <v/>
      </c>
      <c r="AP479" s="14">
        <f>AL479/V479*100</f>
        <v/>
      </c>
      <c r="AQ479" s="8">
        <f>P479/AL479*1000</f>
        <v/>
      </c>
      <c r="AR479" s="77">
        <f>MAX(N479,M479-1)</f>
        <v/>
      </c>
      <c r="AS479" s="14">
        <f>SUMIFS(Donnees_regimes!$R$3:$R$1118,Donnees_regimes!$A$3:$A$1118,C479,Donnees_regimes!$B$3:$B$1118,"&gt;="&amp;G479,Donnees_regimes!$B$3:$B$1118,"&lt;="&amp;N479)*L479/ROUNDUP(L479,0)*SUMIFS(Donnees_annuelles!$AG$3:$AG$188,Donnees_annuelles!$A$3:$A$188,AR479)*SUMIFS(Donnees_annuelles!$AA$3:$AA$188,Donnees_annuelles!$A$3:$A$188,AR479)</f>
        <v/>
      </c>
      <c r="AT479" s="36">
        <f>AS479/V479</f>
        <v/>
      </c>
      <c r="AU479" s="14">
        <f>AL479</f>
        <v/>
      </c>
      <c r="AV479" s="39">
        <f>AS479-AL479</f>
        <v/>
      </c>
      <c r="AW479" s="9">
        <f>AS479/AL479-1</f>
        <v/>
      </c>
      <c r="AX479" s="14">
        <f>AS479/AJ479/12</f>
        <v/>
      </c>
      <c r="AY479" s="14">
        <f>AF479</f>
        <v/>
      </c>
      <c r="AZ479" s="39">
        <f>AX479-AF479</f>
        <v/>
      </c>
      <c r="BA479" s="14">
        <f>SUMIFS(Donnees_regimes!$S$3:$S$1118,Donnees_regimes!$A$3:$A$1118,C479,Donnees_regimes!$B$3:$B$1118,"&gt;="&amp;G479,Donnees_regimes!$B$3:$B$1118,"&lt;="&amp;N479)*L479/ROUNDUP(L479,0)*SUMIFS(Donnees_annuelles!$AH$3:$AH$188,Donnees_annuelles!$A$3:$A$188,AR479)*SUMIFS(Donnees_annuelles!$AA$3:$AA$188,Donnees_annuelles!$A$3:$A$188,AR479)</f>
        <v/>
      </c>
      <c r="BB479" s="39">
        <f>BA479-AL479</f>
        <v/>
      </c>
      <c r="BC479" s="7">
        <f>IF(M479+AJ479&gt;2026,IF(G479&gt;2026,"entièrement projeté","en partie projeté"),"observé")</f>
        <v/>
      </c>
    </row>
    <row r="480">
      <c r="A480" s="7" t="inlineStr">
        <is>
          <t>Génération Alpha</t>
        </is>
      </c>
      <c r="B480" s="84" t="inlineStr">
        <is>
          <t>RATP</t>
        </is>
      </c>
      <c r="C480" s="7">
        <f>IF(G480&gt;=SUMIFS(Regimes!$C$5:$C$10,Regimes!$A$5:$A$10,B480),"Privé",B480)</f>
        <v/>
      </c>
      <c r="D480" s="7">
        <f>INDEX(Regimes!$D$5:$D$10,MATCH(C480,Regimes!$A$5:$A$10,0))</f>
        <v/>
      </c>
      <c r="E480" s="88" t="n">
        <v>2013</v>
      </c>
      <c r="F480" s="8">
        <f>Donnees_generations!C101</f>
        <v/>
      </c>
      <c r="G480" s="77">
        <f>Donnees_generations!D101</f>
        <v/>
      </c>
      <c r="H480" s="8">
        <f>SUMIFS(Donnees_generations!$S$3:$S$113,Donnees_generations!$A$3:$A$113,MAX(1915,MIN(2025,E480)))</f>
        <v/>
      </c>
      <c r="I480" s="8">
        <f>SUMIFS(Donnees_generations!$T$3:$T$113,Donnees_generations!$A$3:$A$113,MAX(1915,MIN(2025,E480)))</f>
        <v/>
      </c>
      <c r="J480" s="8">
        <f>IF(G480&gt;=2000,MAX(I480,Parametres!$B$3),I480)</f>
        <v/>
      </c>
      <c r="K480" s="8">
        <f>IF(C480="Privé",J480,SUMIFS(Regles_regimes!$J$3:$J$2000,Regles_regimes!$A$3:$A$2000,C480,Regles_regimes!$B$3:$B$2000,D480,Regles_regimes!$C$3:$C$2000,MAX(1915,MIN(2025,E480))))</f>
        <v/>
      </c>
      <c r="L480" s="8">
        <f>IF(C480="Privé",H480,(K480-F480)*H480/(J480-F480))</f>
        <v/>
      </c>
      <c r="M480" s="77">
        <f>INT(E480+K480)</f>
        <v/>
      </c>
      <c r="N480" s="77">
        <f>G480+ROUNDUP(L480,0)-1</f>
        <v/>
      </c>
      <c r="O480" s="89">
        <f>SUMIFS(Regles_regimes!$K$3:$K$2000,Regles_regimes!$A$3:$A$2000,C480,Regles_regimes!$B$3:$B$2000,D480,Regles_regimes!$C$3:$C$2000,MAX(1915,MIN(2025,E480)))</f>
        <v/>
      </c>
      <c r="P480" s="13">
        <f>SUMIFS(Donnees_annuelles!$W$3:$W$188,Donnees_annuelles!$A$3:$A$188,"&gt;="&amp;G480,Donnees_annuelles!$A$3:$A$188,"&lt;="&amp;N480)*L480/ROUNDUP(L480,0)*O480</f>
        <v/>
      </c>
      <c r="Q480" s="13">
        <f>SUMIFS(Donnees_annuelles!$V$3:$V$188,Donnees_annuelles!$A$3:$A$188,"&gt;="&amp;G480,Donnees_annuelles!$A$3:$A$188,"&lt;="&amp;N480)*L480/ROUNDUP(L480,0)</f>
        <v/>
      </c>
      <c r="R480" s="13">
        <f>P480/L480</f>
        <v/>
      </c>
      <c r="S480" s="14">
        <f>SUMIFS(Donnees_annuelles!$D$3:$D$188,Donnees_annuelles!$A$3:$A$188,"&gt;="&amp;G480,Donnees_annuelles!$A$3:$A$188,"&lt;="&amp;N480)*L480/ROUNDUP(L480,0)</f>
        <v/>
      </c>
      <c r="T480" s="14">
        <f>SUMIFS(Donnees_regimes!$N$3:$N$1118,Donnees_regimes!$A$3:$A$1118,C480,Donnees_regimes!$B$3:$B$1118,"&gt;="&amp;G480,Donnees_regimes!$B$3:$B$1118,"&lt;="&amp;N480)*L480/ROUNDUP(L480,0)</f>
        <v/>
      </c>
      <c r="U480" s="14">
        <f>SUMIFS(Donnees_regimes!$O$3:$O$1118,Donnees_regimes!$A$3:$A$1118,C480,Donnees_regimes!$B$3:$B$1118,"&gt;="&amp;G480,Donnees_regimes!$B$3:$B$1118,"&lt;="&amp;N480)*L480/ROUNDUP(L480,0)</f>
        <v/>
      </c>
      <c r="V480" s="14">
        <f>T480+U480</f>
        <v/>
      </c>
      <c r="W480" s="33">
        <f>V480/S480</f>
        <v/>
      </c>
      <c r="X480" s="14">
        <f>S480+U480</f>
        <v/>
      </c>
      <c r="Y480" s="17">
        <f>V480/P480</f>
        <v/>
      </c>
      <c r="Z480" s="14">
        <f>SUMIFS(Donnees_regimes!$Q$3:$Q$1118,Donnees_regimes!$A$3:$A$1118,C480,Donnees_regimes!$B$3:$B$1118,"&gt;="&amp;G480,Donnees_regimes!$B$3:$B$1118,"&lt;="&amp;N480)*L480/ROUNDUP(L480,0)</f>
        <v/>
      </c>
      <c r="AA480" s="77">
        <f>SUMIFS(Regles_regimes!$F$3:$F$2000,Regles_regimes!$A$3:$A$2000,C480,Regles_regimes!$B$3:$B$2000,D480,Regles_regimes!$C$3:$C$2000,MAX(1915,MIN(2025,E480)))</f>
        <v/>
      </c>
      <c r="AB480" s="77">
        <f>IF(AND(SUMIFS(Regles_regimes!$L$3:$L$2000,Regles_regimes!$A$3:$A$2000,C480,Regles_regimes!$B$3:$B$2000,D480,Regles_regimes!$C$3:$C$2000,MAX(1915,MIN(2025,E480)))=1,G480&lt;2009,C480&lt;&gt;"Privé"),MIN(20,L480*4/5),0)</f>
        <v/>
      </c>
      <c r="AC480" s="89">
        <f>SUMIFS(Donnees_regimes!$M$3:$M$1118,Donnees_regimes!$A$3:$A$1118,C480,Donnees_regimes!$B$3:$B$1118,M480)</f>
        <v/>
      </c>
      <c r="AD480" s="14">
        <f>SUMIFS(Donnees_annuelles!$Y$3:$Y$188,Donnees_annuelles!$A$3:$A$188,M480)*SUMIFS(Donnees_generations!$I$3:$I$113,Donnees_generations!$A$3:$A$113,MAX(1915,MIN(2025,E480)))/H480</f>
        <v/>
      </c>
      <c r="AE480" s="14">
        <f>IF(C480="Privé",SUMIFS(Donnees_annuelles!$Y$3:$Y$188,Donnees_annuelles!$A$3:$A$188,M480)*MIN(L480,SUMIFS(Donnees_generations!$I$3:$I$113,Donnees_generations!$A$3:$A$113,MAX(1915,MIN(2025,E480))))/L480,AD480*AC480*MIN(IF(AB480&gt;0,0.8/0.75,1),(L480*4+AB480)/AA480))</f>
        <v/>
      </c>
      <c r="AF480" s="14">
        <f>AE480/12</f>
        <v/>
      </c>
      <c r="AG480" s="77">
        <f>MIN(68,MAX(56,2*INT(K480/2)))</f>
        <v/>
      </c>
      <c r="AH480" s="75">
        <f>(CHOOSE((AG480-56)/2+1,SUMIFS(Donnees_generations!$U$3:$U$113,Donnees_generations!$A$3:$A$113,MAX(1915,MIN(2025,E480))),SUMIFS(Donnees_generations!$V$3:$V$113,Donnees_generations!$A$3:$A$113,MAX(1915,MIN(2025,E480))),SUMIFS(Donnees_generations!$W$3:$W$113,Donnees_generations!$A$3:$A$113,MAX(1915,MIN(2025,E480))),SUMIFS(Donnees_generations!$X$3:$X$113,Donnees_generations!$A$3:$A$113,MAX(1915,MIN(2025,E480))),SUMIFS(Donnees_generations!$Y$3:$Y$113,Donnees_generations!$A$3:$A$113,MAX(1915,MIN(2025,E480))),SUMIFS(Donnees_generations!$Z$3:$Z$113,Donnees_generations!$A$3:$A$113,MAX(1915,MIN(2025,E480))),SUMIFS(Donnees_generations!$AA$3:$AA$113,Donnees_generations!$A$3:$A$113,MAX(1915,MIN(2025,E480))),SUMIFS(Donnees_generations!$AB$3:$AB$113,Donnees_generations!$A$3:$A$113,MAX(1915,MIN(2025,E480))))+CHOOSE((AG480-56)/2+1,SUMIFS(Donnees_generations!$AC$3:$AC$113,Donnees_generations!$A$3:$A$113,MAX(1915,MIN(2025,E480))),SUMIFS(Donnees_generations!$AD$3:$AD$113,Donnees_generations!$A$3:$A$113,MAX(1915,MIN(2025,E480))),SUMIFS(Donnees_generations!$AE$3:$AE$113,Donnees_generations!$A$3:$A$113,MAX(1915,MIN(2025,E480))),SUMIFS(Donnees_generations!$AF$3:$AF$113,Donnees_generations!$A$3:$A$113,MAX(1915,MIN(2025,E480))),SUMIFS(Donnees_generations!$AG$3:$AG$113,Donnees_generations!$A$3:$A$113,MAX(1915,MIN(2025,E480))),SUMIFS(Donnees_generations!$AH$3:$AH$113,Donnees_generations!$A$3:$A$113,MAX(1915,MIN(2025,E480))),SUMIFS(Donnees_generations!$AI$3:$AI$113,Donnees_generations!$A$3:$A$113,MAX(1915,MIN(2025,E480))),SUMIFS(Donnees_generations!$AJ$3:$AJ$113,Donnees_generations!$A$3:$A$113,MAX(1915,MIN(2025,E480)))))/2</f>
        <v/>
      </c>
      <c r="AI480" s="75">
        <f>(CHOOSE(((AG480+2)-56)/2+1,SUMIFS(Donnees_generations!$U$3:$U$113,Donnees_generations!$A$3:$A$113,MAX(1915,MIN(2025,E480))),SUMIFS(Donnees_generations!$V$3:$V$113,Donnees_generations!$A$3:$A$113,MAX(1915,MIN(2025,E480))),SUMIFS(Donnees_generations!$W$3:$W$113,Donnees_generations!$A$3:$A$113,MAX(1915,MIN(2025,E480))),SUMIFS(Donnees_generations!$X$3:$X$113,Donnees_generations!$A$3:$A$113,MAX(1915,MIN(2025,E480))),SUMIFS(Donnees_generations!$Y$3:$Y$113,Donnees_generations!$A$3:$A$113,MAX(1915,MIN(2025,E480))),SUMIFS(Donnees_generations!$Z$3:$Z$113,Donnees_generations!$A$3:$A$113,MAX(1915,MIN(2025,E480))),SUMIFS(Donnees_generations!$AA$3:$AA$113,Donnees_generations!$A$3:$A$113,MAX(1915,MIN(2025,E480))),SUMIFS(Donnees_generations!$AB$3:$AB$113,Donnees_generations!$A$3:$A$113,MAX(1915,MIN(2025,E480))))+CHOOSE(((AG480+2)-56)/2+1,SUMIFS(Donnees_generations!$AC$3:$AC$113,Donnees_generations!$A$3:$A$113,MAX(1915,MIN(2025,E480))),SUMIFS(Donnees_generations!$AD$3:$AD$113,Donnees_generations!$A$3:$A$113,MAX(1915,MIN(2025,E480))),SUMIFS(Donnees_generations!$AE$3:$AE$113,Donnees_generations!$A$3:$A$113,MAX(1915,MIN(2025,E480))),SUMIFS(Donnees_generations!$AF$3:$AF$113,Donnees_generations!$A$3:$A$113,MAX(1915,MIN(2025,E480))),SUMIFS(Donnees_generations!$AG$3:$AG$113,Donnees_generations!$A$3:$A$113,MAX(1915,MIN(2025,E480))),SUMIFS(Donnees_generations!$AH$3:$AH$113,Donnees_generations!$A$3:$A$113,MAX(1915,MIN(2025,E480))),SUMIFS(Donnees_generations!$AI$3:$AI$113,Donnees_generations!$A$3:$A$113,MAX(1915,MIN(2025,E480))),SUMIFS(Donnees_generations!$AJ$3:$AJ$113,Donnees_generations!$A$3:$A$113,MAX(1915,MIN(2025,E480)))))/2</f>
        <v/>
      </c>
      <c r="AJ480" s="8">
        <f>MAX(0,AH480+(AI480-AH480)*(K480-AG480)/2)</f>
        <v/>
      </c>
      <c r="AK480" s="8">
        <f>K480+AJ480</f>
        <v/>
      </c>
      <c r="AL480" s="14">
        <f>AE480*AJ480</f>
        <v/>
      </c>
      <c r="AM480" s="17">
        <f>V480/AL480</f>
        <v/>
      </c>
      <c r="AN480" s="17">
        <f>Z480/AL480</f>
        <v/>
      </c>
      <c r="AO480" s="33">
        <f>IF(V480+Z480=0,0,Z480/(V480+Z480))</f>
        <v/>
      </c>
      <c r="AP480" s="14">
        <f>AL480/V480*100</f>
        <v/>
      </c>
      <c r="AQ480" s="8">
        <f>P480/AL480*1000</f>
        <v/>
      </c>
      <c r="AR480" s="77">
        <f>MAX(N480,M480-1)</f>
        <v/>
      </c>
      <c r="AS480" s="14">
        <f>SUMIFS(Donnees_regimes!$R$3:$R$1118,Donnees_regimes!$A$3:$A$1118,C480,Donnees_regimes!$B$3:$B$1118,"&gt;="&amp;G480,Donnees_regimes!$B$3:$B$1118,"&lt;="&amp;N480)*L480/ROUNDUP(L480,0)*SUMIFS(Donnees_annuelles!$AG$3:$AG$188,Donnees_annuelles!$A$3:$A$188,AR480)*SUMIFS(Donnees_annuelles!$AA$3:$AA$188,Donnees_annuelles!$A$3:$A$188,AR480)</f>
        <v/>
      </c>
      <c r="AT480" s="36">
        <f>AS480/V480</f>
        <v/>
      </c>
      <c r="AU480" s="14">
        <f>AL480</f>
        <v/>
      </c>
      <c r="AV480" s="39">
        <f>AS480-AL480</f>
        <v/>
      </c>
      <c r="AW480" s="9">
        <f>AS480/AL480-1</f>
        <v/>
      </c>
      <c r="AX480" s="14">
        <f>AS480/AJ480/12</f>
        <v/>
      </c>
      <c r="AY480" s="14">
        <f>AF480</f>
        <v/>
      </c>
      <c r="AZ480" s="39">
        <f>AX480-AF480</f>
        <v/>
      </c>
      <c r="BA480" s="14">
        <f>SUMIFS(Donnees_regimes!$S$3:$S$1118,Donnees_regimes!$A$3:$A$1118,C480,Donnees_regimes!$B$3:$B$1118,"&gt;="&amp;G480,Donnees_regimes!$B$3:$B$1118,"&lt;="&amp;N480)*L480/ROUNDUP(L480,0)*SUMIFS(Donnees_annuelles!$AH$3:$AH$188,Donnees_annuelles!$A$3:$A$188,AR480)*SUMIFS(Donnees_annuelles!$AA$3:$AA$188,Donnees_annuelles!$A$3:$A$188,AR480)</f>
        <v/>
      </c>
      <c r="BB480" s="39">
        <f>BA480-AL480</f>
        <v/>
      </c>
      <c r="BC480" s="7">
        <f>IF(M480+AJ480&gt;2026,IF(G480&gt;2026,"entièrement projeté","en partie projeté"),"observé")</f>
        <v/>
      </c>
    </row>
    <row r="481">
      <c r="A481" s="7" t="inlineStr">
        <is>
          <t>Génération Alpha</t>
        </is>
      </c>
      <c r="B481" s="84" t="inlineStr">
        <is>
          <t>RATP</t>
        </is>
      </c>
      <c r="C481" s="7">
        <f>IF(G481&gt;=SUMIFS(Regimes!$C$5:$C$10,Regimes!$A$5:$A$10,B481),"Privé",B481)</f>
        <v/>
      </c>
      <c r="D481" s="7">
        <f>INDEX(Regimes!$D$5:$D$10,MATCH(C481,Regimes!$A$5:$A$10,0))</f>
        <v/>
      </c>
      <c r="E481" s="88" t="n">
        <v>2014</v>
      </c>
      <c r="F481" s="8">
        <f>Donnees_generations!C102</f>
        <v/>
      </c>
      <c r="G481" s="77">
        <f>Donnees_generations!D102</f>
        <v/>
      </c>
      <c r="H481" s="8">
        <f>SUMIFS(Donnees_generations!$S$3:$S$113,Donnees_generations!$A$3:$A$113,MAX(1915,MIN(2025,E481)))</f>
        <v/>
      </c>
      <c r="I481" s="8">
        <f>SUMIFS(Donnees_generations!$T$3:$T$113,Donnees_generations!$A$3:$A$113,MAX(1915,MIN(2025,E481)))</f>
        <v/>
      </c>
      <c r="J481" s="8">
        <f>IF(G481&gt;=2000,MAX(I481,Parametres!$B$3),I481)</f>
        <v/>
      </c>
      <c r="K481" s="8">
        <f>IF(C481="Privé",J481,SUMIFS(Regles_regimes!$J$3:$J$2000,Regles_regimes!$A$3:$A$2000,C481,Regles_regimes!$B$3:$B$2000,D481,Regles_regimes!$C$3:$C$2000,MAX(1915,MIN(2025,E481))))</f>
        <v/>
      </c>
      <c r="L481" s="8">
        <f>IF(C481="Privé",H481,(K481-F481)*H481/(J481-F481))</f>
        <v/>
      </c>
      <c r="M481" s="77">
        <f>INT(E481+K481)</f>
        <v/>
      </c>
      <c r="N481" s="77">
        <f>G481+ROUNDUP(L481,0)-1</f>
        <v/>
      </c>
      <c r="O481" s="89">
        <f>SUMIFS(Regles_regimes!$K$3:$K$2000,Regles_regimes!$A$3:$A$2000,C481,Regles_regimes!$B$3:$B$2000,D481,Regles_regimes!$C$3:$C$2000,MAX(1915,MIN(2025,E481)))</f>
        <v/>
      </c>
      <c r="P481" s="13">
        <f>SUMIFS(Donnees_annuelles!$W$3:$W$188,Donnees_annuelles!$A$3:$A$188,"&gt;="&amp;G481,Donnees_annuelles!$A$3:$A$188,"&lt;="&amp;N481)*L481/ROUNDUP(L481,0)*O481</f>
        <v/>
      </c>
      <c r="Q481" s="13">
        <f>SUMIFS(Donnees_annuelles!$V$3:$V$188,Donnees_annuelles!$A$3:$A$188,"&gt;="&amp;G481,Donnees_annuelles!$A$3:$A$188,"&lt;="&amp;N481)*L481/ROUNDUP(L481,0)</f>
        <v/>
      </c>
      <c r="R481" s="13">
        <f>P481/L481</f>
        <v/>
      </c>
      <c r="S481" s="14">
        <f>SUMIFS(Donnees_annuelles!$D$3:$D$188,Donnees_annuelles!$A$3:$A$188,"&gt;="&amp;G481,Donnees_annuelles!$A$3:$A$188,"&lt;="&amp;N481)*L481/ROUNDUP(L481,0)</f>
        <v/>
      </c>
      <c r="T481" s="14">
        <f>SUMIFS(Donnees_regimes!$N$3:$N$1118,Donnees_regimes!$A$3:$A$1118,C481,Donnees_regimes!$B$3:$B$1118,"&gt;="&amp;G481,Donnees_regimes!$B$3:$B$1118,"&lt;="&amp;N481)*L481/ROUNDUP(L481,0)</f>
        <v/>
      </c>
      <c r="U481" s="14">
        <f>SUMIFS(Donnees_regimes!$O$3:$O$1118,Donnees_regimes!$A$3:$A$1118,C481,Donnees_regimes!$B$3:$B$1118,"&gt;="&amp;G481,Donnees_regimes!$B$3:$B$1118,"&lt;="&amp;N481)*L481/ROUNDUP(L481,0)</f>
        <v/>
      </c>
      <c r="V481" s="14">
        <f>T481+U481</f>
        <v/>
      </c>
      <c r="W481" s="33">
        <f>V481/S481</f>
        <v/>
      </c>
      <c r="X481" s="14">
        <f>S481+U481</f>
        <v/>
      </c>
      <c r="Y481" s="17">
        <f>V481/P481</f>
        <v/>
      </c>
      <c r="Z481" s="14">
        <f>SUMIFS(Donnees_regimes!$Q$3:$Q$1118,Donnees_regimes!$A$3:$A$1118,C481,Donnees_regimes!$B$3:$B$1118,"&gt;="&amp;G481,Donnees_regimes!$B$3:$B$1118,"&lt;="&amp;N481)*L481/ROUNDUP(L481,0)</f>
        <v/>
      </c>
      <c r="AA481" s="77">
        <f>SUMIFS(Regles_regimes!$F$3:$F$2000,Regles_regimes!$A$3:$A$2000,C481,Regles_regimes!$B$3:$B$2000,D481,Regles_regimes!$C$3:$C$2000,MAX(1915,MIN(2025,E481)))</f>
        <v/>
      </c>
      <c r="AB481" s="77">
        <f>IF(AND(SUMIFS(Regles_regimes!$L$3:$L$2000,Regles_regimes!$A$3:$A$2000,C481,Regles_regimes!$B$3:$B$2000,D481,Regles_regimes!$C$3:$C$2000,MAX(1915,MIN(2025,E481)))=1,G481&lt;2009,C481&lt;&gt;"Privé"),MIN(20,L481*4/5),0)</f>
        <v/>
      </c>
      <c r="AC481" s="89">
        <f>SUMIFS(Donnees_regimes!$M$3:$M$1118,Donnees_regimes!$A$3:$A$1118,C481,Donnees_regimes!$B$3:$B$1118,M481)</f>
        <v/>
      </c>
      <c r="AD481" s="14">
        <f>SUMIFS(Donnees_annuelles!$Y$3:$Y$188,Donnees_annuelles!$A$3:$A$188,M481)*SUMIFS(Donnees_generations!$I$3:$I$113,Donnees_generations!$A$3:$A$113,MAX(1915,MIN(2025,E481)))/H481</f>
        <v/>
      </c>
      <c r="AE481" s="14">
        <f>IF(C481="Privé",SUMIFS(Donnees_annuelles!$Y$3:$Y$188,Donnees_annuelles!$A$3:$A$188,M481)*MIN(L481,SUMIFS(Donnees_generations!$I$3:$I$113,Donnees_generations!$A$3:$A$113,MAX(1915,MIN(2025,E481))))/L481,AD481*AC481*MIN(IF(AB481&gt;0,0.8/0.75,1),(L481*4+AB481)/AA481))</f>
        <v/>
      </c>
      <c r="AF481" s="14">
        <f>AE481/12</f>
        <v/>
      </c>
      <c r="AG481" s="77">
        <f>MIN(68,MAX(56,2*INT(K481/2)))</f>
        <v/>
      </c>
      <c r="AH481" s="75">
        <f>(CHOOSE((AG481-56)/2+1,SUMIFS(Donnees_generations!$U$3:$U$113,Donnees_generations!$A$3:$A$113,MAX(1915,MIN(2025,E481))),SUMIFS(Donnees_generations!$V$3:$V$113,Donnees_generations!$A$3:$A$113,MAX(1915,MIN(2025,E481))),SUMIFS(Donnees_generations!$W$3:$W$113,Donnees_generations!$A$3:$A$113,MAX(1915,MIN(2025,E481))),SUMIFS(Donnees_generations!$X$3:$X$113,Donnees_generations!$A$3:$A$113,MAX(1915,MIN(2025,E481))),SUMIFS(Donnees_generations!$Y$3:$Y$113,Donnees_generations!$A$3:$A$113,MAX(1915,MIN(2025,E481))),SUMIFS(Donnees_generations!$Z$3:$Z$113,Donnees_generations!$A$3:$A$113,MAX(1915,MIN(2025,E481))),SUMIFS(Donnees_generations!$AA$3:$AA$113,Donnees_generations!$A$3:$A$113,MAX(1915,MIN(2025,E481))),SUMIFS(Donnees_generations!$AB$3:$AB$113,Donnees_generations!$A$3:$A$113,MAX(1915,MIN(2025,E481))))+CHOOSE((AG481-56)/2+1,SUMIFS(Donnees_generations!$AC$3:$AC$113,Donnees_generations!$A$3:$A$113,MAX(1915,MIN(2025,E481))),SUMIFS(Donnees_generations!$AD$3:$AD$113,Donnees_generations!$A$3:$A$113,MAX(1915,MIN(2025,E481))),SUMIFS(Donnees_generations!$AE$3:$AE$113,Donnees_generations!$A$3:$A$113,MAX(1915,MIN(2025,E481))),SUMIFS(Donnees_generations!$AF$3:$AF$113,Donnees_generations!$A$3:$A$113,MAX(1915,MIN(2025,E481))),SUMIFS(Donnees_generations!$AG$3:$AG$113,Donnees_generations!$A$3:$A$113,MAX(1915,MIN(2025,E481))),SUMIFS(Donnees_generations!$AH$3:$AH$113,Donnees_generations!$A$3:$A$113,MAX(1915,MIN(2025,E481))),SUMIFS(Donnees_generations!$AI$3:$AI$113,Donnees_generations!$A$3:$A$113,MAX(1915,MIN(2025,E481))),SUMIFS(Donnees_generations!$AJ$3:$AJ$113,Donnees_generations!$A$3:$A$113,MAX(1915,MIN(2025,E481)))))/2</f>
        <v/>
      </c>
      <c r="AI481" s="75">
        <f>(CHOOSE(((AG481+2)-56)/2+1,SUMIFS(Donnees_generations!$U$3:$U$113,Donnees_generations!$A$3:$A$113,MAX(1915,MIN(2025,E481))),SUMIFS(Donnees_generations!$V$3:$V$113,Donnees_generations!$A$3:$A$113,MAX(1915,MIN(2025,E481))),SUMIFS(Donnees_generations!$W$3:$W$113,Donnees_generations!$A$3:$A$113,MAX(1915,MIN(2025,E481))),SUMIFS(Donnees_generations!$X$3:$X$113,Donnees_generations!$A$3:$A$113,MAX(1915,MIN(2025,E481))),SUMIFS(Donnees_generations!$Y$3:$Y$113,Donnees_generations!$A$3:$A$113,MAX(1915,MIN(2025,E481))),SUMIFS(Donnees_generations!$Z$3:$Z$113,Donnees_generations!$A$3:$A$113,MAX(1915,MIN(2025,E481))),SUMIFS(Donnees_generations!$AA$3:$AA$113,Donnees_generations!$A$3:$A$113,MAX(1915,MIN(2025,E481))),SUMIFS(Donnees_generations!$AB$3:$AB$113,Donnees_generations!$A$3:$A$113,MAX(1915,MIN(2025,E481))))+CHOOSE(((AG481+2)-56)/2+1,SUMIFS(Donnees_generations!$AC$3:$AC$113,Donnees_generations!$A$3:$A$113,MAX(1915,MIN(2025,E481))),SUMIFS(Donnees_generations!$AD$3:$AD$113,Donnees_generations!$A$3:$A$113,MAX(1915,MIN(2025,E481))),SUMIFS(Donnees_generations!$AE$3:$AE$113,Donnees_generations!$A$3:$A$113,MAX(1915,MIN(2025,E481))),SUMIFS(Donnees_generations!$AF$3:$AF$113,Donnees_generations!$A$3:$A$113,MAX(1915,MIN(2025,E481))),SUMIFS(Donnees_generations!$AG$3:$AG$113,Donnees_generations!$A$3:$A$113,MAX(1915,MIN(2025,E481))),SUMIFS(Donnees_generations!$AH$3:$AH$113,Donnees_generations!$A$3:$A$113,MAX(1915,MIN(2025,E481))),SUMIFS(Donnees_generations!$AI$3:$AI$113,Donnees_generations!$A$3:$A$113,MAX(1915,MIN(2025,E481))),SUMIFS(Donnees_generations!$AJ$3:$AJ$113,Donnees_generations!$A$3:$A$113,MAX(1915,MIN(2025,E481)))))/2</f>
        <v/>
      </c>
      <c r="AJ481" s="8">
        <f>MAX(0,AH481+(AI481-AH481)*(K481-AG481)/2)</f>
        <v/>
      </c>
      <c r="AK481" s="8">
        <f>K481+AJ481</f>
        <v/>
      </c>
      <c r="AL481" s="14">
        <f>AE481*AJ481</f>
        <v/>
      </c>
      <c r="AM481" s="17">
        <f>V481/AL481</f>
        <v/>
      </c>
      <c r="AN481" s="17">
        <f>Z481/AL481</f>
        <v/>
      </c>
      <c r="AO481" s="33">
        <f>IF(V481+Z481=0,0,Z481/(V481+Z481))</f>
        <v/>
      </c>
      <c r="AP481" s="14">
        <f>AL481/V481*100</f>
        <v/>
      </c>
      <c r="AQ481" s="8">
        <f>P481/AL481*1000</f>
        <v/>
      </c>
      <c r="AR481" s="77">
        <f>MAX(N481,M481-1)</f>
        <v/>
      </c>
      <c r="AS481" s="14">
        <f>SUMIFS(Donnees_regimes!$R$3:$R$1118,Donnees_regimes!$A$3:$A$1118,C481,Donnees_regimes!$B$3:$B$1118,"&gt;="&amp;G481,Donnees_regimes!$B$3:$B$1118,"&lt;="&amp;N481)*L481/ROUNDUP(L481,0)*SUMIFS(Donnees_annuelles!$AG$3:$AG$188,Donnees_annuelles!$A$3:$A$188,AR481)*SUMIFS(Donnees_annuelles!$AA$3:$AA$188,Donnees_annuelles!$A$3:$A$188,AR481)</f>
        <v/>
      </c>
      <c r="AT481" s="36">
        <f>AS481/V481</f>
        <v/>
      </c>
      <c r="AU481" s="14">
        <f>AL481</f>
        <v/>
      </c>
      <c r="AV481" s="39">
        <f>AS481-AL481</f>
        <v/>
      </c>
      <c r="AW481" s="9">
        <f>AS481/AL481-1</f>
        <v/>
      </c>
      <c r="AX481" s="14">
        <f>AS481/AJ481/12</f>
        <v/>
      </c>
      <c r="AY481" s="14">
        <f>AF481</f>
        <v/>
      </c>
      <c r="AZ481" s="39">
        <f>AX481-AF481</f>
        <v/>
      </c>
      <c r="BA481" s="14">
        <f>SUMIFS(Donnees_regimes!$S$3:$S$1118,Donnees_regimes!$A$3:$A$1118,C481,Donnees_regimes!$B$3:$B$1118,"&gt;="&amp;G481,Donnees_regimes!$B$3:$B$1118,"&lt;="&amp;N481)*L481/ROUNDUP(L481,0)*SUMIFS(Donnees_annuelles!$AH$3:$AH$188,Donnees_annuelles!$A$3:$A$188,AR481)*SUMIFS(Donnees_annuelles!$AA$3:$AA$188,Donnees_annuelles!$A$3:$A$188,AR481)</f>
        <v/>
      </c>
      <c r="BB481" s="39">
        <f>BA481-AL481</f>
        <v/>
      </c>
      <c r="BC481" s="7">
        <f>IF(M481+AJ481&gt;2026,IF(G481&gt;2026,"entièrement projeté","en partie projeté"),"observé")</f>
        <v/>
      </c>
    </row>
    <row r="482">
      <c r="A482" s="7" t="inlineStr">
        <is>
          <t>Génération Alpha</t>
        </is>
      </c>
      <c r="B482" s="84" t="inlineStr">
        <is>
          <t>RATP</t>
        </is>
      </c>
      <c r="C482" s="7">
        <f>IF(G482&gt;=SUMIFS(Regimes!$C$5:$C$10,Regimes!$A$5:$A$10,B482),"Privé",B482)</f>
        <v/>
      </c>
      <c r="D482" s="7">
        <f>INDEX(Regimes!$D$5:$D$10,MATCH(C482,Regimes!$A$5:$A$10,0))</f>
        <v/>
      </c>
      <c r="E482" s="88" t="n">
        <v>2015</v>
      </c>
      <c r="F482" s="8">
        <f>Donnees_generations!C103</f>
        <v/>
      </c>
      <c r="G482" s="77">
        <f>Donnees_generations!D103</f>
        <v/>
      </c>
      <c r="H482" s="8">
        <f>SUMIFS(Donnees_generations!$S$3:$S$113,Donnees_generations!$A$3:$A$113,MAX(1915,MIN(2025,E482)))</f>
        <v/>
      </c>
      <c r="I482" s="8">
        <f>SUMIFS(Donnees_generations!$T$3:$T$113,Donnees_generations!$A$3:$A$113,MAX(1915,MIN(2025,E482)))</f>
        <v/>
      </c>
      <c r="J482" s="8">
        <f>IF(G482&gt;=2000,MAX(I482,Parametres!$B$3),I482)</f>
        <v/>
      </c>
      <c r="K482" s="8">
        <f>IF(C482="Privé",J482,SUMIFS(Regles_regimes!$J$3:$J$2000,Regles_regimes!$A$3:$A$2000,C482,Regles_regimes!$B$3:$B$2000,D482,Regles_regimes!$C$3:$C$2000,MAX(1915,MIN(2025,E482))))</f>
        <v/>
      </c>
      <c r="L482" s="8">
        <f>IF(C482="Privé",H482,(K482-F482)*H482/(J482-F482))</f>
        <v/>
      </c>
      <c r="M482" s="77">
        <f>INT(E482+K482)</f>
        <v/>
      </c>
      <c r="N482" s="77">
        <f>G482+ROUNDUP(L482,0)-1</f>
        <v/>
      </c>
      <c r="O482" s="89">
        <f>SUMIFS(Regles_regimes!$K$3:$K$2000,Regles_regimes!$A$3:$A$2000,C482,Regles_regimes!$B$3:$B$2000,D482,Regles_regimes!$C$3:$C$2000,MAX(1915,MIN(2025,E482)))</f>
        <v/>
      </c>
      <c r="P482" s="13">
        <f>SUMIFS(Donnees_annuelles!$W$3:$W$188,Donnees_annuelles!$A$3:$A$188,"&gt;="&amp;G482,Donnees_annuelles!$A$3:$A$188,"&lt;="&amp;N482)*L482/ROUNDUP(L482,0)*O482</f>
        <v/>
      </c>
      <c r="Q482" s="13">
        <f>SUMIFS(Donnees_annuelles!$V$3:$V$188,Donnees_annuelles!$A$3:$A$188,"&gt;="&amp;G482,Donnees_annuelles!$A$3:$A$188,"&lt;="&amp;N482)*L482/ROUNDUP(L482,0)</f>
        <v/>
      </c>
      <c r="R482" s="13">
        <f>P482/L482</f>
        <v/>
      </c>
      <c r="S482" s="14">
        <f>SUMIFS(Donnees_annuelles!$D$3:$D$188,Donnees_annuelles!$A$3:$A$188,"&gt;="&amp;G482,Donnees_annuelles!$A$3:$A$188,"&lt;="&amp;N482)*L482/ROUNDUP(L482,0)</f>
        <v/>
      </c>
      <c r="T482" s="14">
        <f>SUMIFS(Donnees_regimes!$N$3:$N$1118,Donnees_regimes!$A$3:$A$1118,C482,Donnees_regimes!$B$3:$B$1118,"&gt;="&amp;G482,Donnees_regimes!$B$3:$B$1118,"&lt;="&amp;N482)*L482/ROUNDUP(L482,0)</f>
        <v/>
      </c>
      <c r="U482" s="14">
        <f>SUMIFS(Donnees_regimes!$O$3:$O$1118,Donnees_regimes!$A$3:$A$1118,C482,Donnees_regimes!$B$3:$B$1118,"&gt;="&amp;G482,Donnees_regimes!$B$3:$B$1118,"&lt;="&amp;N482)*L482/ROUNDUP(L482,0)</f>
        <v/>
      </c>
      <c r="V482" s="14">
        <f>T482+U482</f>
        <v/>
      </c>
      <c r="W482" s="33">
        <f>V482/S482</f>
        <v/>
      </c>
      <c r="X482" s="14">
        <f>S482+U482</f>
        <v/>
      </c>
      <c r="Y482" s="17">
        <f>V482/P482</f>
        <v/>
      </c>
      <c r="Z482" s="14">
        <f>SUMIFS(Donnees_regimes!$Q$3:$Q$1118,Donnees_regimes!$A$3:$A$1118,C482,Donnees_regimes!$B$3:$B$1118,"&gt;="&amp;G482,Donnees_regimes!$B$3:$B$1118,"&lt;="&amp;N482)*L482/ROUNDUP(L482,0)</f>
        <v/>
      </c>
      <c r="AA482" s="77">
        <f>SUMIFS(Regles_regimes!$F$3:$F$2000,Regles_regimes!$A$3:$A$2000,C482,Regles_regimes!$B$3:$B$2000,D482,Regles_regimes!$C$3:$C$2000,MAX(1915,MIN(2025,E482)))</f>
        <v/>
      </c>
      <c r="AB482" s="77">
        <f>IF(AND(SUMIFS(Regles_regimes!$L$3:$L$2000,Regles_regimes!$A$3:$A$2000,C482,Regles_regimes!$B$3:$B$2000,D482,Regles_regimes!$C$3:$C$2000,MAX(1915,MIN(2025,E482)))=1,G482&lt;2009,C482&lt;&gt;"Privé"),MIN(20,L482*4/5),0)</f>
        <v/>
      </c>
      <c r="AC482" s="89">
        <f>SUMIFS(Donnees_regimes!$M$3:$M$1118,Donnees_regimes!$A$3:$A$1118,C482,Donnees_regimes!$B$3:$B$1118,M482)</f>
        <v/>
      </c>
      <c r="AD482" s="14">
        <f>SUMIFS(Donnees_annuelles!$Y$3:$Y$188,Donnees_annuelles!$A$3:$A$188,M482)*SUMIFS(Donnees_generations!$I$3:$I$113,Donnees_generations!$A$3:$A$113,MAX(1915,MIN(2025,E482)))/H482</f>
        <v/>
      </c>
      <c r="AE482" s="14">
        <f>IF(C482="Privé",SUMIFS(Donnees_annuelles!$Y$3:$Y$188,Donnees_annuelles!$A$3:$A$188,M482)*MIN(L482,SUMIFS(Donnees_generations!$I$3:$I$113,Donnees_generations!$A$3:$A$113,MAX(1915,MIN(2025,E482))))/L482,AD482*AC482*MIN(IF(AB482&gt;0,0.8/0.75,1),(L482*4+AB482)/AA482))</f>
        <v/>
      </c>
      <c r="AF482" s="14">
        <f>AE482/12</f>
        <v/>
      </c>
      <c r="AG482" s="77">
        <f>MIN(68,MAX(56,2*INT(K482/2)))</f>
        <v/>
      </c>
      <c r="AH482" s="75">
        <f>(CHOOSE((AG482-56)/2+1,SUMIFS(Donnees_generations!$U$3:$U$113,Donnees_generations!$A$3:$A$113,MAX(1915,MIN(2025,E482))),SUMIFS(Donnees_generations!$V$3:$V$113,Donnees_generations!$A$3:$A$113,MAX(1915,MIN(2025,E482))),SUMIFS(Donnees_generations!$W$3:$W$113,Donnees_generations!$A$3:$A$113,MAX(1915,MIN(2025,E482))),SUMIFS(Donnees_generations!$X$3:$X$113,Donnees_generations!$A$3:$A$113,MAX(1915,MIN(2025,E482))),SUMIFS(Donnees_generations!$Y$3:$Y$113,Donnees_generations!$A$3:$A$113,MAX(1915,MIN(2025,E482))),SUMIFS(Donnees_generations!$Z$3:$Z$113,Donnees_generations!$A$3:$A$113,MAX(1915,MIN(2025,E482))),SUMIFS(Donnees_generations!$AA$3:$AA$113,Donnees_generations!$A$3:$A$113,MAX(1915,MIN(2025,E482))),SUMIFS(Donnees_generations!$AB$3:$AB$113,Donnees_generations!$A$3:$A$113,MAX(1915,MIN(2025,E482))))+CHOOSE((AG482-56)/2+1,SUMIFS(Donnees_generations!$AC$3:$AC$113,Donnees_generations!$A$3:$A$113,MAX(1915,MIN(2025,E482))),SUMIFS(Donnees_generations!$AD$3:$AD$113,Donnees_generations!$A$3:$A$113,MAX(1915,MIN(2025,E482))),SUMIFS(Donnees_generations!$AE$3:$AE$113,Donnees_generations!$A$3:$A$113,MAX(1915,MIN(2025,E482))),SUMIFS(Donnees_generations!$AF$3:$AF$113,Donnees_generations!$A$3:$A$113,MAX(1915,MIN(2025,E482))),SUMIFS(Donnees_generations!$AG$3:$AG$113,Donnees_generations!$A$3:$A$113,MAX(1915,MIN(2025,E482))),SUMIFS(Donnees_generations!$AH$3:$AH$113,Donnees_generations!$A$3:$A$113,MAX(1915,MIN(2025,E482))),SUMIFS(Donnees_generations!$AI$3:$AI$113,Donnees_generations!$A$3:$A$113,MAX(1915,MIN(2025,E482))),SUMIFS(Donnees_generations!$AJ$3:$AJ$113,Donnees_generations!$A$3:$A$113,MAX(1915,MIN(2025,E482)))))/2</f>
        <v/>
      </c>
      <c r="AI482" s="75">
        <f>(CHOOSE(((AG482+2)-56)/2+1,SUMIFS(Donnees_generations!$U$3:$U$113,Donnees_generations!$A$3:$A$113,MAX(1915,MIN(2025,E482))),SUMIFS(Donnees_generations!$V$3:$V$113,Donnees_generations!$A$3:$A$113,MAX(1915,MIN(2025,E482))),SUMIFS(Donnees_generations!$W$3:$W$113,Donnees_generations!$A$3:$A$113,MAX(1915,MIN(2025,E482))),SUMIFS(Donnees_generations!$X$3:$X$113,Donnees_generations!$A$3:$A$113,MAX(1915,MIN(2025,E482))),SUMIFS(Donnees_generations!$Y$3:$Y$113,Donnees_generations!$A$3:$A$113,MAX(1915,MIN(2025,E482))),SUMIFS(Donnees_generations!$Z$3:$Z$113,Donnees_generations!$A$3:$A$113,MAX(1915,MIN(2025,E482))),SUMIFS(Donnees_generations!$AA$3:$AA$113,Donnees_generations!$A$3:$A$113,MAX(1915,MIN(2025,E482))),SUMIFS(Donnees_generations!$AB$3:$AB$113,Donnees_generations!$A$3:$A$113,MAX(1915,MIN(2025,E482))))+CHOOSE(((AG482+2)-56)/2+1,SUMIFS(Donnees_generations!$AC$3:$AC$113,Donnees_generations!$A$3:$A$113,MAX(1915,MIN(2025,E482))),SUMIFS(Donnees_generations!$AD$3:$AD$113,Donnees_generations!$A$3:$A$113,MAX(1915,MIN(2025,E482))),SUMIFS(Donnees_generations!$AE$3:$AE$113,Donnees_generations!$A$3:$A$113,MAX(1915,MIN(2025,E482))),SUMIFS(Donnees_generations!$AF$3:$AF$113,Donnees_generations!$A$3:$A$113,MAX(1915,MIN(2025,E482))),SUMIFS(Donnees_generations!$AG$3:$AG$113,Donnees_generations!$A$3:$A$113,MAX(1915,MIN(2025,E482))),SUMIFS(Donnees_generations!$AH$3:$AH$113,Donnees_generations!$A$3:$A$113,MAX(1915,MIN(2025,E482))),SUMIFS(Donnees_generations!$AI$3:$AI$113,Donnees_generations!$A$3:$A$113,MAX(1915,MIN(2025,E482))),SUMIFS(Donnees_generations!$AJ$3:$AJ$113,Donnees_generations!$A$3:$A$113,MAX(1915,MIN(2025,E482)))))/2</f>
        <v/>
      </c>
      <c r="AJ482" s="8">
        <f>MAX(0,AH482+(AI482-AH482)*(K482-AG482)/2)</f>
        <v/>
      </c>
      <c r="AK482" s="8">
        <f>K482+AJ482</f>
        <v/>
      </c>
      <c r="AL482" s="14">
        <f>AE482*AJ482</f>
        <v/>
      </c>
      <c r="AM482" s="17">
        <f>V482/AL482</f>
        <v/>
      </c>
      <c r="AN482" s="17">
        <f>Z482/AL482</f>
        <v/>
      </c>
      <c r="AO482" s="33">
        <f>IF(V482+Z482=0,0,Z482/(V482+Z482))</f>
        <v/>
      </c>
      <c r="AP482" s="14">
        <f>AL482/V482*100</f>
        <v/>
      </c>
      <c r="AQ482" s="8">
        <f>P482/AL482*1000</f>
        <v/>
      </c>
      <c r="AR482" s="77">
        <f>MAX(N482,M482-1)</f>
        <v/>
      </c>
      <c r="AS482" s="14">
        <f>SUMIFS(Donnees_regimes!$R$3:$R$1118,Donnees_regimes!$A$3:$A$1118,C482,Donnees_regimes!$B$3:$B$1118,"&gt;="&amp;G482,Donnees_regimes!$B$3:$B$1118,"&lt;="&amp;N482)*L482/ROUNDUP(L482,0)*SUMIFS(Donnees_annuelles!$AG$3:$AG$188,Donnees_annuelles!$A$3:$A$188,AR482)*SUMIFS(Donnees_annuelles!$AA$3:$AA$188,Donnees_annuelles!$A$3:$A$188,AR482)</f>
        <v/>
      </c>
      <c r="AT482" s="36">
        <f>AS482/V482</f>
        <v/>
      </c>
      <c r="AU482" s="14">
        <f>AL482</f>
        <v/>
      </c>
      <c r="AV482" s="39">
        <f>AS482-AL482</f>
        <v/>
      </c>
      <c r="AW482" s="9">
        <f>AS482/AL482-1</f>
        <v/>
      </c>
      <c r="AX482" s="14">
        <f>AS482/AJ482/12</f>
        <v/>
      </c>
      <c r="AY482" s="14">
        <f>AF482</f>
        <v/>
      </c>
      <c r="AZ482" s="39">
        <f>AX482-AF482</f>
        <v/>
      </c>
      <c r="BA482" s="14">
        <f>SUMIFS(Donnees_regimes!$S$3:$S$1118,Donnees_regimes!$A$3:$A$1118,C482,Donnees_regimes!$B$3:$B$1118,"&gt;="&amp;G482,Donnees_regimes!$B$3:$B$1118,"&lt;="&amp;N482)*L482/ROUNDUP(L482,0)*SUMIFS(Donnees_annuelles!$AH$3:$AH$188,Donnees_annuelles!$A$3:$A$188,AR482)*SUMIFS(Donnees_annuelles!$AA$3:$AA$188,Donnees_annuelles!$A$3:$A$188,AR482)</f>
        <v/>
      </c>
      <c r="BB482" s="39">
        <f>BA482-AL482</f>
        <v/>
      </c>
      <c r="BC482" s="7">
        <f>IF(M482+AJ482&gt;2026,IF(G482&gt;2026,"entièrement projeté","en partie projeté"),"observé")</f>
        <v/>
      </c>
    </row>
    <row r="483">
      <c r="A483" s="7" t="inlineStr">
        <is>
          <t>Génération Alpha</t>
        </is>
      </c>
      <c r="B483" s="84" t="inlineStr">
        <is>
          <t>RATP</t>
        </is>
      </c>
      <c r="C483" s="7">
        <f>IF(G483&gt;=SUMIFS(Regimes!$C$5:$C$10,Regimes!$A$5:$A$10,B483),"Privé",B483)</f>
        <v/>
      </c>
      <c r="D483" s="7">
        <f>INDEX(Regimes!$D$5:$D$10,MATCH(C483,Regimes!$A$5:$A$10,0))</f>
        <v/>
      </c>
      <c r="E483" s="88" t="n">
        <v>2016</v>
      </c>
      <c r="F483" s="8">
        <f>Donnees_generations!C104</f>
        <v/>
      </c>
      <c r="G483" s="77">
        <f>Donnees_generations!D104</f>
        <v/>
      </c>
      <c r="H483" s="8">
        <f>SUMIFS(Donnees_generations!$S$3:$S$113,Donnees_generations!$A$3:$A$113,MAX(1915,MIN(2025,E483)))</f>
        <v/>
      </c>
      <c r="I483" s="8">
        <f>SUMIFS(Donnees_generations!$T$3:$T$113,Donnees_generations!$A$3:$A$113,MAX(1915,MIN(2025,E483)))</f>
        <v/>
      </c>
      <c r="J483" s="8">
        <f>IF(G483&gt;=2000,MAX(I483,Parametres!$B$3),I483)</f>
        <v/>
      </c>
      <c r="K483" s="8">
        <f>IF(C483="Privé",J483,SUMIFS(Regles_regimes!$J$3:$J$2000,Regles_regimes!$A$3:$A$2000,C483,Regles_regimes!$B$3:$B$2000,D483,Regles_regimes!$C$3:$C$2000,MAX(1915,MIN(2025,E483))))</f>
        <v/>
      </c>
      <c r="L483" s="8">
        <f>IF(C483="Privé",H483,(K483-F483)*H483/(J483-F483))</f>
        <v/>
      </c>
      <c r="M483" s="77">
        <f>INT(E483+K483)</f>
        <v/>
      </c>
      <c r="N483" s="77">
        <f>G483+ROUNDUP(L483,0)-1</f>
        <v/>
      </c>
      <c r="O483" s="89">
        <f>SUMIFS(Regles_regimes!$K$3:$K$2000,Regles_regimes!$A$3:$A$2000,C483,Regles_regimes!$B$3:$B$2000,D483,Regles_regimes!$C$3:$C$2000,MAX(1915,MIN(2025,E483)))</f>
        <v/>
      </c>
      <c r="P483" s="13">
        <f>SUMIFS(Donnees_annuelles!$W$3:$W$188,Donnees_annuelles!$A$3:$A$188,"&gt;="&amp;G483,Donnees_annuelles!$A$3:$A$188,"&lt;="&amp;N483)*L483/ROUNDUP(L483,0)*O483</f>
        <v/>
      </c>
      <c r="Q483" s="13">
        <f>SUMIFS(Donnees_annuelles!$V$3:$V$188,Donnees_annuelles!$A$3:$A$188,"&gt;="&amp;G483,Donnees_annuelles!$A$3:$A$188,"&lt;="&amp;N483)*L483/ROUNDUP(L483,0)</f>
        <v/>
      </c>
      <c r="R483" s="13">
        <f>P483/L483</f>
        <v/>
      </c>
      <c r="S483" s="14">
        <f>SUMIFS(Donnees_annuelles!$D$3:$D$188,Donnees_annuelles!$A$3:$A$188,"&gt;="&amp;G483,Donnees_annuelles!$A$3:$A$188,"&lt;="&amp;N483)*L483/ROUNDUP(L483,0)</f>
        <v/>
      </c>
      <c r="T483" s="14">
        <f>SUMIFS(Donnees_regimes!$N$3:$N$1118,Donnees_regimes!$A$3:$A$1118,C483,Donnees_regimes!$B$3:$B$1118,"&gt;="&amp;G483,Donnees_regimes!$B$3:$B$1118,"&lt;="&amp;N483)*L483/ROUNDUP(L483,0)</f>
        <v/>
      </c>
      <c r="U483" s="14">
        <f>SUMIFS(Donnees_regimes!$O$3:$O$1118,Donnees_regimes!$A$3:$A$1118,C483,Donnees_regimes!$B$3:$B$1118,"&gt;="&amp;G483,Donnees_regimes!$B$3:$B$1118,"&lt;="&amp;N483)*L483/ROUNDUP(L483,0)</f>
        <v/>
      </c>
      <c r="V483" s="14">
        <f>T483+U483</f>
        <v/>
      </c>
      <c r="W483" s="33">
        <f>V483/S483</f>
        <v/>
      </c>
      <c r="X483" s="14">
        <f>S483+U483</f>
        <v/>
      </c>
      <c r="Y483" s="17">
        <f>V483/P483</f>
        <v/>
      </c>
      <c r="Z483" s="14">
        <f>SUMIFS(Donnees_regimes!$Q$3:$Q$1118,Donnees_regimes!$A$3:$A$1118,C483,Donnees_regimes!$B$3:$B$1118,"&gt;="&amp;G483,Donnees_regimes!$B$3:$B$1118,"&lt;="&amp;N483)*L483/ROUNDUP(L483,0)</f>
        <v/>
      </c>
      <c r="AA483" s="77">
        <f>SUMIFS(Regles_regimes!$F$3:$F$2000,Regles_regimes!$A$3:$A$2000,C483,Regles_regimes!$B$3:$B$2000,D483,Regles_regimes!$C$3:$C$2000,MAX(1915,MIN(2025,E483)))</f>
        <v/>
      </c>
      <c r="AB483" s="77">
        <f>IF(AND(SUMIFS(Regles_regimes!$L$3:$L$2000,Regles_regimes!$A$3:$A$2000,C483,Regles_regimes!$B$3:$B$2000,D483,Regles_regimes!$C$3:$C$2000,MAX(1915,MIN(2025,E483)))=1,G483&lt;2009,C483&lt;&gt;"Privé"),MIN(20,L483*4/5),0)</f>
        <v/>
      </c>
      <c r="AC483" s="89">
        <f>SUMIFS(Donnees_regimes!$M$3:$M$1118,Donnees_regimes!$A$3:$A$1118,C483,Donnees_regimes!$B$3:$B$1118,M483)</f>
        <v/>
      </c>
      <c r="AD483" s="14">
        <f>SUMIFS(Donnees_annuelles!$Y$3:$Y$188,Donnees_annuelles!$A$3:$A$188,M483)*SUMIFS(Donnees_generations!$I$3:$I$113,Donnees_generations!$A$3:$A$113,MAX(1915,MIN(2025,E483)))/H483</f>
        <v/>
      </c>
      <c r="AE483" s="14">
        <f>IF(C483="Privé",SUMIFS(Donnees_annuelles!$Y$3:$Y$188,Donnees_annuelles!$A$3:$A$188,M483)*MIN(L483,SUMIFS(Donnees_generations!$I$3:$I$113,Donnees_generations!$A$3:$A$113,MAX(1915,MIN(2025,E483))))/L483,AD483*AC483*MIN(IF(AB483&gt;0,0.8/0.75,1),(L483*4+AB483)/AA483))</f>
        <v/>
      </c>
      <c r="AF483" s="14">
        <f>AE483/12</f>
        <v/>
      </c>
      <c r="AG483" s="77">
        <f>MIN(68,MAX(56,2*INT(K483/2)))</f>
        <v/>
      </c>
      <c r="AH483" s="75">
        <f>(CHOOSE((AG483-56)/2+1,SUMIFS(Donnees_generations!$U$3:$U$113,Donnees_generations!$A$3:$A$113,MAX(1915,MIN(2025,E483))),SUMIFS(Donnees_generations!$V$3:$V$113,Donnees_generations!$A$3:$A$113,MAX(1915,MIN(2025,E483))),SUMIFS(Donnees_generations!$W$3:$W$113,Donnees_generations!$A$3:$A$113,MAX(1915,MIN(2025,E483))),SUMIFS(Donnees_generations!$X$3:$X$113,Donnees_generations!$A$3:$A$113,MAX(1915,MIN(2025,E483))),SUMIFS(Donnees_generations!$Y$3:$Y$113,Donnees_generations!$A$3:$A$113,MAX(1915,MIN(2025,E483))),SUMIFS(Donnees_generations!$Z$3:$Z$113,Donnees_generations!$A$3:$A$113,MAX(1915,MIN(2025,E483))),SUMIFS(Donnees_generations!$AA$3:$AA$113,Donnees_generations!$A$3:$A$113,MAX(1915,MIN(2025,E483))),SUMIFS(Donnees_generations!$AB$3:$AB$113,Donnees_generations!$A$3:$A$113,MAX(1915,MIN(2025,E483))))+CHOOSE((AG483-56)/2+1,SUMIFS(Donnees_generations!$AC$3:$AC$113,Donnees_generations!$A$3:$A$113,MAX(1915,MIN(2025,E483))),SUMIFS(Donnees_generations!$AD$3:$AD$113,Donnees_generations!$A$3:$A$113,MAX(1915,MIN(2025,E483))),SUMIFS(Donnees_generations!$AE$3:$AE$113,Donnees_generations!$A$3:$A$113,MAX(1915,MIN(2025,E483))),SUMIFS(Donnees_generations!$AF$3:$AF$113,Donnees_generations!$A$3:$A$113,MAX(1915,MIN(2025,E483))),SUMIFS(Donnees_generations!$AG$3:$AG$113,Donnees_generations!$A$3:$A$113,MAX(1915,MIN(2025,E483))),SUMIFS(Donnees_generations!$AH$3:$AH$113,Donnees_generations!$A$3:$A$113,MAX(1915,MIN(2025,E483))),SUMIFS(Donnees_generations!$AI$3:$AI$113,Donnees_generations!$A$3:$A$113,MAX(1915,MIN(2025,E483))),SUMIFS(Donnees_generations!$AJ$3:$AJ$113,Donnees_generations!$A$3:$A$113,MAX(1915,MIN(2025,E483)))))/2</f>
        <v/>
      </c>
      <c r="AI483" s="75">
        <f>(CHOOSE(((AG483+2)-56)/2+1,SUMIFS(Donnees_generations!$U$3:$U$113,Donnees_generations!$A$3:$A$113,MAX(1915,MIN(2025,E483))),SUMIFS(Donnees_generations!$V$3:$V$113,Donnees_generations!$A$3:$A$113,MAX(1915,MIN(2025,E483))),SUMIFS(Donnees_generations!$W$3:$W$113,Donnees_generations!$A$3:$A$113,MAX(1915,MIN(2025,E483))),SUMIFS(Donnees_generations!$X$3:$X$113,Donnees_generations!$A$3:$A$113,MAX(1915,MIN(2025,E483))),SUMIFS(Donnees_generations!$Y$3:$Y$113,Donnees_generations!$A$3:$A$113,MAX(1915,MIN(2025,E483))),SUMIFS(Donnees_generations!$Z$3:$Z$113,Donnees_generations!$A$3:$A$113,MAX(1915,MIN(2025,E483))),SUMIFS(Donnees_generations!$AA$3:$AA$113,Donnees_generations!$A$3:$A$113,MAX(1915,MIN(2025,E483))),SUMIFS(Donnees_generations!$AB$3:$AB$113,Donnees_generations!$A$3:$A$113,MAX(1915,MIN(2025,E483))))+CHOOSE(((AG483+2)-56)/2+1,SUMIFS(Donnees_generations!$AC$3:$AC$113,Donnees_generations!$A$3:$A$113,MAX(1915,MIN(2025,E483))),SUMIFS(Donnees_generations!$AD$3:$AD$113,Donnees_generations!$A$3:$A$113,MAX(1915,MIN(2025,E483))),SUMIFS(Donnees_generations!$AE$3:$AE$113,Donnees_generations!$A$3:$A$113,MAX(1915,MIN(2025,E483))),SUMIFS(Donnees_generations!$AF$3:$AF$113,Donnees_generations!$A$3:$A$113,MAX(1915,MIN(2025,E483))),SUMIFS(Donnees_generations!$AG$3:$AG$113,Donnees_generations!$A$3:$A$113,MAX(1915,MIN(2025,E483))),SUMIFS(Donnees_generations!$AH$3:$AH$113,Donnees_generations!$A$3:$A$113,MAX(1915,MIN(2025,E483))),SUMIFS(Donnees_generations!$AI$3:$AI$113,Donnees_generations!$A$3:$A$113,MAX(1915,MIN(2025,E483))),SUMIFS(Donnees_generations!$AJ$3:$AJ$113,Donnees_generations!$A$3:$A$113,MAX(1915,MIN(2025,E483)))))/2</f>
        <v/>
      </c>
      <c r="AJ483" s="8">
        <f>MAX(0,AH483+(AI483-AH483)*(K483-AG483)/2)</f>
        <v/>
      </c>
      <c r="AK483" s="8">
        <f>K483+AJ483</f>
        <v/>
      </c>
      <c r="AL483" s="14">
        <f>AE483*AJ483</f>
        <v/>
      </c>
      <c r="AM483" s="17">
        <f>V483/AL483</f>
        <v/>
      </c>
      <c r="AN483" s="17">
        <f>Z483/AL483</f>
        <v/>
      </c>
      <c r="AO483" s="33">
        <f>IF(V483+Z483=0,0,Z483/(V483+Z483))</f>
        <v/>
      </c>
      <c r="AP483" s="14">
        <f>AL483/V483*100</f>
        <v/>
      </c>
      <c r="AQ483" s="8">
        <f>P483/AL483*1000</f>
        <v/>
      </c>
      <c r="AR483" s="77">
        <f>MAX(N483,M483-1)</f>
        <v/>
      </c>
      <c r="AS483" s="14">
        <f>SUMIFS(Donnees_regimes!$R$3:$R$1118,Donnees_regimes!$A$3:$A$1118,C483,Donnees_regimes!$B$3:$B$1118,"&gt;="&amp;G483,Donnees_regimes!$B$3:$B$1118,"&lt;="&amp;N483)*L483/ROUNDUP(L483,0)*SUMIFS(Donnees_annuelles!$AG$3:$AG$188,Donnees_annuelles!$A$3:$A$188,AR483)*SUMIFS(Donnees_annuelles!$AA$3:$AA$188,Donnees_annuelles!$A$3:$A$188,AR483)</f>
        <v/>
      </c>
      <c r="AT483" s="36">
        <f>AS483/V483</f>
        <v/>
      </c>
      <c r="AU483" s="14">
        <f>AL483</f>
        <v/>
      </c>
      <c r="AV483" s="39">
        <f>AS483-AL483</f>
        <v/>
      </c>
      <c r="AW483" s="9">
        <f>AS483/AL483-1</f>
        <v/>
      </c>
      <c r="AX483" s="14">
        <f>AS483/AJ483/12</f>
        <v/>
      </c>
      <c r="AY483" s="14">
        <f>AF483</f>
        <v/>
      </c>
      <c r="AZ483" s="39">
        <f>AX483-AF483</f>
        <v/>
      </c>
      <c r="BA483" s="14">
        <f>SUMIFS(Donnees_regimes!$S$3:$S$1118,Donnees_regimes!$A$3:$A$1118,C483,Donnees_regimes!$B$3:$B$1118,"&gt;="&amp;G483,Donnees_regimes!$B$3:$B$1118,"&lt;="&amp;N483)*L483/ROUNDUP(L483,0)*SUMIFS(Donnees_annuelles!$AH$3:$AH$188,Donnees_annuelles!$A$3:$A$188,AR483)*SUMIFS(Donnees_annuelles!$AA$3:$AA$188,Donnees_annuelles!$A$3:$A$188,AR483)</f>
        <v/>
      </c>
      <c r="BB483" s="39">
        <f>BA483-AL483</f>
        <v/>
      </c>
      <c r="BC483" s="7">
        <f>IF(M483+AJ483&gt;2026,IF(G483&gt;2026,"entièrement projeté","en partie projeté"),"observé")</f>
        <v/>
      </c>
    </row>
    <row r="484">
      <c r="A484" s="7" t="inlineStr">
        <is>
          <t>Génération Alpha</t>
        </is>
      </c>
      <c r="B484" s="84" t="inlineStr">
        <is>
          <t>RATP</t>
        </is>
      </c>
      <c r="C484" s="7">
        <f>IF(G484&gt;=SUMIFS(Regimes!$C$5:$C$10,Regimes!$A$5:$A$10,B484),"Privé",B484)</f>
        <v/>
      </c>
      <c r="D484" s="7">
        <f>INDEX(Regimes!$D$5:$D$10,MATCH(C484,Regimes!$A$5:$A$10,0))</f>
        <v/>
      </c>
      <c r="E484" s="88" t="n">
        <v>2017</v>
      </c>
      <c r="F484" s="8">
        <f>Donnees_generations!C105</f>
        <v/>
      </c>
      <c r="G484" s="77">
        <f>Donnees_generations!D105</f>
        <v/>
      </c>
      <c r="H484" s="8">
        <f>SUMIFS(Donnees_generations!$S$3:$S$113,Donnees_generations!$A$3:$A$113,MAX(1915,MIN(2025,E484)))</f>
        <v/>
      </c>
      <c r="I484" s="8">
        <f>SUMIFS(Donnees_generations!$T$3:$T$113,Donnees_generations!$A$3:$A$113,MAX(1915,MIN(2025,E484)))</f>
        <v/>
      </c>
      <c r="J484" s="8">
        <f>IF(G484&gt;=2000,MAX(I484,Parametres!$B$3),I484)</f>
        <v/>
      </c>
      <c r="K484" s="8">
        <f>IF(C484="Privé",J484,SUMIFS(Regles_regimes!$J$3:$J$2000,Regles_regimes!$A$3:$A$2000,C484,Regles_regimes!$B$3:$B$2000,D484,Regles_regimes!$C$3:$C$2000,MAX(1915,MIN(2025,E484))))</f>
        <v/>
      </c>
      <c r="L484" s="8">
        <f>IF(C484="Privé",H484,(K484-F484)*H484/(J484-F484))</f>
        <v/>
      </c>
      <c r="M484" s="77">
        <f>INT(E484+K484)</f>
        <v/>
      </c>
      <c r="N484" s="77">
        <f>G484+ROUNDUP(L484,0)-1</f>
        <v/>
      </c>
      <c r="O484" s="89">
        <f>SUMIFS(Regles_regimes!$K$3:$K$2000,Regles_regimes!$A$3:$A$2000,C484,Regles_regimes!$B$3:$B$2000,D484,Regles_regimes!$C$3:$C$2000,MAX(1915,MIN(2025,E484)))</f>
        <v/>
      </c>
      <c r="P484" s="13">
        <f>SUMIFS(Donnees_annuelles!$W$3:$W$188,Donnees_annuelles!$A$3:$A$188,"&gt;="&amp;G484,Donnees_annuelles!$A$3:$A$188,"&lt;="&amp;N484)*L484/ROUNDUP(L484,0)*O484</f>
        <v/>
      </c>
      <c r="Q484" s="13">
        <f>SUMIFS(Donnees_annuelles!$V$3:$V$188,Donnees_annuelles!$A$3:$A$188,"&gt;="&amp;G484,Donnees_annuelles!$A$3:$A$188,"&lt;="&amp;N484)*L484/ROUNDUP(L484,0)</f>
        <v/>
      </c>
      <c r="R484" s="13">
        <f>P484/L484</f>
        <v/>
      </c>
      <c r="S484" s="14">
        <f>SUMIFS(Donnees_annuelles!$D$3:$D$188,Donnees_annuelles!$A$3:$A$188,"&gt;="&amp;G484,Donnees_annuelles!$A$3:$A$188,"&lt;="&amp;N484)*L484/ROUNDUP(L484,0)</f>
        <v/>
      </c>
      <c r="T484" s="14">
        <f>SUMIFS(Donnees_regimes!$N$3:$N$1118,Donnees_regimes!$A$3:$A$1118,C484,Donnees_regimes!$B$3:$B$1118,"&gt;="&amp;G484,Donnees_regimes!$B$3:$B$1118,"&lt;="&amp;N484)*L484/ROUNDUP(L484,0)</f>
        <v/>
      </c>
      <c r="U484" s="14">
        <f>SUMIFS(Donnees_regimes!$O$3:$O$1118,Donnees_regimes!$A$3:$A$1118,C484,Donnees_regimes!$B$3:$B$1118,"&gt;="&amp;G484,Donnees_regimes!$B$3:$B$1118,"&lt;="&amp;N484)*L484/ROUNDUP(L484,0)</f>
        <v/>
      </c>
      <c r="V484" s="14">
        <f>T484+U484</f>
        <v/>
      </c>
      <c r="W484" s="33">
        <f>V484/S484</f>
        <v/>
      </c>
      <c r="X484" s="14">
        <f>S484+U484</f>
        <v/>
      </c>
      <c r="Y484" s="17">
        <f>V484/P484</f>
        <v/>
      </c>
      <c r="Z484" s="14">
        <f>SUMIFS(Donnees_regimes!$Q$3:$Q$1118,Donnees_regimes!$A$3:$A$1118,C484,Donnees_regimes!$B$3:$B$1118,"&gt;="&amp;G484,Donnees_regimes!$B$3:$B$1118,"&lt;="&amp;N484)*L484/ROUNDUP(L484,0)</f>
        <v/>
      </c>
      <c r="AA484" s="77">
        <f>SUMIFS(Regles_regimes!$F$3:$F$2000,Regles_regimes!$A$3:$A$2000,C484,Regles_regimes!$B$3:$B$2000,D484,Regles_regimes!$C$3:$C$2000,MAX(1915,MIN(2025,E484)))</f>
        <v/>
      </c>
      <c r="AB484" s="77">
        <f>IF(AND(SUMIFS(Regles_regimes!$L$3:$L$2000,Regles_regimes!$A$3:$A$2000,C484,Regles_regimes!$B$3:$B$2000,D484,Regles_regimes!$C$3:$C$2000,MAX(1915,MIN(2025,E484)))=1,G484&lt;2009,C484&lt;&gt;"Privé"),MIN(20,L484*4/5),0)</f>
        <v/>
      </c>
      <c r="AC484" s="89">
        <f>SUMIFS(Donnees_regimes!$M$3:$M$1118,Donnees_regimes!$A$3:$A$1118,C484,Donnees_regimes!$B$3:$B$1118,M484)</f>
        <v/>
      </c>
      <c r="AD484" s="14">
        <f>SUMIFS(Donnees_annuelles!$Y$3:$Y$188,Donnees_annuelles!$A$3:$A$188,M484)*SUMIFS(Donnees_generations!$I$3:$I$113,Donnees_generations!$A$3:$A$113,MAX(1915,MIN(2025,E484)))/H484</f>
        <v/>
      </c>
      <c r="AE484" s="14">
        <f>IF(C484="Privé",SUMIFS(Donnees_annuelles!$Y$3:$Y$188,Donnees_annuelles!$A$3:$A$188,M484)*MIN(L484,SUMIFS(Donnees_generations!$I$3:$I$113,Donnees_generations!$A$3:$A$113,MAX(1915,MIN(2025,E484))))/L484,AD484*AC484*MIN(IF(AB484&gt;0,0.8/0.75,1),(L484*4+AB484)/AA484))</f>
        <v/>
      </c>
      <c r="AF484" s="14">
        <f>AE484/12</f>
        <v/>
      </c>
      <c r="AG484" s="77">
        <f>MIN(68,MAX(56,2*INT(K484/2)))</f>
        <v/>
      </c>
      <c r="AH484" s="75">
        <f>(CHOOSE((AG484-56)/2+1,SUMIFS(Donnees_generations!$U$3:$U$113,Donnees_generations!$A$3:$A$113,MAX(1915,MIN(2025,E484))),SUMIFS(Donnees_generations!$V$3:$V$113,Donnees_generations!$A$3:$A$113,MAX(1915,MIN(2025,E484))),SUMIFS(Donnees_generations!$W$3:$W$113,Donnees_generations!$A$3:$A$113,MAX(1915,MIN(2025,E484))),SUMIFS(Donnees_generations!$X$3:$X$113,Donnees_generations!$A$3:$A$113,MAX(1915,MIN(2025,E484))),SUMIFS(Donnees_generations!$Y$3:$Y$113,Donnees_generations!$A$3:$A$113,MAX(1915,MIN(2025,E484))),SUMIFS(Donnees_generations!$Z$3:$Z$113,Donnees_generations!$A$3:$A$113,MAX(1915,MIN(2025,E484))),SUMIFS(Donnees_generations!$AA$3:$AA$113,Donnees_generations!$A$3:$A$113,MAX(1915,MIN(2025,E484))),SUMIFS(Donnees_generations!$AB$3:$AB$113,Donnees_generations!$A$3:$A$113,MAX(1915,MIN(2025,E484))))+CHOOSE((AG484-56)/2+1,SUMIFS(Donnees_generations!$AC$3:$AC$113,Donnees_generations!$A$3:$A$113,MAX(1915,MIN(2025,E484))),SUMIFS(Donnees_generations!$AD$3:$AD$113,Donnees_generations!$A$3:$A$113,MAX(1915,MIN(2025,E484))),SUMIFS(Donnees_generations!$AE$3:$AE$113,Donnees_generations!$A$3:$A$113,MAX(1915,MIN(2025,E484))),SUMIFS(Donnees_generations!$AF$3:$AF$113,Donnees_generations!$A$3:$A$113,MAX(1915,MIN(2025,E484))),SUMIFS(Donnees_generations!$AG$3:$AG$113,Donnees_generations!$A$3:$A$113,MAX(1915,MIN(2025,E484))),SUMIFS(Donnees_generations!$AH$3:$AH$113,Donnees_generations!$A$3:$A$113,MAX(1915,MIN(2025,E484))),SUMIFS(Donnees_generations!$AI$3:$AI$113,Donnees_generations!$A$3:$A$113,MAX(1915,MIN(2025,E484))),SUMIFS(Donnees_generations!$AJ$3:$AJ$113,Donnees_generations!$A$3:$A$113,MAX(1915,MIN(2025,E484)))))/2</f>
        <v/>
      </c>
      <c r="AI484" s="75">
        <f>(CHOOSE(((AG484+2)-56)/2+1,SUMIFS(Donnees_generations!$U$3:$U$113,Donnees_generations!$A$3:$A$113,MAX(1915,MIN(2025,E484))),SUMIFS(Donnees_generations!$V$3:$V$113,Donnees_generations!$A$3:$A$113,MAX(1915,MIN(2025,E484))),SUMIFS(Donnees_generations!$W$3:$W$113,Donnees_generations!$A$3:$A$113,MAX(1915,MIN(2025,E484))),SUMIFS(Donnees_generations!$X$3:$X$113,Donnees_generations!$A$3:$A$113,MAX(1915,MIN(2025,E484))),SUMIFS(Donnees_generations!$Y$3:$Y$113,Donnees_generations!$A$3:$A$113,MAX(1915,MIN(2025,E484))),SUMIFS(Donnees_generations!$Z$3:$Z$113,Donnees_generations!$A$3:$A$113,MAX(1915,MIN(2025,E484))),SUMIFS(Donnees_generations!$AA$3:$AA$113,Donnees_generations!$A$3:$A$113,MAX(1915,MIN(2025,E484))),SUMIFS(Donnees_generations!$AB$3:$AB$113,Donnees_generations!$A$3:$A$113,MAX(1915,MIN(2025,E484))))+CHOOSE(((AG484+2)-56)/2+1,SUMIFS(Donnees_generations!$AC$3:$AC$113,Donnees_generations!$A$3:$A$113,MAX(1915,MIN(2025,E484))),SUMIFS(Donnees_generations!$AD$3:$AD$113,Donnees_generations!$A$3:$A$113,MAX(1915,MIN(2025,E484))),SUMIFS(Donnees_generations!$AE$3:$AE$113,Donnees_generations!$A$3:$A$113,MAX(1915,MIN(2025,E484))),SUMIFS(Donnees_generations!$AF$3:$AF$113,Donnees_generations!$A$3:$A$113,MAX(1915,MIN(2025,E484))),SUMIFS(Donnees_generations!$AG$3:$AG$113,Donnees_generations!$A$3:$A$113,MAX(1915,MIN(2025,E484))),SUMIFS(Donnees_generations!$AH$3:$AH$113,Donnees_generations!$A$3:$A$113,MAX(1915,MIN(2025,E484))),SUMIFS(Donnees_generations!$AI$3:$AI$113,Donnees_generations!$A$3:$A$113,MAX(1915,MIN(2025,E484))),SUMIFS(Donnees_generations!$AJ$3:$AJ$113,Donnees_generations!$A$3:$A$113,MAX(1915,MIN(2025,E484)))))/2</f>
        <v/>
      </c>
      <c r="AJ484" s="8">
        <f>MAX(0,AH484+(AI484-AH484)*(K484-AG484)/2)</f>
        <v/>
      </c>
      <c r="AK484" s="8">
        <f>K484+AJ484</f>
        <v/>
      </c>
      <c r="AL484" s="14">
        <f>AE484*AJ484</f>
        <v/>
      </c>
      <c r="AM484" s="17">
        <f>V484/AL484</f>
        <v/>
      </c>
      <c r="AN484" s="17">
        <f>Z484/AL484</f>
        <v/>
      </c>
      <c r="AO484" s="33">
        <f>IF(V484+Z484=0,0,Z484/(V484+Z484))</f>
        <v/>
      </c>
      <c r="AP484" s="14">
        <f>AL484/V484*100</f>
        <v/>
      </c>
      <c r="AQ484" s="8">
        <f>P484/AL484*1000</f>
        <v/>
      </c>
      <c r="AR484" s="77">
        <f>MAX(N484,M484-1)</f>
        <v/>
      </c>
      <c r="AS484" s="14">
        <f>SUMIFS(Donnees_regimes!$R$3:$R$1118,Donnees_regimes!$A$3:$A$1118,C484,Donnees_regimes!$B$3:$B$1118,"&gt;="&amp;G484,Donnees_regimes!$B$3:$B$1118,"&lt;="&amp;N484)*L484/ROUNDUP(L484,0)*SUMIFS(Donnees_annuelles!$AG$3:$AG$188,Donnees_annuelles!$A$3:$A$188,AR484)*SUMIFS(Donnees_annuelles!$AA$3:$AA$188,Donnees_annuelles!$A$3:$A$188,AR484)</f>
        <v/>
      </c>
      <c r="AT484" s="36">
        <f>AS484/V484</f>
        <v/>
      </c>
      <c r="AU484" s="14">
        <f>AL484</f>
        <v/>
      </c>
      <c r="AV484" s="39">
        <f>AS484-AL484</f>
        <v/>
      </c>
      <c r="AW484" s="9">
        <f>AS484/AL484-1</f>
        <v/>
      </c>
      <c r="AX484" s="14">
        <f>AS484/AJ484/12</f>
        <v/>
      </c>
      <c r="AY484" s="14">
        <f>AF484</f>
        <v/>
      </c>
      <c r="AZ484" s="39">
        <f>AX484-AF484</f>
        <v/>
      </c>
      <c r="BA484" s="14">
        <f>SUMIFS(Donnees_regimes!$S$3:$S$1118,Donnees_regimes!$A$3:$A$1118,C484,Donnees_regimes!$B$3:$B$1118,"&gt;="&amp;G484,Donnees_regimes!$B$3:$B$1118,"&lt;="&amp;N484)*L484/ROUNDUP(L484,0)*SUMIFS(Donnees_annuelles!$AH$3:$AH$188,Donnees_annuelles!$A$3:$A$188,AR484)*SUMIFS(Donnees_annuelles!$AA$3:$AA$188,Donnees_annuelles!$A$3:$A$188,AR484)</f>
        <v/>
      </c>
      <c r="BB484" s="39">
        <f>BA484-AL484</f>
        <v/>
      </c>
      <c r="BC484" s="7">
        <f>IF(M484+AJ484&gt;2026,IF(G484&gt;2026,"entièrement projeté","en partie projeté"),"observé")</f>
        <v/>
      </c>
    </row>
    <row r="485">
      <c r="A485" s="7" t="inlineStr">
        <is>
          <t>Génération Alpha</t>
        </is>
      </c>
      <c r="B485" s="84" t="inlineStr">
        <is>
          <t>RATP</t>
        </is>
      </c>
      <c r="C485" s="7">
        <f>IF(G485&gt;=SUMIFS(Regimes!$C$5:$C$10,Regimes!$A$5:$A$10,B485),"Privé",B485)</f>
        <v/>
      </c>
      <c r="D485" s="7">
        <f>INDEX(Regimes!$D$5:$D$10,MATCH(C485,Regimes!$A$5:$A$10,0))</f>
        <v/>
      </c>
      <c r="E485" s="88" t="n">
        <v>2018</v>
      </c>
      <c r="F485" s="8">
        <f>Donnees_generations!C106</f>
        <v/>
      </c>
      <c r="G485" s="77">
        <f>Donnees_generations!D106</f>
        <v/>
      </c>
      <c r="H485" s="8">
        <f>SUMIFS(Donnees_generations!$S$3:$S$113,Donnees_generations!$A$3:$A$113,MAX(1915,MIN(2025,E485)))</f>
        <v/>
      </c>
      <c r="I485" s="8">
        <f>SUMIFS(Donnees_generations!$T$3:$T$113,Donnees_generations!$A$3:$A$113,MAX(1915,MIN(2025,E485)))</f>
        <v/>
      </c>
      <c r="J485" s="8">
        <f>IF(G485&gt;=2000,MAX(I485,Parametres!$B$3),I485)</f>
        <v/>
      </c>
      <c r="K485" s="8">
        <f>IF(C485="Privé",J485,SUMIFS(Regles_regimes!$J$3:$J$2000,Regles_regimes!$A$3:$A$2000,C485,Regles_regimes!$B$3:$B$2000,D485,Regles_regimes!$C$3:$C$2000,MAX(1915,MIN(2025,E485))))</f>
        <v/>
      </c>
      <c r="L485" s="8">
        <f>IF(C485="Privé",H485,(K485-F485)*H485/(J485-F485))</f>
        <v/>
      </c>
      <c r="M485" s="77">
        <f>INT(E485+K485)</f>
        <v/>
      </c>
      <c r="N485" s="77">
        <f>G485+ROUNDUP(L485,0)-1</f>
        <v/>
      </c>
      <c r="O485" s="89">
        <f>SUMIFS(Regles_regimes!$K$3:$K$2000,Regles_regimes!$A$3:$A$2000,C485,Regles_regimes!$B$3:$B$2000,D485,Regles_regimes!$C$3:$C$2000,MAX(1915,MIN(2025,E485)))</f>
        <v/>
      </c>
      <c r="P485" s="13">
        <f>SUMIFS(Donnees_annuelles!$W$3:$W$188,Donnees_annuelles!$A$3:$A$188,"&gt;="&amp;G485,Donnees_annuelles!$A$3:$A$188,"&lt;="&amp;N485)*L485/ROUNDUP(L485,0)*O485</f>
        <v/>
      </c>
      <c r="Q485" s="13">
        <f>SUMIFS(Donnees_annuelles!$V$3:$V$188,Donnees_annuelles!$A$3:$A$188,"&gt;="&amp;G485,Donnees_annuelles!$A$3:$A$188,"&lt;="&amp;N485)*L485/ROUNDUP(L485,0)</f>
        <v/>
      </c>
      <c r="R485" s="13">
        <f>P485/L485</f>
        <v/>
      </c>
      <c r="S485" s="14">
        <f>SUMIFS(Donnees_annuelles!$D$3:$D$188,Donnees_annuelles!$A$3:$A$188,"&gt;="&amp;G485,Donnees_annuelles!$A$3:$A$188,"&lt;="&amp;N485)*L485/ROUNDUP(L485,0)</f>
        <v/>
      </c>
      <c r="T485" s="14">
        <f>SUMIFS(Donnees_regimes!$N$3:$N$1118,Donnees_regimes!$A$3:$A$1118,C485,Donnees_regimes!$B$3:$B$1118,"&gt;="&amp;G485,Donnees_regimes!$B$3:$B$1118,"&lt;="&amp;N485)*L485/ROUNDUP(L485,0)</f>
        <v/>
      </c>
      <c r="U485" s="14">
        <f>SUMIFS(Donnees_regimes!$O$3:$O$1118,Donnees_regimes!$A$3:$A$1118,C485,Donnees_regimes!$B$3:$B$1118,"&gt;="&amp;G485,Donnees_regimes!$B$3:$B$1118,"&lt;="&amp;N485)*L485/ROUNDUP(L485,0)</f>
        <v/>
      </c>
      <c r="V485" s="14">
        <f>T485+U485</f>
        <v/>
      </c>
      <c r="W485" s="33">
        <f>V485/S485</f>
        <v/>
      </c>
      <c r="X485" s="14">
        <f>S485+U485</f>
        <v/>
      </c>
      <c r="Y485" s="17">
        <f>V485/P485</f>
        <v/>
      </c>
      <c r="Z485" s="14">
        <f>SUMIFS(Donnees_regimes!$Q$3:$Q$1118,Donnees_regimes!$A$3:$A$1118,C485,Donnees_regimes!$B$3:$B$1118,"&gt;="&amp;G485,Donnees_regimes!$B$3:$B$1118,"&lt;="&amp;N485)*L485/ROUNDUP(L485,0)</f>
        <v/>
      </c>
      <c r="AA485" s="77">
        <f>SUMIFS(Regles_regimes!$F$3:$F$2000,Regles_regimes!$A$3:$A$2000,C485,Regles_regimes!$B$3:$B$2000,D485,Regles_regimes!$C$3:$C$2000,MAX(1915,MIN(2025,E485)))</f>
        <v/>
      </c>
      <c r="AB485" s="77">
        <f>IF(AND(SUMIFS(Regles_regimes!$L$3:$L$2000,Regles_regimes!$A$3:$A$2000,C485,Regles_regimes!$B$3:$B$2000,D485,Regles_regimes!$C$3:$C$2000,MAX(1915,MIN(2025,E485)))=1,G485&lt;2009,C485&lt;&gt;"Privé"),MIN(20,L485*4/5),0)</f>
        <v/>
      </c>
      <c r="AC485" s="89">
        <f>SUMIFS(Donnees_regimes!$M$3:$M$1118,Donnees_regimes!$A$3:$A$1118,C485,Donnees_regimes!$B$3:$B$1118,M485)</f>
        <v/>
      </c>
      <c r="AD485" s="14">
        <f>SUMIFS(Donnees_annuelles!$Y$3:$Y$188,Donnees_annuelles!$A$3:$A$188,M485)*SUMIFS(Donnees_generations!$I$3:$I$113,Donnees_generations!$A$3:$A$113,MAX(1915,MIN(2025,E485)))/H485</f>
        <v/>
      </c>
      <c r="AE485" s="14">
        <f>IF(C485="Privé",SUMIFS(Donnees_annuelles!$Y$3:$Y$188,Donnees_annuelles!$A$3:$A$188,M485)*MIN(L485,SUMIFS(Donnees_generations!$I$3:$I$113,Donnees_generations!$A$3:$A$113,MAX(1915,MIN(2025,E485))))/L485,AD485*AC485*MIN(IF(AB485&gt;0,0.8/0.75,1),(L485*4+AB485)/AA485))</f>
        <v/>
      </c>
      <c r="AF485" s="14">
        <f>AE485/12</f>
        <v/>
      </c>
      <c r="AG485" s="77">
        <f>MIN(68,MAX(56,2*INT(K485/2)))</f>
        <v/>
      </c>
      <c r="AH485" s="75">
        <f>(CHOOSE((AG485-56)/2+1,SUMIFS(Donnees_generations!$U$3:$U$113,Donnees_generations!$A$3:$A$113,MAX(1915,MIN(2025,E485))),SUMIFS(Donnees_generations!$V$3:$V$113,Donnees_generations!$A$3:$A$113,MAX(1915,MIN(2025,E485))),SUMIFS(Donnees_generations!$W$3:$W$113,Donnees_generations!$A$3:$A$113,MAX(1915,MIN(2025,E485))),SUMIFS(Donnees_generations!$X$3:$X$113,Donnees_generations!$A$3:$A$113,MAX(1915,MIN(2025,E485))),SUMIFS(Donnees_generations!$Y$3:$Y$113,Donnees_generations!$A$3:$A$113,MAX(1915,MIN(2025,E485))),SUMIFS(Donnees_generations!$Z$3:$Z$113,Donnees_generations!$A$3:$A$113,MAX(1915,MIN(2025,E485))),SUMIFS(Donnees_generations!$AA$3:$AA$113,Donnees_generations!$A$3:$A$113,MAX(1915,MIN(2025,E485))),SUMIFS(Donnees_generations!$AB$3:$AB$113,Donnees_generations!$A$3:$A$113,MAX(1915,MIN(2025,E485))))+CHOOSE((AG485-56)/2+1,SUMIFS(Donnees_generations!$AC$3:$AC$113,Donnees_generations!$A$3:$A$113,MAX(1915,MIN(2025,E485))),SUMIFS(Donnees_generations!$AD$3:$AD$113,Donnees_generations!$A$3:$A$113,MAX(1915,MIN(2025,E485))),SUMIFS(Donnees_generations!$AE$3:$AE$113,Donnees_generations!$A$3:$A$113,MAX(1915,MIN(2025,E485))),SUMIFS(Donnees_generations!$AF$3:$AF$113,Donnees_generations!$A$3:$A$113,MAX(1915,MIN(2025,E485))),SUMIFS(Donnees_generations!$AG$3:$AG$113,Donnees_generations!$A$3:$A$113,MAX(1915,MIN(2025,E485))),SUMIFS(Donnees_generations!$AH$3:$AH$113,Donnees_generations!$A$3:$A$113,MAX(1915,MIN(2025,E485))),SUMIFS(Donnees_generations!$AI$3:$AI$113,Donnees_generations!$A$3:$A$113,MAX(1915,MIN(2025,E485))),SUMIFS(Donnees_generations!$AJ$3:$AJ$113,Donnees_generations!$A$3:$A$113,MAX(1915,MIN(2025,E485)))))/2</f>
        <v/>
      </c>
      <c r="AI485" s="75">
        <f>(CHOOSE(((AG485+2)-56)/2+1,SUMIFS(Donnees_generations!$U$3:$U$113,Donnees_generations!$A$3:$A$113,MAX(1915,MIN(2025,E485))),SUMIFS(Donnees_generations!$V$3:$V$113,Donnees_generations!$A$3:$A$113,MAX(1915,MIN(2025,E485))),SUMIFS(Donnees_generations!$W$3:$W$113,Donnees_generations!$A$3:$A$113,MAX(1915,MIN(2025,E485))),SUMIFS(Donnees_generations!$X$3:$X$113,Donnees_generations!$A$3:$A$113,MAX(1915,MIN(2025,E485))),SUMIFS(Donnees_generations!$Y$3:$Y$113,Donnees_generations!$A$3:$A$113,MAX(1915,MIN(2025,E485))),SUMIFS(Donnees_generations!$Z$3:$Z$113,Donnees_generations!$A$3:$A$113,MAX(1915,MIN(2025,E485))),SUMIFS(Donnees_generations!$AA$3:$AA$113,Donnees_generations!$A$3:$A$113,MAX(1915,MIN(2025,E485))),SUMIFS(Donnees_generations!$AB$3:$AB$113,Donnees_generations!$A$3:$A$113,MAX(1915,MIN(2025,E485))))+CHOOSE(((AG485+2)-56)/2+1,SUMIFS(Donnees_generations!$AC$3:$AC$113,Donnees_generations!$A$3:$A$113,MAX(1915,MIN(2025,E485))),SUMIFS(Donnees_generations!$AD$3:$AD$113,Donnees_generations!$A$3:$A$113,MAX(1915,MIN(2025,E485))),SUMIFS(Donnees_generations!$AE$3:$AE$113,Donnees_generations!$A$3:$A$113,MAX(1915,MIN(2025,E485))),SUMIFS(Donnees_generations!$AF$3:$AF$113,Donnees_generations!$A$3:$A$113,MAX(1915,MIN(2025,E485))),SUMIFS(Donnees_generations!$AG$3:$AG$113,Donnees_generations!$A$3:$A$113,MAX(1915,MIN(2025,E485))),SUMIFS(Donnees_generations!$AH$3:$AH$113,Donnees_generations!$A$3:$A$113,MAX(1915,MIN(2025,E485))),SUMIFS(Donnees_generations!$AI$3:$AI$113,Donnees_generations!$A$3:$A$113,MAX(1915,MIN(2025,E485))),SUMIFS(Donnees_generations!$AJ$3:$AJ$113,Donnees_generations!$A$3:$A$113,MAX(1915,MIN(2025,E485)))))/2</f>
        <v/>
      </c>
      <c r="AJ485" s="8">
        <f>MAX(0,AH485+(AI485-AH485)*(K485-AG485)/2)</f>
        <v/>
      </c>
      <c r="AK485" s="8">
        <f>K485+AJ485</f>
        <v/>
      </c>
      <c r="AL485" s="14">
        <f>AE485*AJ485</f>
        <v/>
      </c>
      <c r="AM485" s="17">
        <f>V485/AL485</f>
        <v/>
      </c>
      <c r="AN485" s="17">
        <f>Z485/AL485</f>
        <v/>
      </c>
      <c r="AO485" s="33">
        <f>IF(V485+Z485=0,0,Z485/(V485+Z485))</f>
        <v/>
      </c>
      <c r="AP485" s="14">
        <f>AL485/V485*100</f>
        <v/>
      </c>
      <c r="AQ485" s="8">
        <f>P485/AL485*1000</f>
        <v/>
      </c>
      <c r="AR485" s="77">
        <f>MAX(N485,M485-1)</f>
        <v/>
      </c>
      <c r="AS485" s="14">
        <f>SUMIFS(Donnees_regimes!$R$3:$R$1118,Donnees_regimes!$A$3:$A$1118,C485,Donnees_regimes!$B$3:$B$1118,"&gt;="&amp;G485,Donnees_regimes!$B$3:$B$1118,"&lt;="&amp;N485)*L485/ROUNDUP(L485,0)*SUMIFS(Donnees_annuelles!$AG$3:$AG$188,Donnees_annuelles!$A$3:$A$188,AR485)*SUMIFS(Donnees_annuelles!$AA$3:$AA$188,Donnees_annuelles!$A$3:$A$188,AR485)</f>
        <v/>
      </c>
      <c r="AT485" s="36">
        <f>AS485/V485</f>
        <v/>
      </c>
      <c r="AU485" s="14">
        <f>AL485</f>
        <v/>
      </c>
      <c r="AV485" s="39">
        <f>AS485-AL485</f>
        <v/>
      </c>
      <c r="AW485" s="9">
        <f>AS485/AL485-1</f>
        <v/>
      </c>
      <c r="AX485" s="14">
        <f>AS485/AJ485/12</f>
        <v/>
      </c>
      <c r="AY485" s="14">
        <f>AF485</f>
        <v/>
      </c>
      <c r="AZ485" s="39">
        <f>AX485-AF485</f>
        <v/>
      </c>
      <c r="BA485" s="14">
        <f>SUMIFS(Donnees_regimes!$S$3:$S$1118,Donnees_regimes!$A$3:$A$1118,C485,Donnees_regimes!$B$3:$B$1118,"&gt;="&amp;G485,Donnees_regimes!$B$3:$B$1118,"&lt;="&amp;N485)*L485/ROUNDUP(L485,0)*SUMIFS(Donnees_annuelles!$AH$3:$AH$188,Donnees_annuelles!$A$3:$A$188,AR485)*SUMIFS(Donnees_annuelles!$AA$3:$AA$188,Donnees_annuelles!$A$3:$A$188,AR485)</f>
        <v/>
      </c>
      <c r="BB485" s="39">
        <f>BA485-AL485</f>
        <v/>
      </c>
      <c r="BC485" s="7">
        <f>IF(M485+AJ485&gt;2026,IF(G485&gt;2026,"entièrement projeté","en partie projeté"),"observé")</f>
        <v/>
      </c>
    </row>
    <row r="486">
      <c r="A486" s="7" t="inlineStr">
        <is>
          <t>Génération Alpha</t>
        </is>
      </c>
      <c r="B486" s="84" t="inlineStr">
        <is>
          <t>RATP</t>
        </is>
      </c>
      <c r="C486" s="7">
        <f>IF(G486&gt;=SUMIFS(Regimes!$C$5:$C$10,Regimes!$A$5:$A$10,B486),"Privé",B486)</f>
        <v/>
      </c>
      <c r="D486" s="7">
        <f>INDEX(Regimes!$D$5:$D$10,MATCH(C486,Regimes!$A$5:$A$10,0))</f>
        <v/>
      </c>
      <c r="E486" s="88" t="n">
        <v>2019</v>
      </c>
      <c r="F486" s="8">
        <f>Donnees_generations!C107</f>
        <v/>
      </c>
      <c r="G486" s="77">
        <f>Donnees_generations!D107</f>
        <v/>
      </c>
      <c r="H486" s="8">
        <f>SUMIFS(Donnees_generations!$S$3:$S$113,Donnees_generations!$A$3:$A$113,MAX(1915,MIN(2025,E486)))</f>
        <v/>
      </c>
      <c r="I486" s="8">
        <f>SUMIFS(Donnees_generations!$T$3:$T$113,Donnees_generations!$A$3:$A$113,MAX(1915,MIN(2025,E486)))</f>
        <v/>
      </c>
      <c r="J486" s="8">
        <f>IF(G486&gt;=2000,MAX(I486,Parametres!$B$3),I486)</f>
        <v/>
      </c>
      <c r="K486" s="8">
        <f>IF(C486="Privé",J486,SUMIFS(Regles_regimes!$J$3:$J$2000,Regles_regimes!$A$3:$A$2000,C486,Regles_regimes!$B$3:$B$2000,D486,Regles_regimes!$C$3:$C$2000,MAX(1915,MIN(2025,E486))))</f>
        <v/>
      </c>
      <c r="L486" s="8">
        <f>IF(C486="Privé",H486,(K486-F486)*H486/(J486-F486))</f>
        <v/>
      </c>
      <c r="M486" s="77">
        <f>INT(E486+K486)</f>
        <v/>
      </c>
      <c r="N486" s="77">
        <f>G486+ROUNDUP(L486,0)-1</f>
        <v/>
      </c>
      <c r="O486" s="89">
        <f>SUMIFS(Regles_regimes!$K$3:$K$2000,Regles_regimes!$A$3:$A$2000,C486,Regles_regimes!$B$3:$B$2000,D486,Regles_regimes!$C$3:$C$2000,MAX(1915,MIN(2025,E486)))</f>
        <v/>
      </c>
      <c r="P486" s="13">
        <f>SUMIFS(Donnees_annuelles!$W$3:$W$188,Donnees_annuelles!$A$3:$A$188,"&gt;="&amp;G486,Donnees_annuelles!$A$3:$A$188,"&lt;="&amp;N486)*L486/ROUNDUP(L486,0)*O486</f>
        <v/>
      </c>
      <c r="Q486" s="13">
        <f>SUMIFS(Donnees_annuelles!$V$3:$V$188,Donnees_annuelles!$A$3:$A$188,"&gt;="&amp;G486,Donnees_annuelles!$A$3:$A$188,"&lt;="&amp;N486)*L486/ROUNDUP(L486,0)</f>
        <v/>
      </c>
      <c r="R486" s="13">
        <f>P486/L486</f>
        <v/>
      </c>
      <c r="S486" s="14">
        <f>SUMIFS(Donnees_annuelles!$D$3:$D$188,Donnees_annuelles!$A$3:$A$188,"&gt;="&amp;G486,Donnees_annuelles!$A$3:$A$188,"&lt;="&amp;N486)*L486/ROUNDUP(L486,0)</f>
        <v/>
      </c>
      <c r="T486" s="14">
        <f>SUMIFS(Donnees_regimes!$N$3:$N$1118,Donnees_regimes!$A$3:$A$1118,C486,Donnees_regimes!$B$3:$B$1118,"&gt;="&amp;G486,Donnees_regimes!$B$3:$B$1118,"&lt;="&amp;N486)*L486/ROUNDUP(L486,0)</f>
        <v/>
      </c>
      <c r="U486" s="14">
        <f>SUMIFS(Donnees_regimes!$O$3:$O$1118,Donnees_regimes!$A$3:$A$1118,C486,Donnees_regimes!$B$3:$B$1118,"&gt;="&amp;G486,Donnees_regimes!$B$3:$B$1118,"&lt;="&amp;N486)*L486/ROUNDUP(L486,0)</f>
        <v/>
      </c>
      <c r="V486" s="14">
        <f>T486+U486</f>
        <v/>
      </c>
      <c r="W486" s="33">
        <f>V486/S486</f>
        <v/>
      </c>
      <c r="X486" s="14">
        <f>S486+U486</f>
        <v/>
      </c>
      <c r="Y486" s="17">
        <f>V486/P486</f>
        <v/>
      </c>
      <c r="Z486" s="14">
        <f>SUMIFS(Donnees_regimes!$Q$3:$Q$1118,Donnees_regimes!$A$3:$A$1118,C486,Donnees_regimes!$B$3:$B$1118,"&gt;="&amp;G486,Donnees_regimes!$B$3:$B$1118,"&lt;="&amp;N486)*L486/ROUNDUP(L486,0)</f>
        <v/>
      </c>
      <c r="AA486" s="77">
        <f>SUMIFS(Regles_regimes!$F$3:$F$2000,Regles_regimes!$A$3:$A$2000,C486,Regles_regimes!$B$3:$B$2000,D486,Regles_regimes!$C$3:$C$2000,MAX(1915,MIN(2025,E486)))</f>
        <v/>
      </c>
      <c r="AB486" s="77">
        <f>IF(AND(SUMIFS(Regles_regimes!$L$3:$L$2000,Regles_regimes!$A$3:$A$2000,C486,Regles_regimes!$B$3:$B$2000,D486,Regles_regimes!$C$3:$C$2000,MAX(1915,MIN(2025,E486)))=1,G486&lt;2009,C486&lt;&gt;"Privé"),MIN(20,L486*4/5),0)</f>
        <v/>
      </c>
      <c r="AC486" s="89">
        <f>SUMIFS(Donnees_regimes!$M$3:$M$1118,Donnees_regimes!$A$3:$A$1118,C486,Donnees_regimes!$B$3:$B$1118,M486)</f>
        <v/>
      </c>
      <c r="AD486" s="14">
        <f>SUMIFS(Donnees_annuelles!$Y$3:$Y$188,Donnees_annuelles!$A$3:$A$188,M486)*SUMIFS(Donnees_generations!$I$3:$I$113,Donnees_generations!$A$3:$A$113,MAX(1915,MIN(2025,E486)))/H486</f>
        <v/>
      </c>
      <c r="AE486" s="14">
        <f>IF(C486="Privé",SUMIFS(Donnees_annuelles!$Y$3:$Y$188,Donnees_annuelles!$A$3:$A$188,M486)*MIN(L486,SUMIFS(Donnees_generations!$I$3:$I$113,Donnees_generations!$A$3:$A$113,MAX(1915,MIN(2025,E486))))/L486,AD486*AC486*MIN(IF(AB486&gt;0,0.8/0.75,1),(L486*4+AB486)/AA486))</f>
        <v/>
      </c>
      <c r="AF486" s="14">
        <f>AE486/12</f>
        <v/>
      </c>
      <c r="AG486" s="77">
        <f>MIN(68,MAX(56,2*INT(K486/2)))</f>
        <v/>
      </c>
      <c r="AH486" s="75">
        <f>(CHOOSE((AG486-56)/2+1,SUMIFS(Donnees_generations!$U$3:$U$113,Donnees_generations!$A$3:$A$113,MAX(1915,MIN(2025,E486))),SUMIFS(Donnees_generations!$V$3:$V$113,Donnees_generations!$A$3:$A$113,MAX(1915,MIN(2025,E486))),SUMIFS(Donnees_generations!$W$3:$W$113,Donnees_generations!$A$3:$A$113,MAX(1915,MIN(2025,E486))),SUMIFS(Donnees_generations!$X$3:$X$113,Donnees_generations!$A$3:$A$113,MAX(1915,MIN(2025,E486))),SUMIFS(Donnees_generations!$Y$3:$Y$113,Donnees_generations!$A$3:$A$113,MAX(1915,MIN(2025,E486))),SUMIFS(Donnees_generations!$Z$3:$Z$113,Donnees_generations!$A$3:$A$113,MAX(1915,MIN(2025,E486))),SUMIFS(Donnees_generations!$AA$3:$AA$113,Donnees_generations!$A$3:$A$113,MAX(1915,MIN(2025,E486))),SUMIFS(Donnees_generations!$AB$3:$AB$113,Donnees_generations!$A$3:$A$113,MAX(1915,MIN(2025,E486))))+CHOOSE((AG486-56)/2+1,SUMIFS(Donnees_generations!$AC$3:$AC$113,Donnees_generations!$A$3:$A$113,MAX(1915,MIN(2025,E486))),SUMIFS(Donnees_generations!$AD$3:$AD$113,Donnees_generations!$A$3:$A$113,MAX(1915,MIN(2025,E486))),SUMIFS(Donnees_generations!$AE$3:$AE$113,Donnees_generations!$A$3:$A$113,MAX(1915,MIN(2025,E486))),SUMIFS(Donnees_generations!$AF$3:$AF$113,Donnees_generations!$A$3:$A$113,MAX(1915,MIN(2025,E486))),SUMIFS(Donnees_generations!$AG$3:$AG$113,Donnees_generations!$A$3:$A$113,MAX(1915,MIN(2025,E486))),SUMIFS(Donnees_generations!$AH$3:$AH$113,Donnees_generations!$A$3:$A$113,MAX(1915,MIN(2025,E486))),SUMIFS(Donnees_generations!$AI$3:$AI$113,Donnees_generations!$A$3:$A$113,MAX(1915,MIN(2025,E486))),SUMIFS(Donnees_generations!$AJ$3:$AJ$113,Donnees_generations!$A$3:$A$113,MAX(1915,MIN(2025,E486)))))/2</f>
        <v/>
      </c>
      <c r="AI486" s="75">
        <f>(CHOOSE(((AG486+2)-56)/2+1,SUMIFS(Donnees_generations!$U$3:$U$113,Donnees_generations!$A$3:$A$113,MAX(1915,MIN(2025,E486))),SUMIFS(Donnees_generations!$V$3:$V$113,Donnees_generations!$A$3:$A$113,MAX(1915,MIN(2025,E486))),SUMIFS(Donnees_generations!$W$3:$W$113,Donnees_generations!$A$3:$A$113,MAX(1915,MIN(2025,E486))),SUMIFS(Donnees_generations!$X$3:$X$113,Donnees_generations!$A$3:$A$113,MAX(1915,MIN(2025,E486))),SUMIFS(Donnees_generations!$Y$3:$Y$113,Donnees_generations!$A$3:$A$113,MAX(1915,MIN(2025,E486))),SUMIFS(Donnees_generations!$Z$3:$Z$113,Donnees_generations!$A$3:$A$113,MAX(1915,MIN(2025,E486))),SUMIFS(Donnees_generations!$AA$3:$AA$113,Donnees_generations!$A$3:$A$113,MAX(1915,MIN(2025,E486))),SUMIFS(Donnees_generations!$AB$3:$AB$113,Donnees_generations!$A$3:$A$113,MAX(1915,MIN(2025,E486))))+CHOOSE(((AG486+2)-56)/2+1,SUMIFS(Donnees_generations!$AC$3:$AC$113,Donnees_generations!$A$3:$A$113,MAX(1915,MIN(2025,E486))),SUMIFS(Donnees_generations!$AD$3:$AD$113,Donnees_generations!$A$3:$A$113,MAX(1915,MIN(2025,E486))),SUMIFS(Donnees_generations!$AE$3:$AE$113,Donnees_generations!$A$3:$A$113,MAX(1915,MIN(2025,E486))),SUMIFS(Donnees_generations!$AF$3:$AF$113,Donnees_generations!$A$3:$A$113,MAX(1915,MIN(2025,E486))),SUMIFS(Donnees_generations!$AG$3:$AG$113,Donnees_generations!$A$3:$A$113,MAX(1915,MIN(2025,E486))),SUMIFS(Donnees_generations!$AH$3:$AH$113,Donnees_generations!$A$3:$A$113,MAX(1915,MIN(2025,E486))),SUMIFS(Donnees_generations!$AI$3:$AI$113,Donnees_generations!$A$3:$A$113,MAX(1915,MIN(2025,E486))),SUMIFS(Donnees_generations!$AJ$3:$AJ$113,Donnees_generations!$A$3:$A$113,MAX(1915,MIN(2025,E486)))))/2</f>
        <v/>
      </c>
      <c r="AJ486" s="8">
        <f>MAX(0,AH486+(AI486-AH486)*(K486-AG486)/2)</f>
        <v/>
      </c>
      <c r="AK486" s="8">
        <f>K486+AJ486</f>
        <v/>
      </c>
      <c r="AL486" s="14">
        <f>AE486*AJ486</f>
        <v/>
      </c>
      <c r="AM486" s="17">
        <f>V486/AL486</f>
        <v/>
      </c>
      <c r="AN486" s="17">
        <f>Z486/AL486</f>
        <v/>
      </c>
      <c r="AO486" s="33">
        <f>IF(V486+Z486=0,0,Z486/(V486+Z486))</f>
        <v/>
      </c>
      <c r="AP486" s="14">
        <f>AL486/V486*100</f>
        <v/>
      </c>
      <c r="AQ486" s="8">
        <f>P486/AL486*1000</f>
        <v/>
      </c>
      <c r="AR486" s="77">
        <f>MAX(N486,M486-1)</f>
        <v/>
      </c>
      <c r="AS486" s="14">
        <f>SUMIFS(Donnees_regimes!$R$3:$R$1118,Donnees_regimes!$A$3:$A$1118,C486,Donnees_regimes!$B$3:$B$1118,"&gt;="&amp;G486,Donnees_regimes!$B$3:$B$1118,"&lt;="&amp;N486)*L486/ROUNDUP(L486,0)*SUMIFS(Donnees_annuelles!$AG$3:$AG$188,Donnees_annuelles!$A$3:$A$188,AR486)*SUMIFS(Donnees_annuelles!$AA$3:$AA$188,Donnees_annuelles!$A$3:$A$188,AR486)</f>
        <v/>
      </c>
      <c r="AT486" s="36">
        <f>AS486/V486</f>
        <v/>
      </c>
      <c r="AU486" s="14">
        <f>AL486</f>
        <v/>
      </c>
      <c r="AV486" s="39">
        <f>AS486-AL486</f>
        <v/>
      </c>
      <c r="AW486" s="9">
        <f>AS486/AL486-1</f>
        <v/>
      </c>
      <c r="AX486" s="14">
        <f>AS486/AJ486/12</f>
        <v/>
      </c>
      <c r="AY486" s="14">
        <f>AF486</f>
        <v/>
      </c>
      <c r="AZ486" s="39">
        <f>AX486-AF486</f>
        <v/>
      </c>
      <c r="BA486" s="14">
        <f>SUMIFS(Donnees_regimes!$S$3:$S$1118,Donnees_regimes!$A$3:$A$1118,C486,Donnees_regimes!$B$3:$B$1118,"&gt;="&amp;G486,Donnees_regimes!$B$3:$B$1118,"&lt;="&amp;N486)*L486/ROUNDUP(L486,0)*SUMIFS(Donnees_annuelles!$AH$3:$AH$188,Donnees_annuelles!$A$3:$A$188,AR486)*SUMIFS(Donnees_annuelles!$AA$3:$AA$188,Donnees_annuelles!$A$3:$A$188,AR486)</f>
        <v/>
      </c>
      <c r="BB486" s="39">
        <f>BA486-AL486</f>
        <v/>
      </c>
      <c r="BC486" s="7">
        <f>IF(M486+AJ486&gt;2026,IF(G486&gt;2026,"entièrement projeté","en partie projeté"),"observé")</f>
        <v/>
      </c>
    </row>
    <row r="487">
      <c r="A487" s="7" t="inlineStr">
        <is>
          <t>Génération Alpha</t>
        </is>
      </c>
      <c r="B487" s="84" t="inlineStr">
        <is>
          <t>RATP</t>
        </is>
      </c>
      <c r="C487" s="7">
        <f>IF(G487&gt;=SUMIFS(Regimes!$C$5:$C$10,Regimes!$A$5:$A$10,B487),"Privé",B487)</f>
        <v/>
      </c>
      <c r="D487" s="7">
        <f>INDEX(Regimes!$D$5:$D$10,MATCH(C487,Regimes!$A$5:$A$10,0))</f>
        <v/>
      </c>
      <c r="E487" s="88" t="n">
        <v>2020</v>
      </c>
      <c r="F487" s="8">
        <f>Donnees_generations!C108</f>
        <v/>
      </c>
      <c r="G487" s="77">
        <f>Donnees_generations!D108</f>
        <v/>
      </c>
      <c r="H487" s="8">
        <f>SUMIFS(Donnees_generations!$S$3:$S$113,Donnees_generations!$A$3:$A$113,MAX(1915,MIN(2025,E487)))</f>
        <v/>
      </c>
      <c r="I487" s="8">
        <f>SUMIFS(Donnees_generations!$T$3:$T$113,Donnees_generations!$A$3:$A$113,MAX(1915,MIN(2025,E487)))</f>
        <v/>
      </c>
      <c r="J487" s="8">
        <f>IF(G487&gt;=2000,MAX(I487,Parametres!$B$3),I487)</f>
        <v/>
      </c>
      <c r="K487" s="8">
        <f>IF(C487="Privé",J487,SUMIFS(Regles_regimes!$J$3:$J$2000,Regles_regimes!$A$3:$A$2000,C487,Regles_regimes!$B$3:$B$2000,D487,Regles_regimes!$C$3:$C$2000,MAX(1915,MIN(2025,E487))))</f>
        <v/>
      </c>
      <c r="L487" s="8">
        <f>IF(C487="Privé",H487,(K487-F487)*H487/(J487-F487))</f>
        <v/>
      </c>
      <c r="M487" s="77">
        <f>INT(E487+K487)</f>
        <v/>
      </c>
      <c r="N487" s="77">
        <f>G487+ROUNDUP(L487,0)-1</f>
        <v/>
      </c>
      <c r="O487" s="89">
        <f>SUMIFS(Regles_regimes!$K$3:$K$2000,Regles_regimes!$A$3:$A$2000,C487,Regles_regimes!$B$3:$B$2000,D487,Regles_regimes!$C$3:$C$2000,MAX(1915,MIN(2025,E487)))</f>
        <v/>
      </c>
      <c r="P487" s="13">
        <f>SUMIFS(Donnees_annuelles!$W$3:$W$188,Donnees_annuelles!$A$3:$A$188,"&gt;="&amp;G487,Donnees_annuelles!$A$3:$A$188,"&lt;="&amp;N487)*L487/ROUNDUP(L487,0)*O487</f>
        <v/>
      </c>
      <c r="Q487" s="13">
        <f>SUMIFS(Donnees_annuelles!$V$3:$V$188,Donnees_annuelles!$A$3:$A$188,"&gt;="&amp;G487,Donnees_annuelles!$A$3:$A$188,"&lt;="&amp;N487)*L487/ROUNDUP(L487,0)</f>
        <v/>
      </c>
      <c r="R487" s="13">
        <f>P487/L487</f>
        <v/>
      </c>
      <c r="S487" s="14">
        <f>SUMIFS(Donnees_annuelles!$D$3:$D$188,Donnees_annuelles!$A$3:$A$188,"&gt;="&amp;G487,Donnees_annuelles!$A$3:$A$188,"&lt;="&amp;N487)*L487/ROUNDUP(L487,0)</f>
        <v/>
      </c>
      <c r="T487" s="14">
        <f>SUMIFS(Donnees_regimes!$N$3:$N$1118,Donnees_regimes!$A$3:$A$1118,C487,Donnees_regimes!$B$3:$B$1118,"&gt;="&amp;G487,Donnees_regimes!$B$3:$B$1118,"&lt;="&amp;N487)*L487/ROUNDUP(L487,0)</f>
        <v/>
      </c>
      <c r="U487" s="14">
        <f>SUMIFS(Donnees_regimes!$O$3:$O$1118,Donnees_regimes!$A$3:$A$1118,C487,Donnees_regimes!$B$3:$B$1118,"&gt;="&amp;G487,Donnees_regimes!$B$3:$B$1118,"&lt;="&amp;N487)*L487/ROUNDUP(L487,0)</f>
        <v/>
      </c>
      <c r="V487" s="14">
        <f>T487+U487</f>
        <v/>
      </c>
      <c r="W487" s="33">
        <f>V487/S487</f>
        <v/>
      </c>
      <c r="X487" s="14">
        <f>S487+U487</f>
        <v/>
      </c>
      <c r="Y487" s="17">
        <f>V487/P487</f>
        <v/>
      </c>
      <c r="Z487" s="14">
        <f>SUMIFS(Donnees_regimes!$Q$3:$Q$1118,Donnees_regimes!$A$3:$A$1118,C487,Donnees_regimes!$B$3:$B$1118,"&gt;="&amp;G487,Donnees_regimes!$B$3:$B$1118,"&lt;="&amp;N487)*L487/ROUNDUP(L487,0)</f>
        <v/>
      </c>
      <c r="AA487" s="77">
        <f>SUMIFS(Regles_regimes!$F$3:$F$2000,Regles_regimes!$A$3:$A$2000,C487,Regles_regimes!$B$3:$B$2000,D487,Regles_regimes!$C$3:$C$2000,MAX(1915,MIN(2025,E487)))</f>
        <v/>
      </c>
      <c r="AB487" s="77">
        <f>IF(AND(SUMIFS(Regles_regimes!$L$3:$L$2000,Regles_regimes!$A$3:$A$2000,C487,Regles_regimes!$B$3:$B$2000,D487,Regles_regimes!$C$3:$C$2000,MAX(1915,MIN(2025,E487)))=1,G487&lt;2009,C487&lt;&gt;"Privé"),MIN(20,L487*4/5),0)</f>
        <v/>
      </c>
      <c r="AC487" s="89">
        <f>SUMIFS(Donnees_regimes!$M$3:$M$1118,Donnees_regimes!$A$3:$A$1118,C487,Donnees_regimes!$B$3:$B$1118,M487)</f>
        <v/>
      </c>
      <c r="AD487" s="14">
        <f>SUMIFS(Donnees_annuelles!$Y$3:$Y$188,Donnees_annuelles!$A$3:$A$188,M487)*SUMIFS(Donnees_generations!$I$3:$I$113,Donnees_generations!$A$3:$A$113,MAX(1915,MIN(2025,E487)))/H487</f>
        <v/>
      </c>
      <c r="AE487" s="14">
        <f>IF(C487="Privé",SUMIFS(Donnees_annuelles!$Y$3:$Y$188,Donnees_annuelles!$A$3:$A$188,M487)*MIN(L487,SUMIFS(Donnees_generations!$I$3:$I$113,Donnees_generations!$A$3:$A$113,MAX(1915,MIN(2025,E487))))/L487,AD487*AC487*MIN(IF(AB487&gt;0,0.8/0.75,1),(L487*4+AB487)/AA487))</f>
        <v/>
      </c>
      <c r="AF487" s="14">
        <f>AE487/12</f>
        <v/>
      </c>
      <c r="AG487" s="77">
        <f>MIN(68,MAX(56,2*INT(K487/2)))</f>
        <v/>
      </c>
      <c r="AH487" s="75">
        <f>(CHOOSE((AG487-56)/2+1,SUMIFS(Donnees_generations!$U$3:$U$113,Donnees_generations!$A$3:$A$113,MAX(1915,MIN(2025,E487))),SUMIFS(Donnees_generations!$V$3:$V$113,Donnees_generations!$A$3:$A$113,MAX(1915,MIN(2025,E487))),SUMIFS(Donnees_generations!$W$3:$W$113,Donnees_generations!$A$3:$A$113,MAX(1915,MIN(2025,E487))),SUMIFS(Donnees_generations!$X$3:$X$113,Donnees_generations!$A$3:$A$113,MAX(1915,MIN(2025,E487))),SUMIFS(Donnees_generations!$Y$3:$Y$113,Donnees_generations!$A$3:$A$113,MAX(1915,MIN(2025,E487))),SUMIFS(Donnees_generations!$Z$3:$Z$113,Donnees_generations!$A$3:$A$113,MAX(1915,MIN(2025,E487))),SUMIFS(Donnees_generations!$AA$3:$AA$113,Donnees_generations!$A$3:$A$113,MAX(1915,MIN(2025,E487))),SUMIFS(Donnees_generations!$AB$3:$AB$113,Donnees_generations!$A$3:$A$113,MAX(1915,MIN(2025,E487))))+CHOOSE((AG487-56)/2+1,SUMIFS(Donnees_generations!$AC$3:$AC$113,Donnees_generations!$A$3:$A$113,MAX(1915,MIN(2025,E487))),SUMIFS(Donnees_generations!$AD$3:$AD$113,Donnees_generations!$A$3:$A$113,MAX(1915,MIN(2025,E487))),SUMIFS(Donnees_generations!$AE$3:$AE$113,Donnees_generations!$A$3:$A$113,MAX(1915,MIN(2025,E487))),SUMIFS(Donnees_generations!$AF$3:$AF$113,Donnees_generations!$A$3:$A$113,MAX(1915,MIN(2025,E487))),SUMIFS(Donnees_generations!$AG$3:$AG$113,Donnees_generations!$A$3:$A$113,MAX(1915,MIN(2025,E487))),SUMIFS(Donnees_generations!$AH$3:$AH$113,Donnees_generations!$A$3:$A$113,MAX(1915,MIN(2025,E487))),SUMIFS(Donnees_generations!$AI$3:$AI$113,Donnees_generations!$A$3:$A$113,MAX(1915,MIN(2025,E487))),SUMIFS(Donnees_generations!$AJ$3:$AJ$113,Donnees_generations!$A$3:$A$113,MAX(1915,MIN(2025,E487)))))/2</f>
        <v/>
      </c>
      <c r="AI487" s="75">
        <f>(CHOOSE(((AG487+2)-56)/2+1,SUMIFS(Donnees_generations!$U$3:$U$113,Donnees_generations!$A$3:$A$113,MAX(1915,MIN(2025,E487))),SUMIFS(Donnees_generations!$V$3:$V$113,Donnees_generations!$A$3:$A$113,MAX(1915,MIN(2025,E487))),SUMIFS(Donnees_generations!$W$3:$W$113,Donnees_generations!$A$3:$A$113,MAX(1915,MIN(2025,E487))),SUMIFS(Donnees_generations!$X$3:$X$113,Donnees_generations!$A$3:$A$113,MAX(1915,MIN(2025,E487))),SUMIFS(Donnees_generations!$Y$3:$Y$113,Donnees_generations!$A$3:$A$113,MAX(1915,MIN(2025,E487))),SUMIFS(Donnees_generations!$Z$3:$Z$113,Donnees_generations!$A$3:$A$113,MAX(1915,MIN(2025,E487))),SUMIFS(Donnees_generations!$AA$3:$AA$113,Donnees_generations!$A$3:$A$113,MAX(1915,MIN(2025,E487))),SUMIFS(Donnees_generations!$AB$3:$AB$113,Donnees_generations!$A$3:$A$113,MAX(1915,MIN(2025,E487))))+CHOOSE(((AG487+2)-56)/2+1,SUMIFS(Donnees_generations!$AC$3:$AC$113,Donnees_generations!$A$3:$A$113,MAX(1915,MIN(2025,E487))),SUMIFS(Donnees_generations!$AD$3:$AD$113,Donnees_generations!$A$3:$A$113,MAX(1915,MIN(2025,E487))),SUMIFS(Donnees_generations!$AE$3:$AE$113,Donnees_generations!$A$3:$A$113,MAX(1915,MIN(2025,E487))),SUMIFS(Donnees_generations!$AF$3:$AF$113,Donnees_generations!$A$3:$A$113,MAX(1915,MIN(2025,E487))),SUMIFS(Donnees_generations!$AG$3:$AG$113,Donnees_generations!$A$3:$A$113,MAX(1915,MIN(2025,E487))),SUMIFS(Donnees_generations!$AH$3:$AH$113,Donnees_generations!$A$3:$A$113,MAX(1915,MIN(2025,E487))),SUMIFS(Donnees_generations!$AI$3:$AI$113,Donnees_generations!$A$3:$A$113,MAX(1915,MIN(2025,E487))),SUMIFS(Donnees_generations!$AJ$3:$AJ$113,Donnees_generations!$A$3:$A$113,MAX(1915,MIN(2025,E487)))))/2</f>
        <v/>
      </c>
      <c r="AJ487" s="8">
        <f>MAX(0,AH487+(AI487-AH487)*(K487-AG487)/2)</f>
        <v/>
      </c>
      <c r="AK487" s="8">
        <f>K487+AJ487</f>
        <v/>
      </c>
      <c r="AL487" s="14">
        <f>AE487*AJ487</f>
        <v/>
      </c>
      <c r="AM487" s="17">
        <f>V487/AL487</f>
        <v/>
      </c>
      <c r="AN487" s="17">
        <f>Z487/AL487</f>
        <v/>
      </c>
      <c r="AO487" s="33">
        <f>IF(V487+Z487=0,0,Z487/(V487+Z487))</f>
        <v/>
      </c>
      <c r="AP487" s="14">
        <f>AL487/V487*100</f>
        <v/>
      </c>
      <c r="AQ487" s="8">
        <f>P487/AL487*1000</f>
        <v/>
      </c>
      <c r="AR487" s="77">
        <f>MAX(N487,M487-1)</f>
        <v/>
      </c>
      <c r="AS487" s="14">
        <f>SUMIFS(Donnees_regimes!$R$3:$R$1118,Donnees_regimes!$A$3:$A$1118,C487,Donnees_regimes!$B$3:$B$1118,"&gt;="&amp;G487,Donnees_regimes!$B$3:$B$1118,"&lt;="&amp;N487)*L487/ROUNDUP(L487,0)*SUMIFS(Donnees_annuelles!$AG$3:$AG$188,Donnees_annuelles!$A$3:$A$188,AR487)*SUMIFS(Donnees_annuelles!$AA$3:$AA$188,Donnees_annuelles!$A$3:$A$188,AR487)</f>
        <v/>
      </c>
      <c r="AT487" s="36">
        <f>AS487/V487</f>
        <v/>
      </c>
      <c r="AU487" s="14">
        <f>AL487</f>
        <v/>
      </c>
      <c r="AV487" s="39">
        <f>AS487-AL487</f>
        <v/>
      </c>
      <c r="AW487" s="9">
        <f>AS487/AL487-1</f>
        <v/>
      </c>
      <c r="AX487" s="14">
        <f>AS487/AJ487/12</f>
        <v/>
      </c>
      <c r="AY487" s="14">
        <f>AF487</f>
        <v/>
      </c>
      <c r="AZ487" s="39">
        <f>AX487-AF487</f>
        <v/>
      </c>
      <c r="BA487" s="14">
        <f>SUMIFS(Donnees_regimes!$S$3:$S$1118,Donnees_regimes!$A$3:$A$1118,C487,Donnees_regimes!$B$3:$B$1118,"&gt;="&amp;G487,Donnees_regimes!$B$3:$B$1118,"&lt;="&amp;N487)*L487/ROUNDUP(L487,0)*SUMIFS(Donnees_annuelles!$AH$3:$AH$188,Donnees_annuelles!$A$3:$A$188,AR487)*SUMIFS(Donnees_annuelles!$AA$3:$AA$188,Donnees_annuelles!$A$3:$A$188,AR487)</f>
        <v/>
      </c>
      <c r="BB487" s="39">
        <f>BA487-AL487</f>
        <v/>
      </c>
      <c r="BC487" s="7">
        <f>IF(M487+AJ487&gt;2026,IF(G487&gt;2026,"entièrement projeté","en partie projeté"),"observé")</f>
        <v/>
      </c>
    </row>
    <row r="488">
      <c r="A488" s="7" t="inlineStr">
        <is>
          <t>Génération Alpha</t>
        </is>
      </c>
      <c r="B488" s="84" t="inlineStr">
        <is>
          <t>RATP</t>
        </is>
      </c>
      <c r="C488" s="7">
        <f>IF(G488&gt;=SUMIFS(Regimes!$C$5:$C$10,Regimes!$A$5:$A$10,B488),"Privé",B488)</f>
        <v/>
      </c>
      <c r="D488" s="7">
        <f>INDEX(Regimes!$D$5:$D$10,MATCH(C488,Regimes!$A$5:$A$10,0))</f>
        <v/>
      </c>
      <c r="E488" s="88" t="n">
        <v>2021</v>
      </c>
      <c r="F488" s="8">
        <f>Donnees_generations!C109</f>
        <v/>
      </c>
      <c r="G488" s="77">
        <f>Donnees_generations!D109</f>
        <v/>
      </c>
      <c r="H488" s="8">
        <f>SUMIFS(Donnees_generations!$S$3:$S$113,Donnees_generations!$A$3:$A$113,MAX(1915,MIN(2025,E488)))</f>
        <v/>
      </c>
      <c r="I488" s="8">
        <f>SUMIFS(Donnees_generations!$T$3:$T$113,Donnees_generations!$A$3:$A$113,MAX(1915,MIN(2025,E488)))</f>
        <v/>
      </c>
      <c r="J488" s="8">
        <f>IF(G488&gt;=2000,MAX(I488,Parametres!$B$3),I488)</f>
        <v/>
      </c>
      <c r="K488" s="8">
        <f>IF(C488="Privé",J488,SUMIFS(Regles_regimes!$J$3:$J$2000,Regles_regimes!$A$3:$A$2000,C488,Regles_regimes!$B$3:$B$2000,D488,Regles_regimes!$C$3:$C$2000,MAX(1915,MIN(2025,E488))))</f>
        <v/>
      </c>
      <c r="L488" s="8">
        <f>IF(C488="Privé",H488,(K488-F488)*H488/(J488-F488))</f>
        <v/>
      </c>
      <c r="M488" s="77">
        <f>INT(E488+K488)</f>
        <v/>
      </c>
      <c r="N488" s="77">
        <f>G488+ROUNDUP(L488,0)-1</f>
        <v/>
      </c>
      <c r="O488" s="89">
        <f>SUMIFS(Regles_regimes!$K$3:$K$2000,Regles_regimes!$A$3:$A$2000,C488,Regles_regimes!$B$3:$B$2000,D488,Regles_regimes!$C$3:$C$2000,MAX(1915,MIN(2025,E488)))</f>
        <v/>
      </c>
      <c r="P488" s="13">
        <f>SUMIFS(Donnees_annuelles!$W$3:$W$188,Donnees_annuelles!$A$3:$A$188,"&gt;="&amp;G488,Donnees_annuelles!$A$3:$A$188,"&lt;="&amp;N488)*L488/ROUNDUP(L488,0)*O488</f>
        <v/>
      </c>
      <c r="Q488" s="13">
        <f>SUMIFS(Donnees_annuelles!$V$3:$V$188,Donnees_annuelles!$A$3:$A$188,"&gt;="&amp;G488,Donnees_annuelles!$A$3:$A$188,"&lt;="&amp;N488)*L488/ROUNDUP(L488,0)</f>
        <v/>
      </c>
      <c r="R488" s="13">
        <f>P488/L488</f>
        <v/>
      </c>
      <c r="S488" s="14">
        <f>SUMIFS(Donnees_annuelles!$D$3:$D$188,Donnees_annuelles!$A$3:$A$188,"&gt;="&amp;G488,Donnees_annuelles!$A$3:$A$188,"&lt;="&amp;N488)*L488/ROUNDUP(L488,0)</f>
        <v/>
      </c>
      <c r="T488" s="14">
        <f>SUMIFS(Donnees_regimes!$N$3:$N$1118,Donnees_regimes!$A$3:$A$1118,C488,Donnees_regimes!$B$3:$B$1118,"&gt;="&amp;G488,Donnees_regimes!$B$3:$B$1118,"&lt;="&amp;N488)*L488/ROUNDUP(L488,0)</f>
        <v/>
      </c>
      <c r="U488" s="14">
        <f>SUMIFS(Donnees_regimes!$O$3:$O$1118,Donnees_regimes!$A$3:$A$1118,C488,Donnees_regimes!$B$3:$B$1118,"&gt;="&amp;G488,Donnees_regimes!$B$3:$B$1118,"&lt;="&amp;N488)*L488/ROUNDUP(L488,0)</f>
        <v/>
      </c>
      <c r="V488" s="14">
        <f>T488+U488</f>
        <v/>
      </c>
      <c r="W488" s="33">
        <f>V488/S488</f>
        <v/>
      </c>
      <c r="X488" s="14">
        <f>S488+U488</f>
        <v/>
      </c>
      <c r="Y488" s="17">
        <f>V488/P488</f>
        <v/>
      </c>
      <c r="Z488" s="14">
        <f>SUMIFS(Donnees_regimes!$Q$3:$Q$1118,Donnees_regimes!$A$3:$A$1118,C488,Donnees_regimes!$B$3:$B$1118,"&gt;="&amp;G488,Donnees_regimes!$B$3:$B$1118,"&lt;="&amp;N488)*L488/ROUNDUP(L488,0)</f>
        <v/>
      </c>
      <c r="AA488" s="77">
        <f>SUMIFS(Regles_regimes!$F$3:$F$2000,Regles_regimes!$A$3:$A$2000,C488,Regles_regimes!$B$3:$B$2000,D488,Regles_regimes!$C$3:$C$2000,MAX(1915,MIN(2025,E488)))</f>
        <v/>
      </c>
      <c r="AB488" s="77">
        <f>IF(AND(SUMIFS(Regles_regimes!$L$3:$L$2000,Regles_regimes!$A$3:$A$2000,C488,Regles_regimes!$B$3:$B$2000,D488,Regles_regimes!$C$3:$C$2000,MAX(1915,MIN(2025,E488)))=1,G488&lt;2009,C488&lt;&gt;"Privé"),MIN(20,L488*4/5),0)</f>
        <v/>
      </c>
      <c r="AC488" s="89">
        <f>SUMIFS(Donnees_regimes!$M$3:$M$1118,Donnees_regimes!$A$3:$A$1118,C488,Donnees_regimes!$B$3:$B$1118,M488)</f>
        <v/>
      </c>
      <c r="AD488" s="14">
        <f>SUMIFS(Donnees_annuelles!$Y$3:$Y$188,Donnees_annuelles!$A$3:$A$188,M488)*SUMIFS(Donnees_generations!$I$3:$I$113,Donnees_generations!$A$3:$A$113,MAX(1915,MIN(2025,E488)))/H488</f>
        <v/>
      </c>
      <c r="AE488" s="14">
        <f>IF(C488="Privé",SUMIFS(Donnees_annuelles!$Y$3:$Y$188,Donnees_annuelles!$A$3:$A$188,M488)*MIN(L488,SUMIFS(Donnees_generations!$I$3:$I$113,Donnees_generations!$A$3:$A$113,MAX(1915,MIN(2025,E488))))/L488,AD488*AC488*MIN(IF(AB488&gt;0,0.8/0.75,1),(L488*4+AB488)/AA488))</f>
        <v/>
      </c>
      <c r="AF488" s="14">
        <f>AE488/12</f>
        <v/>
      </c>
      <c r="AG488" s="77">
        <f>MIN(68,MAX(56,2*INT(K488/2)))</f>
        <v/>
      </c>
      <c r="AH488" s="75">
        <f>(CHOOSE((AG488-56)/2+1,SUMIFS(Donnees_generations!$U$3:$U$113,Donnees_generations!$A$3:$A$113,MAX(1915,MIN(2025,E488))),SUMIFS(Donnees_generations!$V$3:$V$113,Donnees_generations!$A$3:$A$113,MAX(1915,MIN(2025,E488))),SUMIFS(Donnees_generations!$W$3:$W$113,Donnees_generations!$A$3:$A$113,MAX(1915,MIN(2025,E488))),SUMIFS(Donnees_generations!$X$3:$X$113,Donnees_generations!$A$3:$A$113,MAX(1915,MIN(2025,E488))),SUMIFS(Donnees_generations!$Y$3:$Y$113,Donnees_generations!$A$3:$A$113,MAX(1915,MIN(2025,E488))),SUMIFS(Donnees_generations!$Z$3:$Z$113,Donnees_generations!$A$3:$A$113,MAX(1915,MIN(2025,E488))),SUMIFS(Donnees_generations!$AA$3:$AA$113,Donnees_generations!$A$3:$A$113,MAX(1915,MIN(2025,E488))),SUMIFS(Donnees_generations!$AB$3:$AB$113,Donnees_generations!$A$3:$A$113,MAX(1915,MIN(2025,E488))))+CHOOSE((AG488-56)/2+1,SUMIFS(Donnees_generations!$AC$3:$AC$113,Donnees_generations!$A$3:$A$113,MAX(1915,MIN(2025,E488))),SUMIFS(Donnees_generations!$AD$3:$AD$113,Donnees_generations!$A$3:$A$113,MAX(1915,MIN(2025,E488))),SUMIFS(Donnees_generations!$AE$3:$AE$113,Donnees_generations!$A$3:$A$113,MAX(1915,MIN(2025,E488))),SUMIFS(Donnees_generations!$AF$3:$AF$113,Donnees_generations!$A$3:$A$113,MAX(1915,MIN(2025,E488))),SUMIFS(Donnees_generations!$AG$3:$AG$113,Donnees_generations!$A$3:$A$113,MAX(1915,MIN(2025,E488))),SUMIFS(Donnees_generations!$AH$3:$AH$113,Donnees_generations!$A$3:$A$113,MAX(1915,MIN(2025,E488))),SUMIFS(Donnees_generations!$AI$3:$AI$113,Donnees_generations!$A$3:$A$113,MAX(1915,MIN(2025,E488))),SUMIFS(Donnees_generations!$AJ$3:$AJ$113,Donnees_generations!$A$3:$A$113,MAX(1915,MIN(2025,E488)))))/2</f>
        <v/>
      </c>
      <c r="AI488" s="75">
        <f>(CHOOSE(((AG488+2)-56)/2+1,SUMIFS(Donnees_generations!$U$3:$U$113,Donnees_generations!$A$3:$A$113,MAX(1915,MIN(2025,E488))),SUMIFS(Donnees_generations!$V$3:$V$113,Donnees_generations!$A$3:$A$113,MAX(1915,MIN(2025,E488))),SUMIFS(Donnees_generations!$W$3:$W$113,Donnees_generations!$A$3:$A$113,MAX(1915,MIN(2025,E488))),SUMIFS(Donnees_generations!$X$3:$X$113,Donnees_generations!$A$3:$A$113,MAX(1915,MIN(2025,E488))),SUMIFS(Donnees_generations!$Y$3:$Y$113,Donnees_generations!$A$3:$A$113,MAX(1915,MIN(2025,E488))),SUMIFS(Donnees_generations!$Z$3:$Z$113,Donnees_generations!$A$3:$A$113,MAX(1915,MIN(2025,E488))),SUMIFS(Donnees_generations!$AA$3:$AA$113,Donnees_generations!$A$3:$A$113,MAX(1915,MIN(2025,E488))),SUMIFS(Donnees_generations!$AB$3:$AB$113,Donnees_generations!$A$3:$A$113,MAX(1915,MIN(2025,E488))))+CHOOSE(((AG488+2)-56)/2+1,SUMIFS(Donnees_generations!$AC$3:$AC$113,Donnees_generations!$A$3:$A$113,MAX(1915,MIN(2025,E488))),SUMIFS(Donnees_generations!$AD$3:$AD$113,Donnees_generations!$A$3:$A$113,MAX(1915,MIN(2025,E488))),SUMIFS(Donnees_generations!$AE$3:$AE$113,Donnees_generations!$A$3:$A$113,MAX(1915,MIN(2025,E488))),SUMIFS(Donnees_generations!$AF$3:$AF$113,Donnees_generations!$A$3:$A$113,MAX(1915,MIN(2025,E488))),SUMIFS(Donnees_generations!$AG$3:$AG$113,Donnees_generations!$A$3:$A$113,MAX(1915,MIN(2025,E488))),SUMIFS(Donnees_generations!$AH$3:$AH$113,Donnees_generations!$A$3:$A$113,MAX(1915,MIN(2025,E488))),SUMIFS(Donnees_generations!$AI$3:$AI$113,Donnees_generations!$A$3:$A$113,MAX(1915,MIN(2025,E488))),SUMIFS(Donnees_generations!$AJ$3:$AJ$113,Donnees_generations!$A$3:$A$113,MAX(1915,MIN(2025,E488)))))/2</f>
        <v/>
      </c>
      <c r="AJ488" s="8">
        <f>MAX(0,AH488+(AI488-AH488)*(K488-AG488)/2)</f>
        <v/>
      </c>
      <c r="AK488" s="8">
        <f>K488+AJ488</f>
        <v/>
      </c>
      <c r="AL488" s="14">
        <f>AE488*AJ488</f>
        <v/>
      </c>
      <c r="AM488" s="17">
        <f>V488/AL488</f>
        <v/>
      </c>
      <c r="AN488" s="17">
        <f>Z488/AL488</f>
        <v/>
      </c>
      <c r="AO488" s="33">
        <f>IF(V488+Z488=0,0,Z488/(V488+Z488))</f>
        <v/>
      </c>
      <c r="AP488" s="14">
        <f>AL488/V488*100</f>
        <v/>
      </c>
      <c r="AQ488" s="8">
        <f>P488/AL488*1000</f>
        <v/>
      </c>
      <c r="AR488" s="77">
        <f>MAX(N488,M488-1)</f>
        <v/>
      </c>
      <c r="AS488" s="14">
        <f>SUMIFS(Donnees_regimes!$R$3:$R$1118,Donnees_regimes!$A$3:$A$1118,C488,Donnees_regimes!$B$3:$B$1118,"&gt;="&amp;G488,Donnees_regimes!$B$3:$B$1118,"&lt;="&amp;N488)*L488/ROUNDUP(L488,0)*SUMIFS(Donnees_annuelles!$AG$3:$AG$188,Donnees_annuelles!$A$3:$A$188,AR488)*SUMIFS(Donnees_annuelles!$AA$3:$AA$188,Donnees_annuelles!$A$3:$A$188,AR488)</f>
        <v/>
      </c>
      <c r="AT488" s="36">
        <f>AS488/V488</f>
        <v/>
      </c>
      <c r="AU488" s="14">
        <f>AL488</f>
        <v/>
      </c>
      <c r="AV488" s="39">
        <f>AS488-AL488</f>
        <v/>
      </c>
      <c r="AW488" s="9">
        <f>AS488/AL488-1</f>
        <v/>
      </c>
      <c r="AX488" s="14">
        <f>AS488/AJ488/12</f>
        <v/>
      </c>
      <c r="AY488" s="14">
        <f>AF488</f>
        <v/>
      </c>
      <c r="AZ488" s="39">
        <f>AX488-AF488</f>
        <v/>
      </c>
      <c r="BA488" s="14">
        <f>SUMIFS(Donnees_regimes!$S$3:$S$1118,Donnees_regimes!$A$3:$A$1118,C488,Donnees_regimes!$B$3:$B$1118,"&gt;="&amp;G488,Donnees_regimes!$B$3:$B$1118,"&lt;="&amp;N488)*L488/ROUNDUP(L488,0)*SUMIFS(Donnees_annuelles!$AH$3:$AH$188,Donnees_annuelles!$A$3:$A$188,AR488)*SUMIFS(Donnees_annuelles!$AA$3:$AA$188,Donnees_annuelles!$A$3:$A$188,AR488)</f>
        <v/>
      </c>
      <c r="BB488" s="39">
        <f>BA488-AL488</f>
        <v/>
      </c>
      <c r="BC488" s="7">
        <f>IF(M488+AJ488&gt;2026,IF(G488&gt;2026,"entièrement projeté","en partie projeté"),"observé")</f>
        <v/>
      </c>
    </row>
    <row r="489">
      <c r="A489" s="7" t="inlineStr">
        <is>
          <t>Génération Alpha</t>
        </is>
      </c>
      <c r="B489" s="84" t="inlineStr">
        <is>
          <t>RATP</t>
        </is>
      </c>
      <c r="C489" s="7">
        <f>IF(G489&gt;=SUMIFS(Regimes!$C$5:$C$10,Regimes!$A$5:$A$10,B489),"Privé",B489)</f>
        <v/>
      </c>
      <c r="D489" s="7">
        <f>INDEX(Regimes!$D$5:$D$10,MATCH(C489,Regimes!$A$5:$A$10,0))</f>
        <v/>
      </c>
      <c r="E489" s="88" t="n">
        <v>2022</v>
      </c>
      <c r="F489" s="8">
        <f>Donnees_generations!C110</f>
        <v/>
      </c>
      <c r="G489" s="77">
        <f>Donnees_generations!D110</f>
        <v/>
      </c>
      <c r="H489" s="8">
        <f>SUMIFS(Donnees_generations!$S$3:$S$113,Donnees_generations!$A$3:$A$113,MAX(1915,MIN(2025,E489)))</f>
        <v/>
      </c>
      <c r="I489" s="8">
        <f>SUMIFS(Donnees_generations!$T$3:$T$113,Donnees_generations!$A$3:$A$113,MAX(1915,MIN(2025,E489)))</f>
        <v/>
      </c>
      <c r="J489" s="8">
        <f>IF(G489&gt;=2000,MAX(I489,Parametres!$B$3),I489)</f>
        <v/>
      </c>
      <c r="K489" s="8">
        <f>IF(C489="Privé",J489,SUMIFS(Regles_regimes!$J$3:$J$2000,Regles_regimes!$A$3:$A$2000,C489,Regles_regimes!$B$3:$B$2000,D489,Regles_regimes!$C$3:$C$2000,MAX(1915,MIN(2025,E489))))</f>
        <v/>
      </c>
      <c r="L489" s="8">
        <f>IF(C489="Privé",H489,(K489-F489)*H489/(J489-F489))</f>
        <v/>
      </c>
      <c r="M489" s="77">
        <f>INT(E489+K489)</f>
        <v/>
      </c>
      <c r="N489" s="77">
        <f>G489+ROUNDUP(L489,0)-1</f>
        <v/>
      </c>
      <c r="O489" s="89">
        <f>SUMIFS(Regles_regimes!$K$3:$K$2000,Regles_regimes!$A$3:$A$2000,C489,Regles_regimes!$B$3:$B$2000,D489,Regles_regimes!$C$3:$C$2000,MAX(1915,MIN(2025,E489)))</f>
        <v/>
      </c>
      <c r="P489" s="13">
        <f>SUMIFS(Donnees_annuelles!$W$3:$W$188,Donnees_annuelles!$A$3:$A$188,"&gt;="&amp;G489,Donnees_annuelles!$A$3:$A$188,"&lt;="&amp;N489)*L489/ROUNDUP(L489,0)*O489</f>
        <v/>
      </c>
      <c r="Q489" s="13">
        <f>SUMIFS(Donnees_annuelles!$V$3:$V$188,Donnees_annuelles!$A$3:$A$188,"&gt;="&amp;G489,Donnees_annuelles!$A$3:$A$188,"&lt;="&amp;N489)*L489/ROUNDUP(L489,0)</f>
        <v/>
      </c>
      <c r="R489" s="13">
        <f>P489/L489</f>
        <v/>
      </c>
      <c r="S489" s="14">
        <f>SUMIFS(Donnees_annuelles!$D$3:$D$188,Donnees_annuelles!$A$3:$A$188,"&gt;="&amp;G489,Donnees_annuelles!$A$3:$A$188,"&lt;="&amp;N489)*L489/ROUNDUP(L489,0)</f>
        <v/>
      </c>
      <c r="T489" s="14">
        <f>SUMIFS(Donnees_regimes!$N$3:$N$1118,Donnees_regimes!$A$3:$A$1118,C489,Donnees_regimes!$B$3:$B$1118,"&gt;="&amp;G489,Donnees_regimes!$B$3:$B$1118,"&lt;="&amp;N489)*L489/ROUNDUP(L489,0)</f>
        <v/>
      </c>
      <c r="U489" s="14">
        <f>SUMIFS(Donnees_regimes!$O$3:$O$1118,Donnees_regimes!$A$3:$A$1118,C489,Donnees_regimes!$B$3:$B$1118,"&gt;="&amp;G489,Donnees_regimes!$B$3:$B$1118,"&lt;="&amp;N489)*L489/ROUNDUP(L489,0)</f>
        <v/>
      </c>
      <c r="V489" s="14">
        <f>T489+U489</f>
        <v/>
      </c>
      <c r="W489" s="33">
        <f>V489/S489</f>
        <v/>
      </c>
      <c r="X489" s="14">
        <f>S489+U489</f>
        <v/>
      </c>
      <c r="Y489" s="17">
        <f>V489/P489</f>
        <v/>
      </c>
      <c r="Z489" s="14">
        <f>SUMIFS(Donnees_regimes!$Q$3:$Q$1118,Donnees_regimes!$A$3:$A$1118,C489,Donnees_regimes!$B$3:$B$1118,"&gt;="&amp;G489,Donnees_regimes!$B$3:$B$1118,"&lt;="&amp;N489)*L489/ROUNDUP(L489,0)</f>
        <v/>
      </c>
      <c r="AA489" s="77">
        <f>SUMIFS(Regles_regimes!$F$3:$F$2000,Regles_regimes!$A$3:$A$2000,C489,Regles_regimes!$B$3:$B$2000,D489,Regles_regimes!$C$3:$C$2000,MAX(1915,MIN(2025,E489)))</f>
        <v/>
      </c>
      <c r="AB489" s="77">
        <f>IF(AND(SUMIFS(Regles_regimes!$L$3:$L$2000,Regles_regimes!$A$3:$A$2000,C489,Regles_regimes!$B$3:$B$2000,D489,Regles_regimes!$C$3:$C$2000,MAX(1915,MIN(2025,E489)))=1,G489&lt;2009,C489&lt;&gt;"Privé"),MIN(20,L489*4/5),0)</f>
        <v/>
      </c>
      <c r="AC489" s="89">
        <f>SUMIFS(Donnees_regimes!$M$3:$M$1118,Donnees_regimes!$A$3:$A$1118,C489,Donnees_regimes!$B$3:$B$1118,M489)</f>
        <v/>
      </c>
      <c r="AD489" s="14">
        <f>SUMIFS(Donnees_annuelles!$Y$3:$Y$188,Donnees_annuelles!$A$3:$A$188,M489)*SUMIFS(Donnees_generations!$I$3:$I$113,Donnees_generations!$A$3:$A$113,MAX(1915,MIN(2025,E489)))/H489</f>
        <v/>
      </c>
      <c r="AE489" s="14">
        <f>IF(C489="Privé",SUMIFS(Donnees_annuelles!$Y$3:$Y$188,Donnees_annuelles!$A$3:$A$188,M489)*MIN(L489,SUMIFS(Donnees_generations!$I$3:$I$113,Donnees_generations!$A$3:$A$113,MAX(1915,MIN(2025,E489))))/L489,AD489*AC489*MIN(IF(AB489&gt;0,0.8/0.75,1),(L489*4+AB489)/AA489))</f>
        <v/>
      </c>
      <c r="AF489" s="14">
        <f>AE489/12</f>
        <v/>
      </c>
      <c r="AG489" s="77">
        <f>MIN(68,MAX(56,2*INT(K489/2)))</f>
        <v/>
      </c>
      <c r="AH489" s="75">
        <f>(CHOOSE((AG489-56)/2+1,SUMIFS(Donnees_generations!$U$3:$U$113,Donnees_generations!$A$3:$A$113,MAX(1915,MIN(2025,E489))),SUMIFS(Donnees_generations!$V$3:$V$113,Donnees_generations!$A$3:$A$113,MAX(1915,MIN(2025,E489))),SUMIFS(Donnees_generations!$W$3:$W$113,Donnees_generations!$A$3:$A$113,MAX(1915,MIN(2025,E489))),SUMIFS(Donnees_generations!$X$3:$X$113,Donnees_generations!$A$3:$A$113,MAX(1915,MIN(2025,E489))),SUMIFS(Donnees_generations!$Y$3:$Y$113,Donnees_generations!$A$3:$A$113,MAX(1915,MIN(2025,E489))),SUMIFS(Donnees_generations!$Z$3:$Z$113,Donnees_generations!$A$3:$A$113,MAX(1915,MIN(2025,E489))),SUMIFS(Donnees_generations!$AA$3:$AA$113,Donnees_generations!$A$3:$A$113,MAX(1915,MIN(2025,E489))),SUMIFS(Donnees_generations!$AB$3:$AB$113,Donnees_generations!$A$3:$A$113,MAX(1915,MIN(2025,E489))))+CHOOSE((AG489-56)/2+1,SUMIFS(Donnees_generations!$AC$3:$AC$113,Donnees_generations!$A$3:$A$113,MAX(1915,MIN(2025,E489))),SUMIFS(Donnees_generations!$AD$3:$AD$113,Donnees_generations!$A$3:$A$113,MAX(1915,MIN(2025,E489))),SUMIFS(Donnees_generations!$AE$3:$AE$113,Donnees_generations!$A$3:$A$113,MAX(1915,MIN(2025,E489))),SUMIFS(Donnees_generations!$AF$3:$AF$113,Donnees_generations!$A$3:$A$113,MAX(1915,MIN(2025,E489))),SUMIFS(Donnees_generations!$AG$3:$AG$113,Donnees_generations!$A$3:$A$113,MAX(1915,MIN(2025,E489))),SUMIFS(Donnees_generations!$AH$3:$AH$113,Donnees_generations!$A$3:$A$113,MAX(1915,MIN(2025,E489))),SUMIFS(Donnees_generations!$AI$3:$AI$113,Donnees_generations!$A$3:$A$113,MAX(1915,MIN(2025,E489))),SUMIFS(Donnees_generations!$AJ$3:$AJ$113,Donnees_generations!$A$3:$A$113,MAX(1915,MIN(2025,E489)))))/2</f>
        <v/>
      </c>
      <c r="AI489" s="75">
        <f>(CHOOSE(((AG489+2)-56)/2+1,SUMIFS(Donnees_generations!$U$3:$U$113,Donnees_generations!$A$3:$A$113,MAX(1915,MIN(2025,E489))),SUMIFS(Donnees_generations!$V$3:$V$113,Donnees_generations!$A$3:$A$113,MAX(1915,MIN(2025,E489))),SUMIFS(Donnees_generations!$W$3:$W$113,Donnees_generations!$A$3:$A$113,MAX(1915,MIN(2025,E489))),SUMIFS(Donnees_generations!$X$3:$X$113,Donnees_generations!$A$3:$A$113,MAX(1915,MIN(2025,E489))),SUMIFS(Donnees_generations!$Y$3:$Y$113,Donnees_generations!$A$3:$A$113,MAX(1915,MIN(2025,E489))),SUMIFS(Donnees_generations!$Z$3:$Z$113,Donnees_generations!$A$3:$A$113,MAX(1915,MIN(2025,E489))),SUMIFS(Donnees_generations!$AA$3:$AA$113,Donnees_generations!$A$3:$A$113,MAX(1915,MIN(2025,E489))),SUMIFS(Donnees_generations!$AB$3:$AB$113,Donnees_generations!$A$3:$A$113,MAX(1915,MIN(2025,E489))))+CHOOSE(((AG489+2)-56)/2+1,SUMIFS(Donnees_generations!$AC$3:$AC$113,Donnees_generations!$A$3:$A$113,MAX(1915,MIN(2025,E489))),SUMIFS(Donnees_generations!$AD$3:$AD$113,Donnees_generations!$A$3:$A$113,MAX(1915,MIN(2025,E489))),SUMIFS(Donnees_generations!$AE$3:$AE$113,Donnees_generations!$A$3:$A$113,MAX(1915,MIN(2025,E489))),SUMIFS(Donnees_generations!$AF$3:$AF$113,Donnees_generations!$A$3:$A$113,MAX(1915,MIN(2025,E489))),SUMIFS(Donnees_generations!$AG$3:$AG$113,Donnees_generations!$A$3:$A$113,MAX(1915,MIN(2025,E489))),SUMIFS(Donnees_generations!$AH$3:$AH$113,Donnees_generations!$A$3:$A$113,MAX(1915,MIN(2025,E489))),SUMIFS(Donnees_generations!$AI$3:$AI$113,Donnees_generations!$A$3:$A$113,MAX(1915,MIN(2025,E489))),SUMIFS(Donnees_generations!$AJ$3:$AJ$113,Donnees_generations!$A$3:$A$113,MAX(1915,MIN(2025,E489)))))/2</f>
        <v/>
      </c>
      <c r="AJ489" s="8">
        <f>MAX(0,AH489+(AI489-AH489)*(K489-AG489)/2)</f>
        <v/>
      </c>
      <c r="AK489" s="8">
        <f>K489+AJ489</f>
        <v/>
      </c>
      <c r="AL489" s="14">
        <f>AE489*AJ489</f>
        <v/>
      </c>
      <c r="AM489" s="17">
        <f>V489/AL489</f>
        <v/>
      </c>
      <c r="AN489" s="17">
        <f>Z489/AL489</f>
        <v/>
      </c>
      <c r="AO489" s="33">
        <f>IF(V489+Z489=0,0,Z489/(V489+Z489))</f>
        <v/>
      </c>
      <c r="AP489" s="14">
        <f>AL489/V489*100</f>
        <v/>
      </c>
      <c r="AQ489" s="8">
        <f>P489/AL489*1000</f>
        <v/>
      </c>
      <c r="AR489" s="77">
        <f>MAX(N489,M489-1)</f>
        <v/>
      </c>
      <c r="AS489" s="14">
        <f>SUMIFS(Donnees_regimes!$R$3:$R$1118,Donnees_regimes!$A$3:$A$1118,C489,Donnees_regimes!$B$3:$B$1118,"&gt;="&amp;G489,Donnees_regimes!$B$3:$B$1118,"&lt;="&amp;N489)*L489/ROUNDUP(L489,0)*SUMIFS(Donnees_annuelles!$AG$3:$AG$188,Donnees_annuelles!$A$3:$A$188,AR489)*SUMIFS(Donnees_annuelles!$AA$3:$AA$188,Donnees_annuelles!$A$3:$A$188,AR489)</f>
        <v/>
      </c>
      <c r="AT489" s="36">
        <f>AS489/V489</f>
        <v/>
      </c>
      <c r="AU489" s="14">
        <f>AL489</f>
        <v/>
      </c>
      <c r="AV489" s="39">
        <f>AS489-AL489</f>
        <v/>
      </c>
      <c r="AW489" s="9">
        <f>AS489/AL489-1</f>
        <v/>
      </c>
      <c r="AX489" s="14">
        <f>AS489/AJ489/12</f>
        <v/>
      </c>
      <c r="AY489" s="14">
        <f>AF489</f>
        <v/>
      </c>
      <c r="AZ489" s="39">
        <f>AX489-AF489</f>
        <v/>
      </c>
      <c r="BA489" s="14">
        <f>SUMIFS(Donnees_regimes!$S$3:$S$1118,Donnees_regimes!$A$3:$A$1118,C489,Donnees_regimes!$B$3:$B$1118,"&gt;="&amp;G489,Donnees_regimes!$B$3:$B$1118,"&lt;="&amp;N489)*L489/ROUNDUP(L489,0)*SUMIFS(Donnees_annuelles!$AH$3:$AH$188,Donnees_annuelles!$A$3:$A$188,AR489)*SUMIFS(Donnees_annuelles!$AA$3:$AA$188,Donnees_annuelles!$A$3:$A$188,AR489)</f>
        <v/>
      </c>
      <c r="BB489" s="39">
        <f>BA489-AL489</f>
        <v/>
      </c>
      <c r="BC489" s="7">
        <f>IF(M489+AJ489&gt;2026,IF(G489&gt;2026,"entièrement projeté","en partie projeté"),"observé")</f>
        <v/>
      </c>
    </row>
    <row r="490">
      <c r="A490" s="7" t="inlineStr">
        <is>
          <t>Génération Alpha</t>
        </is>
      </c>
      <c r="B490" s="84" t="inlineStr">
        <is>
          <t>RATP</t>
        </is>
      </c>
      <c r="C490" s="7">
        <f>IF(G490&gt;=SUMIFS(Regimes!$C$5:$C$10,Regimes!$A$5:$A$10,B490),"Privé",B490)</f>
        <v/>
      </c>
      <c r="D490" s="7">
        <f>INDEX(Regimes!$D$5:$D$10,MATCH(C490,Regimes!$A$5:$A$10,0))</f>
        <v/>
      </c>
      <c r="E490" s="88" t="n">
        <v>2023</v>
      </c>
      <c r="F490" s="8">
        <f>Donnees_generations!C111</f>
        <v/>
      </c>
      <c r="G490" s="77">
        <f>Donnees_generations!D111</f>
        <v/>
      </c>
      <c r="H490" s="8">
        <f>SUMIFS(Donnees_generations!$S$3:$S$113,Donnees_generations!$A$3:$A$113,MAX(1915,MIN(2025,E490)))</f>
        <v/>
      </c>
      <c r="I490" s="8">
        <f>SUMIFS(Donnees_generations!$T$3:$T$113,Donnees_generations!$A$3:$A$113,MAX(1915,MIN(2025,E490)))</f>
        <v/>
      </c>
      <c r="J490" s="8">
        <f>IF(G490&gt;=2000,MAX(I490,Parametres!$B$3),I490)</f>
        <v/>
      </c>
      <c r="K490" s="8">
        <f>IF(C490="Privé",J490,SUMIFS(Regles_regimes!$J$3:$J$2000,Regles_regimes!$A$3:$A$2000,C490,Regles_regimes!$B$3:$B$2000,D490,Regles_regimes!$C$3:$C$2000,MAX(1915,MIN(2025,E490))))</f>
        <v/>
      </c>
      <c r="L490" s="8">
        <f>IF(C490="Privé",H490,(K490-F490)*H490/(J490-F490))</f>
        <v/>
      </c>
      <c r="M490" s="77">
        <f>INT(E490+K490)</f>
        <v/>
      </c>
      <c r="N490" s="77">
        <f>G490+ROUNDUP(L490,0)-1</f>
        <v/>
      </c>
      <c r="O490" s="89">
        <f>SUMIFS(Regles_regimes!$K$3:$K$2000,Regles_regimes!$A$3:$A$2000,C490,Regles_regimes!$B$3:$B$2000,D490,Regles_regimes!$C$3:$C$2000,MAX(1915,MIN(2025,E490)))</f>
        <v/>
      </c>
      <c r="P490" s="13">
        <f>SUMIFS(Donnees_annuelles!$W$3:$W$188,Donnees_annuelles!$A$3:$A$188,"&gt;="&amp;G490,Donnees_annuelles!$A$3:$A$188,"&lt;="&amp;N490)*L490/ROUNDUP(L490,0)*O490</f>
        <v/>
      </c>
      <c r="Q490" s="13">
        <f>SUMIFS(Donnees_annuelles!$V$3:$V$188,Donnees_annuelles!$A$3:$A$188,"&gt;="&amp;G490,Donnees_annuelles!$A$3:$A$188,"&lt;="&amp;N490)*L490/ROUNDUP(L490,0)</f>
        <v/>
      </c>
      <c r="R490" s="13">
        <f>P490/L490</f>
        <v/>
      </c>
      <c r="S490" s="14">
        <f>SUMIFS(Donnees_annuelles!$D$3:$D$188,Donnees_annuelles!$A$3:$A$188,"&gt;="&amp;G490,Donnees_annuelles!$A$3:$A$188,"&lt;="&amp;N490)*L490/ROUNDUP(L490,0)</f>
        <v/>
      </c>
      <c r="T490" s="14">
        <f>SUMIFS(Donnees_regimes!$N$3:$N$1118,Donnees_regimes!$A$3:$A$1118,C490,Donnees_regimes!$B$3:$B$1118,"&gt;="&amp;G490,Donnees_regimes!$B$3:$B$1118,"&lt;="&amp;N490)*L490/ROUNDUP(L490,0)</f>
        <v/>
      </c>
      <c r="U490" s="14">
        <f>SUMIFS(Donnees_regimes!$O$3:$O$1118,Donnees_regimes!$A$3:$A$1118,C490,Donnees_regimes!$B$3:$B$1118,"&gt;="&amp;G490,Donnees_regimes!$B$3:$B$1118,"&lt;="&amp;N490)*L490/ROUNDUP(L490,0)</f>
        <v/>
      </c>
      <c r="V490" s="14">
        <f>T490+U490</f>
        <v/>
      </c>
      <c r="W490" s="33">
        <f>V490/S490</f>
        <v/>
      </c>
      <c r="X490" s="14">
        <f>S490+U490</f>
        <v/>
      </c>
      <c r="Y490" s="17">
        <f>V490/P490</f>
        <v/>
      </c>
      <c r="Z490" s="14">
        <f>SUMIFS(Donnees_regimes!$Q$3:$Q$1118,Donnees_regimes!$A$3:$A$1118,C490,Donnees_regimes!$B$3:$B$1118,"&gt;="&amp;G490,Donnees_regimes!$B$3:$B$1118,"&lt;="&amp;N490)*L490/ROUNDUP(L490,0)</f>
        <v/>
      </c>
      <c r="AA490" s="77">
        <f>SUMIFS(Regles_regimes!$F$3:$F$2000,Regles_regimes!$A$3:$A$2000,C490,Regles_regimes!$B$3:$B$2000,D490,Regles_regimes!$C$3:$C$2000,MAX(1915,MIN(2025,E490)))</f>
        <v/>
      </c>
      <c r="AB490" s="77">
        <f>IF(AND(SUMIFS(Regles_regimes!$L$3:$L$2000,Regles_regimes!$A$3:$A$2000,C490,Regles_regimes!$B$3:$B$2000,D490,Regles_regimes!$C$3:$C$2000,MAX(1915,MIN(2025,E490)))=1,G490&lt;2009,C490&lt;&gt;"Privé"),MIN(20,L490*4/5),0)</f>
        <v/>
      </c>
      <c r="AC490" s="89">
        <f>SUMIFS(Donnees_regimes!$M$3:$M$1118,Donnees_regimes!$A$3:$A$1118,C490,Donnees_regimes!$B$3:$B$1118,M490)</f>
        <v/>
      </c>
      <c r="AD490" s="14">
        <f>SUMIFS(Donnees_annuelles!$Y$3:$Y$188,Donnees_annuelles!$A$3:$A$188,M490)*SUMIFS(Donnees_generations!$I$3:$I$113,Donnees_generations!$A$3:$A$113,MAX(1915,MIN(2025,E490)))/H490</f>
        <v/>
      </c>
      <c r="AE490" s="14">
        <f>IF(C490="Privé",SUMIFS(Donnees_annuelles!$Y$3:$Y$188,Donnees_annuelles!$A$3:$A$188,M490)*MIN(L490,SUMIFS(Donnees_generations!$I$3:$I$113,Donnees_generations!$A$3:$A$113,MAX(1915,MIN(2025,E490))))/L490,AD490*AC490*MIN(IF(AB490&gt;0,0.8/0.75,1),(L490*4+AB490)/AA490))</f>
        <v/>
      </c>
      <c r="AF490" s="14">
        <f>AE490/12</f>
        <v/>
      </c>
      <c r="AG490" s="77">
        <f>MIN(68,MAX(56,2*INT(K490/2)))</f>
        <v/>
      </c>
      <c r="AH490" s="75">
        <f>(CHOOSE((AG490-56)/2+1,SUMIFS(Donnees_generations!$U$3:$U$113,Donnees_generations!$A$3:$A$113,MAX(1915,MIN(2025,E490))),SUMIFS(Donnees_generations!$V$3:$V$113,Donnees_generations!$A$3:$A$113,MAX(1915,MIN(2025,E490))),SUMIFS(Donnees_generations!$W$3:$W$113,Donnees_generations!$A$3:$A$113,MAX(1915,MIN(2025,E490))),SUMIFS(Donnees_generations!$X$3:$X$113,Donnees_generations!$A$3:$A$113,MAX(1915,MIN(2025,E490))),SUMIFS(Donnees_generations!$Y$3:$Y$113,Donnees_generations!$A$3:$A$113,MAX(1915,MIN(2025,E490))),SUMIFS(Donnees_generations!$Z$3:$Z$113,Donnees_generations!$A$3:$A$113,MAX(1915,MIN(2025,E490))),SUMIFS(Donnees_generations!$AA$3:$AA$113,Donnees_generations!$A$3:$A$113,MAX(1915,MIN(2025,E490))),SUMIFS(Donnees_generations!$AB$3:$AB$113,Donnees_generations!$A$3:$A$113,MAX(1915,MIN(2025,E490))))+CHOOSE((AG490-56)/2+1,SUMIFS(Donnees_generations!$AC$3:$AC$113,Donnees_generations!$A$3:$A$113,MAX(1915,MIN(2025,E490))),SUMIFS(Donnees_generations!$AD$3:$AD$113,Donnees_generations!$A$3:$A$113,MAX(1915,MIN(2025,E490))),SUMIFS(Donnees_generations!$AE$3:$AE$113,Donnees_generations!$A$3:$A$113,MAX(1915,MIN(2025,E490))),SUMIFS(Donnees_generations!$AF$3:$AF$113,Donnees_generations!$A$3:$A$113,MAX(1915,MIN(2025,E490))),SUMIFS(Donnees_generations!$AG$3:$AG$113,Donnees_generations!$A$3:$A$113,MAX(1915,MIN(2025,E490))),SUMIFS(Donnees_generations!$AH$3:$AH$113,Donnees_generations!$A$3:$A$113,MAX(1915,MIN(2025,E490))),SUMIFS(Donnees_generations!$AI$3:$AI$113,Donnees_generations!$A$3:$A$113,MAX(1915,MIN(2025,E490))),SUMIFS(Donnees_generations!$AJ$3:$AJ$113,Donnees_generations!$A$3:$A$113,MAX(1915,MIN(2025,E490)))))/2</f>
        <v/>
      </c>
      <c r="AI490" s="75">
        <f>(CHOOSE(((AG490+2)-56)/2+1,SUMIFS(Donnees_generations!$U$3:$U$113,Donnees_generations!$A$3:$A$113,MAX(1915,MIN(2025,E490))),SUMIFS(Donnees_generations!$V$3:$V$113,Donnees_generations!$A$3:$A$113,MAX(1915,MIN(2025,E490))),SUMIFS(Donnees_generations!$W$3:$W$113,Donnees_generations!$A$3:$A$113,MAX(1915,MIN(2025,E490))),SUMIFS(Donnees_generations!$X$3:$X$113,Donnees_generations!$A$3:$A$113,MAX(1915,MIN(2025,E490))),SUMIFS(Donnees_generations!$Y$3:$Y$113,Donnees_generations!$A$3:$A$113,MAX(1915,MIN(2025,E490))),SUMIFS(Donnees_generations!$Z$3:$Z$113,Donnees_generations!$A$3:$A$113,MAX(1915,MIN(2025,E490))),SUMIFS(Donnees_generations!$AA$3:$AA$113,Donnees_generations!$A$3:$A$113,MAX(1915,MIN(2025,E490))),SUMIFS(Donnees_generations!$AB$3:$AB$113,Donnees_generations!$A$3:$A$113,MAX(1915,MIN(2025,E490))))+CHOOSE(((AG490+2)-56)/2+1,SUMIFS(Donnees_generations!$AC$3:$AC$113,Donnees_generations!$A$3:$A$113,MAX(1915,MIN(2025,E490))),SUMIFS(Donnees_generations!$AD$3:$AD$113,Donnees_generations!$A$3:$A$113,MAX(1915,MIN(2025,E490))),SUMIFS(Donnees_generations!$AE$3:$AE$113,Donnees_generations!$A$3:$A$113,MAX(1915,MIN(2025,E490))),SUMIFS(Donnees_generations!$AF$3:$AF$113,Donnees_generations!$A$3:$A$113,MAX(1915,MIN(2025,E490))),SUMIFS(Donnees_generations!$AG$3:$AG$113,Donnees_generations!$A$3:$A$113,MAX(1915,MIN(2025,E490))),SUMIFS(Donnees_generations!$AH$3:$AH$113,Donnees_generations!$A$3:$A$113,MAX(1915,MIN(2025,E490))),SUMIFS(Donnees_generations!$AI$3:$AI$113,Donnees_generations!$A$3:$A$113,MAX(1915,MIN(2025,E490))),SUMIFS(Donnees_generations!$AJ$3:$AJ$113,Donnees_generations!$A$3:$A$113,MAX(1915,MIN(2025,E490)))))/2</f>
        <v/>
      </c>
      <c r="AJ490" s="8">
        <f>MAX(0,AH490+(AI490-AH490)*(K490-AG490)/2)</f>
        <v/>
      </c>
      <c r="AK490" s="8">
        <f>K490+AJ490</f>
        <v/>
      </c>
      <c r="AL490" s="14">
        <f>AE490*AJ490</f>
        <v/>
      </c>
      <c r="AM490" s="17">
        <f>V490/AL490</f>
        <v/>
      </c>
      <c r="AN490" s="17">
        <f>Z490/AL490</f>
        <v/>
      </c>
      <c r="AO490" s="33">
        <f>IF(V490+Z490=0,0,Z490/(V490+Z490))</f>
        <v/>
      </c>
      <c r="AP490" s="14">
        <f>AL490/V490*100</f>
        <v/>
      </c>
      <c r="AQ490" s="8">
        <f>P490/AL490*1000</f>
        <v/>
      </c>
      <c r="AR490" s="77">
        <f>MAX(N490,M490-1)</f>
        <v/>
      </c>
      <c r="AS490" s="14">
        <f>SUMIFS(Donnees_regimes!$R$3:$R$1118,Donnees_regimes!$A$3:$A$1118,C490,Donnees_regimes!$B$3:$B$1118,"&gt;="&amp;G490,Donnees_regimes!$B$3:$B$1118,"&lt;="&amp;N490)*L490/ROUNDUP(L490,0)*SUMIFS(Donnees_annuelles!$AG$3:$AG$188,Donnees_annuelles!$A$3:$A$188,AR490)*SUMIFS(Donnees_annuelles!$AA$3:$AA$188,Donnees_annuelles!$A$3:$A$188,AR490)</f>
        <v/>
      </c>
      <c r="AT490" s="36">
        <f>AS490/V490</f>
        <v/>
      </c>
      <c r="AU490" s="14">
        <f>AL490</f>
        <v/>
      </c>
      <c r="AV490" s="39">
        <f>AS490-AL490</f>
        <v/>
      </c>
      <c r="AW490" s="9">
        <f>AS490/AL490-1</f>
        <v/>
      </c>
      <c r="AX490" s="14">
        <f>AS490/AJ490/12</f>
        <v/>
      </c>
      <c r="AY490" s="14">
        <f>AF490</f>
        <v/>
      </c>
      <c r="AZ490" s="39">
        <f>AX490-AF490</f>
        <v/>
      </c>
      <c r="BA490" s="14">
        <f>SUMIFS(Donnees_regimes!$S$3:$S$1118,Donnees_regimes!$A$3:$A$1118,C490,Donnees_regimes!$B$3:$B$1118,"&gt;="&amp;G490,Donnees_regimes!$B$3:$B$1118,"&lt;="&amp;N490)*L490/ROUNDUP(L490,0)*SUMIFS(Donnees_annuelles!$AH$3:$AH$188,Donnees_annuelles!$A$3:$A$188,AR490)*SUMIFS(Donnees_annuelles!$AA$3:$AA$188,Donnees_annuelles!$A$3:$A$188,AR490)</f>
        <v/>
      </c>
      <c r="BB490" s="39">
        <f>BA490-AL490</f>
        <v/>
      </c>
      <c r="BC490" s="7">
        <f>IF(M490+AJ490&gt;2026,IF(G490&gt;2026,"entièrement projeté","en partie projeté"),"observé")</f>
        <v/>
      </c>
    </row>
    <row r="491">
      <c r="A491" s="7" t="inlineStr">
        <is>
          <t>Génération Alpha</t>
        </is>
      </c>
      <c r="B491" s="84" t="inlineStr">
        <is>
          <t>RATP</t>
        </is>
      </c>
      <c r="C491" s="7">
        <f>IF(G491&gt;=SUMIFS(Regimes!$C$5:$C$10,Regimes!$A$5:$A$10,B491),"Privé",B491)</f>
        <v/>
      </c>
      <c r="D491" s="7">
        <f>INDEX(Regimes!$D$5:$D$10,MATCH(C491,Regimes!$A$5:$A$10,0))</f>
        <v/>
      </c>
      <c r="E491" s="88" t="n">
        <v>2024</v>
      </c>
      <c r="F491" s="8">
        <f>Donnees_generations!C112</f>
        <v/>
      </c>
      <c r="G491" s="77">
        <f>Donnees_generations!D112</f>
        <v/>
      </c>
      <c r="H491" s="8">
        <f>SUMIFS(Donnees_generations!$S$3:$S$113,Donnees_generations!$A$3:$A$113,MAX(1915,MIN(2025,E491)))</f>
        <v/>
      </c>
      <c r="I491" s="8">
        <f>SUMIFS(Donnees_generations!$T$3:$T$113,Donnees_generations!$A$3:$A$113,MAX(1915,MIN(2025,E491)))</f>
        <v/>
      </c>
      <c r="J491" s="8">
        <f>IF(G491&gt;=2000,MAX(I491,Parametres!$B$3),I491)</f>
        <v/>
      </c>
      <c r="K491" s="8">
        <f>IF(C491="Privé",J491,SUMIFS(Regles_regimes!$J$3:$J$2000,Regles_regimes!$A$3:$A$2000,C491,Regles_regimes!$B$3:$B$2000,D491,Regles_regimes!$C$3:$C$2000,MAX(1915,MIN(2025,E491))))</f>
        <v/>
      </c>
      <c r="L491" s="8">
        <f>IF(C491="Privé",H491,(K491-F491)*H491/(J491-F491))</f>
        <v/>
      </c>
      <c r="M491" s="77">
        <f>INT(E491+K491)</f>
        <v/>
      </c>
      <c r="N491" s="77">
        <f>G491+ROUNDUP(L491,0)-1</f>
        <v/>
      </c>
      <c r="O491" s="89">
        <f>SUMIFS(Regles_regimes!$K$3:$K$2000,Regles_regimes!$A$3:$A$2000,C491,Regles_regimes!$B$3:$B$2000,D491,Regles_regimes!$C$3:$C$2000,MAX(1915,MIN(2025,E491)))</f>
        <v/>
      </c>
      <c r="P491" s="13">
        <f>SUMIFS(Donnees_annuelles!$W$3:$W$188,Donnees_annuelles!$A$3:$A$188,"&gt;="&amp;G491,Donnees_annuelles!$A$3:$A$188,"&lt;="&amp;N491)*L491/ROUNDUP(L491,0)*O491</f>
        <v/>
      </c>
      <c r="Q491" s="13">
        <f>SUMIFS(Donnees_annuelles!$V$3:$V$188,Donnees_annuelles!$A$3:$A$188,"&gt;="&amp;G491,Donnees_annuelles!$A$3:$A$188,"&lt;="&amp;N491)*L491/ROUNDUP(L491,0)</f>
        <v/>
      </c>
      <c r="R491" s="13">
        <f>P491/L491</f>
        <v/>
      </c>
      <c r="S491" s="14">
        <f>SUMIFS(Donnees_annuelles!$D$3:$D$188,Donnees_annuelles!$A$3:$A$188,"&gt;="&amp;G491,Donnees_annuelles!$A$3:$A$188,"&lt;="&amp;N491)*L491/ROUNDUP(L491,0)</f>
        <v/>
      </c>
      <c r="T491" s="14">
        <f>SUMIFS(Donnees_regimes!$N$3:$N$1118,Donnees_regimes!$A$3:$A$1118,C491,Donnees_regimes!$B$3:$B$1118,"&gt;="&amp;G491,Donnees_regimes!$B$3:$B$1118,"&lt;="&amp;N491)*L491/ROUNDUP(L491,0)</f>
        <v/>
      </c>
      <c r="U491" s="14">
        <f>SUMIFS(Donnees_regimes!$O$3:$O$1118,Donnees_regimes!$A$3:$A$1118,C491,Donnees_regimes!$B$3:$B$1118,"&gt;="&amp;G491,Donnees_regimes!$B$3:$B$1118,"&lt;="&amp;N491)*L491/ROUNDUP(L491,0)</f>
        <v/>
      </c>
      <c r="V491" s="14">
        <f>T491+U491</f>
        <v/>
      </c>
      <c r="W491" s="33">
        <f>V491/S491</f>
        <v/>
      </c>
      <c r="X491" s="14">
        <f>S491+U491</f>
        <v/>
      </c>
      <c r="Y491" s="17">
        <f>V491/P491</f>
        <v/>
      </c>
      <c r="Z491" s="14">
        <f>SUMIFS(Donnees_regimes!$Q$3:$Q$1118,Donnees_regimes!$A$3:$A$1118,C491,Donnees_regimes!$B$3:$B$1118,"&gt;="&amp;G491,Donnees_regimes!$B$3:$B$1118,"&lt;="&amp;N491)*L491/ROUNDUP(L491,0)</f>
        <v/>
      </c>
      <c r="AA491" s="77">
        <f>SUMIFS(Regles_regimes!$F$3:$F$2000,Regles_regimes!$A$3:$A$2000,C491,Regles_regimes!$B$3:$B$2000,D491,Regles_regimes!$C$3:$C$2000,MAX(1915,MIN(2025,E491)))</f>
        <v/>
      </c>
      <c r="AB491" s="77">
        <f>IF(AND(SUMIFS(Regles_regimes!$L$3:$L$2000,Regles_regimes!$A$3:$A$2000,C491,Regles_regimes!$B$3:$B$2000,D491,Regles_regimes!$C$3:$C$2000,MAX(1915,MIN(2025,E491)))=1,G491&lt;2009,C491&lt;&gt;"Privé"),MIN(20,L491*4/5),0)</f>
        <v/>
      </c>
      <c r="AC491" s="89">
        <f>SUMIFS(Donnees_regimes!$M$3:$M$1118,Donnees_regimes!$A$3:$A$1118,C491,Donnees_regimes!$B$3:$B$1118,M491)</f>
        <v/>
      </c>
      <c r="AD491" s="14">
        <f>SUMIFS(Donnees_annuelles!$Y$3:$Y$188,Donnees_annuelles!$A$3:$A$188,M491)*SUMIFS(Donnees_generations!$I$3:$I$113,Donnees_generations!$A$3:$A$113,MAX(1915,MIN(2025,E491)))/H491</f>
        <v/>
      </c>
      <c r="AE491" s="14">
        <f>IF(C491="Privé",SUMIFS(Donnees_annuelles!$Y$3:$Y$188,Donnees_annuelles!$A$3:$A$188,M491)*MIN(L491,SUMIFS(Donnees_generations!$I$3:$I$113,Donnees_generations!$A$3:$A$113,MAX(1915,MIN(2025,E491))))/L491,AD491*AC491*MIN(IF(AB491&gt;0,0.8/0.75,1),(L491*4+AB491)/AA491))</f>
        <v/>
      </c>
      <c r="AF491" s="14">
        <f>AE491/12</f>
        <v/>
      </c>
      <c r="AG491" s="77">
        <f>MIN(68,MAX(56,2*INT(K491/2)))</f>
        <v/>
      </c>
      <c r="AH491" s="75">
        <f>(CHOOSE((AG491-56)/2+1,SUMIFS(Donnees_generations!$U$3:$U$113,Donnees_generations!$A$3:$A$113,MAX(1915,MIN(2025,E491))),SUMIFS(Donnees_generations!$V$3:$V$113,Donnees_generations!$A$3:$A$113,MAX(1915,MIN(2025,E491))),SUMIFS(Donnees_generations!$W$3:$W$113,Donnees_generations!$A$3:$A$113,MAX(1915,MIN(2025,E491))),SUMIFS(Donnees_generations!$X$3:$X$113,Donnees_generations!$A$3:$A$113,MAX(1915,MIN(2025,E491))),SUMIFS(Donnees_generations!$Y$3:$Y$113,Donnees_generations!$A$3:$A$113,MAX(1915,MIN(2025,E491))),SUMIFS(Donnees_generations!$Z$3:$Z$113,Donnees_generations!$A$3:$A$113,MAX(1915,MIN(2025,E491))),SUMIFS(Donnees_generations!$AA$3:$AA$113,Donnees_generations!$A$3:$A$113,MAX(1915,MIN(2025,E491))),SUMIFS(Donnees_generations!$AB$3:$AB$113,Donnees_generations!$A$3:$A$113,MAX(1915,MIN(2025,E491))))+CHOOSE((AG491-56)/2+1,SUMIFS(Donnees_generations!$AC$3:$AC$113,Donnees_generations!$A$3:$A$113,MAX(1915,MIN(2025,E491))),SUMIFS(Donnees_generations!$AD$3:$AD$113,Donnees_generations!$A$3:$A$113,MAX(1915,MIN(2025,E491))),SUMIFS(Donnees_generations!$AE$3:$AE$113,Donnees_generations!$A$3:$A$113,MAX(1915,MIN(2025,E491))),SUMIFS(Donnees_generations!$AF$3:$AF$113,Donnees_generations!$A$3:$A$113,MAX(1915,MIN(2025,E491))),SUMIFS(Donnees_generations!$AG$3:$AG$113,Donnees_generations!$A$3:$A$113,MAX(1915,MIN(2025,E491))),SUMIFS(Donnees_generations!$AH$3:$AH$113,Donnees_generations!$A$3:$A$113,MAX(1915,MIN(2025,E491))),SUMIFS(Donnees_generations!$AI$3:$AI$113,Donnees_generations!$A$3:$A$113,MAX(1915,MIN(2025,E491))),SUMIFS(Donnees_generations!$AJ$3:$AJ$113,Donnees_generations!$A$3:$A$113,MAX(1915,MIN(2025,E491)))))/2</f>
        <v/>
      </c>
      <c r="AI491" s="75">
        <f>(CHOOSE(((AG491+2)-56)/2+1,SUMIFS(Donnees_generations!$U$3:$U$113,Donnees_generations!$A$3:$A$113,MAX(1915,MIN(2025,E491))),SUMIFS(Donnees_generations!$V$3:$V$113,Donnees_generations!$A$3:$A$113,MAX(1915,MIN(2025,E491))),SUMIFS(Donnees_generations!$W$3:$W$113,Donnees_generations!$A$3:$A$113,MAX(1915,MIN(2025,E491))),SUMIFS(Donnees_generations!$X$3:$X$113,Donnees_generations!$A$3:$A$113,MAX(1915,MIN(2025,E491))),SUMIFS(Donnees_generations!$Y$3:$Y$113,Donnees_generations!$A$3:$A$113,MAX(1915,MIN(2025,E491))),SUMIFS(Donnees_generations!$Z$3:$Z$113,Donnees_generations!$A$3:$A$113,MAX(1915,MIN(2025,E491))),SUMIFS(Donnees_generations!$AA$3:$AA$113,Donnees_generations!$A$3:$A$113,MAX(1915,MIN(2025,E491))),SUMIFS(Donnees_generations!$AB$3:$AB$113,Donnees_generations!$A$3:$A$113,MAX(1915,MIN(2025,E491))))+CHOOSE(((AG491+2)-56)/2+1,SUMIFS(Donnees_generations!$AC$3:$AC$113,Donnees_generations!$A$3:$A$113,MAX(1915,MIN(2025,E491))),SUMIFS(Donnees_generations!$AD$3:$AD$113,Donnees_generations!$A$3:$A$113,MAX(1915,MIN(2025,E491))),SUMIFS(Donnees_generations!$AE$3:$AE$113,Donnees_generations!$A$3:$A$113,MAX(1915,MIN(2025,E491))),SUMIFS(Donnees_generations!$AF$3:$AF$113,Donnees_generations!$A$3:$A$113,MAX(1915,MIN(2025,E491))),SUMIFS(Donnees_generations!$AG$3:$AG$113,Donnees_generations!$A$3:$A$113,MAX(1915,MIN(2025,E491))),SUMIFS(Donnees_generations!$AH$3:$AH$113,Donnees_generations!$A$3:$A$113,MAX(1915,MIN(2025,E491))),SUMIFS(Donnees_generations!$AI$3:$AI$113,Donnees_generations!$A$3:$A$113,MAX(1915,MIN(2025,E491))),SUMIFS(Donnees_generations!$AJ$3:$AJ$113,Donnees_generations!$A$3:$A$113,MAX(1915,MIN(2025,E491)))))/2</f>
        <v/>
      </c>
      <c r="AJ491" s="8">
        <f>MAX(0,AH491+(AI491-AH491)*(K491-AG491)/2)</f>
        <v/>
      </c>
      <c r="AK491" s="8">
        <f>K491+AJ491</f>
        <v/>
      </c>
      <c r="AL491" s="14">
        <f>AE491*AJ491</f>
        <v/>
      </c>
      <c r="AM491" s="17">
        <f>V491/AL491</f>
        <v/>
      </c>
      <c r="AN491" s="17">
        <f>Z491/AL491</f>
        <v/>
      </c>
      <c r="AO491" s="33">
        <f>IF(V491+Z491=0,0,Z491/(V491+Z491))</f>
        <v/>
      </c>
      <c r="AP491" s="14">
        <f>AL491/V491*100</f>
        <v/>
      </c>
      <c r="AQ491" s="8">
        <f>P491/AL491*1000</f>
        <v/>
      </c>
      <c r="AR491" s="77">
        <f>MAX(N491,M491-1)</f>
        <v/>
      </c>
      <c r="AS491" s="14">
        <f>SUMIFS(Donnees_regimes!$R$3:$R$1118,Donnees_regimes!$A$3:$A$1118,C491,Donnees_regimes!$B$3:$B$1118,"&gt;="&amp;G491,Donnees_regimes!$B$3:$B$1118,"&lt;="&amp;N491)*L491/ROUNDUP(L491,0)*SUMIFS(Donnees_annuelles!$AG$3:$AG$188,Donnees_annuelles!$A$3:$A$188,AR491)*SUMIFS(Donnees_annuelles!$AA$3:$AA$188,Donnees_annuelles!$A$3:$A$188,AR491)</f>
        <v/>
      </c>
      <c r="AT491" s="36">
        <f>AS491/V491</f>
        <v/>
      </c>
      <c r="AU491" s="14">
        <f>AL491</f>
        <v/>
      </c>
      <c r="AV491" s="39">
        <f>AS491-AL491</f>
        <v/>
      </c>
      <c r="AW491" s="9">
        <f>AS491/AL491-1</f>
        <v/>
      </c>
      <c r="AX491" s="14">
        <f>AS491/AJ491/12</f>
        <v/>
      </c>
      <c r="AY491" s="14">
        <f>AF491</f>
        <v/>
      </c>
      <c r="AZ491" s="39">
        <f>AX491-AF491</f>
        <v/>
      </c>
      <c r="BA491" s="14">
        <f>SUMIFS(Donnees_regimes!$S$3:$S$1118,Donnees_regimes!$A$3:$A$1118,C491,Donnees_regimes!$B$3:$B$1118,"&gt;="&amp;G491,Donnees_regimes!$B$3:$B$1118,"&lt;="&amp;N491)*L491/ROUNDUP(L491,0)*SUMIFS(Donnees_annuelles!$AH$3:$AH$188,Donnees_annuelles!$A$3:$A$188,AR491)*SUMIFS(Donnees_annuelles!$AA$3:$AA$188,Donnees_annuelles!$A$3:$A$188,AR491)</f>
        <v/>
      </c>
      <c r="BB491" s="39">
        <f>BA491-AL491</f>
        <v/>
      </c>
      <c r="BC491" s="7">
        <f>IF(M491+AJ491&gt;2026,IF(G491&gt;2026,"entièrement projeté","en partie projeté"),"observé")</f>
        <v/>
      </c>
    </row>
    <row r="492">
      <c r="A492" s="7" t="inlineStr">
        <is>
          <t>Génération Alpha</t>
        </is>
      </c>
      <c r="B492" s="84" t="inlineStr">
        <is>
          <t>RATP</t>
        </is>
      </c>
      <c r="C492" s="7">
        <f>IF(G492&gt;=SUMIFS(Regimes!$C$5:$C$10,Regimes!$A$5:$A$10,B492),"Privé",B492)</f>
        <v/>
      </c>
      <c r="D492" s="7">
        <f>INDEX(Regimes!$D$5:$D$10,MATCH(C492,Regimes!$A$5:$A$10,0))</f>
        <v/>
      </c>
      <c r="E492" s="88" t="n">
        <v>2025</v>
      </c>
      <c r="F492" s="8">
        <f>Donnees_generations!C113</f>
        <v/>
      </c>
      <c r="G492" s="77">
        <f>Donnees_generations!D113</f>
        <v/>
      </c>
      <c r="H492" s="8">
        <f>SUMIFS(Donnees_generations!$S$3:$S$113,Donnees_generations!$A$3:$A$113,MAX(1915,MIN(2025,E492)))</f>
        <v/>
      </c>
      <c r="I492" s="8">
        <f>SUMIFS(Donnees_generations!$T$3:$T$113,Donnees_generations!$A$3:$A$113,MAX(1915,MIN(2025,E492)))</f>
        <v/>
      </c>
      <c r="J492" s="8">
        <f>IF(G492&gt;=2000,MAX(I492,Parametres!$B$3),I492)</f>
        <v/>
      </c>
      <c r="K492" s="8">
        <f>IF(C492="Privé",J492,SUMIFS(Regles_regimes!$J$3:$J$2000,Regles_regimes!$A$3:$A$2000,C492,Regles_regimes!$B$3:$B$2000,D492,Regles_regimes!$C$3:$C$2000,MAX(1915,MIN(2025,E492))))</f>
        <v/>
      </c>
      <c r="L492" s="8">
        <f>IF(C492="Privé",H492,(K492-F492)*H492/(J492-F492))</f>
        <v/>
      </c>
      <c r="M492" s="77">
        <f>INT(E492+K492)</f>
        <v/>
      </c>
      <c r="N492" s="77">
        <f>G492+ROUNDUP(L492,0)-1</f>
        <v/>
      </c>
      <c r="O492" s="89">
        <f>SUMIFS(Regles_regimes!$K$3:$K$2000,Regles_regimes!$A$3:$A$2000,C492,Regles_regimes!$B$3:$B$2000,D492,Regles_regimes!$C$3:$C$2000,MAX(1915,MIN(2025,E492)))</f>
        <v/>
      </c>
      <c r="P492" s="13">
        <f>SUMIFS(Donnees_annuelles!$W$3:$W$188,Donnees_annuelles!$A$3:$A$188,"&gt;="&amp;G492,Donnees_annuelles!$A$3:$A$188,"&lt;="&amp;N492)*L492/ROUNDUP(L492,0)*O492</f>
        <v/>
      </c>
      <c r="Q492" s="13">
        <f>SUMIFS(Donnees_annuelles!$V$3:$V$188,Donnees_annuelles!$A$3:$A$188,"&gt;="&amp;G492,Donnees_annuelles!$A$3:$A$188,"&lt;="&amp;N492)*L492/ROUNDUP(L492,0)</f>
        <v/>
      </c>
      <c r="R492" s="13">
        <f>P492/L492</f>
        <v/>
      </c>
      <c r="S492" s="14">
        <f>SUMIFS(Donnees_annuelles!$D$3:$D$188,Donnees_annuelles!$A$3:$A$188,"&gt;="&amp;G492,Donnees_annuelles!$A$3:$A$188,"&lt;="&amp;N492)*L492/ROUNDUP(L492,0)</f>
        <v/>
      </c>
      <c r="T492" s="14">
        <f>SUMIFS(Donnees_regimes!$N$3:$N$1118,Donnees_regimes!$A$3:$A$1118,C492,Donnees_regimes!$B$3:$B$1118,"&gt;="&amp;G492,Donnees_regimes!$B$3:$B$1118,"&lt;="&amp;N492)*L492/ROUNDUP(L492,0)</f>
        <v/>
      </c>
      <c r="U492" s="14">
        <f>SUMIFS(Donnees_regimes!$O$3:$O$1118,Donnees_regimes!$A$3:$A$1118,C492,Donnees_regimes!$B$3:$B$1118,"&gt;="&amp;G492,Donnees_regimes!$B$3:$B$1118,"&lt;="&amp;N492)*L492/ROUNDUP(L492,0)</f>
        <v/>
      </c>
      <c r="V492" s="14">
        <f>T492+U492</f>
        <v/>
      </c>
      <c r="W492" s="33">
        <f>V492/S492</f>
        <v/>
      </c>
      <c r="X492" s="14">
        <f>S492+U492</f>
        <v/>
      </c>
      <c r="Y492" s="17">
        <f>V492/P492</f>
        <v/>
      </c>
      <c r="Z492" s="14">
        <f>SUMIFS(Donnees_regimes!$Q$3:$Q$1118,Donnees_regimes!$A$3:$A$1118,C492,Donnees_regimes!$B$3:$B$1118,"&gt;="&amp;G492,Donnees_regimes!$B$3:$B$1118,"&lt;="&amp;N492)*L492/ROUNDUP(L492,0)</f>
        <v/>
      </c>
      <c r="AA492" s="77">
        <f>SUMIFS(Regles_regimes!$F$3:$F$2000,Regles_regimes!$A$3:$A$2000,C492,Regles_regimes!$B$3:$B$2000,D492,Regles_regimes!$C$3:$C$2000,MAX(1915,MIN(2025,E492)))</f>
        <v/>
      </c>
      <c r="AB492" s="77">
        <f>IF(AND(SUMIFS(Regles_regimes!$L$3:$L$2000,Regles_regimes!$A$3:$A$2000,C492,Regles_regimes!$B$3:$B$2000,D492,Regles_regimes!$C$3:$C$2000,MAX(1915,MIN(2025,E492)))=1,G492&lt;2009,C492&lt;&gt;"Privé"),MIN(20,L492*4/5),0)</f>
        <v/>
      </c>
      <c r="AC492" s="89">
        <f>SUMIFS(Donnees_regimes!$M$3:$M$1118,Donnees_regimes!$A$3:$A$1118,C492,Donnees_regimes!$B$3:$B$1118,M492)</f>
        <v/>
      </c>
      <c r="AD492" s="14">
        <f>SUMIFS(Donnees_annuelles!$Y$3:$Y$188,Donnees_annuelles!$A$3:$A$188,M492)*SUMIFS(Donnees_generations!$I$3:$I$113,Donnees_generations!$A$3:$A$113,MAX(1915,MIN(2025,E492)))/H492</f>
        <v/>
      </c>
      <c r="AE492" s="14">
        <f>IF(C492="Privé",SUMIFS(Donnees_annuelles!$Y$3:$Y$188,Donnees_annuelles!$A$3:$A$188,M492)*MIN(L492,SUMIFS(Donnees_generations!$I$3:$I$113,Donnees_generations!$A$3:$A$113,MAX(1915,MIN(2025,E492))))/L492,AD492*AC492*MIN(IF(AB492&gt;0,0.8/0.75,1),(L492*4+AB492)/AA492))</f>
        <v/>
      </c>
      <c r="AF492" s="14">
        <f>AE492/12</f>
        <v/>
      </c>
      <c r="AG492" s="77">
        <f>MIN(68,MAX(56,2*INT(K492/2)))</f>
        <v/>
      </c>
      <c r="AH492" s="75">
        <f>(CHOOSE((AG492-56)/2+1,SUMIFS(Donnees_generations!$U$3:$U$113,Donnees_generations!$A$3:$A$113,MAX(1915,MIN(2025,E492))),SUMIFS(Donnees_generations!$V$3:$V$113,Donnees_generations!$A$3:$A$113,MAX(1915,MIN(2025,E492))),SUMIFS(Donnees_generations!$W$3:$W$113,Donnees_generations!$A$3:$A$113,MAX(1915,MIN(2025,E492))),SUMIFS(Donnees_generations!$X$3:$X$113,Donnees_generations!$A$3:$A$113,MAX(1915,MIN(2025,E492))),SUMIFS(Donnees_generations!$Y$3:$Y$113,Donnees_generations!$A$3:$A$113,MAX(1915,MIN(2025,E492))),SUMIFS(Donnees_generations!$Z$3:$Z$113,Donnees_generations!$A$3:$A$113,MAX(1915,MIN(2025,E492))),SUMIFS(Donnees_generations!$AA$3:$AA$113,Donnees_generations!$A$3:$A$113,MAX(1915,MIN(2025,E492))),SUMIFS(Donnees_generations!$AB$3:$AB$113,Donnees_generations!$A$3:$A$113,MAX(1915,MIN(2025,E492))))+CHOOSE((AG492-56)/2+1,SUMIFS(Donnees_generations!$AC$3:$AC$113,Donnees_generations!$A$3:$A$113,MAX(1915,MIN(2025,E492))),SUMIFS(Donnees_generations!$AD$3:$AD$113,Donnees_generations!$A$3:$A$113,MAX(1915,MIN(2025,E492))),SUMIFS(Donnees_generations!$AE$3:$AE$113,Donnees_generations!$A$3:$A$113,MAX(1915,MIN(2025,E492))),SUMIFS(Donnees_generations!$AF$3:$AF$113,Donnees_generations!$A$3:$A$113,MAX(1915,MIN(2025,E492))),SUMIFS(Donnees_generations!$AG$3:$AG$113,Donnees_generations!$A$3:$A$113,MAX(1915,MIN(2025,E492))),SUMIFS(Donnees_generations!$AH$3:$AH$113,Donnees_generations!$A$3:$A$113,MAX(1915,MIN(2025,E492))),SUMIFS(Donnees_generations!$AI$3:$AI$113,Donnees_generations!$A$3:$A$113,MAX(1915,MIN(2025,E492))),SUMIFS(Donnees_generations!$AJ$3:$AJ$113,Donnees_generations!$A$3:$A$113,MAX(1915,MIN(2025,E492)))))/2</f>
        <v/>
      </c>
      <c r="AI492" s="75">
        <f>(CHOOSE(((AG492+2)-56)/2+1,SUMIFS(Donnees_generations!$U$3:$U$113,Donnees_generations!$A$3:$A$113,MAX(1915,MIN(2025,E492))),SUMIFS(Donnees_generations!$V$3:$V$113,Donnees_generations!$A$3:$A$113,MAX(1915,MIN(2025,E492))),SUMIFS(Donnees_generations!$W$3:$W$113,Donnees_generations!$A$3:$A$113,MAX(1915,MIN(2025,E492))),SUMIFS(Donnees_generations!$X$3:$X$113,Donnees_generations!$A$3:$A$113,MAX(1915,MIN(2025,E492))),SUMIFS(Donnees_generations!$Y$3:$Y$113,Donnees_generations!$A$3:$A$113,MAX(1915,MIN(2025,E492))),SUMIFS(Donnees_generations!$Z$3:$Z$113,Donnees_generations!$A$3:$A$113,MAX(1915,MIN(2025,E492))),SUMIFS(Donnees_generations!$AA$3:$AA$113,Donnees_generations!$A$3:$A$113,MAX(1915,MIN(2025,E492))),SUMIFS(Donnees_generations!$AB$3:$AB$113,Donnees_generations!$A$3:$A$113,MAX(1915,MIN(2025,E492))))+CHOOSE(((AG492+2)-56)/2+1,SUMIFS(Donnees_generations!$AC$3:$AC$113,Donnees_generations!$A$3:$A$113,MAX(1915,MIN(2025,E492))),SUMIFS(Donnees_generations!$AD$3:$AD$113,Donnees_generations!$A$3:$A$113,MAX(1915,MIN(2025,E492))),SUMIFS(Donnees_generations!$AE$3:$AE$113,Donnees_generations!$A$3:$A$113,MAX(1915,MIN(2025,E492))),SUMIFS(Donnees_generations!$AF$3:$AF$113,Donnees_generations!$A$3:$A$113,MAX(1915,MIN(2025,E492))),SUMIFS(Donnees_generations!$AG$3:$AG$113,Donnees_generations!$A$3:$A$113,MAX(1915,MIN(2025,E492))),SUMIFS(Donnees_generations!$AH$3:$AH$113,Donnees_generations!$A$3:$A$113,MAX(1915,MIN(2025,E492))),SUMIFS(Donnees_generations!$AI$3:$AI$113,Donnees_generations!$A$3:$A$113,MAX(1915,MIN(2025,E492))),SUMIFS(Donnees_generations!$AJ$3:$AJ$113,Donnees_generations!$A$3:$A$113,MAX(1915,MIN(2025,E492)))))/2</f>
        <v/>
      </c>
      <c r="AJ492" s="8">
        <f>MAX(0,AH492+(AI492-AH492)*(K492-AG492)/2)</f>
        <v/>
      </c>
      <c r="AK492" s="8">
        <f>K492+AJ492</f>
        <v/>
      </c>
      <c r="AL492" s="14">
        <f>AE492*AJ492</f>
        <v/>
      </c>
      <c r="AM492" s="17">
        <f>V492/AL492</f>
        <v/>
      </c>
      <c r="AN492" s="17">
        <f>Z492/AL492</f>
        <v/>
      </c>
      <c r="AO492" s="33">
        <f>IF(V492+Z492=0,0,Z492/(V492+Z492))</f>
        <v/>
      </c>
      <c r="AP492" s="14">
        <f>AL492/V492*100</f>
        <v/>
      </c>
      <c r="AQ492" s="8">
        <f>P492/AL492*1000</f>
        <v/>
      </c>
      <c r="AR492" s="77">
        <f>MAX(N492,M492-1)</f>
        <v/>
      </c>
      <c r="AS492" s="14">
        <f>SUMIFS(Donnees_regimes!$R$3:$R$1118,Donnees_regimes!$A$3:$A$1118,C492,Donnees_regimes!$B$3:$B$1118,"&gt;="&amp;G492,Donnees_regimes!$B$3:$B$1118,"&lt;="&amp;N492)*L492/ROUNDUP(L492,0)*SUMIFS(Donnees_annuelles!$AG$3:$AG$188,Donnees_annuelles!$A$3:$A$188,AR492)*SUMIFS(Donnees_annuelles!$AA$3:$AA$188,Donnees_annuelles!$A$3:$A$188,AR492)</f>
        <v/>
      </c>
      <c r="AT492" s="36">
        <f>AS492/V492</f>
        <v/>
      </c>
      <c r="AU492" s="14">
        <f>AL492</f>
        <v/>
      </c>
      <c r="AV492" s="39">
        <f>AS492-AL492</f>
        <v/>
      </c>
      <c r="AW492" s="9">
        <f>AS492/AL492-1</f>
        <v/>
      </c>
      <c r="AX492" s="14">
        <f>AS492/AJ492/12</f>
        <v/>
      </c>
      <c r="AY492" s="14">
        <f>AF492</f>
        <v/>
      </c>
      <c r="AZ492" s="39">
        <f>AX492-AF492</f>
        <v/>
      </c>
      <c r="BA492" s="14">
        <f>SUMIFS(Donnees_regimes!$S$3:$S$1118,Donnees_regimes!$A$3:$A$1118,C492,Donnees_regimes!$B$3:$B$1118,"&gt;="&amp;G492,Donnees_regimes!$B$3:$B$1118,"&lt;="&amp;N492)*L492/ROUNDUP(L492,0)*SUMIFS(Donnees_annuelles!$AH$3:$AH$188,Donnees_annuelles!$A$3:$A$188,AR492)*SUMIFS(Donnees_annuelles!$AA$3:$AA$188,Donnees_annuelles!$A$3:$A$188,AR492)</f>
        <v/>
      </c>
      <c r="BB492" s="39">
        <f>BA492-AL492</f>
        <v/>
      </c>
      <c r="BC492" s="7">
        <f>IF(M492+AJ492&gt;2026,IF(G492&gt;2026,"entièrement projeté","en partie projeté"),"observé")</f>
        <v/>
      </c>
    </row>
    <row r="493">
      <c r="A493" s="7" t="inlineStr">
        <is>
          <t>Génération silencieuse</t>
        </is>
      </c>
      <c r="B493" s="84" t="inlineStr">
        <is>
          <t>IEG</t>
        </is>
      </c>
      <c r="C493" s="7">
        <f>IF(G493&gt;=SUMIFS(Regimes!$C$5:$C$10,Regimes!$A$5:$A$10,B493),"Privé",B493)</f>
        <v/>
      </c>
      <c r="D493" s="7">
        <f>INDEX(Regimes!$D$5:$D$10,MATCH(C493,Regimes!$A$5:$A$10,0))</f>
        <v/>
      </c>
      <c r="E493" s="88" t="n">
        <v>1928</v>
      </c>
      <c r="F493" s="8">
        <f>Donnees_generations!C16</f>
        <v/>
      </c>
      <c r="G493" s="77">
        <f>Donnees_generations!D16</f>
        <v/>
      </c>
      <c r="H493" s="8">
        <f>SUMIFS(Donnees_generations!$S$3:$S$113,Donnees_generations!$A$3:$A$113,MAX(1915,MIN(2025,E493)))</f>
        <v/>
      </c>
      <c r="I493" s="8">
        <f>SUMIFS(Donnees_generations!$T$3:$T$113,Donnees_generations!$A$3:$A$113,MAX(1915,MIN(2025,E493)))</f>
        <v/>
      </c>
      <c r="J493" s="8">
        <f>IF(G493&gt;=2000,MAX(I493,Parametres!$B$3),I493)</f>
        <v/>
      </c>
      <c r="K493" s="8">
        <f>IF(C493="Privé",J493,SUMIFS(Regles_regimes!$J$3:$J$2000,Regles_regimes!$A$3:$A$2000,C493,Regles_regimes!$B$3:$B$2000,D493,Regles_regimes!$C$3:$C$2000,MAX(1915,MIN(2025,E493))))</f>
        <v/>
      </c>
      <c r="L493" s="8">
        <f>IF(C493="Privé",H493,(K493-F493)*H493/(J493-F493))</f>
        <v/>
      </c>
      <c r="M493" s="77">
        <f>INT(E493+K493)</f>
        <v/>
      </c>
      <c r="N493" s="77">
        <f>G493+ROUNDUP(L493,0)-1</f>
        <v/>
      </c>
      <c r="O493" s="89">
        <f>SUMIFS(Regles_regimes!$K$3:$K$2000,Regles_regimes!$A$3:$A$2000,C493,Regles_regimes!$B$3:$B$2000,D493,Regles_regimes!$C$3:$C$2000,MAX(1915,MIN(2025,E493)))</f>
        <v/>
      </c>
      <c r="P493" s="13">
        <f>SUMIFS(Donnees_annuelles!$W$3:$W$188,Donnees_annuelles!$A$3:$A$188,"&gt;="&amp;G493,Donnees_annuelles!$A$3:$A$188,"&lt;="&amp;N493)*L493/ROUNDUP(L493,0)*O493</f>
        <v/>
      </c>
      <c r="Q493" s="13">
        <f>SUMIFS(Donnees_annuelles!$V$3:$V$188,Donnees_annuelles!$A$3:$A$188,"&gt;="&amp;G493,Donnees_annuelles!$A$3:$A$188,"&lt;="&amp;N493)*L493/ROUNDUP(L493,0)</f>
        <v/>
      </c>
      <c r="R493" s="13">
        <f>P493/L493</f>
        <v/>
      </c>
      <c r="S493" s="14">
        <f>SUMIFS(Donnees_annuelles!$D$3:$D$188,Donnees_annuelles!$A$3:$A$188,"&gt;="&amp;G493,Donnees_annuelles!$A$3:$A$188,"&lt;="&amp;N493)*L493/ROUNDUP(L493,0)</f>
        <v/>
      </c>
      <c r="T493" s="14">
        <f>SUMIFS(Donnees_regimes!$N$3:$N$1118,Donnees_regimes!$A$3:$A$1118,C493,Donnees_regimes!$B$3:$B$1118,"&gt;="&amp;G493,Donnees_regimes!$B$3:$B$1118,"&lt;="&amp;N493)*L493/ROUNDUP(L493,0)</f>
        <v/>
      </c>
      <c r="U493" s="14">
        <f>SUMIFS(Donnees_regimes!$O$3:$O$1118,Donnees_regimes!$A$3:$A$1118,C493,Donnees_regimes!$B$3:$B$1118,"&gt;="&amp;G493,Donnees_regimes!$B$3:$B$1118,"&lt;="&amp;N493)*L493/ROUNDUP(L493,0)</f>
        <v/>
      </c>
      <c r="V493" s="14">
        <f>T493+U493</f>
        <v/>
      </c>
      <c r="W493" s="33">
        <f>V493/S493</f>
        <v/>
      </c>
      <c r="X493" s="14">
        <f>S493+U493</f>
        <v/>
      </c>
      <c r="Y493" s="17">
        <f>V493/P493</f>
        <v/>
      </c>
      <c r="Z493" s="14">
        <f>SUMIFS(Donnees_regimes!$Q$3:$Q$1118,Donnees_regimes!$A$3:$A$1118,C493,Donnees_regimes!$B$3:$B$1118,"&gt;="&amp;G493,Donnees_regimes!$B$3:$B$1118,"&lt;="&amp;N493)*L493/ROUNDUP(L493,0)</f>
        <v/>
      </c>
      <c r="AA493" s="77">
        <f>SUMIFS(Regles_regimes!$F$3:$F$2000,Regles_regimes!$A$3:$A$2000,C493,Regles_regimes!$B$3:$B$2000,D493,Regles_regimes!$C$3:$C$2000,MAX(1915,MIN(2025,E493)))</f>
        <v/>
      </c>
      <c r="AB493" s="77">
        <f>IF(AND(SUMIFS(Regles_regimes!$L$3:$L$2000,Regles_regimes!$A$3:$A$2000,C493,Regles_regimes!$B$3:$B$2000,D493,Regles_regimes!$C$3:$C$2000,MAX(1915,MIN(2025,E493)))=1,G493&lt;2009,C493&lt;&gt;"Privé"),MIN(20,L493*4/5),0)</f>
        <v/>
      </c>
      <c r="AC493" s="89">
        <f>SUMIFS(Donnees_regimes!$M$3:$M$1118,Donnees_regimes!$A$3:$A$1118,C493,Donnees_regimes!$B$3:$B$1118,M493)</f>
        <v/>
      </c>
      <c r="AD493" s="14">
        <f>SUMIFS(Donnees_annuelles!$Y$3:$Y$188,Donnees_annuelles!$A$3:$A$188,M493)*SUMIFS(Donnees_generations!$I$3:$I$113,Donnees_generations!$A$3:$A$113,MAX(1915,MIN(2025,E493)))/H493</f>
        <v/>
      </c>
      <c r="AE493" s="14">
        <f>IF(C493="Privé",SUMIFS(Donnees_annuelles!$Y$3:$Y$188,Donnees_annuelles!$A$3:$A$188,M493)*MIN(L493,SUMIFS(Donnees_generations!$I$3:$I$113,Donnees_generations!$A$3:$A$113,MAX(1915,MIN(2025,E493))))/L493,AD493*AC493*MIN(IF(AB493&gt;0,0.8/0.75,1),(L493*4+AB493)/AA493))</f>
        <v/>
      </c>
      <c r="AF493" s="14">
        <f>AE493/12</f>
        <v/>
      </c>
      <c r="AG493" s="77">
        <f>MIN(68,MAX(56,2*INT(K493/2)))</f>
        <v/>
      </c>
      <c r="AH493" s="75">
        <f>(CHOOSE((AG493-56)/2+1,SUMIFS(Donnees_generations!$U$3:$U$113,Donnees_generations!$A$3:$A$113,MAX(1915,MIN(2025,E493))),SUMIFS(Donnees_generations!$V$3:$V$113,Donnees_generations!$A$3:$A$113,MAX(1915,MIN(2025,E493))),SUMIFS(Donnees_generations!$W$3:$W$113,Donnees_generations!$A$3:$A$113,MAX(1915,MIN(2025,E493))),SUMIFS(Donnees_generations!$X$3:$X$113,Donnees_generations!$A$3:$A$113,MAX(1915,MIN(2025,E493))),SUMIFS(Donnees_generations!$Y$3:$Y$113,Donnees_generations!$A$3:$A$113,MAX(1915,MIN(2025,E493))),SUMIFS(Donnees_generations!$Z$3:$Z$113,Donnees_generations!$A$3:$A$113,MAX(1915,MIN(2025,E493))),SUMIFS(Donnees_generations!$AA$3:$AA$113,Donnees_generations!$A$3:$A$113,MAX(1915,MIN(2025,E493))),SUMIFS(Donnees_generations!$AB$3:$AB$113,Donnees_generations!$A$3:$A$113,MAX(1915,MIN(2025,E493))))+CHOOSE((AG493-56)/2+1,SUMIFS(Donnees_generations!$AC$3:$AC$113,Donnees_generations!$A$3:$A$113,MAX(1915,MIN(2025,E493))),SUMIFS(Donnees_generations!$AD$3:$AD$113,Donnees_generations!$A$3:$A$113,MAX(1915,MIN(2025,E493))),SUMIFS(Donnees_generations!$AE$3:$AE$113,Donnees_generations!$A$3:$A$113,MAX(1915,MIN(2025,E493))),SUMIFS(Donnees_generations!$AF$3:$AF$113,Donnees_generations!$A$3:$A$113,MAX(1915,MIN(2025,E493))),SUMIFS(Donnees_generations!$AG$3:$AG$113,Donnees_generations!$A$3:$A$113,MAX(1915,MIN(2025,E493))),SUMIFS(Donnees_generations!$AH$3:$AH$113,Donnees_generations!$A$3:$A$113,MAX(1915,MIN(2025,E493))),SUMIFS(Donnees_generations!$AI$3:$AI$113,Donnees_generations!$A$3:$A$113,MAX(1915,MIN(2025,E493))),SUMIFS(Donnees_generations!$AJ$3:$AJ$113,Donnees_generations!$A$3:$A$113,MAX(1915,MIN(2025,E493)))))/2</f>
        <v/>
      </c>
      <c r="AI493" s="75">
        <f>(CHOOSE(((AG493+2)-56)/2+1,SUMIFS(Donnees_generations!$U$3:$U$113,Donnees_generations!$A$3:$A$113,MAX(1915,MIN(2025,E493))),SUMIFS(Donnees_generations!$V$3:$V$113,Donnees_generations!$A$3:$A$113,MAX(1915,MIN(2025,E493))),SUMIFS(Donnees_generations!$W$3:$W$113,Donnees_generations!$A$3:$A$113,MAX(1915,MIN(2025,E493))),SUMIFS(Donnees_generations!$X$3:$X$113,Donnees_generations!$A$3:$A$113,MAX(1915,MIN(2025,E493))),SUMIFS(Donnees_generations!$Y$3:$Y$113,Donnees_generations!$A$3:$A$113,MAX(1915,MIN(2025,E493))),SUMIFS(Donnees_generations!$Z$3:$Z$113,Donnees_generations!$A$3:$A$113,MAX(1915,MIN(2025,E493))),SUMIFS(Donnees_generations!$AA$3:$AA$113,Donnees_generations!$A$3:$A$113,MAX(1915,MIN(2025,E493))),SUMIFS(Donnees_generations!$AB$3:$AB$113,Donnees_generations!$A$3:$A$113,MAX(1915,MIN(2025,E493))))+CHOOSE(((AG493+2)-56)/2+1,SUMIFS(Donnees_generations!$AC$3:$AC$113,Donnees_generations!$A$3:$A$113,MAX(1915,MIN(2025,E493))),SUMIFS(Donnees_generations!$AD$3:$AD$113,Donnees_generations!$A$3:$A$113,MAX(1915,MIN(2025,E493))),SUMIFS(Donnees_generations!$AE$3:$AE$113,Donnees_generations!$A$3:$A$113,MAX(1915,MIN(2025,E493))),SUMIFS(Donnees_generations!$AF$3:$AF$113,Donnees_generations!$A$3:$A$113,MAX(1915,MIN(2025,E493))),SUMIFS(Donnees_generations!$AG$3:$AG$113,Donnees_generations!$A$3:$A$113,MAX(1915,MIN(2025,E493))),SUMIFS(Donnees_generations!$AH$3:$AH$113,Donnees_generations!$A$3:$A$113,MAX(1915,MIN(2025,E493))),SUMIFS(Donnees_generations!$AI$3:$AI$113,Donnees_generations!$A$3:$A$113,MAX(1915,MIN(2025,E493))),SUMIFS(Donnees_generations!$AJ$3:$AJ$113,Donnees_generations!$A$3:$A$113,MAX(1915,MIN(2025,E493)))))/2</f>
        <v/>
      </c>
      <c r="AJ493" s="8">
        <f>MAX(0,AH493+(AI493-AH493)*(K493-AG493)/2)</f>
        <v/>
      </c>
      <c r="AK493" s="8">
        <f>K493+AJ493</f>
        <v/>
      </c>
      <c r="AL493" s="14">
        <f>AE493*AJ493</f>
        <v/>
      </c>
      <c r="AM493" s="17">
        <f>V493/AL493</f>
        <v/>
      </c>
      <c r="AN493" s="17">
        <f>Z493/AL493</f>
        <v/>
      </c>
      <c r="AO493" s="33">
        <f>IF(V493+Z493=0,0,Z493/(V493+Z493))</f>
        <v/>
      </c>
      <c r="AP493" s="14">
        <f>AL493/V493*100</f>
        <v/>
      </c>
      <c r="AQ493" s="8">
        <f>P493/AL493*1000</f>
        <v/>
      </c>
      <c r="AR493" s="77">
        <f>MAX(N493,M493-1)</f>
        <v/>
      </c>
      <c r="AS493" s="14">
        <f>SUMIFS(Donnees_regimes!$R$3:$R$1118,Donnees_regimes!$A$3:$A$1118,C493,Donnees_regimes!$B$3:$B$1118,"&gt;="&amp;G493,Donnees_regimes!$B$3:$B$1118,"&lt;="&amp;N493)*L493/ROUNDUP(L493,0)*SUMIFS(Donnees_annuelles!$AG$3:$AG$188,Donnees_annuelles!$A$3:$A$188,AR493)*SUMIFS(Donnees_annuelles!$AA$3:$AA$188,Donnees_annuelles!$A$3:$A$188,AR493)</f>
        <v/>
      </c>
      <c r="AT493" s="36">
        <f>AS493/V493</f>
        <v/>
      </c>
      <c r="AU493" s="14">
        <f>AL493</f>
        <v/>
      </c>
      <c r="AV493" s="39">
        <f>AS493-AL493</f>
        <v/>
      </c>
      <c r="AW493" s="9">
        <f>AS493/AL493-1</f>
        <v/>
      </c>
      <c r="AX493" s="14">
        <f>AS493/AJ493/12</f>
        <v/>
      </c>
      <c r="AY493" s="14">
        <f>AF493</f>
        <v/>
      </c>
      <c r="AZ493" s="39">
        <f>AX493-AF493</f>
        <v/>
      </c>
      <c r="BA493" s="14">
        <f>SUMIFS(Donnees_regimes!$S$3:$S$1118,Donnees_regimes!$A$3:$A$1118,C493,Donnees_regimes!$B$3:$B$1118,"&gt;="&amp;G493,Donnees_regimes!$B$3:$B$1118,"&lt;="&amp;N493)*L493/ROUNDUP(L493,0)*SUMIFS(Donnees_annuelles!$AH$3:$AH$188,Donnees_annuelles!$A$3:$A$188,AR493)*SUMIFS(Donnees_annuelles!$AA$3:$AA$188,Donnees_annuelles!$A$3:$A$188,AR493)</f>
        <v/>
      </c>
      <c r="BB493" s="39">
        <f>BA493-AL493</f>
        <v/>
      </c>
      <c r="BC493" s="7">
        <f>IF(M493+AJ493&gt;2026,IF(G493&gt;2026,"entièrement projeté","en partie projeté"),"observé")</f>
        <v/>
      </c>
    </row>
    <row r="494">
      <c r="A494" s="7" t="inlineStr">
        <is>
          <t>Génération silencieuse</t>
        </is>
      </c>
      <c r="B494" s="84" t="inlineStr">
        <is>
          <t>IEG</t>
        </is>
      </c>
      <c r="C494" s="7">
        <f>IF(G494&gt;=SUMIFS(Regimes!$C$5:$C$10,Regimes!$A$5:$A$10,B494),"Privé",B494)</f>
        <v/>
      </c>
      <c r="D494" s="7">
        <f>INDEX(Regimes!$D$5:$D$10,MATCH(C494,Regimes!$A$5:$A$10,0))</f>
        <v/>
      </c>
      <c r="E494" s="88" t="n">
        <v>1929</v>
      </c>
      <c r="F494" s="8">
        <f>Donnees_generations!C17</f>
        <v/>
      </c>
      <c r="G494" s="77">
        <f>Donnees_generations!D17</f>
        <v/>
      </c>
      <c r="H494" s="8">
        <f>SUMIFS(Donnees_generations!$S$3:$S$113,Donnees_generations!$A$3:$A$113,MAX(1915,MIN(2025,E494)))</f>
        <v/>
      </c>
      <c r="I494" s="8">
        <f>SUMIFS(Donnees_generations!$T$3:$T$113,Donnees_generations!$A$3:$A$113,MAX(1915,MIN(2025,E494)))</f>
        <v/>
      </c>
      <c r="J494" s="8">
        <f>IF(G494&gt;=2000,MAX(I494,Parametres!$B$3),I494)</f>
        <v/>
      </c>
      <c r="K494" s="8">
        <f>IF(C494="Privé",J494,SUMIFS(Regles_regimes!$J$3:$J$2000,Regles_regimes!$A$3:$A$2000,C494,Regles_regimes!$B$3:$B$2000,D494,Regles_regimes!$C$3:$C$2000,MAX(1915,MIN(2025,E494))))</f>
        <v/>
      </c>
      <c r="L494" s="8">
        <f>IF(C494="Privé",H494,(K494-F494)*H494/(J494-F494))</f>
        <v/>
      </c>
      <c r="M494" s="77">
        <f>INT(E494+K494)</f>
        <v/>
      </c>
      <c r="N494" s="77">
        <f>G494+ROUNDUP(L494,0)-1</f>
        <v/>
      </c>
      <c r="O494" s="89">
        <f>SUMIFS(Regles_regimes!$K$3:$K$2000,Regles_regimes!$A$3:$A$2000,C494,Regles_regimes!$B$3:$B$2000,D494,Regles_regimes!$C$3:$C$2000,MAX(1915,MIN(2025,E494)))</f>
        <v/>
      </c>
      <c r="P494" s="13">
        <f>SUMIFS(Donnees_annuelles!$W$3:$W$188,Donnees_annuelles!$A$3:$A$188,"&gt;="&amp;G494,Donnees_annuelles!$A$3:$A$188,"&lt;="&amp;N494)*L494/ROUNDUP(L494,0)*O494</f>
        <v/>
      </c>
      <c r="Q494" s="13">
        <f>SUMIFS(Donnees_annuelles!$V$3:$V$188,Donnees_annuelles!$A$3:$A$188,"&gt;="&amp;G494,Donnees_annuelles!$A$3:$A$188,"&lt;="&amp;N494)*L494/ROUNDUP(L494,0)</f>
        <v/>
      </c>
      <c r="R494" s="13">
        <f>P494/L494</f>
        <v/>
      </c>
      <c r="S494" s="14">
        <f>SUMIFS(Donnees_annuelles!$D$3:$D$188,Donnees_annuelles!$A$3:$A$188,"&gt;="&amp;G494,Donnees_annuelles!$A$3:$A$188,"&lt;="&amp;N494)*L494/ROUNDUP(L494,0)</f>
        <v/>
      </c>
      <c r="T494" s="14">
        <f>SUMIFS(Donnees_regimes!$N$3:$N$1118,Donnees_regimes!$A$3:$A$1118,C494,Donnees_regimes!$B$3:$B$1118,"&gt;="&amp;G494,Donnees_regimes!$B$3:$B$1118,"&lt;="&amp;N494)*L494/ROUNDUP(L494,0)</f>
        <v/>
      </c>
      <c r="U494" s="14">
        <f>SUMIFS(Donnees_regimes!$O$3:$O$1118,Donnees_regimes!$A$3:$A$1118,C494,Donnees_regimes!$B$3:$B$1118,"&gt;="&amp;G494,Donnees_regimes!$B$3:$B$1118,"&lt;="&amp;N494)*L494/ROUNDUP(L494,0)</f>
        <v/>
      </c>
      <c r="V494" s="14">
        <f>T494+U494</f>
        <v/>
      </c>
      <c r="W494" s="33">
        <f>V494/S494</f>
        <v/>
      </c>
      <c r="X494" s="14">
        <f>S494+U494</f>
        <v/>
      </c>
      <c r="Y494" s="17">
        <f>V494/P494</f>
        <v/>
      </c>
      <c r="Z494" s="14">
        <f>SUMIFS(Donnees_regimes!$Q$3:$Q$1118,Donnees_regimes!$A$3:$A$1118,C494,Donnees_regimes!$B$3:$B$1118,"&gt;="&amp;G494,Donnees_regimes!$B$3:$B$1118,"&lt;="&amp;N494)*L494/ROUNDUP(L494,0)</f>
        <v/>
      </c>
      <c r="AA494" s="77">
        <f>SUMIFS(Regles_regimes!$F$3:$F$2000,Regles_regimes!$A$3:$A$2000,C494,Regles_regimes!$B$3:$B$2000,D494,Regles_regimes!$C$3:$C$2000,MAX(1915,MIN(2025,E494)))</f>
        <v/>
      </c>
      <c r="AB494" s="77">
        <f>IF(AND(SUMIFS(Regles_regimes!$L$3:$L$2000,Regles_regimes!$A$3:$A$2000,C494,Regles_regimes!$B$3:$B$2000,D494,Regles_regimes!$C$3:$C$2000,MAX(1915,MIN(2025,E494)))=1,G494&lt;2009,C494&lt;&gt;"Privé"),MIN(20,L494*4/5),0)</f>
        <v/>
      </c>
      <c r="AC494" s="89">
        <f>SUMIFS(Donnees_regimes!$M$3:$M$1118,Donnees_regimes!$A$3:$A$1118,C494,Donnees_regimes!$B$3:$B$1118,M494)</f>
        <v/>
      </c>
      <c r="AD494" s="14">
        <f>SUMIFS(Donnees_annuelles!$Y$3:$Y$188,Donnees_annuelles!$A$3:$A$188,M494)*SUMIFS(Donnees_generations!$I$3:$I$113,Donnees_generations!$A$3:$A$113,MAX(1915,MIN(2025,E494)))/H494</f>
        <v/>
      </c>
      <c r="AE494" s="14">
        <f>IF(C494="Privé",SUMIFS(Donnees_annuelles!$Y$3:$Y$188,Donnees_annuelles!$A$3:$A$188,M494)*MIN(L494,SUMIFS(Donnees_generations!$I$3:$I$113,Donnees_generations!$A$3:$A$113,MAX(1915,MIN(2025,E494))))/L494,AD494*AC494*MIN(IF(AB494&gt;0,0.8/0.75,1),(L494*4+AB494)/AA494))</f>
        <v/>
      </c>
      <c r="AF494" s="14">
        <f>AE494/12</f>
        <v/>
      </c>
      <c r="AG494" s="77">
        <f>MIN(68,MAX(56,2*INT(K494/2)))</f>
        <v/>
      </c>
      <c r="AH494" s="75">
        <f>(CHOOSE((AG494-56)/2+1,SUMIFS(Donnees_generations!$U$3:$U$113,Donnees_generations!$A$3:$A$113,MAX(1915,MIN(2025,E494))),SUMIFS(Donnees_generations!$V$3:$V$113,Donnees_generations!$A$3:$A$113,MAX(1915,MIN(2025,E494))),SUMIFS(Donnees_generations!$W$3:$W$113,Donnees_generations!$A$3:$A$113,MAX(1915,MIN(2025,E494))),SUMIFS(Donnees_generations!$X$3:$X$113,Donnees_generations!$A$3:$A$113,MAX(1915,MIN(2025,E494))),SUMIFS(Donnees_generations!$Y$3:$Y$113,Donnees_generations!$A$3:$A$113,MAX(1915,MIN(2025,E494))),SUMIFS(Donnees_generations!$Z$3:$Z$113,Donnees_generations!$A$3:$A$113,MAX(1915,MIN(2025,E494))),SUMIFS(Donnees_generations!$AA$3:$AA$113,Donnees_generations!$A$3:$A$113,MAX(1915,MIN(2025,E494))),SUMIFS(Donnees_generations!$AB$3:$AB$113,Donnees_generations!$A$3:$A$113,MAX(1915,MIN(2025,E494))))+CHOOSE((AG494-56)/2+1,SUMIFS(Donnees_generations!$AC$3:$AC$113,Donnees_generations!$A$3:$A$113,MAX(1915,MIN(2025,E494))),SUMIFS(Donnees_generations!$AD$3:$AD$113,Donnees_generations!$A$3:$A$113,MAX(1915,MIN(2025,E494))),SUMIFS(Donnees_generations!$AE$3:$AE$113,Donnees_generations!$A$3:$A$113,MAX(1915,MIN(2025,E494))),SUMIFS(Donnees_generations!$AF$3:$AF$113,Donnees_generations!$A$3:$A$113,MAX(1915,MIN(2025,E494))),SUMIFS(Donnees_generations!$AG$3:$AG$113,Donnees_generations!$A$3:$A$113,MAX(1915,MIN(2025,E494))),SUMIFS(Donnees_generations!$AH$3:$AH$113,Donnees_generations!$A$3:$A$113,MAX(1915,MIN(2025,E494))),SUMIFS(Donnees_generations!$AI$3:$AI$113,Donnees_generations!$A$3:$A$113,MAX(1915,MIN(2025,E494))),SUMIFS(Donnees_generations!$AJ$3:$AJ$113,Donnees_generations!$A$3:$A$113,MAX(1915,MIN(2025,E494)))))/2</f>
        <v/>
      </c>
      <c r="AI494" s="75">
        <f>(CHOOSE(((AG494+2)-56)/2+1,SUMIFS(Donnees_generations!$U$3:$U$113,Donnees_generations!$A$3:$A$113,MAX(1915,MIN(2025,E494))),SUMIFS(Donnees_generations!$V$3:$V$113,Donnees_generations!$A$3:$A$113,MAX(1915,MIN(2025,E494))),SUMIFS(Donnees_generations!$W$3:$W$113,Donnees_generations!$A$3:$A$113,MAX(1915,MIN(2025,E494))),SUMIFS(Donnees_generations!$X$3:$X$113,Donnees_generations!$A$3:$A$113,MAX(1915,MIN(2025,E494))),SUMIFS(Donnees_generations!$Y$3:$Y$113,Donnees_generations!$A$3:$A$113,MAX(1915,MIN(2025,E494))),SUMIFS(Donnees_generations!$Z$3:$Z$113,Donnees_generations!$A$3:$A$113,MAX(1915,MIN(2025,E494))),SUMIFS(Donnees_generations!$AA$3:$AA$113,Donnees_generations!$A$3:$A$113,MAX(1915,MIN(2025,E494))),SUMIFS(Donnees_generations!$AB$3:$AB$113,Donnees_generations!$A$3:$A$113,MAX(1915,MIN(2025,E494))))+CHOOSE(((AG494+2)-56)/2+1,SUMIFS(Donnees_generations!$AC$3:$AC$113,Donnees_generations!$A$3:$A$113,MAX(1915,MIN(2025,E494))),SUMIFS(Donnees_generations!$AD$3:$AD$113,Donnees_generations!$A$3:$A$113,MAX(1915,MIN(2025,E494))),SUMIFS(Donnees_generations!$AE$3:$AE$113,Donnees_generations!$A$3:$A$113,MAX(1915,MIN(2025,E494))),SUMIFS(Donnees_generations!$AF$3:$AF$113,Donnees_generations!$A$3:$A$113,MAX(1915,MIN(2025,E494))),SUMIFS(Donnees_generations!$AG$3:$AG$113,Donnees_generations!$A$3:$A$113,MAX(1915,MIN(2025,E494))),SUMIFS(Donnees_generations!$AH$3:$AH$113,Donnees_generations!$A$3:$A$113,MAX(1915,MIN(2025,E494))),SUMIFS(Donnees_generations!$AI$3:$AI$113,Donnees_generations!$A$3:$A$113,MAX(1915,MIN(2025,E494))),SUMIFS(Donnees_generations!$AJ$3:$AJ$113,Donnees_generations!$A$3:$A$113,MAX(1915,MIN(2025,E494)))))/2</f>
        <v/>
      </c>
      <c r="AJ494" s="8">
        <f>MAX(0,AH494+(AI494-AH494)*(K494-AG494)/2)</f>
        <v/>
      </c>
      <c r="AK494" s="8">
        <f>K494+AJ494</f>
        <v/>
      </c>
      <c r="AL494" s="14">
        <f>AE494*AJ494</f>
        <v/>
      </c>
      <c r="AM494" s="17">
        <f>V494/AL494</f>
        <v/>
      </c>
      <c r="AN494" s="17">
        <f>Z494/AL494</f>
        <v/>
      </c>
      <c r="AO494" s="33">
        <f>IF(V494+Z494=0,0,Z494/(V494+Z494))</f>
        <v/>
      </c>
      <c r="AP494" s="14">
        <f>AL494/V494*100</f>
        <v/>
      </c>
      <c r="AQ494" s="8">
        <f>P494/AL494*1000</f>
        <v/>
      </c>
      <c r="AR494" s="77">
        <f>MAX(N494,M494-1)</f>
        <v/>
      </c>
      <c r="AS494" s="14">
        <f>SUMIFS(Donnees_regimes!$R$3:$R$1118,Donnees_regimes!$A$3:$A$1118,C494,Donnees_regimes!$B$3:$B$1118,"&gt;="&amp;G494,Donnees_regimes!$B$3:$B$1118,"&lt;="&amp;N494)*L494/ROUNDUP(L494,0)*SUMIFS(Donnees_annuelles!$AG$3:$AG$188,Donnees_annuelles!$A$3:$A$188,AR494)*SUMIFS(Donnees_annuelles!$AA$3:$AA$188,Donnees_annuelles!$A$3:$A$188,AR494)</f>
        <v/>
      </c>
      <c r="AT494" s="36">
        <f>AS494/V494</f>
        <v/>
      </c>
      <c r="AU494" s="14">
        <f>AL494</f>
        <v/>
      </c>
      <c r="AV494" s="39">
        <f>AS494-AL494</f>
        <v/>
      </c>
      <c r="AW494" s="9">
        <f>AS494/AL494-1</f>
        <v/>
      </c>
      <c r="AX494" s="14">
        <f>AS494/AJ494/12</f>
        <v/>
      </c>
      <c r="AY494" s="14">
        <f>AF494</f>
        <v/>
      </c>
      <c r="AZ494" s="39">
        <f>AX494-AF494</f>
        <v/>
      </c>
      <c r="BA494" s="14">
        <f>SUMIFS(Donnees_regimes!$S$3:$S$1118,Donnees_regimes!$A$3:$A$1118,C494,Donnees_regimes!$B$3:$B$1118,"&gt;="&amp;G494,Donnees_regimes!$B$3:$B$1118,"&lt;="&amp;N494)*L494/ROUNDUP(L494,0)*SUMIFS(Donnees_annuelles!$AH$3:$AH$188,Donnees_annuelles!$A$3:$A$188,AR494)*SUMIFS(Donnees_annuelles!$AA$3:$AA$188,Donnees_annuelles!$A$3:$A$188,AR494)</f>
        <v/>
      </c>
      <c r="BB494" s="39">
        <f>BA494-AL494</f>
        <v/>
      </c>
      <c r="BC494" s="7">
        <f>IF(M494+AJ494&gt;2026,IF(G494&gt;2026,"entièrement projeté","en partie projeté"),"observé")</f>
        <v/>
      </c>
    </row>
    <row r="495">
      <c r="A495" s="7" t="inlineStr">
        <is>
          <t>Génération silencieuse</t>
        </is>
      </c>
      <c r="B495" s="84" t="inlineStr">
        <is>
          <t>IEG</t>
        </is>
      </c>
      <c r="C495" s="7">
        <f>IF(G495&gt;=SUMIFS(Regimes!$C$5:$C$10,Regimes!$A$5:$A$10,B495),"Privé",B495)</f>
        <v/>
      </c>
      <c r="D495" s="7">
        <f>INDEX(Regimes!$D$5:$D$10,MATCH(C495,Regimes!$A$5:$A$10,0))</f>
        <v/>
      </c>
      <c r="E495" s="88" t="n">
        <v>1930</v>
      </c>
      <c r="F495" s="8">
        <f>Donnees_generations!C18</f>
        <v/>
      </c>
      <c r="G495" s="77">
        <f>Donnees_generations!D18</f>
        <v/>
      </c>
      <c r="H495" s="8">
        <f>SUMIFS(Donnees_generations!$S$3:$S$113,Donnees_generations!$A$3:$A$113,MAX(1915,MIN(2025,E495)))</f>
        <v/>
      </c>
      <c r="I495" s="8">
        <f>SUMIFS(Donnees_generations!$T$3:$T$113,Donnees_generations!$A$3:$A$113,MAX(1915,MIN(2025,E495)))</f>
        <v/>
      </c>
      <c r="J495" s="8">
        <f>IF(G495&gt;=2000,MAX(I495,Parametres!$B$3),I495)</f>
        <v/>
      </c>
      <c r="K495" s="8">
        <f>IF(C495="Privé",J495,SUMIFS(Regles_regimes!$J$3:$J$2000,Regles_regimes!$A$3:$A$2000,C495,Regles_regimes!$B$3:$B$2000,D495,Regles_regimes!$C$3:$C$2000,MAX(1915,MIN(2025,E495))))</f>
        <v/>
      </c>
      <c r="L495" s="8">
        <f>IF(C495="Privé",H495,(K495-F495)*H495/(J495-F495))</f>
        <v/>
      </c>
      <c r="M495" s="77">
        <f>INT(E495+K495)</f>
        <v/>
      </c>
      <c r="N495" s="77">
        <f>G495+ROUNDUP(L495,0)-1</f>
        <v/>
      </c>
      <c r="O495" s="89">
        <f>SUMIFS(Regles_regimes!$K$3:$K$2000,Regles_regimes!$A$3:$A$2000,C495,Regles_regimes!$B$3:$B$2000,D495,Regles_regimes!$C$3:$C$2000,MAX(1915,MIN(2025,E495)))</f>
        <v/>
      </c>
      <c r="P495" s="13">
        <f>SUMIFS(Donnees_annuelles!$W$3:$W$188,Donnees_annuelles!$A$3:$A$188,"&gt;="&amp;G495,Donnees_annuelles!$A$3:$A$188,"&lt;="&amp;N495)*L495/ROUNDUP(L495,0)*O495</f>
        <v/>
      </c>
      <c r="Q495" s="13">
        <f>SUMIFS(Donnees_annuelles!$V$3:$V$188,Donnees_annuelles!$A$3:$A$188,"&gt;="&amp;G495,Donnees_annuelles!$A$3:$A$188,"&lt;="&amp;N495)*L495/ROUNDUP(L495,0)</f>
        <v/>
      </c>
      <c r="R495" s="13">
        <f>P495/L495</f>
        <v/>
      </c>
      <c r="S495" s="14">
        <f>SUMIFS(Donnees_annuelles!$D$3:$D$188,Donnees_annuelles!$A$3:$A$188,"&gt;="&amp;G495,Donnees_annuelles!$A$3:$A$188,"&lt;="&amp;N495)*L495/ROUNDUP(L495,0)</f>
        <v/>
      </c>
      <c r="T495" s="14">
        <f>SUMIFS(Donnees_regimes!$N$3:$N$1118,Donnees_regimes!$A$3:$A$1118,C495,Donnees_regimes!$B$3:$B$1118,"&gt;="&amp;G495,Donnees_regimes!$B$3:$B$1118,"&lt;="&amp;N495)*L495/ROUNDUP(L495,0)</f>
        <v/>
      </c>
      <c r="U495" s="14">
        <f>SUMIFS(Donnees_regimes!$O$3:$O$1118,Donnees_regimes!$A$3:$A$1118,C495,Donnees_regimes!$B$3:$B$1118,"&gt;="&amp;G495,Donnees_regimes!$B$3:$B$1118,"&lt;="&amp;N495)*L495/ROUNDUP(L495,0)</f>
        <v/>
      </c>
      <c r="V495" s="14">
        <f>T495+U495</f>
        <v/>
      </c>
      <c r="W495" s="33">
        <f>V495/S495</f>
        <v/>
      </c>
      <c r="X495" s="14">
        <f>S495+U495</f>
        <v/>
      </c>
      <c r="Y495" s="17">
        <f>V495/P495</f>
        <v/>
      </c>
      <c r="Z495" s="14">
        <f>SUMIFS(Donnees_regimes!$Q$3:$Q$1118,Donnees_regimes!$A$3:$A$1118,C495,Donnees_regimes!$B$3:$B$1118,"&gt;="&amp;G495,Donnees_regimes!$B$3:$B$1118,"&lt;="&amp;N495)*L495/ROUNDUP(L495,0)</f>
        <v/>
      </c>
      <c r="AA495" s="77">
        <f>SUMIFS(Regles_regimes!$F$3:$F$2000,Regles_regimes!$A$3:$A$2000,C495,Regles_regimes!$B$3:$B$2000,D495,Regles_regimes!$C$3:$C$2000,MAX(1915,MIN(2025,E495)))</f>
        <v/>
      </c>
      <c r="AB495" s="77">
        <f>IF(AND(SUMIFS(Regles_regimes!$L$3:$L$2000,Regles_regimes!$A$3:$A$2000,C495,Regles_regimes!$B$3:$B$2000,D495,Regles_regimes!$C$3:$C$2000,MAX(1915,MIN(2025,E495)))=1,G495&lt;2009,C495&lt;&gt;"Privé"),MIN(20,L495*4/5),0)</f>
        <v/>
      </c>
      <c r="AC495" s="89">
        <f>SUMIFS(Donnees_regimes!$M$3:$M$1118,Donnees_regimes!$A$3:$A$1118,C495,Donnees_regimes!$B$3:$B$1118,M495)</f>
        <v/>
      </c>
      <c r="AD495" s="14">
        <f>SUMIFS(Donnees_annuelles!$Y$3:$Y$188,Donnees_annuelles!$A$3:$A$188,M495)*SUMIFS(Donnees_generations!$I$3:$I$113,Donnees_generations!$A$3:$A$113,MAX(1915,MIN(2025,E495)))/H495</f>
        <v/>
      </c>
      <c r="AE495" s="14">
        <f>IF(C495="Privé",SUMIFS(Donnees_annuelles!$Y$3:$Y$188,Donnees_annuelles!$A$3:$A$188,M495)*MIN(L495,SUMIFS(Donnees_generations!$I$3:$I$113,Donnees_generations!$A$3:$A$113,MAX(1915,MIN(2025,E495))))/L495,AD495*AC495*MIN(IF(AB495&gt;0,0.8/0.75,1),(L495*4+AB495)/AA495))</f>
        <v/>
      </c>
      <c r="AF495" s="14">
        <f>AE495/12</f>
        <v/>
      </c>
      <c r="AG495" s="77">
        <f>MIN(68,MAX(56,2*INT(K495/2)))</f>
        <v/>
      </c>
      <c r="AH495" s="75">
        <f>(CHOOSE((AG495-56)/2+1,SUMIFS(Donnees_generations!$U$3:$U$113,Donnees_generations!$A$3:$A$113,MAX(1915,MIN(2025,E495))),SUMIFS(Donnees_generations!$V$3:$V$113,Donnees_generations!$A$3:$A$113,MAX(1915,MIN(2025,E495))),SUMIFS(Donnees_generations!$W$3:$W$113,Donnees_generations!$A$3:$A$113,MAX(1915,MIN(2025,E495))),SUMIFS(Donnees_generations!$X$3:$X$113,Donnees_generations!$A$3:$A$113,MAX(1915,MIN(2025,E495))),SUMIFS(Donnees_generations!$Y$3:$Y$113,Donnees_generations!$A$3:$A$113,MAX(1915,MIN(2025,E495))),SUMIFS(Donnees_generations!$Z$3:$Z$113,Donnees_generations!$A$3:$A$113,MAX(1915,MIN(2025,E495))),SUMIFS(Donnees_generations!$AA$3:$AA$113,Donnees_generations!$A$3:$A$113,MAX(1915,MIN(2025,E495))),SUMIFS(Donnees_generations!$AB$3:$AB$113,Donnees_generations!$A$3:$A$113,MAX(1915,MIN(2025,E495))))+CHOOSE((AG495-56)/2+1,SUMIFS(Donnees_generations!$AC$3:$AC$113,Donnees_generations!$A$3:$A$113,MAX(1915,MIN(2025,E495))),SUMIFS(Donnees_generations!$AD$3:$AD$113,Donnees_generations!$A$3:$A$113,MAX(1915,MIN(2025,E495))),SUMIFS(Donnees_generations!$AE$3:$AE$113,Donnees_generations!$A$3:$A$113,MAX(1915,MIN(2025,E495))),SUMIFS(Donnees_generations!$AF$3:$AF$113,Donnees_generations!$A$3:$A$113,MAX(1915,MIN(2025,E495))),SUMIFS(Donnees_generations!$AG$3:$AG$113,Donnees_generations!$A$3:$A$113,MAX(1915,MIN(2025,E495))),SUMIFS(Donnees_generations!$AH$3:$AH$113,Donnees_generations!$A$3:$A$113,MAX(1915,MIN(2025,E495))),SUMIFS(Donnees_generations!$AI$3:$AI$113,Donnees_generations!$A$3:$A$113,MAX(1915,MIN(2025,E495))),SUMIFS(Donnees_generations!$AJ$3:$AJ$113,Donnees_generations!$A$3:$A$113,MAX(1915,MIN(2025,E495)))))/2</f>
        <v/>
      </c>
      <c r="AI495" s="75">
        <f>(CHOOSE(((AG495+2)-56)/2+1,SUMIFS(Donnees_generations!$U$3:$U$113,Donnees_generations!$A$3:$A$113,MAX(1915,MIN(2025,E495))),SUMIFS(Donnees_generations!$V$3:$V$113,Donnees_generations!$A$3:$A$113,MAX(1915,MIN(2025,E495))),SUMIFS(Donnees_generations!$W$3:$W$113,Donnees_generations!$A$3:$A$113,MAX(1915,MIN(2025,E495))),SUMIFS(Donnees_generations!$X$3:$X$113,Donnees_generations!$A$3:$A$113,MAX(1915,MIN(2025,E495))),SUMIFS(Donnees_generations!$Y$3:$Y$113,Donnees_generations!$A$3:$A$113,MAX(1915,MIN(2025,E495))),SUMIFS(Donnees_generations!$Z$3:$Z$113,Donnees_generations!$A$3:$A$113,MAX(1915,MIN(2025,E495))),SUMIFS(Donnees_generations!$AA$3:$AA$113,Donnees_generations!$A$3:$A$113,MAX(1915,MIN(2025,E495))),SUMIFS(Donnees_generations!$AB$3:$AB$113,Donnees_generations!$A$3:$A$113,MAX(1915,MIN(2025,E495))))+CHOOSE(((AG495+2)-56)/2+1,SUMIFS(Donnees_generations!$AC$3:$AC$113,Donnees_generations!$A$3:$A$113,MAX(1915,MIN(2025,E495))),SUMIFS(Donnees_generations!$AD$3:$AD$113,Donnees_generations!$A$3:$A$113,MAX(1915,MIN(2025,E495))),SUMIFS(Donnees_generations!$AE$3:$AE$113,Donnees_generations!$A$3:$A$113,MAX(1915,MIN(2025,E495))),SUMIFS(Donnees_generations!$AF$3:$AF$113,Donnees_generations!$A$3:$A$113,MAX(1915,MIN(2025,E495))),SUMIFS(Donnees_generations!$AG$3:$AG$113,Donnees_generations!$A$3:$A$113,MAX(1915,MIN(2025,E495))),SUMIFS(Donnees_generations!$AH$3:$AH$113,Donnees_generations!$A$3:$A$113,MAX(1915,MIN(2025,E495))),SUMIFS(Donnees_generations!$AI$3:$AI$113,Donnees_generations!$A$3:$A$113,MAX(1915,MIN(2025,E495))),SUMIFS(Donnees_generations!$AJ$3:$AJ$113,Donnees_generations!$A$3:$A$113,MAX(1915,MIN(2025,E495)))))/2</f>
        <v/>
      </c>
      <c r="AJ495" s="8">
        <f>MAX(0,AH495+(AI495-AH495)*(K495-AG495)/2)</f>
        <v/>
      </c>
      <c r="AK495" s="8">
        <f>K495+AJ495</f>
        <v/>
      </c>
      <c r="AL495" s="14">
        <f>AE495*AJ495</f>
        <v/>
      </c>
      <c r="AM495" s="17">
        <f>V495/AL495</f>
        <v/>
      </c>
      <c r="AN495" s="17">
        <f>Z495/AL495</f>
        <v/>
      </c>
      <c r="AO495" s="33">
        <f>IF(V495+Z495=0,0,Z495/(V495+Z495))</f>
        <v/>
      </c>
      <c r="AP495" s="14">
        <f>AL495/V495*100</f>
        <v/>
      </c>
      <c r="AQ495" s="8">
        <f>P495/AL495*1000</f>
        <v/>
      </c>
      <c r="AR495" s="77">
        <f>MAX(N495,M495-1)</f>
        <v/>
      </c>
      <c r="AS495" s="14">
        <f>SUMIFS(Donnees_regimes!$R$3:$R$1118,Donnees_regimes!$A$3:$A$1118,C495,Donnees_regimes!$B$3:$B$1118,"&gt;="&amp;G495,Donnees_regimes!$B$3:$B$1118,"&lt;="&amp;N495)*L495/ROUNDUP(L495,0)*SUMIFS(Donnees_annuelles!$AG$3:$AG$188,Donnees_annuelles!$A$3:$A$188,AR495)*SUMIFS(Donnees_annuelles!$AA$3:$AA$188,Donnees_annuelles!$A$3:$A$188,AR495)</f>
        <v/>
      </c>
      <c r="AT495" s="36">
        <f>AS495/V495</f>
        <v/>
      </c>
      <c r="AU495" s="14">
        <f>AL495</f>
        <v/>
      </c>
      <c r="AV495" s="39">
        <f>AS495-AL495</f>
        <v/>
      </c>
      <c r="AW495" s="9">
        <f>AS495/AL495-1</f>
        <v/>
      </c>
      <c r="AX495" s="14">
        <f>AS495/AJ495/12</f>
        <v/>
      </c>
      <c r="AY495" s="14">
        <f>AF495</f>
        <v/>
      </c>
      <c r="AZ495" s="39">
        <f>AX495-AF495</f>
        <v/>
      </c>
      <c r="BA495" s="14">
        <f>SUMIFS(Donnees_regimes!$S$3:$S$1118,Donnees_regimes!$A$3:$A$1118,C495,Donnees_regimes!$B$3:$B$1118,"&gt;="&amp;G495,Donnees_regimes!$B$3:$B$1118,"&lt;="&amp;N495)*L495/ROUNDUP(L495,0)*SUMIFS(Donnees_annuelles!$AH$3:$AH$188,Donnees_annuelles!$A$3:$A$188,AR495)*SUMIFS(Donnees_annuelles!$AA$3:$AA$188,Donnees_annuelles!$A$3:$A$188,AR495)</f>
        <v/>
      </c>
      <c r="BB495" s="39">
        <f>BA495-AL495</f>
        <v/>
      </c>
      <c r="BC495" s="7">
        <f>IF(M495+AJ495&gt;2026,IF(G495&gt;2026,"entièrement projeté","en partie projeté"),"observé")</f>
        <v/>
      </c>
    </row>
    <row r="496">
      <c r="A496" s="7" t="inlineStr">
        <is>
          <t>Génération silencieuse</t>
        </is>
      </c>
      <c r="B496" s="84" t="inlineStr">
        <is>
          <t>IEG</t>
        </is>
      </c>
      <c r="C496" s="7">
        <f>IF(G496&gt;=SUMIFS(Regimes!$C$5:$C$10,Regimes!$A$5:$A$10,B496),"Privé",B496)</f>
        <v/>
      </c>
      <c r="D496" s="7">
        <f>INDEX(Regimes!$D$5:$D$10,MATCH(C496,Regimes!$A$5:$A$10,0))</f>
        <v/>
      </c>
      <c r="E496" s="88" t="n">
        <v>1931</v>
      </c>
      <c r="F496" s="8">
        <f>Donnees_generations!C19</f>
        <v/>
      </c>
      <c r="G496" s="77">
        <f>Donnees_generations!D19</f>
        <v/>
      </c>
      <c r="H496" s="8">
        <f>SUMIFS(Donnees_generations!$S$3:$S$113,Donnees_generations!$A$3:$A$113,MAX(1915,MIN(2025,E496)))</f>
        <v/>
      </c>
      <c r="I496" s="8">
        <f>SUMIFS(Donnees_generations!$T$3:$T$113,Donnees_generations!$A$3:$A$113,MAX(1915,MIN(2025,E496)))</f>
        <v/>
      </c>
      <c r="J496" s="8">
        <f>IF(G496&gt;=2000,MAX(I496,Parametres!$B$3),I496)</f>
        <v/>
      </c>
      <c r="K496" s="8">
        <f>IF(C496="Privé",J496,SUMIFS(Regles_regimes!$J$3:$J$2000,Regles_regimes!$A$3:$A$2000,C496,Regles_regimes!$B$3:$B$2000,D496,Regles_regimes!$C$3:$C$2000,MAX(1915,MIN(2025,E496))))</f>
        <v/>
      </c>
      <c r="L496" s="8">
        <f>IF(C496="Privé",H496,(K496-F496)*H496/(J496-F496))</f>
        <v/>
      </c>
      <c r="M496" s="77">
        <f>INT(E496+K496)</f>
        <v/>
      </c>
      <c r="N496" s="77">
        <f>G496+ROUNDUP(L496,0)-1</f>
        <v/>
      </c>
      <c r="O496" s="89">
        <f>SUMIFS(Regles_regimes!$K$3:$K$2000,Regles_regimes!$A$3:$A$2000,C496,Regles_regimes!$B$3:$B$2000,D496,Regles_regimes!$C$3:$C$2000,MAX(1915,MIN(2025,E496)))</f>
        <v/>
      </c>
      <c r="P496" s="13">
        <f>SUMIFS(Donnees_annuelles!$W$3:$W$188,Donnees_annuelles!$A$3:$A$188,"&gt;="&amp;G496,Donnees_annuelles!$A$3:$A$188,"&lt;="&amp;N496)*L496/ROUNDUP(L496,0)*O496</f>
        <v/>
      </c>
      <c r="Q496" s="13">
        <f>SUMIFS(Donnees_annuelles!$V$3:$V$188,Donnees_annuelles!$A$3:$A$188,"&gt;="&amp;G496,Donnees_annuelles!$A$3:$A$188,"&lt;="&amp;N496)*L496/ROUNDUP(L496,0)</f>
        <v/>
      </c>
      <c r="R496" s="13">
        <f>P496/L496</f>
        <v/>
      </c>
      <c r="S496" s="14">
        <f>SUMIFS(Donnees_annuelles!$D$3:$D$188,Donnees_annuelles!$A$3:$A$188,"&gt;="&amp;G496,Donnees_annuelles!$A$3:$A$188,"&lt;="&amp;N496)*L496/ROUNDUP(L496,0)</f>
        <v/>
      </c>
      <c r="T496" s="14">
        <f>SUMIFS(Donnees_regimes!$N$3:$N$1118,Donnees_regimes!$A$3:$A$1118,C496,Donnees_regimes!$B$3:$B$1118,"&gt;="&amp;G496,Donnees_regimes!$B$3:$B$1118,"&lt;="&amp;N496)*L496/ROUNDUP(L496,0)</f>
        <v/>
      </c>
      <c r="U496" s="14">
        <f>SUMIFS(Donnees_regimes!$O$3:$O$1118,Donnees_regimes!$A$3:$A$1118,C496,Donnees_regimes!$B$3:$B$1118,"&gt;="&amp;G496,Donnees_regimes!$B$3:$B$1118,"&lt;="&amp;N496)*L496/ROUNDUP(L496,0)</f>
        <v/>
      </c>
      <c r="V496" s="14">
        <f>T496+U496</f>
        <v/>
      </c>
      <c r="W496" s="33">
        <f>V496/S496</f>
        <v/>
      </c>
      <c r="X496" s="14">
        <f>S496+U496</f>
        <v/>
      </c>
      <c r="Y496" s="17">
        <f>V496/P496</f>
        <v/>
      </c>
      <c r="Z496" s="14">
        <f>SUMIFS(Donnees_regimes!$Q$3:$Q$1118,Donnees_regimes!$A$3:$A$1118,C496,Donnees_regimes!$B$3:$B$1118,"&gt;="&amp;G496,Donnees_regimes!$B$3:$B$1118,"&lt;="&amp;N496)*L496/ROUNDUP(L496,0)</f>
        <v/>
      </c>
      <c r="AA496" s="77">
        <f>SUMIFS(Regles_regimes!$F$3:$F$2000,Regles_regimes!$A$3:$A$2000,C496,Regles_regimes!$B$3:$B$2000,D496,Regles_regimes!$C$3:$C$2000,MAX(1915,MIN(2025,E496)))</f>
        <v/>
      </c>
      <c r="AB496" s="77">
        <f>IF(AND(SUMIFS(Regles_regimes!$L$3:$L$2000,Regles_regimes!$A$3:$A$2000,C496,Regles_regimes!$B$3:$B$2000,D496,Regles_regimes!$C$3:$C$2000,MAX(1915,MIN(2025,E496)))=1,G496&lt;2009,C496&lt;&gt;"Privé"),MIN(20,L496*4/5),0)</f>
        <v/>
      </c>
      <c r="AC496" s="89">
        <f>SUMIFS(Donnees_regimes!$M$3:$M$1118,Donnees_regimes!$A$3:$A$1118,C496,Donnees_regimes!$B$3:$B$1118,M496)</f>
        <v/>
      </c>
      <c r="AD496" s="14">
        <f>SUMIFS(Donnees_annuelles!$Y$3:$Y$188,Donnees_annuelles!$A$3:$A$188,M496)*SUMIFS(Donnees_generations!$I$3:$I$113,Donnees_generations!$A$3:$A$113,MAX(1915,MIN(2025,E496)))/H496</f>
        <v/>
      </c>
      <c r="AE496" s="14">
        <f>IF(C496="Privé",SUMIFS(Donnees_annuelles!$Y$3:$Y$188,Donnees_annuelles!$A$3:$A$188,M496)*MIN(L496,SUMIFS(Donnees_generations!$I$3:$I$113,Donnees_generations!$A$3:$A$113,MAX(1915,MIN(2025,E496))))/L496,AD496*AC496*MIN(IF(AB496&gt;0,0.8/0.75,1),(L496*4+AB496)/AA496))</f>
        <v/>
      </c>
      <c r="AF496" s="14">
        <f>AE496/12</f>
        <v/>
      </c>
      <c r="AG496" s="77">
        <f>MIN(68,MAX(56,2*INT(K496/2)))</f>
        <v/>
      </c>
      <c r="AH496" s="75">
        <f>(CHOOSE((AG496-56)/2+1,SUMIFS(Donnees_generations!$U$3:$U$113,Donnees_generations!$A$3:$A$113,MAX(1915,MIN(2025,E496))),SUMIFS(Donnees_generations!$V$3:$V$113,Donnees_generations!$A$3:$A$113,MAX(1915,MIN(2025,E496))),SUMIFS(Donnees_generations!$W$3:$W$113,Donnees_generations!$A$3:$A$113,MAX(1915,MIN(2025,E496))),SUMIFS(Donnees_generations!$X$3:$X$113,Donnees_generations!$A$3:$A$113,MAX(1915,MIN(2025,E496))),SUMIFS(Donnees_generations!$Y$3:$Y$113,Donnees_generations!$A$3:$A$113,MAX(1915,MIN(2025,E496))),SUMIFS(Donnees_generations!$Z$3:$Z$113,Donnees_generations!$A$3:$A$113,MAX(1915,MIN(2025,E496))),SUMIFS(Donnees_generations!$AA$3:$AA$113,Donnees_generations!$A$3:$A$113,MAX(1915,MIN(2025,E496))),SUMIFS(Donnees_generations!$AB$3:$AB$113,Donnees_generations!$A$3:$A$113,MAX(1915,MIN(2025,E496))))+CHOOSE((AG496-56)/2+1,SUMIFS(Donnees_generations!$AC$3:$AC$113,Donnees_generations!$A$3:$A$113,MAX(1915,MIN(2025,E496))),SUMIFS(Donnees_generations!$AD$3:$AD$113,Donnees_generations!$A$3:$A$113,MAX(1915,MIN(2025,E496))),SUMIFS(Donnees_generations!$AE$3:$AE$113,Donnees_generations!$A$3:$A$113,MAX(1915,MIN(2025,E496))),SUMIFS(Donnees_generations!$AF$3:$AF$113,Donnees_generations!$A$3:$A$113,MAX(1915,MIN(2025,E496))),SUMIFS(Donnees_generations!$AG$3:$AG$113,Donnees_generations!$A$3:$A$113,MAX(1915,MIN(2025,E496))),SUMIFS(Donnees_generations!$AH$3:$AH$113,Donnees_generations!$A$3:$A$113,MAX(1915,MIN(2025,E496))),SUMIFS(Donnees_generations!$AI$3:$AI$113,Donnees_generations!$A$3:$A$113,MAX(1915,MIN(2025,E496))),SUMIFS(Donnees_generations!$AJ$3:$AJ$113,Donnees_generations!$A$3:$A$113,MAX(1915,MIN(2025,E496)))))/2</f>
        <v/>
      </c>
      <c r="AI496" s="75">
        <f>(CHOOSE(((AG496+2)-56)/2+1,SUMIFS(Donnees_generations!$U$3:$U$113,Donnees_generations!$A$3:$A$113,MAX(1915,MIN(2025,E496))),SUMIFS(Donnees_generations!$V$3:$V$113,Donnees_generations!$A$3:$A$113,MAX(1915,MIN(2025,E496))),SUMIFS(Donnees_generations!$W$3:$W$113,Donnees_generations!$A$3:$A$113,MAX(1915,MIN(2025,E496))),SUMIFS(Donnees_generations!$X$3:$X$113,Donnees_generations!$A$3:$A$113,MAX(1915,MIN(2025,E496))),SUMIFS(Donnees_generations!$Y$3:$Y$113,Donnees_generations!$A$3:$A$113,MAX(1915,MIN(2025,E496))),SUMIFS(Donnees_generations!$Z$3:$Z$113,Donnees_generations!$A$3:$A$113,MAX(1915,MIN(2025,E496))),SUMIFS(Donnees_generations!$AA$3:$AA$113,Donnees_generations!$A$3:$A$113,MAX(1915,MIN(2025,E496))),SUMIFS(Donnees_generations!$AB$3:$AB$113,Donnees_generations!$A$3:$A$113,MAX(1915,MIN(2025,E496))))+CHOOSE(((AG496+2)-56)/2+1,SUMIFS(Donnees_generations!$AC$3:$AC$113,Donnees_generations!$A$3:$A$113,MAX(1915,MIN(2025,E496))),SUMIFS(Donnees_generations!$AD$3:$AD$113,Donnees_generations!$A$3:$A$113,MAX(1915,MIN(2025,E496))),SUMIFS(Donnees_generations!$AE$3:$AE$113,Donnees_generations!$A$3:$A$113,MAX(1915,MIN(2025,E496))),SUMIFS(Donnees_generations!$AF$3:$AF$113,Donnees_generations!$A$3:$A$113,MAX(1915,MIN(2025,E496))),SUMIFS(Donnees_generations!$AG$3:$AG$113,Donnees_generations!$A$3:$A$113,MAX(1915,MIN(2025,E496))),SUMIFS(Donnees_generations!$AH$3:$AH$113,Donnees_generations!$A$3:$A$113,MAX(1915,MIN(2025,E496))),SUMIFS(Donnees_generations!$AI$3:$AI$113,Donnees_generations!$A$3:$A$113,MAX(1915,MIN(2025,E496))),SUMIFS(Donnees_generations!$AJ$3:$AJ$113,Donnees_generations!$A$3:$A$113,MAX(1915,MIN(2025,E496)))))/2</f>
        <v/>
      </c>
      <c r="AJ496" s="8">
        <f>MAX(0,AH496+(AI496-AH496)*(K496-AG496)/2)</f>
        <v/>
      </c>
      <c r="AK496" s="8">
        <f>K496+AJ496</f>
        <v/>
      </c>
      <c r="AL496" s="14">
        <f>AE496*AJ496</f>
        <v/>
      </c>
      <c r="AM496" s="17">
        <f>V496/AL496</f>
        <v/>
      </c>
      <c r="AN496" s="17">
        <f>Z496/AL496</f>
        <v/>
      </c>
      <c r="AO496" s="33">
        <f>IF(V496+Z496=0,0,Z496/(V496+Z496))</f>
        <v/>
      </c>
      <c r="AP496" s="14">
        <f>AL496/V496*100</f>
        <v/>
      </c>
      <c r="AQ496" s="8">
        <f>P496/AL496*1000</f>
        <v/>
      </c>
      <c r="AR496" s="77">
        <f>MAX(N496,M496-1)</f>
        <v/>
      </c>
      <c r="AS496" s="14">
        <f>SUMIFS(Donnees_regimes!$R$3:$R$1118,Donnees_regimes!$A$3:$A$1118,C496,Donnees_regimes!$B$3:$B$1118,"&gt;="&amp;G496,Donnees_regimes!$B$3:$B$1118,"&lt;="&amp;N496)*L496/ROUNDUP(L496,0)*SUMIFS(Donnees_annuelles!$AG$3:$AG$188,Donnees_annuelles!$A$3:$A$188,AR496)*SUMIFS(Donnees_annuelles!$AA$3:$AA$188,Donnees_annuelles!$A$3:$A$188,AR496)</f>
        <v/>
      </c>
      <c r="AT496" s="36">
        <f>AS496/V496</f>
        <v/>
      </c>
      <c r="AU496" s="14">
        <f>AL496</f>
        <v/>
      </c>
      <c r="AV496" s="39">
        <f>AS496-AL496</f>
        <v/>
      </c>
      <c r="AW496" s="9">
        <f>AS496/AL496-1</f>
        <v/>
      </c>
      <c r="AX496" s="14">
        <f>AS496/AJ496/12</f>
        <v/>
      </c>
      <c r="AY496" s="14">
        <f>AF496</f>
        <v/>
      </c>
      <c r="AZ496" s="39">
        <f>AX496-AF496</f>
        <v/>
      </c>
      <c r="BA496" s="14">
        <f>SUMIFS(Donnees_regimes!$S$3:$S$1118,Donnees_regimes!$A$3:$A$1118,C496,Donnees_regimes!$B$3:$B$1118,"&gt;="&amp;G496,Donnees_regimes!$B$3:$B$1118,"&lt;="&amp;N496)*L496/ROUNDUP(L496,0)*SUMIFS(Donnees_annuelles!$AH$3:$AH$188,Donnees_annuelles!$A$3:$A$188,AR496)*SUMIFS(Donnees_annuelles!$AA$3:$AA$188,Donnees_annuelles!$A$3:$A$188,AR496)</f>
        <v/>
      </c>
      <c r="BB496" s="39">
        <f>BA496-AL496</f>
        <v/>
      </c>
      <c r="BC496" s="7">
        <f>IF(M496+AJ496&gt;2026,IF(G496&gt;2026,"entièrement projeté","en partie projeté"),"observé")</f>
        <v/>
      </c>
    </row>
    <row r="497">
      <c r="A497" s="7" t="inlineStr">
        <is>
          <t>Génération silencieuse</t>
        </is>
      </c>
      <c r="B497" s="84" t="inlineStr">
        <is>
          <t>IEG</t>
        </is>
      </c>
      <c r="C497" s="7">
        <f>IF(G497&gt;=SUMIFS(Regimes!$C$5:$C$10,Regimes!$A$5:$A$10,B497),"Privé",B497)</f>
        <v/>
      </c>
      <c r="D497" s="7">
        <f>INDEX(Regimes!$D$5:$D$10,MATCH(C497,Regimes!$A$5:$A$10,0))</f>
        <v/>
      </c>
      <c r="E497" s="88" t="n">
        <v>1932</v>
      </c>
      <c r="F497" s="8">
        <f>Donnees_generations!C20</f>
        <v/>
      </c>
      <c r="G497" s="77">
        <f>Donnees_generations!D20</f>
        <v/>
      </c>
      <c r="H497" s="8">
        <f>SUMIFS(Donnees_generations!$S$3:$S$113,Donnees_generations!$A$3:$A$113,MAX(1915,MIN(2025,E497)))</f>
        <v/>
      </c>
      <c r="I497" s="8">
        <f>SUMIFS(Donnees_generations!$T$3:$T$113,Donnees_generations!$A$3:$A$113,MAX(1915,MIN(2025,E497)))</f>
        <v/>
      </c>
      <c r="J497" s="8">
        <f>IF(G497&gt;=2000,MAX(I497,Parametres!$B$3),I497)</f>
        <v/>
      </c>
      <c r="K497" s="8">
        <f>IF(C497="Privé",J497,SUMIFS(Regles_regimes!$J$3:$J$2000,Regles_regimes!$A$3:$A$2000,C497,Regles_regimes!$B$3:$B$2000,D497,Regles_regimes!$C$3:$C$2000,MAX(1915,MIN(2025,E497))))</f>
        <v/>
      </c>
      <c r="L497" s="8">
        <f>IF(C497="Privé",H497,(K497-F497)*H497/(J497-F497))</f>
        <v/>
      </c>
      <c r="M497" s="77">
        <f>INT(E497+K497)</f>
        <v/>
      </c>
      <c r="N497" s="77">
        <f>G497+ROUNDUP(L497,0)-1</f>
        <v/>
      </c>
      <c r="O497" s="89">
        <f>SUMIFS(Regles_regimes!$K$3:$K$2000,Regles_regimes!$A$3:$A$2000,C497,Regles_regimes!$B$3:$B$2000,D497,Regles_regimes!$C$3:$C$2000,MAX(1915,MIN(2025,E497)))</f>
        <v/>
      </c>
      <c r="P497" s="13">
        <f>SUMIFS(Donnees_annuelles!$W$3:$W$188,Donnees_annuelles!$A$3:$A$188,"&gt;="&amp;G497,Donnees_annuelles!$A$3:$A$188,"&lt;="&amp;N497)*L497/ROUNDUP(L497,0)*O497</f>
        <v/>
      </c>
      <c r="Q497" s="13">
        <f>SUMIFS(Donnees_annuelles!$V$3:$V$188,Donnees_annuelles!$A$3:$A$188,"&gt;="&amp;G497,Donnees_annuelles!$A$3:$A$188,"&lt;="&amp;N497)*L497/ROUNDUP(L497,0)</f>
        <v/>
      </c>
      <c r="R497" s="13">
        <f>P497/L497</f>
        <v/>
      </c>
      <c r="S497" s="14">
        <f>SUMIFS(Donnees_annuelles!$D$3:$D$188,Donnees_annuelles!$A$3:$A$188,"&gt;="&amp;G497,Donnees_annuelles!$A$3:$A$188,"&lt;="&amp;N497)*L497/ROUNDUP(L497,0)</f>
        <v/>
      </c>
      <c r="T497" s="14">
        <f>SUMIFS(Donnees_regimes!$N$3:$N$1118,Donnees_regimes!$A$3:$A$1118,C497,Donnees_regimes!$B$3:$B$1118,"&gt;="&amp;G497,Donnees_regimes!$B$3:$B$1118,"&lt;="&amp;N497)*L497/ROUNDUP(L497,0)</f>
        <v/>
      </c>
      <c r="U497" s="14">
        <f>SUMIFS(Donnees_regimes!$O$3:$O$1118,Donnees_regimes!$A$3:$A$1118,C497,Donnees_regimes!$B$3:$B$1118,"&gt;="&amp;G497,Donnees_regimes!$B$3:$B$1118,"&lt;="&amp;N497)*L497/ROUNDUP(L497,0)</f>
        <v/>
      </c>
      <c r="V497" s="14">
        <f>T497+U497</f>
        <v/>
      </c>
      <c r="W497" s="33">
        <f>V497/S497</f>
        <v/>
      </c>
      <c r="X497" s="14">
        <f>S497+U497</f>
        <v/>
      </c>
      <c r="Y497" s="17">
        <f>V497/P497</f>
        <v/>
      </c>
      <c r="Z497" s="14">
        <f>SUMIFS(Donnees_regimes!$Q$3:$Q$1118,Donnees_regimes!$A$3:$A$1118,C497,Donnees_regimes!$B$3:$B$1118,"&gt;="&amp;G497,Donnees_regimes!$B$3:$B$1118,"&lt;="&amp;N497)*L497/ROUNDUP(L497,0)</f>
        <v/>
      </c>
      <c r="AA497" s="77">
        <f>SUMIFS(Regles_regimes!$F$3:$F$2000,Regles_regimes!$A$3:$A$2000,C497,Regles_regimes!$B$3:$B$2000,D497,Regles_regimes!$C$3:$C$2000,MAX(1915,MIN(2025,E497)))</f>
        <v/>
      </c>
      <c r="AB497" s="77">
        <f>IF(AND(SUMIFS(Regles_regimes!$L$3:$L$2000,Regles_regimes!$A$3:$A$2000,C497,Regles_regimes!$B$3:$B$2000,D497,Regles_regimes!$C$3:$C$2000,MAX(1915,MIN(2025,E497)))=1,G497&lt;2009,C497&lt;&gt;"Privé"),MIN(20,L497*4/5),0)</f>
        <v/>
      </c>
      <c r="AC497" s="89">
        <f>SUMIFS(Donnees_regimes!$M$3:$M$1118,Donnees_regimes!$A$3:$A$1118,C497,Donnees_regimes!$B$3:$B$1118,M497)</f>
        <v/>
      </c>
      <c r="AD497" s="14">
        <f>SUMIFS(Donnees_annuelles!$Y$3:$Y$188,Donnees_annuelles!$A$3:$A$188,M497)*SUMIFS(Donnees_generations!$I$3:$I$113,Donnees_generations!$A$3:$A$113,MAX(1915,MIN(2025,E497)))/H497</f>
        <v/>
      </c>
      <c r="AE497" s="14">
        <f>IF(C497="Privé",SUMIFS(Donnees_annuelles!$Y$3:$Y$188,Donnees_annuelles!$A$3:$A$188,M497)*MIN(L497,SUMIFS(Donnees_generations!$I$3:$I$113,Donnees_generations!$A$3:$A$113,MAX(1915,MIN(2025,E497))))/L497,AD497*AC497*MIN(IF(AB497&gt;0,0.8/0.75,1),(L497*4+AB497)/AA497))</f>
        <v/>
      </c>
      <c r="AF497" s="14">
        <f>AE497/12</f>
        <v/>
      </c>
      <c r="AG497" s="77">
        <f>MIN(68,MAX(56,2*INT(K497/2)))</f>
        <v/>
      </c>
      <c r="AH497" s="75">
        <f>(CHOOSE((AG497-56)/2+1,SUMIFS(Donnees_generations!$U$3:$U$113,Donnees_generations!$A$3:$A$113,MAX(1915,MIN(2025,E497))),SUMIFS(Donnees_generations!$V$3:$V$113,Donnees_generations!$A$3:$A$113,MAX(1915,MIN(2025,E497))),SUMIFS(Donnees_generations!$W$3:$W$113,Donnees_generations!$A$3:$A$113,MAX(1915,MIN(2025,E497))),SUMIFS(Donnees_generations!$X$3:$X$113,Donnees_generations!$A$3:$A$113,MAX(1915,MIN(2025,E497))),SUMIFS(Donnees_generations!$Y$3:$Y$113,Donnees_generations!$A$3:$A$113,MAX(1915,MIN(2025,E497))),SUMIFS(Donnees_generations!$Z$3:$Z$113,Donnees_generations!$A$3:$A$113,MAX(1915,MIN(2025,E497))),SUMIFS(Donnees_generations!$AA$3:$AA$113,Donnees_generations!$A$3:$A$113,MAX(1915,MIN(2025,E497))),SUMIFS(Donnees_generations!$AB$3:$AB$113,Donnees_generations!$A$3:$A$113,MAX(1915,MIN(2025,E497))))+CHOOSE((AG497-56)/2+1,SUMIFS(Donnees_generations!$AC$3:$AC$113,Donnees_generations!$A$3:$A$113,MAX(1915,MIN(2025,E497))),SUMIFS(Donnees_generations!$AD$3:$AD$113,Donnees_generations!$A$3:$A$113,MAX(1915,MIN(2025,E497))),SUMIFS(Donnees_generations!$AE$3:$AE$113,Donnees_generations!$A$3:$A$113,MAX(1915,MIN(2025,E497))),SUMIFS(Donnees_generations!$AF$3:$AF$113,Donnees_generations!$A$3:$A$113,MAX(1915,MIN(2025,E497))),SUMIFS(Donnees_generations!$AG$3:$AG$113,Donnees_generations!$A$3:$A$113,MAX(1915,MIN(2025,E497))),SUMIFS(Donnees_generations!$AH$3:$AH$113,Donnees_generations!$A$3:$A$113,MAX(1915,MIN(2025,E497))),SUMIFS(Donnees_generations!$AI$3:$AI$113,Donnees_generations!$A$3:$A$113,MAX(1915,MIN(2025,E497))),SUMIFS(Donnees_generations!$AJ$3:$AJ$113,Donnees_generations!$A$3:$A$113,MAX(1915,MIN(2025,E497)))))/2</f>
        <v/>
      </c>
      <c r="AI497" s="75">
        <f>(CHOOSE(((AG497+2)-56)/2+1,SUMIFS(Donnees_generations!$U$3:$U$113,Donnees_generations!$A$3:$A$113,MAX(1915,MIN(2025,E497))),SUMIFS(Donnees_generations!$V$3:$V$113,Donnees_generations!$A$3:$A$113,MAX(1915,MIN(2025,E497))),SUMIFS(Donnees_generations!$W$3:$W$113,Donnees_generations!$A$3:$A$113,MAX(1915,MIN(2025,E497))),SUMIFS(Donnees_generations!$X$3:$X$113,Donnees_generations!$A$3:$A$113,MAX(1915,MIN(2025,E497))),SUMIFS(Donnees_generations!$Y$3:$Y$113,Donnees_generations!$A$3:$A$113,MAX(1915,MIN(2025,E497))),SUMIFS(Donnees_generations!$Z$3:$Z$113,Donnees_generations!$A$3:$A$113,MAX(1915,MIN(2025,E497))),SUMIFS(Donnees_generations!$AA$3:$AA$113,Donnees_generations!$A$3:$A$113,MAX(1915,MIN(2025,E497))),SUMIFS(Donnees_generations!$AB$3:$AB$113,Donnees_generations!$A$3:$A$113,MAX(1915,MIN(2025,E497))))+CHOOSE(((AG497+2)-56)/2+1,SUMIFS(Donnees_generations!$AC$3:$AC$113,Donnees_generations!$A$3:$A$113,MAX(1915,MIN(2025,E497))),SUMIFS(Donnees_generations!$AD$3:$AD$113,Donnees_generations!$A$3:$A$113,MAX(1915,MIN(2025,E497))),SUMIFS(Donnees_generations!$AE$3:$AE$113,Donnees_generations!$A$3:$A$113,MAX(1915,MIN(2025,E497))),SUMIFS(Donnees_generations!$AF$3:$AF$113,Donnees_generations!$A$3:$A$113,MAX(1915,MIN(2025,E497))),SUMIFS(Donnees_generations!$AG$3:$AG$113,Donnees_generations!$A$3:$A$113,MAX(1915,MIN(2025,E497))),SUMIFS(Donnees_generations!$AH$3:$AH$113,Donnees_generations!$A$3:$A$113,MAX(1915,MIN(2025,E497))),SUMIFS(Donnees_generations!$AI$3:$AI$113,Donnees_generations!$A$3:$A$113,MAX(1915,MIN(2025,E497))),SUMIFS(Donnees_generations!$AJ$3:$AJ$113,Donnees_generations!$A$3:$A$113,MAX(1915,MIN(2025,E497)))))/2</f>
        <v/>
      </c>
      <c r="AJ497" s="8">
        <f>MAX(0,AH497+(AI497-AH497)*(K497-AG497)/2)</f>
        <v/>
      </c>
      <c r="AK497" s="8">
        <f>K497+AJ497</f>
        <v/>
      </c>
      <c r="AL497" s="14">
        <f>AE497*AJ497</f>
        <v/>
      </c>
      <c r="AM497" s="17">
        <f>V497/AL497</f>
        <v/>
      </c>
      <c r="AN497" s="17">
        <f>Z497/AL497</f>
        <v/>
      </c>
      <c r="AO497" s="33">
        <f>IF(V497+Z497=0,0,Z497/(V497+Z497))</f>
        <v/>
      </c>
      <c r="AP497" s="14">
        <f>AL497/V497*100</f>
        <v/>
      </c>
      <c r="AQ497" s="8">
        <f>P497/AL497*1000</f>
        <v/>
      </c>
      <c r="AR497" s="77">
        <f>MAX(N497,M497-1)</f>
        <v/>
      </c>
      <c r="AS497" s="14">
        <f>SUMIFS(Donnees_regimes!$R$3:$R$1118,Donnees_regimes!$A$3:$A$1118,C497,Donnees_regimes!$B$3:$B$1118,"&gt;="&amp;G497,Donnees_regimes!$B$3:$B$1118,"&lt;="&amp;N497)*L497/ROUNDUP(L497,0)*SUMIFS(Donnees_annuelles!$AG$3:$AG$188,Donnees_annuelles!$A$3:$A$188,AR497)*SUMIFS(Donnees_annuelles!$AA$3:$AA$188,Donnees_annuelles!$A$3:$A$188,AR497)</f>
        <v/>
      </c>
      <c r="AT497" s="36">
        <f>AS497/V497</f>
        <v/>
      </c>
      <c r="AU497" s="14">
        <f>AL497</f>
        <v/>
      </c>
      <c r="AV497" s="39">
        <f>AS497-AL497</f>
        <v/>
      </c>
      <c r="AW497" s="9">
        <f>AS497/AL497-1</f>
        <v/>
      </c>
      <c r="AX497" s="14">
        <f>AS497/AJ497/12</f>
        <v/>
      </c>
      <c r="AY497" s="14">
        <f>AF497</f>
        <v/>
      </c>
      <c r="AZ497" s="39">
        <f>AX497-AF497</f>
        <v/>
      </c>
      <c r="BA497" s="14">
        <f>SUMIFS(Donnees_regimes!$S$3:$S$1118,Donnees_regimes!$A$3:$A$1118,C497,Donnees_regimes!$B$3:$B$1118,"&gt;="&amp;G497,Donnees_regimes!$B$3:$B$1118,"&lt;="&amp;N497)*L497/ROUNDUP(L497,0)*SUMIFS(Donnees_annuelles!$AH$3:$AH$188,Donnees_annuelles!$A$3:$A$188,AR497)*SUMIFS(Donnees_annuelles!$AA$3:$AA$188,Donnees_annuelles!$A$3:$A$188,AR497)</f>
        <v/>
      </c>
      <c r="BB497" s="39">
        <f>BA497-AL497</f>
        <v/>
      </c>
      <c r="BC497" s="7">
        <f>IF(M497+AJ497&gt;2026,IF(G497&gt;2026,"entièrement projeté","en partie projeté"),"observé")</f>
        <v/>
      </c>
    </row>
    <row r="498">
      <c r="A498" s="7" t="inlineStr">
        <is>
          <t>Génération silencieuse</t>
        </is>
      </c>
      <c r="B498" s="84" t="inlineStr">
        <is>
          <t>IEG</t>
        </is>
      </c>
      <c r="C498" s="7">
        <f>IF(G498&gt;=SUMIFS(Regimes!$C$5:$C$10,Regimes!$A$5:$A$10,B498),"Privé",B498)</f>
        <v/>
      </c>
      <c r="D498" s="7">
        <f>INDEX(Regimes!$D$5:$D$10,MATCH(C498,Regimes!$A$5:$A$10,0))</f>
        <v/>
      </c>
      <c r="E498" s="88" t="n">
        <v>1933</v>
      </c>
      <c r="F498" s="8">
        <f>Donnees_generations!C21</f>
        <v/>
      </c>
      <c r="G498" s="77">
        <f>Donnees_generations!D21</f>
        <v/>
      </c>
      <c r="H498" s="8">
        <f>SUMIFS(Donnees_generations!$S$3:$S$113,Donnees_generations!$A$3:$A$113,MAX(1915,MIN(2025,E498)))</f>
        <v/>
      </c>
      <c r="I498" s="8">
        <f>SUMIFS(Donnees_generations!$T$3:$T$113,Donnees_generations!$A$3:$A$113,MAX(1915,MIN(2025,E498)))</f>
        <v/>
      </c>
      <c r="J498" s="8">
        <f>IF(G498&gt;=2000,MAX(I498,Parametres!$B$3),I498)</f>
        <v/>
      </c>
      <c r="K498" s="8">
        <f>IF(C498="Privé",J498,SUMIFS(Regles_regimes!$J$3:$J$2000,Regles_regimes!$A$3:$A$2000,C498,Regles_regimes!$B$3:$B$2000,D498,Regles_regimes!$C$3:$C$2000,MAX(1915,MIN(2025,E498))))</f>
        <v/>
      </c>
      <c r="L498" s="8">
        <f>IF(C498="Privé",H498,(K498-F498)*H498/(J498-F498))</f>
        <v/>
      </c>
      <c r="M498" s="77">
        <f>INT(E498+K498)</f>
        <v/>
      </c>
      <c r="N498" s="77">
        <f>G498+ROUNDUP(L498,0)-1</f>
        <v/>
      </c>
      <c r="O498" s="89">
        <f>SUMIFS(Regles_regimes!$K$3:$K$2000,Regles_regimes!$A$3:$A$2000,C498,Regles_regimes!$B$3:$B$2000,D498,Regles_regimes!$C$3:$C$2000,MAX(1915,MIN(2025,E498)))</f>
        <v/>
      </c>
      <c r="P498" s="13">
        <f>SUMIFS(Donnees_annuelles!$W$3:$W$188,Donnees_annuelles!$A$3:$A$188,"&gt;="&amp;G498,Donnees_annuelles!$A$3:$A$188,"&lt;="&amp;N498)*L498/ROUNDUP(L498,0)*O498</f>
        <v/>
      </c>
      <c r="Q498" s="13">
        <f>SUMIFS(Donnees_annuelles!$V$3:$V$188,Donnees_annuelles!$A$3:$A$188,"&gt;="&amp;G498,Donnees_annuelles!$A$3:$A$188,"&lt;="&amp;N498)*L498/ROUNDUP(L498,0)</f>
        <v/>
      </c>
      <c r="R498" s="13">
        <f>P498/L498</f>
        <v/>
      </c>
      <c r="S498" s="14">
        <f>SUMIFS(Donnees_annuelles!$D$3:$D$188,Donnees_annuelles!$A$3:$A$188,"&gt;="&amp;G498,Donnees_annuelles!$A$3:$A$188,"&lt;="&amp;N498)*L498/ROUNDUP(L498,0)</f>
        <v/>
      </c>
      <c r="T498" s="14">
        <f>SUMIFS(Donnees_regimes!$N$3:$N$1118,Donnees_regimes!$A$3:$A$1118,C498,Donnees_regimes!$B$3:$B$1118,"&gt;="&amp;G498,Donnees_regimes!$B$3:$B$1118,"&lt;="&amp;N498)*L498/ROUNDUP(L498,0)</f>
        <v/>
      </c>
      <c r="U498" s="14">
        <f>SUMIFS(Donnees_regimes!$O$3:$O$1118,Donnees_regimes!$A$3:$A$1118,C498,Donnees_regimes!$B$3:$B$1118,"&gt;="&amp;G498,Donnees_regimes!$B$3:$B$1118,"&lt;="&amp;N498)*L498/ROUNDUP(L498,0)</f>
        <v/>
      </c>
      <c r="V498" s="14">
        <f>T498+U498</f>
        <v/>
      </c>
      <c r="W498" s="33">
        <f>V498/S498</f>
        <v/>
      </c>
      <c r="X498" s="14">
        <f>S498+U498</f>
        <v/>
      </c>
      <c r="Y498" s="17">
        <f>V498/P498</f>
        <v/>
      </c>
      <c r="Z498" s="14">
        <f>SUMIFS(Donnees_regimes!$Q$3:$Q$1118,Donnees_regimes!$A$3:$A$1118,C498,Donnees_regimes!$B$3:$B$1118,"&gt;="&amp;G498,Donnees_regimes!$B$3:$B$1118,"&lt;="&amp;N498)*L498/ROUNDUP(L498,0)</f>
        <v/>
      </c>
      <c r="AA498" s="77">
        <f>SUMIFS(Regles_regimes!$F$3:$F$2000,Regles_regimes!$A$3:$A$2000,C498,Regles_regimes!$B$3:$B$2000,D498,Regles_regimes!$C$3:$C$2000,MAX(1915,MIN(2025,E498)))</f>
        <v/>
      </c>
      <c r="AB498" s="77">
        <f>IF(AND(SUMIFS(Regles_regimes!$L$3:$L$2000,Regles_regimes!$A$3:$A$2000,C498,Regles_regimes!$B$3:$B$2000,D498,Regles_regimes!$C$3:$C$2000,MAX(1915,MIN(2025,E498)))=1,G498&lt;2009,C498&lt;&gt;"Privé"),MIN(20,L498*4/5),0)</f>
        <v/>
      </c>
      <c r="AC498" s="89">
        <f>SUMIFS(Donnees_regimes!$M$3:$M$1118,Donnees_regimes!$A$3:$A$1118,C498,Donnees_regimes!$B$3:$B$1118,M498)</f>
        <v/>
      </c>
      <c r="AD498" s="14">
        <f>SUMIFS(Donnees_annuelles!$Y$3:$Y$188,Donnees_annuelles!$A$3:$A$188,M498)*SUMIFS(Donnees_generations!$I$3:$I$113,Donnees_generations!$A$3:$A$113,MAX(1915,MIN(2025,E498)))/H498</f>
        <v/>
      </c>
      <c r="AE498" s="14">
        <f>IF(C498="Privé",SUMIFS(Donnees_annuelles!$Y$3:$Y$188,Donnees_annuelles!$A$3:$A$188,M498)*MIN(L498,SUMIFS(Donnees_generations!$I$3:$I$113,Donnees_generations!$A$3:$A$113,MAX(1915,MIN(2025,E498))))/L498,AD498*AC498*MIN(IF(AB498&gt;0,0.8/0.75,1),(L498*4+AB498)/AA498))</f>
        <v/>
      </c>
      <c r="AF498" s="14">
        <f>AE498/12</f>
        <v/>
      </c>
      <c r="AG498" s="77">
        <f>MIN(68,MAX(56,2*INT(K498/2)))</f>
        <v/>
      </c>
      <c r="AH498" s="75">
        <f>(CHOOSE((AG498-56)/2+1,SUMIFS(Donnees_generations!$U$3:$U$113,Donnees_generations!$A$3:$A$113,MAX(1915,MIN(2025,E498))),SUMIFS(Donnees_generations!$V$3:$V$113,Donnees_generations!$A$3:$A$113,MAX(1915,MIN(2025,E498))),SUMIFS(Donnees_generations!$W$3:$W$113,Donnees_generations!$A$3:$A$113,MAX(1915,MIN(2025,E498))),SUMIFS(Donnees_generations!$X$3:$X$113,Donnees_generations!$A$3:$A$113,MAX(1915,MIN(2025,E498))),SUMIFS(Donnees_generations!$Y$3:$Y$113,Donnees_generations!$A$3:$A$113,MAX(1915,MIN(2025,E498))),SUMIFS(Donnees_generations!$Z$3:$Z$113,Donnees_generations!$A$3:$A$113,MAX(1915,MIN(2025,E498))),SUMIFS(Donnees_generations!$AA$3:$AA$113,Donnees_generations!$A$3:$A$113,MAX(1915,MIN(2025,E498))),SUMIFS(Donnees_generations!$AB$3:$AB$113,Donnees_generations!$A$3:$A$113,MAX(1915,MIN(2025,E498))))+CHOOSE((AG498-56)/2+1,SUMIFS(Donnees_generations!$AC$3:$AC$113,Donnees_generations!$A$3:$A$113,MAX(1915,MIN(2025,E498))),SUMIFS(Donnees_generations!$AD$3:$AD$113,Donnees_generations!$A$3:$A$113,MAX(1915,MIN(2025,E498))),SUMIFS(Donnees_generations!$AE$3:$AE$113,Donnees_generations!$A$3:$A$113,MAX(1915,MIN(2025,E498))),SUMIFS(Donnees_generations!$AF$3:$AF$113,Donnees_generations!$A$3:$A$113,MAX(1915,MIN(2025,E498))),SUMIFS(Donnees_generations!$AG$3:$AG$113,Donnees_generations!$A$3:$A$113,MAX(1915,MIN(2025,E498))),SUMIFS(Donnees_generations!$AH$3:$AH$113,Donnees_generations!$A$3:$A$113,MAX(1915,MIN(2025,E498))),SUMIFS(Donnees_generations!$AI$3:$AI$113,Donnees_generations!$A$3:$A$113,MAX(1915,MIN(2025,E498))),SUMIFS(Donnees_generations!$AJ$3:$AJ$113,Donnees_generations!$A$3:$A$113,MAX(1915,MIN(2025,E498)))))/2</f>
        <v/>
      </c>
      <c r="AI498" s="75">
        <f>(CHOOSE(((AG498+2)-56)/2+1,SUMIFS(Donnees_generations!$U$3:$U$113,Donnees_generations!$A$3:$A$113,MAX(1915,MIN(2025,E498))),SUMIFS(Donnees_generations!$V$3:$V$113,Donnees_generations!$A$3:$A$113,MAX(1915,MIN(2025,E498))),SUMIFS(Donnees_generations!$W$3:$W$113,Donnees_generations!$A$3:$A$113,MAX(1915,MIN(2025,E498))),SUMIFS(Donnees_generations!$X$3:$X$113,Donnees_generations!$A$3:$A$113,MAX(1915,MIN(2025,E498))),SUMIFS(Donnees_generations!$Y$3:$Y$113,Donnees_generations!$A$3:$A$113,MAX(1915,MIN(2025,E498))),SUMIFS(Donnees_generations!$Z$3:$Z$113,Donnees_generations!$A$3:$A$113,MAX(1915,MIN(2025,E498))),SUMIFS(Donnees_generations!$AA$3:$AA$113,Donnees_generations!$A$3:$A$113,MAX(1915,MIN(2025,E498))),SUMIFS(Donnees_generations!$AB$3:$AB$113,Donnees_generations!$A$3:$A$113,MAX(1915,MIN(2025,E498))))+CHOOSE(((AG498+2)-56)/2+1,SUMIFS(Donnees_generations!$AC$3:$AC$113,Donnees_generations!$A$3:$A$113,MAX(1915,MIN(2025,E498))),SUMIFS(Donnees_generations!$AD$3:$AD$113,Donnees_generations!$A$3:$A$113,MAX(1915,MIN(2025,E498))),SUMIFS(Donnees_generations!$AE$3:$AE$113,Donnees_generations!$A$3:$A$113,MAX(1915,MIN(2025,E498))),SUMIFS(Donnees_generations!$AF$3:$AF$113,Donnees_generations!$A$3:$A$113,MAX(1915,MIN(2025,E498))),SUMIFS(Donnees_generations!$AG$3:$AG$113,Donnees_generations!$A$3:$A$113,MAX(1915,MIN(2025,E498))),SUMIFS(Donnees_generations!$AH$3:$AH$113,Donnees_generations!$A$3:$A$113,MAX(1915,MIN(2025,E498))),SUMIFS(Donnees_generations!$AI$3:$AI$113,Donnees_generations!$A$3:$A$113,MAX(1915,MIN(2025,E498))),SUMIFS(Donnees_generations!$AJ$3:$AJ$113,Donnees_generations!$A$3:$A$113,MAX(1915,MIN(2025,E498)))))/2</f>
        <v/>
      </c>
      <c r="AJ498" s="8">
        <f>MAX(0,AH498+(AI498-AH498)*(K498-AG498)/2)</f>
        <v/>
      </c>
      <c r="AK498" s="8">
        <f>K498+AJ498</f>
        <v/>
      </c>
      <c r="AL498" s="14">
        <f>AE498*AJ498</f>
        <v/>
      </c>
      <c r="AM498" s="17">
        <f>V498/AL498</f>
        <v/>
      </c>
      <c r="AN498" s="17">
        <f>Z498/AL498</f>
        <v/>
      </c>
      <c r="AO498" s="33">
        <f>IF(V498+Z498=0,0,Z498/(V498+Z498))</f>
        <v/>
      </c>
      <c r="AP498" s="14">
        <f>AL498/V498*100</f>
        <v/>
      </c>
      <c r="AQ498" s="8">
        <f>P498/AL498*1000</f>
        <v/>
      </c>
      <c r="AR498" s="77">
        <f>MAX(N498,M498-1)</f>
        <v/>
      </c>
      <c r="AS498" s="14">
        <f>SUMIFS(Donnees_regimes!$R$3:$R$1118,Donnees_regimes!$A$3:$A$1118,C498,Donnees_regimes!$B$3:$B$1118,"&gt;="&amp;G498,Donnees_regimes!$B$3:$B$1118,"&lt;="&amp;N498)*L498/ROUNDUP(L498,0)*SUMIFS(Donnees_annuelles!$AG$3:$AG$188,Donnees_annuelles!$A$3:$A$188,AR498)*SUMIFS(Donnees_annuelles!$AA$3:$AA$188,Donnees_annuelles!$A$3:$A$188,AR498)</f>
        <v/>
      </c>
      <c r="AT498" s="36">
        <f>AS498/V498</f>
        <v/>
      </c>
      <c r="AU498" s="14">
        <f>AL498</f>
        <v/>
      </c>
      <c r="AV498" s="39">
        <f>AS498-AL498</f>
        <v/>
      </c>
      <c r="AW498" s="9">
        <f>AS498/AL498-1</f>
        <v/>
      </c>
      <c r="AX498" s="14">
        <f>AS498/AJ498/12</f>
        <v/>
      </c>
      <c r="AY498" s="14">
        <f>AF498</f>
        <v/>
      </c>
      <c r="AZ498" s="39">
        <f>AX498-AF498</f>
        <v/>
      </c>
      <c r="BA498" s="14">
        <f>SUMIFS(Donnees_regimes!$S$3:$S$1118,Donnees_regimes!$A$3:$A$1118,C498,Donnees_regimes!$B$3:$B$1118,"&gt;="&amp;G498,Donnees_regimes!$B$3:$B$1118,"&lt;="&amp;N498)*L498/ROUNDUP(L498,0)*SUMIFS(Donnees_annuelles!$AH$3:$AH$188,Donnees_annuelles!$A$3:$A$188,AR498)*SUMIFS(Donnees_annuelles!$AA$3:$AA$188,Donnees_annuelles!$A$3:$A$188,AR498)</f>
        <v/>
      </c>
      <c r="BB498" s="39">
        <f>BA498-AL498</f>
        <v/>
      </c>
      <c r="BC498" s="7">
        <f>IF(M498+AJ498&gt;2026,IF(G498&gt;2026,"entièrement projeté","en partie projeté"),"observé")</f>
        <v/>
      </c>
    </row>
    <row r="499">
      <c r="A499" s="7" t="inlineStr">
        <is>
          <t>Génération silencieuse</t>
        </is>
      </c>
      <c r="B499" s="84" t="inlineStr">
        <is>
          <t>IEG</t>
        </is>
      </c>
      <c r="C499" s="7">
        <f>IF(G499&gt;=SUMIFS(Regimes!$C$5:$C$10,Regimes!$A$5:$A$10,B499),"Privé",B499)</f>
        <v/>
      </c>
      <c r="D499" s="7">
        <f>INDEX(Regimes!$D$5:$D$10,MATCH(C499,Regimes!$A$5:$A$10,0))</f>
        <v/>
      </c>
      <c r="E499" s="88" t="n">
        <v>1934</v>
      </c>
      <c r="F499" s="8">
        <f>Donnees_generations!C22</f>
        <v/>
      </c>
      <c r="G499" s="77">
        <f>Donnees_generations!D22</f>
        <v/>
      </c>
      <c r="H499" s="8">
        <f>SUMIFS(Donnees_generations!$S$3:$S$113,Donnees_generations!$A$3:$A$113,MAX(1915,MIN(2025,E499)))</f>
        <v/>
      </c>
      <c r="I499" s="8">
        <f>SUMIFS(Donnees_generations!$T$3:$T$113,Donnees_generations!$A$3:$A$113,MAX(1915,MIN(2025,E499)))</f>
        <v/>
      </c>
      <c r="J499" s="8">
        <f>IF(G499&gt;=2000,MAX(I499,Parametres!$B$3),I499)</f>
        <v/>
      </c>
      <c r="K499" s="8">
        <f>IF(C499="Privé",J499,SUMIFS(Regles_regimes!$J$3:$J$2000,Regles_regimes!$A$3:$A$2000,C499,Regles_regimes!$B$3:$B$2000,D499,Regles_regimes!$C$3:$C$2000,MAX(1915,MIN(2025,E499))))</f>
        <v/>
      </c>
      <c r="L499" s="8">
        <f>IF(C499="Privé",H499,(K499-F499)*H499/(J499-F499))</f>
        <v/>
      </c>
      <c r="M499" s="77">
        <f>INT(E499+K499)</f>
        <v/>
      </c>
      <c r="N499" s="77">
        <f>G499+ROUNDUP(L499,0)-1</f>
        <v/>
      </c>
      <c r="O499" s="89">
        <f>SUMIFS(Regles_regimes!$K$3:$K$2000,Regles_regimes!$A$3:$A$2000,C499,Regles_regimes!$B$3:$B$2000,D499,Regles_regimes!$C$3:$C$2000,MAX(1915,MIN(2025,E499)))</f>
        <v/>
      </c>
      <c r="P499" s="13">
        <f>SUMIFS(Donnees_annuelles!$W$3:$W$188,Donnees_annuelles!$A$3:$A$188,"&gt;="&amp;G499,Donnees_annuelles!$A$3:$A$188,"&lt;="&amp;N499)*L499/ROUNDUP(L499,0)*O499</f>
        <v/>
      </c>
      <c r="Q499" s="13">
        <f>SUMIFS(Donnees_annuelles!$V$3:$V$188,Donnees_annuelles!$A$3:$A$188,"&gt;="&amp;G499,Donnees_annuelles!$A$3:$A$188,"&lt;="&amp;N499)*L499/ROUNDUP(L499,0)</f>
        <v/>
      </c>
      <c r="R499" s="13">
        <f>P499/L499</f>
        <v/>
      </c>
      <c r="S499" s="14">
        <f>SUMIFS(Donnees_annuelles!$D$3:$D$188,Donnees_annuelles!$A$3:$A$188,"&gt;="&amp;G499,Donnees_annuelles!$A$3:$A$188,"&lt;="&amp;N499)*L499/ROUNDUP(L499,0)</f>
        <v/>
      </c>
      <c r="T499" s="14">
        <f>SUMIFS(Donnees_regimes!$N$3:$N$1118,Donnees_regimes!$A$3:$A$1118,C499,Donnees_regimes!$B$3:$B$1118,"&gt;="&amp;G499,Donnees_regimes!$B$3:$B$1118,"&lt;="&amp;N499)*L499/ROUNDUP(L499,0)</f>
        <v/>
      </c>
      <c r="U499" s="14">
        <f>SUMIFS(Donnees_regimes!$O$3:$O$1118,Donnees_regimes!$A$3:$A$1118,C499,Donnees_regimes!$B$3:$B$1118,"&gt;="&amp;G499,Donnees_regimes!$B$3:$B$1118,"&lt;="&amp;N499)*L499/ROUNDUP(L499,0)</f>
        <v/>
      </c>
      <c r="V499" s="14">
        <f>T499+U499</f>
        <v/>
      </c>
      <c r="W499" s="33">
        <f>V499/S499</f>
        <v/>
      </c>
      <c r="X499" s="14">
        <f>S499+U499</f>
        <v/>
      </c>
      <c r="Y499" s="17">
        <f>V499/P499</f>
        <v/>
      </c>
      <c r="Z499" s="14">
        <f>SUMIFS(Donnees_regimes!$Q$3:$Q$1118,Donnees_regimes!$A$3:$A$1118,C499,Donnees_regimes!$B$3:$B$1118,"&gt;="&amp;G499,Donnees_regimes!$B$3:$B$1118,"&lt;="&amp;N499)*L499/ROUNDUP(L499,0)</f>
        <v/>
      </c>
      <c r="AA499" s="77">
        <f>SUMIFS(Regles_regimes!$F$3:$F$2000,Regles_regimes!$A$3:$A$2000,C499,Regles_regimes!$B$3:$B$2000,D499,Regles_regimes!$C$3:$C$2000,MAX(1915,MIN(2025,E499)))</f>
        <v/>
      </c>
      <c r="AB499" s="77">
        <f>IF(AND(SUMIFS(Regles_regimes!$L$3:$L$2000,Regles_regimes!$A$3:$A$2000,C499,Regles_regimes!$B$3:$B$2000,D499,Regles_regimes!$C$3:$C$2000,MAX(1915,MIN(2025,E499)))=1,G499&lt;2009,C499&lt;&gt;"Privé"),MIN(20,L499*4/5),0)</f>
        <v/>
      </c>
      <c r="AC499" s="89">
        <f>SUMIFS(Donnees_regimes!$M$3:$M$1118,Donnees_regimes!$A$3:$A$1118,C499,Donnees_regimes!$B$3:$B$1118,M499)</f>
        <v/>
      </c>
      <c r="AD499" s="14">
        <f>SUMIFS(Donnees_annuelles!$Y$3:$Y$188,Donnees_annuelles!$A$3:$A$188,M499)*SUMIFS(Donnees_generations!$I$3:$I$113,Donnees_generations!$A$3:$A$113,MAX(1915,MIN(2025,E499)))/H499</f>
        <v/>
      </c>
      <c r="AE499" s="14">
        <f>IF(C499="Privé",SUMIFS(Donnees_annuelles!$Y$3:$Y$188,Donnees_annuelles!$A$3:$A$188,M499)*MIN(L499,SUMIFS(Donnees_generations!$I$3:$I$113,Donnees_generations!$A$3:$A$113,MAX(1915,MIN(2025,E499))))/L499,AD499*AC499*MIN(IF(AB499&gt;0,0.8/0.75,1),(L499*4+AB499)/AA499))</f>
        <v/>
      </c>
      <c r="AF499" s="14">
        <f>AE499/12</f>
        <v/>
      </c>
      <c r="AG499" s="77">
        <f>MIN(68,MAX(56,2*INT(K499/2)))</f>
        <v/>
      </c>
      <c r="AH499" s="75">
        <f>(CHOOSE((AG499-56)/2+1,SUMIFS(Donnees_generations!$U$3:$U$113,Donnees_generations!$A$3:$A$113,MAX(1915,MIN(2025,E499))),SUMIFS(Donnees_generations!$V$3:$V$113,Donnees_generations!$A$3:$A$113,MAX(1915,MIN(2025,E499))),SUMIFS(Donnees_generations!$W$3:$W$113,Donnees_generations!$A$3:$A$113,MAX(1915,MIN(2025,E499))),SUMIFS(Donnees_generations!$X$3:$X$113,Donnees_generations!$A$3:$A$113,MAX(1915,MIN(2025,E499))),SUMIFS(Donnees_generations!$Y$3:$Y$113,Donnees_generations!$A$3:$A$113,MAX(1915,MIN(2025,E499))),SUMIFS(Donnees_generations!$Z$3:$Z$113,Donnees_generations!$A$3:$A$113,MAX(1915,MIN(2025,E499))),SUMIFS(Donnees_generations!$AA$3:$AA$113,Donnees_generations!$A$3:$A$113,MAX(1915,MIN(2025,E499))),SUMIFS(Donnees_generations!$AB$3:$AB$113,Donnees_generations!$A$3:$A$113,MAX(1915,MIN(2025,E499))))+CHOOSE((AG499-56)/2+1,SUMIFS(Donnees_generations!$AC$3:$AC$113,Donnees_generations!$A$3:$A$113,MAX(1915,MIN(2025,E499))),SUMIFS(Donnees_generations!$AD$3:$AD$113,Donnees_generations!$A$3:$A$113,MAX(1915,MIN(2025,E499))),SUMIFS(Donnees_generations!$AE$3:$AE$113,Donnees_generations!$A$3:$A$113,MAX(1915,MIN(2025,E499))),SUMIFS(Donnees_generations!$AF$3:$AF$113,Donnees_generations!$A$3:$A$113,MAX(1915,MIN(2025,E499))),SUMIFS(Donnees_generations!$AG$3:$AG$113,Donnees_generations!$A$3:$A$113,MAX(1915,MIN(2025,E499))),SUMIFS(Donnees_generations!$AH$3:$AH$113,Donnees_generations!$A$3:$A$113,MAX(1915,MIN(2025,E499))),SUMIFS(Donnees_generations!$AI$3:$AI$113,Donnees_generations!$A$3:$A$113,MAX(1915,MIN(2025,E499))),SUMIFS(Donnees_generations!$AJ$3:$AJ$113,Donnees_generations!$A$3:$A$113,MAX(1915,MIN(2025,E499)))))/2</f>
        <v/>
      </c>
      <c r="AI499" s="75">
        <f>(CHOOSE(((AG499+2)-56)/2+1,SUMIFS(Donnees_generations!$U$3:$U$113,Donnees_generations!$A$3:$A$113,MAX(1915,MIN(2025,E499))),SUMIFS(Donnees_generations!$V$3:$V$113,Donnees_generations!$A$3:$A$113,MAX(1915,MIN(2025,E499))),SUMIFS(Donnees_generations!$W$3:$W$113,Donnees_generations!$A$3:$A$113,MAX(1915,MIN(2025,E499))),SUMIFS(Donnees_generations!$X$3:$X$113,Donnees_generations!$A$3:$A$113,MAX(1915,MIN(2025,E499))),SUMIFS(Donnees_generations!$Y$3:$Y$113,Donnees_generations!$A$3:$A$113,MAX(1915,MIN(2025,E499))),SUMIFS(Donnees_generations!$Z$3:$Z$113,Donnees_generations!$A$3:$A$113,MAX(1915,MIN(2025,E499))),SUMIFS(Donnees_generations!$AA$3:$AA$113,Donnees_generations!$A$3:$A$113,MAX(1915,MIN(2025,E499))),SUMIFS(Donnees_generations!$AB$3:$AB$113,Donnees_generations!$A$3:$A$113,MAX(1915,MIN(2025,E499))))+CHOOSE(((AG499+2)-56)/2+1,SUMIFS(Donnees_generations!$AC$3:$AC$113,Donnees_generations!$A$3:$A$113,MAX(1915,MIN(2025,E499))),SUMIFS(Donnees_generations!$AD$3:$AD$113,Donnees_generations!$A$3:$A$113,MAX(1915,MIN(2025,E499))),SUMIFS(Donnees_generations!$AE$3:$AE$113,Donnees_generations!$A$3:$A$113,MAX(1915,MIN(2025,E499))),SUMIFS(Donnees_generations!$AF$3:$AF$113,Donnees_generations!$A$3:$A$113,MAX(1915,MIN(2025,E499))),SUMIFS(Donnees_generations!$AG$3:$AG$113,Donnees_generations!$A$3:$A$113,MAX(1915,MIN(2025,E499))),SUMIFS(Donnees_generations!$AH$3:$AH$113,Donnees_generations!$A$3:$A$113,MAX(1915,MIN(2025,E499))),SUMIFS(Donnees_generations!$AI$3:$AI$113,Donnees_generations!$A$3:$A$113,MAX(1915,MIN(2025,E499))),SUMIFS(Donnees_generations!$AJ$3:$AJ$113,Donnees_generations!$A$3:$A$113,MAX(1915,MIN(2025,E499)))))/2</f>
        <v/>
      </c>
      <c r="AJ499" s="8">
        <f>MAX(0,AH499+(AI499-AH499)*(K499-AG499)/2)</f>
        <v/>
      </c>
      <c r="AK499" s="8">
        <f>K499+AJ499</f>
        <v/>
      </c>
      <c r="AL499" s="14">
        <f>AE499*AJ499</f>
        <v/>
      </c>
      <c r="AM499" s="17">
        <f>V499/AL499</f>
        <v/>
      </c>
      <c r="AN499" s="17">
        <f>Z499/AL499</f>
        <v/>
      </c>
      <c r="AO499" s="33">
        <f>IF(V499+Z499=0,0,Z499/(V499+Z499))</f>
        <v/>
      </c>
      <c r="AP499" s="14">
        <f>AL499/V499*100</f>
        <v/>
      </c>
      <c r="AQ499" s="8">
        <f>P499/AL499*1000</f>
        <v/>
      </c>
      <c r="AR499" s="77">
        <f>MAX(N499,M499-1)</f>
        <v/>
      </c>
      <c r="AS499" s="14">
        <f>SUMIFS(Donnees_regimes!$R$3:$R$1118,Donnees_regimes!$A$3:$A$1118,C499,Donnees_regimes!$B$3:$B$1118,"&gt;="&amp;G499,Donnees_regimes!$B$3:$B$1118,"&lt;="&amp;N499)*L499/ROUNDUP(L499,0)*SUMIFS(Donnees_annuelles!$AG$3:$AG$188,Donnees_annuelles!$A$3:$A$188,AR499)*SUMIFS(Donnees_annuelles!$AA$3:$AA$188,Donnees_annuelles!$A$3:$A$188,AR499)</f>
        <v/>
      </c>
      <c r="AT499" s="36">
        <f>AS499/V499</f>
        <v/>
      </c>
      <c r="AU499" s="14">
        <f>AL499</f>
        <v/>
      </c>
      <c r="AV499" s="39">
        <f>AS499-AL499</f>
        <v/>
      </c>
      <c r="AW499" s="9">
        <f>AS499/AL499-1</f>
        <v/>
      </c>
      <c r="AX499" s="14">
        <f>AS499/AJ499/12</f>
        <v/>
      </c>
      <c r="AY499" s="14">
        <f>AF499</f>
        <v/>
      </c>
      <c r="AZ499" s="39">
        <f>AX499-AF499</f>
        <v/>
      </c>
      <c r="BA499" s="14">
        <f>SUMIFS(Donnees_regimes!$S$3:$S$1118,Donnees_regimes!$A$3:$A$1118,C499,Donnees_regimes!$B$3:$B$1118,"&gt;="&amp;G499,Donnees_regimes!$B$3:$B$1118,"&lt;="&amp;N499)*L499/ROUNDUP(L499,0)*SUMIFS(Donnees_annuelles!$AH$3:$AH$188,Donnees_annuelles!$A$3:$A$188,AR499)*SUMIFS(Donnees_annuelles!$AA$3:$AA$188,Donnees_annuelles!$A$3:$A$188,AR499)</f>
        <v/>
      </c>
      <c r="BB499" s="39">
        <f>BA499-AL499</f>
        <v/>
      </c>
      <c r="BC499" s="7">
        <f>IF(M499+AJ499&gt;2026,IF(G499&gt;2026,"entièrement projeté","en partie projeté"),"observé")</f>
        <v/>
      </c>
    </row>
    <row r="500">
      <c r="A500" s="7" t="inlineStr">
        <is>
          <t>Génération silencieuse</t>
        </is>
      </c>
      <c r="B500" s="84" t="inlineStr">
        <is>
          <t>IEG</t>
        </is>
      </c>
      <c r="C500" s="7">
        <f>IF(G500&gt;=SUMIFS(Regimes!$C$5:$C$10,Regimes!$A$5:$A$10,B500),"Privé",B500)</f>
        <v/>
      </c>
      <c r="D500" s="7">
        <f>INDEX(Regimes!$D$5:$D$10,MATCH(C500,Regimes!$A$5:$A$10,0))</f>
        <v/>
      </c>
      <c r="E500" s="88" t="n">
        <v>1935</v>
      </c>
      <c r="F500" s="8">
        <f>Donnees_generations!C23</f>
        <v/>
      </c>
      <c r="G500" s="77">
        <f>Donnees_generations!D23</f>
        <v/>
      </c>
      <c r="H500" s="8">
        <f>SUMIFS(Donnees_generations!$S$3:$S$113,Donnees_generations!$A$3:$A$113,MAX(1915,MIN(2025,E500)))</f>
        <v/>
      </c>
      <c r="I500" s="8">
        <f>SUMIFS(Donnees_generations!$T$3:$T$113,Donnees_generations!$A$3:$A$113,MAX(1915,MIN(2025,E500)))</f>
        <v/>
      </c>
      <c r="J500" s="8">
        <f>IF(G500&gt;=2000,MAX(I500,Parametres!$B$3),I500)</f>
        <v/>
      </c>
      <c r="K500" s="8">
        <f>IF(C500="Privé",J500,SUMIFS(Regles_regimes!$J$3:$J$2000,Regles_regimes!$A$3:$A$2000,C500,Regles_regimes!$B$3:$B$2000,D500,Regles_regimes!$C$3:$C$2000,MAX(1915,MIN(2025,E500))))</f>
        <v/>
      </c>
      <c r="L500" s="8">
        <f>IF(C500="Privé",H500,(K500-F500)*H500/(J500-F500))</f>
        <v/>
      </c>
      <c r="M500" s="77">
        <f>INT(E500+K500)</f>
        <v/>
      </c>
      <c r="N500" s="77">
        <f>G500+ROUNDUP(L500,0)-1</f>
        <v/>
      </c>
      <c r="O500" s="89">
        <f>SUMIFS(Regles_regimes!$K$3:$K$2000,Regles_regimes!$A$3:$A$2000,C500,Regles_regimes!$B$3:$B$2000,D500,Regles_regimes!$C$3:$C$2000,MAX(1915,MIN(2025,E500)))</f>
        <v/>
      </c>
      <c r="P500" s="13">
        <f>SUMIFS(Donnees_annuelles!$W$3:$W$188,Donnees_annuelles!$A$3:$A$188,"&gt;="&amp;G500,Donnees_annuelles!$A$3:$A$188,"&lt;="&amp;N500)*L500/ROUNDUP(L500,0)*O500</f>
        <v/>
      </c>
      <c r="Q500" s="13">
        <f>SUMIFS(Donnees_annuelles!$V$3:$V$188,Donnees_annuelles!$A$3:$A$188,"&gt;="&amp;G500,Donnees_annuelles!$A$3:$A$188,"&lt;="&amp;N500)*L500/ROUNDUP(L500,0)</f>
        <v/>
      </c>
      <c r="R500" s="13">
        <f>P500/L500</f>
        <v/>
      </c>
      <c r="S500" s="14">
        <f>SUMIFS(Donnees_annuelles!$D$3:$D$188,Donnees_annuelles!$A$3:$A$188,"&gt;="&amp;G500,Donnees_annuelles!$A$3:$A$188,"&lt;="&amp;N500)*L500/ROUNDUP(L500,0)</f>
        <v/>
      </c>
      <c r="T500" s="14">
        <f>SUMIFS(Donnees_regimes!$N$3:$N$1118,Donnees_regimes!$A$3:$A$1118,C500,Donnees_regimes!$B$3:$B$1118,"&gt;="&amp;G500,Donnees_regimes!$B$3:$B$1118,"&lt;="&amp;N500)*L500/ROUNDUP(L500,0)</f>
        <v/>
      </c>
      <c r="U500" s="14">
        <f>SUMIFS(Donnees_regimes!$O$3:$O$1118,Donnees_regimes!$A$3:$A$1118,C500,Donnees_regimes!$B$3:$B$1118,"&gt;="&amp;G500,Donnees_regimes!$B$3:$B$1118,"&lt;="&amp;N500)*L500/ROUNDUP(L500,0)</f>
        <v/>
      </c>
      <c r="V500" s="14">
        <f>T500+U500</f>
        <v/>
      </c>
      <c r="W500" s="33">
        <f>V500/S500</f>
        <v/>
      </c>
      <c r="X500" s="14">
        <f>S500+U500</f>
        <v/>
      </c>
      <c r="Y500" s="17">
        <f>V500/P500</f>
        <v/>
      </c>
      <c r="Z500" s="14">
        <f>SUMIFS(Donnees_regimes!$Q$3:$Q$1118,Donnees_regimes!$A$3:$A$1118,C500,Donnees_regimes!$B$3:$B$1118,"&gt;="&amp;G500,Donnees_regimes!$B$3:$B$1118,"&lt;="&amp;N500)*L500/ROUNDUP(L500,0)</f>
        <v/>
      </c>
      <c r="AA500" s="77">
        <f>SUMIFS(Regles_regimes!$F$3:$F$2000,Regles_regimes!$A$3:$A$2000,C500,Regles_regimes!$B$3:$B$2000,D500,Regles_regimes!$C$3:$C$2000,MAX(1915,MIN(2025,E500)))</f>
        <v/>
      </c>
      <c r="AB500" s="77">
        <f>IF(AND(SUMIFS(Regles_regimes!$L$3:$L$2000,Regles_regimes!$A$3:$A$2000,C500,Regles_regimes!$B$3:$B$2000,D500,Regles_regimes!$C$3:$C$2000,MAX(1915,MIN(2025,E500)))=1,G500&lt;2009,C500&lt;&gt;"Privé"),MIN(20,L500*4/5),0)</f>
        <v/>
      </c>
      <c r="AC500" s="89">
        <f>SUMIFS(Donnees_regimes!$M$3:$M$1118,Donnees_regimes!$A$3:$A$1118,C500,Donnees_regimes!$B$3:$B$1118,M500)</f>
        <v/>
      </c>
      <c r="AD500" s="14">
        <f>SUMIFS(Donnees_annuelles!$Y$3:$Y$188,Donnees_annuelles!$A$3:$A$188,M500)*SUMIFS(Donnees_generations!$I$3:$I$113,Donnees_generations!$A$3:$A$113,MAX(1915,MIN(2025,E500)))/H500</f>
        <v/>
      </c>
      <c r="AE500" s="14">
        <f>IF(C500="Privé",SUMIFS(Donnees_annuelles!$Y$3:$Y$188,Donnees_annuelles!$A$3:$A$188,M500)*MIN(L500,SUMIFS(Donnees_generations!$I$3:$I$113,Donnees_generations!$A$3:$A$113,MAX(1915,MIN(2025,E500))))/L500,AD500*AC500*MIN(IF(AB500&gt;0,0.8/0.75,1),(L500*4+AB500)/AA500))</f>
        <v/>
      </c>
      <c r="AF500" s="14">
        <f>AE500/12</f>
        <v/>
      </c>
      <c r="AG500" s="77">
        <f>MIN(68,MAX(56,2*INT(K500/2)))</f>
        <v/>
      </c>
      <c r="AH500" s="75">
        <f>(CHOOSE((AG500-56)/2+1,SUMIFS(Donnees_generations!$U$3:$U$113,Donnees_generations!$A$3:$A$113,MAX(1915,MIN(2025,E500))),SUMIFS(Donnees_generations!$V$3:$V$113,Donnees_generations!$A$3:$A$113,MAX(1915,MIN(2025,E500))),SUMIFS(Donnees_generations!$W$3:$W$113,Donnees_generations!$A$3:$A$113,MAX(1915,MIN(2025,E500))),SUMIFS(Donnees_generations!$X$3:$X$113,Donnees_generations!$A$3:$A$113,MAX(1915,MIN(2025,E500))),SUMIFS(Donnees_generations!$Y$3:$Y$113,Donnees_generations!$A$3:$A$113,MAX(1915,MIN(2025,E500))),SUMIFS(Donnees_generations!$Z$3:$Z$113,Donnees_generations!$A$3:$A$113,MAX(1915,MIN(2025,E500))),SUMIFS(Donnees_generations!$AA$3:$AA$113,Donnees_generations!$A$3:$A$113,MAX(1915,MIN(2025,E500))),SUMIFS(Donnees_generations!$AB$3:$AB$113,Donnees_generations!$A$3:$A$113,MAX(1915,MIN(2025,E500))))+CHOOSE((AG500-56)/2+1,SUMIFS(Donnees_generations!$AC$3:$AC$113,Donnees_generations!$A$3:$A$113,MAX(1915,MIN(2025,E500))),SUMIFS(Donnees_generations!$AD$3:$AD$113,Donnees_generations!$A$3:$A$113,MAX(1915,MIN(2025,E500))),SUMIFS(Donnees_generations!$AE$3:$AE$113,Donnees_generations!$A$3:$A$113,MAX(1915,MIN(2025,E500))),SUMIFS(Donnees_generations!$AF$3:$AF$113,Donnees_generations!$A$3:$A$113,MAX(1915,MIN(2025,E500))),SUMIFS(Donnees_generations!$AG$3:$AG$113,Donnees_generations!$A$3:$A$113,MAX(1915,MIN(2025,E500))),SUMIFS(Donnees_generations!$AH$3:$AH$113,Donnees_generations!$A$3:$A$113,MAX(1915,MIN(2025,E500))),SUMIFS(Donnees_generations!$AI$3:$AI$113,Donnees_generations!$A$3:$A$113,MAX(1915,MIN(2025,E500))),SUMIFS(Donnees_generations!$AJ$3:$AJ$113,Donnees_generations!$A$3:$A$113,MAX(1915,MIN(2025,E500)))))/2</f>
        <v/>
      </c>
      <c r="AI500" s="75">
        <f>(CHOOSE(((AG500+2)-56)/2+1,SUMIFS(Donnees_generations!$U$3:$U$113,Donnees_generations!$A$3:$A$113,MAX(1915,MIN(2025,E500))),SUMIFS(Donnees_generations!$V$3:$V$113,Donnees_generations!$A$3:$A$113,MAX(1915,MIN(2025,E500))),SUMIFS(Donnees_generations!$W$3:$W$113,Donnees_generations!$A$3:$A$113,MAX(1915,MIN(2025,E500))),SUMIFS(Donnees_generations!$X$3:$X$113,Donnees_generations!$A$3:$A$113,MAX(1915,MIN(2025,E500))),SUMIFS(Donnees_generations!$Y$3:$Y$113,Donnees_generations!$A$3:$A$113,MAX(1915,MIN(2025,E500))),SUMIFS(Donnees_generations!$Z$3:$Z$113,Donnees_generations!$A$3:$A$113,MAX(1915,MIN(2025,E500))),SUMIFS(Donnees_generations!$AA$3:$AA$113,Donnees_generations!$A$3:$A$113,MAX(1915,MIN(2025,E500))),SUMIFS(Donnees_generations!$AB$3:$AB$113,Donnees_generations!$A$3:$A$113,MAX(1915,MIN(2025,E500))))+CHOOSE(((AG500+2)-56)/2+1,SUMIFS(Donnees_generations!$AC$3:$AC$113,Donnees_generations!$A$3:$A$113,MAX(1915,MIN(2025,E500))),SUMIFS(Donnees_generations!$AD$3:$AD$113,Donnees_generations!$A$3:$A$113,MAX(1915,MIN(2025,E500))),SUMIFS(Donnees_generations!$AE$3:$AE$113,Donnees_generations!$A$3:$A$113,MAX(1915,MIN(2025,E500))),SUMIFS(Donnees_generations!$AF$3:$AF$113,Donnees_generations!$A$3:$A$113,MAX(1915,MIN(2025,E500))),SUMIFS(Donnees_generations!$AG$3:$AG$113,Donnees_generations!$A$3:$A$113,MAX(1915,MIN(2025,E500))),SUMIFS(Donnees_generations!$AH$3:$AH$113,Donnees_generations!$A$3:$A$113,MAX(1915,MIN(2025,E500))),SUMIFS(Donnees_generations!$AI$3:$AI$113,Donnees_generations!$A$3:$A$113,MAX(1915,MIN(2025,E500))),SUMIFS(Donnees_generations!$AJ$3:$AJ$113,Donnees_generations!$A$3:$A$113,MAX(1915,MIN(2025,E500)))))/2</f>
        <v/>
      </c>
      <c r="AJ500" s="8">
        <f>MAX(0,AH500+(AI500-AH500)*(K500-AG500)/2)</f>
        <v/>
      </c>
      <c r="AK500" s="8">
        <f>K500+AJ500</f>
        <v/>
      </c>
      <c r="AL500" s="14">
        <f>AE500*AJ500</f>
        <v/>
      </c>
      <c r="AM500" s="17">
        <f>V500/AL500</f>
        <v/>
      </c>
      <c r="AN500" s="17">
        <f>Z500/AL500</f>
        <v/>
      </c>
      <c r="AO500" s="33">
        <f>IF(V500+Z500=0,0,Z500/(V500+Z500))</f>
        <v/>
      </c>
      <c r="AP500" s="14">
        <f>AL500/V500*100</f>
        <v/>
      </c>
      <c r="AQ500" s="8">
        <f>P500/AL500*1000</f>
        <v/>
      </c>
      <c r="AR500" s="77">
        <f>MAX(N500,M500-1)</f>
        <v/>
      </c>
      <c r="AS500" s="14">
        <f>SUMIFS(Donnees_regimes!$R$3:$R$1118,Donnees_regimes!$A$3:$A$1118,C500,Donnees_regimes!$B$3:$B$1118,"&gt;="&amp;G500,Donnees_regimes!$B$3:$B$1118,"&lt;="&amp;N500)*L500/ROUNDUP(L500,0)*SUMIFS(Donnees_annuelles!$AG$3:$AG$188,Donnees_annuelles!$A$3:$A$188,AR500)*SUMIFS(Donnees_annuelles!$AA$3:$AA$188,Donnees_annuelles!$A$3:$A$188,AR500)</f>
        <v/>
      </c>
      <c r="AT500" s="36">
        <f>AS500/V500</f>
        <v/>
      </c>
      <c r="AU500" s="14">
        <f>AL500</f>
        <v/>
      </c>
      <c r="AV500" s="39">
        <f>AS500-AL500</f>
        <v/>
      </c>
      <c r="AW500" s="9">
        <f>AS500/AL500-1</f>
        <v/>
      </c>
      <c r="AX500" s="14">
        <f>AS500/AJ500/12</f>
        <v/>
      </c>
      <c r="AY500" s="14">
        <f>AF500</f>
        <v/>
      </c>
      <c r="AZ500" s="39">
        <f>AX500-AF500</f>
        <v/>
      </c>
      <c r="BA500" s="14">
        <f>SUMIFS(Donnees_regimes!$S$3:$S$1118,Donnees_regimes!$A$3:$A$1118,C500,Donnees_regimes!$B$3:$B$1118,"&gt;="&amp;G500,Donnees_regimes!$B$3:$B$1118,"&lt;="&amp;N500)*L500/ROUNDUP(L500,0)*SUMIFS(Donnees_annuelles!$AH$3:$AH$188,Donnees_annuelles!$A$3:$A$188,AR500)*SUMIFS(Donnees_annuelles!$AA$3:$AA$188,Donnees_annuelles!$A$3:$A$188,AR500)</f>
        <v/>
      </c>
      <c r="BB500" s="39">
        <f>BA500-AL500</f>
        <v/>
      </c>
      <c r="BC500" s="7">
        <f>IF(M500+AJ500&gt;2026,IF(G500&gt;2026,"entièrement projeté","en partie projeté"),"observé")</f>
        <v/>
      </c>
    </row>
    <row r="501">
      <c r="A501" s="7" t="inlineStr">
        <is>
          <t>Génération silencieuse</t>
        </is>
      </c>
      <c r="B501" s="84" t="inlineStr">
        <is>
          <t>IEG</t>
        </is>
      </c>
      <c r="C501" s="7">
        <f>IF(G501&gt;=SUMIFS(Regimes!$C$5:$C$10,Regimes!$A$5:$A$10,B501),"Privé",B501)</f>
        <v/>
      </c>
      <c r="D501" s="7">
        <f>INDEX(Regimes!$D$5:$D$10,MATCH(C501,Regimes!$A$5:$A$10,0))</f>
        <v/>
      </c>
      <c r="E501" s="88" t="n">
        <v>1936</v>
      </c>
      <c r="F501" s="8">
        <f>Donnees_generations!C24</f>
        <v/>
      </c>
      <c r="G501" s="77">
        <f>Donnees_generations!D24</f>
        <v/>
      </c>
      <c r="H501" s="8">
        <f>SUMIFS(Donnees_generations!$S$3:$S$113,Donnees_generations!$A$3:$A$113,MAX(1915,MIN(2025,E501)))</f>
        <v/>
      </c>
      <c r="I501" s="8">
        <f>SUMIFS(Donnees_generations!$T$3:$T$113,Donnees_generations!$A$3:$A$113,MAX(1915,MIN(2025,E501)))</f>
        <v/>
      </c>
      <c r="J501" s="8">
        <f>IF(G501&gt;=2000,MAX(I501,Parametres!$B$3),I501)</f>
        <v/>
      </c>
      <c r="K501" s="8">
        <f>IF(C501="Privé",J501,SUMIFS(Regles_regimes!$J$3:$J$2000,Regles_regimes!$A$3:$A$2000,C501,Regles_regimes!$B$3:$B$2000,D501,Regles_regimes!$C$3:$C$2000,MAX(1915,MIN(2025,E501))))</f>
        <v/>
      </c>
      <c r="L501" s="8">
        <f>IF(C501="Privé",H501,(K501-F501)*H501/(J501-F501))</f>
        <v/>
      </c>
      <c r="M501" s="77">
        <f>INT(E501+K501)</f>
        <v/>
      </c>
      <c r="N501" s="77">
        <f>G501+ROUNDUP(L501,0)-1</f>
        <v/>
      </c>
      <c r="O501" s="89">
        <f>SUMIFS(Regles_regimes!$K$3:$K$2000,Regles_regimes!$A$3:$A$2000,C501,Regles_regimes!$B$3:$B$2000,D501,Regles_regimes!$C$3:$C$2000,MAX(1915,MIN(2025,E501)))</f>
        <v/>
      </c>
      <c r="P501" s="13">
        <f>SUMIFS(Donnees_annuelles!$W$3:$W$188,Donnees_annuelles!$A$3:$A$188,"&gt;="&amp;G501,Donnees_annuelles!$A$3:$A$188,"&lt;="&amp;N501)*L501/ROUNDUP(L501,0)*O501</f>
        <v/>
      </c>
      <c r="Q501" s="13">
        <f>SUMIFS(Donnees_annuelles!$V$3:$V$188,Donnees_annuelles!$A$3:$A$188,"&gt;="&amp;G501,Donnees_annuelles!$A$3:$A$188,"&lt;="&amp;N501)*L501/ROUNDUP(L501,0)</f>
        <v/>
      </c>
      <c r="R501" s="13">
        <f>P501/L501</f>
        <v/>
      </c>
      <c r="S501" s="14">
        <f>SUMIFS(Donnees_annuelles!$D$3:$D$188,Donnees_annuelles!$A$3:$A$188,"&gt;="&amp;G501,Donnees_annuelles!$A$3:$A$188,"&lt;="&amp;N501)*L501/ROUNDUP(L501,0)</f>
        <v/>
      </c>
      <c r="T501" s="14">
        <f>SUMIFS(Donnees_regimes!$N$3:$N$1118,Donnees_regimes!$A$3:$A$1118,C501,Donnees_regimes!$B$3:$B$1118,"&gt;="&amp;G501,Donnees_regimes!$B$3:$B$1118,"&lt;="&amp;N501)*L501/ROUNDUP(L501,0)</f>
        <v/>
      </c>
      <c r="U501" s="14">
        <f>SUMIFS(Donnees_regimes!$O$3:$O$1118,Donnees_regimes!$A$3:$A$1118,C501,Donnees_regimes!$B$3:$B$1118,"&gt;="&amp;G501,Donnees_regimes!$B$3:$B$1118,"&lt;="&amp;N501)*L501/ROUNDUP(L501,0)</f>
        <v/>
      </c>
      <c r="V501" s="14">
        <f>T501+U501</f>
        <v/>
      </c>
      <c r="W501" s="33">
        <f>V501/S501</f>
        <v/>
      </c>
      <c r="X501" s="14">
        <f>S501+U501</f>
        <v/>
      </c>
      <c r="Y501" s="17">
        <f>V501/P501</f>
        <v/>
      </c>
      <c r="Z501" s="14">
        <f>SUMIFS(Donnees_regimes!$Q$3:$Q$1118,Donnees_regimes!$A$3:$A$1118,C501,Donnees_regimes!$B$3:$B$1118,"&gt;="&amp;G501,Donnees_regimes!$B$3:$B$1118,"&lt;="&amp;N501)*L501/ROUNDUP(L501,0)</f>
        <v/>
      </c>
      <c r="AA501" s="77">
        <f>SUMIFS(Regles_regimes!$F$3:$F$2000,Regles_regimes!$A$3:$A$2000,C501,Regles_regimes!$B$3:$B$2000,D501,Regles_regimes!$C$3:$C$2000,MAX(1915,MIN(2025,E501)))</f>
        <v/>
      </c>
      <c r="AB501" s="77">
        <f>IF(AND(SUMIFS(Regles_regimes!$L$3:$L$2000,Regles_regimes!$A$3:$A$2000,C501,Regles_regimes!$B$3:$B$2000,D501,Regles_regimes!$C$3:$C$2000,MAX(1915,MIN(2025,E501)))=1,G501&lt;2009,C501&lt;&gt;"Privé"),MIN(20,L501*4/5),0)</f>
        <v/>
      </c>
      <c r="AC501" s="89">
        <f>SUMIFS(Donnees_regimes!$M$3:$M$1118,Donnees_regimes!$A$3:$A$1118,C501,Donnees_regimes!$B$3:$B$1118,M501)</f>
        <v/>
      </c>
      <c r="AD501" s="14">
        <f>SUMIFS(Donnees_annuelles!$Y$3:$Y$188,Donnees_annuelles!$A$3:$A$188,M501)*SUMIFS(Donnees_generations!$I$3:$I$113,Donnees_generations!$A$3:$A$113,MAX(1915,MIN(2025,E501)))/H501</f>
        <v/>
      </c>
      <c r="AE501" s="14">
        <f>IF(C501="Privé",SUMIFS(Donnees_annuelles!$Y$3:$Y$188,Donnees_annuelles!$A$3:$A$188,M501)*MIN(L501,SUMIFS(Donnees_generations!$I$3:$I$113,Donnees_generations!$A$3:$A$113,MAX(1915,MIN(2025,E501))))/L501,AD501*AC501*MIN(IF(AB501&gt;0,0.8/0.75,1),(L501*4+AB501)/AA501))</f>
        <v/>
      </c>
      <c r="AF501" s="14">
        <f>AE501/12</f>
        <v/>
      </c>
      <c r="AG501" s="77">
        <f>MIN(68,MAX(56,2*INT(K501/2)))</f>
        <v/>
      </c>
      <c r="AH501" s="75">
        <f>(CHOOSE((AG501-56)/2+1,SUMIFS(Donnees_generations!$U$3:$U$113,Donnees_generations!$A$3:$A$113,MAX(1915,MIN(2025,E501))),SUMIFS(Donnees_generations!$V$3:$V$113,Donnees_generations!$A$3:$A$113,MAX(1915,MIN(2025,E501))),SUMIFS(Donnees_generations!$W$3:$W$113,Donnees_generations!$A$3:$A$113,MAX(1915,MIN(2025,E501))),SUMIFS(Donnees_generations!$X$3:$X$113,Donnees_generations!$A$3:$A$113,MAX(1915,MIN(2025,E501))),SUMIFS(Donnees_generations!$Y$3:$Y$113,Donnees_generations!$A$3:$A$113,MAX(1915,MIN(2025,E501))),SUMIFS(Donnees_generations!$Z$3:$Z$113,Donnees_generations!$A$3:$A$113,MAX(1915,MIN(2025,E501))),SUMIFS(Donnees_generations!$AA$3:$AA$113,Donnees_generations!$A$3:$A$113,MAX(1915,MIN(2025,E501))),SUMIFS(Donnees_generations!$AB$3:$AB$113,Donnees_generations!$A$3:$A$113,MAX(1915,MIN(2025,E501))))+CHOOSE((AG501-56)/2+1,SUMIFS(Donnees_generations!$AC$3:$AC$113,Donnees_generations!$A$3:$A$113,MAX(1915,MIN(2025,E501))),SUMIFS(Donnees_generations!$AD$3:$AD$113,Donnees_generations!$A$3:$A$113,MAX(1915,MIN(2025,E501))),SUMIFS(Donnees_generations!$AE$3:$AE$113,Donnees_generations!$A$3:$A$113,MAX(1915,MIN(2025,E501))),SUMIFS(Donnees_generations!$AF$3:$AF$113,Donnees_generations!$A$3:$A$113,MAX(1915,MIN(2025,E501))),SUMIFS(Donnees_generations!$AG$3:$AG$113,Donnees_generations!$A$3:$A$113,MAX(1915,MIN(2025,E501))),SUMIFS(Donnees_generations!$AH$3:$AH$113,Donnees_generations!$A$3:$A$113,MAX(1915,MIN(2025,E501))),SUMIFS(Donnees_generations!$AI$3:$AI$113,Donnees_generations!$A$3:$A$113,MAX(1915,MIN(2025,E501))),SUMIFS(Donnees_generations!$AJ$3:$AJ$113,Donnees_generations!$A$3:$A$113,MAX(1915,MIN(2025,E501)))))/2</f>
        <v/>
      </c>
      <c r="AI501" s="75">
        <f>(CHOOSE(((AG501+2)-56)/2+1,SUMIFS(Donnees_generations!$U$3:$U$113,Donnees_generations!$A$3:$A$113,MAX(1915,MIN(2025,E501))),SUMIFS(Donnees_generations!$V$3:$V$113,Donnees_generations!$A$3:$A$113,MAX(1915,MIN(2025,E501))),SUMIFS(Donnees_generations!$W$3:$W$113,Donnees_generations!$A$3:$A$113,MAX(1915,MIN(2025,E501))),SUMIFS(Donnees_generations!$X$3:$X$113,Donnees_generations!$A$3:$A$113,MAX(1915,MIN(2025,E501))),SUMIFS(Donnees_generations!$Y$3:$Y$113,Donnees_generations!$A$3:$A$113,MAX(1915,MIN(2025,E501))),SUMIFS(Donnees_generations!$Z$3:$Z$113,Donnees_generations!$A$3:$A$113,MAX(1915,MIN(2025,E501))),SUMIFS(Donnees_generations!$AA$3:$AA$113,Donnees_generations!$A$3:$A$113,MAX(1915,MIN(2025,E501))),SUMIFS(Donnees_generations!$AB$3:$AB$113,Donnees_generations!$A$3:$A$113,MAX(1915,MIN(2025,E501))))+CHOOSE(((AG501+2)-56)/2+1,SUMIFS(Donnees_generations!$AC$3:$AC$113,Donnees_generations!$A$3:$A$113,MAX(1915,MIN(2025,E501))),SUMIFS(Donnees_generations!$AD$3:$AD$113,Donnees_generations!$A$3:$A$113,MAX(1915,MIN(2025,E501))),SUMIFS(Donnees_generations!$AE$3:$AE$113,Donnees_generations!$A$3:$A$113,MAX(1915,MIN(2025,E501))),SUMIFS(Donnees_generations!$AF$3:$AF$113,Donnees_generations!$A$3:$A$113,MAX(1915,MIN(2025,E501))),SUMIFS(Donnees_generations!$AG$3:$AG$113,Donnees_generations!$A$3:$A$113,MAX(1915,MIN(2025,E501))),SUMIFS(Donnees_generations!$AH$3:$AH$113,Donnees_generations!$A$3:$A$113,MAX(1915,MIN(2025,E501))),SUMIFS(Donnees_generations!$AI$3:$AI$113,Donnees_generations!$A$3:$A$113,MAX(1915,MIN(2025,E501))),SUMIFS(Donnees_generations!$AJ$3:$AJ$113,Donnees_generations!$A$3:$A$113,MAX(1915,MIN(2025,E501)))))/2</f>
        <v/>
      </c>
      <c r="AJ501" s="8">
        <f>MAX(0,AH501+(AI501-AH501)*(K501-AG501)/2)</f>
        <v/>
      </c>
      <c r="AK501" s="8">
        <f>K501+AJ501</f>
        <v/>
      </c>
      <c r="AL501" s="14">
        <f>AE501*AJ501</f>
        <v/>
      </c>
      <c r="AM501" s="17">
        <f>V501/AL501</f>
        <v/>
      </c>
      <c r="AN501" s="17">
        <f>Z501/AL501</f>
        <v/>
      </c>
      <c r="AO501" s="33">
        <f>IF(V501+Z501=0,0,Z501/(V501+Z501))</f>
        <v/>
      </c>
      <c r="AP501" s="14">
        <f>AL501/V501*100</f>
        <v/>
      </c>
      <c r="AQ501" s="8">
        <f>P501/AL501*1000</f>
        <v/>
      </c>
      <c r="AR501" s="77">
        <f>MAX(N501,M501-1)</f>
        <v/>
      </c>
      <c r="AS501" s="14">
        <f>SUMIFS(Donnees_regimes!$R$3:$R$1118,Donnees_regimes!$A$3:$A$1118,C501,Donnees_regimes!$B$3:$B$1118,"&gt;="&amp;G501,Donnees_regimes!$B$3:$B$1118,"&lt;="&amp;N501)*L501/ROUNDUP(L501,0)*SUMIFS(Donnees_annuelles!$AG$3:$AG$188,Donnees_annuelles!$A$3:$A$188,AR501)*SUMIFS(Donnees_annuelles!$AA$3:$AA$188,Donnees_annuelles!$A$3:$A$188,AR501)</f>
        <v/>
      </c>
      <c r="AT501" s="36">
        <f>AS501/V501</f>
        <v/>
      </c>
      <c r="AU501" s="14">
        <f>AL501</f>
        <v/>
      </c>
      <c r="AV501" s="39">
        <f>AS501-AL501</f>
        <v/>
      </c>
      <c r="AW501" s="9">
        <f>AS501/AL501-1</f>
        <v/>
      </c>
      <c r="AX501" s="14">
        <f>AS501/AJ501/12</f>
        <v/>
      </c>
      <c r="AY501" s="14">
        <f>AF501</f>
        <v/>
      </c>
      <c r="AZ501" s="39">
        <f>AX501-AF501</f>
        <v/>
      </c>
      <c r="BA501" s="14">
        <f>SUMIFS(Donnees_regimes!$S$3:$S$1118,Donnees_regimes!$A$3:$A$1118,C501,Donnees_regimes!$B$3:$B$1118,"&gt;="&amp;G501,Donnees_regimes!$B$3:$B$1118,"&lt;="&amp;N501)*L501/ROUNDUP(L501,0)*SUMIFS(Donnees_annuelles!$AH$3:$AH$188,Donnees_annuelles!$A$3:$A$188,AR501)*SUMIFS(Donnees_annuelles!$AA$3:$AA$188,Donnees_annuelles!$A$3:$A$188,AR501)</f>
        <v/>
      </c>
      <c r="BB501" s="39">
        <f>BA501-AL501</f>
        <v/>
      </c>
      <c r="BC501" s="7">
        <f>IF(M501+AJ501&gt;2026,IF(G501&gt;2026,"entièrement projeté","en partie projeté"),"observé")</f>
        <v/>
      </c>
    </row>
    <row r="502">
      <c r="A502" s="7" t="inlineStr">
        <is>
          <t>Génération silencieuse</t>
        </is>
      </c>
      <c r="B502" s="84" t="inlineStr">
        <is>
          <t>IEG</t>
        </is>
      </c>
      <c r="C502" s="7">
        <f>IF(G502&gt;=SUMIFS(Regimes!$C$5:$C$10,Regimes!$A$5:$A$10,B502),"Privé",B502)</f>
        <v/>
      </c>
      <c r="D502" s="7">
        <f>INDEX(Regimes!$D$5:$D$10,MATCH(C502,Regimes!$A$5:$A$10,0))</f>
        <v/>
      </c>
      <c r="E502" s="88" t="n">
        <v>1937</v>
      </c>
      <c r="F502" s="8">
        <f>Donnees_generations!C25</f>
        <v/>
      </c>
      <c r="G502" s="77">
        <f>Donnees_generations!D25</f>
        <v/>
      </c>
      <c r="H502" s="8">
        <f>SUMIFS(Donnees_generations!$S$3:$S$113,Donnees_generations!$A$3:$A$113,MAX(1915,MIN(2025,E502)))</f>
        <v/>
      </c>
      <c r="I502" s="8">
        <f>SUMIFS(Donnees_generations!$T$3:$T$113,Donnees_generations!$A$3:$A$113,MAX(1915,MIN(2025,E502)))</f>
        <v/>
      </c>
      <c r="J502" s="8">
        <f>IF(G502&gt;=2000,MAX(I502,Parametres!$B$3),I502)</f>
        <v/>
      </c>
      <c r="K502" s="8">
        <f>IF(C502="Privé",J502,SUMIFS(Regles_regimes!$J$3:$J$2000,Regles_regimes!$A$3:$A$2000,C502,Regles_regimes!$B$3:$B$2000,D502,Regles_regimes!$C$3:$C$2000,MAX(1915,MIN(2025,E502))))</f>
        <v/>
      </c>
      <c r="L502" s="8">
        <f>IF(C502="Privé",H502,(K502-F502)*H502/(J502-F502))</f>
        <v/>
      </c>
      <c r="M502" s="77">
        <f>INT(E502+K502)</f>
        <v/>
      </c>
      <c r="N502" s="77">
        <f>G502+ROUNDUP(L502,0)-1</f>
        <v/>
      </c>
      <c r="O502" s="89">
        <f>SUMIFS(Regles_regimes!$K$3:$K$2000,Regles_regimes!$A$3:$A$2000,C502,Regles_regimes!$B$3:$B$2000,D502,Regles_regimes!$C$3:$C$2000,MAX(1915,MIN(2025,E502)))</f>
        <v/>
      </c>
      <c r="P502" s="13">
        <f>SUMIFS(Donnees_annuelles!$W$3:$W$188,Donnees_annuelles!$A$3:$A$188,"&gt;="&amp;G502,Donnees_annuelles!$A$3:$A$188,"&lt;="&amp;N502)*L502/ROUNDUP(L502,0)*O502</f>
        <v/>
      </c>
      <c r="Q502" s="13">
        <f>SUMIFS(Donnees_annuelles!$V$3:$V$188,Donnees_annuelles!$A$3:$A$188,"&gt;="&amp;G502,Donnees_annuelles!$A$3:$A$188,"&lt;="&amp;N502)*L502/ROUNDUP(L502,0)</f>
        <v/>
      </c>
      <c r="R502" s="13">
        <f>P502/L502</f>
        <v/>
      </c>
      <c r="S502" s="14">
        <f>SUMIFS(Donnees_annuelles!$D$3:$D$188,Donnees_annuelles!$A$3:$A$188,"&gt;="&amp;G502,Donnees_annuelles!$A$3:$A$188,"&lt;="&amp;N502)*L502/ROUNDUP(L502,0)</f>
        <v/>
      </c>
      <c r="T502" s="14">
        <f>SUMIFS(Donnees_regimes!$N$3:$N$1118,Donnees_regimes!$A$3:$A$1118,C502,Donnees_regimes!$B$3:$B$1118,"&gt;="&amp;G502,Donnees_regimes!$B$3:$B$1118,"&lt;="&amp;N502)*L502/ROUNDUP(L502,0)</f>
        <v/>
      </c>
      <c r="U502" s="14">
        <f>SUMIFS(Donnees_regimes!$O$3:$O$1118,Donnees_regimes!$A$3:$A$1118,C502,Donnees_regimes!$B$3:$B$1118,"&gt;="&amp;G502,Donnees_regimes!$B$3:$B$1118,"&lt;="&amp;N502)*L502/ROUNDUP(L502,0)</f>
        <v/>
      </c>
      <c r="V502" s="14">
        <f>T502+U502</f>
        <v/>
      </c>
      <c r="W502" s="33">
        <f>V502/S502</f>
        <v/>
      </c>
      <c r="X502" s="14">
        <f>S502+U502</f>
        <v/>
      </c>
      <c r="Y502" s="17">
        <f>V502/P502</f>
        <v/>
      </c>
      <c r="Z502" s="14">
        <f>SUMIFS(Donnees_regimes!$Q$3:$Q$1118,Donnees_regimes!$A$3:$A$1118,C502,Donnees_regimes!$B$3:$B$1118,"&gt;="&amp;G502,Donnees_regimes!$B$3:$B$1118,"&lt;="&amp;N502)*L502/ROUNDUP(L502,0)</f>
        <v/>
      </c>
      <c r="AA502" s="77">
        <f>SUMIFS(Regles_regimes!$F$3:$F$2000,Regles_regimes!$A$3:$A$2000,C502,Regles_regimes!$B$3:$B$2000,D502,Regles_regimes!$C$3:$C$2000,MAX(1915,MIN(2025,E502)))</f>
        <v/>
      </c>
      <c r="AB502" s="77">
        <f>IF(AND(SUMIFS(Regles_regimes!$L$3:$L$2000,Regles_regimes!$A$3:$A$2000,C502,Regles_regimes!$B$3:$B$2000,D502,Regles_regimes!$C$3:$C$2000,MAX(1915,MIN(2025,E502)))=1,G502&lt;2009,C502&lt;&gt;"Privé"),MIN(20,L502*4/5),0)</f>
        <v/>
      </c>
      <c r="AC502" s="89">
        <f>SUMIFS(Donnees_regimes!$M$3:$M$1118,Donnees_regimes!$A$3:$A$1118,C502,Donnees_regimes!$B$3:$B$1118,M502)</f>
        <v/>
      </c>
      <c r="AD502" s="14">
        <f>SUMIFS(Donnees_annuelles!$Y$3:$Y$188,Donnees_annuelles!$A$3:$A$188,M502)*SUMIFS(Donnees_generations!$I$3:$I$113,Donnees_generations!$A$3:$A$113,MAX(1915,MIN(2025,E502)))/H502</f>
        <v/>
      </c>
      <c r="AE502" s="14">
        <f>IF(C502="Privé",SUMIFS(Donnees_annuelles!$Y$3:$Y$188,Donnees_annuelles!$A$3:$A$188,M502)*MIN(L502,SUMIFS(Donnees_generations!$I$3:$I$113,Donnees_generations!$A$3:$A$113,MAX(1915,MIN(2025,E502))))/L502,AD502*AC502*MIN(IF(AB502&gt;0,0.8/0.75,1),(L502*4+AB502)/AA502))</f>
        <v/>
      </c>
      <c r="AF502" s="14">
        <f>AE502/12</f>
        <v/>
      </c>
      <c r="AG502" s="77">
        <f>MIN(68,MAX(56,2*INT(K502/2)))</f>
        <v/>
      </c>
      <c r="AH502" s="75">
        <f>(CHOOSE((AG502-56)/2+1,SUMIFS(Donnees_generations!$U$3:$U$113,Donnees_generations!$A$3:$A$113,MAX(1915,MIN(2025,E502))),SUMIFS(Donnees_generations!$V$3:$V$113,Donnees_generations!$A$3:$A$113,MAX(1915,MIN(2025,E502))),SUMIFS(Donnees_generations!$W$3:$W$113,Donnees_generations!$A$3:$A$113,MAX(1915,MIN(2025,E502))),SUMIFS(Donnees_generations!$X$3:$X$113,Donnees_generations!$A$3:$A$113,MAX(1915,MIN(2025,E502))),SUMIFS(Donnees_generations!$Y$3:$Y$113,Donnees_generations!$A$3:$A$113,MAX(1915,MIN(2025,E502))),SUMIFS(Donnees_generations!$Z$3:$Z$113,Donnees_generations!$A$3:$A$113,MAX(1915,MIN(2025,E502))),SUMIFS(Donnees_generations!$AA$3:$AA$113,Donnees_generations!$A$3:$A$113,MAX(1915,MIN(2025,E502))),SUMIFS(Donnees_generations!$AB$3:$AB$113,Donnees_generations!$A$3:$A$113,MAX(1915,MIN(2025,E502))))+CHOOSE((AG502-56)/2+1,SUMIFS(Donnees_generations!$AC$3:$AC$113,Donnees_generations!$A$3:$A$113,MAX(1915,MIN(2025,E502))),SUMIFS(Donnees_generations!$AD$3:$AD$113,Donnees_generations!$A$3:$A$113,MAX(1915,MIN(2025,E502))),SUMIFS(Donnees_generations!$AE$3:$AE$113,Donnees_generations!$A$3:$A$113,MAX(1915,MIN(2025,E502))),SUMIFS(Donnees_generations!$AF$3:$AF$113,Donnees_generations!$A$3:$A$113,MAX(1915,MIN(2025,E502))),SUMIFS(Donnees_generations!$AG$3:$AG$113,Donnees_generations!$A$3:$A$113,MAX(1915,MIN(2025,E502))),SUMIFS(Donnees_generations!$AH$3:$AH$113,Donnees_generations!$A$3:$A$113,MAX(1915,MIN(2025,E502))),SUMIFS(Donnees_generations!$AI$3:$AI$113,Donnees_generations!$A$3:$A$113,MAX(1915,MIN(2025,E502))),SUMIFS(Donnees_generations!$AJ$3:$AJ$113,Donnees_generations!$A$3:$A$113,MAX(1915,MIN(2025,E502)))))/2</f>
        <v/>
      </c>
      <c r="AI502" s="75">
        <f>(CHOOSE(((AG502+2)-56)/2+1,SUMIFS(Donnees_generations!$U$3:$U$113,Donnees_generations!$A$3:$A$113,MAX(1915,MIN(2025,E502))),SUMIFS(Donnees_generations!$V$3:$V$113,Donnees_generations!$A$3:$A$113,MAX(1915,MIN(2025,E502))),SUMIFS(Donnees_generations!$W$3:$W$113,Donnees_generations!$A$3:$A$113,MAX(1915,MIN(2025,E502))),SUMIFS(Donnees_generations!$X$3:$X$113,Donnees_generations!$A$3:$A$113,MAX(1915,MIN(2025,E502))),SUMIFS(Donnees_generations!$Y$3:$Y$113,Donnees_generations!$A$3:$A$113,MAX(1915,MIN(2025,E502))),SUMIFS(Donnees_generations!$Z$3:$Z$113,Donnees_generations!$A$3:$A$113,MAX(1915,MIN(2025,E502))),SUMIFS(Donnees_generations!$AA$3:$AA$113,Donnees_generations!$A$3:$A$113,MAX(1915,MIN(2025,E502))),SUMIFS(Donnees_generations!$AB$3:$AB$113,Donnees_generations!$A$3:$A$113,MAX(1915,MIN(2025,E502))))+CHOOSE(((AG502+2)-56)/2+1,SUMIFS(Donnees_generations!$AC$3:$AC$113,Donnees_generations!$A$3:$A$113,MAX(1915,MIN(2025,E502))),SUMIFS(Donnees_generations!$AD$3:$AD$113,Donnees_generations!$A$3:$A$113,MAX(1915,MIN(2025,E502))),SUMIFS(Donnees_generations!$AE$3:$AE$113,Donnees_generations!$A$3:$A$113,MAX(1915,MIN(2025,E502))),SUMIFS(Donnees_generations!$AF$3:$AF$113,Donnees_generations!$A$3:$A$113,MAX(1915,MIN(2025,E502))),SUMIFS(Donnees_generations!$AG$3:$AG$113,Donnees_generations!$A$3:$A$113,MAX(1915,MIN(2025,E502))),SUMIFS(Donnees_generations!$AH$3:$AH$113,Donnees_generations!$A$3:$A$113,MAX(1915,MIN(2025,E502))),SUMIFS(Donnees_generations!$AI$3:$AI$113,Donnees_generations!$A$3:$A$113,MAX(1915,MIN(2025,E502))),SUMIFS(Donnees_generations!$AJ$3:$AJ$113,Donnees_generations!$A$3:$A$113,MAX(1915,MIN(2025,E502)))))/2</f>
        <v/>
      </c>
      <c r="AJ502" s="8">
        <f>MAX(0,AH502+(AI502-AH502)*(K502-AG502)/2)</f>
        <v/>
      </c>
      <c r="AK502" s="8">
        <f>K502+AJ502</f>
        <v/>
      </c>
      <c r="AL502" s="14">
        <f>AE502*AJ502</f>
        <v/>
      </c>
      <c r="AM502" s="17">
        <f>V502/AL502</f>
        <v/>
      </c>
      <c r="AN502" s="17">
        <f>Z502/AL502</f>
        <v/>
      </c>
      <c r="AO502" s="33">
        <f>IF(V502+Z502=0,0,Z502/(V502+Z502))</f>
        <v/>
      </c>
      <c r="AP502" s="14">
        <f>AL502/V502*100</f>
        <v/>
      </c>
      <c r="AQ502" s="8">
        <f>P502/AL502*1000</f>
        <v/>
      </c>
      <c r="AR502" s="77">
        <f>MAX(N502,M502-1)</f>
        <v/>
      </c>
      <c r="AS502" s="14">
        <f>SUMIFS(Donnees_regimes!$R$3:$R$1118,Donnees_regimes!$A$3:$A$1118,C502,Donnees_regimes!$B$3:$B$1118,"&gt;="&amp;G502,Donnees_regimes!$B$3:$B$1118,"&lt;="&amp;N502)*L502/ROUNDUP(L502,0)*SUMIFS(Donnees_annuelles!$AG$3:$AG$188,Donnees_annuelles!$A$3:$A$188,AR502)*SUMIFS(Donnees_annuelles!$AA$3:$AA$188,Donnees_annuelles!$A$3:$A$188,AR502)</f>
        <v/>
      </c>
      <c r="AT502" s="36">
        <f>AS502/V502</f>
        <v/>
      </c>
      <c r="AU502" s="14">
        <f>AL502</f>
        <v/>
      </c>
      <c r="AV502" s="39">
        <f>AS502-AL502</f>
        <v/>
      </c>
      <c r="AW502" s="9">
        <f>AS502/AL502-1</f>
        <v/>
      </c>
      <c r="AX502" s="14">
        <f>AS502/AJ502/12</f>
        <v/>
      </c>
      <c r="AY502" s="14">
        <f>AF502</f>
        <v/>
      </c>
      <c r="AZ502" s="39">
        <f>AX502-AF502</f>
        <v/>
      </c>
      <c r="BA502" s="14">
        <f>SUMIFS(Donnees_regimes!$S$3:$S$1118,Donnees_regimes!$A$3:$A$1118,C502,Donnees_regimes!$B$3:$B$1118,"&gt;="&amp;G502,Donnees_regimes!$B$3:$B$1118,"&lt;="&amp;N502)*L502/ROUNDUP(L502,0)*SUMIFS(Donnees_annuelles!$AH$3:$AH$188,Donnees_annuelles!$A$3:$A$188,AR502)*SUMIFS(Donnees_annuelles!$AA$3:$AA$188,Donnees_annuelles!$A$3:$A$188,AR502)</f>
        <v/>
      </c>
      <c r="BB502" s="39">
        <f>BA502-AL502</f>
        <v/>
      </c>
      <c r="BC502" s="7">
        <f>IF(M502+AJ502&gt;2026,IF(G502&gt;2026,"entièrement projeté","en partie projeté"),"observé")</f>
        <v/>
      </c>
    </row>
    <row r="503">
      <c r="A503" s="7" t="inlineStr">
        <is>
          <t>Génération silencieuse</t>
        </is>
      </c>
      <c r="B503" s="84" t="inlineStr">
        <is>
          <t>IEG</t>
        </is>
      </c>
      <c r="C503" s="7">
        <f>IF(G503&gt;=SUMIFS(Regimes!$C$5:$C$10,Regimes!$A$5:$A$10,B503),"Privé",B503)</f>
        <v/>
      </c>
      <c r="D503" s="7">
        <f>INDEX(Regimes!$D$5:$D$10,MATCH(C503,Regimes!$A$5:$A$10,0))</f>
        <v/>
      </c>
      <c r="E503" s="88" t="n">
        <v>1938</v>
      </c>
      <c r="F503" s="8">
        <f>Donnees_generations!C26</f>
        <v/>
      </c>
      <c r="G503" s="77">
        <f>Donnees_generations!D26</f>
        <v/>
      </c>
      <c r="H503" s="8">
        <f>SUMIFS(Donnees_generations!$S$3:$S$113,Donnees_generations!$A$3:$A$113,MAX(1915,MIN(2025,E503)))</f>
        <v/>
      </c>
      <c r="I503" s="8">
        <f>SUMIFS(Donnees_generations!$T$3:$T$113,Donnees_generations!$A$3:$A$113,MAX(1915,MIN(2025,E503)))</f>
        <v/>
      </c>
      <c r="J503" s="8">
        <f>IF(G503&gt;=2000,MAX(I503,Parametres!$B$3),I503)</f>
        <v/>
      </c>
      <c r="K503" s="8">
        <f>IF(C503="Privé",J503,SUMIFS(Regles_regimes!$J$3:$J$2000,Regles_regimes!$A$3:$A$2000,C503,Regles_regimes!$B$3:$B$2000,D503,Regles_regimes!$C$3:$C$2000,MAX(1915,MIN(2025,E503))))</f>
        <v/>
      </c>
      <c r="L503" s="8">
        <f>IF(C503="Privé",H503,(K503-F503)*H503/(J503-F503))</f>
        <v/>
      </c>
      <c r="M503" s="77">
        <f>INT(E503+K503)</f>
        <v/>
      </c>
      <c r="N503" s="77">
        <f>G503+ROUNDUP(L503,0)-1</f>
        <v/>
      </c>
      <c r="O503" s="89">
        <f>SUMIFS(Regles_regimes!$K$3:$K$2000,Regles_regimes!$A$3:$A$2000,C503,Regles_regimes!$B$3:$B$2000,D503,Regles_regimes!$C$3:$C$2000,MAX(1915,MIN(2025,E503)))</f>
        <v/>
      </c>
      <c r="P503" s="13">
        <f>SUMIFS(Donnees_annuelles!$W$3:$W$188,Donnees_annuelles!$A$3:$A$188,"&gt;="&amp;G503,Donnees_annuelles!$A$3:$A$188,"&lt;="&amp;N503)*L503/ROUNDUP(L503,0)*O503</f>
        <v/>
      </c>
      <c r="Q503" s="13">
        <f>SUMIFS(Donnees_annuelles!$V$3:$V$188,Donnees_annuelles!$A$3:$A$188,"&gt;="&amp;G503,Donnees_annuelles!$A$3:$A$188,"&lt;="&amp;N503)*L503/ROUNDUP(L503,0)</f>
        <v/>
      </c>
      <c r="R503" s="13">
        <f>P503/L503</f>
        <v/>
      </c>
      <c r="S503" s="14">
        <f>SUMIFS(Donnees_annuelles!$D$3:$D$188,Donnees_annuelles!$A$3:$A$188,"&gt;="&amp;G503,Donnees_annuelles!$A$3:$A$188,"&lt;="&amp;N503)*L503/ROUNDUP(L503,0)</f>
        <v/>
      </c>
      <c r="T503" s="14">
        <f>SUMIFS(Donnees_regimes!$N$3:$N$1118,Donnees_regimes!$A$3:$A$1118,C503,Donnees_regimes!$B$3:$B$1118,"&gt;="&amp;G503,Donnees_regimes!$B$3:$B$1118,"&lt;="&amp;N503)*L503/ROUNDUP(L503,0)</f>
        <v/>
      </c>
      <c r="U503" s="14">
        <f>SUMIFS(Donnees_regimes!$O$3:$O$1118,Donnees_regimes!$A$3:$A$1118,C503,Donnees_regimes!$B$3:$B$1118,"&gt;="&amp;G503,Donnees_regimes!$B$3:$B$1118,"&lt;="&amp;N503)*L503/ROUNDUP(L503,0)</f>
        <v/>
      </c>
      <c r="V503" s="14">
        <f>T503+U503</f>
        <v/>
      </c>
      <c r="W503" s="33">
        <f>V503/S503</f>
        <v/>
      </c>
      <c r="X503" s="14">
        <f>S503+U503</f>
        <v/>
      </c>
      <c r="Y503" s="17">
        <f>V503/P503</f>
        <v/>
      </c>
      <c r="Z503" s="14">
        <f>SUMIFS(Donnees_regimes!$Q$3:$Q$1118,Donnees_regimes!$A$3:$A$1118,C503,Donnees_regimes!$B$3:$B$1118,"&gt;="&amp;G503,Donnees_regimes!$B$3:$B$1118,"&lt;="&amp;N503)*L503/ROUNDUP(L503,0)</f>
        <v/>
      </c>
      <c r="AA503" s="77">
        <f>SUMIFS(Regles_regimes!$F$3:$F$2000,Regles_regimes!$A$3:$A$2000,C503,Regles_regimes!$B$3:$B$2000,D503,Regles_regimes!$C$3:$C$2000,MAX(1915,MIN(2025,E503)))</f>
        <v/>
      </c>
      <c r="AB503" s="77">
        <f>IF(AND(SUMIFS(Regles_regimes!$L$3:$L$2000,Regles_regimes!$A$3:$A$2000,C503,Regles_regimes!$B$3:$B$2000,D503,Regles_regimes!$C$3:$C$2000,MAX(1915,MIN(2025,E503)))=1,G503&lt;2009,C503&lt;&gt;"Privé"),MIN(20,L503*4/5),0)</f>
        <v/>
      </c>
      <c r="AC503" s="89">
        <f>SUMIFS(Donnees_regimes!$M$3:$M$1118,Donnees_regimes!$A$3:$A$1118,C503,Donnees_regimes!$B$3:$B$1118,M503)</f>
        <v/>
      </c>
      <c r="AD503" s="14">
        <f>SUMIFS(Donnees_annuelles!$Y$3:$Y$188,Donnees_annuelles!$A$3:$A$188,M503)*SUMIFS(Donnees_generations!$I$3:$I$113,Donnees_generations!$A$3:$A$113,MAX(1915,MIN(2025,E503)))/H503</f>
        <v/>
      </c>
      <c r="AE503" s="14">
        <f>IF(C503="Privé",SUMIFS(Donnees_annuelles!$Y$3:$Y$188,Donnees_annuelles!$A$3:$A$188,M503)*MIN(L503,SUMIFS(Donnees_generations!$I$3:$I$113,Donnees_generations!$A$3:$A$113,MAX(1915,MIN(2025,E503))))/L503,AD503*AC503*MIN(IF(AB503&gt;0,0.8/0.75,1),(L503*4+AB503)/AA503))</f>
        <v/>
      </c>
      <c r="AF503" s="14">
        <f>AE503/12</f>
        <v/>
      </c>
      <c r="AG503" s="77">
        <f>MIN(68,MAX(56,2*INT(K503/2)))</f>
        <v/>
      </c>
      <c r="AH503" s="75">
        <f>(CHOOSE((AG503-56)/2+1,SUMIFS(Donnees_generations!$U$3:$U$113,Donnees_generations!$A$3:$A$113,MAX(1915,MIN(2025,E503))),SUMIFS(Donnees_generations!$V$3:$V$113,Donnees_generations!$A$3:$A$113,MAX(1915,MIN(2025,E503))),SUMIFS(Donnees_generations!$W$3:$W$113,Donnees_generations!$A$3:$A$113,MAX(1915,MIN(2025,E503))),SUMIFS(Donnees_generations!$X$3:$X$113,Donnees_generations!$A$3:$A$113,MAX(1915,MIN(2025,E503))),SUMIFS(Donnees_generations!$Y$3:$Y$113,Donnees_generations!$A$3:$A$113,MAX(1915,MIN(2025,E503))),SUMIFS(Donnees_generations!$Z$3:$Z$113,Donnees_generations!$A$3:$A$113,MAX(1915,MIN(2025,E503))),SUMIFS(Donnees_generations!$AA$3:$AA$113,Donnees_generations!$A$3:$A$113,MAX(1915,MIN(2025,E503))),SUMIFS(Donnees_generations!$AB$3:$AB$113,Donnees_generations!$A$3:$A$113,MAX(1915,MIN(2025,E503))))+CHOOSE((AG503-56)/2+1,SUMIFS(Donnees_generations!$AC$3:$AC$113,Donnees_generations!$A$3:$A$113,MAX(1915,MIN(2025,E503))),SUMIFS(Donnees_generations!$AD$3:$AD$113,Donnees_generations!$A$3:$A$113,MAX(1915,MIN(2025,E503))),SUMIFS(Donnees_generations!$AE$3:$AE$113,Donnees_generations!$A$3:$A$113,MAX(1915,MIN(2025,E503))),SUMIFS(Donnees_generations!$AF$3:$AF$113,Donnees_generations!$A$3:$A$113,MAX(1915,MIN(2025,E503))),SUMIFS(Donnees_generations!$AG$3:$AG$113,Donnees_generations!$A$3:$A$113,MAX(1915,MIN(2025,E503))),SUMIFS(Donnees_generations!$AH$3:$AH$113,Donnees_generations!$A$3:$A$113,MAX(1915,MIN(2025,E503))),SUMIFS(Donnees_generations!$AI$3:$AI$113,Donnees_generations!$A$3:$A$113,MAX(1915,MIN(2025,E503))),SUMIFS(Donnees_generations!$AJ$3:$AJ$113,Donnees_generations!$A$3:$A$113,MAX(1915,MIN(2025,E503)))))/2</f>
        <v/>
      </c>
      <c r="AI503" s="75">
        <f>(CHOOSE(((AG503+2)-56)/2+1,SUMIFS(Donnees_generations!$U$3:$U$113,Donnees_generations!$A$3:$A$113,MAX(1915,MIN(2025,E503))),SUMIFS(Donnees_generations!$V$3:$V$113,Donnees_generations!$A$3:$A$113,MAX(1915,MIN(2025,E503))),SUMIFS(Donnees_generations!$W$3:$W$113,Donnees_generations!$A$3:$A$113,MAX(1915,MIN(2025,E503))),SUMIFS(Donnees_generations!$X$3:$X$113,Donnees_generations!$A$3:$A$113,MAX(1915,MIN(2025,E503))),SUMIFS(Donnees_generations!$Y$3:$Y$113,Donnees_generations!$A$3:$A$113,MAX(1915,MIN(2025,E503))),SUMIFS(Donnees_generations!$Z$3:$Z$113,Donnees_generations!$A$3:$A$113,MAX(1915,MIN(2025,E503))),SUMIFS(Donnees_generations!$AA$3:$AA$113,Donnees_generations!$A$3:$A$113,MAX(1915,MIN(2025,E503))),SUMIFS(Donnees_generations!$AB$3:$AB$113,Donnees_generations!$A$3:$A$113,MAX(1915,MIN(2025,E503))))+CHOOSE(((AG503+2)-56)/2+1,SUMIFS(Donnees_generations!$AC$3:$AC$113,Donnees_generations!$A$3:$A$113,MAX(1915,MIN(2025,E503))),SUMIFS(Donnees_generations!$AD$3:$AD$113,Donnees_generations!$A$3:$A$113,MAX(1915,MIN(2025,E503))),SUMIFS(Donnees_generations!$AE$3:$AE$113,Donnees_generations!$A$3:$A$113,MAX(1915,MIN(2025,E503))),SUMIFS(Donnees_generations!$AF$3:$AF$113,Donnees_generations!$A$3:$A$113,MAX(1915,MIN(2025,E503))),SUMIFS(Donnees_generations!$AG$3:$AG$113,Donnees_generations!$A$3:$A$113,MAX(1915,MIN(2025,E503))),SUMIFS(Donnees_generations!$AH$3:$AH$113,Donnees_generations!$A$3:$A$113,MAX(1915,MIN(2025,E503))),SUMIFS(Donnees_generations!$AI$3:$AI$113,Donnees_generations!$A$3:$A$113,MAX(1915,MIN(2025,E503))),SUMIFS(Donnees_generations!$AJ$3:$AJ$113,Donnees_generations!$A$3:$A$113,MAX(1915,MIN(2025,E503)))))/2</f>
        <v/>
      </c>
      <c r="AJ503" s="8">
        <f>MAX(0,AH503+(AI503-AH503)*(K503-AG503)/2)</f>
        <v/>
      </c>
      <c r="AK503" s="8">
        <f>K503+AJ503</f>
        <v/>
      </c>
      <c r="AL503" s="14">
        <f>AE503*AJ503</f>
        <v/>
      </c>
      <c r="AM503" s="17">
        <f>V503/AL503</f>
        <v/>
      </c>
      <c r="AN503" s="17">
        <f>Z503/AL503</f>
        <v/>
      </c>
      <c r="AO503" s="33">
        <f>IF(V503+Z503=0,0,Z503/(V503+Z503))</f>
        <v/>
      </c>
      <c r="AP503" s="14">
        <f>AL503/V503*100</f>
        <v/>
      </c>
      <c r="AQ503" s="8">
        <f>P503/AL503*1000</f>
        <v/>
      </c>
      <c r="AR503" s="77">
        <f>MAX(N503,M503-1)</f>
        <v/>
      </c>
      <c r="AS503" s="14">
        <f>SUMIFS(Donnees_regimes!$R$3:$R$1118,Donnees_regimes!$A$3:$A$1118,C503,Donnees_regimes!$B$3:$B$1118,"&gt;="&amp;G503,Donnees_regimes!$B$3:$B$1118,"&lt;="&amp;N503)*L503/ROUNDUP(L503,0)*SUMIFS(Donnees_annuelles!$AG$3:$AG$188,Donnees_annuelles!$A$3:$A$188,AR503)*SUMIFS(Donnees_annuelles!$AA$3:$AA$188,Donnees_annuelles!$A$3:$A$188,AR503)</f>
        <v/>
      </c>
      <c r="AT503" s="36">
        <f>AS503/V503</f>
        <v/>
      </c>
      <c r="AU503" s="14">
        <f>AL503</f>
        <v/>
      </c>
      <c r="AV503" s="39">
        <f>AS503-AL503</f>
        <v/>
      </c>
      <c r="AW503" s="9">
        <f>AS503/AL503-1</f>
        <v/>
      </c>
      <c r="AX503" s="14">
        <f>AS503/AJ503/12</f>
        <v/>
      </c>
      <c r="AY503" s="14">
        <f>AF503</f>
        <v/>
      </c>
      <c r="AZ503" s="39">
        <f>AX503-AF503</f>
        <v/>
      </c>
      <c r="BA503" s="14">
        <f>SUMIFS(Donnees_regimes!$S$3:$S$1118,Donnees_regimes!$A$3:$A$1118,C503,Donnees_regimes!$B$3:$B$1118,"&gt;="&amp;G503,Donnees_regimes!$B$3:$B$1118,"&lt;="&amp;N503)*L503/ROUNDUP(L503,0)*SUMIFS(Donnees_annuelles!$AH$3:$AH$188,Donnees_annuelles!$A$3:$A$188,AR503)*SUMIFS(Donnees_annuelles!$AA$3:$AA$188,Donnees_annuelles!$A$3:$A$188,AR503)</f>
        <v/>
      </c>
      <c r="BB503" s="39">
        <f>BA503-AL503</f>
        <v/>
      </c>
      <c r="BC503" s="7">
        <f>IF(M503+AJ503&gt;2026,IF(G503&gt;2026,"entièrement projeté","en partie projeté"),"observé")</f>
        <v/>
      </c>
    </row>
    <row r="504">
      <c r="A504" s="7" t="inlineStr">
        <is>
          <t>Génération silencieuse</t>
        </is>
      </c>
      <c r="B504" s="84" t="inlineStr">
        <is>
          <t>IEG</t>
        </is>
      </c>
      <c r="C504" s="7">
        <f>IF(G504&gt;=SUMIFS(Regimes!$C$5:$C$10,Regimes!$A$5:$A$10,B504),"Privé",B504)</f>
        <v/>
      </c>
      <c r="D504" s="7">
        <f>INDEX(Regimes!$D$5:$D$10,MATCH(C504,Regimes!$A$5:$A$10,0))</f>
        <v/>
      </c>
      <c r="E504" s="88" t="n">
        <v>1939</v>
      </c>
      <c r="F504" s="8">
        <f>Donnees_generations!C27</f>
        <v/>
      </c>
      <c r="G504" s="77">
        <f>Donnees_generations!D27</f>
        <v/>
      </c>
      <c r="H504" s="8">
        <f>SUMIFS(Donnees_generations!$S$3:$S$113,Donnees_generations!$A$3:$A$113,MAX(1915,MIN(2025,E504)))</f>
        <v/>
      </c>
      <c r="I504" s="8">
        <f>SUMIFS(Donnees_generations!$T$3:$T$113,Donnees_generations!$A$3:$A$113,MAX(1915,MIN(2025,E504)))</f>
        <v/>
      </c>
      <c r="J504" s="8">
        <f>IF(G504&gt;=2000,MAX(I504,Parametres!$B$3),I504)</f>
        <v/>
      </c>
      <c r="K504" s="8">
        <f>IF(C504="Privé",J504,SUMIFS(Regles_regimes!$J$3:$J$2000,Regles_regimes!$A$3:$A$2000,C504,Regles_regimes!$B$3:$B$2000,D504,Regles_regimes!$C$3:$C$2000,MAX(1915,MIN(2025,E504))))</f>
        <v/>
      </c>
      <c r="L504" s="8">
        <f>IF(C504="Privé",H504,(K504-F504)*H504/(J504-F504))</f>
        <v/>
      </c>
      <c r="M504" s="77">
        <f>INT(E504+K504)</f>
        <v/>
      </c>
      <c r="N504" s="77">
        <f>G504+ROUNDUP(L504,0)-1</f>
        <v/>
      </c>
      <c r="O504" s="89">
        <f>SUMIFS(Regles_regimes!$K$3:$K$2000,Regles_regimes!$A$3:$A$2000,C504,Regles_regimes!$B$3:$B$2000,D504,Regles_regimes!$C$3:$C$2000,MAX(1915,MIN(2025,E504)))</f>
        <v/>
      </c>
      <c r="P504" s="13">
        <f>SUMIFS(Donnees_annuelles!$W$3:$W$188,Donnees_annuelles!$A$3:$A$188,"&gt;="&amp;G504,Donnees_annuelles!$A$3:$A$188,"&lt;="&amp;N504)*L504/ROUNDUP(L504,0)*O504</f>
        <v/>
      </c>
      <c r="Q504" s="13">
        <f>SUMIFS(Donnees_annuelles!$V$3:$V$188,Donnees_annuelles!$A$3:$A$188,"&gt;="&amp;G504,Donnees_annuelles!$A$3:$A$188,"&lt;="&amp;N504)*L504/ROUNDUP(L504,0)</f>
        <v/>
      </c>
      <c r="R504" s="13">
        <f>P504/L504</f>
        <v/>
      </c>
      <c r="S504" s="14">
        <f>SUMIFS(Donnees_annuelles!$D$3:$D$188,Donnees_annuelles!$A$3:$A$188,"&gt;="&amp;G504,Donnees_annuelles!$A$3:$A$188,"&lt;="&amp;N504)*L504/ROUNDUP(L504,0)</f>
        <v/>
      </c>
      <c r="T504" s="14">
        <f>SUMIFS(Donnees_regimes!$N$3:$N$1118,Donnees_regimes!$A$3:$A$1118,C504,Donnees_regimes!$B$3:$B$1118,"&gt;="&amp;G504,Donnees_regimes!$B$3:$B$1118,"&lt;="&amp;N504)*L504/ROUNDUP(L504,0)</f>
        <v/>
      </c>
      <c r="U504" s="14">
        <f>SUMIFS(Donnees_regimes!$O$3:$O$1118,Donnees_regimes!$A$3:$A$1118,C504,Donnees_regimes!$B$3:$B$1118,"&gt;="&amp;G504,Donnees_regimes!$B$3:$B$1118,"&lt;="&amp;N504)*L504/ROUNDUP(L504,0)</f>
        <v/>
      </c>
      <c r="V504" s="14">
        <f>T504+U504</f>
        <v/>
      </c>
      <c r="W504" s="33">
        <f>V504/S504</f>
        <v/>
      </c>
      <c r="X504" s="14">
        <f>S504+U504</f>
        <v/>
      </c>
      <c r="Y504" s="17">
        <f>V504/P504</f>
        <v/>
      </c>
      <c r="Z504" s="14">
        <f>SUMIFS(Donnees_regimes!$Q$3:$Q$1118,Donnees_regimes!$A$3:$A$1118,C504,Donnees_regimes!$B$3:$B$1118,"&gt;="&amp;G504,Donnees_regimes!$B$3:$B$1118,"&lt;="&amp;N504)*L504/ROUNDUP(L504,0)</f>
        <v/>
      </c>
      <c r="AA504" s="77">
        <f>SUMIFS(Regles_regimes!$F$3:$F$2000,Regles_regimes!$A$3:$A$2000,C504,Regles_regimes!$B$3:$B$2000,D504,Regles_regimes!$C$3:$C$2000,MAX(1915,MIN(2025,E504)))</f>
        <v/>
      </c>
      <c r="AB504" s="77">
        <f>IF(AND(SUMIFS(Regles_regimes!$L$3:$L$2000,Regles_regimes!$A$3:$A$2000,C504,Regles_regimes!$B$3:$B$2000,D504,Regles_regimes!$C$3:$C$2000,MAX(1915,MIN(2025,E504)))=1,G504&lt;2009,C504&lt;&gt;"Privé"),MIN(20,L504*4/5),0)</f>
        <v/>
      </c>
      <c r="AC504" s="89">
        <f>SUMIFS(Donnees_regimes!$M$3:$M$1118,Donnees_regimes!$A$3:$A$1118,C504,Donnees_regimes!$B$3:$B$1118,M504)</f>
        <v/>
      </c>
      <c r="AD504" s="14">
        <f>SUMIFS(Donnees_annuelles!$Y$3:$Y$188,Donnees_annuelles!$A$3:$A$188,M504)*SUMIFS(Donnees_generations!$I$3:$I$113,Donnees_generations!$A$3:$A$113,MAX(1915,MIN(2025,E504)))/H504</f>
        <v/>
      </c>
      <c r="AE504" s="14">
        <f>IF(C504="Privé",SUMIFS(Donnees_annuelles!$Y$3:$Y$188,Donnees_annuelles!$A$3:$A$188,M504)*MIN(L504,SUMIFS(Donnees_generations!$I$3:$I$113,Donnees_generations!$A$3:$A$113,MAX(1915,MIN(2025,E504))))/L504,AD504*AC504*MIN(IF(AB504&gt;0,0.8/0.75,1),(L504*4+AB504)/AA504))</f>
        <v/>
      </c>
      <c r="AF504" s="14">
        <f>AE504/12</f>
        <v/>
      </c>
      <c r="AG504" s="77">
        <f>MIN(68,MAX(56,2*INT(K504/2)))</f>
        <v/>
      </c>
      <c r="AH504" s="75">
        <f>(CHOOSE((AG504-56)/2+1,SUMIFS(Donnees_generations!$U$3:$U$113,Donnees_generations!$A$3:$A$113,MAX(1915,MIN(2025,E504))),SUMIFS(Donnees_generations!$V$3:$V$113,Donnees_generations!$A$3:$A$113,MAX(1915,MIN(2025,E504))),SUMIFS(Donnees_generations!$W$3:$W$113,Donnees_generations!$A$3:$A$113,MAX(1915,MIN(2025,E504))),SUMIFS(Donnees_generations!$X$3:$X$113,Donnees_generations!$A$3:$A$113,MAX(1915,MIN(2025,E504))),SUMIFS(Donnees_generations!$Y$3:$Y$113,Donnees_generations!$A$3:$A$113,MAX(1915,MIN(2025,E504))),SUMIFS(Donnees_generations!$Z$3:$Z$113,Donnees_generations!$A$3:$A$113,MAX(1915,MIN(2025,E504))),SUMIFS(Donnees_generations!$AA$3:$AA$113,Donnees_generations!$A$3:$A$113,MAX(1915,MIN(2025,E504))),SUMIFS(Donnees_generations!$AB$3:$AB$113,Donnees_generations!$A$3:$A$113,MAX(1915,MIN(2025,E504))))+CHOOSE((AG504-56)/2+1,SUMIFS(Donnees_generations!$AC$3:$AC$113,Donnees_generations!$A$3:$A$113,MAX(1915,MIN(2025,E504))),SUMIFS(Donnees_generations!$AD$3:$AD$113,Donnees_generations!$A$3:$A$113,MAX(1915,MIN(2025,E504))),SUMIFS(Donnees_generations!$AE$3:$AE$113,Donnees_generations!$A$3:$A$113,MAX(1915,MIN(2025,E504))),SUMIFS(Donnees_generations!$AF$3:$AF$113,Donnees_generations!$A$3:$A$113,MAX(1915,MIN(2025,E504))),SUMIFS(Donnees_generations!$AG$3:$AG$113,Donnees_generations!$A$3:$A$113,MAX(1915,MIN(2025,E504))),SUMIFS(Donnees_generations!$AH$3:$AH$113,Donnees_generations!$A$3:$A$113,MAX(1915,MIN(2025,E504))),SUMIFS(Donnees_generations!$AI$3:$AI$113,Donnees_generations!$A$3:$A$113,MAX(1915,MIN(2025,E504))),SUMIFS(Donnees_generations!$AJ$3:$AJ$113,Donnees_generations!$A$3:$A$113,MAX(1915,MIN(2025,E504)))))/2</f>
        <v/>
      </c>
      <c r="AI504" s="75">
        <f>(CHOOSE(((AG504+2)-56)/2+1,SUMIFS(Donnees_generations!$U$3:$U$113,Donnees_generations!$A$3:$A$113,MAX(1915,MIN(2025,E504))),SUMIFS(Donnees_generations!$V$3:$V$113,Donnees_generations!$A$3:$A$113,MAX(1915,MIN(2025,E504))),SUMIFS(Donnees_generations!$W$3:$W$113,Donnees_generations!$A$3:$A$113,MAX(1915,MIN(2025,E504))),SUMIFS(Donnees_generations!$X$3:$X$113,Donnees_generations!$A$3:$A$113,MAX(1915,MIN(2025,E504))),SUMIFS(Donnees_generations!$Y$3:$Y$113,Donnees_generations!$A$3:$A$113,MAX(1915,MIN(2025,E504))),SUMIFS(Donnees_generations!$Z$3:$Z$113,Donnees_generations!$A$3:$A$113,MAX(1915,MIN(2025,E504))),SUMIFS(Donnees_generations!$AA$3:$AA$113,Donnees_generations!$A$3:$A$113,MAX(1915,MIN(2025,E504))),SUMIFS(Donnees_generations!$AB$3:$AB$113,Donnees_generations!$A$3:$A$113,MAX(1915,MIN(2025,E504))))+CHOOSE(((AG504+2)-56)/2+1,SUMIFS(Donnees_generations!$AC$3:$AC$113,Donnees_generations!$A$3:$A$113,MAX(1915,MIN(2025,E504))),SUMIFS(Donnees_generations!$AD$3:$AD$113,Donnees_generations!$A$3:$A$113,MAX(1915,MIN(2025,E504))),SUMIFS(Donnees_generations!$AE$3:$AE$113,Donnees_generations!$A$3:$A$113,MAX(1915,MIN(2025,E504))),SUMIFS(Donnees_generations!$AF$3:$AF$113,Donnees_generations!$A$3:$A$113,MAX(1915,MIN(2025,E504))),SUMIFS(Donnees_generations!$AG$3:$AG$113,Donnees_generations!$A$3:$A$113,MAX(1915,MIN(2025,E504))),SUMIFS(Donnees_generations!$AH$3:$AH$113,Donnees_generations!$A$3:$A$113,MAX(1915,MIN(2025,E504))),SUMIFS(Donnees_generations!$AI$3:$AI$113,Donnees_generations!$A$3:$A$113,MAX(1915,MIN(2025,E504))),SUMIFS(Donnees_generations!$AJ$3:$AJ$113,Donnees_generations!$A$3:$A$113,MAX(1915,MIN(2025,E504)))))/2</f>
        <v/>
      </c>
      <c r="AJ504" s="8">
        <f>MAX(0,AH504+(AI504-AH504)*(K504-AG504)/2)</f>
        <v/>
      </c>
      <c r="AK504" s="8">
        <f>K504+AJ504</f>
        <v/>
      </c>
      <c r="AL504" s="14">
        <f>AE504*AJ504</f>
        <v/>
      </c>
      <c r="AM504" s="17">
        <f>V504/AL504</f>
        <v/>
      </c>
      <c r="AN504" s="17">
        <f>Z504/AL504</f>
        <v/>
      </c>
      <c r="AO504" s="33">
        <f>IF(V504+Z504=0,0,Z504/(V504+Z504))</f>
        <v/>
      </c>
      <c r="AP504" s="14">
        <f>AL504/V504*100</f>
        <v/>
      </c>
      <c r="AQ504" s="8">
        <f>P504/AL504*1000</f>
        <v/>
      </c>
      <c r="AR504" s="77">
        <f>MAX(N504,M504-1)</f>
        <v/>
      </c>
      <c r="AS504" s="14">
        <f>SUMIFS(Donnees_regimes!$R$3:$R$1118,Donnees_regimes!$A$3:$A$1118,C504,Donnees_regimes!$B$3:$B$1118,"&gt;="&amp;G504,Donnees_regimes!$B$3:$B$1118,"&lt;="&amp;N504)*L504/ROUNDUP(L504,0)*SUMIFS(Donnees_annuelles!$AG$3:$AG$188,Donnees_annuelles!$A$3:$A$188,AR504)*SUMIFS(Donnees_annuelles!$AA$3:$AA$188,Donnees_annuelles!$A$3:$A$188,AR504)</f>
        <v/>
      </c>
      <c r="AT504" s="36">
        <f>AS504/V504</f>
        <v/>
      </c>
      <c r="AU504" s="14">
        <f>AL504</f>
        <v/>
      </c>
      <c r="AV504" s="39">
        <f>AS504-AL504</f>
        <v/>
      </c>
      <c r="AW504" s="9">
        <f>AS504/AL504-1</f>
        <v/>
      </c>
      <c r="AX504" s="14">
        <f>AS504/AJ504/12</f>
        <v/>
      </c>
      <c r="AY504" s="14">
        <f>AF504</f>
        <v/>
      </c>
      <c r="AZ504" s="39">
        <f>AX504-AF504</f>
        <v/>
      </c>
      <c r="BA504" s="14">
        <f>SUMIFS(Donnees_regimes!$S$3:$S$1118,Donnees_regimes!$A$3:$A$1118,C504,Donnees_regimes!$B$3:$B$1118,"&gt;="&amp;G504,Donnees_regimes!$B$3:$B$1118,"&lt;="&amp;N504)*L504/ROUNDUP(L504,0)*SUMIFS(Donnees_annuelles!$AH$3:$AH$188,Donnees_annuelles!$A$3:$A$188,AR504)*SUMIFS(Donnees_annuelles!$AA$3:$AA$188,Donnees_annuelles!$A$3:$A$188,AR504)</f>
        <v/>
      </c>
      <c r="BB504" s="39">
        <f>BA504-AL504</f>
        <v/>
      </c>
      <c r="BC504" s="7">
        <f>IF(M504+AJ504&gt;2026,IF(G504&gt;2026,"entièrement projeté","en partie projeté"),"observé")</f>
        <v/>
      </c>
    </row>
    <row r="505">
      <c r="A505" s="7" t="inlineStr">
        <is>
          <t>Génération silencieuse</t>
        </is>
      </c>
      <c r="B505" s="84" t="inlineStr">
        <is>
          <t>IEG</t>
        </is>
      </c>
      <c r="C505" s="7">
        <f>IF(G505&gt;=SUMIFS(Regimes!$C$5:$C$10,Regimes!$A$5:$A$10,B505),"Privé",B505)</f>
        <v/>
      </c>
      <c r="D505" s="7">
        <f>INDEX(Regimes!$D$5:$D$10,MATCH(C505,Regimes!$A$5:$A$10,0))</f>
        <v/>
      </c>
      <c r="E505" s="88" t="n">
        <v>1940</v>
      </c>
      <c r="F505" s="8">
        <f>Donnees_generations!C28</f>
        <v/>
      </c>
      <c r="G505" s="77">
        <f>Donnees_generations!D28</f>
        <v/>
      </c>
      <c r="H505" s="8">
        <f>SUMIFS(Donnees_generations!$S$3:$S$113,Donnees_generations!$A$3:$A$113,MAX(1915,MIN(2025,E505)))</f>
        <v/>
      </c>
      <c r="I505" s="8">
        <f>SUMIFS(Donnees_generations!$T$3:$T$113,Donnees_generations!$A$3:$A$113,MAX(1915,MIN(2025,E505)))</f>
        <v/>
      </c>
      <c r="J505" s="8">
        <f>IF(G505&gt;=2000,MAX(I505,Parametres!$B$3),I505)</f>
        <v/>
      </c>
      <c r="K505" s="8">
        <f>IF(C505="Privé",J505,SUMIFS(Regles_regimes!$J$3:$J$2000,Regles_regimes!$A$3:$A$2000,C505,Regles_regimes!$B$3:$B$2000,D505,Regles_regimes!$C$3:$C$2000,MAX(1915,MIN(2025,E505))))</f>
        <v/>
      </c>
      <c r="L505" s="8">
        <f>IF(C505="Privé",H505,(K505-F505)*H505/(J505-F505))</f>
        <v/>
      </c>
      <c r="M505" s="77">
        <f>INT(E505+K505)</f>
        <v/>
      </c>
      <c r="N505" s="77">
        <f>G505+ROUNDUP(L505,0)-1</f>
        <v/>
      </c>
      <c r="O505" s="89">
        <f>SUMIFS(Regles_regimes!$K$3:$K$2000,Regles_regimes!$A$3:$A$2000,C505,Regles_regimes!$B$3:$B$2000,D505,Regles_regimes!$C$3:$C$2000,MAX(1915,MIN(2025,E505)))</f>
        <v/>
      </c>
      <c r="P505" s="13">
        <f>SUMIFS(Donnees_annuelles!$W$3:$W$188,Donnees_annuelles!$A$3:$A$188,"&gt;="&amp;G505,Donnees_annuelles!$A$3:$A$188,"&lt;="&amp;N505)*L505/ROUNDUP(L505,0)*O505</f>
        <v/>
      </c>
      <c r="Q505" s="13">
        <f>SUMIFS(Donnees_annuelles!$V$3:$V$188,Donnees_annuelles!$A$3:$A$188,"&gt;="&amp;G505,Donnees_annuelles!$A$3:$A$188,"&lt;="&amp;N505)*L505/ROUNDUP(L505,0)</f>
        <v/>
      </c>
      <c r="R505" s="13">
        <f>P505/L505</f>
        <v/>
      </c>
      <c r="S505" s="14">
        <f>SUMIFS(Donnees_annuelles!$D$3:$D$188,Donnees_annuelles!$A$3:$A$188,"&gt;="&amp;G505,Donnees_annuelles!$A$3:$A$188,"&lt;="&amp;N505)*L505/ROUNDUP(L505,0)</f>
        <v/>
      </c>
      <c r="T505" s="14">
        <f>SUMIFS(Donnees_regimes!$N$3:$N$1118,Donnees_regimes!$A$3:$A$1118,C505,Donnees_regimes!$B$3:$B$1118,"&gt;="&amp;G505,Donnees_regimes!$B$3:$B$1118,"&lt;="&amp;N505)*L505/ROUNDUP(L505,0)</f>
        <v/>
      </c>
      <c r="U505" s="14">
        <f>SUMIFS(Donnees_regimes!$O$3:$O$1118,Donnees_regimes!$A$3:$A$1118,C505,Donnees_regimes!$B$3:$B$1118,"&gt;="&amp;G505,Donnees_regimes!$B$3:$B$1118,"&lt;="&amp;N505)*L505/ROUNDUP(L505,0)</f>
        <v/>
      </c>
      <c r="V505" s="14">
        <f>T505+U505</f>
        <v/>
      </c>
      <c r="W505" s="33">
        <f>V505/S505</f>
        <v/>
      </c>
      <c r="X505" s="14">
        <f>S505+U505</f>
        <v/>
      </c>
      <c r="Y505" s="17">
        <f>V505/P505</f>
        <v/>
      </c>
      <c r="Z505" s="14">
        <f>SUMIFS(Donnees_regimes!$Q$3:$Q$1118,Donnees_regimes!$A$3:$A$1118,C505,Donnees_regimes!$B$3:$B$1118,"&gt;="&amp;G505,Donnees_regimes!$B$3:$B$1118,"&lt;="&amp;N505)*L505/ROUNDUP(L505,0)</f>
        <v/>
      </c>
      <c r="AA505" s="77">
        <f>SUMIFS(Regles_regimes!$F$3:$F$2000,Regles_regimes!$A$3:$A$2000,C505,Regles_regimes!$B$3:$B$2000,D505,Regles_regimes!$C$3:$C$2000,MAX(1915,MIN(2025,E505)))</f>
        <v/>
      </c>
      <c r="AB505" s="77">
        <f>IF(AND(SUMIFS(Regles_regimes!$L$3:$L$2000,Regles_regimes!$A$3:$A$2000,C505,Regles_regimes!$B$3:$B$2000,D505,Regles_regimes!$C$3:$C$2000,MAX(1915,MIN(2025,E505)))=1,G505&lt;2009,C505&lt;&gt;"Privé"),MIN(20,L505*4/5),0)</f>
        <v/>
      </c>
      <c r="AC505" s="89">
        <f>SUMIFS(Donnees_regimes!$M$3:$M$1118,Donnees_regimes!$A$3:$A$1118,C505,Donnees_regimes!$B$3:$B$1118,M505)</f>
        <v/>
      </c>
      <c r="AD505" s="14">
        <f>SUMIFS(Donnees_annuelles!$Y$3:$Y$188,Donnees_annuelles!$A$3:$A$188,M505)*SUMIFS(Donnees_generations!$I$3:$I$113,Donnees_generations!$A$3:$A$113,MAX(1915,MIN(2025,E505)))/H505</f>
        <v/>
      </c>
      <c r="AE505" s="14">
        <f>IF(C505="Privé",SUMIFS(Donnees_annuelles!$Y$3:$Y$188,Donnees_annuelles!$A$3:$A$188,M505)*MIN(L505,SUMIFS(Donnees_generations!$I$3:$I$113,Donnees_generations!$A$3:$A$113,MAX(1915,MIN(2025,E505))))/L505,AD505*AC505*MIN(IF(AB505&gt;0,0.8/0.75,1),(L505*4+AB505)/AA505))</f>
        <v/>
      </c>
      <c r="AF505" s="14">
        <f>AE505/12</f>
        <v/>
      </c>
      <c r="AG505" s="77">
        <f>MIN(68,MAX(56,2*INT(K505/2)))</f>
        <v/>
      </c>
      <c r="AH505" s="75">
        <f>(CHOOSE((AG505-56)/2+1,SUMIFS(Donnees_generations!$U$3:$U$113,Donnees_generations!$A$3:$A$113,MAX(1915,MIN(2025,E505))),SUMIFS(Donnees_generations!$V$3:$V$113,Donnees_generations!$A$3:$A$113,MAX(1915,MIN(2025,E505))),SUMIFS(Donnees_generations!$W$3:$W$113,Donnees_generations!$A$3:$A$113,MAX(1915,MIN(2025,E505))),SUMIFS(Donnees_generations!$X$3:$X$113,Donnees_generations!$A$3:$A$113,MAX(1915,MIN(2025,E505))),SUMIFS(Donnees_generations!$Y$3:$Y$113,Donnees_generations!$A$3:$A$113,MAX(1915,MIN(2025,E505))),SUMIFS(Donnees_generations!$Z$3:$Z$113,Donnees_generations!$A$3:$A$113,MAX(1915,MIN(2025,E505))),SUMIFS(Donnees_generations!$AA$3:$AA$113,Donnees_generations!$A$3:$A$113,MAX(1915,MIN(2025,E505))),SUMIFS(Donnees_generations!$AB$3:$AB$113,Donnees_generations!$A$3:$A$113,MAX(1915,MIN(2025,E505))))+CHOOSE((AG505-56)/2+1,SUMIFS(Donnees_generations!$AC$3:$AC$113,Donnees_generations!$A$3:$A$113,MAX(1915,MIN(2025,E505))),SUMIFS(Donnees_generations!$AD$3:$AD$113,Donnees_generations!$A$3:$A$113,MAX(1915,MIN(2025,E505))),SUMIFS(Donnees_generations!$AE$3:$AE$113,Donnees_generations!$A$3:$A$113,MAX(1915,MIN(2025,E505))),SUMIFS(Donnees_generations!$AF$3:$AF$113,Donnees_generations!$A$3:$A$113,MAX(1915,MIN(2025,E505))),SUMIFS(Donnees_generations!$AG$3:$AG$113,Donnees_generations!$A$3:$A$113,MAX(1915,MIN(2025,E505))),SUMIFS(Donnees_generations!$AH$3:$AH$113,Donnees_generations!$A$3:$A$113,MAX(1915,MIN(2025,E505))),SUMIFS(Donnees_generations!$AI$3:$AI$113,Donnees_generations!$A$3:$A$113,MAX(1915,MIN(2025,E505))),SUMIFS(Donnees_generations!$AJ$3:$AJ$113,Donnees_generations!$A$3:$A$113,MAX(1915,MIN(2025,E505)))))/2</f>
        <v/>
      </c>
      <c r="AI505" s="75">
        <f>(CHOOSE(((AG505+2)-56)/2+1,SUMIFS(Donnees_generations!$U$3:$U$113,Donnees_generations!$A$3:$A$113,MAX(1915,MIN(2025,E505))),SUMIFS(Donnees_generations!$V$3:$V$113,Donnees_generations!$A$3:$A$113,MAX(1915,MIN(2025,E505))),SUMIFS(Donnees_generations!$W$3:$W$113,Donnees_generations!$A$3:$A$113,MAX(1915,MIN(2025,E505))),SUMIFS(Donnees_generations!$X$3:$X$113,Donnees_generations!$A$3:$A$113,MAX(1915,MIN(2025,E505))),SUMIFS(Donnees_generations!$Y$3:$Y$113,Donnees_generations!$A$3:$A$113,MAX(1915,MIN(2025,E505))),SUMIFS(Donnees_generations!$Z$3:$Z$113,Donnees_generations!$A$3:$A$113,MAX(1915,MIN(2025,E505))),SUMIFS(Donnees_generations!$AA$3:$AA$113,Donnees_generations!$A$3:$A$113,MAX(1915,MIN(2025,E505))),SUMIFS(Donnees_generations!$AB$3:$AB$113,Donnees_generations!$A$3:$A$113,MAX(1915,MIN(2025,E505))))+CHOOSE(((AG505+2)-56)/2+1,SUMIFS(Donnees_generations!$AC$3:$AC$113,Donnees_generations!$A$3:$A$113,MAX(1915,MIN(2025,E505))),SUMIFS(Donnees_generations!$AD$3:$AD$113,Donnees_generations!$A$3:$A$113,MAX(1915,MIN(2025,E505))),SUMIFS(Donnees_generations!$AE$3:$AE$113,Donnees_generations!$A$3:$A$113,MAX(1915,MIN(2025,E505))),SUMIFS(Donnees_generations!$AF$3:$AF$113,Donnees_generations!$A$3:$A$113,MAX(1915,MIN(2025,E505))),SUMIFS(Donnees_generations!$AG$3:$AG$113,Donnees_generations!$A$3:$A$113,MAX(1915,MIN(2025,E505))),SUMIFS(Donnees_generations!$AH$3:$AH$113,Donnees_generations!$A$3:$A$113,MAX(1915,MIN(2025,E505))),SUMIFS(Donnees_generations!$AI$3:$AI$113,Donnees_generations!$A$3:$A$113,MAX(1915,MIN(2025,E505))),SUMIFS(Donnees_generations!$AJ$3:$AJ$113,Donnees_generations!$A$3:$A$113,MAX(1915,MIN(2025,E505)))))/2</f>
        <v/>
      </c>
      <c r="AJ505" s="8">
        <f>MAX(0,AH505+(AI505-AH505)*(K505-AG505)/2)</f>
        <v/>
      </c>
      <c r="AK505" s="8">
        <f>K505+AJ505</f>
        <v/>
      </c>
      <c r="AL505" s="14">
        <f>AE505*AJ505</f>
        <v/>
      </c>
      <c r="AM505" s="17">
        <f>V505/AL505</f>
        <v/>
      </c>
      <c r="AN505" s="17">
        <f>Z505/AL505</f>
        <v/>
      </c>
      <c r="AO505" s="33">
        <f>IF(V505+Z505=0,0,Z505/(V505+Z505))</f>
        <v/>
      </c>
      <c r="AP505" s="14">
        <f>AL505/V505*100</f>
        <v/>
      </c>
      <c r="AQ505" s="8">
        <f>P505/AL505*1000</f>
        <v/>
      </c>
      <c r="AR505" s="77">
        <f>MAX(N505,M505-1)</f>
        <v/>
      </c>
      <c r="AS505" s="14">
        <f>SUMIFS(Donnees_regimes!$R$3:$R$1118,Donnees_regimes!$A$3:$A$1118,C505,Donnees_regimes!$B$3:$B$1118,"&gt;="&amp;G505,Donnees_regimes!$B$3:$B$1118,"&lt;="&amp;N505)*L505/ROUNDUP(L505,0)*SUMIFS(Donnees_annuelles!$AG$3:$AG$188,Donnees_annuelles!$A$3:$A$188,AR505)*SUMIFS(Donnees_annuelles!$AA$3:$AA$188,Donnees_annuelles!$A$3:$A$188,AR505)</f>
        <v/>
      </c>
      <c r="AT505" s="36">
        <f>AS505/V505</f>
        <v/>
      </c>
      <c r="AU505" s="14">
        <f>AL505</f>
        <v/>
      </c>
      <c r="AV505" s="39">
        <f>AS505-AL505</f>
        <v/>
      </c>
      <c r="AW505" s="9">
        <f>AS505/AL505-1</f>
        <v/>
      </c>
      <c r="AX505" s="14">
        <f>AS505/AJ505/12</f>
        <v/>
      </c>
      <c r="AY505" s="14">
        <f>AF505</f>
        <v/>
      </c>
      <c r="AZ505" s="39">
        <f>AX505-AF505</f>
        <v/>
      </c>
      <c r="BA505" s="14">
        <f>SUMIFS(Donnees_regimes!$S$3:$S$1118,Donnees_regimes!$A$3:$A$1118,C505,Donnees_regimes!$B$3:$B$1118,"&gt;="&amp;G505,Donnees_regimes!$B$3:$B$1118,"&lt;="&amp;N505)*L505/ROUNDUP(L505,0)*SUMIFS(Donnees_annuelles!$AH$3:$AH$188,Donnees_annuelles!$A$3:$A$188,AR505)*SUMIFS(Donnees_annuelles!$AA$3:$AA$188,Donnees_annuelles!$A$3:$A$188,AR505)</f>
        <v/>
      </c>
      <c r="BB505" s="39">
        <f>BA505-AL505</f>
        <v/>
      </c>
      <c r="BC505" s="7">
        <f>IF(M505+AJ505&gt;2026,IF(G505&gt;2026,"entièrement projeté","en partie projeté"),"observé")</f>
        <v/>
      </c>
    </row>
    <row r="506">
      <c r="A506" s="7" t="inlineStr">
        <is>
          <t>Génération silencieuse</t>
        </is>
      </c>
      <c r="B506" s="84" t="inlineStr">
        <is>
          <t>IEG</t>
        </is>
      </c>
      <c r="C506" s="7">
        <f>IF(G506&gt;=SUMIFS(Regimes!$C$5:$C$10,Regimes!$A$5:$A$10,B506),"Privé",B506)</f>
        <v/>
      </c>
      <c r="D506" s="7">
        <f>INDEX(Regimes!$D$5:$D$10,MATCH(C506,Regimes!$A$5:$A$10,0))</f>
        <v/>
      </c>
      <c r="E506" s="88" t="n">
        <v>1941</v>
      </c>
      <c r="F506" s="8">
        <f>Donnees_generations!C29</f>
        <v/>
      </c>
      <c r="G506" s="77">
        <f>Donnees_generations!D29</f>
        <v/>
      </c>
      <c r="H506" s="8">
        <f>SUMIFS(Donnees_generations!$S$3:$S$113,Donnees_generations!$A$3:$A$113,MAX(1915,MIN(2025,E506)))</f>
        <v/>
      </c>
      <c r="I506" s="8">
        <f>SUMIFS(Donnees_generations!$T$3:$T$113,Donnees_generations!$A$3:$A$113,MAX(1915,MIN(2025,E506)))</f>
        <v/>
      </c>
      <c r="J506" s="8">
        <f>IF(G506&gt;=2000,MAX(I506,Parametres!$B$3),I506)</f>
        <v/>
      </c>
      <c r="K506" s="8">
        <f>IF(C506="Privé",J506,SUMIFS(Regles_regimes!$J$3:$J$2000,Regles_regimes!$A$3:$A$2000,C506,Regles_regimes!$B$3:$B$2000,D506,Regles_regimes!$C$3:$C$2000,MAX(1915,MIN(2025,E506))))</f>
        <v/>
      </c>
      <c r="L506" s="8">
        <f>IF(C506="Privé",H506,(K506-F506)*H506/(J506-F506))</f>
        <v/>
      </c>
      <c r="M506" s="77">
        <f>INT(E506+K506)</f>
        <v/>
      </c>
      <c r="N506" s="77">
        <f>G506+ROUNDUP(L506,0)-1</f>
        <v/>
      </c>
      <c r="O506" s="89">
        <f>SUMIFS(Regles_regimes!$K$3:$K$2000,Regles_regimes!$A$3:$A$2000,C506,Regles_regimes!$B$3:$B$2000,D506,Regles_regimes!$C$3:$C$2000,MAX(1915,MIN(2025,E506)))</f>
        <v/>
      </c>
      <c r="P506" s="13">
        <f>SUMIFS(Donnees_annuelles!$W$3:$W$188,Donnees_annuelles!$A$3:$A$188,"&gt;="&amp;G506,Donnees_annuelles!$A$3:$A$188,"&lt;="&amp;N506)*L506/ROUNDUP(L506,0)*O506</f>
        <v/>
      </c>
      <c r="Q506" s="13">
        <f>SUMIFS(Donnees_annuelles!$V$3:$V$188,Donnees_annuelles!$A$3:$A$188,"&gt;="&amp;G506,Donnees_annuelles!$A$3:$A$188,"&lt;="&amp;N506)*L506/ROUNDUP(L506,0)</f>
        <v/>
      </c>
      <c r="R506" s="13">
        <f>P506/L506</f>
        <v/>
      </c>
      <c r="S506" s="14">
        <f>SUMIFS(Donnees_annuelles!$D$3:$D$188,Donnees_annuelles!$A$3:$A$188,"&gt;="&amp;G506,Donnees_annuelles!$A$3:$A$188,"&lt;="&amp;N506)*L506/ROUNDUP(L506,0)</f>
        <v/>
      </c>
      <c r="T506" s="14">
        <f>SUMIFS(Donnees_regimes!$N$3:$N$1118,Donnees_regimes!$A$3:$A$1118,C506,Donnees_regimes!$B$3:$B$1118,"&gt;="&amp;G506,Donnees_regimes!$B$3:$B$1118,"&lt;="&amp;N506)*L506/ROUNDUP(L506,0)</f>
        <v/>
      </c>
      <c r="U506" s="14">
        <f>SUMIFS(Donnees_regimes!$O$3:$O$1118,Donnees_regimes!$A$3:$A$1118,C506,Donnees_regimes!$B$3:$B$1118,"&gt;="&amp;G506,Donnees_regimes!$B$3:$B$1118,"&lt;="&amp;N506)*L506/ROUNDUP(L506,0)</f>
        <v/>
      </c>
      <c r="V506" s="14">
        <f>T506+U506</f>
        <v/>
      </c>
      <c r="W506" s="33">
        <f>V506/S506</f>
        <v/>
      </c>
      <c r="X506" s="14">
        <f>S506+U506</f>
        <v/>
      </c>
      <c r="Y506" s="17">
        <f>V506/P506</f>
        <v/>
      </c>
      <c r="Z506" s="14">
        <f>SUMIFS(Donnees_regimes!$Q$3:$Q$1118,Donnees_regimes!$A$3:$A$1118,C506,Donnees_regimes!$B$3:$B$1118,"&gt;="&amp;G506,Donnees_regimes!$B$3:$B$1118,"&lt;="&amp;N506)*L506/ROUNDUP(L506,0)</f>
        <v/>
      </c>
      <c r="AA506" s="77">
        <f>SUMIFS(Regles_regimes!$F$3:$F$2000,Regles_regimes!$A$3:$A$2000,C506,Regles_regimes!$B$3:$B$2000,D506,Regles_regimes!$C$3:$C$2000,MAX(1915,MIN(2025,E506)))</f>
        <v/>
      </c>
      <c r="AB506" s="77">
        <f>IF(AND(SUMIFS(Regles_regimes!$L$3:$L$2000,Regles_regimes!$A$3:$A$2000,C506,Regles_regimes!$B$3:$B$2000,D506,Regles_regimes!$C$3:$C$2000,MAX(1915,MIN(2025,E506)))=1,G506&lt;2009,C506&lt;&gt;"Privé"),MIN(20,L506*4/5),0)</f>
        <v/>
      </c>
      <c r="AC506" s="89">
        <f>SUMIFS(Donnees_regimes!$M$3:$M$1118,Donnees_regimes!$A$3:$A$1118,C506,Donnees_regimes!$B$3:$B$1118,M506)</f>
        <v/>
      </c>
      <c r="AD506" s="14">
        <f>SUMIFS(Donnees_annuelles!$Y$3:$Y$188,Donnees_annuelles!$A$3:$A$188,M506)*SUMIFS(Donnees_generations!$I$3:$I$113,Donnees_generations!$A$3:$A$113,MAX(1915,MIN(2025,E506)))/H506</f>
        <v/>
      </c>
      <c r="AE506" s="14">
        <f>IF(C506="Privé",SUMIFS(Donnees_annuelles!$Y$3:$Y$188,Donnees_annuelles!$A$3:$A$188,M506)*MIN(L506,SUMIFS(Donnees_generations!$I$3:$I$113,Donnees_generations!$A$3:$A$113,MAX(1915,MIN(2025,E506))))/L506,AD506*AC506*MIN(IF(AB506&gt;0,0.8/0.75,1),(L506*4+AB506)/AA506))</f>
        <v/>
      </c>
      <c r="AF506" s="14">
        <f>AE506/12</f>
        <v/>
      </c>
      <c r="AG506" s="77">
        <f>MIN(68,MAX(56,2*INT(K506/2)))</f>
        <v/>
      </c>
      <c r="AH506" s="75">
        <f>(CHOOSE((AG506-56)/2+1,SUMIFS(Donnees_generations!$U$3:$U$113,Donnees_generations!$A$3:$A$113,MAX(1915,MIN(2025,E506))),SUMIFS(Donnees_generations!$V$3:$V$113,Donnees_generations!$A$3:$A$113,MAX(1915,MIN(2025,E506))),SUMIFS(Donnees_generations!$W$3:$W$113,Donnees_generations!$A$3:$A$113,MAX(1915,MIN(2025,E506))),SUMIFS(Donnees_generations!$X$3:$X$113,Donnees_generations!$A$3:$A$113,MAX(1915,MIN(2025,E506))),SUMIFS(Donnees_generations!$Y$3:$Y$113,Donnees_generations!$A$3:$A$113,MAX(1915,MIN(2025,E506))),SUMIFS(Donnees_generations!$Z$3:$Z$113,Donnees_generations!$A$3:$A$113,MAX(1915,MIN(2025,E506))),SUMIFS(Donnees_generations!$AA$3:$AA$113,Donnees_generations!$A$3:$A$113,MAX(1915,MIN(2025,E506))),SUMIFS(Donnees_generations!$AB$3:$AB$113,Donnees_generations!$A$3:$A$113,MAX(1915,MIN(2025,E506))))+CHOOSE((AG506-56)/2+1,SUMIFS(Donnees_generations!$AC$3:$AC$113,Donnees_generations!$A$3:$A$113,MAX(1915,MIN(2025,E506))),SUMIFS(Donnees_generations!$AD$3:$AD$113,Donnees_generations!$A$3:$A$113,MAX(1915,MIN(2025,E506))),SUMIFS(Donnees_generations!$AE$3:$AE$113,Donnees_generations!$A$3:$A$113,MAX(1915,MIN(2025,E506))),SUMIFS(Donnees_generations!$AF$3:$AF$113,Donnees_generations!$A$3:$A$113,MAX(1915,MIN(2025,E506))),SUMIFS(Donnees_generations!$AG$3:$AG$113,Donnees_generations!$A$3:$A$113,MAX(1915,MIN(2025,E506))),SUMIFS(Donnees_generations!$AH$3:$AH$113,Donnees_generations!$A$3:$A$113,MAX(1915,MIN(2025,E506))),SUMIFS(Donnees_generations!$AI$3:$AI$113,Donnees_generations!$A$3:$A$113,MAX(1915,MIN(2025,E506))),SUMIFS(Donnees_generations!$AJ$3:$AJ$113,Donnees_generations!$A$3:$A$113,MAX(1915,MIN(2025,E506)))))/2</f>
        <v/>
      </c>
      <c r="AI506" s="75">
        <f>(CHOOSE(((AG506+2)-56)/2+1,SUMIFS(Donnees_generations!$U$3:$U$113,Donnees_generations!$A$3:$A$113,MAX(1915,MIN(2025,E506))),SUMIFS(Donnees_generations!$V$3:$V$113,Donnees_generations!$A$3:$A$113,MAX(1915,MIN(2025,E506))),SUMIFS(Donnees_generations!$W$3:$W$113,Donnees_generations!$A$3:$A$113,MAX(1915,MIN(2025,E506))),SUMIFS(Donnees_generations!$X$3:$X$113,Donnees_generations!$A$3:$A$113,MAX(1915,MIN(2025,E506))),SUMIFS(Donnees_generations!$Y$3:$Y$113,Donnees_generations!$A$3:$A$113,MAX(1915,MIN(2025,E506))),SUMIFS(Donnees_generations!$Z$3:$Z$113,Donnees_generations!$A$3:$A$113,MAX(1915,MIN(2025,E506))),SUMIFS(Donnees_generations!$AA$3:$AA$113,Donnees_generations!$A$3:$A$113,MAX(1915,MIN(2025,E506))),SUMIFS(Donnees_generations!$AB$3:$AB$113,Donnees_generations!$A$3:$A$113,MAX(1915,MIN(2025,E506))))+CHOOSE(((AG506+2)-56)/2+1,SUMIFS(Donnees_generations!$AC$3:$AC$113,Donnees_generations!$A$3:$A$113,MAX(1915,MIN(2025,E506))),SUMIFS(Donnees_generations!$AD$3:$AD$113,Donnees_generations!$A$3:$A$113,MAX(1915,MIN(2025,E506))),SUMIFS(Donnees_generations!$AE$3:$AE$113,Donnees_generations!$A$3:$A$113,MAX(1915,MIN(2025,E506))),SUMIFS(Donnees_generations!$AF$3:$AF$113,Donnees_generations!$A$3:$A$113,MAX(1915,MIN(2025,E506))),SUMIFS(Donnees_generations!$AG$3:$AG$113,Donnees_generations!$A$3:$A$113,MAX(1915,MIN(2025,E506))),SUMIFS(Donnees_generations!$AH$3:$AH$113,Donnees_generations!$A$3:$A$113,MAX(1915,MIN(2025,E506))),SUMIFS(Donnees_generations!$AI$3:$AI$113,Donnees_generations!$A$3:$A$113,MAX(1915,MIN(2025,E506))),SUMIFS(Donnees_generations!$AJ$3:$AJ$113,Donnees_generations!$A$3:$A$113,MAX(1915,MIN(2025,E506)))))/2</f>
        <v/>
      </c>
      <c r="AJ506" s="8">
        <f>MAX(0,AH506+(AI506-AH506)*(K506-AG506)/2)</f>
        <v/>
      </c>
      <c r="AK506" s="8">
        <f>K506+AJ506</f>
        <v/>
      </c>
      <c r="AL506" s="14">
        <f>AE506*AJ506</f>
        <v/>
      </c>
      <c r="AM506" s="17">
        <f>V506/AL506</f>
        <v/>
      </c>
      <c r="AN506" s="17">
        <f>Z506/AL506</f>
        <v/>
      </c>
      <c r="AO506" s="33">
        <f>IF(V506+Z506=0,0,Z506/(V506+Z506))</f>
        <v/>
      </c>
      <c r="AP506" s="14">
        <f>AL506/V506*100</f>
        <v/>
      </c>
      <c r="AQ506" s="8">
        <f>P506/AL506*1000</f>
        <v/>
      </c>
      <c r="AR506" s="77">
        <f>MAX(N506,M506-1)</f>
        <v/>
      </c>
      <c r="AS506" s="14">
        <f>SUMIFS(Donnees_regimes!$R$3:$R$1118,Donnees_regimes!$A$3:$A$1118,C506,Donnees_regimes!$B$3:$B$1118,"&gt;="&amp;G506,Donnees_regimes!$B$3:$B$1118,"&lt;="&amp;N506)*L506/ROUNDUP(L506,0)*SUMIFS(Donnees_annuelles!$AG$3:$AG$188,Donnees_annuelles!$A$3:$A$188,AR506)*SUMIFS(Donnees_annuelles!$AA$3:$AA$188,Donnees_annuelles!$A$3:$A$188,AR506)</f>
        <v/>
      </c>
      <c r="AT506" s="36">
        <f>AS506/V506</f>
        <v/>
      </c>
      <c r="AU506" s="14">
        <f>AL506</f>
        <v/>
      </c>
      <c r="AV506" s="39">
        <f>AS506-AL506</f>
        <v/>
      </c>
      <c r="AW506" s="9">
        <f>AS506/AL506-1</f>
        <v/>
      </c>
      <c r="AX506" s="14">
        <f>AS506/AJ506/12</f>
        <v/>
      </c>
      <c r="AY506" s="14">
        <f>AF506</f>
        <v/>
      </c>
      <c r="AZ506" s="39">
        <f>AX506-AF506</f>
        <v/>
      </c>
      <c r="BA506" s="14">
        <f>SUMIFS(Donnees_regimes!$S$3:$S$1118,Donnees_regimes!$A$3:$A$1118,C506,Donnees_regimes!$B$3:$B$1118,"&gt;="&amp;G506,Donnees_regimes!$B$3:$B$1118,"&lt;="&amp;N506)*L506/ROUNDUP(L506,0)*SUMIFS(Donnees_annuelles!$AH$3:$AH$188,Donnees_annuelles!$A$3:$A$188,AR506)*SUMIFS(Donnees_annuelles!$AA$3:$AA$188,Donnees_annuelles!$A$3:$A$188,AR506)</f>
        <v/>
      </c>
      <c r="BB506" s="39">
        <f>BA506-AL506</f>
        <v/>
      </c>
      <c r="BC506" s="7">
        <f>IF(M506+AJ506&gt;2026,IF(G506&gt;2026,"entièrement projeté","en partie projeté"),"observé")</f>
        <v/>
      </c>
    </row>
    <row r="507">
      <c r="A507" s="7" t="inlineStr">
        <is>
          <t>Génération silencieuse</t>
        </is>
      </c>
      <c r="B507" s="84" t="inlineStr">
        <is>
          <t>IEG</t>
        </is>
      </c>
      <c r="C507" s="7">
        <f>IF(G507&gt;=SUMIFS(Regimes!$C$5:$C$10,Regimes!$A$5:$A$10,B507),"Privé",B507)</f>
        <v/>
      </c>
      <c r="D507" s="7">
        <f>INDEX(Regimes!$D$5:$D$10,MATCH(C507,Regimes!$A$5:$A$10,0))</f>
        <v/>
      </c>
      <c r="E507" s="88" t="n">
        <v>1942</v>
      </c>
      <c r="F507" s="8">
        <f>Donnees_generations!C30</f>
        <v/>
      </c>
      <c r="G507" s="77">
        <f>Donnees_generations!D30</f>
        <v/>
      </c>
      <c r="H507" s="8">
        <f>SUMIFS(Donnees_generations!$S$3:$S$113,Donnees_generations!$A$3:$A$113,MAX(1915,MIN(2025,E507)))</f>
        <v/>
      </c>
      <c r="I507" s="8">
        <f>SUMIFS(Donnees_generations!$T$3:$T$113,Donnees_generations!$A$3:$A$113,MAX(1915,MIN(2025,E507)))</f>
        <v/>
      </c>
      <c r="J507" s="8">
        <f>IF(G507&gt;=2000,MAX(I507,Parametres!$B$3),I507)</f>
        <v/>
      </c>
      <c r="K507" s="8">
        <f>IF(C507="Privé",J507,SUMIFS(Regles_regimes!$J$3:$J$2000,Regles_regimes!$A$3:$A$2000,C507,Regles_regimes!$B$3:$B$2000,D507,Regles_regimes!$C$3:$C$2000,MAX(1915,MIN(2025,E507))))</f>
        <v/>
      </c>
      <c r="L507" s="8">
        <f>IF(C507="Privé",H507,(K507-F507)*H507/(J507-F507))</f>
        <v/>
      </c>
      <c r="M507" s="77">
        <f>INT(E507+K507)</f>
        <v/>
      </c>
      <c r="N507" s="77">
        <f>G507+ROUNDUP(L507,0)-1</f>
        <v/>
      </c>
      <c r="O507" s="89">
        <f>SUMIFS(Regles_regimes!$K$3:$K$2000,Regles_regimes!$A$3:$A$2000,C507,Regles_regimes!$B$3:$B$2000,D507,Regles_regimes!$C$3:$C$2000,MAX(1915,MIN(2025,E507)))</f>
        <v/>
      </c>
      <c r="P507" s="13">
        <f>SUMIFS(Donnees_annuelles!$W$3:$W$188,Donnees_annuelles!$A$3:$A$188,"&gt;="&amp;G507,Donnees_annuelles!$A$3:$A$188,"&lt;="&amp;N507)*L507/ROUNDUP(L507,0)*O507</f>
        <v/>
      </c>
      <c r="Q507" s="13">
        <f>SUMIFS(Donnees_annuelles!$V$3:$V$188,Donnees_annuelles!$A$3:$A$188,"&gt;="&amp;G507,Donnees_annuelles!$A$3:$A$188,"&lt;="&amp;N507)*L507/ROUNDUP(L507,0)</f>
        <v/>
      </c>
      <c r="R507" s="13">
        <f>P507/L507</f>
        <v/>
      </c>
      <c r="S507" s="14">
        <f>SUMIFS(Donnees_annuelles!$D$3:$D$188,Donnees_annuelles!$A$3:$A$188,"&gt;="&amp;G507,Donnees_annuelles!$A$3:$A$188,"&lt;="&amp;N507)*L507/ROUNDUP(L507,0)</f>
        <v/>
      </c>
      <c r="T507" s="14">
        <f>SUMIFS(Donnees_regimes!$N$3:$N$1118,Donnees_regimes!$A$3:$A$1118,C507,Donnees_regimes!$B$3:$B$1118,"&gt;="&amp;G507,Donnees_regimes!$B$3:$B$1118,"&lt;="&amp;N507)*L507/ROUNDUP(L507,0)</f>
        <v/>
      </c>
      <c r="U507" s="14">
        <f>SUMIFS(Donnees_regimes!$O$3:$O$1118,Donnees_regimes!$A$3:$A$1118,C507,Donnees_regimes!$B$3:$B$1118,"&gt;="&amp;G507,Donnees_regimes!$B$3:$B$1118,"&lt;="&amp;N507)*L507/ROUNDUP(L507,0)</f>
        <v/>
      </c>
      <c r="V507" s="14">
        <f>T507+U507</f>
        <v/>
      </c>
      <c r="W507" s="33">
        <f>V507/S507</f>
        <v/>
      </c>
      <c r="X507" s="14">
        <f>S507+U507</f>
        <v/>
      </c>
      <c r="Y507" s="17">
        <f>V507/P507</f>
        <v/>
      </c>
      <c r="Z507" s="14">
        <f>SUMIFS(Donnees_regimes!$Q$3:$Q$1118,Donnees_regimes!$A$3:$A$1118,C507,Donnees_regimes!$B$3:$B$1118,"&gt;="&amp;G507,Donnees_regimes!$B$3:$B$1118,"&lt;="&amp;N507)*L507/ROUNDUP(L507,0)</f>
        <v/>
      </c>
      <c r="AA507" s="77">
        <f>SUMIFS(Regles_regimes!$F$3:$F$2000,Regles_regimes!$A$3:$A$2000,C507,Regles_regimes!$B$3:$B$2000,D507,Regles_regimes!$C$3:$C$2000,MAX(1915,MIN(2025,E507)))</f>
        <v/>
      </c>
      <c r="AB507" s="77">
        <f>IF(AND(SUMIFS(Regles_regimes!$L$3:$L$2000,Regles_regimes!$A$3:$A$2000,C507,Regles_regimes!$B$3:$B$2000,D507,Regles_regimes!$C$3:$C$2000,MAX(1915,MIN(2025,E507)))=1,G507&lt;2009,C507&lt;&gt;"Privé"),MIN(20,L507*4/5),0)</f>
        <v/>
      </c>
      <c r="AC507" s="89">
        <f>SUMIFS(Donnees_regimes!$M$3:$M$1118,Donnees_regimes!$A$3:$A$1118,C507,Donnees_regimes!$B$3:$B$1118,M507)</f>
        <v/>
      </c>
      <c r="AD507" s="14">
        <f>SUMIFS(Donnees_annuelles!$Y$3:$Y$188,Donnees_annuelles!$A$3:$A$188,M507)*SUMIFS(Donnees_generations!$I$3:$I$113,Donnees_generations!$A$3:$A$113,MAX(1915,MIN(2025,E507)))/H507</f>
        <v/>
      </c>
      <c r="AE507" s="14">
        <f>IF(C507="Privé",SUMIFS(Donnees_annuelles!$Y$3:$Y$188,Donnees_annuelles!$A$3:$A$188,M507)*MIN(L507,SUMIFS(Donnees_generations!$I$3:$I$113,Donnees_generations!$A$3:$A$113,MAX(1915,MIN(2025,E507))))/L507,AD507*AC507*MIN(IF(AB507&gt;0,0.8/0.75,1),(L507*4+AB507)/AA507))</f>
        <v/>
      </c>
      <c r="AF507" s="14">
        <f>AE507/12</f>
        <v/>
      </c>
      <c r="AG507" s="77">
        <f>MIN(68,MAX(56,2*INT(K507/2)))</f>
        <v/>
      </c>
      <c r="AH507" s="75">
        <f>(CHOOSE((AG507-56)/2+1,SUMIFS(Donnees_generations!$U$3:$U$113,Donnees_generations!$A$3:$A$113,MAX(1915,MIN(2025,E507))),SUMIFS(Donnees_generations!$V$3:$V$113,Donnees_generations!$A$3:$A$113,MAX(1915,MIN(2025,E507))),SUMIFS(Donnees_generations!$W$3:$W$113,Donnees_generations!$A$3:$A$113,MAX(1915,MIN(2025,E507))),SUMIFS(Donnees_generations!$X$3:$X$113,Donnees_generations!$A$3:$A$113,MAX(1915,MIN(2025,E507))),SUMIFS(Donnees_generations!$Y$3:$Y$113,Donnees_generations!$A$3:$A$113,MAX(1915,MIN(2025,E507))),SUMIFS(Donnees_generations!$Z$3:$Z$113,Donnees_generations!$A$3:$A$113,MAX(1915,MIN(2025,E507))),SUMIFS(Donnees_generations!$AA$3:$AA$113,Donnees_generations!$A$3:$A$113,MAX(1915,MIN(2025,E507))),SUMIFS(Donnees_generations!$AB$3:$AB$113,Donnees_generations!$A$3:$A$113,MAX(1915,MIN(2025,E507))))+CHOOSE((AG507-56)/2+1,SUMIFS(Donnees_generations!$AC$3:$AC$113,Donnees_generations!$A$3:$A$113,MAX(1915,MIN(2025,E507))),SUMIFS(Donnees_generations!$AD$3:$AD$113,Donnees_generations!$A$3:$A$113,MAX(1915,MIN(2025,E507))),SUMIFS(Donnees_generations!$AE$3:$AE$113,Donnees_generations!$A$3:$A$113,MAX(1915,MIN(2025,E507))),SUMIFS(Donnees_generations!$AF$3:$AF$113,Donnees_generations!$A$3:$A$113,MAX(1915,MIN(2025,E507))),SUMIFS(Donnees_generations!$AG$3:$AG$113,Donnees_generations!$A$3:$A$113,MAX(1915,MIN(2025,E507))),SUMIFS(Donnees_generations!$AH$3:$AH$113,Donnees_generations!$A$3:$A$113,MAX(1915,MIN(2025,E507))),SUMIFS(Donnees_generations!$AI$3:$AI$113,Donnees_generations!$A$3:$A$113,MAX(1915,MIN(2025,E507))),SUMIFS(Donnees_generations!$AJ$3:$AJ$113,Donnees_generations!$A$3:$A$113,MAX(1915,MIN(2025,E507)))))/2</f>
        <v/>
      </c>
      <c r="AI507" s="75">
        <f>(CHOOSE(((AG507+2)-56)/2+1,SUMIFS(Donnees_generations!$U$3:$U$113,Donnees_generations!$A$3:$A$113,MAX(1915,MIN(2025,E507))),SUMIFS(Donnees_generations!$V$3:$V$113,Donnees_generations!$A$3:$A$113,MAX(1915,MIN(2025,E507))),SUMIFS(Donnees_generations!$W$3:$W$113,Donnees_generations!$A$3:$A$113,MAX(1915,MIN(2025,E507))),SUMIFS(Donnees_generations!$X$3:$X$113,Donnees_generations!$A$3:$A$113,MAX(1915,MIN(2025,E507))),SUMIFS(Donnees_generations!$Y$3:$Y$113,Donnees_generations!$A$3:$A$113,MAX(1915,MIN(2025,E507))),SUMIFS(Donnees_generations!$Z$3:$Z$113,Donnees_generations!$A$3:$A$113,MAX(1915,MIN(2025,E507))),SUMIFS(Donnees_generations!$AA$3:$AA$113,Donnees_generations!$A$3:$A$113,MAX(1915,MIN(2025,E507))),SUMIFS(Donnees_generations!$AB$3:$AB$113,Donnees_generations!$A$3:$A$113,MAX(1915,MIN(2025,E507))))+CHOOSE(((AG507+2)-56)/2+1,SUMIFS(Donnees_generations!$AC$3:$AC$113,Donnees_generations!$A$3:$A$113,MAX(1915,MIN(2025,E507))),SUMIFS(Donnees_generations!$AD$3:$AD$113,Donnees_generations!$A$3:$A$113,MAX(1915,MIN(2025,E507))),SUMIFS(Donnees_generations!$AE$3:$AE$113,Donnees_generations!$A$3:$A$113,MAX(1915,MIN(2025,E507))),SUMIFS(Donnees_generations!$AF$3:$AF$113,Donnees_generations!$A$3:$A$113,MAX(1915,MIN(2025,E507))),SUMIFS(Donnees_generations!$AG$3:$AG$113,Donnees_generations!$A$3:$A$113,MAX(1915,MIN(2025,E507))),SUMIFS(Donnees_generations!$AH$3:$AH$113,Donnees_generations!$A$3:$A$113,MAX(1915,MIN(2025,E507))),SUMIFS(Donnees_generations!$AI$3:$AI$113,Donnees_generations!$A$3:$A$113,MAX(1915,MIN(2025,E507))),SUMIFS(Donnees_generations!$AJ$3:$AJ$113,Donnees_generations!$A$3:$A$113,MAX(1915,MIN(2025,E507)))))/2</f>
        <v/>
      </c>
      <c r="AJ507" s="8">
        <f>MAX(0,AH507+(AI507-AH507)*(K507-AG507)/2)</f>
        <v/>
      </c>
      <c r="AK507" s="8">
        <f>K507+AJ507</f>
        <v/>
      </c>
      <c r="AL507" s="14">
        <f>AE507*AJ507</f>
        <v/>
      </c>
      <c r="AM507" s="17">
        <f>V507/AL507</f>
        <v/>
      </c>
      <c r="AN507" s="17">
        <f>Z507/AL507</f>
        <v/>
      </c>
      <c r="AO507" s="33">
        <f>IF(V507+Z507=0,0,Z507/(V507+Z507))</f>
        <v/>
      </c>
      <c r="AP507" s="14">
        <f>AL507/V507*100</f>
        <v/>
      </c>
      <c r="AQ507" s="8">
        <f>P507/AL507*1000</f>
        <v/>
      </c>
      <c r="AR507" s="77">
        <f>MAX(N507,M507-1)</f>
        <v/>
      </c>
      <c r="AS507" s="14">
        <f>SUMIFS(Donnees_regimes!$R$3:$R$1118,Donnees_regimes!$A$3:$A$1118,C507,Donnees_regimes!$B$3:$B$1118,"&gt;="&amp;G507,Donnees_regimes!$B$3:$B$1118,"&lt;="&amp;N507)*L507/ROUNDUP(L507,0)*SUMIFS(Donnees_annuelles!$AG$3:$AG$188,Donnees_annuelles!$A$3:$A$188,AR507)*SUMIFS(Donnees_annuelles!$AA$3:$AA$188,Donnees_annuelles!$A$3:$A$188,AR507)</f>
        <v/>
      </c>
      <c r="AT507" s="36">
        <f>AS507/V507</f>
        <v/>
      </c>
      <c r="AU507" s="14">
        <f>AL507</f>
        <v/>
      </c>
      <c r="AV507" s="39">
        <f>AS507-AL507</f>
        <v/>
      </c>
      <c r="AW507" s="9">
        <f>AS507/AL507-1</f>
        <v/>
      </c>
      <c r="AX507" s="14">
        <f>AS507/AJ507/12</f>
        <v/>
      </c>
      <c r="AY507" s="14">
        <f>AF507</f>
        <v/>
      </c>
      <c r="AZ507" s="39">
        <f>AX507-AF507</f>
        <v/>
      </c>
      <c r="BA507" s="14">
        <f>SUMIFS(Donnees_regimes!$S$3:$S$1118,Donnees_regimes!$A$3:$A$1118,C507,Donnees_regimes!$B$3:$B$1118,"&gt;="&amp;G507,Donnees_regimes!$B$3:$B$1118,"&lt;="&amp;N507)*L507/ROUNDUP(L507,0)*SUMIFS(Donnees_annuelles!$AH$3:$AH$188,Donnees_annuelles!$A$3:$A$188,AR507)*SUMIFS(Donnees_annuelles!$AA$3:$AA$188,Donnees_annuelles!$A$3:$A$188,AR507)</f>
        <v/>
      </c>
      <c r="BB507" s="39">
        <f>BA507-AL507</f>
        <v/>
      </c>
      <c r="BC507" s="7">
        <f>IF(M507+AJ507&gt;2026,IF(G507&gt;2026,"entièrement projeté","en partie projeté"),"observé")</f>
        <v/>
      </c>
    </row>
    <row r="508">
      <c r="A508" s="7" t="inlineStr">
        <is>
          <t>Génération silencieuse</t>
        </is>
      </c>
      <c r="B508" s="84" t="inlineStr">
        <is>
          <t>IEG</t>
        </is>
      </c>
      <c r="C508" s="7">
        <f>IF(G508&gt;=SUMIFS(Regimes!$C$5:$C$10,Regimes!$A$5:$A$10,B508),"Privé",B508)</f>
        <v/>
      </c>
      <c r="D508" s="7">
        <f>INDEX(Regimes!$D$5:$D$10,MATCH(C508,Regimes!$A$5:$A$10,0))</f>
        <v/>
      </c>
      <c r="E508" s="88" t="n">
        <v>1943</v>
      </c>
      <c r="F508" s="8">
        <f>Donnees_generations!C31</f>
        <v/>
      </c>
      <c r="G508" s="77">
        <f>Donnees_generations!D31</f>
        <v/>
      </c>
      <c r="H508" s="8">
        <f>SUMIFS(Donnees_generations!$S$3:$S$113,Donnees_generations!$A$3:$A$113,MAX(1915,MIN(2025,E508)))</f>
        <v/>
      </c>
      <c r="I508" s="8">
        <f>SUMIFS(Donnees_generations!$T$3:$T$113,Donnees_generations!$A$3:$A$113,MAX(1915,MIN(2025,E508)))</f>
        <v/>
      </c>
      <c r="J508" s="8">
        <f>IF(G508&gt;=2000,MAX(I508,Parametres!$B$3),I508)</f>
        <v/>
      </c>
      <c r="K508" s="8">
        <f>IF(C508="Privé",J508,SUMIFS(Regles_regimes!$J$3:$J$2000,Regles_regimes!$A$3:$A$2000,C508,Regles_regimes!$B$3:$B$2000,D508,Regles_regimes!$C$3:$C$2000,MAX(1915,MIN(2025,E508))))</f>
        <v/>
      </c>
      <c r="L508" s="8">
        <f>IF(C508="Privé",H508,(K508-F508)*H508/(J508-F508))</f>
        <v/>
      </c>
      <c r="M508" s="77">
        <f>INT(E508+K508)</f>
        <v/>
      </c>
      <c r="N508" s="77">
        <f>G508+ROUNDUP(L508,0)-1</f>
        <v/>
      </c>
      <c r="O508" s="89">
        <f>SUMIFS(Regles_regimes!$K$3:$K$2000,Regles_regimes!$A$3:$A$2000,C508,Regles_regimes!$B$3:$B$2000,D508,Regles_regimes!$C$3:$C$2000,MAX(1915,MIN(2025,E508)))</f>
        <v/>
      </c>
      <c r="P508" s="13">
        <f>SUMIFS(Donnees_annuelles!$W$3:$W$188,Donnees_annuelles!$A$3:$A$188,"&gt;="&amp;G508,Donnees_annuelles!$A$3:$A$188,"&lt;="&amp;N508)*L508/ROUNDUP(L508,0)*O508</f>
        <v/>
      </c>
      <c r="Q508" s="13">
        <f>SUMIFS(Donnees_annuelles!$V$3:$V$188,Donnees_annuelles!$A$3:$A$188,"&gt;="&amp;G508,Donnees_annuelles!$A$3:$A$188,"&lt;="&amp;N508)*L508/ROUNDUP(L508,0)</f>
        <v/>
      </c>
      <c r="R508" s="13">
        <f>P508/L508</f>
        <v/>
      </c>
      <c r="S508" s="14">
        <f>SUMIFS(Donnees_annuelles!$D$3:$D$188,Donnees_annuelles!$A$3:$A$188,"&gt;="&amp;G508,Donnees_annuelles!$A$3:$A$188,"&lt;="&amp;N508)*L508/ROUNDUP(L508,0)</f>
        <v/>
      </c>
      <c r="T508" s="14">
        <f>SUMIFS(Donnees_regimes!$N$3:$N$1118,Donnees_regimes!$A$3:$A$1118,C508,Donnees_regimes!$B$3:$B$1118,"&gt;="&amp;G508,Donnees_regimes!$B$3:$B$1118,"&lt;="&amp;N508)*L508/ROUNDUP(L508,0)</f>
        <v/>
      </c>
      <c r="U508" s="14">
        <f>SUMIFS(Donnees_regimes!$O$3:$O$1118,Donnees_regimes!$A$3:$A$1118,C508,Donnees_regimes!$B$3:$B$1118,"&gt;="&amp;G508,Donnees_regimes!$B$3:$B$1118,"&lt;="&amp;N508)*L508/ROUNDUP(L508,0)</f>
        <v/>
      </c>
      <c r="V508" s="14">
        <f>T508+U508</f>
        <v/>
      </c>
      <c r="W508" s="33">
        <f>V508/S508</f>
        <v/>
      </c>
      <c r="X508" s="14">
        <f>S508+U508</f>
        <v/>
      </c>
      <c r="Y508" s="17">
        <f>V508/P508</f>
        <v/>
      </c>
      <c r="Z508" s="14">
        <f>SUMIFS(Donnees_regimes!$Q$3:$Q$1118,Donnees_regimes!$A$3:$A$1118,C508,Donnees_regimes!$B$3:$B$1118,"&gt;="&amp;G508,Donnees_regimes!$B$3:$B$1118,"&lt;="&amp;N508)*L508/ROUNDUP(L508,0)</f>
        <v/>
      </c>
      <c r="AA508" s="77">
        <f>SUMIFS(Regles_regimes!$F$3:$F$2000,Regles_regimes!$A$3:$A$2000,C508,Regles_regimes!$B$3:$B$2000,D508,Regles_regimes!$C$3:$C$2000,MAX(1915,MIN(2025,E508)))</f>
        <v/>
      </c>
      <c r="AB508" s="77">
        <f>IF(AND(SUMIFS(Regles_regimes!$L$3:$L$2000,Regles_regimes!$A$3:$A$2000,C508,Regles_regimes!$B$3:$B$2000,D508,Regles_regimes!$C$3:$C$2000,MAX(1915,MIN(2025,E508)))=1,G508&lt;2009,C508&lt;&gt;"Privé"),MIN(20,L508*4/5),0)</f>
        <v/>
      </c>
      <c r="AC508" s="89">
        <f>SUMIFS(Donnees_regimes!$M$3:$M$1118,Donnees_regimes!$A$3:$A$1118,C508,Donnees_regimes!$B$3:$B$1118,M508)</f>
        <v/>
      </c>
      <c r="AD508" s="14">
        <f>SUMIFS(Donnees_annuelles!$Y$3:$Y$188,Donnees_annuelles!$A$3:$A$188,M508)*SUMIFS(Donnees_generations!$I$3:$I$113,Donnees_generations!$A$3:$A$113,MAX(1915,MIN(2025,E508)))/H508</f>
        <v/>
      </c>
      <c r="AE508" s="14">
        <f>IF(C508="Privé",SUMIFS(Donnees_annuelles!$Y$3:$Y$188,Donnees_annuelles!$A$3:$A$188,M508)*MIN(L508,SUMIFS(Donnees_generations!$I$3:$I$113,Donnees_generations!$A$3:$A$113,MAX(1915,MIN(2025,E508))))/L508,AD508*AC508*MIN(IF(AB508&gt;0,0.8/0.75,1),(L508*4+AB508)/AA508))</f>
        <v/>
      </c>
      <c r="AF508" s="14">
        <f>AE508/12</f>
        <v/>
      </c>
      <c r="AG508" s="77">
        <f>MIN(68,MAX(56,2*INT(K508/2)))</f>
        <v/>
      </c>
      <c r="AH508" s="75">
        <f>(CHOOSE((AG508-56)/2+1,SUMIFS(Donnees_generations!$U$3:$U$113,Donnees_generations!$A$3:$A$113,MAX(1915,MIN(2025,E508))),SUMIFS(Donnees_generations!$V$3:$V$113,Donnees_generations!$A$3:$A$113,MAX(1915,MIN(2025,E508))),SUMIFS(Donnees_generations!$W$3:$W$113,Donnees_generations!$A$3:$A$113,MAX(1915,MIN(2025,E508))),SUMIFS(Donnees_generations!$X$3:$X$113,Donnees_generations!$A$3:$A$113,MAX(1915,MIN(2025,E508))),SUMIFS(Donnees_generations!$Y$3:$Y$113,Donnees_generations!$A$3:$A$113,MAX(1915,MIN(2025,E508))),SUMIFS(Donnees_generations!$Z$3:$Z$113,Donnees_generations!$A$3:$A$113,MAX(1915,MIN(2025,E508))),SUMIFS(Donnees_generations!$AA$3:$AA$113,Donnees_generations!$A$3:$A$113,MAX(1915,MIN(2025,E508))),SUMIFS(Donnees_generations!$AB$3:$AB$113,Donnees_generations!$A$3:$A$113,MAX(1915,MIN(2025,E508))))+CHOOSE((AG508-56)/2+1,SUMIFS(Donnees_generations!$AC$3:$AC$113,Donnees_generations!$A$3:$A$113,MAX(1915,MIN(2025,E508))),SUMIFS(Donnees_generations!$AD$3:$AD$113,Donnees_generations!$A$3:$A$113,MAX(1915,MIN(2025,E508))),SUMIFS(Donnees_generations!$AE$3:$AE$113,Donnees_generations!$A$3:$A$113,MAX(1915,MIN(2025,E508))),SUMIFS(Donnees_generations!$AF$3:$AF$113,Donnees_generations!$A$3:$A$113,MAX(1915,MIN(2025,E508))),SUMIFS(Donnees_generations!$AG$3:$AG$113,Donnees_generations!$A$3:$A$113,MAX(1915,MIN(2025,E508))),SUMIFS(Donnees_generations!$AH$3:$AH$113,Donnees_generations!$A$3:$A$113,MAX(1915,MIN(2025,E508))),SUMIFS(Donnees_generations!$AI$3:$AI$113,Donnees_generations!$A$3:$A$113,MAX(1915,MIN(2025,E508))),SUMIFS(Donnees_generations!$AJ$3:$AJ$113,Donnees_generations!$A$3:$A$113,MAX(1915,MIN(2025,E508)))))/2</f>
        <v/>
      </c>
      <c r="AI508" s="75">
        <f>(CHOOSE(((AG508+2)-56)/2+1,SUMIFS(Donnees_generations!$U$3:$U$113,Donnees_generations!$A$3:$A$113,MAX(1915,MIN(2025,E508))),SUMIFS(Donnees_generations!$V$3:$V$113,Donnees_generations!$A$3:$A$113,MAX(1915,MIN(2025,E508))),SUMIFS(Donnees_generations!$W$3:$W$113,Donnees_generations!$A$3:$A$113,MAX(1915,MIN(2025,E508))),SUMIFS(Donnees_generations!$X$3:$X$113,Donnees_generations!$A$3:$A$113,MAX(1915,MIN(2025,E508))),SUMIFS(Donnees_generations!$Y$3:$Y$113,Donnees_generations!$A$3:$A$113,MAX(1915,MIN(2025,E508))),SUMIFS(Donnees_generations!$Z$3:$Z$113,Donnees_generations!$A$3:$A$113,MAX(1915,MIN(2025,E508))),SUMIFS(Donnees_generations!$AA$3:$AA$113,Donnees_generations!$A$3:$A$113,MAX(1915,MIN(2025,E508))),SUMIFS(Donnees_generations!$AB$3:$AB$113,Donnees_generations!$A$3:$A$113,MAX(1915,MIN(2025,E508))))+CHOOSE(((AG508+2)-56)/2+1,SUMIFS(Donnees_generations!$AC$3:$AC$113,Donnees_generations!$A$3:$A$113,MAX(1915,MIN(2025,E508))),SUMIFS(Donnees_generations!$AD$3:$AD$113,Donnees_generations!$A$3:$A$113,MAX(1915,MIN(2025,E508))),SUMIFS(Donnees_generations!$AE$3:$AE$113,Donnees_generations!$A$3:$A$113,MAX(1915,MIN(2025,E508))),SUMIFS(Donnees_generations!$AF$3:$AF$113,Donnees_generations!$A$3:$A$113,MAX(1915,MIN(2025,E508))),SUMIFS(Donnees_generations!$AG$3:$AG$113,Donnees_generations!$A$3:$A$113,MAX(1915,MIN(2025,E508))),SUMIFS(Donnees_generations!$AH$3:$AH$113,Donnees_generations!$A$3:$A$113,MAX(1915,MIN(2025,E508))),SUMIFS(Donnees_generations!$AI$3:$AI$113,Donnees_generations!$A$3:$A$113,MAX(1915,MIN(2025,E508))),SUMIFS(Donnees_generations!$AJ$3:$AJ$113,Donnees_generations!$A$3:$A$113,MAX(1915,MIN(2025,E508)))))/2</f>
        <v/>
      </c>
      <c r="AJ508" s="8">
        <f>MAX(0,AH508+(AI508-AH508)*(K508-AG508)/2)</f>
        <v/>
      </c>
      <c r="AK508" s="8">
        <f>K508+AJ508</f>
        <v/>
      </c>
      <c r="AL508" s="14">
        <f>AE508*AJ508</f>
        <v/>
      </c>
      <c r="AM508" s="17">
        <f>V508/AL508</f>
        <v/>
      </c>
      <c r="AN508" s="17">
        <f>Z508/AL508</f>
        <v/>
      </c>
      <c r="AO508" s="33">
        <f>IF(V508+Z508=0,0,Z508/(V508+Z508))</f>
        <v/>
      </c>
      <c r="AP508" s="14">
        <f>AL508/V508*100</f>
        <v/>
      </c>
      <c r="AQ508" s="8">
        <f>P508/AL508*1000</f>
        <v/>
      </c>
      <c r="AR508" s="77">
        <f>MAX(N508,M508-1)</f>
        <v/>
      </c>
      <c r="AS508" s="14">
        <f>SUMIFS(Donnees_regimes!$R$3:$R$1118,Donnees_regimes!$A$3:$A$1118,C508,Donnees_regimes!$B$3:$B$1118,"&gt;="&amp;G508,Donnees_regimes!$B$3:$B$1118,"&lt;="&amp;N508)*L508/ROUNDUP(L508,0)*SUMIFS(Donnees_annuelles!$AG$3:$AG$188,Donnees_annuelles!$A$3:$A$188,AR508)*SUMIFS(Donnees_annuelles!$AA$3:$AA$188,Donnees_annuelles!$A$3:$A$188,AR508)</f>
        <v/>
      </c>
      <c r="AT508" s="36">
        <f>AS508/V508</f>
        <v/>
      </c>
      <c r="AU508" s="14">
        <f>AL508</f>
        <v/>
      </c>
      <c r="AV508" s="39">
        <f>AS508-AL508</f>
        <v/>
      </c>
      <c r="AW508" s="9">
        <f>AS508/AL508-1</f>
        <v/>
      </c>
      <c r="AX508" s="14">
        <f>AS508/AJ508/12</f>
        <v/>
      </c>
      <c r="AY508" s="14">
        <f>AF508</f>
        <v/>
      </c>
      <c r="AZ508" s="39">
        <f>AX508-AF508</f>
        <v/>
      </c>
      <c r="BA508" s="14">
        <f>SUMIFS(Donnees_regimes!$S$3:$S$1118,Donnees_regimes!$A$3:$A$1118,C508,Donnees_regimes!$B$3:$B$1118,"&gt;="&amp;G508,Donnees_regimes!$B$3:$B$1118,"&lt;="&amp;N508)*L508/ROUNDUP(L508,0)*SUMIFS(Donnees_annuelles!$AH$3:$AH$188,Donnees_annuelles!$A$3:$A$188,AR508)*SUMIFS(Donnees_annuelles!$AA$3:$AA$188,Donnees_annuelles!$A$3:$A$188,AR508)</f>
        <v/>
      </c>
      <c r="BB508" s="39">
        <f>BA508-AL508</f>
        <v/>
      </c>
      <c r="BC508" s="7">
        <f>IF(M508+AJ508&gt;2026,IF(G508&gt;2026,"entièrement projeté","en partie projeté"),"observé")</f>
        <v/>
      </c>
    </row>
    <row r="509">
      <c r="A509" s="7" t="inlineStr">
        <is>
          <t>Génération silencieuse</t>
        </is>
      </c>
      <c r="B509" s="84" t="inlineStr">
        <is>
          <t>IEG</t>
        </is>
      </c>
      <c r="C509" s="7">
        <f>IF(G509&gt;=SUMIFS(Regimes!$C$5:$C$10,Regimes!$A$5:$A$10,B509),"Privé",B509)</f>
        <v/>
      </c>
      <c r="D509" s="7">
        <f>INDEX(Regimes!$D$5:$D$10,MATCH(C509,Regimes!$A$5:$A$10,0))</f>
        <v/>
      </c>
      <c r="E509" s="88" t="n">
        <v>1944</v>
      </c>
      <c r="F509" s="8">
        <f>Donnees_generations!C32</f>
        <v/>
      </c>
      <c r="G509" s="77">
        <f>Donnees_generations!D32</f>
        <v/>
      </c>
      <c r="H509" s="8">
        <f>SUMIFS(Donnees_generations!$S$3:$S$113,Donnees_generations!$A$3:$A$113,MAX(1915,MIN(2025,E509)))</f>
        <v/>
      </c>
      <c r="I509" s="8">
        <f>SUMIFS(Donnees_generations!$T$3:$T$113,Donnees_generations!$A$3:$A$113,MAX(1915,MIN(2025,E509)))</f>
        <v/>
      </c>
      <c r="J509" s="8">
        <f>IF(G509&gt;=2000,MAX(I509,Parametres!$B$3),I509)</f>
        <v/>
      </c>
      <c r="K509" s="8">
        <f>IF(C509="Privé",J509,SUMIFS(Regles_regimes!$J$3:$J$2000,Regles_regimes!$A$3:$A$2000,C509,Regles_regimes!$B$3:$B$2000,D509,Regles_regimes!$C$3:$C$2000,MAX(1915,MIN(2025,E509))))</f>
        <v/>
      </c>
      <c r="L509" s="8">
        <f>IF(C509="Privé",H509,(K509-F509)*H509/(J509-F509))</f>
        <v/>
      </c>
      <c r="M509" s="77">
        <f>INT(E509+K509)</f>
        <v/>
      </c>
      <c r="N509" s="77">
        <f>G509+ROUNDUP(L509,0)-1</f>
        <v/>
      </c>
      <c r="O509" s="89">
        <f>SUMIFS(Regles_regimes!$K$3:$K$2000,Regles_regimes!$A$3:$A$2000,C509,Regles_regimes!$B$3:$B$2000,D509,Regles_regimes!$C$3:$C$2000,MAX(1915,MIN(2025,E509)))</f>
        <v/>
      </c>
      <c r="P509" s="13">
        <f>SUMIFS(Donnees_annuelles!$W$3:$W$188,Donnees_annuelles!$A$3:$A$188,"&gt;="&amp;G509,Donnees_annuelles!$A$3:$A$188,"&lt;="&amp;N509)*L509/ROUNDUP(L509,0)*O509</f>
        <v/>
      </c>
      <c r="Q509" s="13">
        <f>SUMIFS(Donnees_annuelles!$V$3:$V$188,Donnees_annuelles!$A$3:$A$188,"&gt;="&amp;G509,Donnees_annuelles!$A$3:$A$188,"&lt;="&amp;N509)*L509/ROUNDUP(L509,0)</f>
        <v/>
      </c>
      <c r="R509" s="13">
        <f>P509/L509</f>
        <v/>
      </c>
      <c r="S509" s="14">
        <f>SUMIFS(Donnees_annuelles!$D$3:$D$188,Donnees_annuelles!$A$3:$A$188,"&gt;="&amp;G509,Donnees_annuelles!$A$3:$A$188,"&lt;="&amp;N509)*L509/ROUNDUP(L509,0)</f>
        <v/>
      </c>
      <c r="T509" s="14">
        <f>SUMIFS(Donnees_regimes!$N$3:$N$1118,Donnees_regimes!$A$3:$A$1118,C509,Donnees_regimes!$B$3:$B$1118,"&gt;="&amp;G509,Donnees_regimes!$B$3:$B$1118,"&lt;="&amp;N509)*L509/ROUNDUP(L509,0)</f>
        <v/>
      </c>
      <c r="U509" s="14">
        <f>SUMIFS(Donnees_regimes!$O$3:$O$1118,Donnees_regimes!$A$3:$A$1118,C509,Donnees_regimes!$B$3:$B$1118,"&gt;="&amp;G509,Donnees_regimes!$B$3:$B$1118,"&lt;="&amp;N509)*L509/ROUNDUP(L509,0)</f>
        <v/>
      </c>
      <c r="V509" s="14">
        <f>T509+U509</f>
        <v/>
      </c>
      <c r="W509" s="33">
        <f>V509/S509</f>
        <v/>
      </c>
      <c r="X509" s="14">
        <f>S509+U509</f>
        <v/>
      </c>
      <c r="Y509" s="17">
        <f>V509/P509</f>
        <v/>
      </c>
      <c r="Z509" s="14">
        <f>SUMIFS(Donnees_regimes!$Q$3:$Q$1118,Donnees_regimes!$A$3:$A$1118,C509,Donnees_regimes!$B$3:$B$1118,"&gt;="&amp;G509,Donnees_regimes!$B$3:$B$1118,"&lt;="&amp;N509)*L509/ROUNDUP(L509,0)</f>
        <v/>
      </c>
      <c r="AA509" s="77">
        <f>SUMIFS(Regles_regimes!$F$3:$F$2000,Regles_regimes!$A$3:$A$2000,C509,Regles_regimes!$B$3:$B$2000,D509,Regles_regimes!$C$3:$C$2000,MAX(1915,MIN(2025,E509)))</f>
        <v/>
      </c>
      <c r="AB509" s="77">
        <f>IF(AND(SUMIFS(Regles_regimes!$L$3:$L$2000,Regles_regimes!$A$3:$A$2000,C509,Regles_regimes!$B$3:$B$2000,D509,Regles_regimes!$C$3:$C$2000,MAX(1915,MIN(2025,E509)))=1,G509&lt;2009,C509&lt;&gt;"Privé"),MIN(20,L509*4/5),0)</f>
        <v/>
      </c>
      <c r="AC509" s="89">
        <f>SUMIFS(Donnees_regimes!$M$3:$M$1118,Donnees_regimes!$A$3:$A$1118,C509,Donnees_regimes!$B$3:$B$1118,M509)</f>
        <v/>
      </c>
      <c r="AD509" s="14">
        <f>SUMIFS(Donnees_annuelles!$Y$3:$Y$188,Donnees_annuelles!$A$3:$A$188,M509)*SUMIFS(Donnees_generations!$I$3:$I$113,Donnees_generations!$A$3:$A$113,MAX(1915,MIN(2025,E509)))/H509</f>
        <v/>
      </c>
      <c r="AE509" s="14">
        <f>IF(C509="Privé",SUMIFS(Donnees_annuelles!$Y$3:$Y$188,Donnees_annuelles!$A$3:$A$188,M509)*MIN(L509,SUMIFS(Donnees_generations!$I$3:$I$113,Donnees_generations!$A$3:$A$113,MAX(1915,MIN(2025,E509))))/L509,AD509*AC509*MIN(IF(AB509&gt;0,0.8/0.75,1),(L509*4+AB509)/AA509))</f>
        <v/>
      </c>
      <c r="AF509" s="14">
        <f>AE509/12</f>
        <v/>
      </c>
      <c r="AG509" s="77">
        <f>MIN(68,MAX(56,2*INT(K509/2)))</f>
        <v/>
      </c>
      <c r="AH509" s="75">
        <f>(CHOOSE((AG509-56)/2+1,SUMIFS(Donnees_generations!$U$3:$U$113,Donnees_generations!$A$3:$A$113,MAX(1915,MIN(2025,E509))),SUMIFS(Donnees_generations!$V$3:$V$113,Donnees_generations!$A$3:$A$113,MAX(1915,MIN(2025,E509))),SUMIFS(Donnees_generations!$W$3:$W$113,Donnees_generations!$A$3:$A$113,MAX(1915,MIN(2025,E509))),SUMIFS(Donnees_generations!$X$3:$X$113,Donnees_generations!$A$3:$A$113,MAX(1915,MIN(2025,E509))),SUMIFS(Donnees_generations!$Y$3:$Y$113,Donnees_generations!$A$3:$A$113,MAX(1915,MIN(2025,E509))),SUMIFS(Donnees_generations!$Z$3:$Z$113,Donnees_generations!$A$3:$A$113,MAX(1915,MIN(2025,E509))),SUMIFS(Donnees_generations!$AA$3:$AA$113,Donnees_generations!$A$3:$A$113,MAX(1915,MIN(2025,E509))),SUMIFS(Donnees_generations!$AB$3:$AB$113,Donnees_generations!$A$3:$A$113,MAX(1915,MIN(2025,E509))))+CHOOSE((AG509-56)/2+1,SUMIFS(Donnees_generations!$AC$3:$AC$113,Donnees_generations!$A$3:$A$113,MAX(1915,MIN(2025,E509))),SUMIFS(Donnees_generations!$AD$3:$AD$113,Donnees_generations!$A$3:$A$113,MAX(1915,MIN(2025,E509))),SUMIFS(Donnees_generations!$AE$3:$AE$113,Donnees_generations!$A$3:$A$113,MAX(1915,MIN(2025,E509))),SUMIFS(Donnees_generations!$AF$3:$AF$113,Donnees_generations!$A$3:$A$113,MAX(1915,MIN(2025,E509))),SUMIFS(Donnees_generations!$AG$3:$AG$113,Donnees_generations!$A$3:$A$113,MAX(1915,MIN(2025,E509))),SUMIFS(Donnees_generations!$AH$3:$AH$113,Donnees_generations!$A$3:$A$113,MAX(1915,MIN(2025,E509))),SUMIFS(Donnees_generations!$AI$3:$AI$113,Donnees_generations!$A$3:$A$113,MAX(1915,MIN(2025,E509))),SUMIFS(Donnees_generations!$AJ$3:$AJ$113,Donnees_generations!$A$3:$A$113,MAX(1915,MIN(2025,E509)))))/2</f>
        <v/>
      </c>
      <c r="AI509" s="75">
        <f>(CHOOSE(((AG509+2)-56)/2+1,SUMIFS(Donnees_generations!$U$3:$U$113,Donnees_generations!$A$3:$A$113,MAX(1915,MIN(2025,E509))),SUMIFS(Donnees_generations!$V$3:$V$113,Donnees_generations!$A$3:$A$113,MAX(1915,MIN(2025,E509))),SUMIFS(Donnees_generations!$W$3:$W$113,Donnees_generations!$A$3:$A$113,MAX(1915,MIN(2025,E509))),SUMIFS(Donnees_generations!$X$3:$X$113,Donnees_generations!$A$3:$A$113,MAX(1915,MIN(2025,E509))),SUMIFS(Donnees_generations!$Y$3:$Y$113,Donnees_generations!$A$3:$A$113,MAX(1915,MIN(2025,E509))),SUMIFS(Donnees_generations!$Z$3:$Z$113,Donnees_generations!$A$3:$A$113,MAX(1915,MIN(2025,E509))),SUMIFS(Donnees_generations!$AA$3:$AA$113,Donnees_generations!$A$3:$A$113,MAX(1915,MIN(2025,E509))),SUMIFS(Donnees_generations!$AB$3:$AB$113,Donnees_generations!$A$3:$A$113,MAX(1915,MIN(2025,E509))))+CHOOSE(((AG509+2)-56)/2+1,SUMIFS(Donnees_generations!$AC$3:$AC$113,Donnees_generations!$A$3:$A$113,MAX(1915,MIN(2025,E509))),SUMIFS(Donnees_generations!$AD$3:$AD$113,Donnees_generations!$A$3:$A$113,MAX(1915,MIN(2025,E509))),SUMIFS(Donnees_generations!$AE$3:$AE$113,Donnees_generations!$A$3:$A$113,MAX(1915,MIN(2025,E509))),SUMIFS(Donnees_generations!$AF$3:$AF$113,Donnees_generations!$A$3:$A$113,MAX(1915,MIN(2025,E509))),SUMIFS(Donnees_generations!$AG$3:$AG$113,Donnees_generations!$A$3:$A$113,MAX(1915,MIN(2025,E509))),SUMIFS(Donnees_generations!$AH$3:$AH$113,Donnees_generations!$A$3:$A$113,MAX(1915,MIN(2025,E509))),SUMIFS(Donnees_generations!$AI$3:$AI$113,Donnees_generations!$A$3:$A$113,MAX(1915,MIN(2025,E509))),SUMIFS(Donnees_generations!$AJ$3:$AJ$113,Donnees_generations!$A$3:$A$113,MAX(1915,MIN(2025,E509)))))/2</f>
        <v/>
      </c>
      <c r="AJ509" s="8">
        <f>MAX(0,AH509+(AI509-AH509)*(K509-AG509)/2)</f>
        <v/>
      </c>
      <c r="AK509" s="8">
        <f>K509+AJ509</f>
        <v/>
      </c>
      <c r="AL509" s="14">
        <f>AE509*AJ509</f>
        <v/>
      </c>
      <c r="AM509" s="17">
        <f>V509/AL509</f>
        <v/>
      </c>
      <c r="AN509" s="17">
        <f>Z509/AL509</f>
        <v/>
      </c>
      <c r="AO509" s="33">
        <f>IF(V509+Z509=0,0,Z509/(V509+Z509))</f>
        <v/>
      </c>
      <c r="AP509" s="14">
        <f>AL509/V509*100</f>
        <v/>
      </c>
      <c r="AQ509" s="8">
        <f>P509/AL509*1000</f>
        <v/>
      </c>
      <c r="AR509" s="77">
        <f>MAX(N509,M509-1)</f>
        <v/>
      </c>
      <c r="AS509" s="14">
        <f>SUMIFS(Donnees_regimes!$R$3:$R$1118,Donnees_regimes!$A$3:$A$1118,C509,Donnees_regimes!$B$3:$B$1118,"&gt;="&amp;G509,Donnees_regimes!$B$3:$B$1118,"&lt;="&amp;N509)*L509/ROUNDUP(L509,0)*SUMIFS(Donnees_annuelles!$AG$3:$AG$188,Donnees_annuelles!$A$3:$A$188,AR509)*SUMIFS(Donnees_annuelles!$AA$3:$AA$188,Donnees_annuelles!$A$3:$A$188,AR509)</f>
        <v/>
      </c>
      <c r="AT509" s="36">
        <f>AS509/V509</f>
        <v/>
      </c>
      <c r="AU509" s="14">
        <f>AL509</f>
        <v/>
      </c>
      <c r="AV509" s="39">
        <f>AS509-AL509</f>
        <v/>
      </c>
      <c r="AW509" s="9">
        <f>AS509/AL509-1</f>
        <v/>
      </c>
      <c r="AX509" s="14">
        <f>AS509/AJ509/12</f>
        <v/>
      </c>
      <c r="AY509" s="14">
        <f>AF509</f>
        <v/>
      </c>
      <c r="AZ509" s="39">
        <f>AX509-AF509</f>
        <v/>
      </c>
      <c r="BA509" s="14">
        <f>SUMIFS(Donnees_regimes!$S$3:$S$1118,Donnees_regimes!$A$3:$A$1118,C509,Donnees_regimes!$B$3:$B$1118,"&gt;="&amp;G509,Donnees_regimes!$B$3:$B$1118,"&lt;="&amp;N509)*L509/ROUNDUP(L509,0)*SUMIFS(Donnees_annuelles!$AH$3:$AH$188,Donnees_annuelles!$A$3:$A$188,AR509)*SUMIFS(Donnees_annuelles!$AA$3:$AA$188,Donnees_annuelles!$A$3:$A$188,AR509)</f>
        <v/>
      </c>
      <c r="BB509" s="39">
        <f>BA509-AL509</f>
        <v/>
      </c>
      <c r="BC509" s="7">
        <f>IF(M509+AJ509&gt;2026,IF(G509&gt;2026,"entièrement projeté","en partie projeté"),"observé")</f>
        <v/>
      </c>
    </row>
    <row r="510">
      <c r="A510" s="7" t="inlineStr">
        <is>
          <t>Génération silencieuse</t>
        </is>
      </c>
      <c r="B510" s="84" t="inlineStr">
        <is>
          <t>IEG</t>
        </is>
      </c>
      <c r="C510" s="7">
        <f>IF(G510&gt;=SUMIFS(Regimes!$C$5:$C$10,Regimes!$A$5:$A$10,B510),"Privé",B510)</f>
        <v/>
      </c>
      <c r="D510" s="7">
        <f>INDEX(Regimes!$D$5:$D$10,MATCH(C510,Regimes!$A$5:$A$10,0))</f>
        <v/>
      </c>
      <c r="E510" s="88" t="n">
        <v>1945</v>
      </c>
      <c r="F510" s="8">
        <f>Donnees_generations!C33</f>
        <v/>
      </c>
      <c r="G510" s="77">
        <f>Donnees_generations!D33</f>
        <v/>
      </c>
      <c r="H510" s="8">
        <f>SUMIFS(Donnees_generations!$S$3:$S$113,Donnees_generations!$A$3:$A$113,MAX(1915,MIN(2025,E510)))</f>
        <v/>
      </c>
      <c r="I510" s="8">
        <f>SUMIFS(Donnees_generations!$T$3:$T$113,Donnees_generations!$A$3:$A$113,MAX(1915,MIN(2025,E510)))</f>
        <v/>
      </c>
      <c r="J510" s="8">
        <f>IF(G510&gt;=2000,MAX(I510,Parametres!$B$3),I510)</f>
        <v/>
      </c>
      <c r="K510" s="8">
        <f>IF(C510="Privé",J510,SUMIFS(Regles_regimes!$J$3:$J$2000,Regles_regimes!$A$3:$A$2000,C510,Regles_regimes!$B$3:$B$2000,D510,Regles_regimes!$C$3:$C$2000,MAX(1915,MIN(2025,E510))))</f>
        <v/>
      </c>
      <c r="L510" s="8">
        <f>IF(C510="Privé",H510,(K510-F510)*H510/(J510-F510))</f>
        <v/>
      </c>
      <c r="M510" s="77">
        <f>INT(E510+K510)</f>
        <v/>
      </c>
      <c r="N510" s="77">
        <f>G510+ROUNDUP(L510,0)-1</f>
        <v/>
      </c>
      <c r="O510" s="89">
        <f>SUMIFS(Regles_regimes!$K$3:$K$2000,Regles_regimes!$A$3:$A$2000,C510,Regles_regimes!$B$3:$B$2000,D510,Regles_regimes!$C$3:$C$2000,MAX(1915,MIN(2025,E510)))</f>
        <v/>
      </c>
      <c r="P510" s="13">
        <f>SUMIFS(Donnees_annuelles!$W$3:$W$188,Donnees_annuelles!$A$3:$A$188,"&gt;="&amp;G510,Donnees_annuelles!$A$3:$A$188,"&lt;="&amp;N510)*L510/ROUNDUP(L510,0)*O510</f>
        <v/>
      </c>
      <c r="Q510" s="13">
        <f>SUMIFS(Donnees_annuelles!$V$3:$V$188,Donnees_annuelles!$A$3:$A$188,"&gt;="&amp;G510,Donnees_annuelles!$A$3:$A$188,"&lt;="&amp;N510)*L510/ROUNDUP(L510,0)</f>
        <v/>
      </c>
      <c r="R510" s="13">
        <f>P510/L510</f>
        <v/>
      </c>
      <c r="S510" s="14">
        <f>SUMIFS(Donnees_annuelles!$D$3:$D$188,Donnees_annuelles!$A$3:$A$188,"&gt;="&amp;G510,Donnees_annuelles!$A$3:$A$188,"&lt;="&amp;N510)*L510/ROUNDUP(L510,0)</f>
        <v/>
      </c>
      <c r="T510" s="14">
        <f>SUMIFS(Donnees_regimes!$N$3:$N$1118,Donnees_regimes!$A$3:$A$1118,C510,Donnees_regimes!$B$3:$B$1118,"&gt;="&amp;G510,Donnees_regimes!$B$3:$B$1118,"&lt;="&amp;N510)*L510/ROUNDUP(L510,0)</f>
        <v/>
      </c>
      <c r="U510" s="14">
        <f>SUMIFS(Donnees_regimes!$O$3:$O$1118,Donnees_regimes!$A$3:$A$1118,C510,Donnees_regimes!$B$3:$B$1118,"&gt;="&amp;G510,Donnees_regimes!$B$3:$B$1118,"&lt;="&amp;N510)*L510/ROUNDUP(L510,0)</f>
        <v/>
      </c>
      <c r="V510" s="14">
        <f>T510+U510</f>
        <v/>
      </c>
      <c r="W510" s="33">
        <f>V510/S510</f>
        <v/>
      </c>
      <c r="X510" s="14">
        <f>S510+U510</f>
        <v/>
      </c>
      <c r="Y510" s="17">
        <f>V510/P510</f>
        <v/>
      </c>
      <c r="Z510" s="14">
        <f>SUMIFS(Donnees_regimes!$Q$3:$Q$1118,Donnees_regimes!$A$3:$A$1118,C510,Donnees_regimes!$B$3:$B$1118,"&gt;="&amp;G510,Donnees_regimes!$B$3:$B$1118,"&lt;="&amp;N510)*L510/ROUNDUP(L510,0)</f>
        <v/>
      </c>
      <c r="AA510" s="77">
        <f>SUMIFS(Regles_regimes!$F$3:$F$2000,Regles_regimes!$A$3:$A$2000,C510,Regles_regimes!$B$3:$B$2000,D510,Regles_regimes!$C$3:$C$2000,MAX(1915,MIN(2025,E510)))</f>
        <v/>
      </c>
      <c r="AB510" s="77">
        <f>IF(AND(SUMIFS(Regles_regimes!$L$3:$L$2000,Regles_regimes!$A$3:$A$2000,C510,Regles_regimes!$B$3:$B$2000,D510,Regles_regimes!$C$3:$C$2000,MAX(1915,MIN(2025,E510)))=1,G510&lt;2009,C510&lt;&gt;"Privé"),MIN(20,L510*4/5),0)</f>
        <v/>
      </c>
      <c r="AC510" s="89">
        <f>SUMIFS(Donnees_regimes!$M$3:$M$1118,Donnees_regimes!$A$3:$A$1118,C510,Donnees_regimes!$B$3:$B$1118,M510)</f>
        <v/>
      </c>
      <c r="AD510" s="14">
        <f>SUMIFS(Donnees_annuelles!$Y$3:$Y$188,Donnees_annuelles!$A$3:$A$188,M510)*SUMIFS(Donnees_generations!$I$3:$I$113,Donnees_generations!$A$3:$A$113,MAX(1915,MIN(2025,E510)))/H510</f>
        <v/>
      </c>
      <c r="AE510" s="14">
        <f>IF(C510="Privé",SUMIFS(Donnees_annuelles!$Y$3:$Y$188,Donnees_annuelles!$A$3:$A$188,M510)*MIN(L510,SUMIFS(Donnees_generations!$I$3:$I$113,Donnees_generations!$A$3:$A$113,MAX(1915,MIN(2025,E510))))/L510,AD510*AC510*MIN(IF(AB510&gt;0,0.8/0.75,1),(L510*4+AB510)/AA510))</f>
        <v/>
      </c>
      <c r="AF510" s="14">
        <f>AE510/12</f>
        <v/>
      </c>
      <c r="AG510" s="77">
        <f>MIN(68,MAX(56,2*INT(K510/2)))</f>
        <v/>
      </c>
      <c r="AH510" s="75">
        <f>(CHOOSE((AG510-56)/2+1,SUMIFS(Donnees_generations!$U$3:$U$113,Donnees_generations!$A$3:$A$113,MAX(1915,MIN(2025,E510))),SUMIFS(Donnees_generations!$V$3:$V$113,Donnees_generations!$A$3:$A$113,MAX(1915,MIN(2025,E510))),SUMIFS(Donnees_generations!$W$3:$W$113,Donnees_generations!$A$3:$A$113,MAX(1915,MIN(2025,E510))),SUMIFS(Donnees_generations!$X$3:$X$113,Donnees_generations!$A$3:$A$113,MAX(1915,MIN(2025,E510))),SUMIFS(Donnees_generations!$Y$3:$Y$113,Donnees_generations!$A$3:$A$113,MAX(1915,MIN(2025,E510))),SUMIFS(Donnees_generations!$Z$3:$Z$113,Donnees_generations!$A$3:$A$113,MAX(1915,MIN(2025,E510))),SUMIFS(Donnees_generations!$AA$3:$AA$113,Donnees_generations!$A$3:$A$113,MAX(1915,MIN(2025,E510))),SUMIFS(Donnees_generations!$AB$3:$AB$113,Donnees_generations!$A$3:$A$113,MAX(1915,MIN(2025,E510))))+CHOOSE((AG510-56)/2+1,SUMIFS(Donnees_generations!$AC$3:$AC$113,Donnees_generations!$A$3:$A$113,MAX(1915,MIN(2025,E510))),SUMIFS(Donnees_generations!$AD$3:$AD$113,Donnees_generations!$A$3:$A$113,MAX(1915,MIN(2025,E510))),SUMIFS(Donnees_generations!$AE$3:$AE$113,Donnees_generations!$A$3:$A$113,MAX(1915,MIN(2025,E510))),SUMIFS(Donnees_generations!$AF$3:$AF$113,Donnees_generations!$A$3:$A$113,MAX(1915,MIN(2025,E510))),SUMIFS(Donnees_generations!$AG$3:$AG$113,Donnees_generations!$A$3:$A$113,MAX(1915,MIN(2025,E510))),SUMIFS(Donnees_generations!$AH$3:$AH$113,Donnees_generations!$A$3:$A$113,MAX(1915,MIN(2025,E510))),SUMIFS(Donnees_generations!$AI$3:$AI$113,Donnees_generations!$A$3:$A$113,MAX(1915,MIN(2025,E510))),SUMIFS(Donnees_generations!$AJ$3:$AJ$113,Donnees_generations!$A$3:$A$113,MAX(1915,MIN(2025,E510)))))/2</f>
        <v/>
      </c>
      <c r="AI510" s="75">
        <f>(CHOOSE(((AG510+2)-56)/2+1,SUMIFS(Donnees_generations!$U$3:$U$113,Donnees_generations!$A$3:$A$113,MAX(1915,MIN(2025,E510))),SUMIFS(Donnees_generations!$V$3:$V$113,Donnees_generations!$A$3:$A$113,MAX(1915,MIN(2025,E510))),SUMIFS(Donnees_generations!$W$3:$W$113,Donnees_generations!$A$3:$A$113,MAX(1915,MIN(2025,E510))),SUMIFS(Donnees_generations!$X$3:$X$113,Donnees_generations!$A$3:$A$113,MAX(1915,MIN(2025,E510))),SUMIFS(Donnees_generations!$Y$3:$Y$113,Donnees_generations!$A$3:$A$113,MAX(1915,MIN(2025,E510))),SUMIFS(Donnees_generations!$Z$3:$Z$113,Donnees_generations!$A$3:$A$113,MAX(1915,MIN(2025,E510))),SUMIFS(Donnees_generations!$AA$3:$AA$113,Donnees_generations!$A$3:$A$113,MAX(1915,MIN(2025,E510))),SUMIFS(Donnees_generations!$AB$3:$AB$113,Donnees_generations!$A$3:$A$113,MAX(1915,MIN(2025,E510))))+CHOOSE(((AG510+2)-56)/2+1,SUMIFS(Donnees_generations!$AC$3:$AC$113,Donnees_generations!$A$3:$A$113,MAX(1915,MIN(2025,E510))),SUMIFS(Donnees_generations!$AD$3:$AD$113,Donnees_generations!$A$3:$A$113,MAX(1915,MIN(2025,E510))),SUMIFS(Donnees_generations!$AE$3:$AE$113,Donnees_generations!$A$3:$A$113,MAX(1915,MIN(2025,E510))),SUMIFS(Donnees_generations!$AF$3:$AF$113,Donnees_generations!$A$3:$A$113,MAX(1915,MIN(2025,E510))),SUMIFS(Donnees_generations!$AG$3:$AG$113,Donnees_generations!$A$3:$A$113,MAX(1915,MIN(2025,E510))),SUMIFS(Donnees_generations!$AH$3:$AH$113,Donnees_generations!$A$3:$A$113,MAX(1915,MIN(2025,E510))),SUMIFS(Donnees_generations!$AI$3:$AI$113,Donnees_generations!$A$3:$A$113,MAX(1915,MIN(2025,E510))),SUMIFS(Donnees_generations!$AJ$3:$AJ$113,Donnees_generations!$A$3:$A$113,MAX(1915,MIN(2025,E510)))))/2</f>
        <v/>
      </c>
      <c r="AJ510" s="8">
        <f>MAX(0,AH510+(AI510-AH510)*(K510-AG510)/2)</f>
        <v/>
      </c>
      <c r="AK510" s="8">
        <f>K510+AJ510</f>
        <v/>
      </c>
      <c r="AL510" s="14">
        <f>AE510*AJ510</f>
        <v/>
      </c>
      <c r="AM510" s="17">
        <f>V510/AL510</f>
        <v/>
      </c>
      <c r="AN510" s="17">
        <f>Z510/AL510</f>
        <v/>
      </c>
      <c r="AO510" s="33">
        <f>IF(V510+Z510=0,0,Z510/(V510+Z510))</f>
        <v/>
      </c>
      <c r="AP510" s="14">
        <f>AL510/V510*100</f>
        <v/>
      </c>
      <c r="AQ510" s="8">
        <f>P510/AL510*1000</f>
        <v/>
      </c>
      <c r="AR510" s="77">
        <f>MAX(N510,M510-1)</f>
        <v/>
      </c>
      <c r="AS510" s="14">
        <f>SUMIFS(Donnees_regimes!$R$3:$R$1118,Donnees_regimes!$A$3:$A$1118,C510,Donnees_regimes!$B$3:$B$1118,"&gt;="&amp;G510,Donnees_regimes!$B$3:$B$1118,"&lt;="&amp;N510)*L510/ROUNDUP(L510,0)*SUMIFS(Donnees_annuelles!$AG$3:$AG$188,Donnees_annuelles!$A$3:$A$188,AR510)*SUMIFS(Donnees_annuelles!$AA$3:$AA$188,Donnees_annuelles!$A$3:$A$188,AR510)</f>
        <v/>
      </c>
      <c r="AT510" s="36">
        <f>AS510/V510</f>
        <v/>
      </c>
      <c r="AU510" s="14">
        <f>AL510</f>
        <v/>
      </c>
      <c r="AV510" s="39">
        <f>AS510-AL510</f>
        <v/>
      </c>
      <c r="AW510" s="9">
        <f>AS510/AL510-1</f>
        <v/>
      </c>
      <c r="AX510" s="14">
        <f>AS510/AJ510/12</f>
        <v/>
      </c>
      <c r="AY510" s="14">
        <f>AF510</f>
        <v/>
      </c>
      <c r="AZ510" s="39">
        <f>AX510-AF510</f>
        <v/>
      </c>
      <c r="BA510" s="14">
        <f>SUMIFS(Donnees_regimes!$S$3:$S$1118,Donnees_regimes!$A$3:$A$1118,C510,Donnees_regimes!$B$3:$B$1118,"&gt;="&amp;G510,Donnees_regimes!$B$3:$B$1118,"&lt;="&amp;N510)*L510/ROUNDUP(L510,0)*SUMIFS(Donnees_annuelles!$AH$3:$AH$188,Donnees_annuelles!$A$3:$A$188,AR510)*SUMIFS(Donnees_annuelles!$AA$3:$AA$188,Donnees_annuelles!$A$3:$A$188,AR510)</f>
        <v/>
      </c>
      <c r="BB510" s="39">
        <f>BA510-AL510</f>
        <v/>
      </c>
      <c r="BC510" s="7">
        <f>IF(M510+AJ510&gt;2026,IF(G510&gt;2026,"entièrement projeté","en partie projeté"),"observé")</f>
        <v/>
      </c>
    </row>
    <row r="511">
      <c r="A511" s="7" t="inlineStr">
        <is>
          <t>Baby-boomers</t>
        </is>
      </c>
      <c r="B511" s="84" t="inlineStr">
        <is>
          <t>IEG</t>
        </is>
      </c>
      <c r="C511" s="7">
        <f>IF(G511&gt;=SUMIFS(Regimes!$C$5:$C$10,Regimes!$A$5:$A$10,B511),"Privé",B511)</f>
        <v/>
      </c>
      <c r="D511" s="7">
        <f>INDEX(Regimes!$D$5:$D$10,MATCH(C511,Regimes!$A$5:$A$10,0))</f>
        <v/>
      </c>
      <c r="E511" s="88" t="n">
        <v>1946</v>
      </c>
      <c r="F511" s="8">
        <f>Donnees_generations!C34</f>
        <v/>
      </c>
      <c r="G511" s="77">
        <f>Donnees_generations!D34</f>
        <v/>
      </c>
      <c r="H511" s="8">
        <f>SUMIFS(Donnees_generations!$S$3:$S$113,Donnees_generations!$A$3:$A$113,MAX(1915,MIN(2025,E511)))</f>
        <v/>
      </c>
      <c r="I511" s="8">
        <f>SUMIFS(Donnees_generations!$T$3:$T$113,Donnees_generations!$A$3:$A$113,MAX(1915,MIN(2025,E511)))</f>
        <v/>
      </c>
      <c r="J511" s="8">
        <f>IF(G511&gt;=2000,MAX(I511,Parametres!$B$3),I511)</f>
        <v/>
      </c>
      <c r="K511" s="8">
        <f>IF(C511="Privé",J511,SUMIFS(Regles_regimes!$J$3:$J$2000,Regles_regimes!$A$3:$A$2000,C511,Regles_regimes!$B$3:$B$2000,D511,Regles_regimes!$C$3:$C$2000,MAX(1915,MIN(2025,E511))))</f>
        <v/>
      </c>
      <c r="L511" s="8">
        <f>IF(C511="Privé",H511,(K511-F511)*H511/(J511-F511))</f>
        <v/>
      </c>
      <c r="M511" s="77">
        <f>INT(E511+K511)</f>
        <v/>
      </c>
      <c r="N511" s="77">
        <f>G511+ROUNDUP(L511,0)-1</f>
        <v/>
      </c>
      <c r="O511" s="89">
        <f>SUMIFS(Regles_regimes!$K$3:$K$2000,Regles_regimes!$A$3:$A$2000,C511,Regles_regimes!$B$3:$B$2000,D511,Regles_regimes!$C$3:$C$2000,MAX(1915,MIN(2025,E511)))</f>
        <v/>
      </c>
      <c r="P511" s="13">
        <f>SUMIFS(Donnees_annuelles!$W$3:$W$188,Donnees_annuelles!$A$3:$A$188,"&gt;="&amp;G511,Donnees_annuelles!$A$3:$A$188,"&lt;="&amp;N511)*L511/ROUNDUP(L511,0)*O511</f>
        <v/>
      </c>
      <c r="Q511" s="13">
        <f>SUMIFS(Donnees_annuelles!$V$3:$V$188,Donnees_annuelles!$A$3:$A$188,"&gt;="&amp;G511,Donnees_annuelles!$A$3:$A$188,"&lt;="&amp;N511)*L511/ROUNDUP(L511,0)</f>
        <v/>
      </c>
      <c r="R511" s="13">
        <f>P511/L511</f>
        <v/>
      </c>
      <c r="S511" s="14">
        <f>SUMIFS(Donnees_annuelles!$D$3:$D$188,Donnees_annuelles!$A$3:$A$188,"&gt;="&amp;G511,Donnees_annuelles!$A$3:$A$188,"&lt;="&amp;N511)*L511/ROUNDUP(L511,0)</f>
        <v/>
      </c>
      <c r="T511" s="14">
        <f>SUMIFS(Donnees_regimes!$N$3:$N$1118,Donnees_regimes!$A$3:$A$1118,C511,Donnees_regimes!$B$3:$B$1118,"&gt;="&amp;G511,Donnees_regimes!$B$3:$B$1118,"&lt;="&amp;N511)*L511/ROUNDUP(L511,0)</f>
        <v/>
      </c>
      <c r="U511" s="14">
        <f>SUMIFS(Donnees_regimes!$O$3:$O$1118,Donnees_regimes!$A$3:$A$1118,C511,Donnees_regimes!$B$3:$B$1118,"&gt;="&amp;G511,Donnees_regimes!$B$3:$B$1118,"&lt;="&amp;N511)*L511/ROUNDUP(L511,0)</f>
        <v/>
      </c>
      <c r="V511" s="14">
        <f>T511+U511</f>
        <v/>
      </c>
      <c r="W511" s="33">
        <f>V511/S511</f>
        <v/>
      </c>
      <c r="X511" s="14">
        <f>S511+U511</f>
        <v/>
      </c>
      <c r="Y511" s="17">
        <f>V511/P511</f>
        <v/>
      </c>
      <c r="Z511" s="14">
        <f>SUMIFS(Donnees_regimes!$Q$3:$Q$1118,Donnees_regimes!$A$3:$A$1118,C511,Donnees_regimes!$B$3:$B$1118,"&gt;="&amp;G511,Donnees_regimes!$B$3:$B$1118,"&lt;="&amp;N511)*L511/ROUNDUP(L511,0)</f>
        <v/>
      </c>
      <c r="AA511" s="77">
        <f>SUMIFS(Regles_regimes!$F$3:$F$2000,Regles_regimes!$A$3:$A$2000,C511,Regles_regimes!$B$3:$B$2000,D511,Regles_regimes!$C$3:$C$2000,MAX(1915,MIN(2025,E511)))</f>
        <v/>
      </c>
      <c r="AB511" s="77">
        <f>IF(AND(SUMIFS(Regles_regimes!$L$3:$L$2000,Regles_regimes!$A$3:$A$2000,C511,Regles_regimes!$B$3:$B$2000,D511,Regles_regimes!$C$3:$C$2000,MAX(1915,MIN(2025,E511)))=1,G511&lt;2009,C511&lt;&gt;"Privé"),MIN(20,L511*4/5),0)</f>
        <v/>
      </c>
      <c r="AC511" s="89">
        <f>SUMIFS(Donnees_regimes!$M$3:$M$1118,Donnees_regimes!$A$3:$A$1118,C511,Donnees_regimes!$B$3:$B$1118,M511)</f>
        <v/>
      </c>
      <c r="AD511" s="14">
        <f>SUMIFS(Donnees_annuelles!$Y$3:$Y$188,Donnees_annuelles!$A$3:$A$188,M511)*SUMIFS(Donnees_generations!$I$3:$I$113,Donnees_generations!$A$3:$A$113,MAX(1915,MIN(2025,E511)))/H511</f>
        <v/>
      </c>
      <c r="AE511" s="14">
        <f>IF(C511="Privé",SUMIFS(Donnees_annuelles!$Y$3:$Y$188,Donnees_annuelles!$A$3:$A$188,M511)*MIN(L511,SUMIFS(Donnees_generations!$I$3:$I$113,Donnees_generations!$A$3:$A$113,MAX(1915,MIN(2025,E511))))/L511,AD511*AC511*MIN(IF(AB511&gt;0,0.8/0.75,1),(L511*4+AB511)/AA511))</f>
        <v/>
      </c>
      <c r="AF511" s="14">
        <f>AE511/12</f>
        <v/>
      </c>
      <c r="AG511" s="77">
        <f>MIN(68,MAX(56,2*INT(K511/2)))</f>
        <v/>
      </c>
      <c r="AH511" s="75">
        <f>(CHOOSE((AG511-56)/2+1,SUMIFS(Donnees_generations!$U$3:$U$113,Donnees_generations!$A$3:$A$113,MAX(1915,MIN(2025,E511))),SUMIFS(Donnees_generations!$V$3:$V$113,Donnees_generations!$A$3:$A$113,MAX(1915,MIN(2025,E511))),SUMIFS(Donnees_generations!$W$3:$W$113,Donnees_generations!$A$3:$A$113,MAX(1915,MIN(2025,E511))),SUMIFS(Donnees_generations!$X$3:$X$113,Donnees_generations!$A$3:$A$113,MAX(1915,MIN(2025,E511))),SUMIFS(Donnees_generations!$Y$3:$Y$113,Donnees_generations!$A$3:$A$113,MAX(1915,MIN(2025,E511))),SUMIFS(Donnees_generations!$Z$3:$Z$113,Donnees_generations!$A$3:$A$113,MAX(1915,MIN(2025,E511))),SUMIFS(Donnees_generations!$AA$3:$AA$113,Donnees_generations!$A$3:$A$113,MAX(1915,MIN(2025,E511))),SUMIFS(Donnees_generations!$AB$3:$AB$113,Donnees_generations!$A$3:$A$113,MAX(1915,MIN(2025,E511))))+CHOOSE((AG511-56)/2+1,SUMIFS(Donnees_generations!$AC$3:$AC$113,Donnees_generations!$A$3:$A$113,MAX(1915,MIN(2025,E511))),SUMIFS(Donnees_generations!$AD$3:$AD$113,Donnees_generations!$A$3:$A$113,MAX(1915,MIN(2025,E511))),SUMIFS(Donnees_generations!$AE$3:$AE$113,Donnees_generations!$A$3:$A$113,MAX(1915,MIN(2025,E511))),SUMIFS(Donnees_generations!$AF$3:$AF$113,Donnees_generations!$A$3:$A$113,MAX(1915,MIN(2025,E511))),SUMIFS(Donnees_generations!$AG$3:$AG$113,Donnees_generations!$A$3:$A$113,MAX(1915,MIN(2025,E511))),SUMIFS(Donnees_generations!$AH$3:$AH$113,Donnees_generations!$A$3:$A$113,MAX(1915,MIN(2025,E511))),SUMIFS(Donnees_generations!$AI$3:$AI$113,Donnees_generations!$A$3:$A$113,MAX(1915,MIN(2025,E511))),SUMIFS(Donnees_generations!$AJ$3:$AJ$113,Donnees_generations!$A$3:$A$113,MAX(1915,MIN(2025,E511)))))/2</f>
        <v/>
      </c>
      <c r="AI511" s="75">
        <f>(CHOOSE(((AG511+2)-56)/2+1,SUMIFS(Donnees_generations!$U$3:$U$113,Donnees_generations!$A$3:$A$113,MAX(1915,MIN(2025,E511))),SUMIFS(Donnees_generations!$V$3:$V$113,Donnees_generations!$A$3:$A$113,MAX(1915,MIN(2025,E511))),SUMIFS(Donnees_generations!$W$3:$W$113,Donnees_generations!$A$3:$A$113,MAX(1915,MIN(2025,E511))),SUMIFS(Donnees_generations!$X$3:$X$113,Donnees_generations!$A$3:$A$113,MAX(1915,MIN(2025,E511))),SUMIFS(Donnees_generations!$Y$3:$Y$113,Donnees_generations!$A$3:$A$113,MAX(1915,MIN(2025,E511))),SUMIFS(Donnees_generations!$Z$3:$Z$113,Donnees_generations!$A$3:$A$113,MAX(1915,MIN(2025,E511))),SUMIFS(Donnees_generations!$AA$3:$AA$113,Donnees_generations!$A$3:$A$113,MAX(1915,MIN(2025,E511))),SUMIFS(Donnees_generations!$AB$3:$AB$113,Donnees_generations!$A$3:$A$113,MAX(1915,MIN(2025,E511))))+CHOOSE(((AG511+2)-56)/2+1,SUMIFS(Donnees_generations!$AC$3:$AC$113,Donnees_generations!$A$3:$A$113,MAX(1915,MIN(2025,E511))),SUMIFS(Donnees_generations!$AD$3:$AD$113,Donnees_generations!$A$3:$A$113,MAX(1915,MIN(2025,E511))),SUMIFS(Donnees_generations!$AE$3:$AE$113,Donnees_generations!$A$3:$A$113,MAX(1915,MIN(2025,E511))),SUMIFS(Donnees_generations!$AF$3:$AF$113,Donnees_generations!$A$3:$A$113,MAX(1915,MIN(2025,E511))),SUMIFS(Donnees_generations!$AG$3:$AG$113,Donnees_generations!$A$3:$A$113,MAX(1915,MIN(2025,E511))),SUMIFS(Donnees_generations!$AH$3:$AH$113,Donnees_generations!$A$3:$A$113,MAX(1915,MIN(2025,E511))),SUMIFS(Donnees_generations!$AI$3:$AI$113,Donnees_generations!$A$3:$A$113,MAX(1915,MIN(2025,E511))),SUMIFS(Donnees_generations!$AJ$3:$AJ$113,Donnees_generations!$A$3:$A$113,MAX(1915,MIN(2025,E511)))))/2</f>
        <v/>
      </c>
      <c r="AJ511" s="8">
        <f>MAX(0,AH511+(AI511-AH511)*(K511-AG511)/2)</f>
        <v/>
      </c>
      <c r="AK511" s="8">
        <f>K511+AJ511</f>
        <v/>
      </c>
      <c r="AL511" s="14">
        <f>AE511*AJ511</f>
        <v/>
      </c>
      <c r="AM511" s="17">
        <f>V511/AL511</f>
        <v/>
      </c>
      <c r="AN511" s="17">
        <f>Z511/AL511</f>
        <v/>
      </c>
      <c r="AO511" s="33">
        <f>IF(V511+Z511=0,0,Z511/(V511+Z511))</f>
        <v/>
      </c>
      <c r="AP511" s="14">
        <f>AL511/V511*100</f>
        <v/>
      </c>
      <c r="AQ511" s="8">
        <f>P511/AL511*1000</f>
        <v/>
      </c>
      <c r="AR511" s="77">
        <f>MAX(N511,M511-1)</f>
        <v/>
      </c>
      <c r="AS511" s="14">
        <f>SUMIFS(Donnees_regimes!$R$3:$R$1118,Donnees_regimes!$A$3:$A$1118,C511,Donnees_regimes!$B$3:$B$1118,"&gt;="&amp;G511,Donnees_regimes!$B$3:$B$1118,"&lt;="&amp;N511)*L511/ROUNDUP(L511,0)*SUMIFS(Donnees_annuelles!$AG$3:$AG$188,Donnees_annuelles!$A$3:$A$188,AR511)*SUMIFS(Donnees_annuelles!$AA$3:$AA$188,Donnees_annuelles!$A$3:$A$188,AR511)</f>
        <v/>
      </c>
      <c r="AT511" s="36">
        <f>AS511/V511</f>
        <v/>
      </c>
      <c r="AU511" s="14">
        <f>AL511</f>
        <v/>
      </c>
      <c r="AV511" s="39">
        <f>AS511-AL511</f>
        <v/>
      </c>
      <c r="AW511" s="9">
        <f>AS511/AL511-1</f>
        <v/>
      </c>
      <c r="AX511" s="14">
        <f>AS511/AJ511/12</f>
        <v/>
      </c>
      <c r="AY511" s="14">
        <f>AF511</f>
        <v/>
      </c>
      <c r="AZ511" s="39">
        <f>AX511-AF511</f>
        <v/>
      </c>
      <c r="BA511" s="14">
        <f>SUMIFS(Donnees_regimes!$S$3:$S$1118,Donnees_regimes!$A$3:$A$1118,C511,Donnees_regimes!$B$3:$B$1118,"&gt;="&amp;G511,Donnees_regimes!$B$3:$B$1118,"&lt;="&amp;N511)*L511/ROUNDUP(L511,0)*SUMIFS(Donnees_annuelles!$AH$3:$AH$188,Donnees_annuelles!$A$3:$A$188,AR511)*SUMIFS(Donnees_annuelles!$AA$3:$AA$188,Donnees_annuelles!$A$3:$A$188,AR511)</f>
        <v/>
      </c>
      <c r="BB511" s="39">
        <f>BA511-AL511</f>
        <v/>
      </c>
      <c r="BC511" s="7">
        <f>IF(M511+AJ511&gt;2026,IF(G511&gt;2026,"entièrement projeté","en partie projeté"),"observé")</f>
        <v/>
      </c>
    </row>
    <row r="512">
      <c r="A512" s="7" t="inlineStr">
        <is>
          <t>Baby-boomers</t>
        </is>
      </c>
      <c r="B512" s="84" t="inlineStr">
        <is>
          <t>IEG</t>
        </is>
      </c>
      <c r="C512" s="7">
        <f>IF(G512&gt;=SUMIFS(Regimes!$C$5:$C$10,Regimes!$A$5:$A$10,B512),"Privé",B512)</f>
        <v/>
      </c>
      <c r="D512" s="7">
        <f>INDEX(Regimes!$D$5:$D$10,MATCH(C512,Regimes!$A$5:$A$10,0))</f>
        <v/>
      </c>
      <c r="E512" s="88" t="n">
        <v>1947</v>
      </c>
      <c r="F512" s="8">
        <f>Donnees_generations!C35</f>
        <v/>
      </c>
      <c r="G512" s="77">
        <f>Donnees_generations!D35</f>
        <v/>
      </c>
      <c r="H512" s="8">
        <f>SUMIFS(Donnees_generations!$S$3:$S$113,Donnees_generations!$A$3:$A$113,MAX(1915,MIN(2025,E512)))</f>
        <v/>
      </c>
      <c r="I512" s="8">
        <f>SUMIFS(Donnees_generations!$T$3:$T$113,Donnees_generations!$A$3:$A$113,MAX(1915,MIN(2025,E512)))</f>
        <v/>
      </c>
      <c r="J512" s="8">
        <f>IF(G512&gt;=2000,MAX(I512,Parametres!$B$3),I512)</f>
        <v/>
      </c>
      <c r="K512" s="8">
        <f>IF(C512="Privé",J512,SUMIFS(Regles_regimes!$J$3:$J$2000,Regles_regimes!$A$3:$A$2000,C512,Regles_regimes!$B$3:$B$2000,D512,Regles_regimes!$C$3:$C$2000,MAX(1915,MIN(2025,E512))))</f>
        <v/>
      </c>
      <c r="L512" s="8">
        <f>IF(C512="Privé",H512,(K512-F512)*H512/(J512-F512))</f>
        <v/>
      </c>
      <c r="M512" s="77">
        <f>INT(E512+K512)</f>
        <v/>
      </c>
      <c r="N512" s="77">
        <f>G512+ROUNDUP(L512,0)-1</f>
        <v/>
      </c>
      <c r="O512" s="89">
        <f>SUMIFS(Regles_regimes!$K$3:$K$2000,Regles_regimes!$A$3:$A$2000,C512,Regles_regimes!$B$3:$B$2000,D512,Regles_regimes!$C$3:$C$2000,MAX(1915,MIN(2025,E512)))</f>
        <v/>
      </c>
      <c r="P512" s="13">
        <f>SUMIFS(Donnees_annuelles!$W$3:$W$188,Donnees_annuelles!$A$3:$A$188,"&gt;="&amp;G512,Donnees_annuelles!$A$3:$A$188,"&lt;="&amp;N512)*L512/ROUNDUP(L512,0)*O512</f>
        <v/>
      </c>
      <c r="Q512" s="13">
        <f>SUMIFS(Donnees_annuelles!$V$3:$V$188,Donnees_annuelles!$A$3:$A$188,"&gt;="&amp;G512,Donnees_annuelles!$A$3:$A$188,"&lt;="&amp;N512)*L512/ROUNDUP(L512,0)</f>
        <v/>
      </c>
      <c r="R512" s="13">
        <f>P512/L512</f>
        <v/>
      </c>
      <c r="S512" s="14">
        <f>SUMIFS(Donnees_annuelles!$D$3:$D$188,Donnees_annuelles!$A$3:$A$188,"&gt;="&amp;G512,Donnees_annuelles!$A$3:$A$188,"&lt;="&amp;N512)*L512/ROUNDUP(L512,0)</f>
        <v/>
      </c>
      <c r="T512" s="14">
        <f>SUMIFS(Donnees_regimes!$N$3:$N$1118,Donnees_regimes!$A$3:$A$1118,C512,Donnees_regimes!$B$3:$B$1118,"&gt;="&amp;G512,Donnees_regimes!$B$3:$B$1118,"&lt;="&amp;N512)*L512/ROUNDUP(L512,0)</f>
        <v/>
      </c>
      <c r="U512" s="14">
        <f>SUMIFS(Donnees_regimes!$O$3:$O$1118,Donnees_regimes!$A$3:$A$1118,C512,Donnees_regimes!$B$3:$B$1118,"&gt;="&amp;G512,Donnees_regimes!$B$3:$B$1118,"&lt;="&amp;N512)*L512/ROUNDUP(L512,0)</f>
        <v/>
      </c>
      <c r="V512" s="14">
        <f>T512+U512</f>
        <v/>
      </c>
      <c r="W512" s="33">
        <f>V512/S512</f>
        <v/>
      </c>
      <c r="X512" s="14">
        <f>S512+U512</f>
        <v/>
      </c>
      <c r="Y512" s="17">
        <f>V512/P512</f>
        <v/>
      </c>
      <c r="Z512" s="14">
        <f>SUMIFS(Donnees_regimes!$Q$3:$Q$1118,Donnees_regimes!$A$3:$A$1118,C512,Donnees_regimes!$B$3:$B$1118,"&gt;="&amp;G512,Donnees_regimes!$B$3:$B$1118,"&lt;="&amp;N512)*L512/ROUNDUP(L512,0)</f>
        <v/>
      </c>
      <c r="AA512" s="77">
        <f>SUMIFS(Regles_regimes!$F$3:$F$2000,Regles_regimes!$A$3:$A$2000,C512,Regles_regimes!$B$3:$B$2000,D512,Regles_regimes!$C$3:$C$2000,MAX(1915,MIN(2025,E512)))</f>
        <v/>
      </c>
      <c r="AB512" s="77">
        <f>IF(AND(SUMIFS(Regles_regimes!$L$3:$L$2000,Regles_regimes!$A$3:$A$2000,C512,Regles_regimes!$B$3:$B$2000,D512,Regles_regimes!$C$3:$C$2000,MAX(1915,MIN(2025,E512)))=1,G512&lt;2009,C512&lt;&gt;"Privé"),MIN(20,L512*4/5),0)</f>
        <v/>
      </c>
      <c r="AC512" s="89">
        <f>SUMIFS(Donnees_regimes!$M$3:$M$1118,Donnees_regimes!$A$3:$A$1118,C512,Donnees_regimes!$B$3:$B$1118,M512)</f>
        <v/>
      </c>
      <c r="AD512" s="14">
        <f>SUMIFS(Donnees_annuelles!$Y$3:$Y$188,Donnees_annuelles!$A$3:$A$188,M512)*SUMIFS(Donnees_generations!$I$3:$I$113,Donnees_generations!$A$3:$A$113,MAX(1915,MIN(2025,E512)))/H512</f>
        <v/>
      </c>
      <c r="AE512" s="14">
        <f>IF(C512="Privé",SUMIFS(Donnees_annuelles!$Y$3:$Y$188,Donnees_annuelles!$A$3:$A$188,M512)*MIN(L512,SUMIFS(Donnees_generations!$I$3:$I$113,Donnees_generations!$A$3:$A$113,MAX(1915,MIN(2025,E512))))/L512,AD512*AC512*MIN(IF(AB512&gt;0,0.8/0.75,1),(L512*4+AB512)/AA512))</f>
        <v/>
      </c>
      <c r="AF512" s="14">
        <f>AE512/12</f>
        <v/>
      </c>
      <c r="AG512" s="77">
        <f>MIN(68,MAX(56,2*INT(K512/2)))</f>
        <v/>
      </c>
      <c r="AH512" s="75">
        <f>(CHOOSE((AG512-56)/2+1,SUMIFS(Donnees_generations!$U$3:$U$113,Donnees_generations!$A$3:$A$113,MAX(1915,MIN(2025,E512))),SUMIFS(Donnees_generations!$V$3:$V$113,Donnees_generations!$A$3:$A$113,MAX(1915,MIN(2025,E512))),SUMIFS(Donnees_generations!$W$3:$W$113,Donnees_generations!$A$3:$A$113,MAX(1915,MIN(2025,E512))),SUMIFS(Donnees_generations!$X$3:$X$113,Donnees_generations!$A$3:$A$113,MAX(1915,MIN(2025,E512))),SUMIFS(Donnees_generations!$Y$3:$Y$113,Donnees_generations!$A$3:$A$113,MAX(1915,MIN(2025,E512))),SUMIFS(Donnees_generations!$Z$3:$Z$113,Donnees_generations!$A$3:$A$113,MAX(1915,MIN(2025,E512))),SUMIFS(Donnees_generations!$AA$3:$AA$113,Donnees_generations!$A$3:$A$113,MAX(1915,MIN(2025,E512))),SUMIFS(Donnees_generations!$AB$3:$AB$113,Donnees_generations!$A$3:$A$113,MAX(1915,MIN(2025,E512))))+CHOOSE((AG512-56)/2+1,SUMIFS(Donnees_generations!$AC$3:$AC$113,Donnees_generations!$A$3:$A$113,MAX(1915,MIN(2025,E512))),SUMIFS(Donnees_generations!$AD$3:$AD$113,Donnees_generations!$A$3:$A$113,MAX(1915,MIN(2025,E512))),SUMIFS(Donnees_generations!$AE$3:$AE$113,Donnees_generations!$A$3:$A$113,MAX(1915,MIN(2025,E512))),SUMIFS(Donnees_generations!$AF$3:$AF$113,Donnees_generations!$A$3:$A$113,MAX(1915,MIN(2025,E512))),SUMIFS(Donnees_generations!$AG$3:$AG$113,Donnees_generations!$A$3:$A$113,MAX(1915,MIN(2025,E512))),SUMIFS(Donnees_generations!$AH$3:$AH$113,Donnees_generations!$A$3:$A$113,MAX(1915,MIN(2025,E512))),SUMIFS(Donnees_generations!$AI$3:$AI$113,Donnees_generations!$A$3:$A$113,MAX(1915,MIN(2025,E512))),SUMIFS(Donnees_generations!$AJ$3:$AJ$113,Donnees_generations!$A$3:$A$113,MAX(1915,MIN(2025,E512)))))/2</f>
        <v/>
      </c>
      <c r="AI512" s="75">
        <f>(CHOOSE(((AG512+2)-56)/2+1,SUMIFS(Donnees_generations!$U$3:$U$113,Donnees_generations!$A$3:$A$113,MAX(1915,MIN(2025,E512))),SUMIFS(Donnees_generations!$V$3:$V$113,Donnees_generations!$A$3:$A$113,MAX(1915,MIN(2025,E512))),SUMIFS(Donnees_generations!$W$3:$W$113,Donnees_generations!$A$3:$A$113,MAX(1915,MIN(2025,E512))),SUMIFS(Donnees_generations!$X$3:$X$113,Donnees_generations!$A$3:$A$113,MAX(1915,MIN(2025,E512))),SUMIFS(Donnees_generations!$Y$3:$Y$113,Donnees_generations!$A$3:$A$113,MAX(1915,MIN(2025,E512))),SUMIFS(Donnees_generations!$Z$3:$Z$113,Donnees_generations!$A$3:$A$113,MAX(1915,MIN(2025,E512))),SUMIFS(Donnees_generations!$AA$3:$AA$113,Donnees_generations!$A$3:$A$113,MAX(1915,MIN(2025,E512))),SUMIFS(Donnees_generations!$AB$3:$AB$113,Donnees_generations!$A$3:$A$113,MAX(1915,MIN(2025,E512))))+CHOOSE(((AG512+2)-56)/2+1,SUMIFS(Donnees_generations!$AC$3:$AC$113,Donnees_generations!$A$3:$A$113,MAX(1915,MIN(2025,E512))),SUMIFS(Donnees_generations!$AD$3:$AD$113,Donnees_generations!$A$3:$A$113,MAX(1915,MIN(2025,E512))),SUMIFS(Donnees_generations!$AE$3:$AE$113,Donnees_generations!$A$3:$A$113,MAX(1915,MIN(2025,E512))),SUMIFS(Donnees_generations!$AF$3:$AF$113,Donnees_generations!$A$3:$A$113,MAX(1915,MIN(2025,E512))),SUMIFS(Donnees_generations!$AG$3:$AG$113,Donnees_generations!$A$3:$A$113,MAX(1915,MIN(2025,E512))),SUMIFS(Donnees_generations!$AH$3:$AH$113,Donnees_generations!$A$3:$A$113,MAX(1915,MIN(2025,E512))),SUMIFS(Donnees_generations!$AI$3:$AI$113,Donnees_generations!$A$3:$A$113,MAX(1915,MIN(2025,E512))),SUMIFS(Donnees_generations!$AJ$3:$AJ$113,Donnees_generations!$A$3:$A$113,MAX(1915,MIN(2025,E512)))))/2</f>
        <v/>
      </c>
      <c r="AJ512" s="8">
        <f>MAX(0,AH512+(AI512-AH512)*(K512-AG512)/2)</f>
        <v/>
      </c>
      <c r="AK512" s="8">
        <f>K512+AJ512</f>
        <v/>
      </c>
      <c r="AL512" s="14">
        <f>AE512*AJ512</f>
        <v/>
      </c>
      <c r="AM512" s="17">
        <f>V512/AL512</f>
        <v/>
      </c>
      <c r="AN512" s="17">
        <f>Z512/AL512</f>
        <v/>
      </c>
      <c r="AO512" s="33">
        <f>IF(V512+Z512=0,0,Z512/(V512+Z512))</f>
        <v/>
      </c>
      <c r="AP512" s="14">
        <f>AL512/V512*100</f>
        <v/>
      </c>
      <c r="AQ512" s="8">
        <f>P512/AL512*1000</f>
        <v/>
      </c>
      <c r="AR512" s="77">
        <f>MAX(N512,M512-1)</f>
        <v/>
      </c>
      <c r="AS512" s="14">
        <f>SUMIFS(Donnees_regimes!$R$3:$R$1118,Donnees_regimes!$A$3:$A$1118,C512,Donnees_regimes!$B$3:$B$1118,"&gt;="&amp;G512,Donnees_regimes!$B$3:$B$1118,"&lt;="&amp;N512)*L512/ROUNDUP(L512,0)*SUMIFS(Donnees_annuelles!$AG$3:$AG$188,Donnees_annuelles!$A$3:$A$188,AR512)*SUMIFS(Donnees_annuelles!$AA$3:$AA$188,Donnees_annuelles!$A$3:$A$188,AR512)</f>
        <v/>
      </c>
      <c r="AT512" s="36">
        <f>AS512/V512</f>
        <v/>
      </c>
      <c r="AU512" s="14">
        <f>AL512</f>
        <v/>
      </c>
      <c r="AV512" s="39">
        <f>AS512-AL512</f>
        <v/>
      </c>
      <c r="AW512" s="9">
        <f>AS512/AL512-1</f>
        <v/>
      </c>
      <c r="AX512" s="14">
        <f>AS512/AJ512/12</f>
        <v/>
      </c>
      <c r="AY512" s="14">
        <f>AF512</f>
        <v/>
      </c>
      <c r="AZ512" s="39">
        <f>AX512-AF512</f>
        <v/>
      </c>
      <c r="BA512" s="14">
        <f>SUMIFS(Donnees_regimes!$S$3:$S$1118,Donnees_regimes!$A$3:$A$1118,C512,Donnees_regimes!$B$3:$B$1118,"&gt;="&amp;G512,Donnees_regimes!$B$3:$B$1118,"&lt;="&amp;N512)*L512/ROUNDUP(L512,0)*SUMIFS(Donnees_annuelles!$AH$3:$AH$188,Donnees_annuelles!$A$3:$A$188,AR512)*SUMIFS(Donnees_annuelles!$AA$3:$AA$188,Donnees_annuelles!$A$3:$A$188,AR512)</f>
        <v/>
      </c>
      <c r="BB512" s="39">
        <f>BA512-AL512</f>
        <v/>
      </c>
      <c r="BC512" s="7">
        <f>IF(M512+AJ512&gt;2026,IF(G512&gt;2026,"entièrement projeté","en partie projeté"),"observé")</f>
        <v/>
      </c>
    </row>
    <row r="513">
      <c r="A513" s="7" t="inlineStr">
        <is>
          <t>Baby-boomers</t>
        </is>
      </c>
      <c r="B513" s="84" t="inlineStr">
        <is>
          <t>IEG</t>
        </is>
      </c>
      <c r="C513" s="7">
        <f>IF(G513&gt;=SUMIFS(Regimes!$C$5:$C$10,Regimes!$A$5:$A$10,B513),"Privé",B513)</f>
        <v/>
      </c>
      <c r="D513" s="7">
        <f>INDEX(Regimes!$D$5:$D$10,MATCH(C513,Regimes!$A$5:$A$10,0))</f>
        <v/>
      </c>
      <c r="E513" s="88" t="n">
        <v>1948</v>
      </c>
      <c r="F513" s="8">
        <f>Donnees_generations!C36</f>
        <v/>
      </c>
      <c r="G513" s="77">
        <f>Donnees_generations!D36</f>
        <v/>
      </c>
      <c r="H513" s="8">
        <f>SUMIFS(Donnees_generations!$S$3:$S$113,Donnees_generations!$A$3:$A$113,MAX(1915,MIN(2025,E513)))</f>
        <v/>
      </c>
      <c r="I513" s="8">
        <f>SUMIFS(Donnees_generations!$T$3:$T$113,Donnees_generations!$A$3:$A$113,MAX(1915,MIN(2025,E513)))</f>
        <v/>
      </c>
      <c r="J513" s="8">
        <f>IF(G513&gt;=2000,MAX(I513,Parametres!$B$3),I513)</f>
        <v/>
      </c>
      <c r="K513" s="8">
        <f>IF(C513="Privé",J513,SUMIFS(Regles_regimes!$J$3:$J$2000,Regles_regimes!$A$3:$A$2000,C513,Regles_regimes!$B$3:$B$2000,D513,Regles_regimes!$C$3:$C$2000,MAX(1915,MIN(2025,E513))))</f>
        <v/>
      </c>
      <c r="L513" s="8">
        <f>IF(C513="Privé",H513,(K513-F513)*H513/(J513-F513))</f>
        <v/>
      </c>
      <c r="M513" s="77">
        <f>INT(E513+K513)</f>
        <v/>
      </c>
      <c r="N513" s="77">
        <f>G513+ROUNDUP(L513,0)-1</f>
        <v/>
      </c>
      <c r="O513" s="89">
        <f>SUMIFS(Regles_regimes!$K$3:$K$2000,Regles_regimes!$A$3:$A$2000,C513,Regles_regimes!$B$3:$B$2000,D513,Regles_regimes!$C$3:$C$2000,MAX(1915,MIN(2025,E513)))</f>
        <v/>
      </c>
      <c r="P513" s="13">
        <f>SUMIFS(Donnees_annuelles!$W$3:$W$188,Donnees_annuelles!$A$3:$A$188,"&gt;="&amp;G513,Donnees_annuelles!$A$3:$A$188,"&lt;="&amp;N513)*L513/ROUNDUP(L513,0)*O513</f>
        <v/>
      </c>
      <c r="Q513" s="13">
        <f>SUMIFS(Donnees_annuelles!$V$3:$V$188,Donnees_annuelles!$A$3:$A$188,"&gt;="&amp;G513,Donnees_annuelles!$A$3:$A$188,"&lt;="&amp;N513)*L513/ROUNDUP(L513,0)</f>
        <v/>
      </c>
      <c r="R513" s="13">
        <f>P513/L513</f>
        <v/>
      </c>
      <c r="S513" s="14">
        <f>SUMIFS(Donnees_annuelles!$D$3:$D$188,Donnees_annuelles!$A$3:$A$188,"&gt;="&amp;G513,Donnees_annuelles!$A$3:$A$188,"&lt;="&amp;N513)*L513/ROUNDUP(L513,0)</f>
        <v/>
      </c>
      <c r="T513" s="14">
        <f>SUMIFS(Donnees_regimes!$N$3:$N$1118,Donnees_regimes!$A$3:$A$1118,C513,Donnees_regimes!$B$3:$B$1118,"&gt;="&amp;G513,Donnees_regimes!$B$3:$B$1118,"&lt;="&amp;N513)*L513/ROUNDUP(L513,0)</f>
        <v/>
      </c>
      <c r="U513" s="14">
        <f>SUMIFS(Donnees_regimes!$O$3:$O$1118,Donnees_regimes!$A$3:$A$1118,C513,Donnees_regimes!$B$3:$B$1118,"&gt;="&amp;G513,Donnees_regimes!$B$3:$B$1118,"&lt;="&amp;N513)*L513/ROUNDUP(L513,0)</f>
        <v/>
      </c>
      <c r="V513" s="14">
        <f>T513+U513</f>
        <v/>
      </c>
      <c r="W513" s="33">
        <f>V513/S513</f>
        <v/>
      </c>
      <c r="X513" s="14">
        <f>S513+U513</f>
        <v/>
      </c>
      <c r="Y513" s="17">
        <f>V513/P513</f>
        <v/>
      </c>
      <c r="Z513" s="14">
        <f>SUMIFS(Donnees_regimes!$Q$3:$Q$1118,Donnees_regimes!$A$3:$A$1118,C513,Donnees_regimes!$B$3:$B$1118,"&gt;="&amp;G513,Donnees_regimes!$B$3:$B$1118,"&lt;="&amp;N513)*L513/ROUNDUP(L513,0)</f>
        <v/>
      </c>
      <c r="AA513" s="77">
        <f>SUMIFS(Regles_regimes!$F$3:$F$2000,Regles_regimes!$A$3:$A$2000,C513,Regles_regimes!$B$3:$B$2000,D513,Regles_regimes!$C$3:$C$2000,MAX(1915,MIN(2025,E513)))</f>
        <v/>
      </c>
      <c r="AB513" s="77">
        <f>IF(AND(SUMIFS(Regles_regimes!$L$3:$L$2000,Regles_regimes!$A$3:$A$2000,C513,Regles_regimes!$B$3:$B$2000,D513,Regles_regimes!$C$3:$C$2000,MAX(1915,MIN(2025,E513)))=1,G513&lt;2009,C513&lt;&gt;"Privé"),MIN(20,L513*4/5),0)</f>
        <v/>
      </c>
      <c r="AC513" s="89">
        <f>SUMIFS(Donnees_regimes!$M$3:$M$1118,Donnees_regimes!$A$3:$A$1118,C513,Donnees_regimes!$B$3:$B$1118,M513)</f>
        <v/>
      </c>
      <c r="AD513" s="14">
        <f>SUMIFS(Donnees_annuelles!$Y$3:$Y$188,Donnees_annuelles!$A$3:$A$188,M513)*SUMIFS(Donnees_generations!$I$3:$I$113,Donnees_generations!$A$3:$A$113,MAX(1915,MIN(2025,E513)))/H513</f>
        <v/>
      </c>
      <c r="AE513" s="14">
        <f>IF(C513="Privé",SUMIFS(Donnees_annuelles!$Y$3:$Y$188,Donnees_annuelles!$A$3:$A$188,M513)*MIN(L513,SUMIFS(Donnees_generations!$I$3:$I$113,Donnees_generations!$A$3:$A$113,MAX(1915,MIN(2025,E513))))/L513,AD513*AC513*MIN(IF(AB513&gt;0,0.8/0.75,1),(L513*4+AB513)/AA513))</f>
        <v/>
      </c>
      <c r="AF513" s="14">
        <f>AE513/12</f>
        <v/>
      </c>
      <c r="AG513" s="77">
        <f>MIN(68,MAX(56,2*INT(K513/2)))</f>
        <v/>
      </c>
      <c r="AH513" s="75">
        <f>(CHOOSE((AG513-56)/2+1,SUMIFS(Donnees_generations!$U$3:$U$113,Donnees_generations!$A$3:$A$113,MAX(1915,MIN(2025,E513))),SUMIFS(Donnees_generations!$V$3:$V$113,Donnees_generations!$A$3:$A$113,MAX(1915,MIN(2025,E513))),SUMIFS(Donnees_generations!$W$3:$W$113,Donnees_generations!$A$3:$A$113,MAX(1915,MIN(2025,E513))),SUMIFS(Donnees_generations!$X$3:$X$113,Donnees_generations!$A$3:$A$113,MAX(1915,MIN(2025,E513))),SUMIFS(Donnees_generations!$Y$3:$Y$113,Donnees_generations!$A$3:$A$113,MAX(1915,MIN(2025,E513))),SUMIFS(Donnees_generations!$Z$3:$Z$113,Donnees_generations!$A$3:$A$113,MAX(1915,MIN(2025,E513))),SUMIFS(Donnees_generations!$AA$3:$AA$113,Donnees_generations!$A$3:$A$113,MAX(1915,MIN(2025,E513))),SUMIFS(Donnees_generations!$AB$3:$AB$113,Donnees_generations!$A$3:$A$113,MAX(1915,MIN(2025,E513))))+CHOOSE((AG513-56)/2+1,SUMIFS(Donnees_generations!$AC$3:$AC$113,Donnees_generations!$A$3:$A$113,MAX(1915,MIN(2025,E513))),SUMIFS(Donnees_generations!$AD$3:$AD$113,Donnees_generations!$A$3:$A$113,MAX(1915,MIN(2025,E513))),SUMIFS(Donnees_generations!$AE$3:$AE$113,Donnees_generations!$A$3:$A$113,MAX(1915,MIN(2025,E513))),SUMIFS(Donnees_generations!$AF$3:$AF$113,Donnees_generations!$A$3:$A$113,MAX(1915,MIN(2025,E513))),SUMIFS(Donnees_generations!$AG$3:$AG$113,Donnees_generations!$A$3:$A$113,MAX(1915,MIN(2025,E513))),SUMIFS(Donnees_generations!$AH$3:$AH$113,Donnees_generations!$A$3:$A$113,MAX(1915,MIN(2025,E513))),SUMIFS(Donnees_generations!$AI$3:$AI$113,Donnees_generations!$A$3:$A$113,MAX(1915,MIN(2025,E513))),SUMIFS(Donnees_generations!$AJ$3:$AJ$113,Donnees_generations!$A$3:$A$113,MAX(1915,MIN(2025,E513)))))/2</f>
        <v/>
      </c>
      <c r="AI513" s="75">
        <f>(CHOOSE(((AG513+2)-56)/2+1,SUMIFS(Donnees_generations!$U$3:$U$113,Donnees_generations!$A$3:$A$113,MAX(1915,MIN(2025,E513))),SUMIFS(Donnees_generations!$V$3:$V$113,Donnees_generations!$A$3:$A$113,MAX(1915,MIN(2025,E513))),SUMIFS(Donnees_generations!$W$3:$W$113,Donnees_generations!$A$3:$A$113,MAX(1915,MIN(2025,E513))),SUMIFS(Donnees_generations!$X$3:$X$113,Donnees_generations!$A$3:$A$113,MAX(1915,MIN(2025,E513))),SUMIFS(Donnees_generations!$Y$3:$Y$113,Donnees_generations!$A$3:$A$113,MAX(1915,MIN(2025,E513))),SUMIFS(Donnees_generations!$Z$3:$Z$113,Donnees_generations!$A$3:$A$113,MAX(1915,MIN(2025,E513))),SUMIFS(Donnees_generations!$AA$3:$AA$113,Donnees_generations!$A$3:$A$113,MAX(1915,MIN(2025,E513))),SUMIFS(Donnees_generations!$AB$3:$AB$113,Donnees_generations!$A$3:$A$113,MAX(1915,MIN(2025,E513))))+CHOOSE(((AG513+2)-56)/2+1,SUMIFS(Donnees_generations!$AC$3:$AC$113,Donnees_generations!$A$3:$A$113,MAX(1915,MIN(2025,E513))),SUMIFS(Donnees_generations!$AD$3:$AD$113,Donnees_generations!$A$3:$A$113,MAX(1915,MIN(2025,E513))),SUMIFS(Donnees_generations!$AE$3:$AE$113,Donnees_generations!$A$3:$A$113,MAX(1915,MIN(2025,E513))),SUMIFS(Donnees_generations!$AF$3:$AF$113,Donnees_generations!$A$3:$A$113,MAX(1915,MIN(2025,E513))),SUMIFS(Donnees_generations!$AG$3:$AG$113,Donnees_generations!$A$3:$A$113,MAX(1915,MIN(2025,E513))),SUMIFS(Donnees_generations!$AH$3:$AH$113,Donnees_generations!$A$3:$A$113,MAX(1915,MIN(2025,E513))),SUMIFS(Donnees_generations!$AI$3:$AI$113,Donnees_generations!$A$3:$A$113,MAX(1915,MIN(2025,E513))),SUMIFS(Donnees_generations!$AJ$3:$AJ$113,Donnees_generations!$A$3:$A$113,MAX(1915,MIN(2025,E513)))))/2</f>
        <v/>
      </c>
      <c r="AJ513" s="8">
        <f>MAX(0,AH513+(AI513-AH513)*(K513-AG513)/2)</f>
        <v/>
      </c>
      <c r="AK513" s="8">
        <f>K513+AJ513</f>
        <v/>
      </c>
      <c r="AL513" s="14">
        <f>AE513*AJ513</f>
        <v/>
      </c>
      <c r="AM513" s="17">
        <f>V513/AL513</f>
        <v/>
      </c>
      <c r="AN513" s="17">
        <f>Z513/AL513</f>
        <v/>
      </c>
      <c r="AO513" s="33">
        <f>IF(V513+Z513=0,0,Z513/(V513+Z513))</f>
        <v/>
      </c>
      <c r="AP513" s="14">
        <f>AL513/V513*100</f>
        <v/>
      </c>
      <c r="AQ513" s="8">
        <f>P513/AL513*1000</f>
        <v/>
      </c>
      <c r="AR513" s="77">
        <f>MAX(N513,M513-1)</f>
        <v/>
      </c>
      <c r="AS513" s="14">
        <f>SUMIFS(Donnees_regimes!$R$3:$R$1118,Donnees_regimes!$A$3:$A$1118,C513,Donnees_regimes!$B$3:$B$1118,"&gt;="&amp;G513,Donnees_regimes!$B$3:$B$1118,"&lt;="&amp;N513)*L513/ROUNDUP(L513,0)*SUMIFS(Donnees_annuelles!$AG$3:$AG$188,Donnees_annuelles!$A$3:$A$188,AR513)*SUMIFS(Donnees_annuelles!$AA$3:$AA$188,Donnees_annuelles!$A$3:$A$188,AR513)</f>
        <v/>
      </c>
      <c r="AT513" s="36">
        <f>AS513/V513</f>
        <v/>
      </c>
      <c r="AU513" s="14">
        <f>AL513</f>
        <v/>
      </c>
      <c r="AV513" s="39">
        <f>AS513-AL513</f>
        <v/>
      </c>
      <c r="AW513" s="9">
        <f>AS513/AL513-1</f>
        <v/>
      </c>
      <c r="AX513" s="14">
        <f>AS513/AJ513/12</f>
        <v/>
      </c>
      <c r="AY513" s="14">
        <f>AF513</f>
        <v/>
      </c>
      <c r="AZ513" s="39">
        <f>AX513-AF513</f>
        <v/>
      </c>
      <c r="BA513" s="14">
        <f>SUMIFS(Donnees_regimes!$S$3:$S$1118,Donnees_regimes!$A$3:$A$1118,C513,Donnees_regimes!$B$3:$B$1118,"&gt;="&amp;G513,Donnees_regimes!$B$3:$B$1118,"&lt;="&amp;N513)*L513/ROUNDUP(L513,0)*SUMIFS(Donnees_annuelles!$AH$3:$AH$188,Donnees_annuelles!$A$3:$A$188,AR513)*SUMIFS(Donnees_annuelles!$AA$3:$AA$188,Donnees_annuelles!$A$3:$A$188,AR513)</f>
        <v/>
      </c>
      <c r="BB513" s="39">
        <f>BA513-AL513</f>
        <v/>
      </c>
      <c r="BC513" s="7">
        <f>IF(M513+AJ513&gt;2026,IF(G513&gt;2026,"entièrement projeté","en partie projeté"),"observé")</f>
        <v/>
      </c>
    </row>
    <row r="514">
      <c r="A514" s="7" t="inlineStr">
        <is>
          <t>Baby-boomers</t>
        </is>
      </c>
      <c r="B514" s="84" t="inlineStr">
        <is>
          <t>IEG</t>
        </is>
      </c>
      <c r="C514" s="7">
        <f>IF(G514&gt;=SUMIFS(Regimes!$C$5:$C$10,Regimes!$A$5:$A$10,B514),"Privé",B514)</f>
        <v/>
      </c>
      <c r="D514" s="7">
        <f>INDEX(Regimes!$D$5:$D$10,MATCH(C514,Regimes!$A$5:$A$10,0))</f>
        <v/>
      </c>
      <c r="E514" s="88" t="n">
        <v>1949</v>
      </c>
      <c r="F514" s="8">
        <f>Donnees_generations!C37</f>
        <v/>
      </c>
      <c r="G514" s="77">
        <f>Donnees_generations!D37</f>
        <v/>
      </c>
      <c r="H514" s="8">
        <f>SUMIFS(Donnees_generations!$S$3:$S$113,Donnees_generations!$A$3:$A$113,MAX(1915,MIN(2025,E514)))</f>
        <v/>
      </c>
      <c r="I514" s="8">
        <f>SUMIFS(Donnees_generations!$T$3:$T$113,Donnees_generations!$A$3:$A$113,MAX(1915,MIN(2025,E514)))</f>
        <v/>
      </c>
      <c r="J514" s="8">
        <f>IF(G514&gt;=2000,MAX(I514,Parametres!$B$3),I514)</f>
        <v/>
      </c>
      <c r="K514" s="8">
        <f>IF(C514="Privé",J514,SUMIFS(Regles_regimes!$J$3:$J$2000,Regles_regimes!$A$3:$A$2000,C514,Regles_regimes!$B$3:$B$2000,D514,Regles_regimes!$C$3:$C$2000,MAX(1915,MIN(2025,E514))))</f>
        <v/>
      </c>
      <c r="L514" s="8">
        <f>IF(C514="Privé",H514,(K514-F514)*H514/(J514-F514))</f>
        <v/>
      </c>
      <c r="M514" s="77">
        <f>INT(E514+K514)</f>
        <v/>
      </c>
      <c r="N514" s="77">
        <f>G514+ROUNDUP(L514,0)-1</f>
        <v/>
      </c>
      <c r="O514" s="89">
        <f>SUMIFS(Regles_regimes!$K$3:$K$2000,Regles_regimes!$A$3:$A$2000,C514,Regles_regimes!$B$3:$B$2000,D514,Regles_regimes!$C$3:$C$2000,MAX(1915,MIN(2025,E514)))</f>
        <v/>
      </c>
      <c r="P514" s="13">
        <f>SUMIFS(Donnees_annuelles!$W$3:$W$188,Donnees_annuelles!$A$3:$A$188,"&gt;="&amp;G514,Donnees_annuelles!$A$3:$A$188,"&lt;="&amp;N514)*L514/ROUNDUP(L514,0)*O514</f>
        <v/>
      </c>
      <c r="Q514" s="13">
        <f>SUMIFS(Donnees_annuelles!$V$3:$V$188,Donnees_annuelles!$A$3:$A$188,"&gt;="&amp;G514,Donnees_annuelles!$A$3:$A$188,"&lt;="&amp;N514)*L514/ROUNDUP(L514,0)</f>
        <v/>
      </c>
      <c r="R514" s="13">
        <f>P514/L514</f>
        <v/>
      </c>
      <c r="S514" s="14">
        <f>SUMIFS(Donnees_annuelles!$D$3:$D$188,Donnees_annuelles!$A$3:$A$188,"&gt;="&amp;G514,Donnees_annuelles!$A$3:$A$188,"&lt;="&amp;N514)*L514/ROUNDUP(L514,0)</f>
        <v/>
      </c>
      <c r="T514" s="14">
        <f>SUMIFS(Donnees_regimes!$N$3:$N$1118,Donnees_regimes!$A$3:$A$1118,C514,Donnees_regimes!$B$3:$B$1118,"&gt;="&amp;G514,Donnees_regimes!$B$3:$B$1118,"&lt;="&amp;N514)*L514/ROUNDUP(L514,0)</f>
        <v/>
      </c>
      <c r="U514" s="14">
        <f>SUMIFS(Donnees_regimes!$O$3:$O$1118,Donnees_regimes!$A$3:$A$1118,C514,Donnees_regimes!$B$3:$B$1118,"&gt;="&amp;G514,Donnees_regimes!$B$3:$B$1118,"&lt;="&amp;N514)*L514/ROUNDUP(L514,0)</f>
        <v/>
      </c>
      <c r="V514" s="14">
        <f>T514+U514</f>
        <v/>
      </c>
      <c r="W514" s="33">
        <f>V514/S514</f>
        <v/>
      </c>
      <c r="X514" s="14">
        <f>S514+U514</f>
        <v/>
      </c>
      <c r="Y514" s="17">
        <f>V514/P514</f>
        <v/>
      </c>
      <c r="Z514" s="14">
        <f>SUMIFS(Donnees_regimes!$Q$3:$Q$1118,Donnees_regimes!$A$3:$A$1118,C514,Donnees_regimes!$B$3:$B$1118,"&gt;="&amp;G514,Donnees_regimes!$B$3:$B$1118,"&lt;="&amp;N514)*L514/ROUNDUP(L514,0)</f>
        <v/>
      </c>
      <c r="AA514" s="77">
        <f>SUMIFS(Regles_regimes!$F$3:$F$2000,Regles_regimes!$A$3:$A$2000,C514,Regles_regimes!$B$3:$B$2000,D514,Regles_regimes!$C$3:$C$2000,MAX(1915,MIN(2025,E514)))</f>
        <v/>
      </c>
      <c r="AB514" s="77">
        <f>IF(AND(SUMIFS(Regles_regimes!$L$3:$L$2000,Regles_regimes!$A$3:$A$2000,C514,Regles_regimes!$B$3:$B$2000,D514,Regles_regimes!$C$3:$C$2000,MAX(1915,MIN(2025,E514)))=1,G514&lt;2009,C514&lt;&gt;"Privé"),MIN(20,L514*4/5),0)</f>
        <v/>
      </c>
      <c r="AC514" s="89">
        <f>SUMIFS(Donnees_regimes!$M$3:$M$1118,Donnees_regimes!$A$3:$A$1118,C514,Donnees_regimes!$B$3:$B$1118,M514)</f>
        <v/>
      </c>
      <c r="AD514" s="14">
        <f>SUMIFS(Donnees_annuelles!$Y$3:$Y$188,Donnees_annuelles!$A$3:$A$188,M514)*SUMIFS(Donnees_generations!$I$3:$I$113,Donnees_generations!$A$3:$A$113,MAX(1915,MIN(2025,E514)))/H514</f>
        <v/>
      </c>
      <c r="AE514" s="14">
        <f>IF(C514="Privé",SUMIFS(Donnees_annuelles!$Y$3:$Y$188,Donnees_annuelles!$A$3:$A$188,M514)*MIN(L514,SUMIFS(Donnees_generations!$I$3:$I$113,Donnees_generations!$A$3:$A$113,MAX(1915,MIN(2025,E514))))/L514,AD514*AC514*MIN(IF(AB514&gt;0,0.8/0.75,1),(L514*4+AB514)/AA514))</f>
        <v/>
      </c>
      <c r="AF514" s="14">
        <f>AE514/12</f>
        <v/>
      </c>
      <c r="AG514" s="77">
        <f>MIN(68,MAX(56,2*INT(K514/2)))</f>
        <v/>
      </c>
      <c r="AH514" s="75">
        <f>(CHOOSE((AG514-56)/2+1,SUMIFS(Donnees_generations!$U$3:$U$113,Donnees_generations!$A$3:$A$113,MAX(1915,MIN(2025,E514))),SUMIFS(Donnees_generations!$V$3:$V$113,Donnees_generations!$A$3:$A$113,MAX(1915,MIN(2025,E514))),SUMIFS(Donnees_generations!$W$3:$W$113,Donnees_generations!$A$3:$A$113,MAX(1915,MIN(2025,E514))),SUMIFS(Donnees_generations!$X$3:$X$113,Donnees_generations!$A$3:$A$113,MAX(1915,MIN(2025,E514))),SUMIFS(Donnees_generations!$Y$3:$Y$113,Donnees_generations!$A$3:$A$113,MAX(1915,MIN(2025,E514))),SUMIFS(Donnees_generations!$Z$3:$Z$113,Donnees_generations!$A$3:$A$113,MAX(1915,MIN(2025,E514))),SUMIFS(Donnees_generations!$AA$3:$AA$113,Donnees_generations!$A$3:$A$113,MAX(1915,MIN(2025,E514))),SUMIFS(Donnees_generations!$AB$3:$AB$113,Donnees_generations!$A$3:$A$113,MAX(1915,MIN(2025,E514))))+CHOOSE((AG514-56)/2+1,SUMIFS(Donnees_generations!$AC$3:$AC$113,Donnees_generations!$A$3:$A$113,MAX(1915,MIN(2025,E514))),SUMIFS(Donnees_generations!$AD$3:$AD$113,Donnees_generations!$A$3:$A$113,MAX(1915,MIN(2025,E514))),SUMIFS(Donnees_generations!$AE$3:$AE$113,Donnees_generations!$A$3:$A$113,MAX(1915,MIN(2025,E514))),SUMIFS(Donnees_generations!$AF$3:$AF$113,Donnees_generations!$A$3:$A$113,MAX(1915,MIN(2025,E514))),SUMIFS(Donnees_generations!$AG$3:$AG$113,Donnees_generations!$A$3:$A$113,MAX(1915,MIN(2025,E514))),SUMIFS(Donnees_generations!$AH$3:$AH$113,Donnees_generations!$A$3:$A$113,MAX(1915,MIN(2025,E514))),SUMIFS(Donnees_generations!$AI$3:$AI$113,Donnees_generations!$A$3:$A$113,MAX(1915,MIN(2025,E514))),SUMIFS(Donnees_generations!$AJ$3:$AJ$113,Donnees_generations!$A$3:$A$113,MAX(1915,MIN(2025,E514)))))/2</f>
        <v/>
      </c>
      <c r="AI514" s="75">
        <f>(CHOOSE(((AG514+2)-56)/2+1,SUMIFS(Donnees_generations!$U$3:$U$113,Donnees_generations!$A$3:$A$113,MAX(1915,MIN(2025,E514))),SUMIFS(Donnees_generations!$V$3:$V$113,Donnees_generations!$A$3:$A$113,MAX(1915,MIN(2025,E514))),SUMIFS(Donnees_generations!$W$3:$W$113,Donnees_generations!$A$3:$A$113,MAX(1915,MIN(2025,E514))),SUMIFS(Donnees_generations!$X$3:$X$113,Donnees_generations!$A$3:$A$113,MAX(1915,MIN(2025,E514))),SUMIFS(Donnees_generations!$Y$3:$Y$113,Donnees_generations!$A$3:$A$113,MAX(1915,MIN(2025,E514))),SUMIFS(Donnees_generations!$Z$3:$Z$113,Donnees_generations!$A$3:$A$113,MAX(1915,MIN(2025,E514))),SUMIFS(Donnees_generations!$AA$3:$AA$113,Donnees_generations!$A$3:$A$113,MAX(1915,MIN(2025,E514))),SUMIFS(Donnees_generations!$AB$3:$AB$113,Donnees_generations!$A$3:$A$113,MAX(1915,MIN(2025,E514))))+CHOOSE(((AG514+2)-56)/2+1,SUMIFS(Donnees_generations!$AC$3:$AC$113,Donnees_generations!$A$3:$A$113,MAX(1915,MIN(2025,E514))),SUMIFS(Donnees_generations!$AD$3:$AD$113,Donnees_generations!$A$3:$A$113,MAX(1915,MIN(2025,E514))),SUMIFS(Donnees_generations!$AE$3:$AE$113,Donnees_generations!$A$3:$A$113,MAX(1915,MIN(2025,E514))),SUMIFS(Donnees_generations!$AF$3:$AF$113,Donnees_generations!$A$3:$A$113,MAX(1915,MIN(2025,E514))),SUMIFS(Donnees_generations!$AG$3:$AG$113,Donnees_generations!$A$3:$A$113,MAX(1915,MIN(2025,E514))),SUMIFS(Donnees_generations!$AH$3:$AH$113,Donnees_generations!$A$3:$A$113,MAX(1915,MIN(2025,E514))),SUMIFS(Donnees_generations!$AI$3:$AI$113,Donnees_generations!$A$3:$A$113,MAX(1915,MIN(2025,E514))),SUMIFS(Donnees_generations!$AJ$3:$AJ$113,Donnees_generations!$A$3:$A$113,MAX(1915,MIN(2025,E514)))))/2</f>
        <v/>
      </c>
      <c r="AJ514" s="8">
        <f>MAX(0,AH514+(AI514-AH514)*(K514-AG514)/2)</f>
        <v/>
      </c>
      <c r="AK514" s="8">
        <f>K514+AJ514</f>
        <v/>
      </c>
      <c r="AL514" s="14">
        <f>AE514*AJ514</f>
        <v/>
      </c>
      <c r="AM514" s="17">
        <f>V514/AL514</f>
        <v/>
      </c>
      <c r="AN514" s="17">
        <f>Z514/AL514</f>
        <v/>
      </c>
      <c r="AO514" s="33">
        <f>IF(V514+Z514=0,0,Z514/(V514+Z514))</f>
        <v/>
      </c>
      <c r="AP514" s="14">
        <f>AL514/V514*100</f>
        <v/>
      </c>
      <c r="AQ514" s="8">
        <f>P514/AL514*1000</f>
        <v/>
      </c>
      <c r="AR514" s="77">
        <f>MAX(N514,M514-1)</f>
        <v/>
      </c>
      <c r="AS514" s="14">
        <f>SUMIFS(Donnees_regimes!$R$3:$R$1118,Donnees_regimes!$A$3:$A$1118,C514,Donnees_regimes!$B$3:$B$1118,"&gt;="&amp;G514,Donnees_regimes!$B$3:$B$1118,"&lt;="&amp;N514)*L514/ROUNDUP(L514,0)*SUMIFS(Donnees_annuelles!$AG$3:$AG$188,Donnees_annuelles!$A$3:$A$188,AR514)*SUMIFS(Donnees_annuelles!$AA$3:$AA$188,Donnees_annuelles!$A$3:$A$188,AR514)</f>
        <v/>
      </c>
      <c r="AT514" s="36">
        <f>AS514/V514</f>
        <v/>
      </c>
      <c r="AU514" s="14">
        <f>AL514</f>
        <v/>
      </c>
      <c r="AV514" s="39">
        <f>AS514-AL514</f>
        <v/>
      </c>
      <c r="AW514" s="9">
        <f>AS514/AL514-1</f>
        <v/>
      </c>
      <c r="AX514" s="14">
        <f>AS514/AJ514/12</f>
        <v/>
      </c>
      <c r="AY514" s="14">
        <f>AF514</f>
        <v/>
      </c>
      <c r="AZ514" s="39">
        <f>AX514-AF514</f>
        <v/>
      </c>
      <c r="BA514" s="14">
        <f>SUMIFS(Donnees_regimes!$S$3:$S$1118,Donnees_regimes!$A$3:$A$1118,C514,Donnees_regimes!$B$3:$B$1118,"&gt;="&amp;G514,Donnees_regimes!$B$3:$B$1118,"&lt;="&amp;N514)*L514/ROUNDUP(L514,0)*SUMIFS(Donnees_annuelles!$AH$3:$AH$188,Donnees_annuelles!$A$3:$A$188,AR514)*SUMIFS(Donnees_annuelles!$AA$3:$AA$188,Donnees_annuelles!$A$3:$A$188,AR514)</f>
        <v/>
      </c>
      <c r="BB514" s="39">
        <f>BA514-AL514</f>
        <v/>
      </c>
      <c r="BC514" s="7">
        <f>IF(M514+AJ514&gt;2026,IF(G514&gt;2026,"entièrement projeté","en partie projeté"),"observé")</f>
        <v/>
      </c>
    </row>
    <row r="515">
      <c r="A515" s="7" t="inlineStr">
        <is>
          <t>Baby-boomers</t>
        </is>
      </c>
      <c r="B515" s="84" t="inlineStr">
        <is>
          <t>IEG</t>
        </is>
      </c>
      <c r="C515" s="7">
        <f>IF(G515&gt;=SUMIFS(Regimes!$C$5:$C$10,Regimes!$A$5:$A$10,B515),"Privé",B515)</f>
        <v/>
      </c>
      <c r="D515" s="7">
        <f>INDEX(Regimes!$D$5:$D$10,MATCH(C515,Regimes!$A$5:$A$10,0))</f>
        <v/>
      </c>
      <c r="E515" s="88" t="n">
        <v>1950</v>
      </c>
      <c r="F515" s="8">
        <f>Donnees_generations!C38</f>
        <v/>
      </c>
      <c r="G515" s="77">
        <f>Donnees_generations!D38</f>
        <v/>
      </c>
      <c r="H515" s="8">
        <f>SUMIFS(Donnees_generations!$S$3:$S$113,Donnees_generations!$A$3:$A$113,MAX(1915,MIN(2025,E515)))</f>
        <v/>
      </c>
      <c r="I515" s="8">
        <f>SUMIFS(Donnees_generations!$T$3:$T$113,Donnees_generations!$A$3:$A$113,MAX(1915,MIN(2025,E515)))</f>
        <v/>
      </c>
      <c r="J515" s="8">
        <f>IF(G515&gt;=2000,MAX(I515,Parametres!$B$3),I515)</f>
        <v/>
      </c>
      <c r="K515" s="8">
        <f>IF(C515="Privé",J515,SUMIFS(Regles_regimes!$J$3:$J$2000,Regles_regimes!$A$3:$A$2000,C515,Regles_regimes!$B$3:$B$2000,D515,Regles_regimes!$C$3:$C$2000,MAX(1915,MIN(2025,E515))))</f>
        <v/>
      </c>
      <c r="L515" s="8">
        <f>IF(C515="Privé",H515,(K515-F515)*H515/(J515-F515))</f>
        <v/>
      </c>
      <c r="M515" s="77">
        <f>INT(E515+K515)</f>
        <v/>
      </c>
      <c r="N515" s="77">
        <f>G515+ROUNDUP(L515,0)-1</f>
        <v/>
      </c>
      <c r="O515" s="89">
        <f>SUMIFS(Regles_regimes!$K$3:$K$2000,Regles_regimes!$A$3:$A$2000,C515,Regles_regimes!$B$3:$B$2000,D515,Regles_regimes!$C$3:$C$2000,MAX(1915,MIN(2025,E515)))</f>
        <v/>
      </c>
      <c r="P515" s="13">
        <f>SUMIFS(Donnees_annuelles!$W$3:$W$188,Donnees_annuelles!$A$3:$A$188,"&gt;="&amp;G515,Donnees_annuelles!$A$3:$A$188,"&lt;="&amp;N515)*L515/ROUNDUP(L515,0)*O515</f>
        <v/>
      </c>
      <c r="Q515" s="13">
        <f>SUMIFS(Donnees_annuelles!$V$3:$V$188,Donnees_annuelles!$A$3:$A$188,"&gt;="&amp;G515,Donnees_annuelles!$A$3:$A$188,"&lt;="&amp;N515)*L515/ROUNDUP(L515,0)</f>
        <v/>
      </c>
      <c r="R515" s="13">
        <f>P515/L515</f>
        <v/>
      </c>
      <c r="S515" s="14">
        <f>SUMIFS(Donnees_annuelles!$D$3:$D$188,Donnees_annuelles!$A$3:$A$188,"&gt;="&amp;G515,Donnees_annuelles!$A$3:$A$188,"&lt;="&amp;N515)*L515/ROUNDUP(L515,0)</f>
        <v/>
      </c>
      <c r="T515" s="14">
        <f>SUMIFS(Donnees_regimes!$N$3:$N$1118,Donnees_regimes!$A$3:$A$1118,C515,Donnees_regimes!$B$3:$B$1118,"&gt;="&amp;G515,Donnees_regimes!$B$3:$B$1118,"&lt;="&amp;N515)*L515/ROUNDUP(L515,0)</f>
        <v/>
      </c>
      <c r="U515" s="14">
        <f>SUMIFS(Donnees_regimes!$O$3:$O$1118,Donnees_regimes!$A$3:$A$1118,C515,Donnees_regimes!$B$3:$B$1118,"&gt;="&amp;G515,Donnees_regimes!$B$3:$B$1118,"&lt;="&amp;N515)*L515/ROUNDUP(L515,0)</f>
        <v/>
      </c>
      <c r="V515" s="14">
        <f>T515+U515</f>
        <v/>
      </c>
      <c r="W515" s="33">
        <f>V515/S515</f>
        <v/>
      </c>
      <c r="X515" s="14">
        <f>S515+U515</f>
        <v/>
      </c>
      <c r="Y515" s="17">
        <f>V515/P515</f>
        <v/>
      </c>
      <c r="Z515" s="14">
        <f>SUMIFS(Donnees_regimes!$Q$3:$Q$1118,Donnees_regimes!$A$3:$A$1118,C515,Donnees_regimes!$B$3:$B$1118,"&gt;="&amp;G515,Donnees_regimes!$B$3:$B$1118,"&lt;="&amp;N515)*L515/ROUNDUP(L515,0)</f>
        <v/>
      </c>
      <c r="AA515" s="77">
        <f>SUMIFS(Regles_regimes!$F$3:$F$2000,Regles_regimes!$A$3:$A$2000,C515,Regles_regimes!$B$3:$B$2000,D515,Regles_regimes!$C$3:$C$2000,MAX(1915,MIN(2025,E515)))</f>
        <v/>
      </c>
      <c r="AB515" s="77">
        <f>IF(AND(SUMIFS(Regles_regimes!$L$3:$L$2000,Regles_regimes!$A$3:$A$2000,C515,Regles_regimes!$B$3:$B$2000,D515,Regles_regimes!$C$3:$C$2000,MAX(1915,MIN(2025,E515)))=1,G515&lt;2009,C515&lt;&gt;"Privé"),MIN(20,L515*4/5),0)</f>
        <v/>
      </c>
      <c r="AC515" s="89">
        <f>SUMIFS(Donnees_regimes!$M$3:$M$1118,Donnees_regimes!$A$3:$A$1118,C515,Donnees_regimes!$B$3:$B$1118,M515)</f>
        <v/>
      </c>
      <c r="AD515" s="14">
        <f>SUMIFS(Donnees_annuelles!$Y$3:$Y$188,Donnees_annuelles!$A$3:$A$188,M515)*SUMIFS(Donnees_generations!$I$3:$I$113,Donnees_generations!$A$3:$A$113,MAX(1915,MIN(2025,E515)))/H515</f>
        <v/>
      </c>
      <c r="AE515" s="14">
        <f>IF(C515="Privé",SUMIFS(Donnees_annuelles!$Y$3:$Y$188,Donnees_annuelles!$A$3:$A$188,M515)*MIN(L515,SUMIFS(Donnees_generations!$I$3:$I$113,Donnees_generations!$A$3:$A$113,MAX(1915,MIN(2025,E515))))/L515,AD515*AC515*MIN(IF(AB515&gt;0,0.8/0.75,1),(L515*4+AB515)/AA515))</f>
        <v/>
      </c>
      <c r="AF515" s="14">
        <f>AE515/12</f>
        <v/>
      </c>
      <c r="AG515" s="77">
        <f>MIN(68,MAX(56,2*INT(K515/2)))</f>
        <v/>
      </c>
      <c r="AH515" s="75">
        <f>(CHOOSE((AG515-56)/2+1,SUMIFS(Donnees_generations!$U$3:$U$113,Donnees_generations!$A$3:$A$113,MAX(1915,MIN(2025,E515))),SUMIFS(Donnees_generations!$V$3:$V$113,Donnees_generations!$A$3:$A$113,MAX(1915,MIN(2025,E515))),SUMIFS(Donnees_generations!$W$3:$W$113,Donnees_generations!$A$3:$A$113,MAX(1915,MIN(2025,E515))),SUMIFS(Donnees_generations!$X$3:$X$113,Donnees_generations!$A$3:$A$113,MAX(1915,MIN(2025,E515))),SUMIFS(Donnees_generations!$Y$3:$Y$113,Donnees_generations!$A$3:$A$113,MAX(1915,MIN(2025,E515))),SUMIFS(Donnees_generations!$Z$3:$Z$113,Donnees_generations!$A$3:$A$113,MAX(1915,MIN(2025,E515))),SUMIFS(Donnees_generations!$AA$3:$AA$113,Donnees_generations!$A$3:$A$113,MAX(1915,MIN(2025,E515))),SUMIFS(Donnees_generations!$AB$3:$AB$113,Donnees_generations!$A$3:$A$113,MAX(1915,MIN(2025,E515))))+CHOOSE((AG515-56)/2+1,SUMIFS(Donnees_generations!$AC$3:$AC$113,Donnees_generations!$A$3:$A$113,MAX(1915,MIN(2025,E515))),SUMIFS(Donnees_generations!$AD$3:$AD$113,Donnees_generations!$A$3:$A$113,MAX(1915,MIN(2025,E515))),SUMIFS(Donnees_generations!$AE$3:$AE$113,Donnees_generations!$A$3:$A$113,MAX(1915,MIN(2025,E515))),SUMIFS(Donnees_generations!$AF$3:$AF$113,Donnees_generations!$A$3:$A$113,MAX(1915,MIN(2025,E515))),SUMIFS(Donnees_generations!$AG$3:$AG$113,Donnees_generations!$A$3:$A$113,MAX(1915,MIN(2025,E515))),SUMIFS(Donnees_generations!$AH$3:$AH$113,Donnees_generations!$A$3:$A$113,MAX(1915,MIN(2025,E515))),SUMIFS(Donnees_generations!$AI$3:$AI$113,Donnees_generations!$A$3:$A$113,MAX(1915,MIN(2025,E515))),SUMIFS(Donnees_generations!$AJ$3:$AJ$113,Donnees_generations!$A$3:$A$113,MAX(1915,MIN(2025,E515)))))/2</f>
        <v/>
      </c>
      <c r="AI515" s="75">
        <f>(CHOOSE(((AG515+2)-56)/2+1,SUMIFS(Donnees_generations!$U$3:$U$113,Donnees_generations!$A$3:$A$113,MAX(1915,MIN(2025,E515))),SUMIFS(Donnees_generations!$V$3:$V$113,Donnees_generations!$A$3:$A$113,MAX(1915,MIN(2025,E515))),SUMIFS(Donnees_generations!$W$3:$W$113,Donnees_generations!$A$3:$A$113,MAX(1915,MIN(2025,E515))),SUMIFS(Donnees_generations!$X$3:$X$113,Donnees_generations!$A$3:$A$113,MAX(1915,MIN(2025,E515))),SUMIFS(Donnees_generations!$Y$3:$Y$113,Donnees_generations!$A$3:$A$113,MAX(1915,MIN(2025,E515))),SUMIFS(Donnees_generations!$Z$3:$Z$113,Donnees_generations!$A$3:$A$113,MAX(1915,MIN(2025,E515))),SUMIFS(Donnees_generations!$AA$3:$AA$113,Donnees_generations!$A$3:$A$113,MAX(1915,MIN(2025,E515))),SUMIFS(Donnees_generations!$AB$3:$AB$113,Donnees_generations!$A$3:$A$113,MAX(1915,MIN(2025,E515))))+CHOOSE(((AG515+2)-56)/2+1,SUMIFS(Donnees_generations!$AC$3:$AC$113,Donnees_generations!$A$3:$A$113,MAX(1915,MIN(2025,E515))),SUMIFS(Donnees_generations!$AD$3:$AD$113,Donnees_generations!$A$3:$A$113,MAX(1915,MIN(2025,E515))),SUMIFS(Donnees_generations!$AE$3:$AE$113,Donnees_generations!$A$3:$A$113,MAX(1915,MIN(2025,E515))),SUMIFS(Donnees_generations!$AF$3:$AF$113,Donnees_generations!$A$3:$A$113,MAX(1915,MIN(2025,E515))),SUMIFS(Donnees_generations!$AG$3:$AG$113,Donnees_generations!$A$3:$A$113,MAX(1915,MIN(2025,E515))),SUMIFS(Donnees_generations!$AH$3:$AH$113,Donnees_generations!$A$3:$A$113,MAX(1915,MIN(2025,E515))),SUMIFS(Donnees_generations!$AI$3:$AI$113,Donnees_generations!$A$3:$A$113,MAX(1915,MIN(2025,E515))),SUMIFS(Donnees_generations!$AJ$3:$AJ$113,Donnees_generations!$A$3:$A$113,MAX(1915,MIN(2025,E515)))))/2</f>
        <v/>
      </c>
      <c r="AJ515" s="8">
        <f>MAX(0,AH515+(AI515-AH515)*(K515-AG515)/2)</f>
        <v/>
      </c>
      <c r="AK515" s="8">
        <f>K515+AJ515</f>
        <v/>
      </c>
      <c r="AL515" s="14">
        <f>AE515*AJ515</f>
        <v/>
      </c>
      <c r="AM515" s="17">
        <f>V515/AL515</f>
        <v/>
      </c>
      <c r="AN515" s="17">
        <f>Z515/AL515</f>
        <v/>
      </c>
      <c r="AO515" s="33">
        <f>IF(V515+Z515=0,0,Z515/(V515+Z515))</f>
        <v/>
      </c>
      <c r="AP515" s="14">
        <f>AL515/V515*100</f>
        <v/>
      </c>
      <c r="AQ515" s="8">
        <f>P515/AL515*1000</f>
        <v/>
      </c>
      <c r="AR515" s="77">
        <f>MAX(N515,M515-1)</f>
        <v/>
      </c>
      <c r="AS515" s="14">
        <f>SUMIFS(Donnees_regimes!$R$3:$R$1118,Donnees_regimes!$A$3:$A$1118,C515,Donnees_regimes!$B$3:$B$1118,"&gt;="&amp;G515,Donnees_regimes!$B$3:$B$1118,"&lt;="&amp;N515)*L515/ROUNDUP(L515,0)*SUMIFS(Donnees_annuelles!$AG$3:$AG$188,Donnees_annuelles!$A$3:$A$188,AR515)*SUMIFS(Donnees_annuelles!$AA$3:$AA$188,Donnees_annuelles!$A$3:$A$188,AR515)</f>
        <v/>
      </c>
      <c r="AT515" s="36">
        <f>AS515/V515</f>
        <v/>
      </c>
      <c r="AU515" s="14">
        <f>AL515</f>
        <v/>
      </c>
      <c r="AV515" s="39">
        <f>AS515-AL515</f>
        <v/>
      </c>
      <c r="AW515" s="9">
        <f>AS515/AL515-1</f>
        <v/>
      </c>
      <c r="AX515" s="14">
        <f>AS515/AJ515/12</f>
        <v/>
      </c>
      <c r="AY515" s="14">
        <f>AF515</f>
        <v/>
      </c>
      <c r="AZ515" s="39">
        <f>AX515-AF515</f>
        <v/>
      </c>
      <c r="BA515" s="14">
        <f>SUMIFS(Donnees_regimes!$S$3:$S$1118,Donnees_regimes!$A$3:$A$1118,C515,Donnees_regimes!$B$3:$B$1118,"&gt;="&amp;G515,Donnees_regimes!$B$3:$B$1118,"&lt;="&amp;N515)*L515/ROUNDUP(L515,0)*SUMIFS(Donnees_annuelles!$AH$3:$AH$188,Donnees_annuelles!$A$3:$A$188,AR515)*SUMIFS(Donnees_annuelles!$AA$3:$AA$188,Donnees_annuelles!$A$3:$A$188,AR515)</f>
        <v/>
      </c>
      <c r="BB515" s="39">
        <f>BA515-AL515</f>
        <v/>
      </c>
      <c r="BC515" s="7">
        <f>IF(M515+AJ515&gt;2026,IF(G515&gt;2026,"entièrement projeté","en partie projeté"),"observé")</f>
        <v/>
      </c>
    </row>
    <row r="516">
      <c r="A516" s="7" t="inlineStr">
        <is>
          <t>Baby-boomers</t>
        </is>
      </c>
      <c r="B516" s="84" t="inlineStr">
        <is>
          <t>IEG</t>
        </is>
      </c>
      <c r="C516" s="7">
        <f>IF(G516&gt;=SUMIFS(Regimes!$C$5:$C$10,Regimes!$A$5:$A$10,B516),"Privé",B516)</f>
        <v/>
      </c>
      <c r="D516" s="7">
        <f>INDEX(Regimes!$D$5:$D$10,MATCH(C516,Regimes!$A$5:$A$10,0))</f>
        <v/>
      </c>
      <c r="E516" s="88" t="n">
        <v>1951</v>
      </c>
      <c r="F516" s="8">
        <f>Donnees_generations!C39</f>
        <v/>
      </c>
      <c r="G516" s="77">
        <f>Donnees_generations!D39</f>
        <v/>
      </c>
      <c r="H516" s="8">
        <f>SUMIFS(Donnees_generations!$S$3:$S$113,Donnees_generations!$A$3:$A$113,MAX(1915,MIN(2025,E516)))</f>
        <v/>
      </c>
      <c r="I516" s="8">
        <f>SUMIFS(Donnees_generations!$T$3:$T$113,Donnees_generations!$A$3:$A$113,MAX(1915,MIN(2025,E516)))</f>
        <v/>
      </c>
      <c r="J516" s="8">
        <f>IF(G516&gt;=2000,MAX(I516,Parametres!$B$3),I516)</f>
        <v/>
      </c>
      <c r="K516" s="8">
        <f>IF(C516="Privé",J516,SUMIFS(Regles_regimes!$J$3:$J$2000,Regles_regimes!$A$3:$A$2000,C516,Regles_regimes!$B$3:$B$2000,D516,Regles_regimes!$C$3:$C$2000,MAX(1915,MIN(2025,E516))))</f>
        <v/>
      </c>
      <c r="L516" s="8">
        <f>IF(C516="Privé",H516,(K516-F516)*H516/(J516-F516))</f>
        <v/>
      </c>
      <c r="M516" s="77">
        <f>INT(E516+K516)</f>
        <v/>
      </c>
      <c r="N516" s="77">
        <f>G516+ROUNDUP(L516,0)-1</f>
        <v/>
      </c>
      <c r="O516" s="89">
        <f>SUMIFS(Regles_regimes!$K$3:$K$2000,Regles_regimes!$A$3:$A$2000,C516,Regles_regimes!$B$3:$B$2000,D516,Regles_regimes!$C$3:$C$2000,MAX(1915,MIN(2025,E516)))</f>
        <v/>
      </c>
      <c r="P516" s="13">
        <f>SUMIFS(Donnees_annuelles!$W$3:$W$188,Donnees_annuelles!$A$3:$A$188,"&gt;="&amp;G516,Donnees_annuelles!$A$3:$A$188,"&lt;="&amp;N516)*L516/ROUNDUP(L516,0)*O516</f>
        <v/>
      </c>
      <c r="Q516" s="13">
        <f>SUMIFS(Donnees_annuelles!$V$3:$V$188,Donnees_annuelles!$A$3:$A$188,"&gt;="&amp;G516,Donnees_annuelles!$A$3:$A$188,"&lt;="&amp;N516)*L516/ROUNDUP(L516,0)</f>
        <v/>
      </c>
      <c r="R516" s="13">
        <f>P516/L516</f>
        <v/>
      </c>
      <c r="S516" s="14">
        <f>SUMIFS(Donnees_annuelles!$D$3:$D$188,Donnees_annuelles!$A$3:$A$188,"&gt;="&amp;G516,Donnees_annuelles!$A$3:$A$188,"&lt;="&amp;N516)*L516/ROUNDUP(L516,0)</f>
        <v/>
      </c>
      <c r="T516" s="14">
        <f>SUMIFS(Donnees_regimes!$N$3:$N$1118,Donnees_regimes!$A$3:$A$1118,C516,Donnees_regimes!$B$3:$B$1118,"&gt;="&amp;G516,Donnees_regimes!$B$3:$B$1118,"&lt;="&amp;N516)*L516/ROUNDUP(L516,0)</f>
        <v/>
      </c>
      <c r="U516" s="14">
        <f>SUMIFS(Donnees_regimes!$O$3:$O$1118,Donnees_regimes!$A$3:$A$1118,C516,Donnees_regimes!$B$3:$B$1118,"&gt;="&amp;G516,Donnees_regimes!$B$3:$B$1118,"&lt;="&amp;N516)*L516/ROUNDUP(L516,0)</f>
        <v/>
      </c>
      <c r="V516" s="14">
        <f>T516+U516</f>
        <v/>
      </c>
      <c r="W516" s="33">
        <f>V516/S516</f>
        <v/>
      </c>
      <c r="X516" s="14">
        <f>S516+U516</f>
        <v/>
      </c>
      <c r="Y516" s="17">
        <f>V516/P516</f>
        <v/>
      </c>
      <c r="Z516" s="14">
        <f>SUMIFS(Donnees_regimes!$Q$3:$Q$1118,Donnees_regimes!$A$3:$A$1118,C516,Donnees_regimes!$B$3:$B$1118,"&gt;="&amp;G516,Donnees_regimes!$B$3:$B$1118,"&lt;="&amp;N516)*L516/ROUNDUP(L516,0)</f>
        <v/>
      </c>
      <c r="AA516" s="77">
        <f>SUMIFS(Regles_regimes!$F$3:$F$2000,Regles_regimes!$A$3:$A$2000,C516,Regles_regimes!$B$3:$B$2000,D516,Regles_regimes!$C$3:$C$2000,MAX(1915,MIN(2025,E516)))</f>
        <v/>
      </c>
      <c r="AB516" s="77">
        <f>IF(AND(SUMIFS(Regles_regimes!$L$3:$L$2000,Regles_regimes!$A$3:$A$2000,C516,Regles_regimes!$B$3:$B$2000,D516,Regles_regimes!$C$3:$C$2000,MAX(1915,MIN(2025,E516)))=1,G516&lt;2009,C516&lt;&gt;"Privé"),MIN(20,L516*4/5),0)</f>
        <v/>
      </c>
      <c r="AC516" s="89">
        <f>SUMIFS(Donnees_regimes!$M$3:$M$1118,Donnees_regimes!$A$3:$A$1118,C516,Donnees_regimes!$B$3:$B$1118,M516)</f>
        <v/>
      </c>
      <c r="AD516" s="14">
        <f>SUMIFS(Donnees_annuelles!$Y$3:$Y$188,Donnees_annuelles!$A$3:$A$188,M516)*SUMIFS(Donnees_generations!$I$3:$I$113,Donnees_generations!$A$3:$A$113,MAX(1915,MIN(2025,E516)))/H516</f>
        <v/>
      </c>
      <c r="AE516" s="14">
        <f>IF(C516="Privé",SUMIFS(Donnees_annuelles!$Y$3:$Y$188,Donnees_annuelles!$A$3:$A$188,M516)*MIN(L516,SUMIFS(Donnees_generations!$I$3:$I$113,Donnees_generations!$A$3:$A$113,MAX(1915,MIN(2025,E516))))/L516,AD516*AC516*MIN(IF(AB516&gt;0,0.8/0.75,1),(L516*4+AB516)/AA516))</f>
        <v/>
      </c>
      <c r="AF516" s="14">
        <f>AE516/12</f>
        <v/>
      </c>
      <c r="AG516" s="77">
        <f>MIN(68,MAX(56,2*INT(K516/2)))</f>
        <v/>
      </c>
      <c r="AH516" s="75">
        <f>(CHOOSE((AG516-56)/2+1,SUMIFS(Donnees_generations!$U$3:$U$113,Donnees_generations!$A$3:$A$113,MAX(1915,MIN(2025,E516))),SUMIFS(Donnees_generations!$V$3:$V$113,Donnees_generations!$A$3:$A$113,MAX(1915,MIN(2025,E516))),SUMIFS(Donnees_generations!$W$3:$W$113,Donnees_generations!$A$3:$A$113,MAX(1915,MIN(2025,E516))),SUMIFS(Donnees_generations!$X$3:$X$113,Donnees_generations!$A$3:$A$113,MAX(1915,MIN(2025,E516))),SUMIFS(Donnees_generations!$Y$3:$Y$113,Donnees_generations!$A$3:$A$113,MAX(1915,MIN(2025,E516))),SUMIFS(Donnees_generations!$Z$3:$Z$113,Donnees_generations!$A$3:$A$113,MAX(1915,MIN(2025,E516))),SUMIFS(Donnees_generations!$AA$3:$AA$113,Donnees_generations!$A$3:$A$113,MAX(1915,MIN(2025,E516))),SUMIFS(Donnees_generations!$AB$3:$AB$113,Donnees_generations!$A$3:$A$113,MAX(1915,MIN(2025,E516))))+CHOOSE((AG516-56)/2+1,SUMIFS(Donnees_generations!$AC$3:$AC$113,Donnees_generations!$A$3:$A$113,MAX(1915,MIN(2025,E516))),SUMIFS(Donnees_generations!$AD$3:$AD$113,Donnees_generations!$A$3:$A$113,MAX(1915,MIN(2025,E516))),SUMIFS(Donnees_generations!$AE$3:$AE$113,Donnees_generations!$A$3:$A$113,MAX(1915,MIN(2025,E516))),SUMIFS(Donnees_generations!$AF$3:$AF$113,Donnees_generations!$A$3:$A$113,MAX(1915,MIN(2025,E516))),SUMIFS(Donnees_generations!$AG$3:$AG$113,Donnees_generations!$A$3:$A$113,MAX(1915,MIN(2025,E516))),SUMIFS(Donnees_generations!$AH$3:$AH$113,Donnees_generations!$A$3:$A$113,MAX(1915,MIN(2025,E516))),SUMIFS(Donnees_generations!$AI$3:$AI$113,Donnees_generations!$A$3:$A$113,MAX(1915,MIN(2025,E516))),SUMIFS(Donnees_generations!$AJ$3:$AJ$113,Donnees_generations!$A$3:$A$113,MAX(1915,MIN(2025,E516)))))/2</f>
        <v/>
      </c>
      <c r="AI516" s="75">
        <f>(CHOOSE(((AG516+2)-56)/2+1,SUMIFS(Donnees_generations!$U$3:$U$113,Donnees_generations!$A$3:$A$113,MAX(1915,MIN(2025,E516))),SUMIFS(Donnees_generations!$V$3:$V$113,Donnees_generations!$A$3:$A$113,MAX(1915,MIN(2025,E516))),SUMIFS(Donnees_generations!$W$3:$W$113,Donnees_generations!$A$3:$A$113,MAX(1915,MIN(2025,E516))),SUMIFS(Donnees_generations!$X$3:$X$113,Donnees_generations!$A$3:$A$113,MAX(1915,MIN(2025,E516))),SUMIFS(Donnees_generations!$Y$3:$Y$113,Donnees_generations!$A$3:$A$113,MAX(1915,MIN(2025,E516))),SUMIFS(Donnees_generations!$Z$3:$Z$113,Donnees_generations!$A$3:$A$113,MAX(1915,MIN(2025,E516))),SUMIFS(Donnees_generations!$AA$3:$AA$113,Donnees_generations!$A$3:$A$113,MAX(1915,MIN(2025,E516))),SUMIFS(Donnees_generations!$AB$3:$AB$113,Donnees_generations!$A$3:$A$113,MAX(1915,MIN(2025,E516))))+CHOOSE(((AG516+2)-56)/2+1,SUMIFS(Donnees_generations!$AC$3:$AC$113,Donnees_generations!$A$3:$A$113,MAX(1915,MIN(2025,E516))),SUMIFS(Donnees_generations!$AD$3:$AD$113,Donnees_generations!$A$3:$A$113,MAX(1915,MIN(2025,E516))),SUMIFS(Donnees_generations!$AE$3:$AE$113,Donnees_generations!$A$3:$A$113,MAX(1915,MIN(2025,E516))),SUMIFS(Donnees_generations!$AF$3:$AF$113,Donnees_generations!$A$3:$A$113,MAX(1915,MIN(2025,E516))),SUMIFS(Donnees_generations!$AG$3:$AG$113,Donnees_generations!$A$3:$A$113,MAX(1915,MIN(2025,E516))),SUMIFS(Donnees_generations!$AH$3:$AH$113,Donnees_generations!$A$3:$A$113,MAX(1915,MIN(2025,E516))),SUMIFS(Donnees_generations!$AI$3:$AI$113,Donnees_generations!$A$3:$A$113,MAX(1915,MIN(2025,E516))),SUMIFS(Donnees_generations!$AJ$3:$AJ$113,Donnees_generations!$A$3:$A$113,MAX(1915,MIN(2025,E516)))))/2</f>
        <v/>
      </c>
      <c r="AJ516" s="8">
        <f>MAX(0,AH516+(AI516-AH516)*(K516-AG516)/2)</f>
        <v/>
      </c>
      <c r="AK516" s="8">
        <f>K516+AJ516</f>
        <v/>
      </c>
      <c r="AL516" s="14">
        <f>AE516*AJ516</f>
        <v/>
      </c>
      <c r="AM516" s="17">
        <f>V516/AL516</f>
        <v/>
      </c>
      <c r="AN516" s="17">
        <f>Z516/AL516</f>
        <v/>
      </c>
      <c r="AO516" s="33">
        <f>IF(V516+Z516=0,0,Z516/(V516+Z516))</f>
        <v/>
      </c>
      <c r="AP516" s="14">
        <f>AL516/V516*100</f>
        <v/>
      </c>
      <c r="AQ516" s="8">
        <f>P516/AL516*1000</f>
        <v/>
      </c>
      <c r="AR516" s="77">
        <f>MAX(N516,M516-1)</f>
        <v/>
      </c>
      <c r="AS516" s="14">
        <f>SUMIFS(Donnees_regimes!$R$3:$R$1118,Donnees_regimes!$A$3:$A$1118,C516,Donnees_regimes!$B$3:$B$1118,"&gt;="&amp;G516,Donnees_regimes!$B$3:$B$1118,"&lt;="&amp;N516)*L516/ROUNDUP(L516,0)*SUMIFS(Donnees_annuelles!$AG$3:$AG$188,Donnees_annuelles!$A$3:$A$188,AR516)*SUMIFS(Donnees_annuelles!$AA$3:$AA$188,Donnees_annuelles!$A$3:$A$188,AR516)</f>
        <v/>
      </c>
      <c r="AT516" s="36">
        <f>AS516/V516</f>
        <v/>
      </c>
      <c r="AU516" s="14">
        <f>AL516</f>
        <v/>
      </c>
      <c r="AV516" s="39">
        <f>AS516-AL516</f>
        <v/>
      </c>
      <c r="AW516" s="9">
        <f>AS516/AL516-1</f>
        <v/>
      </c>
      <c r="AX516" s="14">
        <f>AS516/AJ516/12</f>
        <v/>
      </c>
      <c r="AY516" s="14">
        <f>AF516</f>
        <v/>
      </c>
      <c r="AZ516" s="39">
        <f>AX516-AF516</f>
        <v/>
      </c>
      <c r="BA516" s="14">
        <f>SUMIFS(Donnees_regimes!$S$3:$S$1118,Donnees_regimes!$A$3:$A$1118,C516,Donnees_regimes!$B$3:$B$1118,"&gt;="&amp;G516,Donnees_regimes!$B$3:$B$1118,"&lt;="&amp;N516)*L516/ROUNDUP(L516,0)*SUMIFS(Donnees_annuelles!$AH$3:$AH$188,Donnees_annuelles!$A$3:$A$188,AR516)*SUMIFS(Donnees_annuelles!$AA$3:$AA$188,Donnees_annuelles!$A$3:$A$188,AR516)</f>
        <v/>
      </c>
      <c r="BB516" s="39">
        <f>BA516-AL516</f>
        <v/>
      </c>
      <c r="BC516" s="7">
        <f>IF(M516+AJ516&gt;2026,IF(G516&gt;2026,"entièrement projeté","en partie projeté"),"observé")</f>
        <v/>
      </c>
    </row>
    <row r="517">
      <c r="A517" s="7" t="inlineStr">
        <is>
          <t>Baby-boomers</t>
        </is>
      </c>
      <c r="B517" s="84" t="inlineStr">
        <is>
          <t>IEG</t>
        </is>
      </c>
      <c r="C517" s="7">
        <f>IF(G517&gt;=SUMIFS(Regimes!$C$5:$C$10,Regimes!$A$5:$A$10,B517),"Privé",B517)</f>
        <v/>
      </c>
      <c r="D517" s="7">
        <f>INDEX(Regimes!$D$5:$D$10,MATCH(C517,Regimes!$A$5:$A$10,0))</f>
        <v/>
      </c>
      <c r="E517" s="88" t="n">
        <v>1952</v>
      </c>
      <c r="F517" s="8">
        <f>Donnees_generations!C40</f>
        <v/>
      </c>
      <c r="G517" s="77">
        <f>Donnees_generations!D40</f>
        <v/>
      </c>
      <c r="H517" s="8">
        <f>SUMIFS(Donnees_generations!$S$3:$S$113,Donnees_generations!$A$3:$A$113,MAX(1915,MIN(2025,E517)))</f>
        <v/>
      </c>
      <c r="I517" s="8">
        <f>SUMIFS(Donnees_generations!$T$3:$T$113,Donnees_generations!$A$3:$A$113,MAX(1915,MIN(2025,E517)))</f>
        <v/>
      </c>
      <c r="J517" s="8">
        <f>IF(G517&gt;=2000,MAX(I517,Parametres!$B$3),I517)</f>
        <v/>
      </c>
      <c r="K517" s="8">
        <f>IF(C517="Privé",J517,SUMIFS(Regles_regimes!$J$3:$J$2000,Regles_regimes!$A$3:$A$2000,C517,Regles_regimes!$B$3:$B$2000,D517,Regles_regimes!$C$3:$C$2000,MAX(1915,MIN(2025,E517))))</f>
        <v/>
      </c>
      <c r="L517" s="8">
        <f>IF(C517="Privé",H517,(K517-F517)*H517/(J517-F517))</f>
        <v/>
      </c>
      <c r="M517" s="77">
        <f>INT(E517+K517)</f>
        <v/>
      </c>
      <c r="N517" s="77">
        <f>G517+ROUNDUP(L517,0)-1</f>
        <v/>
      </c>
      <c r="O517" s="89">
        <f>SUMIFS(Regles_regimes!$K$3:$K$2000,Regles_regimes!$A$3:$A$2000,C517,Regles_regimes!$B$3:$B$2000,D517,Regles_regimes!$C$3:$C$2000,MAX(1915,MIN(2025,E517)))</f>
        <v/>
      </c>
      <c r="P517" s="13">
        <f>SUMIFS(Donnees_annuelles!$W$3:$W$188,Donnees_annuelles!$A$3:$A$188,"&gt;="&amp;G517,Donnees_annuelles!$A$3:$A$188,"&lt;="&amp;N517)*L517/ROUNDUP(L517,0)*O517</f>
        <v/>
      </c>
      <c r="Q517" s="13">
        <f>SUMIFS(Donnees_annuelles!$V$3:$V$188,Donnees_annuelles!$A$3:$A$188,"&gt;="&amp;G517,Donnees_annuelles!$A$3:$A$188,"&lt;="&amp;N517)*L517/ROUNDUP(L517,0)</f>
        <v/>
      </c>
      <c r="R517" s="13">
        <f>P517/L517</f>
        <v/>
      </c>
      <c r="S517" s="14">
        <f>SUMIFS(Donnees_annuelles!$D$3:$D$188,Donnees_annuelles!$A$3:$A$188,"&gt;="&amp;G517,Donnees_annuelles!$A$3:$A$188,"&lt;="&amp;N517)*L517/ROUNDUP(L517,0)</f>
        <v/>
      </c>
      <c r="T517" s="14">
        <f>SUMIFS(Donnees_regimes!$N$3:$N$1118,Donnees_regimes!$A$3:$A$1118,C517,Donnees_regimes!$B$3:$B$1118,"&gt;="&amp;G517,Donnees_regimes!$B$3:$B$1118,"&lt;="&amp;N517)*L517/ROUNDUP(L517,0)</f>
        <v/>
      </c>
      <c r="U517" s="14">
        <f>SUMIFS(Donnees_regimes!$O$3:$O$1118,Donnees_regimes!$A$3:$A$1118,C517,Donnees_regimes!$B$3:$B$1118,"&gt;="&amp;G517,Donnees_regimes!$B$3:$B$1118,"&lt;="&amp;N517)*L517/ROUNDUP(L517,0)</f>
        <v/>
      </c>
      <c r="V517" s="14">
        <f>T517+U517</f>
        <v/>
      </c>
      <c r="W517" s="33">
        <f>V517/S517</f>
        <v/>
      </c>
      <c r="X517" s="14">
        <f>S517+U517</f>
        <v/>
      </c>
      <c r="Y517" s="17">
        <f>V517/P517</f>
        <v/>
      </c>
      <c r="Z517" s="14">
        <f>SUMIFS(Donnees_regimes!$Q$3:$Q$1118,Donnees_regimes!$A$3:$A$1118,C517,Donnees_regimes!$B$3:$B$1118,"&gt;="&amp;G517,Donnees_regimes!$B$3:$B$1118,"&lt;="&amp;N517)*L517/ROUNDUP(L517,0)</f>
        <v/>
      </c>
      <c r="AA517" s="77">
        <f>SUMIFS(Regles_regimes!$F$3:$F$2000,Regles_regimes!$A$3:$A$2000,C517,Regles_regimes!$B$3:$B$2000,D517,Regles_regimes!$C$3:$C$2000,MAX(1915,MIN(2025,E517)))</f>
        <v/>
      </c>
      <c r="AB517" s="77">
        <f>IF(AND(SUMIFS(Regles_regimes!$L$3:$L$2000,Regles_regimes!$A$3:$A$2000,C517,Regles_regimes!$B$3:$B$2000,D517,Regles_regimes!$C$3:$C$2000,MAX(1915,MIN(2025,E517)))=1,G517&lt;2009,C517&lt;&gt;"Privé"),MIN(20,L517*4/5),0)</f>
        <v/>
      </c>
      <c r="AC517" s="89">
        <f>SUMIFS(Donnees_regimes!$M$3:$M$1118,Donnees_regimes!$A$3:$A$1118,C517,Donnees_regimes!$B$3:$B$1118,M517)</f>
        <v/>
      </c>
      <c r="AD517" s="14">
        <f>SUMIFS(Donnees_annuelles!$Y$3:$Y$188,Donnees_annuelles!$A$3:$A$188,M517)*SUMIFS(Donnees_generations!$I$3:$I$113,Donnees_generations!$A$3:$A$113,MAX(1915,MIN(2025,E517)))/H517</f>
        <v/>
      </c>
      <c r="AE517" s="14">
        <f>IF(C517="Privé",SUMIFS(Donnees_annuelles!$Y$3:$Y$188,Donnees_annuelles!$A$3:$A$188,M517)*MIN(L517,SUMIFS(Donnees_generations!$I$3:$I$113,Donnees_generations!$A$3:$A$113,MAX(1915,MIN(2025,E517))))/L517,AD517*AC517*MIN(IF(AB517&gt;0,0.8/0.75,1),(L517*4+AB517)/AA517))</f>
        <v/>
      </c>
      <c r="AF517" s="14">
        <f>AE517/12</f>
        <v/>
      </c>
      <c r="AG517" s="77">
        <f>MIN(68,MAX(56,2*INT(K517/2)))</f>
        <v/>
      </c>
      <c r="AH517" s="75">
        <f>(CHOOSE((AG517-56)/2+1,SUMIFS(Donnees_generations!$U$3:$U$113,Donnees_generations!$A$3:$A$113,MAX(1915,MIN(2025,E517))),SUMIFS(Donnees_generations!$V$3:$V$113,Donnees_generations!$A$3:$A$113,MAX(1915,MIN(2025,E517))),SUMIFS(Donnees_generations!$W$3:$W$113,Donnees_generations!$A$3:$A$113,MAX(1915,MIN(2025,E517))),SUMIFS(Donnees_generations!$X$3:$X$113,Donnees_generations!$A$3:$A$113,MAX(1915,MIN(2025,E517))),SUMIFS(Donnees_generations!$Y$3:$Y$113,Donnees_generations!$A$3:$A$113,MAX(1915,MIN(2025,E517))),SUMIFS(Donnees_generations!$Z$3:$Z$113,Donnees_generations!$A$3:$A$113,MAX(1915,MIN(2025,E517))),SUMIFS(Donnees_generations!$AA$3:$AA$113,Donnees_generations!$A$3:$A$113,MAX(1915,MIN(2025,E517))),SUMIFS(Donnees_generations!$AB$3:$AB$113,Donnees_generations!$A$3:$A$113,MAX(1915,MIN(2025,E517))))+CHOOSE((AG517-56)/2+1,SUMIFS(Donnees_generations!$AC$3:$AC$113,Donnees_generations!$A$3:$A$113,MAX(1915,MIN(2025,E517))),SUMIFS(Donnees_generations!$AD$3:$AD$113,Donnees_generations!$A$3:$A$113,MAX(1915,MIN(2025,E517))),SUMIFS(Donnees_generations!$AE$3:$AE$113,Donnees_generations!$A$3:$A$113,MAX(1915,MIN(2025,E517))),SUMIFS(Donnees_generations!$AF$3:$AF$113,Donnees_generations!$A$3:$A$113,MAX(1915,MIN(2025,E517))),SUMIFS(Donnees_generations!$AG$3:$AG$113,Donnees_generations!$A$3:$A$113,MAX(1915,MIN(2025,E517))),SUMIFS(Donnees_generations!$AH$3:$AH$113,Donnees_generations!$A$3:$A$113,MAX(1915,MIN(2025,E517))),SUMIFS(Donnees_generations!$AI$3:$AI$113,Donnees_generations!$A$3:$A$113,MAX(1915,MIN(2025,E517))),SUMIFS(Donnees_generations!$AJ$3:$AJ$113,Donnees_generations!$A$3:$A$113,MAX(1915,MIN(2025,E517)))))/2</f>
        <v/>
      </c>
      <c r="AI517" s="75">
        <f>(CHOOSE(((AG517+2)-56)/2+1,SUMIFS(Donnees_generations!$U$3:$U$113,Donnees_generations!$A$3:$A$113,MAX(1915,MIN(2025,E517))),SUMIFS(Donnees_generations!$V$3:$V$113,Donnees_generations!$A$3:$A$113,MAX(1915,MIN(2025,E517))),SUMIFS(Donnees_generations!$W$3:$W$113,Donnees_generations!$A$3:$A$113,MAX(1915,MIN(2025,E517))),SUMIFS(Donnees_generations!$X$3:$X$113,Donnees_generations!$A$3:$A$113,MAX(1915,MIN(2025,E517))),SUMIFS(Donnees_generations!$Y$3:$Y$113,Donnees_generations!$A$3:$A$113,MAX(1915,MIN(2025,E517))),SUMIFS(Donnees_generations!$Z$3:$Z$113,Donnees_generations!$A$3:$A$113,MAX(1915,MIN(2025,E517))),SUMIFS(Donnees_generations!$AA$3:$AA$113,Donnees_generations!$A$3:$A$113,MAX(1915,MIN(2025,E517))),SUMIFS(Donnees_generations!$AB$3:$AB$113,Donnees_generations!$A$3:$A$113,MAX(1915,MIN(2025,E517))))+CHOOSE(((AG517+2)-56)/2+1,SUMIFS(Donnees_generations!$AC$3:$AC$113,Donnees_generations!$A$3:$A$113,MAX(1915,MIN(2025,E517))),SUMIFS(Donnees_generations!$AD$3:$AD$113,Donnees_generations!$A$3:$A$113,MAX(1915,MIN(2025,E517))),SUMIFS(Donnees_generations!$AE$3:$AE$113,Donnees_generations!$A$3:$A$113,MAX(1915,MIN(2025,E517))),SUMIFS(Donnees_generations!$AF$3:$AF$113,Donnees_generations!$A$3:$A$113,MAX(1915,MIN(2025,E517))),SUMIFS(Donnees_generations!$AG$3:$AG$113,Donnees_generations!$A$3:$A$113,MAX(1915,MIN(2025,E517))),SUMIFS(Donnees_generations!$AH$3:$AH$113,Donnees_generations!$A$3:$A$113,MAX(1915,MIN(2025,E517))),SUMIFS(Donnees_generations!$AI$3:$AI$113,Donnees_generations!$A$3:$A$113,MAX(1915,MIN(2025,E517))),SUMIFS(Donnees_generations!$AJ$3:$AJ$113,Donnees_generations!$A$3:$A$113,MAX(1915,MIN(2025,E517)))))/2</f>
        <v/>
      </c>
      <c r="AJ517" s="8">
        <f>MAX(0,AH517+(AI517-AH517)*(K517-AG517)/2)</f>
        <v/>
      </c>
      <c r="AK517" s="8">
        <f>K517+AJ517</f>
        <v/>
      </c>
      <c r="AL517" s="14">
        <f>AE517*AJ517</f>
        <v/>
      </c>
      <c r="AM517" s="17">
        <f>V517/AL517</f>
        <v/>
      </c>
      <c r="AN517" s="17">
        <f>Z517/AL517</f>
        <v/>
      </c>
      <c r="AO517" s="33">
        <f>IF(V517+Z517=0,0,Z517/(V517+Z517))</f>
        <v/>
      </c>
      <c r="AP517" s="14">
        <f>AL517/V517*100</f>
        <v/>
      </c>
      <c r="AQ517" s="8">
        <f>P517/AL517*1000</f>
        <v/>
      </c>
      <c r="AR517" s="77">
        <f>MAX(N517,M517-1)</f>
        <v/>
      </c>
      <c r="AS517" s="14">
        <f>SUMIFS(Donnees_regimes!$R$3:$R$1118,Donnees_regimes!$A$3:$A$1118,C517,Donnees_regimes!$B$3:$B$1118,"&gt;="&amp;G517,Donnees_regimes!$B$3:$B$1118,"&lt;="&amp;N517)*L517/ROUNDUP(L517,0)*SUMIFS(Donnees_annuelles!$AG$3:$AG$188,Donnees_annuelles!$A$3:$A$188,AR517)*SUMIFS(Donnees_annuelles!$AA$3:$AA$188,Donnees_annuelles!$A$3:$A$188,AR517)</f>
        <v/>
      </c>
      <c r="AT517" s="36">
        <f>AS517/V517</f>
        <v/>
      </c>
      <c r="AU517" s="14">
        <f>AL517</f>
        <v/>
      </c>
      <c r="AV517" s="39">
        <f>AS517-AL517</f>
        <v/>
      </c>
      <c r="AW517" s="9">
        <f>AS517/AL517-1</f>
        <v/>
      </c>
      <c r="AX517" s="14">
        <f>AS517/AJ517/12</f>
        <v/>
      </c>
      <c r="AY517" s="14">
        <f>AF517</f>
        <v/>
      </c>
      <c r="AZ517" s="39">
        <f>AX517-AF517</f>
        <v/>
      </c>
      <c r="BA517" s="14">
        <f>SUMIFS(Donnees_regimes!$S$3:$S$1118,Donnees_regimes!$A$3:$A$1118,C517,Donnees_regimes!$B$3:$B$1118,"&gt;="&amp;G517,Donnees_regimes!$B$3:$B$1118,"&lt;="&amp;N517)*L517/ROUNDUP(L517,0)*SUMIFS(Donnees_annuelles!$AH$3:$AH$188,Donnees_annuelles!$A$3:$A$188,AR517)*SUMIFS(Donnees_annuelles!$AA$3:$AA$188,Donnees_annuelles!$A$3:$A$188,AR517)</f>
        <v/>
      </c>
      <c r="BB517" s="39">
        <f>BA517-AL517</f>
        <v/>
      </c>
      <c r="BC517" s="7">
        <f>IF(M517+AJ517&gt;2026,IF(G517&gt;2026,"entièrement projeté","en partie projeté"),"observé")</f>
        <v/>
      </c>
    </row>
    <row r="518">
      <c r="A518" s="7" t="inlineStr">
        <is>
          <t>Baby-boomers</t>
        </is>
      </c>
      <c r="B518" s="84" t="inlineStr">
        <is>
          <t>IEG</t>
        </is>
      </c>
      <c r="C518" s="7">
        <f>IF(G518&gt;=SUMIFS(Regimes!$C$5:$C$10,Regimes!$A$5:$A$10,B518),"Privé",B518)</f>
        <v/>
      </c>
      <c r="D518" s="7">
        <f>INDEX(Regimes!$D$5:$D$10,MATCH(C518,Regimes!$A$5:$A$10,0))</f>
        <v/>
      </c>
      <c r="E518" s="88" t="n">
        <v>1953</v>
      </c>
      <c r="F518" s="8">
        <f>Donnees_generations!C41</f>
        <v/>
      </c>
      <c r="G518" s="77">
        <f>Donnees_generations!D41</f>
        <v/>
      </c>
      <c r="H518" s="8">
        <f>SUMIFS(Donnees_generations!$S$3:$S$113,Donnees_generations!$A$3:$A$113,MAX(1915,MIN(2025,E518)))</f>
        <v/>
      </c>
      <c r="I518" s="8">
        <f>SUMIFS(Donnees_generations!$T$3:$T$113,Donnees_generations!$A$3:$A$113,MAX(1915,MIN(2025,E518)))</f>
        <v/>
      </c>
      <c r="J518" s="8">
        <f>IF(G518&gt;=2000,MAX(I518,Parametres!$B$3),I518)</f>
        <v/>
      </c>
      <c r="K518" s="8">
        <f>IF(C518="Privé",J518,SUMIFS(Regles_regimes!$J$3:$J$2000,Regles_regimes!$A$3:$A$2000,C518,Regles_regimes!$B$3:$B$2000,D518,Regles_regimes!$C$3:$C$2000,MAX(1915,MIN(2025,E518))))</f>
        <v/>
      </c>
      <c r="L518" s="8">
        <f>IF(C518="Privé",H518,(K518-F518)*H518/(J518-F518))</f>
        <v/>
      </c>
      <c r="M518" s="77">
        <f>INT(E518+K518)</f>
        <v/>
      </c>
      <c r="N518" s="77">
        <f>G518+ROUNDUP(L518,0)-1</f>
        <v/>
      </c>
      <c r="O518" s="89">
        <f>SUMIFS(Regles_regimes!$K$3:$K$2000,Regles_regimes!$A$3:$A$2000,C518,Regles_regimes!$B$3:$B$2000,D518,Regles_regimes!$C$3:$C$2000,MAX(1915,MIN(2025,E518)))</f>
        <v/>
      </c>
      <c r="P518" s="13">
        <f>SUMIFS(Donnees_annuelles!$W$3:$W$188,Donnees_annuelles!$A$3:$A$188,"&gt;="&amp;G518,Donnees_annuelles!$A$3:$A$188,"&lt;="&amp;N518)*L518/ROUNDUP(L518,0)*O518</f>
        <v/>
      </c>
      <c r="Q518" s="13">
        <f>SUMIFS(Donnees_annuelles!$V$3:$V$188,Donnees_annuelles!$A$3:$A$188,"&gt;="&amp;G518,Donnees_annuelles!$A$3:$A$188,"&lt;="&amp;N518)*L518/ROUNDUP(L518,0)</f>
        <v/>
      </c>
      <c r="R518" s="13">
        <f>P518/L518</f>
        <v/>
      </c>
      <c r="S518" s="14">
        <f>SUMIFS(Donnees_annuelles!$D$3:$D$188,Donnees_annuelles!$A$3:$A$188,"&gt;="&amp;G518,Donnees_annuelles!$A$3:$A$188,"&lt;="&amp;N518)*L518/ROUNDUP(L518,0)</f>
        <v/>
      </c>
      <c r="T518" s="14">
        <f>SUMIFS(Donnees_regimes!$N$3:$N$1118,Donnees_regimes!$A$3:$A$1118,C518,Donnees_regimes!$B$3:$B$1118,"&gt;="&amp;G518,Donnees_regimes!$B$3:$B$1118,"&lt;="&amp;N518)*L518/ROUNDUP(L518,0)</f>
        <v/>
      </c>
      <c r="U518" s="14">
        <f>SUMIFS(Donnees_regimes!$O$3:$O$1118,Donnees_regimes!$A$3:$A$1118,C518,Donnees_regimes!$B$3:$B$1118,"&gt;="&amp;G518,Donnees_regimes!$B$3:$B$1118,"&lt;="&amp;N518)*L518/ROUNDUP(L518,0)</f>
        <v/>
      </c>
      <c r="V518" s="14">
        <f>T518+U518</f>
        <v/>
      </c>
      <c r="W518" s="33">
        <f>V518/S518</f>
        <v/>
      </c>
      <c r="X518" s="14">
        <f>S518+U518</f>
        <v/>
      </c>
      <c r="Y518" s="17">
        <f>V518/P518</f>
        <v/>
      </c>
      <c r="Z518" s="14">
        <f>SUMIFS(Donnees_regimes!$Q$3:$Q$1118,Donnees_regimes!$A$3:$A$1118,C518,Donnees_regimes!$B$3:$B$1118,"&gt;="&amp;G518,Donnees_regimes!$B$3:$B$1118,"&lt;="&amp;N518)*L518/ROUNDUP(L518,0)</f>
        <v/>
      </c>
      <c r="AA518" s="77">
        <f>SUMIFS(Regles_regimes!$F$3:$F$2000,Regles_regimes!$A$3:$A$2000,C518,Regles_regimes!$B$3:$B$2000,D518,Regles_regimes!$C$3:$C$2000,MAX(1915,MIN(2025,E518)))</f>
        <v/>
      </c>
      <c r="AB518" s="77">
        <f>IF(AND(SUMIFS(Regles_regimes!$L$3:$L$2000,Regles_regimes!$A$3:$A$2000,C518,Regles_regimes!$B$3:$B$2000,D518,Regles_regimes!$C$3:$C$2000,MAX(1915,MIN(2025,E518)))=1,G518&lt;2009,C518&lt;&gt;"Privé"),MIN(20,L518*4/5),0)</f>
        <v/>
      </c>
      <c r="AC518" s="89">
        <f>SUMIFS(Donnees_regimes!$M$3:$M$1118,Donnees_regimes!$A$3:$A$1118,C518,Donnees_regimes!$B$3:$B$1118,M518)</f>
        <v/>
      </c>
      <c r="AD518" s="14">
        <f>SUMIFS(Donnees_annuelles!$Y$3:$Y$188,Donnees_annuelles!$A$3:$A$188,M518)*SUMIFS(Donnees_generations!$I$3:$I$113,Donnees_generations!$A$3:$A$113,MAX(1915,MIN(2025,E518)))/H518</f>
        <v/>
      </c>
      <c r="AE518" s="14">
        <f>IF(C518="Privé",SUMIFS(Donnees_annuelles!$Y$3:$Y$188,Donnees_annuelles!$A$3:$A$188,M518)*MIN(L518,SUMIFS(Donnees_generations!$I$3:$I$113,Donnees_generations!$A$3:$A$113,MAX(1915,MIN(2025,E518))))/L518,AD518*AC518*MIN(IF(AB518&gt;0,0.8/0.75,1),(L518*4+AB518)/AA518))</f>
        <v/>
      </c>
      <c r="AF518" s="14">
        <f>AE518/12</f>
        <v/>
      </c>
      <c r="AG518" s="77">
        <f>MIN(68,MAX(56,2*INT(K518/2)))</f>
        <v/>
      </c>
      <c r="AH518" s="75">
        <f>(CHOOSE((AG518-56)/2+1,SUMIFS(Donnees_generations!$U$3:$U$113,Donnees_generations!$A$3:$A$113,MAX(1915,MIN(2025,E518))),SUMIFS(Donnees_generations!$V$3:$V$113,Donnees_generations!$A$3:$A$113,MAX(1915,MIN(2025,E518))),SUMIFS(Donnees_generations!$W$3:$W$113,Donnees_generations!$A$3:$A$113,MAX(1915,MIN(2025,E518))),SUMIFS(Donnees_generations!$X$3:$X$113,Donnees_generations!$A$3:$A$113,MAX(1915,MIN(2025,E518))),SUMIFS(Donnees_generations!$Y$3:$Y$113,Donnees_generations!$A$3:$A$113,MAX(1915,MIN(2025,E518))),SUMIFS(Donnees_generations!$Z$3:$Z$113,Donnees_generations!$A$3:$A$113,MAX(1915,MIN(2025,E518))),SUMIFS(Donnees_generations!$AA$3:$AA$113,Donnees_generations!$A$3:$A$113,MAX(1915,MIN(2025,E518))),SUMIFS(Donnees_generations!$AB$3:$AB$113,Donnees_generations!$A$3:$A$113,MAX(1915,MIN(2025,E518))))+CHOOSE((AG518-56)/2+1,SUMIFS(Donnees_generations!$AC$3:$AC$113,Donnees_generations!$A$3:$A$113,MAX(1915,MIN(2025,E518))),SUMIFS(Donnees_generations!$AD$3:$AD$113,Donnees_generations!$A$3:$A$113,MAX(1915,MIN(2025,E518))),SUMIFS(Donnees_generations!$AE$3:$AE$113,Donnees_generations!$A$3:$A$113,MAX(1915,MIN(2025,E518))),SUMIFS(Donnees_generations!$AF$3:$AF$113,Donnees_generations!$A$3:$A$113,MAX(1915,MIN(2025,E518))),SUMIFS(Donnees_generations!$AG$3:$AG$113,Donnees_generations!$A$3:$A$113,MAX(1915,MIN(2025,E518))),SUMIFS(Donnees_generations!$AH$3:$AH$113,Donnees_generations!$A$3:$A$113,MAX(1915,MIN(2025,E518))),SUMIFS(Donnees_generations!$AI$3:$AI$113,Donnees_generations!$A$3:$A$113,MAX(1915,MIN(2025,E518))),SUMIFS(Donnees_generations!$AJ$3:$AJ$113,Donnees_generations!$A$3:$A$113,MAX(1915,MIN(2025,E518)))))/2</f>
        <v/>
      </c>
      <c r="AI518" s="75">
        <f>(CHOOSE(((AG518+2)-56)/2+1,SUMIFS(Donnees_generations!$U$3:$U$113,Donnees_generations!$A$3:$A$113,MAX(1915,MIN(2025,E518))),SUMIFS(Donnees_generations!$V$3:$V$113,Donnees_generations!$A$3:$A$113,MAX(1915,MIN(2025,E518))),SUMIFS(Donnees_generations!$W$3:$W$113,Donnees_generations!$A$3:$A$113,MAX(1915,MIN(2025,E518))),SUMIFS(Donnees_generations!$X$3:$X$113,Donnees_generations!$A$3:$A$113,MAX(1915,MIN(2025,E518))),SUMIFS(Donnees_generations!$Y$3:$Y$113,Donnees_generations!$A$3:$A$113,MAX(1915,MIN(2025,E518))),SUMIFS(Donnees_generations!$Z$3:$Z$113,Donnees_generations!$A$3:$A$113,MAX(1915,MIN(2025,E518))),SUMIFS(Donnees_generations!$AA$3:$AA$113,Donnees_generations!$A$3:$A$113,MAX(1915,MIN(2025,E518))),SUMIFS(Donnees_generations!$AB$3:$AB$113,Donnees_generations!$A$3:$A$113,MAX(1915,MIN(2025,E518))))+CHOOSE(((AG518+2)-56)/2+1,SUMIFS(Donnees_generations!$AC$3:$AC$113,Donnees_generations!$A$3:$A$113,MAX(1915,MIN(2025,E518))),SUMIFS(Donnees_generations!$AD$3:$AD$113,Donnees_generations!$A$3:$A$113,MAX(1915,MIN(2025,E518))),SUMIFS(Donnees_generations!$AE$3:$AE$113,Donnees_generations!$A$3:$A$113,MAX(1915,MIN(2025,E518))),SUMIFS(Donnees_generations!$AF$3:$AF$113,Donnees_generations!$A$3:$A$113,MAX(1915,MIN(2025,E518))),SUMIFS(Donnees_generations!$AG$3:$AG$113,Donnees_generations!$A$3:$A$113,MAX(1915,MIN(2025,E518))),SUMIFS(Donnees_generations!$AH$3:$AH$113,Donnees_generations!$A$3:$A$113,MAX(1915,MIN(2025,E518))),SUMIFS(Donnees_generations!$AI$3:$AI$113,Donnees_generations!$A$3:$A$113,MAX(1915,MIN(2025,E518))),SUMIFS(Donnees_generations!$AJ$3:$AJ$113,Donnees_generations!$A$3:$A$113,MAX(1915,MIN(2025,E518)))))/2</f>
        <v/>
      </c>
      <c r="AJ518" s="8">
        <f>MAX(0,AH518+(AI518-AH518)*(K518-AG518)/2)</f>
        <v/>
      </c>
      <c r="AK518" s="8">
        <f>K518+AJ518</f>
        <v/>
      </c>
      <c r="AL518" s="14">
        <f>AE518*AJ518</f>
        <v/>
      </c>
      <c r="AM518" s="17">
        <f>V518/AL518</f>
        <v/>
      </c>
      <c r="AN518" s="17">
        <f>Z518/AL518</f>
        <v/>
      </c>
      <c r="AO518" s="33">
        <f>IF(V518+Z518=0,0,Z518/(V518+Z518))</f>
        <v/>
      </c>
      <c r="AP518" s="14">
        <f>AL518/V518*100</f>
        <v/>
      </c>
      <c r="AQ518" s="8">
        <f>P518/AL518*1000</f>
        <v/>
      </c>
      <c r="AR518" s="77">
        <f>MAX(N518,M518-1)</f>
        <v/>
      </c>
      <c r="AS518" s="14">
        <f>SUMIFS(Donnees_regimes!$R$3:$R$1118,Donnees_regimes!$A$3:$A$1118,C518,Donnees_regimes!$B$3:$B$1118,"&gt;="&amp;G518,Donnees_regimes!$B$3:$B$1118,"&lt;="&amp;N518)*L518/ROUNDUP(L518,0)*SUMIFS(Donnees_annuelles!$AG$3:$AG$188,Donnees_annuelles!$A$3:$A$188,AR518)*SUMIFS(Donnees_annuelles!$AA$3:$AA$188,Donnees_annuelles!$A$3:$A$188,AR518)</f>
        <v/>
      </c>
      <c r="AT518" s="36">
        <f>AS518/V518</f>
        <v/>
      </c>
      <c r="AU518" s="14">
        <f>AL518</f>
        <v/>
      </c>
      <c r="AV518" s="39">
        <f>AS518-AL518</f>
        <v/>
      </c>
      <c r="AW518" s="9">
        <f>AS518/AL518-1</f>
        <v/>
      </c>
      <c r="AX518" s="14">
        <f>AS518/AJ518/12</f>
        <v/>
      </c>
      <c r="AY518" s="14">
        <f>AF518</f>
        <v/>
      </c>
      <c r="AZ518" s="39">
        <f>AX518-AF518</f>
        <v/>
      </c>
      <c r="BA518" s="14">
        <f>SUMIFS(Donnees_regimes!$S$3:$S$1118,Donnees_regimes!$A$3:$A$1118,C518,Donnees_regimes!$B$3:$B$1118,"&gt;="&amp;G518,Donnees_regimes!$B$3:$B$1118,"&lt;="&amp;N518)*L518/ROUNDUP(L518,0)*SUMIFS(Donnees_annuelles!$AH$3:$AH$188,Donnees_annuelles!$A$3:$A$188,AR518)*SUMIFS(Donnees_annuelles!$AA$3:$AA$188,Donnees_annuelles!$A$3:$A$188,AR518)</f>
        <v/>
      </c>
      <c r="BB518" s="39">
        <f>BA518-AL518</f>
        <v/>
      </c>
      <c r="BC518" s="7">
        <f>IF(M518+AJ518&gt;2026,IF(G518&gt;2026,"entièrement projeté","en partie projeté"),"observé")</f>
        <v/>
      </c>
    </row>
    <row r="519">
      <c r="A519" s="7" t="inlineStr">
        <is>
          <t>Baby-boomers</t>
        </is>
      </c>
      <c r="B519" s="84" t="inlineStr">
        <is>
          <t>IEG</t>
        </is>
      </c>
      <c r="C519" s="7">
        <f>IF(G519&gt;=SUMIFS(Regimes!$C$5:$C$10,Regimes!$A$5:$A$10,B519),"Privé",B519)</f>
        <v/>
      </c>
      <c r="D519" s="7">
        <f>INDEX(Regimes!$D$5:$D$10,MATCH(C519,Regimes!$A$5:$A$10,0))</f>
        <v/>
      </c>
      <c r="E519" s="88" t="n">
        <v>1954</v>
      </c>
      <c r="F519" s="8">
        <f>Donnees_generations!C42</f>
        <v/>
      </c>
      <c r="G519" s="77">
        <f>Donnees_generations!D42</f>
        <v/>
      </c>
      <c r="H519" s="8">
        <f>SUMIFS(Donnees_generations!$S$3:$S$113,Donnees_generations!$A$3:$A$113,MAX(1915,MIN(2025,E519)))</f>
        <v/>
      </c>
      <c r="I519" s="8">
        <f>SUMIFS(Donnees_generations!$T$3:$T$113,Donnees_generations!$A$3:$A$113,MAX(1915,MIN(2025,E519)))</f>
        <v/>
      </c>
      <c r="J519" s="8">
        <f>IF(G519&gt;=2000,MAX(I519,Parametres!$B$3),I519)</f>
        <v/>
      </c>
      <c r="K519" s="8">
        <f>IF(C519="Privé",J519,SUMIFS(Regles_regimes!$J$3:$J$2000,Regles_regimes!$A$3:$A$2000,C519,Regles_regimes!$B$3:$B$2000,D519,Regles_regimes!$C$3:$C$2000,MAX(1915,MIN(2025,E519))))</f>
        <v/>
      </c>
      <c r="L519" s="8">
        <f>IF(C519="Privé",H519,(K519-F519)*H519/(J519-F519))</f>
        <v/>
      </c>
      <c r="M519" s="77">
        <f>INT(E519+K519)</f>
        <v/>
      </c>
      <c r="N519" s="77">
        <f>G519+ROUNDUP(L519,0)-1</f>
        <v/>
      </c>
      <c r="O519" s="89">
        <f>SUMIFS(Regles_regimes!$K$3:$K$2000,Regles_regimes!$A$3:$A$2000,C519,Regles_regimes!$B$3:$B$2000,D519,Regles_regimes!$C$3:$C$2000,MAX(1915,MIN(2025,E519)))</f>
        <v/>
      </c>
      <c r="P519" s="13">
        <f>SUMIFS(Donnees_annuelles!$W$3:$W$188,Donnees_annuelles!$A$3:$A$188,"&gt;="&amp;G519,Donnees_annuelles!$A$3:$A$188,"&lt;="&amp;N519)*L519/ROUNDUP(L519,0)*O519</f>
        <v/>
      </c>
      <c r="Q519" s="13">
        <f>SUMIFS(Donnees_annuelles!$V$3:$V$188,Donnees_annuelles!$A$3:$A$188,"&gt;="&amp;G519,Donnees_annuelles!$A$3:$A$188,"&lt;="&amp;N519)*L519/ROUNDUP(L519,0)</f>
        <v/>
      </c>
      <c r="R519" s="13">
        <f>P519/L519</f>
        <v/>
      </c>
      <c r="S519" s="14">
        <f>SUMIFS(Donnees_annuelles!$D$3:$D$188,Donnees_annuelles!$A$3:$A$188,"&gt;="&amp;G519,Donnees_annuelles!$A$3:$A$188,"&lt;="&amp;N519)*L519/ROUNDUP(L519,0)</f>
        <v/>
      </c>
      <c r="T519" s="14">
        <f>SUMIFS(Donnees_regimes!$N$3:$N$1118,Donnees_regimes!$A$3:$A$1118,C519,Donnees_regimes!$B$3:$B$1118,"&gt;="&amp;G519,Donnees_regimes!$B$3:$B$1118,"&lt;="&amp;N519)*L519/ROUNDUP(L519,0)</f>
        <v/>
      </c>
      <c r="U519" s="14">
        <f>SUMIFS(Donnees_regimes!$O$3:$O$1118,Donnees_regimes!$A$3:$A$1118,C519,Donnees_regimes!$B$3:$B$1118,"&gt;="&amp;G519,Donnees_regimes!$B$3:$B$1118,"&lt;="&amp;N519)*L519/ROUNDUP(L519,0)</f>
        <v/>
      </c>
      <c r="V519" s="14">
        <f>T519+U519</f>
        <v/>
      </c>
      <c r="W519" s="33">
        <f>V519/S519</f>
        <v/>
      </c>
      <c r="X519" s="14">
        <f>S519+U519</f>
        <v/>
      </c>
      <c r="Y519" s="17">
        <f>V519/P519</f>
        <v/>
      </c>
      <c r="Z519" s="14">
        <f>SUMIFS(Donnees_regimes!$Q$3:$Q$1118,Donnees_regimes!$A$3:$A$1118,C519,Donnees_regimes!$B$3:$B$1118,"&gt;="&amp;G519,Donnees_regimes!$B$3:$B$1118,"&lt;="&amp;N519)*L519/ROUNDUP(L519,0)</f>
        <v/>
      </c>
      <c r="AA519" s="77">
        <f>SUMIFS(Regles_regimes!$F$3:$F$2000,Regles_regimes!$A$3:$A$2000,C519,Regles_regimes!$B$3:$B$2000,D519,Regles_regimes!$C$3:$C$2000,MAX(1915,MIN(2025,E519)))</f>
        <v/>
      </c>
      <c r="AB519" s="77">
        <f>IF(AND(SUMIFS(Regles_regimes!$L$3:$L$2000,Regles_regimes!$A$3:$A$2000,C519,Regles_regimes!$B$3:$B$2000,D519,Regles_regimes!$C$3:$C$2000,MAX(1915,MIN(2025,E519)))=1,G519&lt;2009,C519&lt;&gt;"Privé"),MIN(20,L519*4/5),0)</f>
        <v/>
      </c>
      <c r="AC519" s="89">
        <f>SUMIFS(Donnees_regimes!$M$3:$M$1118,Donnees_regimes!$A$3:$A$1118,C519,Donnees_regimes!$B$3:$B$1118,M519)</f>
        <v/>
      </c>
      <c r="AD519" s="14">
        <f>SUMIFS(Donnees_annuelles!$Y$3:$Y$188,Donnees_annuelles!$A$3:$A$188,M519)*SUMIFS(Donnees_generations!$I$3:$I$113,Donnees_generations!$A$3:$A$113,MAX(1915,MIN(2025,E519)))/H519</f>
        <v/>
      </c>
      <c r="AE519" s="14">
        <f>IF(C519="Privé",SUMIFS(Donnees_annuelles!$Y$3:$Y$188,Donnees_annuelles!$A$3:$A$188,M519)*MIN(L519,SUMIFS(Donnees_generations!$I$3:$I$113,Donnees_generations!$A$3:$A$113,MAX(1915,MIN(2025,E519))))/L519,AD519*AC519*MIN(IF(AB519&gt;0,0.8/0.75,1),(L519*4+AB519)/AA519))</f>
        <v/>
      </c>
      <c r="AF519" s="14">
        <f>AE519/12</f>
        <v/>
      </c>
      <c r="AG519" s="77">
        <f>MIN(68,MAX(56,2*INT(K519/2)))</f>
        <v/>
      </c>
      <c r="AH519" s="75">
        <f>(CHOOSE((AG519-56)/2+1,SUMIFS(Donnees_generations!$U$3:$U$113,Donnees_generations!$A$3:$A$113,MAX(1915,MIN(2025,E519))),SUMIFS(Donnees_generations!$V$3:$V$113,Donnees_generations!$A$3:$A$113,MAX(1915,MIN(2025,E519))),SUMIFS(Donnees_generations!$W$3:$W$113,Donnees_generations!$A$3:$A$113,MAX(1915,MIN(2025,E519))),SUMIFS(Donnees_generations!$X$3:$X$113,Donnees_generations!$A$3:$A$113,MAX(1915,MIN(2025,E519))),SUMIFS(Donnees_generations!$Y$3:$Y$113,Donnees_generations!$A$3:$A$113,MAX(1915,MIN(2025,E519))),SUMIFS(Donnees_generations!$Z$3:$Z$113,Donnees_generations!$A$3:$A$113,MAX(1915,MIN(2025,E519))),SUMIFS(Donnees_generations!$AA$3:$AA$113,Donnees_generations!$A$3:$A$113,MAX(1915,MIN(2025,E519))),SUMIFS(Donnees_generations!$AB$3:$AB$113,Donnees_generations!$A$3:$A$113,MAX(1915,MIN(2025,E519))))+CHOOSE((AG519-56)/2+1,SUMIFS(Donnees_generations!$AC$3:$AC$113,Donnees_generations!$A$3:$A$113,MAX(1915,MIN(2025,E519))),SUMIFS(Donnees_generations!$AD$3:$AD$113,Donnees_generations!$A$3:$A$113,MAX(1915,MIN(2025,E519))),SUMIFS(Donnees_generations!$AE$3:$AE$113,Donnees_generations!$A$3:$A$113,MAX(1915,MIN(2025,E519))),SUMIFS(Donnees_generations!$AF$3:$AF$113,Donnees_generations!$A$3:$A$113,MAX(1915,MIN(2025,E519))),SUMIFS(Donnees_generations!$AG$3:$AG$113,Donnees_generations!$A$3:$A$113,MAX(1915,MIN(2025,E519))),SUMIFS(Donnees_generations!$AH$3:$AH$113,Donnees_generations!$A$3:$A$113,MAX(1915,MIN(2025,E519))),SUMIFS(Donnees_generations!$AI$3:$AI$113,Donnees_generations!$A$3:$A$113,MAX(1915,MIN(2025,E519))),SUMIFS(Donnees_generations!$AJ$3:$AJ$113,Donnees_generations!$A$3:$A$113,MAX(1915,MIN(2025,E519)))))/2</f>
        <v/>
      </c>
      <c r="AI519" s="75">
        <f>(CHOOSE(((AG519+2)-56)/2+1,SUMIFS(Donnees_generations!$U$3:$U$113,Donnees_generations!$A$3:$A$113,MAX(1915,MIN(2025,E519))),SUMIFS(Donnees_generations!$V$3:$V$113,Donnees_generations!$A$3:$A$113,MAX(1915,MIN(2025,E519))),SUMIFS(Donnees_generations!$W$3:$W$113,Donnees_generations!$A$3:$A$113,MAX(1915,MIN(2025,E519))),SUMIFS(Donnees_generations!$X$3:$X$113,Donnees_generations!$A$3:$A$113,MAX(1915,MIN(2025,E519))),SUMIFS(Donnees_generations!$Y$3:$Y$113,Donnees_generations!$A$3:$A$113,MAX(1915,MIN(2025,E519))),SUMIFS(Donnees_generations!$Z$3:$Z$113,Donnees_generations!$A$3:$A$113,MAX(1915,MIN(2025,E519))),SUMIFS(Donnees_generations!$AA$3:$AA$113,Donnees_generations!$A$3:$A$113,MAX(1915,MIN(2025,E519))),SUMIFS(Donnees_generations!$AB$3:$AB$113,Donnees_generations!$A$3:$A$113,MAX(1915,MIN(2025,E519))))+CHOOSE(((AG519+2)-56)/2+1,SUMIFS(Donnees_generations!$AC$3:$AC$113,Donnees_generations!$A$3:$A$113,MAX(1915,MIN(2025,E519))),SUMIFS(Donnees_generations!$AD$3:$AD$113,Donnees_generations!$A$3:$A$113,MAX(1915,MIN(2025,E519))),SUMIFS(Donnees_generations!$AE$3:$AE$113,Donnees_generations!$A$3:$A$113,MAX(1915,MIN(2025,E519))),SUMIFS(Donnees_generations!$AF$3:$AF$113,Donnees_generations!$A$3:$A$113,MAX(1915,MIN(2025,E519))),SUMIFS(Donnees_generations!$AG$3:$AG$113,Donnees_generations!$A$3:$A$113,MAX(1915,MIN(2025,E519))),SUMIFS(Donnees_generations!$AH$3:$AH$113,Donnees_generations!$A$3:$A$113,MAX(1915,MIN(2025,E519))),SUMIFS(Donnees_generations!$AI$3:$AI$113,Donnees_generations!$A$3:$A$113,MAX(1915,MIN(2025,E519))),SUMIFS(Donnees_generations!$AJ$3:$AJ$113,Donnees_generations!$A$3:$A$113,MAX(1915,MIN(2025,E519)))))/2</f>
        <v/>
      </c>
      <c r="AJ519" s="8">
        <f>MAX(0,AH519+(AI519-AH519)*(K519-AG519)/2)</f>
        <v/>
      </c>
      <c r="AK519" s="8">
        <f>K519+AJ519</f>
        <v/>
      </c>
      <c r="AL519" s="14">
        <f>AE519*AJ519</f>
        <v/>
      </c>
      <c r="AM519" s="17">
        <f>V519/AL519</f>
        <v/>
      </c>
      <c r="AN519" s="17">
        <f>Z519/AL519</f>
        <v/>
      </c>
      <c r="AO519" s="33">
        <f>IF(V519+Z519=0,0,Z519/(V519+Z519))</f>
        <v/>
      </c>
      <c r="AP519" s="14">
        <f>AL519/V519*100</f>
        <v/>
      </c>
      <c r="AQ519" s="8">
        <f>P519/AL519*1000</f>
        <v/>
      </c>
      <c r="AR519" s="77">
        <f>MAX(N519,M519-1)</f>
        <v/>
      </c>
      <c r="AS519" s="14">
        <f>SUMIFS(Donnees_regimes!$R$3:$R$1118,Donnees_regimes!$A$3:$A$1118,C519,Donnees_regimes!$B$3:$B$1118,"&gt;="&amp;G519,Donnees_regimes!$B$3:$B$1118,"&lt;="&amp;N519)*L519/ROUNDUP(L519,0)*SUMIFS(Donnees_annuelles!$AG$3:$AG$188,Donnees_annuelles!$A$3:$A$188,AR519)*SUMIFS(Donnees_annuelles!$AA$3:$AA$188,Donnees_annuelles!$A$3:$A$188,AR519)</f>
        <v/>
      </c>
      <c r="AT519" s="36">
        <f>AS519/V519</f>
        <v/>
      </c>
      <c r="AU519" s="14">
        <f>AL519</f>
        <v/>
      </c>
      <c r="AV519" s="39">
        <f>AS519-AL519</f>
        <v/>
      </c>
      <c r="AW519" s="9">
        <f>AS519/AL519-1</f>
        <v/>
      </c>
      <c r="AX519" s="14">
        <f>AS519/AJ519/12</f>
        <v/>
      </c>
      <c r="AY519" s="14">
        <f>AF519</f>
        <v/>
      </c>
      <c r="AZ519" s="39">
        <f>AX519-AF519</f>
        <v/>
      </c>
      <c r="BA519" s="14">
        <f>SUMIFS(Donnees_regimes!$S$3:$S$1118,Donnees_regimes!$A$3:$A$1118,C519,Donnees_regimes!$B$3:$B$1118,"&gt;="&amp;G519,Donnees_regimes!$B$3:$B$1118,"&lt;="&amp;N519)*L519/ROUNDUP(L519,0)*SUMIFS(Donnees_annuelles!$AH$3:$AH$188,Donnees_annuelles!$A$3:$A$188,AR519)*SUMIFS(Donnees_annuelles!$AA$3:$AA$188,Donnees_annuelles!$A$3:$A$188,AR519)</f>
        <v/>
      </c>
      <c r="BB519" s="39">
        <f>BA519-AL519</f>
        <v/>
      </c>
      <c r="BC519" s="7">
        <f>IF(M519+AJ519&gt;2026,IF(G519&gt;2026,"entièrement projeté","en partie projeté"),"observé")</f>
        <v/>
      </c>
    </row>
    <row r="520">
      <c r="A520" s="7" t="inlineStr">
        <is>
          <t>Baby-boomers</t>
        </is>
      </c>
      <c r="B520" s="84" t="inlineStr">
        <is>
          <t>IEG</t>
        </is>
      </c>
      <c r="C520" s="7">
        <f>IF(G520&gt;=SUMIFS(Regimes!$C$5:$C$10,Regimes!$A$5:$A$10,B520),"Privé",B520)</f>
        <v/>
      </c>
      <c r="D520" s="7">
        <f>INDEX(Regimes!$D$5:$D$10,MATCH(C520,Regimes!$A$5:$A$10,0))</f>
        <v/>
      </c>
      <c r="E520" s="88" t="n">
        <v>1955</v>
      </c>
      <c r="F520" s="8">
        <f>Donnees_generations!C43</f>
        <v/>
      </c>
      <c r="G520" s="77">
        <f>Donnees_generations!D43</f>
        <v/>
      </c>
      <c r="H520" s="8">
        <f>SUMIFS(Donnees_generations!$S$3:$S$113,Donnees_generations!$A$3:$A$113,MAX(1915,MIN(2025,E520)))</f>
        <v/>
      </c>
      <c r="I520" s="8">
        <f>SUMIFS(Donnees_generations!$T$3:$T$113,Donnees_generations!$A$3:$A$113,MAX(1915,MIN(2025,E520)))</f>
        <v/>
      </c>
      <c r="J520" s="8">
        <f>IF(G520&gt;=2000,MAX(I520,Parametres!$B$3),I520)</f>
        <v/>
      </c>
      <c r="K520" s="8">
        <f>IF(C520="Privé",J520,SUMIFS(Regles_regimes!$J$3:$J$2000,Regles_regimes!$A$3:$A$2000,C520,Regles_regimes!$B$3:$B$2000,D520,Regles_regimes!$C$3:$C$2000,MAX(1915,MIN(2025,E520))))</f>
        <v/>
      </c>
      <c r="L520" s="8">
        <f>IF(C520="Privé",H520,(K520-F520)*H520/(J520-F520))</f>
        <v/>
      </c>
      <c r="M520" s="77">
        <f>INT(E520+K520)</f>
        <v/>
      </c>
      <c r="N520" s="77">
        <f>G520+ROUNDUP(L520,0)-1</f>
        <v/>
      </c>
      <c r="O520" s="89">
        <f>SUMIFS(Regles_regimes!$K$3:$K$2000,Regles_regimes!$A$3:$A$2000,C520,Regles_regimes!$B$3:$B$2000,D520,Regles_regimes!$C$3:$C$2000,MAX(1915,MIN(2025,E520)))</f>
        <v/>
      </c>
      <c r="P520" s="13">
        <f>SUMIFS(Donnees_annuelles!$W$3:$W$188,Donnees_annuelles!$A$3:$A$188,"&gt;="&amp;G520,Donnees_annuelles!$A$3:$A$188,"&lt;="&amp;N520)*L520/ROUNDUP(L520,0)*O520</f>
        <v/>
      </c>
      <c r="Q520" s="13">
        <f>SUMIFS(Donnees_annuelles!$V$3:$V$188,Donnees_annuelles!$A$3:$A$188,"&gt;="&amp;G520,Donnees_annuelles!$A$3:$A$188,"&lt;="&amp;N520)*L520/ROUNDUP(L520,0)</f>
        <v/>
      </c>
      <c r="R520" s="13">
        <f>P520/L520</f>
        <v/>
      </c>
      <c r="S520" s="14">
        <f>SUMIFS(Donnees_annuelles!$D$3:$D$188,Donnees_annuelles!$A$3:$A$188,"&gt;="&amp;G520,Donnees_annuelles!$A$3:$A$188,"&lt;="&amp;N520)*L520/ROUNDUP(L520,0)</f>
        <v/>
      </c>
      <c r="T520" s="14">
        <f>SUMIFS(Donnees_regimes!$N$3:$N$1118,Donnees_regimes!$A$3:$A$1118,C520,Donnees_regimes!$B$3:$B$1118,"&gt;="&amp;G520,Donnees_regimes!$B$3:$B$1118,"&lt;="&amp;N520)*L520/ROUNDUP(L520,0)</f>
        <v/>
      </c>
      <c r="U520" s="14">
        <f>SUMIFS(Donnees_regimes!$O$3:$O$1118,Donnees_regimes!$A$3:$A$1118,C520,Donnees_regimes!$B$3:$B$1118,"&gt;="&amp;G520,Donnees_regimes!$B$3:$B$1118,"&lt;="&amp;N520)*L520/ROUNDUP(L520,0)</f>
        <v/>
      </c>
      <c r="V520" s="14">
        <f>T520+U520</f>
        <v/>
      </c>
      <c r="W520" s="33">
        <f>V520/S520</f>
        <v/>
      </c>
      <c r="X520" s="14">
        <f>S520+U520</f>
        <v/>
      </c>
      <c r="Y520" s="17">
        <f>V520/P520</f>
        <v/>
      </c>
      <c r="Z520" s="14">
        <f>SUMIFS(Donnees_regimes!$Q$3:$Q$1118,Donnees_regimes!$A$3:$A$1118,C520,Donnees_regimes!$B$3:$B$1118,"&gt;="&amp;G520,Donnees_regimes!$B$3:$B$1118,"&lt;="&amp;N520)*L520/ROUNDUP(L520,0)</f>
        <v/>
      </c>
      <c r="AA520" s="77">
        <f>SUMIFS(Regles_regimes!$F$3:$F$2000,Regles_regimes!$A$3:$A$2000,C520,Regles_regimes!$B$3:$B$2000,D520,Regles_regimes!$C$3:$C$2000,MAX(1915,MIN(2025,E520)))</f>
        <v/>
      </c>
      <c r="AB520" s="77">
        <f>IF(AND(SUMIFS(Regles_regimes!$L$3:$L$2000,Regles_regimes!$A$3:$A$2000,C520,Regles_regimes!$B$3:$B$2000,D520,Regles_regimes!$C$3:$C$2000,MAX(1915,MIN(2025,E520)))=1,G520&lt;2009,C520&lt;&gt;"Privé"),MIN(20,L520*4/5),0)</f>
        <v/>
      </c>
      <c r="AC520" s="89">
        <f>SUMIFS(Donnees_regimes!$M$3:$M$1118,Donnees_regimes!$A$3:$A$1118,C520,Donnees_regimes!$B$3:$B$1118,M520)</f>
        <v/>
      </c>
      <c r="AD520" s="14">
        <f>SUMIFS(Donnees_annuelles!$Y$3:$Y$188,Donnees_annuelles!$A$3:$A$188,M520)*SUMIFS(Donnees_generations!$I$3:$I$113,Donnees_generations!$A$3:$A$113,MAX(1915,MIN(2025,E520)))/H520</f>
        <v/>
      </c>
      <c r="AE520" s="14">
        <f>IF(C520="Privé",SUMIFS(Donnees_annuelles!$Y$3:$Y$188,Donnees_annuelles!$A$3:$A$188,M520)*MIN(L520,SUMIFS(Donnees_generations!$I$3:$I$113,Donnees_generations!$A$3:$A$113,MAX(1915,MIN(2025,E520))))/L520,AD520*AC520*MIN(IF(AB520&gt;0,0.8/0.75,1),(L520*4+AB520)/AA520))</f>
        <v/>
      </c>
      <c r="AF520" s="14">
        <f>AE520/12</f>
        <v/>
      </c>
      <c r="AG520" s="77">
        <f>MIN(68,MAX(56,2*INT(K520/2)))</f>
        <v/>
      </c>
      <c r="AH520" s="75">
        <f>(CHOOSE((AG520-56)/2+1,SUMIFS(Donnees_generations!$U$3:$U$113,Donnees_generations!$A$3:$A$113,MAX(1915,MIN(2025,E520))),SUMIFS(Donnees_generations!$V$3:$V$113,Donnees_generations!$A$3:$A$113,MAX(1915,MIN(2025,E520))),SUMIFS(Donnees_generations!$W$3:$W$113,Donnees_generations!$A$3:$A$113,MAX(1915,MIN(2025,E520))),SUMIFS(Donnees_generations!$X$3:$X$113,Donnees_generations!$A$3:$A$113,MAX(1915,MIN(2025,E520))),SUMIFS(Donnees_generations!$Y$3:$Y$113,Donnees_generations!$A$3:$A$113,MAX(1915,MIN(2025,E520))),SUMIFS(Donnees_generations!$Z$3:$Z$113,Donnees_generations!$A$3:$A$113,MAX(1915,MIN(2025,E520))),SUMIFS(Donnees_generations!$AA$3:$AA$113,Donnees_generations!$A$3:$A$113,MAX(1915,MIN(2025,E520))),SUMIFS(Donnees_generations!$AB$3:$AB$113,Donnees_generations!$A$3:$A$113,MAX(1915,MIN(2025,E520))))+CHOOSE((AG520-56)/2+1,SUMIFS(Donnees_generations!$AC$3:$AC$113,Donnees_generations!$A$3:$A$113,MAX(1915,MIN(2025,E520))),SUMIFS(Donnees_generations!$AD$3:$AD$113,Donnees_generations!$A$3:$A$113,MAX(1915,MIN(2025,E520))),SUMIFS(Donnees_generations!$AE$3:$AE$113,Donnees_generations!$A$3:$A$113,MAX(1915,MIN(2025,E520))),SUMIFS(Donnees_generations!$AF$3:$AF$113,Donnees_generations!$A$3:$A$113,MAX(1915,MIN(2025,E520))),SUMIFS(Donnees_generations!$AG$3:$AG$113,Donnees_generations!$A$3:$A$113,MAX(1915,MIN(2025,E520))),SUMIFS(Donnees_generations!$AH$3:$AH$113,Donnees_generations!$A$3:$A$113,MAX(1915,MIN(2025,E520))),SUMIFS(Donnees_generations!$AI$3:$AI$113,Donnees_generations!$A$3:$A$113,MAX(1915,MIN(2025,E520))),SUMIFS(Donnees_generations!$AJ$3:$AJ$113,Donnees_generations!$A$3:$A$113,MAX(1915,MIN(2025,E520)))))/2</f>
        <v/>
      </c>
      <c r="AI520" s="75">
        <f>(CHOOSE(((AG520+2)-56)/2+1,SUMIFS(Donnees_generations!$U$3:$U$113,Donnees_generations!$A$3:$A$113,MAX(1915,MIN(2025,E520))),SUMIFS(Donnees_generations!$V$3:$V$113,Donnees_generations!$A$3:$A$113,MAX(1915,MIN(2025,E520))),SUMIFS(Donnees_generations!$W$3:$W$113,Donnees_generations!$A$3:$A$113,MAX(1915,MIN(2025,E520))),SUMIFS(Donnees_generations!$X$3:$X$113,Donnees_generations!$A$3:$A$113,MAX(1915,MIN(2025,E520))),SUMIFS(Donnees_generations!$Y$3:$Y$113,Donnees_generations!$A$3:$A$113,MAX(1915,MIN(2025,E520))),SUMIFS(Donnees_generations!$Z$3:$Z$113,Donnees_generations!$A$3:$A$113,MAX(1915,MIN(2025,E520))),SUMIFS(Donnees_generations!$AA$3:$AA$113,Donnees_generations!$A$3:$A$113,MAX(1915,MIN(2025,E520))),SUMIFS(Donnees_generations!$AB$3:$AB$113,Donnees_generations!$A$3:$A$113,MAX(1915,MIN(2025,E520))))+CHOOSE(((AG520+2)-56)/2+1,SUMIFS(Donnees_generations!$AC$3:$AC$113,Donnees_generations!$A$3:$A$113,MAX(1915,MIN(2025,E520))),SUMIFS(Donnees_generations!$AD$3:$AD$113,Donnees_generations!$A$3:$A$113,MAX(1915,MIN(2025,E520))),SUMIFS(Donnees_generations!$AE$3:$AE$113,Donnees_generations!$A$3:$A$113,MAX(1915,MIN(2025,E520))),SUMIFS(Donnees_generations!$AF$3:$AF$113,Donnees_generations!$A$3:$A$113,MAX(1915,MIN(2025,E520))),SUMIFS(Donnees_generations!$AG$3:$AG$113,Donnees_generations!$A$3:$A$113,MAX(1915,MIN(2025,E520))),SUMIFS(Donnees_generations!$AH$3:$AH$113,Donnees_generations!$A$3:$A$113,MAX(1915,MIN(2025,E520))),SUMIFS(Donnees_generations!$AI$3:$AI$113,Donnees_generations!$A$3:$A$113,MAX(1915,MIN(2025,E520))),SUMIFS(Donnees_generations!$AJ$3:$AJ$113,Donnees_generations!$A$3:$A$113,MAX(1915,MIN(2025,E520)))))/2</f>
        <v/>
      </c>
      <c r="AJ520" s="8">
        <f>MAX(0,AH520+(AI520-AH520)*(K520-AG520)/2)</f>
        <v/>
      </c>
      <c r="AK520" s="8">
        <f>K520+AJ520</f>
        <v/>
      </c>
      <c r="AL520" s="14">
        <f>AE520*AJ520</f>
        <v/>
      </c>
      <c r="AM520" s="17">
        <f>V520/AL520</f>
        <v/>
      </c>
      <c r="AN520" s="17">
        <f>Z520/AL520</f>
        <v/>
      </c>
      <c r="AO520" s="33">
        <f>IF(V520+Z520=0,0,Z520/(V520+Z520))</f>
        <v/>
      </c>
      <c r="AP520" s="14">
        <f>AL520/V520*100</f>
        <v/>
      </c>
      <c r="AQ520" s="8">
        <f>P520/AL520*1000</f>
        <v/>
      </c>
      <c r="AR520" s="77">
        <f>MAX(N520,M520-1)</f>
        <v/>
      </c>
      <c r="AS520" s="14">
        <f>SUMIFS(Donnees_regimes!$R$3:$R$1118,Donnees_regimes!$A$3:$A$1118,C520,Donnees_regimes!$B$3:$B$1118,"&gt;="&amp;G520,Donnees_regimes!$B$3:$B$1118,"&lt;="&amp;N520)*L520/ROUNDUP(L520,0)*SUMIFS(Donnees_annuelles!$AG$3:$AG$188,Donnees_annuelles!$A$3:$A$188,AR520)*SUMIFS(Donnees_annuelles!$AA$3:$AA$188,Donnees_annuelles!$A$3:$A$188,AR520)</f>
        <v/>
      </c>
      <c r="AT520" s="36">
        <f>AS520/V520</f>
        <v/>
      </c>
      <c r="AU520" s="14">
        <f>AL520</f>
        <v/>
      </c>
      <c r="AV520" s="39">
        <f>AS520-AL520</f>
        <v/>
      </c>
      <c r="AW520" s="9">
        <f>AS520/AL520-1</f>
        <v/>
      </c>
      <c r="AX520" s="14">
        <f>AS520/AJ520/12</f>
        <v/>
      </c>
      <c r="AY520" s="14">
        <f>AF520</f>
        <v/>
      </c>
      <c r="AZ520" s="39">
        <f>AX520-AF520</f>
        <v/>
      </c>
      <c r="BA520" s="14">
        <f>SUMIFS(Donnees_regimes!$S$3:$S$1118,Donnees_regimes!$A$3:$A$1118,C520,Donnees_regimes!$B$3:$B$1118,"&gt;="&amp;G520,Donnees_regimes!$B$3:$B$1118,"&lt;="&amp;N520)*L520/ROUNDUP(L520,0)*SUMIFS(Donnees_annuelles!$AH$3:$AH$188,Donnees_annuelles!$A$3:$A$188,AR520)*SUMIFS(Donnees_annuelles!$AA$3:$AA$188,Donnees_annuelles!$A$3:$A$188,AR520)</f>
        <v/>
      </c>
      <c r="BB520" s="39">
        <f>BA520-AL520</f>
        <v/>
      </c>
      <c r="BC520" s="7">
        <f>IF(M520+AJ520&gt;2026,IF(G520&gt;2026,"entièrement projeté","en partie projeté"),"observé")</f>
        <v/>
      </c>
    </row>
    <row r="521">
      <c r="A521" s="7" t="inlineStr">
        <is>
          <t>Baby-boomers</t>
        </is>
      </c>
      <c r="B521" s="84" t="inlineStr">
        <is>
          <t>IEG</t>
        </is>
      </c>
      <c r="C521" s="7">
        <f>IF(G521&gt;=SUMIFS(Regimes!$C$5:$C$10,Regimes!$A$5:$A$10,B521),"Privé",B521)</f>
        <v/>
      </c>
      <c r="D521" s="7">
        <f>INDEX(Regimes!$D$5:$D$10,MATCH(C521,Regimes!$A$5:$A$10,0))</f>
        <v/>
      </c>
      <c r="E521" s="88" t="n">
        <v>1956</v>
      </c>
      <c r="F521" s="8">
        <f>Donnees_generations!C44</f>
        <v/>
      </c>
      <c r="G521" s="77">
        <f>Donnees_generations!D44</f>
        <v/>
      </c>
      <c r="H521" s="8">
        <f>SUMIFS(Donnees_generations!$S$3:$S$113,Donnees_generations!$A$3:$A$113,MAX(1915,MIN(2025,E521)))</f>
        <v/>
      </c>
      <c r="I521" s="8">
        <f>SUMIFS(Donnees_generations!$T$3:$T$113,Donnees_generations!$A$3:$A$113,MAX(1915,MIN(2025,E521)))</f>
        <v/>
      </c>
      <c r="J521" s="8">
        <f>IF(G521&gt;=2000,MAX(I521,Parametres!$B$3),I521)</f>
        <v/>
      </c>
      <c r="K521" s="8">
        <f>IF(C521="Privé",J521,SUMIFS(Regles_regimes!$J$3:$J$2000,Regles_regimes!$A$3:$A$2000,C521,Regles_regimes!$B$3:$B$2000,D521,Regles_regimes!$C$3:$C$2000,MAX(1915,MIN(2025,E521))))</f>
        <v/>
      </c>
      <c r="L521" s="8">
        <f>IF(C521="Privé",H521,(K521-F521)*H521/(J521-F521))</f>
        <v/>
      </c>
      <c r="M521" s="77">
        <f>INT(E521+K521)</f>
        <v/>
      </c>
      <c r="N521" s="77">
        <f>G521+ROUNDUP(L521,0)-1</f>
        <v/>
      </c>
      <c r="O521" s="89">
        <f>SUMIFS(Regles_regimes!$K$3:$K$2000,Regles_regimes!$A$3:$A$2000,C521,Regles_regimes!$B$3:$B$2000,D521,Regles_regimes!$C$3:$C$2000,MAX(1915,MIN(2025,E521)))</f>
        <v/>
      </c>
      <c r="P521" s="13">
        <f>SUMIFS(Donnees_annuelles!$W$3:$W$188,Donnees_annuelles!$A$3:$A$188,"&gt;="&amp;G521,Donnees_annuelles!$A$3:$A$188,"&lt;="&amp;N521)*L521/ROUNDUP(L521,0)*O521</f>
        <v/>
      </c>
      <c r="Q521" s="13">
        <f>SUMIFS(Donnees_annuelles!$V$3:$V$188,Donnees_annuelles!$A$3:$A$188,"&gt;="&amp;G521,Donnees_annuelles!$A$3:$A$188,"&lt;="&amp;N521)*L521/ROUNDUP(L521,0)</f>
        <v/>
      </c>
      <c r="R521" s="13">
        <f>P521/L521</f>
        <v/>
      </c>
      <c r="S521" s="14">
        <f>SUMIFS(Donnees_annuelles!$D$3:$D$188,Donnees_annuelles!$A$3:$A$188,"&gt;="&amp;G521,Donnees_annuelles!$A$3:$A$188,"&lt;="&amp;N521)*L521/ROUNDUP(L521,0)</f>
        <v/>
      </c>
      <c r="T521" s="14">
        <f>SUMIFS(Donnees_regimes!$N$3:$N$1118,Donnees_regimes!$A$3:$A$1118,C521,Donnees_regimes!$B$3:$B$1118,"&gt;="&amp;G521,Donnees_regimes!$B$3:$B$1118,"&lt;="&amp;N521)*L521/ROUNDUP(L521,0)</f>
        <v/>
      </c>
      <c r="U521" s="14">
        <f>SUMIFS(Donnees_regimes!$O$3:$O$1118,Donnees_regimes!$A$3:$A$1118,C521,Donnees_regimes!$B$3:$B$1118,"&gt;="&amp;G521,Donnees_regimes!$B$3:$B$1118,"&lt;="&amp;N521)*L521/ROUNDUP(L521,0)</f>
        <v/>
      </c>
      <c r="V521" s="14">
        <f>T521+U521</f>
        <v/>
      </c>
      <c r="W521" s="33">
        <f>V521/S521</f>
        <v/>
      </c>
      <c r="X521" s="14">
        <f>S521+U521</f>
        <v/>
      </c>
      <c r="Y521" s="17">
        <f>V521/P521</f>
        <v/>
      </c>
      <c r="Z521" s="14">
        <f>SUMIFS(Donnees_regimes!$Q$3:$Q$1118,Donnees_regimes!$A$3:$A$1118,C521,Donnees_regimes!$B$3:$B$1118,"&gt;="&amp;G521,Donnees_regimes!$B$3:$B$1118,"&lt;="&amp;N521)*L521/ROUNDUP(L521,0)</f>
        <v/>
      </c>
      <c r="AA521" s="77">
        <f>SUMIFS(Regles_regimes!$F$3:$F$2000,Regles_regimes!$A$3:$A$2000,C521,Regles_regimes!$B$3:$B$2000,D521,Regles_regimes!$C$3:$C$2000,MAX(1915,MIN(2025,E521)))</f>
        <v/>
      </c>
      <c r="AB521" s="77">
        <f>IF(AND(SUMIFS(Regles_regimes!$L$3:$L$2000,Regles_regimes!$A$3:$A$2000,C521,Regles_regimes!$B$3:$B$2000,D521,Regles_regimes!$C$3:$C$2000,MAX(1915,MIN(2025,E521)))=1,G521&lt;2009,C521&lt;&gt;"Privé"),MIN(20,L521*4/5),0)</f>
        <v/>
      </c>
      <c r="AC521" s="89">
        <f>SUMIFS(Donnees_regimes!$M$3:$M$1118,Donnees_regimes!$A$3:$A$1118,C521,Donnees_regimes!$B$3:$B$1118,M521)</f>
        <v/>
      </c>
      <c r="AD521" s="14">
        <f>SUMIFS(Donnees_annuelles!$Y$3:$Y$188,Donnees_annuelles!$A$3:$A$188,M521)*SUMIFS(Donnees_generations!$I$3:$I$113,Donnees_generations!$A$3:$A$113,MAX(1915,MIN(2025,E521)))/H521</f>
        <v/>
      </c>
      <c r="AE521" s="14">
        <f>IF(C521="Privé",SUMIFS(Donnees_annuelles!$Y$3:$Y$188,Donnees_annuelles!$A$3:$A$188,M521)*MIN(L521,SUMIFS(Donnees_generations!$I$3:$I$113,Donnees_generations!$A$3:$A$113,MAX(1915,MIN(2025,E521))))/L521,AD521*AC521*MIN(IF(AB521&gt;0,0.8/0.75,1),(L521*4+AB521)/AA521))</f>
        <v/>
      </c>
      <c r="AF521" s="14">
        <f>AE521/12</f>
        <v/>
      </c>
      <c r="AG521" s="77">
        <f>MIN(68,MAX(56,2*INT(K521/2)))</f>
        <v/>
      </c>
      <c r="AH521" s="75">
        <f>(CHOOSE((AG521-56)/2+1,SUMIFS(Donnees_generations!$U$3:$U$113,Donnees_generations!$A$3:$A$113,MAX(1915,MIN(2025,E521))),SUMIFS(Donnees_generations!$V$3:$V$113,Donnees_generations!$A$3:$A$113,MAX(1915,MIN(2025,E521))),SUMIFS(Donnees_generations!$W$3:$W$113,Donnees_generations!$A$3:$A$113,MAX(1915,MIN(2025,E521))),SUMIFS(Donnees_generations!$X$3:$X$113,Donnees_generations!$A$3:$A$113,MAX(1915,MIN(2025,E521))),SUMIFS(Donnees_generations!$Y$3:$Y$113,Donnees_generations!$A$3:$A$113,MAX(1915,MIN(2025,E521))),SUMIFS(Donnees_generations!$Z$3:$Z$113,Donnees_generations!$A$3:$A$113,MAX(1915,MIN(2025,E521))),SUMIFS(Donnees_generations!$AA$3:$AA$113,Donnees_generations!$A$3:$A$113,MAX(1915,MIN(2025,E521))),SUMIFS(Donnees_generations!$AB$3:$AB$113,Donnees_generations!$A$3:$A$113,MAX(1915,MIN(2025,E521))))+CHOOSE((AG521-56)/2+1,SUMIFS(Donnees_generations!$AC$3:$AC$113,Donnees_generations!$A$3:$A$113,MAX(1915,MIN(2025,E521))),SUMIFS(Donnees_generations!$AD$3:$AD$113,Donnees_generations!$A$3:$A$113,MAX(1915,MIN(2025,E521))),SUMIFS(Donnees_generations!$AE$3:$AE$113,Donnees_generations!$A$3:$A$113,MAX(1915,MIN(2025,E521))),SUMIFS(Donnees_generations!$AF$3:$AF$113,Donnees_generations!$A$3:$A$113,MAX(1915,MIN(2025,E521))),SUMIFS(Donnees_generations!$AG$3:$AG$113,Donnees_generations!$A$3:$A$113,MAX(1915,MIN(2025,E521))),SUMIFS(Donnees_generations!$AH$3:$AH$113,Donnees_generations!$A$3:$A$113,MAX(1915,MIN(2025,E521))),SUMIFS(Donnees_generations!$AI$3:$AI$113,Donnees_generations!$A$3:$A$113,MAX(1915,MIN(2025,E521))),SUMIFS(Donnees_generations!$AJ$3:$AJ$113,Donnees_generations!$A$3:$A$113,MAX(1915,MIN(2025,E521)))))/2</f>
        <v/>
      </c>
      <c r="AI521" s="75">
        <f>(CHOOSE(((AG521+2)-56)/2+1,SUMIFS(Donnees_generations!$U$3:$U$113,Donnees_generations!$A$3:$A$113,MAX(1915,MIN(2025,E521))),SUMIFS(Donnees_generations!$V$3:$V$113,Donnees_generations!$A$3:$A$113,MAX(1915,MIN(2025,E521))),SUMIFS(Donnees_generations!$W$3:$W$113,Donnees_generations!$A$3:$A$113,MAX(1915,MIN(2025,E521))),SUMIFS(Donnees_generations!$X$3:$X$113,Donnees_generations!$A$3:$A$113,MAX(1915,MIN(2025,E521))),SUMIFS(Donnees_generations!$Y$3:$Y$113,Donnees_generations!$A$3:$A$113,MAX(1915,MIN(2025,E521))),SUMIFS(Donnees_generations!$Z$3:$Z$113,Donnees_generations!$A$3:$A$113,MAX(1915,MIN(2025,E521))),SUMIFS(Donnees_generations!$AA$3:$AA$113,Donnees_generations!$A$3:$A$113,MAX(1915,MIN(2025,E521))),SUMIFS(Donnees_generations!$AB$3:$AB$113,Donnees_generations!$A$3:$A$113,MAX(1915,MIN(2025,E521))))+CHOOSE(((AG521+2)-56)/2+1,SUMIFS(Donnees_generations!$AC$3:$AC$113,Donnees_generations!$A$3:$A$113,MAX(1915,MIN(2025,E521))),SUMIFS(Donnees_generations!$AD$3:$AD$113,Donnees_generations!$A$3:$A$113,MAX(1915,MIN(2025,E521))),SUMIFS(Donnees_generations!$AE$3:$AE$113,Donnees_generations!$A$3:$A$113,MAX(1915,MIN(2025,E521))),SUMIFS(Donnees_generations!$AF$3:$AF$113,Donnees_generations!$A$3:$A$113,MAX(1915,MIN(2025,E521))),SUMIFS(Donnees_generations!$AG$3:$AG$113,Donnees_generations!$A$3:$A$113,MAX(1915,MIN(2025,E521))),SUMIFS(Donnees_generations!$AH$3:$AH$113,Donnees_generations!$A$3:$A$113,MAX(1915,MIN(2025,E521))),SUMIFS(Donnees_generations!$AI$3:$AI$113,Donnees_generations!$A$3:$A$113,MAX(1915,MIN(2025,E521))),SUMIFS(Donnees_generations!$AJ$3:$AJ$113,Donnees_generations!$A$3:$A$113,MAX(1915,MIN(2025,E521)))))/2</f>
        <v/>
      </c>
      <c r="AJ521" s="8">
        <f>MAX(0,AH521+(AI521-AH521)*(K521-AG521)/2)</f>
        <v/>
      </c>
      <c r="AK521" s="8">
        <f>K521+AJ521</f>
        <v/>
      </c>
      <c r="AL521" s="14">
        <f>AE521*AJ521</f>
        <v/>
      </c>
      <c r="AM521" s="17">
        <f>V521/AL521</f>
        <v/>
      </c>
      <c r="AN521" s="17">
        <f>Z521/AL521</f>
        <v/>
      </c>
      <c r="AO521" s="33">
        <f>IF(V521+Z521=0,0,Z521/(V521+Z521))</f>
        <v/>
      </c>
      <c r="AP521" s="14">
        <f>AL521/V521*100</f>
        <v/>
      </c>
      <c r="AQ521" s="8">
        <f>P521/AL521*1000</f>
        <v/>
      </c>
      <c r="AR521" s="77">
        <f>MAX(N521,M521-1)</f>
        <v/>
      </c>
      <c r="AS521" s="14">
        <f>SUMIFS(Donnees_regimes!$R$3:$R$1118,Donnees_regimes!$A$3:$A$1118,C521,Donnees_regimes!$B$3:$B$1118,"&gt;="&amp;G521,Donnees_regimes!$B$3:$B$1118,"&lt;="&amp;N521)*L521/ROUNDUP(L521,0)*SUMIFS(Donnees_annuelles!$AG$3:$AG$188,Donnees_annuelles!$A$3:$A$188,AR521)*SUMIFS(Donnees_annuelles!$AA$3:$AA$188,Donnees_annuelles!$A$3:$A$188,AR521)</f>
        <v/>
      </c>
      <c r="AT521" s="36">
        <f>AS521/V521</f>
        <v/>
      </c>
      <c r="AU521" s="14">
        <f>AL521</f>
        <v/>
      </c>
      <c r="AV521" s="39">
        <f>AS521-AL521</f>
        <v/>
      </c>
      <c r="AW521" s="9">
        <f>AS521/AL521-1</f>
        <v/>
      </c>
      <c r="AX521" s="14">
        <f>AS521/AJ521/12</f>
        <v/>
      </c>
      <c r="AY521" s="14">
        <f>AF521</f>
        <v/>
      </c>
      <c r="AZ521" s="39">
        <f>AX521-AF521</f>
        <v/>
      </c>
      <c r="BA521" s="14">
        <f>SUMIFS(Donnees_regimes!$S$3:$S$1118,Donnees_regimes!$A$3:$A$1118,C521,Donnees_regimes!$B$3:$B$1118,"&gt;="&amp;G521,Donnees_regimes!$B$3:$B$1118,"&lt;="&amp;N521)*L521/ROUNDUP(L521,0)*SUMIFS(Donnees_annuelles!$AH$3:$AH$188,Donnees_annuelles!$A$3:$A$188,AR521)*SUMIFS(Donnees_annuelles!$AA$3:$AA$188,Donnees_annuelles!$A$3:$A$188,AR521)</f>
        <v/>
      </c>
      <c r="BB521" s="39">
        <f>BA521-AL521</f>
        <v/>
      </c>
      <c r="BC521" s="7">
        <f>IF(M521+AJ521&gt;2026,IF(G521&gt;2026,"entièrement projeté","en partie projeté"),"observé")</f>
        <v/>
      </c>
    </row>
    <row r="522">
      <c r="A522" s="7" t="inlineStr">
        <is>
          <t>Baby-boomers</t>
        </is>
      </c>
      <c r="B522" s="84" t="inlineStr">
        <is>
          <t>IEG</t>
        </is>
      </c>
      <c r="C522" s="7">
        <f>IF(G522&gt;=SUMIFS(Regimes!$C$5:$C$10,Regimes!$A$5:$A$10,B522),"Privé",B522)</f>
        <v/>
      </c>
      <c r="D522" s="7">
        <f>INDEX(Regimes!$D$5:$D$10,MATCH(C522,Regimes!$A$5:$A$10,0))</f>
        <v/>
      </c>
      <c r="E522" s="88" t="n">
        <v>1957</v>
      </c>
      <c r="F522" s="8">
        <f>Donnees_generations!C45</f>
        <v/>
      </c>
      <c r="G522" s="77">
        <f>Donnees_generations!D45</f>
        <v/>
      </c>
      <c r="H522" s="8">
        <f>SUMIFS(Donnees_generations!$S$3:$S$113,Donnees_generations!$A$3:$A$113,MAX(1915,MIN(2025,E522)))</f>
        <v/>
      </c>
      <c r="I522" s="8">
        <f>SUMIFS(Donnees_generations!$T$3:$T$113,Donnees_generations!$A$3:$A$113,MAX(1915,MIN(2025,E522)))</f>
        <v/>
      </c>
      <c r="J522" s="8">
        <f>IF(G522&gt;=2000,MAX(I522,Parametres!$B$3),I522)</f>
        <v/>
      </c>
      <c r="K522" s="8">
        <f>IF(C522="Privé",J522,SUMIFS(Regles_regimes!$J$3:$J$2000,Regles_regimes!$A$3:$A$2000,C522,Regles_regimes!$B$3:$B$2000,D522,Regles_regimes!$C$3:$C$2000,MAX(1915,MIN(2025,E522))))</f>
        <v/>
      </c>
      <c r="L522" s="8">
        <f>IF(C522="Privé",H522,(K522-F522)*H522/(J522-F522))</f>
        <v/>
      </c>
      <c r="M522" s="77">
        <f>INT(E522+K522)</f>
        <v/>
      </c>
      <c r="N522" s="77">
        <f>G522+ROUNDUP(L522,0)-1</f>
        <v/>
      </c>
      <c r="O522" s="89">
        <f>SUMIFS(Regles_regimes!$K$3:$K$2000,Regles_regimes!$A$3:$A$2000,C522,Regles_regimes!$B$3:$B$2000,D522,Regles_regimes!$C$3:$C$2000,MAX(1915,MIN(2025,E522)))</f>
        <v/>
      </c>
      <c r="P522" s="13">
        <f>SUMIFS(Donnees_annuelles!$W$3:$W$188,Donnees_annuelles!$A$3:$A$188,"&gt;="&amp;G522,Donnees_annuelles!$A$3:$A$188,"&lt;="&amp;N522)*L522/ROUNDUP(L522,0)*O522</f>
        <v/>
      </c>
      <c r="Q522" s="13">
        <f>SUMIFS(Donnees_annuelles!$V$3:$V$188,Donnees_annuelles!$A$3:$A$188,"&gt;="&amp;G522,Donnees_annuelles!$A$3:$A$188,"&lt;="&amp;N522)*L522/ROUNDUP(L522,0)</f>
        <v/>
      </c>
      <c r="R522" s="13">
        <f>P522/L522</f>
        <v/>
      </c>
      <c r="S522" s="14">
        <f>SUMIFS(Donnees_annuelles!$D$3:$D$188,Donnees_annuelles!$A$3:$A$188,"&gt;="&amp;G522,Donnees_annuelles!$A$3:$A$188,"&lt;="&amp;N522)*L522/ROUNDUP(L522,0)</f>
        <v/>
      </c>
      <c r="T522" s="14">
        <f>SUMIFS(Donnees_regimes!$N$3:$N$1118,Donnees_regimes!$A$3:$A$1118,C522,Donnees_regimes!$B$3:$B$1118,"&gt;="&amp;G522,Donnees_regimes!$B$3:$B$1118,"&lt;="&amp;N522)*L522/ROUNDUP(L522,0)</f>
        <v/>
      </c>
      <c r="U522" s="14">
        <f>SUMIFS(Donnees_regimes!$O$3:$O$1118,Donnees_regimes!$A$3:$A$1118,C522,Donnees_regimes!$B$3:$B$1118,"&gt;="&amp;G522,Donnees_regimes!$B$3:$B$1118,"&lt;="&amp;N522)*L522/ROUNDUP(L522,0)</f>
        <v/>
      </c>
      <c r="V522" s="14">
        <f>T522+U522</f>
        <v/>
      </c>
      <c r="W522" s="33">
        <f>V522/S522</f>
        <v/>
      </c>
      <c r="X522" s="14">
        <f>S522+U522</f>
        <v/>
      </c>
      <c r="Y522" s="17">
        <f>V522/P522</f>
        <v/>
      </c>
      <c r="Z522" s="14">
        <f>SUMIFS(Donnees_regimes!$Q$3:$Q$1118,Donnees_regimes!$A$3:$A$1118,C522,Donnees_regimes!$B$3:$B$1118,"&gt;="&amp;G522,Donnees_regimes!$B$3:$B$1118,"&lt;="&amp;N522)*L522/ROUNDUP(L522,0)</f>
        <v/>
      </c>
      <c r="AA522" s="77">
        <f>SUMIFS(Regles_regimes!$F$3:$F$2000,Regles_regimes!$A$3:$A$2000,C522,Regles_regimes!$B$3:$B$2000,D522,Regles_regimes!$C$3:$C$2000,MAX(1915,MIN(2025,E522)))</f>
        <v/>
      </c>
      <c r="AB522" s="77">
        <f>IF(AND(SUMIFS(Regles_regimes!$L$3:$L$2000,Regles_regimes!$A$3:$A$2000,C522,Regles_regimes!$B$3:$B$2000,D522,Regles_regimes!$C$3:$C$2000,MAX(1915,MIN(2025,E522)))=1,G522&lt;2009,C522&lt;&gt;"Privé"),MIN(20,L522*4/5),0)</f>
        <v/>
      </c>
      <c r="AC522" s="89">
        <f>SUMIFS(Donnees_regimes!$M$3:$M$1118,Donnees_regimes!$A$3:$A$1118,C522,Donnees_regimes!$B$3:$B$1118,M522)</f>
        <v/>
      </c>
      <c r="AD522" s="14">
        <f>SUMIFS(Donnees_annuelles!$Y$3:$Y$188,Donnees_annuelles!$A$3:$A$188,M522)*SUMIFS(Donnees_generations!$I$3:$I$113,Donnees_generations!$A$3:$A$113,MAX(1915,MIN(2025,E522)))/H522</f>
        <v/>
      </c>
      <c r="AE522" s="14">
        <f>IF(C522="Privé",SUMIFS(Donnees_annuelles!$Y$3:$Y$188,Donnees_annuelles!$A$3:$A$188,M522)*MIN(L522,SUMIFS(Donnees_generations!$I$3:$I$113,Donnees_generations!$A$3:$A$113,MAX(1915,MIN(2025,E522))))/L522,AD522*AC522*MIN(IF(AB522&gt;0,0.8/0.75,1),(L522*4+AB522)/AA522))</f>
        <v/>
      </c>
      <c r="AF522" s="14">
        <f>AE522/12</f>
        <v/>
      </c>
      <c r="AG522" s="77">
        <f>MIN(68,MAX(56,2*INT(K522/2)))</f>
        <v/>
      </c>
      <c r="AH522" s="75">
        <f>(CHOOSE((AG522-56)/2+1,SUMIFS(Donnees_generations!$U$3:$U$113,Donnees_generations!$A$3:$A$113,MAX(1915,MIN(2025,E522))),SUMIFS(Donnees_generations!$V$3:$V$113,Donnees_generations!$A$3:$A$113,MAX(1915,MIN(2025,E522))),SUMIFS(Donnees_generations!$W$3:$W$113,Donnees_generations!$A$3:$A$113,MAX(1915,MIN(2025,E522))),SUMIFS(Donnees_generations!$X$3:$X$113,Donnees_generations!$A$3:$A$113,MAX(1915,MIN(2025,E522))),SUMIFS(Donnees_generations!$Y$3:$Y$113,Donnees_generations!$A$3:$A$113,MAX(1915,MIN(2025,E522))),SUMIFS(Donnees_generations!$Z$3:$Z$113,Donnees_generations!$A$3:$A$113,MAX(1915,MIN(2025,E522))),SUMIFS(Donnees_generations!$AA$3:$AA$113,Donnees_generations!$A$3:$A$113,MAX(1915,MIN(2025,E522))),SUMIFS(Donnees_generations!$AB$3:$AB$113,Donnees_generations!$A$3:$A$113,MAX(1915,MIN(2025,E522))))+CHOOSE((AG522-56)/2+1,SUMIFS(Donnees_generations!$AC$3:$AC$113,Donnees_generations!$A$3:$A$113,MAX(1915,MIN(2025,E522))),SUMIFS(Donnees_generations!$AD$3:$AD$113,Donnees_generations!$A$3:$A$113,MAX(1915,MIN(2025,E522))),SUMIFS(Donnees_generations!$AE$3:$AE$113,Donnees_generations!$A$3:$A$113,MAX(1915,MIN(2025,E522))),SUMIFS(Donnees_generations!$AF$3:$AF$113,Donnees_generations!$A$3:$A$113,MAX(1915,MIN(2025,E522))),SUMIFS(Donnees_generations!$AG$3:$AG$113,Donnees_generations!$A$3:$A$113,MAX(1915,MIN(2025,E522))),SUMIFS(Donnees_generations!$AH$3:$AH$113,Donnees_generations!$A$3:$A$113,MAX(1915,MIN(2025,E522))),SUMIFS(Donnees_generations!$AI$3:$AI$113,Donnees_generations!$A$3:$A$113,MAX(1915,MIN(2025,E522))),SUMIFS(Donnees_generations!$AJ$3:$AJ$113,Donnees_generations!$A$3:$A$113,MAX(1915,MIN(2025,E522)))))/2</f>
        <v/>
      </c>
      <c r="AI522" s="75">
        <f>(CHOOSE(((AG522+2)-56)/2+1,SUMIFS(Donnees_generations!$U$3:$U$113,Donnees_generations!$A$3:$A$113,MAX(1915,MIN(2025,E522))),SUMIFS(Donnees_generations!$V$3:$V$113,Donnees_generations!$A$3:$A$113,MAX(1915,MIN(2025,E522))),SUMIFS(Donnees_generations!$W$3:$W$113,Donnees_generations!$A$3:$A$113,MAX(1915,MIN(2025,E522))),SUMIFS(Donnees_generations!$X$3:$X$113,Donnees_generations!$A$3:$A$113,MAX(1915,MIN(2025,E522))),SUMIFS(Donnees_generations!$Y$3:$Y$113,Donnees_generations!$A$3:$A$113,MAX(1915,MIN(2025,E522))),SUMIFS(Donnees_generations!$Z$3:$Z$113,Donnees_generations!$A$3:$A$113,MAX(1915,MIN(2025,E522))),SUMIFS(Donnees_generations!$AA$3:$AA$113,Donnees_generations!$A$3:$A$113,MAX(1915,MIN(2025,E522))),SUMIFS(Donnees_generations!$AB$3:$AB$113,Donnees_generations!$A$3:$A$113,MAX(1915,MIN(2025,E522))))+CHOOSE(((AG522+2)-56)/2+1,SUMIFS(Donnees_generations!$AC$3:$AC$113,Donnees_generations!$A$3:$A$113,MAX(1915,MIN(2025,E522))),SUMIFS(Donnees_generations!$AD$3:$AD$113,Donnees_generations!$A$3:$A$113,MAX(1915,MIN(2025,E522))),SUMIFS(Donnees_generations!$AE$3:$AE$113,Donnees_generations!$A$3:$A$113,MAX(1915,MIN(2025,E522))),SUMIFS(Donnees_generations!$AF$3:$AF$113,Donnees_generations!$A$3:$A$113,MAX(1915,MIN(2025,E522))),SUMIFS(Donnees_generations!$AG$3:$AG$113,Donnees_generations!$A$3:$A$113,MAX(1915,MIN(2025,E522))),SUMIFS(Donnees_generations!$AH$3:$AH$113,Donnees_generations!$A$3:$A$113,MAX(1915,MIN(2025,E522))),SUMIFS(Donnees_generations!$AI$3:$AI$113,Donnees_generations!$A$3:$A$113,MAX(1915,MIN(2025,E522))),SUMIFS(Donnees_generations!$AJ$3:$AJ$113,Donnees_generations!$A$3:$A$113,MAX(1915,MIN(2025,E522)))))/2</f>
        <v/>
      </c>
      <c r="AJ522" s="8">
        <f>MAX(0,AH522+(AI522-AH522)*(K522-AG522)/2)</f>
        <v/>
      </c>
      <c r="AK522" s="8">
        <f>K522+AJ522</f>
        <v/>
      </c>
      <c r="AL522" s="14">
        <f>AE522*AJ522</f>
        <v/>
      </c>
      <c r="AM522" s="17">
        <f>V522/AL522</f>
        <v/>
      </c>
      <c r="AN522" s="17">
        <f>Z522/AL522</f>
        <v/>
      </c>
      <c r="AO522" s="33">
        <f>IF(V522+Z522=0,0,Z522/(V522+Z522))</f>
        <v/>
      </c>
      <c r="AP522" s="14">
        <f>AL522/V522*100</f>
        <v/>
      </c>
      <c r="AQ522" s="8">
        <f>P522/AL522*1000</f>
        <v/>
      </c>
      <c r="AR522" s="77">
        <f>MAX(N522,M522-1)</f>
        <v/>
      </c>
      <c r="AS522" s="14">
        <f>SUMIFS(Donnees_regimes!$R$3:$R$1118,Donnees_regimes!$A$3:$A$1118,C522,Donnees_regimes!$B$3:$B$1118,"&gt;="&amp;G522,Donnees_regimes!$B$3:$B$1118,"&lt;="&amp;N522)*L522/ROUNDUP(L522,0)*SUMIFS(Donnees_annuelles!$AG$3:$AG$188,Donnees_annuelles!$A$3:$A$188,AR522)*SUMIFS(Donnees_annuelles!$AA$3:$AA$188,Donnees_annuelles!$A$3:$A$188,AR522)</f>
        <v/>
      </c>
      <c r="AT522" s="36">
        <f>AS522/V522</f>
        <v/>
      </c>
      <c r="AU522" s="14">
        <f>AL522</f>
        <v/>
      </c>
      <c r="AV522" s="39">
        <f>AS522-AL522</f>
        <v/>
      </c>
      <c r="AW522" s="9">
        <f>AS522/AL522-1</f>
        <v/>
      </c>
      <c r="AX522" s="14">
        <f>AS522/AJ522/12</f>
        <v/>
      </c>
      <c r="AY522" s="14">
        <f>AF522</f>
        <v/>
      </c>
      <c r="AZ522" s="39">
        <f>AX522-AF522</f>
        <v/>
      </c>
      <c r="BA522" s="14">
        <f>SUMIFS(Donnees_regimes!$S$3:$S$1118,Donnees_regimes!$A$3:$A$1118,C522,Donnees_regimes!$B$3:$B$1118,"&gt;="&amp;G522,Donnees_regimes!$B$3:$B$1118,"&lt;="&amp;N522)*L522/ROUNDUP(L522,0)*SUMIFS(Donnees_annuelles!$AH$3:$AH$188,Donnees_annuelles!$A$3:$A$188,AR522)*SUMIFS(Donnees_annuelles!$AA$3:$AA$188,Donnees_annuelles!$A$3:$A$188,AR522)</f>
        <v/>
      </c>
      <c r="BB522" s="39">
        <f>BA522-AL522</f>
        <v/>
      </c>
      <c r="BC522" s="7">
        <f>IF(M522+AJ522&gt;2026,IF(G522&gt;2026,"entièrement projeté","en partie projeté"),"observé")</f>
        <v/>
      </c>
    </row>
    <row r="523">
      <c r="A523" s="7" t="inlineStr">
        <is>
          <t>Baby-boomers</t>
        </is>
      </c>
      <c r="B523" s="84" t="inlineStr">
        <is>
          <t>IEG</t>
        </is>
      </c>
      <c r="C523" s="7">
        <f>IF(G523&gt;=SUMIFS(Regimes!$C$5:$C$10,Regimes!$A$5:$A$10,B523),"Privé",B523)</f>
        <v/>
      </c>
      <c r="D523" s="7">
        <f>INDEX(Regimes!$D$5:$D$10,MATCH(C523,Regimes!$A$5:$A$10,0))</f>
        <v/>
      </c>
      <c r="E523" s="88" t="n">
        <v>1958</v>
      </c>
      <c r="F523" s="8">
        <f>Donnees_generations!C46</f>
        <v/>
      </c>
      <c r="G523" s="77">
        <f>Donnees_generations!D46</f>
        <v/>
      </c>
      <c r="H523" s="8">
        <f>SUMIFS(Donnees_generations!$S$3:$S$113,Donnees_generations!$A$3:$A$113,MAX(1915,MIN(2025,E523)))</f>
        <v/>
      </c>
      <c r="I523" s="8">
        <f>SUMIFS(Donnees_generations!$T$3:$T$113,Donnees_generations!$A$3:$A$113,MAX(1915,MIN(2025,E523)))</f>
        <v/>
      </c>
      <c r="J523" s="8">
        <f>IF(G523&gt;=2000,MAX(I523,Parametres!$B$3),I523)</f>
        <v/>
      </c>
      <c r="K523" s="8">
        <f>IF(C523="Privé",J523,SUMIFS(Regles_regimes!$J$3:$J$2000,Regles_regimes!$A$3:$A$2000,C523,Regles_regimes!$B$3:$B$2000,D523,Regles_regimes!$C$3:$C$2000,MAX(1915,MIN(2025,E523))))</f>
        <v/>
      </c>
      <c r="L523" s="8">
        <f>IF(C523="Privé",H523,(K523-F523)*H523/(J523-F523))</f>
        <v/>
      </c>
      <c r="M523" s="77">
        <f>INT(E523+K523)</f>
        <v/>
      </c>
      <c r="N523" s="77">
        <f>G523+ROUNDUP(L523,0)-1</f>
        <v/>
      </c>
      <c r="O523" s="89">
        <f>SUMIFS(Regles_regimes!$K$3:$K$2000,Regles_regimes!$A$3:$A$2000,C523,Regles_regimes!$B$3:$B$2000,D523,Regles_regimes!$C$3:$C$2000,MAX(1915,MIN(2025,E523)))</f>
        <v/>
      </c>
      <c r="P523" s="13">
        <f>SUMIFS(Donnees_annuelles!$W$3:$W$188,Donnees_annuelles!$A$3:$A$188,"&gt;="&amp;G523,Donnees_annuelles!$A$3:$A$188,"&lt;="&amp;N523)*L523/ROUNDUP(L523,0)*O523</f>
        <v/>
      </c>
      <c r="Q523" s="13">
        <f>SUMIFS(Donnees_annuelles!$V$3:$V$188,Donnees_annuelles!$A$3:$A$188,"&gt;="&amp;G523,Donnees_annuelles!$A$3:$A$188,"&lt;="&amp;N523)*L523/ROUNDUP(L523,0)</f>
        <v/>
      </c>
      <c r="R523" s="13">
        <f>P523/L523</f>
        <v/>
      </c>
      <c r="S523" s="14">
        <f>SUMIFS(Donnees_annuelles!$D$3:$D$188,Donnees_annuelles!$A$3:$A$188,"&gt;="&amp;G523,Donnees_annuelles!$A$3:$A$188,"&lt;="&amp;N523)*L523/ROUNDUP(L523,0)</f>
        <v/>
      </c>
      <c r="T523" s="14">
        <f>SUMIFS(Donnees_regimes!$N$3:$N$1118,Donnees_regimes!$A$3:$A$1118,C523,Donnees_regimes!$B$3:$B$1118,"&gt;="&amp;G523,Donnees_regimes!$B$3:$B$1118,"&lt;="&amp;N523)*L523/ROUNDUP(L523,0)</f>
        <v/>
      </c>
      <c r="U523" s="14">
        <f>SUMIFS(Donnees_regimes!$O$3:$O$1118,Donnees_regimes!$A$3:$A$1118,C523,Donnees_regimes!$B$3:$B$1118,"&gt;="&amp;G523,Donnees_regimes!$B$3:$B$1118,"&lt;="&amp;N523)*L523/ROUNDUP(L523,0)</f>
        <v/>
      </c>
      <c r="V523" s="14">
        <f>T523+U523</f>
        <v/>
      </c>
      <c r="W523" s="33">
        <f>V523/S523</f>
        <v/>
      </c>
      <c r="X523" s="14">
        <f>S523+U523</f>
        <v/>
      </c>
      <c r="Y523" s="17">
        <f>V523/P523</f>
        <v/>
      </c>
      <c r="Z523" s="14">
        <f>SUMIFS(Donnees_regimes!$Q$3:$Q$1118,Donnees_regimes!$A$3:$A$1118,C523,Donnees_regimes!$B$3:$B$1118,"&gt;="&amp;G523,Donnees_regimes!$B$3:$B$1118,"&lt;="&amp;N523)*L523/ROUNDUP(L523,0)</f>
        <v/>
      </c>
      <c r="AA523" s="77">
        <f>SUMIFS(Regles_regimes!$F$3:$F$2000,Regles_regimes!$A$3:$A$2000,C523,Regles_regimes!$B$3:$B$2000,D523,Regles_regimes!$C$3:$C$2000,MAX(1915,MIN(2025,E523)))</f>
        <v/>
      </c>
      <c r="AB523" s="77">
        <f>IF(AND(SUMIFS(Regles_regimes!$L$3:$L$2000,Regles_regimes!$A$3:$A$2000,C523,Regles_regimes!$B$3:$B$2000,D523,Regles_regimes!$C$3:$C$2000,MAX(1915,MIN(2025,E523)))=1,G523&lt;2009,C523&lt;&gt;"Privé"),MIN(20,L523*4/5),0)</f>
        <v/>
      </c>
      <c r="AC523" s="89">
        <f>SUMIFS(Donnees_regimes!$M$3:$M$1118,Donnees_regimes!$A$3:$A$1118,C523,Donnees_regimes!$B$3:$B$1118,M523)</f>
        <v/>
      </c>
      <c r="AD523" s="14">
        <f>SUMIFS(Donnees_annuelles!$Y$3:$Y$188,Donnees_annuelles!$A$3:$A$188,M523)*SUMIFS(Donnees_generations!$I$3:$I$113,Donnees_generations!$A$3:$A$113,MAX(1915,MIN(2025,E523)))/H523</f>
        <v/>
      </c>
      <c r="AE523" s="14">
        <f>IF(C523="Privé",SUMIFS(Donnees_annuelles!$Y$3:$Y$188,Donnees_annuelles!$A$3:$A$188,M523)*MIN(L523,SUMIFS(Donnees_generations!$I$3:$I$113,Donnees_generations!$A$3:$A$113,MAX(1915,MIN(2025,E523))))/L523,AD523*AC523*MIN(IF(AB523&gt;0,0.8/0.75,1),(L523*4+AB523)/AA523))</f>
        <v/>
      </c>
      <c r="AF523" s="14">
        <f>AE523/12</f>
        <v/>
      </c>
      <c r="AG523" s="77">
        <f>MIN(68,MAX(56,2*INT(K523/2)))</f>
        <v/>
      </c>
      <c r="AH523" s="75">
        <f>(CHOOSE((AG523-56)/2+1,SUMIFS(Donnees_generations!$U$3:$U$113,Donnees_generations!$A$3:$A$113,MAX(1915,MIN(2025,E523))),SUMIFS(Donnees_generations!$V$3:$V$113,Donnees_generations!$A$3:$A$113,MAX(1915,MIN(2025,E523))),SUMIFS(Donnees_generations!$W$3:$W$113,Donnees_generations!$A$3:$A$113,MAX(1915,MIN(2025,E523))),SUMIFS(Donnees_generations!$X$3:$X$113,Donnees_generations!$A$3:$A$113,MAX(1915,MIN(2025,E523))),SUMIFS(Donnees_generations!$Y$3:$Y$113,Donnees_generations!$A$3:$A$113,MAX(1915,MIN(2025,E523))),SUMIFS(Donnees_generations!$Z$3:$Z$113,Donnees_generations!$A$3:$A$113,MAX(1915,MIN(2025,E523))),SUMIFS(Donnees_generations!$AA$3:$AA$113,Donnees_generations!$A$3:$A$113,MAX(1915,MIN(2025,E523))),SUMIFS(Donnees_generations!$AB$3:$AB$113,Donnees_generations!$A$3:$A$113,MAX(1915,MIN(2025,E523))))+CHOOSE((AG523-56)/2+1,SUMIFS(Donnees_generations!$AC$3:$AC$113,Donnees_generations!$A$3:$A$113,MAX(1915,MIN(2025,E523))),SUMIFS(Donnees_generations!$AD$3:$AD$113,Donnees_generations!$A$3:$A$113,MAX(1915,MIN(2025,E523))),SUMIFS(Donnees_generations!$AE$3:$AE$113,Donnees_generations!$A$3:$A$113,MAX(1915,MIN(2025,E523))),SUMIFS(Donnees_generations!$AF$3:$AF$113,Donnees_generations!$A$3:$A$113,MAX(1915,MIN(2025,E523))),SUMIFS(Donnees_generations!$AG$3:$AG$113,Donnees_generations!$A$3:$A$113,MAX(1915,MIN(2025,E523))),SUMIFS(Donnees_generations!$AH$3:$AH$113,Donnees_generations!$A$3:$A$113,MAX(1915,MIN(2025,E523))),SUMIFS(Donnees_generations!$AI$3:$AI$113,Donnees_generations!$A$3:$A$113,MAX(1915,MIN(2025,E523))),SUMIFS(Donnees_generations!$AJ$3:$AJ$113,Donnees_generations!$A$3:$A$113,MAX(1915,MIN(2025,E523)))))/2</f>
        <v/>
      </c>
      <c r="AI523" s="75">
        <f>(CHOOSE(((AG523+2)-56)/2+1,SUMIFS(Donnees_generations!$U$3:$U$113,Donnees_generations!$A$3:$A$113,MAX(1915,MIN(2025,E523))),SUMIFS(Donnees_generations!$V$3:$V$113,Donnees_generations!$A$3:$A$113,MAX(1915,MIN(2025,E523))),SUMIFS(Donnees_generations!$W$3:$W$113,Donnees_generations!$A$3:$A$113,MAX(1915,MIN(2025,E523))),SUMIFS(Donnees_generations!$X$3:$X$113,Donnees_generations!$A$3:$A$113,MAX(1915,MIN(2025,E523))),SUMIFS(Donnees_generations!$Y$3:$Y$113,Donnees_generations!$A$3:$A$113,MAX(1915,MIN(2025,E523))),SUMIFS(Donnees_generations!$Z$3:$Z$113,Donnees_generations!$A$3:$A$113,MAX(1915,MIN(2025,E523))),SUMIFS(Donnees_generations!$AA$3:$AA$113,Donnees_generations!$A$3:$A$113,MAX(1915,MIN(2025,E523))),SUMIFS(Donnees_generations!$AB$3:$AB$113,Donnees_generations!$A$3:$A$113,MAX(1915,MIN(2025,E523))))+CHOOSE(((AG523+2)-56)/2+1,SUMIFS(Donnees_generations!$AC$3:$AC$113,Donnees_generations!$A$3:$A$113,MAX(1915,MIN(2025,E523))),SUMIFS(Donnees_generations!$AD$3:$AD$113,Donnees_generations!$A$3:$A$113,MAX(1915,MIN(2025,E523))),SUMIFS(Donnees_generations!$AE$3:$AE$113,Donnees_generations!$A$3:$A$113,MAX(1915,MIN(2025,E523))),SUMIFS(Donnees_generations!$AF$3:$AF$113,Donnees_generations!$A$3:$A$113,MAX(1915,MIN(2025,E523))),SUMIFS(Donnees_generations!$AG$3:$AG$113,Donnees_generations!$A$3:$A$113,MAX(1915,MIN(2025,E523))),SUMIFS(Donnees_generations!$AH$3:$AH$113,Donnees_generations!$A$3:$A$113,MAX(1915,MIN(2025,E523))),SUMIFS(Donnees_generations!$AI$3:$AI$113,Donnees_generations!$A$3:$A$113,MAX(1915,MIN(2025,E523))),SUMIFS(Donnees_generations!$AJ$3:$AJ$113,Donnees_generations!$A$3:$A$113,MAX(1915,MIN(2025,E523)))))/2</f>
        <v/>
      </c>
      <c r="AJ523" s="8">
        <f>MAX(0,AH523+(AI523-AH523)*(K523-AG523)/2)</f>
        <v/>
      </c>
      <c r="AK523" s="8">
        <f>K523+AJ523</f>
        <v/>
      </c>
      <c r="AL523" s="14">
        <f>AE523*AJ523</f>
        <v/>
      </c>
      <c r="AM523" s="17">
        <f>V523/AL523</f>
        <v/>
      </c>
      <c r="AN523" s="17">
        <f>Z523/AL523</f>
        <v/>
      </c>
      <c r="AO523" s="33">
        <f>IF(V523+Z523=0,0,Z523/(V523+Z523))</f>
        <v/>
      </c>
      <c r="AP523" s="14">
        <f>AL523/V523*100</f>
        <v/>
      </c>
      <c r="AQ523" s="8">
        <f>P523/AL523*1000</f>
        <v/>
      </c>
      <c r="AR523" s="77">
        <f>MAX(N523,M523-1)</f>
        <v/>
      </c>
      <c r="AS523" s="14">
        <f>SUMIFS(Donnees_regimes!$R$3:$R$1118,Donnees_regimes!$A$3:$A$1118,C523,Donnees_regimes!$B$3:$B$1118,"&gt;="&amp;G523,Donnees_regimes!$B$3:$B$1118,"&lt;="&amp;N523)*L523/ROUNDUP(L523,0)*SUMIFS(Donnees_annuelles!$AG$3:$AG$188,Donnees_annuelles!$A$3:$A$188,AR523)*SUMIFS(Donnees_annuelles!$AA$3:$AA$188,Donnees_annuelles!$A$3:$A$188,AR523)</f>
        <v/>
      </c>
      <c r="AT523" s="36">
        <f>AS523/V523</f>
        <v/>
      </c>
      <c r="AU523" s="14">
        <f>AL523</f>
        <v/>
      </c>
      <c r="AV523" s="39">
        <f>AS523-AL523</f>
        <v/>
      </c>
      <c r="AW523" s="9">
        <f>AS523/AL523-1</f>
        <v/>
      </c>
      <c r="AX523" s="14">
        <f>AS523/AJ523/12</f>
        <v/>
      </c>
      <c r="AY523" s="14">
        <f>AF523</f>
        <v/>
      </c>
      <c r="AZ523" s="39">
        <f>AX523-AF523</f>
        <v/>
      </c>
      <c r="BA523" s="14">
        <f>SUMIFS(Donnees_regimes!$S$3:$S$1118,Donnees_regimes!$A$3:$A$1118,C523,Donnees_regimes!$B$3:$B$1118,"&gt;="&amp;G523,Donnees_regimes!$B$3:$B$1118,"&lt;="&amp;N523)*L523/ROUNDUP(L523,0)*SUMIFS(Donnees_annuelles!$AH$3:$AH$188,Donnees_annuelles!$A$3:$A$188,AR523)*SUMIFS(Donnees_annuelles!$AA$3:$AA$188,Donnees_annuelles!$A$3:$A$188,AR523)</f>
        <v/>
      </c>
      <c r="BB523" s="39">
        <f>BA523-AL523</f>
        <v/>
      </c>
      <c r="BC523" s="7">
        <f>IF(M523+AJ523&gt;2026,IF(G523&gt;2026,"entièrement projeté","en partie projeté"),"observé")</f>
        <v/>
      </c>
    </row>
    <row r="524">
      <c r="A524" s="7" t="inlineStr">
        <is>
          <t>Baby-boomers</t>
        </is>
      </c>
      <c r="B524" s="84" t="inlineStr">
        <is>
          <t>IEG</t>
        </is>
      </c>
      <c r="C524" s="7">
        <f>IF(G524&gt;=SUMIFS(Regimes!$C$5:$C$10,Regimes!$A$5:$A$10,B524),"Privé",B524)</f>
        <v/>
      </c>
      <c r="D524" s="7">
        <f>INDEX(Regimes!$D$5:$D$10,MATCH(C524,Regimes!$A$5:$A$10,0))</f>
        <v/>
      </c>
      <c r="E524" s="88" t="n">
        <v>1959</v>
      </c>
      <c r="F524" s="8">
        <f>Donnees_generations!C47</f>
        <v/>
      </c>
      <c r="G524" s="77">
        <f>Donnees_generations!D47</f>
        <v/>
      </c>
      <c r="H524" s="8">
        <f>SUMIFS(Donnees_generations!$S$3:$S$113,Donnees_generations!$A$3:$A$113,MAX(1915,MIN(2025,E524)))</f>
        <v/>
      </c>
      <c r="I524" s="8">
        <f>SUMIFS(Donnees_generations!$T$3:$T$113,Donnees_generations!$A$3:$A$113,MAX(1915,MIN(2025,E524)))</f>
        <v/>
      </c>
      <c r="J524" s="8">
        <f>IF(G524&gt;=2000,MAX(I524,Parametres!$B$3),I524)</f>
        <v/>
      </c>
      <c r="K524" s="8">
        <f>IF(C524="Privé",J524,SUMIFS(Regles_regimes!$J$3:$J$2000,Regles_regimes!$A$3:$A$2000,C524,Regles_regimes!$B$3:$B$2000,D524,Regles_regimes!$C$3:$C$2000,MAX(1915,MIN(2025,E524))))</f>
        <v/>
      </c>
      <c r="L524" s="8">
        <f>IF(C524="Privé",H524,(K524-F524)*H524/(J524-F524))</f>
        <v/>
      </c>
      <c r="M524" s="77">
        <f>INT(E524+K524)</f>
        <v/>
      </c>
      <c r="N524" s="77">
        <f>G524+ROUNDUP(L524,0)-1</f>
        <v/>
      </c>
      <c r="O524" s="89">
        <f>SUMIFS(Regles_regimes!$K$3:$K$2000,Regles_regimes!$A$3:$A$2000,C524,Regles_regimes!$B$3:$B$2000,D524,Regles_regimes!$C$3:$C$2000,MAX(1915,MIN(2025,E524)))</f>
        <v/>
      </c>
      <c r="P524" s="13">
        <f>SUMIFS(Donnees_annuelles!$W$3:$W$188,Donnees_annuelles!$A$3:$A$188,"&gt;="&amp;G524,Donnees_annuelles!$A$3:$A$188,"&lt;="&amp;N524)*L524/ROUNDUP(L524,0)*O524</f>
        <v/>
      </c>
      <c r="Q524" s="13">
        <f>SUMIFS(Donnees_annuelles!$V$3:$V$188,Donnees_annuelles!$A$3:$A$188,"&gt;="&amp;G524,Donnees_annuelles!$A$3:$A$188,"&lt;="&amp;N524)*L524/ROUNDUP(L524,0)</f>
        <v/>
      </c>
      <c r="R524" s="13">
        <f>P524/L524</f>
        <v/>
      </c>
      <c r="S524" s="14">
        <f>SUMIFS(Donnees_annuelles!$D$3:$D$188,Donnees_annuelles!$A$3:$A$188,"&gt;="&amp;G524,Donnees_annuelles!$A$3:$A$188,"&lt;="&amp;N524)*L524/ROUNDUP(L524,0)</f>
        <v/>
      </c>
      <c r="T524" s="14">
        <f>SUMIFS(Donnees_regimes!$N$3:$N$1118,Donnees_regimes!$A$3:$A$1118,C524,Donnees_regimes!$B$3:$B$1118,"&gt;="&amp;G524,Donnees_regimes!$B$3:$B$1118,"&lt;="&amp;N524)*L524/ROUNDUP(L524,0)</f>
        <v/>
      </c>
      <c r="U524" s="14">
        <f>SUMIFS(Donnees_regimes!$O$3:$O$1118,Donnees_regimes!$A$3:$A$1118,C524,Donnees_regimes!$B$3:$B$1118,"&gt;="&amp;G524,Donnees_regimes!$B$3:$B$1118,"&lt;="&amp;N524)*L524/ROUNDUP(L524,0)</f>
        <v/>
      </c>
      <c r="V524" s="14">
        <f>T524+U524</f>
        <v/>
      </c>
      <c r="W524" s="33">
        <f>V524/S524</f>
        <v/>
      </c>
      <c r="X524" s="14">
        <f>S524+U524</f>
        <v/>
      </c>
      <c r="Y524" s="17">
        <f>V524/P524</f>
        <v/>
      </c>
      <c r="Z524" s="14">
        <f>SUMIFS(Donnees_regimes!$Q$3:$Q$1118,Donnees_regimes!$A$3:$A$1118,C524,Donnees_regimes!$B$3:$B$1118,"&gt;="&amp;G524,Donnees_regimes!$B$3:$B$1118,"&lt;="&amp;N524)*L524/ROUNDUP(L524,0)</f>
        <v/>
      </c>
      <c r="AA524" s="77">
        <f>SUMIFS(Regles_regimes!$F$3:$F$2000,Regles_regimes!$A$3:$A$2000,C524,Regles_regimes!$B$3:$B$2000,D524,Regles_regimes!$C$3:$C$2000,MAX(1915,MIN(2025,E524)))</f>
        <v/>
      </c>
      <c r="AB524" s="77">
        <f>IF(AND(SUMIFS(Regles_regimes!$L$3:$L$2000,Regles_regimes!$A$3:$A$2000,C524,Regles_regimes!$B$3:$B$2000,D524,Regles_regimes!$C$3:$C$2000,MAX(1915,MIN(2025,E524)))=1,G524&lt;2009,C524&lt;&gt;"Privé"),MIN(20,L524*4/5),0)</f>
        <v/>
      </c>
      <c r="AC524" s="89">
        <f>SUMIFS(Donnees_regimes!$M$3:$M$1118,Donnees_regimes!$A$3:$A$1118,C524,Donnees_regimes!$B$3:$B$1118,M524)</f>
        <v/>
      </c>
      <c r="AD524" s="14">
        <f>SUMIFS(Donnees_annuelles!$Y$3:$Y$188,Donnees_annuelles!$A$3:$A$188,M524)*SUMIFS(Donnees_generations!$I$3:$I$113,Donnees_generations!$A$3:$A$113,MAX(1915,MIN(2025,E524)))/H524</f>
        <v/>
      </c>
      <c r="AE524" s="14">
        <f>IF(C524="Privé",SUMIFS(Donnees_annuelles!$Y$3:$Y$188,Donnees_annuelles!$A$3:$A$188,M524)*MIN(L524,SUMIFS(Donnees_generations!$I$3:$I$113,Donnees_generations!$A$3:$A$113,MAX(1915,MIN(2025,E524))))/L524,AD524*AC524*MIN(IF(AB524&gt;0,0.8/0.75,1),(L524*4+AB524)/AA524))</f>
        <v/>
      </c>
      <c r="AF524" s="14">
        <f>AE524/12</f>
        <v/>
      </c>
      <c r="AG524" s="77">
        <f>MIN(68,MAX(56,2*INT(K524/2)))</f>
        <v/>
      </c>
      <c r="AH524" s="75">
        <f>(CHOOSE((AG524-56)/2+1,SUMIFS(Donnees_generations!$U$3:$U$113,Donnees_generations!$A$3:$A$113,MAX(1915,MIN(2025,E524))),SUMIFS(Donnees_generations!$V$3:$V$113,Donnees_generations!$A$3:$A$113,MAX(1915,MIN(2025,E524))),SUMIFS(Donnees_generations!$W$3:$W$113,Donnees_generations!$A$3:$A$113,MAX(1915,MIN(2025,E524))),SUMIFS(Donnees_generations!$X$3:$X$113,Donnees_generations!$A$3:$A$113,MAX(1915,MIN(2025,E524))),SUMIFS(Donnees_generations!$Y$3:$Y$113,Donnees_generations!$A$3:$A$113,MAX(1915,MIN(2025,E524))),SUMIFS(Donnees_generations!$Z$3:$Z$113,Donnees_generations!$A$3:$A$113,MAX(1915,MIN(2025,E524))),SUMIFS(Donnees_generations!$AA$3:$AA$113,Donnees_generations!$A$3:$A$113,MAX(1915,MIN(2025,E524))),SUMIFS(Donnees_generations!$AB$3:$AB$113,Donnees_generations!$A$3:$A$113,MAX(1915,MIN(2025,E524))))+CHOOSE((AG524-56)/2+1,SUMIFS(Donnees_generations!$AC$3:$AC$113,Donnees_generations!$A$3:$A$113,MAX(1915,MIN(2025,E524))),SUMIFS(Donnees_generations!$AD$3:$AD$113,Donnees_generations!$A$3:$A$113,MAX(1915,MIN(2025,E524))),SUMIFS(Donnees_generations!$AE$3:$AE$113,Donnees_generations!$A$3:$A$113,MAX(1915,MIN(2025,E524))),SUMIFS(Donnees_generations!$AF$3:$AF$113,Donnees_generations!$A$3:$A$113,MAX(1915,MIN(2025,E524))),SUMIFS(Donnees_generations!$AG$3:$AG$113,Donnees_generations!$A$3:$A$113,MAX(1915,MIN(2025,E524))),SUMIFS(Donnees_generations!$AH$3:$AH$113,Donnees_generations!$A$3:$A$113,MAX(1915,MIN(2025,E524))),SUMIFS(Donnees_generations!$AI$3:$AI$113,Donnees_generations!$A$3:$A$113,MAX(1915,MIN(2025,E524))),SUMIFS(Donnees_generations!$AJ$3:$AJ$113,Donnees_generations!$A$3:$A$113,MAX(1915,MIN(2025,E524)))))/2</f>
        <v/>
      </c>
      <c r="AI524" s="75">
        <f>(CHOOSE(((AG524+2)-56)/2+1,SUMIFS(Donnees_generations!$U$3:$U$113,Donnees_generations!$A$3:$A$113,MAX(1915,MIN(2025,E524))),SUMIFS(Donnees_generations!$V$3:$V$113,Donnees_generations!$A$3:$A$113,MAX(1915,MIN(2025,E524))),SUMIFS(Donnees_generations!$W$3:$W$113,Donnees_generations!$A$3:$A$113,MAX(1915,MIN(2025,E524))),SUMIFS(Donnees_generations!$X$3:$X$113,Donnees_generations!$A$3:$A$113,MAX(1915,MIN(2025,E524))),SUMIFS(Donnees_generations!$Y$3:$Y$113,Donnees_generations!$A$3:$A$113,MAX(1915,MIN(2025,E524))),SUMIFS(Donnees_generations!$Z$3:$Z$113,Donnees_generations!$A$3:$A$113,MAX(1915,MIN(2025,E524))),SUMIFS(Donnees_generations!$AA$3:$AA$113,Donnees_generations!$A$3:$A$113,MAX(1915,MIN(2025,E524))),SUMIFS(Donnees_generations!$AB$3:$AB$113,Donnees_generations!$A$3:$A$113,MAX(1915,MIN(2025,E524))))+CHOOSE(((AG524+2)-56)/2+1,SUMIFS(Donnees_generations!$AC$3:$AC$113,Donnees_generations!$A$3:$A$113,MAX(1915,MIN(2025,E524))),SUMIFS(Donnees_generations!$AD$3:$AD$113,Donnees_generations!$A$3:$A$113,MAX(1915,MIN(2025,E524))),SUMIFS(Donnees_generations!$AE$3:$AE$113,Donnees_generations!$A$3:$A$113,MAX(1915,MIN(2025,E524))),SUMIFS(Donnees_generations!$AF$3:$AF$113,Donnees_generations!$A$3:$A$113,MAX(1915,MIN(2025,E524))),SUMIFS(Donnees_generations!$AG$3:$AG$113,Donnees_generations!$A$3:$A$113,MAX(1915,MIN(2025,E524))),SUMIFS(Donnees_generations!$AH$3:$AH$113,Donnees_generations!$A$3:$A$113,MAX(1915,MIN(2025,E524))),SUMIFS(Donnees_generations!$AI$3:$AI$113,Donnees_generations!$A$3:$A$113,MAX(1915,MIN(2025,E524))),SUMIFS(Donnees_generations!$AJ$3:$AJ$113,Donnees_generations!$A$3:$A$113,MAX(1915,MIN(2025,E524)))))/2</f>
        <v/>
      </c>
      <c r="AJ524" s="8">
        <f>MAX(0,AH524+(AI524-AH524)*(K524-AG524)/2)</f>
        <v/>
      </c>
      <c r="AK524" s="8">
        <f>K524+AJ524</f>
        <v/>
      </c>
      <c r="AL524" s="14">
        <f>AE524*AJ524</f>
        <v/>
      </c>
      <c r="AM524" s="17">
        <f>V524/AL524</f>
        <v/>
      </c>
      <c r="AN524" s="17">
        <f>Z524/AL524</f>
        <v/>
      </c>
      <c r="AO524" s="33">
        <f>IF(V524+Z524=0,0,Z524/(V524+Z524))</f>
        <v/>
      </c>
      <c r="AP524" s="14">
        <f>AL524/V524*100</f>
        <v/>
      </c>
      <c r="AQ524" s="8">
        <f>P524/AL524*1000</f>
        <v/>
      </c>
      <c r="AR524" s="77">
        <f>MAX(N524,M524-1)</f>
        <v/>
      </c>
      <c r="AS524" s="14">
        <f>SUMIFS(Donnees_regimes!$R$3:$R$1118,Donnees_regimes!$A$3:$A$1118,C524,Donnees_regimes!$B$3:$B$1118,"&gt;="&amp;G524,Donnees_regimes!$B$3:$B$1118,"&lt;="&amp;N524)*L524/ROUNDUP(L524,0)*SUMIFS(Donnees_annuelles!$AG$3:$AG$188,Donnees_annuelles!$A$3:$A$188,AR524)*SUMIFS(Donnees_annuelles!$AA$3:$AA$188,Donnees_annuelles!$A$3:$A$188,AR524)</f>
        <v/>
      </c>
      <c r="AT524" s="36">
        <f>AS524/V524</f>
        <v/>
      </c>
      <c r="AU524" s="14">
        <f>AL524</f>
        <v/>
      </c>
      <c r="AV524" s="39">
        <f>AS524-AL524</f>
        <v/>
      </c>
      <c r="AW524" s="9">
        <f>AS524/AL524-1</f>
        <v/>
      </c>
      <c r="AX524" s="14">
        <f>AS524/AJ524/12</f>
        <v/>
      </c>
      <c r="AY524" s="14">
        <f>AF524</f>
        <v/>
      </c>
      <c r="AZ524" s="39">
        <f>AX524-AF524</f>
        <v/>
      </c>
      <c r="BA524" s="14">
        <f>SUMIFS(Donnees_regimes!$S$3:$S$1118,Donnees_regimes!$A$3:$A$1118,C524,Donnees_regimes!$B$3:$B$1118,"&gt;="&amp;G524,Donnees_regimes!$B$3:$B$1118,"&lt;="&amp;N524)*L524/ROUNDUP(L524,0)*SUMIFS(Donnees_annuelles!$AH$3:$AH$188,Donnees_annuelles!$A$3:$A$188,AR524)*SUMIFS(Donnees_annuelles!$AA$3:$AA$188,Donnees_annuelles!$A$3:$A$188,AR524)</f>
        <v/>
      </c>
      <c r="BB524" s="39">
        <f>BA524-AL524</f>
        <v/>
      </c>
      <c r="BC524" s="7">
        <f>IF(M524+AJ524&gt;2026,IF(G524&gt;2026,"entièrement projeté","en partie projeté"),"observé")</f>
        <v/>
      </c>
    </row>
    <row r="525">
      <c r="A525" s="7" t="inlineStr">
        <is>
          <t>Baby-boomers</t>
        </is>
      </c>
      <c r="B525" s="84" t="inlineStr">
        <is>
          <t>IEG</t>
        </is>
      </c>
      <c r="C525" s="7">
        <f>IF(G525&gt;=SUMIFS(Regimes!$C$5:$C$10,Regimes!$A$5:$A$10,B525),"Privé",B525)</f>
        <v/>
      </c>
      <c r="D525" s="7">
        <f>INDEX(Regimes!$D$5:$D$10,MATCH(C525,Regimes!$A$5:$A$10,0))</f>
        <v/>
      </c>
      <c r="E525" s="88" t="n">
        <v>1960</v>
      </c>
      <c r="F525" s="8">
        <f>Donnees_generations!C48</f>
        <v/>
      </c>
      <c r="G525" s="77">
        <f>Donnees_generations!D48</f>
        <v/>
      </c>
      <c r="H525" s="8">
        <f>SUMIFS(Donnees_generations!$S$3:$S$113,Donnees_generations!$A$3:$A$113,MAX(1915,MIN(2025,E525)))</f>
        <v/>
      </c>
      <c r="I525" s="8">
        <f>SUMIFS(Donnees_generations!$T$3:$T$113,Donnees_generations!$A$3:$A$113,MAX(1915,MIN(2025,E525)))</f>
        <v/>
      </c>
      <c r="J525" s="8">
        <f>IF(G525&gt;=2000,MAX(I525,Parametres!$B$3),I525)</f>
        <v/>
      </c>
      <c r="K525" s="8">
        <f>IF(C525="Privé",J525,SUMIFS(Regles_regimes!$J$3:$J$2000,Regles_regimes!$A$3:$A$2000,C525,Regles_regimes!$B$3:$B$2000,D525,Regles_regimes!$C$3:$C$2000,MAX(1915,MIN(2025,E525))))</f>
        <v/>
      </c>
      <c r="L525" s="8">
        <f>IF(C525="Privé",H525,(K525-F525)*H525/(J525-F525))</f>
        <v/>
      </c>
      <c r="M525" s="77">
        <f>INT(E525+K525)</f>
        <v/>
      </c>
      <c r="N525" s="77">
        <f>G525+ROUNDUP(L525,0)-1</f>
        <v/>
      </c>
      <c r="O525" s="89">
        <f>SUMIFS(Regles_regimes!$K$3:$K$2000,Regles_regimes!$A$3:$A$2000,C525,Regles_regimes!$B$3:$B$2000,D525,Regles_regimes!$C$3:$C$2000,MAX(1915,MIN(2025,E525)))</f>
        <v/>
      </c>
      <c r="P525" s="13">
        <f>SUMIFS(Donnees_annuelles!$W$3:$W$188,Donnees_annuelles!$A$3:$A$188,"&gt;="&amp;G525,Donnees_annuelles!$A$3:$A$188,"&lt;="&amp;N525)*L525/ROUNDUP(L525,0)*O525</f>
        <v/>
      </c>
      <c r="Q525" s="13">
        <f>SUMIFS(Donnees_annuelles!$V$3:$V$188,Donnees_annuelles!$A$3:$A$188,"&gt;="&amp;G525,Donnees_annuelles!$A$3:$A$188,"&lt;="&amp;N525)*L525/ROUNDUP(L525,0)</f>
        <v/>
      </c>
      <c r="R525" s="13">
        <f>P525/L525</f>
        <v/>
      </c>
      <c r="S525" s="14">
        <f>SUMIFS(Donnees_annuelles!$D$3:$D$188,Donnees_annuelles!$A$3:$A$188,"&gt;="&amp;G525,Donnees_annuelles!$A$3:$A$188,"&lt;="&amp;N525)*L525/ROUNDUP(L525,0)</f>
        <v/>
      </c>
      <c r="T525" s="14">
        <f>SUMIFS(Donnees_regimes!$N$3:$N$1118,Donnees_regimes!$A$3:$A$1118,C525,Donnees_regimes!$B$3:$B$1118,"&gt;="&amp;G525,Donnees_regimes!$B$3:$B$1118,"&lt;="&amp;N525)*L525/ROUNDUP(L525,0)</f>
        <v/>
      </c>
      <c r="U525" s="14">
        <f>SUMIFS(Donnees_regimes!$O$3:$O$1118,Donnees_regimes!$A$3:$A$1118,C525,Donnees_regimes!$B$3:$B$1118,"&gt;="&amp;G525,Donnees_regimes!$B$3:$B$1118,"&lt;="&amp;N525)*L525/ROUNDUP(L525,0)</f>
        <v/>
      </c>
      <c r="V525" s="14">
        <f>T525+U525</f>
        <v/>
      </c>
      <c r="W525" s="33">
        <f>V525/S525</f>
        <v/>
      </c>
      <c r="X525" s="14">
        <f>S525+U525</f>
        <v/>
      </c>
      <c r="Y525" s="17">
        <f>V525/P525</f>
        <v/>
      </c>
      <c r="Z525" s="14">
        <f>SUMIFS(Donnees_regimes!$Q$3:$Q$1118,Donnees_regimes!$A$3:$A$1118,C525,Donnees_regimes!$B$3:$B$1118,"&gt;="&amp;G525,Donnees_regimes!$B$3:$B$1118,"&lt;="&amp;N525)*L525/ROUNDUP(L525,0)</f>
        <v/>
      </c>
      <c r="AA525" s="77">
        <f>SUMIFS(Regles_regimes!$F$3:$F$2000,Regles_regimes!$A$3:$A$2000,C525,Regles_regimes!$B$3:$B$2000,D525,Regles_regimes!$C$3:$C$2000,MAX(1915,MIN(2025,E525)))</f>
        <v/>
      </c>
      <c r="AB525" s="77">
        <f>IF(AND(SUMIFS(Regles_regimes!$L$3:$L$2000,Regles_regimes!$A$3:$A$2000,C525,Regles_regimes!$B$3:$B$2000,D525,Regles_regimes!$C$3:$C$2000,MAX(1915,MIN(2025,E525)))=1,G525&lt;2009,C525&lt;&gt;"Privé"),MIN(20,L525*4/5),0)</f>
        <v/>
      </c>
      <c r="AC525" s="89">
        <f>SUMIFS(Donnees_regimes!$M$3:$M$1118,Donnees_regimes!$A$3:$A$1118,C525,Donnees_regimes!$B$3:$B$1118,M525)</f>
        <v/>
      </c>
      <c r="AD525" s="14">
        <f>SUMIFS(Donnees_annuelles!$Y$3:$Y$188,Donnees_annuelles!$A$3:$A$188,M525)*SUMIFS(Donnees_generations!$I$3:$I$113,Donnees_generations!$A$3:$A$113,MAX(1915,MIN(2025,E525)))/H525</f>
        <v/>
      </c>
      <c r="AE525" s="14">
        <f>IF(C525="Privé",SUMIFS(Donnees_annuelles!$Y$3:$Y$188,Donnees_annuelles!$A$3:$A$188,M525)*MIN(L525,SUMIFS(Donnees_generations!$I$3:$I$113,Donnees_generations!$A$3:$A$113,MAX(1915,MIN(2025,E525))))/L525,AD525*AC525*MIN(IF(AB525&gt;0,0.8/0.75,1),(L525*4+AB525)/AA525))</f>
        <v/>
      </c>
      <c r="AF525" s="14">
        <f>AE525/12</f>
        <v/>
      </c>
      <c r="AG525" s="77">
        <f>MIN(68,MAX(56,2*INT(K525/2)))</f>
        <v/>
      </c>
      <c r="AH525" s="75">
        <f>(CHOOSE((AG525-56)/2+1,SUMIFS(Donnees_generations!$U$3:$U$113,Donnees_generations!$A$3:$A$113,MAX(1915,MIN(2025,E525))),SUMIFS(Donnees_generations!$V$3:$V$113,Donnees_generations!$A$3:$A$113,MAX(1915,MIN(2025,E525))),SUMIFS(Donnees_generations!$W$3:$W$113,Donnees_generations!$A$3:$A$113,MAX(1915,MIN(2025,E525))),SUMIFS(Donnees_generations!$X$3:$X$113,Donnees_generations!$A$3:$A$113,MAX(1915,MIN(2025,E525))),SUMIFS(Donnees_generations!$Y$3:$Y$113,Donnees_generations!$A$3:$A$113,MAX(1915,MIN(2025,E525))),SUMIFS(Donnees_generations!$Z$3:$Z$113,Donnees_generations!$A$3:$A$113,MAX(1915,MIN(2025,E525))),SUMIFS(Donnees_generations!$AA$3:$AA$113,Donnees_generations!$A$3:$A$113,MAX(1915,MIN(2025,E525))),SUMIFS(Donnees_generations!$AB$3:$AB$113,Donnees_generations!$A$3:$A$113,MAX(1915,MIN(2025,E525))))+CHOOSE((AG525-56)/2+1,SUMIFS(Donnees_generations!$AC$3:$AC$113,Donnees_generations!$A$3:$A$113,MAX(1915,MIN(2025,E525))),SUMIFS(Donnees_generations!$AD$3:$AD$113,Donnees_generations!$A$3:$A$113,MAX(1915,MIN(2025,E525))),SUMIFS(Donnees_generations!$AE$3:$AE$113,Donnees_generations!$A$3:$A$113,MAX(1915,MIN(2025,E525))),SUMIFS(Donnees_generations!$AF$3:$AF$113,Donnees_generations!$A$3:$A$113,MAX(1915,MIN(2025,E525))),SUMIFS(Donnees_generations!$AG$3:$AG$113,Donnees_generations!$A$3:$A$113,MAX(1915,MIN(2025,E525))),SUMIFS(Donnees_generations!$AH$3:$AH$113,Donnees_generations!$A$3:$A$113,MAX(1915,MIN(2025,E525))),SUMIFS(Donnees_generations!$AI$3:$AI$113,Donnees_generations!$A$3:$A$113,MAX(1915,MIN(2025,E525))),SUMIFS(Donnees_generations!$AJ$3:$AJ$113,Donnees_generations!$A$3:$A$113,MAX(1915,MIN(2025,E525)))))/2</f>
        <v/>
      </c>
      <c r="AI525" s="75">
        <f>(CHOOSE(((AG525+2)-56)/2+1,SUMIFS(Donnees_generations!$U$3:$U$113,Donnees_generations!$A$3:$A$113,MAX(1915,MIN(2025,E525))),SUMIFS(Donnees_generations!$V$3:$V$113,Donnees_generations!$A$3:$A$113,MAX(1915,MIN(2025,E525))),SUMIFS(Donnees_generations!$W$3:$W$113,Donnees_generations!$A$3:$A$113,MAX(1915,MIN(2025,E525))),SUMIFS(Donnees_generations!$X$3:$X$113,Donnees_generations!$A$3:$A$113,MAX(1915,MIN(2025,E525))),SUMIFS(Donnees_generations!$Y$3:$Y$113,Donnees_generations!$A$3:$A$113,MAX(1915,MIN(2025,E525))),SUMIFS(Donnees_generations!$Z$3:$Z$113,Donnees_generations!$A$3:$A$113,MAX(1915,MIN(2025,E525))),SUMIFS(Donnees_generations!$AA$3:$AA$113,Donnees_generations!$A$3:$A$113,MAX(1915,MIN(2025,E525))),SUMIFS(Donnees_generations!$AB$3:$AB$113,Donnees_generations!$A$3:$A$113,MAX(1915,MIN(2025,E525))))+CHOOSE(((AG525+2)-56)/2+1,SUMIFS(Donnees_generations!$AC$3:$AC$113,Donnees_generations!$A$3:$A$113,MAX(1915,MIN(2025,E525))),SUMIFS(Donnees_generations!$AD$3:$AD$113,Donnees_generations!$A$3:$A$113,MAX(1915,MIN(2025,E525))),SUMIFS(Donnees_generations!$AE$3:$AE$113,Donnees_generations!$A$3:$A$113,MAX(1915,MIN(2025,E525))),SUMIFS(Donnees_generations!$AF$3:$AF$113,Donnees_generations!$A$3:$A$113,MAX(1915,MIN(2025,E525))),SUMIFS(Donnees_generations!$AG$3:$AG$113,Donnees_generations!$A$3:$A$113,MAX(1915,MIN(2025,E525))),SUMIFS(Donnees_generations!$AH$3:$AH$113,Donnees_generations!$A$3:$A$113,MAX(1915,MIN(2025,E525))),SUMIFS(Donnees_generations!$AI$3:$AI$113,Donnees_generations!$A$3:$A$113,MAX(1915,MIN(2025,E525))),SUMIFS(Donnees_generations!$AJ$3:$AJ$113,Donnees_generations!$A$3:$A$113,MAX(1915,MIN(2025,E525)))))/2</f>
        <v/>
      </c>
      <c r="AJ525" s="8">
        <f>MAX(0,AH525+(AI525-AH525)*(K525-AG525)/2)</f>
        <v/>
      </c>
      <c r="AK525" s="8">
        <f>K525+AJ525</f>
        <v/>
      </c>
      <c r="AL525" s="14">
        <f>AE525*AJ525</f>
        <v/>
      </c>
      <c r="AM525" s="17">
        <f>V525/AL525</f>
        <v/>
      </c>
      <c r="AN525" s="17">
        <f>Z525/AL525</f>
        <v/>
      </c>
      <c r="AO525" s="33">
        <f>IF(V525+Z525=0,0,Z525/(V525+Z525))</f>
        <v/>
      </c>
      <c r="AP525" s="14">
        <f>AL525/V525*100</f>
        <v/>
      </c>
      <c r="AQ525" s="8">
        <f>P525/AL525*1000</f>
        <v/>
      </c>
      <c r="AR525" s="77">
        <f>MAX(N525,M525-1)</f>
        <v/>
      </c>
      <c r="AS525" s="14">
        <f>SUMIFS(Donnees_regimes!$R$3:$R$1118,Donnees_regimes!$A$3:$A$1118,C525,Donnees_regimes!$B$3:$B$1118,"&gt;="&amp;G525,Donnees_regimes!$B$3:$B$1118,"&lt;="&amp;N525)*L525/ROUNDUP(L525,0)*SUMIFS(Donnees_annuelles!$AG$3:$AG$188,Donnees_annuelles!$A$3:$A$188,AR525)*SUMIFS(Donnees_annuelles!$AA$3:$AA$188,Donnees_annuelles!$A$3:$A$188,AR525)</f>
        <v/>
      </c>
      <c r="AT525" s="36">
        <f>AS525/V525</f>
        <v/>
      </c>
      <c r="AU525" s="14">
        <f>AL525</f>
        <v/>
      </c>
      <c r="AV525" s="39">
        <f>AS525-AL525</f>
        <v/>
      </c>
      <c r="AW525" s="9">
        <f>AS525/AL525-1</f>
        <v/>
      </c>
      <c r="AX525" s="14">
        <f>AS525/AJ525/12</f>
        <v/>
      </c>
      <c r="AY525" s="14">
        <f>AF525</f>
        <v/>
      </c>
      <c r="AZ525" s="39">
        <f>AX525-AF525</f>
        <v/>
      </c>
      <c r="BA525" s="14">
        <f>SUMIFS(Donnees_regimes!$S$3:$S$1118,Donnees_regimes!$A$3:$A$1118,C525,Donnees_regimes!$B$3:$B$1118,"&gt;="&amp;G525,Donnees_regimes!$B$3:$B$1118,"&lt;="&amp;N525)*L525/ROUNDUP(L525,0)*SUMIFS(Donnees_annuelles!$AH$3:$AH$188,Donnees_annuelles!$A$3:$A$188,AR525)*SUMIFS(Donnees_annuelles!$AA$3:$AA$188,Donnees_annuelles!$A$3:$A$188,AR525)</f>
        <v/>
      </c>
      <c r="BB525" s="39">
        <f>BA525-AL525</f>
        <v/>
      </c>
      <c r="BC525" s="7">
        <f>IF(M525+AJ525&gt;2026,IF(G525&gt;2026,"entièrement projeté","en partie projeté"),"observé")</f>
        <v/>
      </c>
    </row>
    <row r="526">
      <c r="A526" s="7" t="inlineStr">
        <is>
          <t>Baby-boomers</t>
        </is>
      </c>
      <c r="B526" s="84" t="inlineStr">
        <is>
          <t>IEG</t>
        </is>
      </c>
      <c r="C526" s="7">
        <f>IF(G526&gt;=SUMIFS(Regimes!$C$5:$C$10,Regimes!$A$5:$A$10,B526),"Privé",B526)</f>
        <v/>
      </c>
      <c r="D526" s="7">
        <f>INDEX(Regimes!$D$5:$D$10,MATCH(C526,Regimes!$A$5:$A$10,0))</f>
        <v/>
      </c>
      <c r="E526" s="88" t="n">
        <v>1961</v>
      </c>
      <c r="F526" s="8">
        <f>Donnees_generations!C49</f>
        <v/>
      </c>
      <c r="G526" s="77">
        <f>Donnees_generations!D49</f>
        <v/>
      </c>
      <c r="H526" s="8">
        <f>SUMIFS(Donnees_generations!$S$3:$S$113,Donnees_generations!$A$3:$A$113,MAX(1915,MIN(2025,E526)))</f>
        <v/>
      </c>
      <c r="I526" s="8">
        <f>SUMIFS(Donnees_generations!$T$3:$T$113,Donnees_generations!$A$3:$A$113,MAX(1915,MIN(2025,E526)))</f>
        <v/>
      </c>
      <c r="J526" s="8">
        <f>IF(G526&gt;=2000,MAX(I526,Parametres!$B$3),I526)</f>
        <v/>
      </c>
      <c r="K526" s="8">
        <f>IF(C526="Privé",J526,SUMIFS(Regles_regimes!$J$3:$J$2000,Regles_regimes!$A$3:$A$2000,C526,Regles_regimes!$B$3:$B$2000,D526,Regles_regimes!$C$3:$C$2000,MAX(1915,MIN(2025,E526))))</f>
        <v/>
      </c>
      <c r="L526" s="8">
        <f>IF(C526="Privé",H526,(K526-F526)*H526/(J526-F526))</f>
        <v/>
      </c>
      <c r="M526" s="77">
        <f>INT(E526+K526)</f>
        <v/>
      </c>
      <c r="N526" s="77">
        <f>G526+ROUNDUP(L526,0)-1</f>
        <v/>
      </c>
      <c r="O526" s="89">
        <f>SUMIFS(Regles_regimes!$K$3:$K$2000,Regles_regimes!$A$3:$A$2000,C526,Regles_regimes!$B$3:$B$2000,D526,Regles_regimes!$C$3:$C$2000,MAX(1915,MIN(2025,E526)))</f>
        <v/>
      </c>
      <c r="P526" s="13">
        <f>SUMIFS(Donnees_annuelles!$W$3:$W$188,Donnees_annuelles!$A$3:$A$188,"&gt;="&amp;G526,Donnees_annuelles!$A$3:$A$188,"&lt;="&amp;N526)*L526/ROUNDUP(L526,0)*O526</f>
        <v/>
      </c>
      <c r="Q526" s="13">
        <f>SUMIFS(Donnees_annuelles!$V$3:$V$188,Donnees_annuelles!$A$3:$A$188,"&gt;="&amp;G526,Donnees_annuelles!$A$3:$A$188,"&lt;="&amp;N526)*L526/ROUNDUP(L526,0)</f>
        <v/>
      </c>
      <c r="R526" s="13">
        <f>P526/L526</f>
        <v/>
      </c>
      <c r="S526" s="14">
        <f>SUMIFS(Donnees_annuelles!$D$3:$D$188,Donnees_annuelles!$A$3:$A$188,"&gt;="&amp;G526,Donnees_annuelles!$A$3:$A$188,"&lt;="&amp;N526)*L526/ROUNDUP(L526,0)</f>
        <v/>
      </c>
      <c r="T526" s="14">
        <f>SUMIFS(Donnees_regimes!$N$3:$N$1118,Donnees_regimes!$A$3:$A$1118,C526,Donnees_regimes!$B$3:$B$1118,"&gt;="&amp;G526,Donnees_regimes!$B$3:$B$1118,"&lt;="&amp;N526)*L526/ROUNDUP(L526,0)</f>
        <v/>
      </c>
      <c r="U526" s="14">
        <f>SUMIFS(Donnees_regimes!$O$3:$O$1118,Donnees_regimes!$A$3:$A$1118,C526,Donnees_regimes!$B$3:$B$1118,"&gt;="&amp;G526,Donnees_regimes!$B$3:$B$1118,"&lt;="&amp;N526)*L526/ROUNDUP(L526,0)</f>
        <v/>
      </c>
      <c r="V526" s="14">
        <f>T526+U526</f>
        <v/>
      </c>
      <c r="W526" s="33">
        <f>V526/S526</f>
        <v/>
      </c>
      <c r="X526" s="14">
        <f>S526+U526</f>
        <v/>
      </c>
      <c r="Y526" s="17">
        <f>V526/P526</f>
        <v/>
      </c>
      <c r="Z526" s="14">
        <f>SUMIFS(Donnees_regimes!$Q$3:$Q$1118,Donnees_regimes!$A$3:$A$1118,C526,Donnees_regimes!$B$3:$B$1118,"&gt;="&amp;G526,Donnees_regimes!$B$3:$B$1118,"&lt;="&amp;N526)*L526/ROUNDUP(L526,0)</f>
        <v/>
      </c>
      <c r="AA526" s="77">
        <f>SUMIFS(Regles_regimes!$F$3:$F$2000,Regles_regimes!$A$3:$A$2000,C526,Regles_regimes!$B$3:$B$2000,D526,Regles_regimes!$C$3:$C$2000,MAX(1915,MIN(2025,E526)))</f>
        <v/>
      </c>
      <c r="AB526" s="77">
        <f>IF(AND(SUMIFS(Regles_regimes!$L$3:$L$2000,Regles_regimes!$A$3:$A$2000,C526,Regles_regimes!$B$3:$B$2000,D526,Regles_regimes!$C$3:$C$2000,MAX(1915,MIN(2025,E526)))=1,G526&lt;2009,C526&lt;&gt;"Privé"),MIN(20,L526*4/5),0)</f>
        <v/>
      </c>
      <c r="AC526" s="89">
        <f>SUMIFS(Donnees_regimes!$M$3:$M$1118,Donnees_regimes!$A$3:$A$1118,C526,Donnees_regimes!$B$3:$B$1118,M526)</f>
        <v/>
      </c>
      <c r="AD526" s="14">
        <f>SUMIFS(Donnees_annuelles!$Y$3:$Y$188,Donnees_annuelles!$A$3:$A$188,M526)*SUMIFS(Donnees_generations!$I$3:$I$113,Donnees_generations!$A$3:$A$113,MAX(1915,MIN(2025,E526)))/H526</f>
        <v/>
      </c>
      <c r="AE526" s="14">
        <f>IF(C526="Privé",SUMIFS(Donnees_annuelles!$Y$3:$Y$188,Donnees_annuelles!$A$3:$A$188,M526)*MIN(L526,SUMIFS(Donnees_generations!$I$3:$I$113,Donnees_generations!$A$3:$A$113,MAX(1915,MIN(2025,E526))))/L526,AD526*AC526*MIN(IF(AB526&gt;0,0.8/0.75,1),(L526*4+AB526)/AA526))</f>
        <v/>
      </c>
      <c r="AF526" s="14">
        <f>AE526/12</f>
        <v/>
      </c>
      <c r="AG526" s="77">
        <f>MIN(68,MAX(56,2*INT(K526/2)))</f>
        <v/>
      </c>
      <c r="AH526" s="75">
        <f>(CHOOSE((AG526-56)/2+1,SUMIFS(Donnees_generations!$U$3:$U$113,Donnees_generations!$A$3:$A$113,MAX(1915,MIN(2025,E526))),SUMIFS(Donnees_generations!$V$3:$V$113,Donnees_generations!$A$3:$A$113,MAX(1915,MIN(2025,E526))),SUMIFS(Donnees_generations!$W$3:$W$113,Donnees_generations!$A$3:$A$113,MAX(1915,MIN(2025,E526))),SUMIFS(Donnees_generations!$X$3:$X$113,Donnees_generations!$A$3:$A$113,MAX(1915,MIN(2025,E526))),SUMIFS(Donnees_generations!$Y$3:$Y$113,Donnees_generations!$A$3:$A$113,MAX(1915,MIN(2025,E526))),SUMIFS(Donnees_generations!$Z$3:$Z$113,Donnees_generations!$A$3:$A$113,MAX(1915,MIN(2025,E526))),SUMIFS(Donnees_generations!$AA$3:$AA$113,Donnees_generations!$A$3:$A$113,MAX(1915,MIN(2025,E526))),SUMIFS(Donnees_generations!$AB$3:$AB$113,Donnees_generations!$A$3:$A$113,MAX(1915,MIN(2025,E526))))+CHOOSE((AG526-56)/2+1,SUMIFS(Donnees_generations!$AC$3:$AC$113,Donnees_generations!$A$3:$A$113,MAX(1915,MIN(2025,E526))),SUMIFS(Donnees_generations!$AD$3:$AD$113,Donnees_generations!$A$3:$A$113,MAX(1915,MIN(2025,E526))),SUMIFS(Donnees_generations!$AE$3:$AE$113,Donnees_generations!$A$3:$A$113,MAX(1915,MIN(2025,E526))),SUMIFS(Donnees_generations!$AF$3:$AF$113,Donnees_generations!$A$3:$A$113,MAX(1915,MIN(2025,E526))),SUMIFS(Donnees_generations!$AG$3:$AG$113,Donnees_generations!$A$3:$A$113,MAX(1915,MIN(2025,E526))),SUMIFS(Donnees_generations!$AH$3:$AH$113,Donnees_generations!$A$3:$A$113,MAX(1915,MIN(2025,E526))),SUMIFS(Donnees_generations!$AI$3:$AI$113,Donnees_generations!$A$3:$A$113,MAX(1915,MIN(2025,E526))),SUMIFS(Donnees_generations!$AJ$3:$AJ$113,Donnees_generations!$A$3:$A$113,MAX(1915,MIN(2025,E526)))))/2</f>
        <v/>
      </c>
      <c r="AI526" s="75">
        <f>(CHOOSE(((AG526+2)-56)/2+1,SUMIFS(Donnees_generations!$U$3:$U$113,Donnees_generations!$A$3:$A$113,MAX(1915,MIN(2025,E526))),SUMIFS(Donnees_generations!$V$3:$V$113,Donnees_generations!$A$3:$A$113,MAX(1915,MIN(2025,E526))),SUMIFS(Donnees_generations!$W$3:$W$113,Donnees_generations!$A$3:$A$113,MAX(1915,MIN(2025,E526))),SUMIFS(Donnees_generations!$X$3:$X$113,Donnees_generations!$A$3:$A$113,MAX(1915,MIN(2025,E526))),SUMIFS(Donnees_generations!$Y$3:$Y$113,Donnees_generations!$A$3:$A$113,MAX(1915,MIN(2025,E526))),SUMIFS(Donnees_generations!$Z$3:$Z$113,Donnees_generations!$A$3:$A$113,MAX(1915,MIN(2025,E526))),SUMIFS(Donnees_generations!$AA$3:$AA$113,Donnees_generations!$A$3:$A$113,MAX(1915,MIN(2025,E526))),SUMIFS(Donnees_generations!$AB$3:$AB$113,Donnees_generations!$A$3:$A$113,MAX(1915,MIN(2025,E526))))+CHOOSE(((AG526+2)-56)/2+1,SUMIFS(Donnees_generations!$AC$3:$AC$113,Donnees_generations!$A$3:$A$113,MAX(1915,MIN(2025,E526))),SUMIFS(Donnees_generations!$AD$3:$AD$113,Donnees_generations!$A$3:$A$113,MAX(1915,MIN(2025,E526))),SUMIFS(Donnees_generations!$AE$3:$AE$113,Donnees_generations!$A$3:$A$113,MAX(1915,MIN(2025,E526))),SUMIFS(Donnees_generations!$AF$3:$AF$113,Donnees_generations!$A$3:$A$113,MAX(1915,MIN(2025,E526))),SUMIFS(Donnees_generations!$AG$3:$AG$113,Donnees_generations!$A$3:$A$113,MAX(1915,MIN(2025,E526))),SUMIFS(Donnees_generations!$AH$3:$AH$113,Donnees_generations!$A$3:$A$113,MAX(1915,MIN(2025,E526))),SUMIFS(Donnees_generations!$AI$3:$AI$113,Donnees_generations!$A$3:$A$113,MAX(1915,MIN(2025,E526))),SUMIFS(Donnees_generations!$AJ$3:$AJ$113,Donnees_generations!$A$3:$A$113,MAX(1915,MIN(2025,E526)))))/2</f>
        <v/>
      </c>
      <c r="AJ526" s="8">
        <f>MAX(0,AH526+(AI526-AH526)*(K526-AG526)/2)</f>
        <v/>
      </c>
      <c r="AK526" s="8">
        <f>K526+AJ526</f>
        <v/>
      </c>
      <c r="AL526" s="14">
        <f>AE526*AJ526</f>
        <v/>
      </c>
      <c r="AM526" s="17">
        <f>V526/AL526</f>
        <v/>
      </c>
      <c r="AN526" s="17">
        <f>Z526/AL526</f>
        <v/>
      </c>
      <c r="AO526" s="33">
        <f>IF(V526+Z526=0,0,Z526/(V526+Z526))</f>
        <v/>
      </c>
      <c r="AP526" s="14">
        <f>AL526/V526*100</f>
        <v/>
      </c>
      <c r="AQ526" s="8">
        <f>P526/AL526*1000</f>
        <v/>
      </c>
      <c r="AR526" s="77">
        <f>MAX(N526,M526-1)</f>
        <v/>
      </c>
      <c r="AS526" s="14">
        <f>SUMIFS(Donnees_regimes!$R$3:$R$1118,Donnees_regimes!$A$3:$A$1118,C526,Donnees_regimes!$B$3:$B$1118,"&gt;="&amp;G526,Donnees_regimes!$B$3:$B$1118,"&lt;="&amp;N526)*L526/ROUNDUP(L526,0)*SUMIFS(Donnees_annuelles!$AG$3:$AG$188,Donnees_annuelles!$A$3:$A$188,AR526)*SUMIFS(Donnees_annuelles!$AA$3:$AA$188,Donnees_annuelles!$A$3:$A$188,AR526)</f>
        <v/>
      </c>
      <c r="AT526" s="36">
        <f>AS526/V526</f>
        <v/>
      </c>
      <c r="AU526" s="14">
        <f>AL526</f>
        <v/>
      </c>
      <c r="AV526" s="39">
        <f>AS526-AL526</f>
        <v/>
      </c>
      <c r="AW526" s="9">
        <f>AS526/AL526-1</f>
        <v/>
      </c>
      <c r="AX526" s="14">
        <f>AS526/AJ526/12</f>
        <v/>
      </c>
      <c r="AY526" s="14">
        <f>AF526</f>
        <v/>
      </c>
      <c r="AZ526" s="39">
        <f>AX526-AF526</f>
        <v/>
      </c>
      <c r="BA526" s="14">
        <f>SUMIFS(Donnees_regimes!$S$3:$S$1118,Donnees_regimes!$A$3:$A$1118,C526,Donnees_regimes!$B$3:$B$1118,"&gt;="&amp;G526,Donnees_regimes!$B$3:$B$1118,"&lt;="&amp;N526)*L526/ROUNDUP(L526,0)*SUMIFS(Donnees_annuelles!$AH$3:$AH$188,Donnees_annuelles!$A$3:$A$188,AR526)*SUMIFS(Donnees_annuelles!$AA$3:$AA$188,Donnees_annuelles!$A$3:$A$188,AR526)</f>
        <v/>
      </c>
      <c r="BB526" s="39">
        <f>BA526-AL526</f>
        <v/>
      </c>
      <c r="BC526" s="7">
        <f>IF(M526+AJ526&gt;2026,IF(G526&gt;2026,"entièrement projeté","en partie projeté"),"observé")</f>
        <v/>
      </c>
    </row>
    <row r="527">
      <c r="A527" s="7" t="inlineStr">
        <is>
          <t>Baby-boomers</t>
        </is>
      </c>
      <c r="B527" s="84" t="inlineStr">
        <is>
          <t>IEG</t>
        </is>
      </c>
      <c r="C527" s="7">
        <f>IF(G527&gt;=SUMIFS(Regimes!$C$5:$C$10,Regimes!$A$5:$A$10,B527),"Privé",B527)</f>
        <v/>
      </c>
      <c r="D527" s="7">
        <f>INDEX(Regimes!$D$5:$D$10,MATCH(C527,Regimes!$A$5:$A$10,0))</f>
        <v/>
      </c>
      <c r="E527" s="88" t="n">
        <v>1962</v>
      </c>
      <c r="F527" s="8">
        <f>Donnees_generations!C50</f>
        <v/>
      </c>
      <c r="G527" s="77">
        <f>Donnees_generations!D50</f>
        <v/>
      </c>
      <c r="H527" s="8">
        <f>SUMIFS(Donnees_generations!$S$3:$S$113,Donnees_generations!$A$3:$A$113,MAX(1915,MIN(2025,E527)))</f>
        <v/>
      </c>
      <c r="I527" s="8">
        <f>SUMIFS(Donnees_generations!$T$3:$T$113,Donnees_generations!$A$3:$A$113,MAX(1915,MIN(2025,E527)))</f>
        <v/>
      </c>
      <c r="J527" s="8">
        <f>IF(G527&gt;=2000,MAX(I527,Parametres!$B$3),I527)</f>
        <v/>
      </c>
      <c r="K527" s="8">
        <f>IF(C527="Privé",J527,SUMIFS(Regles_regimes!$J$3:$J$2000,Regles_regimes!$A$3:$A$2000,C527,Regles_regimes!$B$3:$B$2000,D527,Regles_regimes!$C$3:$C$2000,MAX(1915,MIN(2025,E527))))</f>
        <v/>
      </c>
      <c r="L527" s="8">
        <f>IF(C527="Privé",H527,(K527-F527)*H527/(J527-F527))</f>
        <v/>
      </c>
      <c r="M527" s="77">
        <f>INT(E527+K527)</f>
        <v/>
      </c>
      <c r="N527" s="77">
        <f>G527+ROUNDUP(L527,0)-1</f>
        <v/>
      </c>
      <c r="O527" s="89">
        <f>SUMIFS(Regles_regimes!$K$3:$K$2000,Regles_regimes!$A$3:$A$2000,C527,Regles_regimes!$B$3:$B$2000,D527,Regles_regimes!$C$3:$C$2000,MAX(1915,MIN(2025,E527)))</f>
        <v/>
      </c>
      <c r="P527" s="13">
        <f>SUMIFS(Donnees_annuelles!$W$3:$W$188,Donnees_annuelles!$A$3:$A$188,"&gt;="&amp;G527,Donnees_annuelles!$A$3:$A$188,"&lt;="&amp;N527)*L527/ROUNDUP(L527,0)*O527</f>
        <v/>
      </c>
      <c r="Q527" s="13">
        <f>SUMIFS(Donnees_annuelles!$V$3:$V$188,Donnees_annuelles!$A$3:$A$188,"&gt;="&amp;G527,Donnees_annuelles!$A$3:$A$188,"&lt;="&amp;N527)*L527/ROUNDUP(L527,0)</f>
        <v/>
      </c>
      <c r="R527" s="13">
        <f>P527/L527</f>
        <v/>
      </c>
      <c r="S527" s="14">
        <f>SUMIFS(Donnees_annuelles!$D$3:$D$188,Donnees_annuelles!$A$3:$A$188,"&gt;="&amp;G527,Donnees_annuelles!$A$3:$A$188,"&lt;="&amp;N527)*L527/ROUNDUP(L527,0)</f>
        <v/>
      </c>
      <c r="T527" s="14">
        <f>SUMIFS(Donnees_regimes!$N$3:$N$1118,Donnees_regimes!$A$3:$A$1118,C527,Donnees_regimes!$B$3:$B$1118,"&gt;="&amp;G527,Donnees_regimes!$B$3:$B$1118,"&lt;="&amp;N527)*L527/ROUNDUP(L527,0)</f>
        <v/>
      </c>
      <c r="U527" s="14">
        <f>SUMIFS(Donnees_regimes!$O$3:$O$1118,Donnees_regimes!$A$3:$A$1118,C527,Donnees_regimes!$B$3:$B$1118,"&gt;="&amp;G527,Donnees_regimes!$B$3:$B$1118,"&lt;="&amp;N527)*L527/ROUNDUP(L527,0)</f>
        <v/>
      </c>
      <c r="V527" s="14">
        <f>T527+U527</f>
        <v/>
      </c>
      <c r="W527" s="33">
        <f>V527/S527</f>
        <v/>
      </c>
      <c r="X527" s="14">
        <f>S527+U527</f>
        <v/>
      </c>
      <c r="Y527" s="17">
        <f>V527/P527</f>
        <v/>
      </c>
      <c r="Z527" s="14">
        <f>SUMIFS(Donnees_regimes!$Q$3:$Q$1118,Donnees_regimes!$A$3:$A$1118,C527,Donnees_regimes!$B$3:$B$1118,"&gt;="&amp;G527,Donnees_regimes!$B$3:$B$1118,"&lt;="&amp;N527)*L527/ROUNDUP(L527,0)</f>
        <v/>
      </c>
      <c r="AA527" s="77">
        <f>SUMIFS(Regles_regimes!$F$3:$F$2000,Regles_regimes!$A$3:$A$2000,C527,Regles_regimes!$B$3:$B$2000,D527,Regles_regimes!$C$3:$C$2000,MAX(1915,MIN(2025,E527)))</f>
        <v/>
      </c>
      <c r="AB527" s="77">
        <f>IF(AND(SUMIFS(Regles_regimes!$L$3:$L$2000,Regles_regimes!$A$3:$A$2000,C527,Regles_regimes!$B$3:$B$2000,D527,Regles_regimes!$C$3:$C$2000,MAX(1915,MIN(2025,E527)))=1,G527&lt;2009,C527&lt;&gt;"Privé"),MIN(20,L527*4/5),0)</f>
        <v/>
      </c>
      <c r="AC527" s="89">
        <f>SUMIFS(Donnees_regimes!$M$3:$M$1118,Donnees_regimes!$A$3:$A$1118,C527,Donnees_regimes!$B$3:$B$1118,M527)</f>
        <v/>
      </c>
      <c r="AD527" s="14">
        <f>SUMIFS(Donnees_annuelles!$Y$3:$Y$188,Donnees_annuelles!$A$3:$A$188,M527)*SUMIFS(Donnees_generations!$I$3:$I$113,Donnees_generations!$A$3:$A$113,MAX(1915,MIN(2025,E527)))/H527</f>
        <v/>
      </c>
      <c r="AE527" s="14">
        <f>IF(C527="Privé",SUMIFS(Donnees_annuelles!$Y$3:$Y$188,Donnees_annuelles!$A$3:$A$188,M527)*MIN(L527,SUMIFS(Donnees_generations!$I$3:$I$113,Donnees_generations!$A$3:$A$113,MAX(1915,MIN(2025,E527))))/L527,AD527*AC527*MIN(IF(AB527&gt;0,0.8/0.75,1),(L527*4+AB527)/AA527))</f>
        <v/>
      </c>
      <c r="AF527" s="14">
        <f>AE527/12</f>
        <v/>
      </c>
      <c r="AG527" s="77">
        <f>MIN(68,MAX(56,2*INT(K527/2)))</f>
        <v/>
      </c>
      <c r="AH527" s="75">
        <f>(CHOOSE((AG527-56)/2+1,SUMIFS(Donnees_generations!$U$3:$U$113,Donnees_generations!$A$3:$A$113,MAX(1915,MIN(2025,E527))),SUMIFS(Donnees_generations!$V$3:$V$113,Donnees_generations!$A$3:$A$113,MAX(1915,MIN(2025,E527))),SUMIFS(Donnees_generations!$W$3:$W$113,Donnees_generations!$A$3:$A$113,MAX(1915,MIN(2025,E527))),SUMIFS(Donnees_generations!$X$3:$X$113,Donnees_generations!$A$3:$A$113,MAX(1915,MIN(2025,E527))),SUMIFS(Donnees_generations!$Y$3:$Y$113,Donnees_generations!$A$3:$A$113,MAX(1915,MIN(2025,E527))),SUMIFS(Donnees_generations!$Z$3:$Z$113,Donnees_generations!$A$3:$A$113,MAX(1915,MIN(2025,E527))),SUMIFS(Donnees_generations!$AA$3:$AA$113,Donnees_generations!$A$3:$A$113,MAX(1915,MIN(2025,E527))),SUMIFS(Donnees_generations!$AB$3:$AB$113,Donnees_generations!$A$3:$A$113,MAX(1915,MIN(2025,E527))))+CHOOSE((AG527-56)/2+1,SUMIFS(Donnees_generations!$AC$3:$AC$113,Donnees_generations!$A$3:$A$113,MAX(1915,MIN(2025,E527))),SUMIFS(Donnees_generations!$AD$3:$AD$113,Donnees_generations!$A$3:$A$113,MAX(1915,MIN(2025,E527))),SUMIFS(Donnees_generations!$AE$3:$AE$113,Donnees_generations!$A$3:$A$113,MAX(1915,MIN(2025,E527))),SUMIFS(Donnees_generations!$AF$3:$AF$113,Donnees_generations!$A$3:$A$113,MAX(1915,MIN(2025,E527))),SUMIFS(Donnees_generations!$AG$3:$AG$113,Donnees_generations!$A$3:$A$113,MAX(1915,MIN(2025,E527))),SUMIFS(Donnees_generations!$AH$3:$AH$113,Donnees_generations!$A$3:$A$113,MAX(1915,MIN(2025,E527))),SUMIFS(Donnees_generations!$AI$3:$AI$113,Donnees_generations!$A$3:$A$113,MAX(1915,MIN(2025,E527))),SUMIFS(Donnees_generations!$AJ$3:$AJ$113,Donnees_generations!$A$3:$A$113,MAX(1915,MIN(2025,E527)))))/2</f>
        <v/>
      </c>
      <c r="AI527" s="75">
        <f>(CHOOSE(((AG527+2)-56)/2+1,SUMIFS(Donnees_generations!$U$3:$U$113,Donnees_generations!$A$3:$A$113,MAX(1915,MIN(2025,E527))),SUMIFS(Donnees_generations!$V$3:$V$113,Donnees_generations!$A$3:$A$113,MAX(1915,MIN(2025,E527))),SUMIFS(Donnees_generations!$W$3:$W$113,Donnees_generations!$A$3:$A$113,MAX(1915,MIN(2025,E527))),SUMIFS(Donnees_generations!$X$3:$X$113,Donnees_generations!$A$3:$A$113,MAX(1915,MIN(2025,E527))),SUMIFS(Donnees_generations!$Y$3:$Y$113,Donnees_generations!$A$3:$A$113,MAX(1915,MIN(2025,E527))),SUMIFS(Donnees_generations!$Z$3:$Z$113,Donnees_generations!$A$3:$A$113,MAX(1915,MIN(2025,E527))),SUMIFS(Donnees_generations!$AA$3:$AA$113,Donnees_generations!$A$3:$A$113,MAX(1915,MIN(2025,E527))),SUMIFS(Donnees_generations!$AB$3:$AB$113,Donnees_generations!$A$3:$A$113,MAX(1915,MIN(2025,E527))))+CHOOSE(((AG527+2)-56)/2+1,SUMIFS(Donnees_generations!$AC$3:$AC$113,Donnees_generations!$A$3:$A$113,MAX(1915,MIN(2025,E527))),SUMIFS(Donnees_generations!$AD$3:$AD$113,Donnees_generations!$A$3:$A$113,MAX(1915,MIN(2025,E527))),SUMIFS(Donnees_generations!$AE$3:$AE$113,Donnees_generations!$A$3:$A$113,MAX(1915,MIN(2025,E527))),SUMIFS(Donnees_generations!$AF$3:$AF$113,Donnees_generations!$A$3:$A$113,MAX(1915,MIN(2025,E527))),SUMIFS(Donnees_generations!$AG$3:$AG$113,Donnees_generations!$A$3:$A$113,MAX(1915,MIN(2025,E527))),SUMIFS(Donnees_generations!$AH$3:$AH$113,Donnees_generations!$A$3:$A$113,MAX(1915,MIN(2025,E527))),SUMIFS(Donnees_generations!$AI$3:$AI$113,Donnees_generations!$A$3:$A$113,MAX(1915,MIN(2025,E527))),SUMIFS(Donnees_generations!$AJ$3:$AJ$113,Donnees_generations!$A$3:$A$113,MAX(1915,MIN(2025,E527)))))/2</f>
        <v/>
      </c>
      <c r="AJ527" s="8">
        <f>MAX(0,AH527+(AI527-AH527)*(K527-AG527)/2)</f>
        <v/>
      </c>
      <c r="AK527" s="8">
        <f>K527+AJ527</f>
        <v/>
      </c>
      <c r="AL527" s="14">
        <f>AE527*AJ527</f>
        <v/>
      </c>
      <c r="AM527" s="17">
        <f>V527/AL527</f>
        <v/>
      </c>
      <c r="AN527" s="17">
        <f>Z527/AL527</f>
        <v/>
      </c>
      <c r="AO527" s="33">
        <f>IF(V527+Z527=0,0,Z527/(V527+Z527))</f>
        <v/>
      </c>
      <c r="AP527" s="14">
        <f>AL527/V527*100</f>
        <v/>
      </c>
      <c r="AQ527" s="8">
        <f>P527/AL527*1000</f>
        <v/>
      </c>
      <c r="AR527" s="77">
        <f>MAX(N527,M527-1)</f>
        <v/>
      </c>
      <c r="AS527" s="14">
        <f>SUMIFS(Donnees_regimes!$R$3:$R$1118,Donnees_regimes!$A$3:$A$1118,C527,Donnees_regimes!$B$3:$B$1118,"&gt;="&amp;G527,Donnees_regimes!$B$3:$B$1118,"&lt;="&amp;N527)*L527/ROUNDUP(L527,0)*SUMIFS(Donnees_annuelles!$AG$3:$AG$188,Donnees_annuelles!$A$3:$A$188,AR527)*SUMIFS(Donnees_annuelles!$AA$3:$AA$188,Donnees_annuelles!$A$3:$A$188,AR527)</f>
        <v/>
      </c>
      <c r="AT527" s="36">
        <f>AS527/V527</f>
        <v/>
      </c>
      <c r="AU527" s="14">
        <f>AL527</f>
        <v/>
      </c>
      <c r="AV527" s="39">
        <f>AS527-AL527</f>
        <v/>
      </c>
      <c r="AW527" s="9">
        <f>AS527/AL527-1</f>
        <v/>
      </c>
      <c r="AX527" s="14">
        <f>AS527/AJ527/12</f>
        <v/>
      </c>
      <c r="AY527" s="14">
        <f>AF527</f>
        <v/>
      </c>
      <c r="AZ527" s="39">
        <f>AX527-AF527</f>
        <v/>
      </c>
      <c r="BA527" s="14">
        <f>SUMIFS(Donnees_regimes!$S$3:$S$1118,Donnees_regimes!$A$3:$A$1118,C527,Donnees_regimes!$B$3:$B$1118,"&gt;="&amp;G527,Donnees_regimes!$B$3:$B$1118,"&lt;="&amp;N527)*L527/ROUNDUP(L527,0)*SUMIFS(Donnees_annuelles!$AH$3:$AH$188,Donnees_annuelles!$A$3:$A$188,AR527)*SUMIFS(Donnees_annuelles!$AA$3:$AA$188,Donnees_annuelles!$A$3:$A$188,AR527)</f>
        <v/>
      </c>
      <c r="BB527" s="39">
        <f>BA527-AL527</f>
        <v/>
      </c>
      <c r="BC527" s="7">
        <f>IF(M527+AJ527&gt;2026,IF(G527&gt;2026,"entièrement projeté","en partie projeté"),"observé")</f>
        <v/>
      </c>
    </row>
    <row r="528">
      <c r="A528" s="7" t="inlineStr">
        <is>
          <t>Baby-boomers</t>
        </is>
      </c>
      <c r="B528" s="84" t="inlineStr">
        <is>
          <t>IEG</t>
        </is>
      </c>
      <c r="C528" s="7">
        <f>IF(G528&gt;=SUMIFS(Regimes!$C$5:$C$10,Regimes!$A$5:$A$10,B528),"Privé",B528)</f>
        <v/>
      </c>
      <c r="D528" s="7">
        <f>INDEX(Regimes!$D$5:$D$10,MATCH(C528,Regimes!$A$5:$A$10,0))</f>
        <v/>
      </c>
      <c r="E528" s="88" t="n">
        <v>1963</v>
      </c>
      <c r="F528" s="8">
        <f>Donnees_generations!C51</f>
        <v/>
      </c>
      <c r="G528" s="77">
        <f>Donnees_generations!D51</f>
        <v/>
      </c>
      <c r="H528" s="8">
        <f>SUMIFS(Donnees_generations!$S$3:$S$113,Donnees_generations!$A$3:$A$113,MAX(1915,MIN(2025,E528)))</f>
        <v/>
      </c>
      <c r="I528" s="8">
        <f>SUMIFS(Donnees_generations!$T$3:$T$113,Donnees_generations!$A$3:$A$113,MAX(1915,MIN(2025,E528)))</f>
        <v/>
      </c>
      <c r="J528" s="8">
        <f>IF(G528&gt;=2000,MAX(I528,Parametres!$B$3),I528)</f>
        <v/>
      </c>
      <c r="K528" s="8">
        <f>IF(C528="Privé",J528,SUMIFS(Regles_regimes!$J$3:$J$2000,Regles_regimes!$A$3:$A$2000,C528,Regles_regimes!$B$3:$B$2000,D528,Regles_regimes!$C$3:$C$2000,MAX(1915,MIN(2025,E528))))</f>
        <v/>
      </c>
      <c r="L528" s="8">
        <f>IF(C528="Privé",H528,(K528-F528)*H528/(J528-F528))</f>
        <v/>
      </c>
      <c r="M528" s="77">
        <f>INT(E528+K528)</f>
        <v/>
      </c>
      <c r="N528" s="77">
        <f>G528+ROUNDUP(L528,0)-1</f>
        <v/>
      </c>
      <c r="O528" s="89">
        <f>SUMIFS(Regles_regimes!$K$3:$K$2000,Regles_regimes!$A$3:$A$2000,C528,Regles_regimes!$B$3:$B$2000,D528,Regles_regimes!$C$3:$C$2000,MAX(1915,MIN(2025,E528)))</f>
        <v/>
      </c>
      <c r="P528" s="13">
        <f>SUMIFS(Donnees_annuelles!$W$3:$W$188,Donnees_annuelles!$A$3:$A$188,"&gt;="&amp;G528,Donnees_annuelles!$A$3:$A$188,"&lt;="&amp;N528)*L528/ROUNDUP(L528,0)*O528</f>
        <v/>
      </c>
      <c r="Q528" s="13">
        <f>SUMIFS(Donnees_annuelles!$V$3:$V$188,Donnees_annuelles!$A$3:$A$188,"&gt;="&amp;G528,Donnees_annuelles!$A$3:$A$188,"&lt;="&amp;N528)*L528/ROUNDUP(L528,0)</f>
        <v/>
      </c>
      <c r="R528" s="13">
        <f>P528/L528</f>
        <v/>
      </c>
      <c r="S528" s="14">
        <f>SUMIFS(Donnees_annuelles!$D$3:$D$188,Donnees_annuelles!$A$3:$A$188,"&gt;="&amp;G528,Donnees_annuelles!$A$3:$A$188,"&lt;="&amp;N528)*L528/ROUNDUP(L528,0)</f>
        <v/>
      </c>
      <c r="T528" s="14">
        <f>SUMIFS(Donnees_regimes!$N$3:$N$1118,Donnees_regimes!$A$3:$A$1118,C528,Donnees_regimes!$B$3:$B$1118,"&gt;="&amp;G528,Donnees_regimes!$B$3:$B$1118,"&lt;="&amp;N528)*L528/ROUNDUP(L528,0)</f>
        <v/>
      </c>
      <c r="U528" s="14">
        <f>SUMIFS(Donnees_regimes!$O$3:$O$1118,Donnees_regimes!$A$3:$A$1118,C528,Donnees_regimes!$B$3:$B$1118,"&gt;="&amp;G528,Donnees_regimes!$B$3:$B$1118,"&lt;="&amp;N528)*L528/ROUNDUP(L528,0)</f>
        <v/>
      </c>
      <c r="V528" s="14">
        <f>T528+U528</f>
        <v/>
      </c>
      <c r="W528" s="33">
        <f>V528/S528</f>
        <v/>
      </c>
      <c r="X528" s="14">
        <f>S528+U528</f>
        <v/>
      </c>
      <c r="Y528" s="17">
        <f>V528/P528</f>
        <v/>
      </c>
      <c r="Z528" s="14">
        <f>SUMIFS(Donnees_regimes!$Q$3:$Q$1118,Donnees_regimes!$A$3:$A$1118,C528,Donnees_regimes!$B$3:$B$1118,"&gt;="&amp;G528,Donnees_regimes!$B$3:$B$1118,"&lt;="&amp;N528)*L528/ROUNDUP(L528,0)</f>
        <v/>
      </c>
      <c r="AA528" s="77">
        <f>SUMIFS(Regles_regimes!$F$3:$F$2000,Regles_regimes!$A$3:$A$2000,C528,Regles_regimes!$B$3:$B$2000,D528,Regles_regimes!$C$3:$C$2000,MAX(1915,MIN(2025,E528)))</f>
        <v/>
      </c>
      <c r="AB528" s="77">
        <f>IF(AND(SUMIFS(Regles_regimes!$L$3:$L$2000,Regles_regimes!$A$3:$A$2000,C528,Regles_regimes!$B$3:$B$2000,D528,Regles_regimes!$C$3:$C$2000,MAX(1915,MIN(2025,E528)))=1,G528&lt;2009,C528&lt;&gt;"Privé"),MIN(20,L528*4/5),0)</f>
        <v/>
      </c>
      <c r="AC528" s="89">
        <f>SUMIFS(Donnees_regimes!$M$3:$M$1118,Donnees_regimes!$A$3:$A$1118,C528,Donnees_regimes!$B$3:$B$1118,M528)</f>
        <v/>
      </c>
      <c r="AD528" s="14">
        <f>SUMIFS(Donnees_annuelles!$Y$3:$Y$188,Donnees_annuelles!$A$3:$A$188,M528)*SUMIFS(Donnees_generations!$I$3:$I$113,Donnees_generations!$A$3:$A$113,MAX(1915,MIN(2025,E528)))/H528</f>
        <v/>
      </c>
      <c r="AE528" s="14">
        <f>IF(C528="Privé",SUMIFS(Donnees_annuelles!$Y$3:$Y$188,Donnees_annuelles!$A$3:$A$188,M528)*MIN(L528,SUMIFS(Donnees_generations!$I$3:$I$113,Donnees_generations!$A$3:$A$113,MAX(1915,MIN(2025,E528))))/L528,AD528*AC528*MIN(IF(AB528&gt;0,0.8/0.75,1),(L528*4+AB528)/AA528))</f>
        <v/>
      </c>
      <c r="AF528" s="14">
        <f>AE528/12</f>
        <v/>
      </c>
      <c r="AG528" s="77">
        <f>MIN(68,MAX(56,2*INT(K528/2)))</f>
        <v/>
      </c>
      <c r="AH528" s="75">
        <f>(CHOOSE((AG528-56)/2+1,SUMIFS(Donnees_generations!$U$3:$U$113,Donnees_generations!$A$3:$A$113,MAX(1915,MIN(2025,E528))),SUMIFS(Donnees_generations!$V$3:$V$113,Donnees_generations!$A$3:$A$113,MAX(1915,MIN(2025,E528))),SUMIFS(Donnees_generations!$W$3:$W$113,Donnees_generations!$A$3:$A$113,MAX(1915,MIN(2025,E528))),SUMIFS(Donnees_generations!$X$3:$X$113,Donnees_generations!$A$3:$A$113,MAX(1915,MIN(2025,E528))),SUMIFS(Donnees_generations!$Y$3:$Y$113,Donnees_generations!$A$3:$A$113,MAX(1915,MIN(2025,E528))),SUMIFS(Donnees_generations!$Z$3:$Z$113,Donnees_generations!$A$3:$A$113,MAX(1915,MIN(2025,E528))),SUMIFS(Donnees_generations!$AA$3:$AA$113,Donnees_generations!$A$3:$A$113,MAX(1915,MIN(2025,E528))),SUMIFS(Donnees_generations!$AB$3:$AB$113,Donnees_generations!$A$3:$A$113,MAX(1915,MIN(2025,E528))))+CHOOSE((AG528-56)/2+1,SUMIFS(Donnees_generations!$AC$3:$AC$113,Donnees_generations!$A$3:$A$113,MAX(1915,MIN(2025,E528))),SUMIFS(Donnees_generations!$AD$3:$AD$113,Donnees_generations!$A$3:$A$113,MAX(1915,MIN(2025,E528))),SUMIFS(Donnees_generations!$AE$3:$AE$113,Donnees_generations!$A$3:$A$113,MAX(1915,MIN(2025,E528))),SUMIFS(Donnees_generations!$AF$3:$AF$113,Donnees_generations!$A$3:$A$113,MAX(1915,MIN(2025,E528))),SUMIFS(Donnees_generations!$AG$3:$AG$113,Donnees_generations!$A$3:$A$113,MAX(1915,MIN(2025,E528))),SUMIFS(Donnees_generations!$AH$3:$AH$113,Donnees_generations!$A$3:$A$113,MAX(1915,MIN(2025,E528))),SUMIFS(Donnees_generations!$AI$3:$AI$113,Donnees_generations!$A$3:$A$113,MAX(1915,MIN(2025,E528))),SUMIFS(Donnees_generations!$AJ$3:$AJ$113,Donnees_generations!$A$3:$A$113,MAX(1915,MIN(2025,E528)))))/2</f>
        <v/>
      </c>
      <c r="AI528" s="75">
        <f>(CHOOSE(((AG528+2)-56)/2+1,SUMIFS(Donnees_generations!$U$3:$U$113,Donnees_generations!$A$3:$A$113,MAX(1915,MIN(2025,E528))),SUMIFS(Donnees_generations!$V$3:$V$113,Donnees_generations!$A$3:$A$113,MAX(1915,MIN(2025,E528))),SUMIFS(Donnees_generations!$W$3:$W$113,Donnees_generations!$A$3:$A$113,MAX(1915,MIN(2025,E528))),SUMIFS(Donnees_generations!$X$3:$X$113,Donnees_generations!$A$3:$A$113,MAX(1915,MIN(2025,E528))),SUMIFS(Donnees_generations!$Y$3:$Y$113,Donnees_generations!$A$3:$A$113,MAX(1915,MIN(2025,E528))),SUMIFS(Donnees_generations!$Z$3:$Z$113,Donnees_generations!$A$3:$A$113,MAX(1915,MIN(2025,E528))),SUMIFS(Donnees_generations!$AA$3:$AA$113,Donnees_generations!$A$3:$A$113,MAX(1915,MIN(2025,E528))),SUMIFS(Donnees_generations!$AB$3:$AB$113,Donnees_generations!$A$3:$A$113,MAX(1915,MIN(2025,E528))))+CHOOSE(((AG528+2)-56)/2+1,SUMIFS(Donnees_generations!$AC$3:$AC$113,Donnees_generations!$A$3:$A$113,MAX(1915,MIN(2025,E528))),SUMIFS(Donnees_generations!$AD$3:$AD$113,Donnees_generations!$A$3:$A$113,MAX(1915,MIN(2025,E528))),SUMIFS(Donnees_generations!$AE$3:$AE$113,Donnees_generations!$A$3:$A$113,MAX(1915,MIN(2025,E528))),SUMIFS(Donnees_generations!$AF$3:$AF$113,Donnees_generations!$A$3:$A$113,MAX(1915,MIN(2025,E528))),SUMIFS(Donnees_generations!$AG$3:$AG$113,Donnees_generations!$A$3:$A$113,MAX(1915,MIN(2025,E528))),SUMIFS(Donnees_generations!$AH$3:$AH$113,Donnees_generations!$A$3:$A$113,MAX(1915,MIN(2025,E528))),SUMIFS(Donnees_generations!$AI$3:$AI$113,Donnees_generations!$A$3:$A$113,MAX(1915,MIN(2025,E528))),SUMIFS(Donnees_generations!$AJ$3:$AJ$113,Donnees_generations!$A$3:$A$113,MAX(1915,MIN(2025,E528)))))/2</f>
        <v/>
      </c>
      <c r="AJ528" s="8">
        <f>MAX(0,AH528+(AI528-AH528)*(K528-AG528)/2)</f>
        <v/>
      </c>
      <c r="AK528" s="8">
        <f>K528+AJ528</f>
        <v/>
      </c>
      <c r="AL528" s="14">
        <f>AE528*AJ528</f>
        <v/>
      </c>
      <c r="AM528" s="17">
        <f>V528/AL528</f>
        <v/>
      </c>
      <c r="AN528" s="17">
        <f>Z528/AL528</f>
        <v/>
      </c>
      <c r="AO528" s="33">
        <f>IF(V528+Z528=0,0,Z528/(V528+Z528))</f>
        <v/>
      </c>
      <c r="AP528" s="14">
        <f>AL528/V528*100</f>
        <v/>
      </c>
      <c r="AQ528" s="8">
        <f>P528/AL528*1000</f>
        <v/>
      </c>
      <c r="AR528" s="77">
        <f>MAX(N528,M528-1)</f>
        <v/>
      </c>
      <c r="AS528" s="14">
        <f>SUMIFS(Donnees_regimes!$R$3:$R$1118,Donnees_regimes!$A$3:$A$1118,C528,Donnees_regimes!$B$3:$B$1118,"&gt;="&amp;G528,Donnees_regimes!$B$3:$B$1118,"&lt;="&amp;N528)*L528/ROUNDUP(L528,0)*SUMIFS(Donnees_annuelles!$AG$3:$AG$188,Donnees_annuelles!$A$3:$A$188,AR528)*SUMIFS(Donnees_annuelles!$AA$3:$AA$188,Donnees_annuelles!$A$3:$A$188,AR528)</f>
        <v/>
      </c>
      <c r="AT528" s="36">
        <f>AS528/V528</f>
        <v/>
      </c>
      <c r="AU528" s="14">
        <f>AL528</f>
        <v/>
      </c>
      <c r="AV528" s="39">
        <f>AS528-AL528</f>
        <v/>
      </c>
      <c r="AW528" s="9">
        <f>AS528/AL528-1</f>
        <v/>
      </c>
      <c r="AX528" s="14">
        <f>AS528/AJ528/12</f>
        <v/>
      </c>
      <c r="AY528" s="14">
        <f>AF528</f>
        <v/>
      </c>
      <c r="AZ528" s="39">
        <f>AX528-AF528</f>
        <v/>
      </c>
      <c r="BA528" s="14">
        <f>SUMIFS(Donnees_regimes!$S$3:$S$1118,Donnees_regimes!$A$3:$A$1118,C528,Donnees_regimes!$B$3:$B$1118,"&gt;="&amp;G528,Donnees_regimes!$B$3:$B$1118,"&lt;="&amp;N528)*L528/ROUNDUP(L528,0)*SUMIFS(Donnees_annuelles!$AH$3:$AH$188,Donnees_annuelles!$A$3:$A$188,AR528)*SUMIFS(Donnees_annuelles!$AA$3:$AA$188,Donnees_annuelles!$A$3:$A$188,AR528)</f>
        <v/>
      </c>
      <c r="BB528" s="39">
        <f>BA528-AL528</f>
        <v/>
      </c>
      <c r="BC528" s="7">
        <f>IF(M528+AJ528&gt;2026,IF(G528&gt;2026,"entièrement projeté","en partie projeté"),"observé")</f>
        <v/>
      </c>
    </row>
    <row r="529">
      <c r="A529" s="7" t="inlineStr">
        <is>
          <t>Baby-boomers</t>
        </is>
      </c>
      <c r="B529" s="84" t="inlineStr">
        <is>
          <t>IEG</t>
        </is>
      </c>
      <c r="C529" s="7">
        <f>IF(G529&gt;=SUMIFS(Regimes!$C$5:$C$10,Regimes!$A$5:$A$10,B529),"Privé",B529)</f>
        <v/>
      </c>
      <c r="D529" s="7">
        <f>INDEX(Regimes!$D$5:$D$10,MATCH(C529,Regimes!$A$5:$A$10,0))</f>
        <v/>
      </c>
      <c r="E529" s="88" t="n">
        <v>1964</v>
      </c>
      <c r="F529" s="8">
        <f>Donnees_generations!C52</f>
        <v/>
      </c>
      <c r="G529" s="77">
        <f>Donnees_generations!D52</f>
        <v/>
      </c>
      <c r="H529" s="8">
        <f>SUMIFS(Donnees_generations!$S$3:$S$113,Donnees_generations!$A$3:$A$113,MAX(1915,MIN(2025,E529)))</f>
        <v/>
      </c>
      <c r="I529" s="8">
        <f>SUMIFS(Donnees_generations!$T$3:$T$113,Donnees_generations!$A$3:$A$113,MAX(1915,MIN(2025,E529)))</f>
        <v/>
      </c>
      <c r="J529" s="8">
        <f>IF(G529&gt;=2000,MAX(I529,Parametres!$B$3),I529)</f>
        <v/>
      </c>
      <c r="K529" s="8">
        <f>IF(C529="Privé",J529,SUMIFS(Regles_regimes!$J$3:$J$2000,Regles_regimes!$A$3:$A$2000,C529,Regles_regimes!$B$3:$B$2000,D529,Regles_regimes!$C$3:$C$2000,MAX(1915,MIN(2025,E529))))</f>
        <v/>
      </c>
      <c r="L529" s="8">
        <f>IF(C529="Privé",H529,(K529-F529)*H529/(J529-F529))</f>
        <v/>
      </c>
      <c r="M529" s="77">
        <f>INT(E529+K529)</f>
        <v/>
      </c>
      <c r="N529" s="77">
        <f>G529+ROUNDUP(L529,0)-1</f>
        <v/>
      </c>
      <c r="O529" s="89">
        <f>SUMIFS(Regles_regimes!$K$3:$K$2000,Regles_regimes!$A$3:$A$2000,C529,Regles_regimes!$B$3:$B$2000,D529,Regles_regimes!$C$3:$C$2000,MAX(1915,MIN(2025,E529)))</f>
        <v/>
      </c>
      <c r="P529" s="13">
        <f>SUMIFS(Donnees_annuelles!$W$3:$W$188,Donnees_annuelles!$A$3:$A$188,"&gt;="&amp;G529,Donnees_annuelles!$A$3:$A$188,"&lt;="&amp;N529)*L529/ROUNDUP(L529,0)*O529</f>
        <v/>
      </c>
      <c r="Q529" s="13">
        <f>SUMIFS(Donnees_annuelles!$V$3:$V$188,Donnees_annuelles!$A$3:$A$188,"&gt;="&amp;G529,Donnees_annuelles!$A$3:$A$188,"&lt;="&amp;N529)*L529/ROUNDUP(L529,0)</f>
        <v/>
      </c>
      <c r="R529" s="13">
        <f>P529/L529</f>
        <v/>
      </c>
      <c r="S529" s="14">
        <f>SUMIFS(Donnees_annuelles!$D$3:$D$188,Donnees_annuelles!$A$3:$A$188,"&gt;="&amp;G529,Donnees_annuelles!$A$3:$A$188,"&lt;="&amp;N529)*L529/ROUNDUP(L529,0)</f>
        <v/>
      </c>
      <c r="T529" s="14">
        <f>SUMIFS(Donnees_regimes!$N$3:$N$1118,Donnees_regimes!$A$3:$A$1118,C529,Donnees_regimes!$B$3:$B$1118,"&gt;="&amp;G529,Donnees_regimes!$B$3:$B$1118,"&lt;="&amp;N529)*L529/ROUNDUP(L529,0)</f>
        <v/>
      </c>
      <c r="U529" s="14">
        <f>SUMIFS(Donnees_regimes!$O$3:$O$1118,Donnees_regimes!$A$3:$A$1118,C529,Donnees_regimes!$B$3:$B$1118,"&gt;="&amp;G529,Donnees_regimes!$B$3:$B$1118,"&lt;="&amp;N529)*L529/ROUNDUP(L529,0)</f>
        <v/>
      </c>
      <c r="V529" s="14">
        <f>T529+U529</f>
        <v/>
      </c>
      <c r="W529" s="33">
        <f>V529/S529</f>
        <v/>
      </c>
      <c r="X529" s="14">
        <f>S529+U529</f>
        <v/>
      </c>
      <c r="Y529" s="17">
        <f>V529/P529</f>
        <v/>
      </c>
      <c r="Z529" s="14">
        <f>SUMIFS(Donnees_regimes!$Q$3:$Q$1118,Donnees_regimes!$A$3:$A$1118,C529,Donnees_regimes!$B$3:$B$1118,"&gt;="&amp;G529,Donnees_regimes!$B$3:$B$1118,"&lt;="&amp;N529)*L529/ROUNDUP(L529,0)</f>
        <v/>
      </c>
      <c r="AA529" s="77">
        <f>SUMIFS(Regles_regimes!$F$3:$F$2000,Regles_regimes!$A$3:$A$2000,C529,Regles_regimes!$B$3:$B$2000,D529,Regles_regimes!$C$3:$C$2000,MAX(1915,MIN(2025,E529)))</f>
        <v/>
      </c>
      <c r="AB529" s="77">
        <f>IF(AND(SUMIFS(Regles_regimes!$L$3:$L$2000,Regles_regimes!$A$3:$A$2000,C529,Regles_regimes!$B$3:$B$2000,D529,Regles_regimes!$C$3:$C$2000,MAX(1915,MIN(2025,E529)))=1,G529&lt;2009,C529&lt;&gt;"Privé"),MIN(20,L529*4/5),0)</f>
        <v/>
      </c>
      <c r="AC529" s="89">
        <f>SUMIFS(Donnees_regimes!$M$3:$M$1118,Donnees_regimes!$A$3:$A$1118,C529,Donnees_regimes!$B$3:$B$1118,M529)</f>
        <v/>
      </c>
      <c r="AD529" s="14">
        <f>SUMIFS(Donnees_annuelles!$Y$3:$Y$188,Donnees_annuelles!$A$3:$A$188,M529)*SUMIFS(Donnees_generations!$I$3:$I$113,Donnees_generations!$A$3:$A$113,MAX(1915,MIN(2025,E529)))/H529</f>
        <v/>
      </c>
      <c r="AE529" s="14">
        <f>IF(C529="Privé",SUMIFS(Donnees_annuelles!$Y$3:$Y$188,Donnees_annuelles!$A$3:$A$188,M529)*MIN(L529,SUMIFS(Donnees_generations!$I$3:$I$113,Donnees_generations!$A$3:$A$113,MAX(1915,MIN(2025,E529))))/L529,AD529*AC529*MIN(IF(AB529&gt;0,0.8/0.75,1),(L529*4+AB529)/AA529))</f>
        <v/>
      </c>
      <c r="AF529" s="14">
        <f>AE529/12</f>
        <v/>
      </c>
      <c r="AG529" s="77">
        <f>MIN(68,MAX(56,2*INT(K529/2)))</f>
        <v/>
      </c>
      <c r="AH529" s="75">
        <f>(CHOOSE((AG529-56)/2+1,SUMIFS(Donnees_generations!$U$3:$U$113,Donnees_generations!$A$3:$A$113,MAX(1915,MIN(2025,E529))),SUMIFS(Donnees_generations!$V$3:$V$113,Donnees_generations!$A$3:$A$113,MAX(1915,MIN(2025,E529))),SUMIFS(Donnees_generations!$W$3:$W$113,Donnees_generations!$A$3:$A$113,MAX(1915,MIN(2025,E529))),SUMIFS(Donnees_generations!$X$3:$X$113,Donnees_generations!$A$3:$A$113,MAX(1915,MIN(2025,E529))),SUMIFS(Donnees_generations!$Y$3:$Y$113,Donnees_generations!$A$3:$A$113,MAX(1915,MIN(2025,E529))),SUMIFS(Donnees_generations!$Z$3:$Z$113,Donnees_generations!$A$3:$A$113,MAX(1915,MIN(2025,E529))),SUMIFS(Donnees_generations!$AA$3:$AA$113,Donnees_generations!$A$3:$A$113,MAX(1915,MIN(2025,E529))),SUMIFS(Donnees_generations!$AB$3:$AB$113,Donnees_generations!$A$3:$A$113,MAX(1915,MIN(2025,E529))))+CHOOSE((AG529-56)/2+1,SUMIFS(Donnees_generations!$AC$3:$AC$113,Donnees_generations!$A$3:$A$113,MAX(1915,MIN(2025,E529))),SUMIFS(Donnees_generations!$AD$3:$AD$113,Donnees_generations!$A$3:$A$113,MAX(1915,MIN(2025,E529))),SUMIFS(Donnees_generations!$AE$3:$AE$113,Donnees_generations!$A$3:$A$113,MAX(1915,MIN(2025,E529))),SUMIFS(Donnees_generations!$AF$3:$AF$113,Donnees_generations!$A$3:$A$113,MAX(1915,MIN(2025,E529))),SUMIFS(Donnees_generations!$AG$3:$AG$113,Donnees_generations!$A$3:$A$113,MAX(1915,MIN(2025,E529))),SUMIFS(Donnees_generations!$AH$3:$AH$113,Donnees_generations!$A$3:$A$113,MAX(1915,MIN(2025,E529))),SUMIFS(Donnees_generations!$AI$3:$AI$113,Donnees_generations!$A$3:$A$113,MAX(1915,MIN(2025,E529))),SUMIFS(Donnees_generations!$AJ$3:$AJ$113,Donnees_generations!$A$3:$A$113,MAX(1915,MIN(2025,E529)))))/2</f>
        <v/>
      </c>
      <c r="AI529" s="75">
        <f>(CHOOSE(((AG529+2)-56)/2+1,SUMIFS(Donnees_generations!$U$3:$U$113,Donnees_generations!$A$3:$A$113,MAX(1915,MIN(2025,E529))),SUMIFS(Donnees_generations!$V$3:$V$113,Donnees_generations!$A$3:$A$113,MAX(1915,MIN(2025,E529))),SUMIFS(Donnees_generations!$W$3:$W$113,Donnees_generations!$A$3:$A$113,MAX(1915,MIN(2025,E529))),SUMIFS(Donnees_generations!$X$3:$X$113,Donnees_generations!$A$3:$A$113,MAX(1915,MIN(2025,E529))),SUMIFS(Donnees_generations!$Y$3:$Y$113,Donnees_generations!$A$3:$A$113,MAX(1915,MIN(2025,E529))),SUMIFS(Donnees_generations!$Z$3:$Z$113,Donnees_generations!$A$3:$A$113,MAX(1915,MIN(2025,E529))),SUMIFS(Donnees_generations!$AA$3:$AA$113,Donnees_generations!$A$3:$A$113,MAX(1915,MIN(2025,E529))),SUMIFS(Donnees_generations!$AB$3:$AB$113,Donnees_generations!$A$3:$A$113,MAX(1915,MIN(2025,E529))))+CHOOSE(((AG529+2)-56)/2+1,SUMIFS(Donnees_generations!$AC$3:$AC$113,Donnees_generations!$A$3:$A$113,MAX(1915,MIN(2025,E529))),SUMIFS(Donnees_generations!$AD$3:$AD$113,Donnees_generations!$A$3:$A$113,MAX(1915,MIN(2025,E529))),SUMIFS(Donnees_generations!$AE$3:$AE$113,Donnees_generations!$A$3:$A$113,MAX(1915,MIN(2025,E529))),SUMIFS(Donnees_generations!$AF$3:$AF$113,Donnees_generations!$A$3:$A$113,MAX(1915,MIN(2025,E529))),SUMIFS(Donnees_generations!$AG$3:$AG$113,Donnees_generations!$A$3:$A$113,MAX(1915,MIN(2025,E529))),SUMIFS(Donnees_generations!$AH$3:$AH$113,Donnees_generations!$A$3:$A$113,MAX(1915,MIN(2025,E529))),SUMIFS(Donnees_generations!$AI$3:$AI$113,Donnees_generations!$A$3:$A$113,MAX(1915,MIN(2025,E529))),SUMIFS(Donnees_generations!$AJ$3:$AJ$113,Donnees_generations!$A$3:$A$113,MAX(1915,MIN(2025,E529)))))/2</f>
        <v/>
      </c>
      <c r="AJ529" s="8">
        <f>MAX(0,AH529+(AI529-AH529)*(K529-AG529)/2)</f>
        <v/>
      </c>
      <c r="AK529" s="8">
        <f>K529+AJ529</f>
        <v/>
      </c>
      <c r="AL529" s="14">
        <f>AE529*AJ529</f>
        <v/>
      </c>
      <c r="AM529" s="17">
        <f>V529/AL529</f>
        <v/>
      </c>
      <c r="AN529" s="17">
        <f>Z529/AL529</f>
        <v/>
      </c>
      <c r="AO529" s="33">
        <f>IF(V529+Z529=0,0,Z529/(V529+Z529))</f>
        <v/>
      </c>
      <c r="AP529" s="14">
        <f>AL529/V529*100</f>
        <v/>
      </c>
      <c r="AQ529" s="8">
        <f>P529/AL529*1000</f>
        <v/>
      </c>
      <c r="AR529" s="77">
        <f>MAX(N529,M529-1)</f>
        <v/>
      </c>
      <c r="AS529" s="14">
        <f>SUMIFS(Donnees_regimes!$R$3:$R$1118,Donnees_regimes!$A$3:$A$1118,C529,Donnees_regimes!$B$3:$B$1118,"&gt;="&amp;G529,Donnees_regimes!$B$3:$B$1118,"&lt;="&amp;N529)*L529/ROUNDUP(L529,0)*SUMIFS(Donnees_annuelles!$AG$3:$AG$188,Donnees_annuelles!$A$3:$A$188,AR529)*SUMIFS(Donnees_annuelles!$AA$3:$AA$188,Donnees_annuelles!$A$3:$A$188,AR529)</f>
        <v/>
      </c>
      <c r="AT529" s="36">
        <f>AS529/V529</f>
        <v/>
      </c>
      <c r="AU529" s="14">
        <f>AL529</f>
        <v/>
      </c>
      <c r="AV529" s="39">
        <f>AS529-AL529</f>
        <v/>
      </c>
      <c r="AW529" s="9">
        <f>AS529/AL529-1</f>
        <v/>
      </c>
      <c r="AX529" s="14">
        <f>AS529/AJ529/12</f>
        <v/>
      </c>
      <c r="AY529" s="14">
        <f>AF529</f>
        <v/>
      </c>
      <c r="AZ529" s="39">
        <f>AX529-AF529</f>
        <v/>
      </c>
      <c r="BA529" s="14">
        <f>SUMIFS(Donnees_regimes!$S$3:$S$1118,Donnees_regimes!$A$3:$A$1118,C529,Donnees_regimes!$B$3:$B$1118,"&gt;="&amp;G529,Donnees_regimes!$B$3:$B$1118,"&lt;="&amp;N529)*L529/ROUNDUP(L529,0)*SUMIFS(Donnees_annuelles!$AH$3:$AH$188,Donnees_annuelles!$A$3:$A$188,AR529)*SUMIFS(Donnees_annuelles!$AA$3:$AA$188,Donnees_annuelles!$A$3:$A$188,AR529)</f>
        <v/>
      </c>
      <c r="BB529" s="39">
        <f>BA529-AL529</f>
        <v/>
      </c>
      <c r="BC529" s="7">
        <f>IF(M529+AJ529&gt;2026,IF(G529&gt;2026,"entièrement projeté","en partie projeté"),"observé")</f>
        <v/>
      </c>
    </row>
    <row r="530">
      <c r="A530" s="7" t="inlineStr">
        <is>
          <t>Génération X</t>
        </is>
      </c>
      <c r="B530" s="84" t="inlineStr">
        <is>
          <t>IEG</t>
        </is>
      </c>
      <c r="C530" s="7">
        <f>IF(G530&gt;=SUMIFS(Regimes!$C$5:$C$10,Regimes!$A$5:$A$10,B530),"Privé",B530)</f>
        <v/>
      </c>
      <c r="D530" s="7">
        <f>INDEX(Regimes!$D$5:$D$10,MATCH(C530,Regimes!$A$5:$A$10,0))</f>
        <v/>
      </c>
      <c r="E530" s="88" t="n">
        <v>1965</v>
      </c>
      <c r="F530" s="8">
        <f>Donnees_generations!C53</f>
        <v/>
      </c>
      <c r="G530" s="77">
        <f>Donnees_generations!D53</f>
        <v/>
      </c>
      <c r="H530" s="8">
        <f>SUMIFS(Donnees_generations!$S$3:$S$113,Donnees_generations!$A$3:$A$113,MAX(1915,MIN(2025,E530)))</f>
        <v/>
      </c>
      <c r="I530" s="8">
        <f>SUMIFS(Donnees_generations!$T$3:$T$113,Donnees_generations!$A$3:$A$113,MAX(1915,MIN(2025,E530)))</f>
        <v/>
      </c>
      <c r="J530" s="8">
        <f>IF(G530&gt;=2000,MAX(I530,Parametres!$B$3),I530)</f>
        <v/>
      </c>
      <c r="K530" s="8">
        <f>IF(C530="Privé",J530,SUMIFS(Regles_regimes!$J$3:$J$2000,Regles_regimes!$A$3:$A$2000,C530,Regles_regimes!$B$3:$B$2000,D530,Regles_regimes!$C$3:$C$2000,MAX(1915,MIN(2025,E530))))</f>
        <v/>
      </c>
      <c r="L530" s="8">
        <f>IF(C530="Privé",H530,(K530-F530)*H530/(J530-F530))</f>
        <v/>
      </c>
      <c r="M530" s="77">
        <f>INT(E530+K530)</f>
        <v/>
      </c>
      <c r="N530" s="77">
        <f>G530+ROUNDUP(L530,0)-1</f>
        <v/>
      </c>
      <c r="O530" s="89">
        <f>SUMIFS(Regles_regimes!$K$3:$K$2000,Regles_regimes!$A$3:$A$2000,C530,Regles_regimes!$B$3:$B$2000,D530,Regles_regimes!$C$3:$C$2000,MAX(1915,MIN(2025,E530)))</f>
        <v/>
      </c>
      <c r="P530" s="13">
        <f>SUMIFS(Donnees_annuelles!$W$3:$W$188,Donnees_annuelles!$A$3:$A$188,"&gt;="&amp;G530,Donnees_annuelles!$A$3:$A$188,"&lt;="&amp;N530)*L530/ROUNDUP(L530,0)*O530</f>
        <v/>
      </c>
      <c r="Q530" s="13">
        <f>SUMIFS(Donnees_annuelles!$V$3:$V$188,Donnees_annuelles!$A$3:$A$188,"&gt;="&amp;G530,Donnees_annuelles!$A$3:$A$188,"&lt;="&amp;N530)*L530/ROUNDUP(L530,0)</f>
        <v/>
      </c>
      <c r="R530" s="13">
        <f>P530/L530</f>
        <v/>
      </c>
      <c r="S530" s="14">
        <f>SUMIFS(Donnees_annuelles!$D$3:$D$188,Donnees_annuelles!$A$3:$A$188,"&gt;="&amp;G530,Donnees_annuelles!$A$3:$A$188,"&lt;="&amp;N530)*L530/ROUNDUP(L530,0)</f>
        <v/>
      </c>
      <c r="T530" s="14">
        <f>SUMIFS(Donnees_regimes!$N$3:$N$1118,Donnees_regimes!$A$3:$A$1118,C530,Donnees_regimes!$B$3:$B$1118,"&gt;="&amp;G530,Donnees_regimes!$B$3:$B$1118,"&lt;="&amp;N530)*L530/ROUNDUP(L530,0)</f>
        <v/>
      </c>
      <c r="U530" s="14">
        <f>SUMIFS(Donnees_regimes!$O$3:$O$1118,Donnees_regimes!$A$3:$A$1118,C530,Donnees_regimes!$B$3:$B$1118,"&gt;="&amp;G530,Donnees_regimes!$B$3:$B$1118,"&lt;="&amp;N530)*L530/ROUNDUP(L530,0)</f>
        <v/>
      </c>
      <c r="V530" s="14">
        <f>T530+U530</f>
        <v/>
      </c>
      <c r="W530" s="33">
        <f>V530/S530</f>
        <v/>
      </c>
      <c r="X530" s="14">
        <f>S530+U530</f>
        <v/>
      </c>
      <c r="Y530" s="17">
        <f>V530/P530</f>
        <v/>
      </c>
      <c r="Z530" s="14">
        <f>SUMIFS(Donnees_regimes!$Q$3:$Q$1118,Donnees_regimes!$A$3:$A$1118,C530,Donnees_regimes!$B$3:$B$1118,"&gt;="&amp;G530,Donnees_regimes!$B$3:$B$1118,"&lt;="&amp;N530)*L530/ROUNDUP(L530,0)</f>
        <v/>
      </c>
      <c r="AA530" s="77">
        <f>SUMIFS(Regles_regimes!$F$3:$F$2000,Regles_regimes!$A$3:$A$2000,C530,Regles_regimes!$B$3:$B$2000,D530,Regles_regimes!$C$3:$C$2000,MAX(1915,MIN(2025,E530)))</f>
        <v/>
      </c>
      <c r="AB530" s="77">
        <f>IF(AND(SUMIFS(Regles_regimes!$L$3:$L$2000,Regles_regimes!$A$3:$A$2000,C530,Regles_regimes!$B$3:$B$2000,D530,Regles_regimes!$C$3:$C$2000,MAX(1915,MIN(2025,E530)))=1,G530&lt;2009,C530&lt;&gt;"Privé"),MIN(20,L530*4/5),0)</f>
        <v/>
      </c>
      <c r="AC530" s="89">
        <f>SUMIFS(Donnees_regimes!$M$3:$M$1118,Donnees_regimes!$A$3:$A$1118,C530,Donnees_regimes!$B$3:$B$1118,M530)</f>
        <v/>
      </c>
      <c r="AD530" s="14">
        <f>SUMIFS(Donnees_annuelles!$Y$3:$Y$188,Donnees_annuelles!$A$3:$A$188,M530)*SUMIFS(Donnees_generations!$I$3:$I$113,Donnees_generations!$A$3:$A$113,MAX(1915,MIN(2025,E530)))/H530</f>
        <v/>
      </c>
      <c r="AE530" s="14">
        <f>IF(C530="Privé",SUMIFS(Donnees_annuelles!$Y$3:$Y$188,Donnees_annuelles!$A$3:$A$188,M530)*MIN(L530,SUMIFS(Donnees_generations!$I$3:$I$113,Donnees_generations!$A$3:$A$113,MAX(1915,MIN(2025,E530))))/L530,AD530*AC530*MIN(IF(AB530&gt;0,0.8/0.75,1),(L530*4+AB530)/AA530))</f>
        <v/>
      </c>
      <c r="AF530" s="14">
        <f>AE530/12</f>
        <v/>
      </c>
      <c r="AG530" s="77">
        <f>MIN(68,MAX(56,2*INT(K530/2)))</f>
        <v/>
      </c>
      <c r="AH530" s="75">
        <f>(CHOOSE((AG530-56)/2+1,SUMIFS(Donnees_generations!$U$3:$U$113,Donnees_generations!$A$3:$A$113,MAX(1915,MIN(2025,E530))),SUMIFS(Donnees_generations!$V$3:$V$113,Donnees_generations!$A$3:$A$113,MAX(1915,MIN(2025,E530))),SUMIFS(Donnees_generations!$W$3:$W$113,Donnees_generations!$A$3:$A$113,MAX(1915,MIN(2025,E530))),SUMIFS(Donnees_generations!$X$3:$X$113,Donnees_generations!$A$3:$A$113,MAX(1915,MIN(2025,E530))),SUMIFS(Donnees_generations!$Y$3:$Y$113,Donnees_generations!$A$3:$A$113,MAX(1915,MIN(2025,E530))),SUMIFS(Donnees_generations!$Z$3:$Z$113,Donnees_generations!$A$3:$A$113,MAX(1915,MIN(2025,E530))),SUMIFS(Donnees_generations!$AA$3:$AA$113,Donnees_generations!$A$3:$A$113,MAX(1915,MIN(2025,E530))),SUMIFS(Donnees_generations!$AB$3:$AB$113,Donnees_generations!$A$3:$A$113,MAX(1915,MIN(2025,E530))))+CHOOSE((AG530-56)/2+1,SUMIFS(Donnees_generations!$AC$3:$AC$113,Donnees_generations!$A$3:$A$113,MAX(1915,MIN(2025,E530))),SUMIFS(Donnees_generations!$AD$3:$AD$113,Donnees_generations!$A$3:$A$113,MAX(1915,MIN(2025,E530))),SUMIFS(Donnees_generations!$AE$3:$AE$113,Donnees_generations!$A$3:$A$113,MAX(1915,MIN(2025,E530))),SUMIFS(Donnees_generations!$AF$3:$AF$113,Donnees_generations!$A$3:$A$113,MAX(1915,MIN(2025,E530))),SUMIFS(Donnees_generations!$AG$3:$AG$113,Donnees_generations!$A$3:$A$113,MAX(1915,MIN(2025,E530))),SUMIFS(Donnees_generations!$AH$3:$AH$113,Donnees_generations!$A$3:$A$113,MAX(1915,MIN(2025,E530))),SUMIFS(Donnees_generations!$AI$3:$AI$113,Donnees_generations!$A$3:$A$113,MAX(1915,MIN(2025,E530))),SUMIFS(Donnees_generations!$AJ$3:$AJ$113,Donnees_generations!$A$3:$A$113,MAX(1915,MIN(2025,E530)))))/2</f>
        <v/>
      </c>
      <c r="AI530" s="75">
        <f>(CHOOSE(((AG530+2)-56)/2+1,SUMIFS(Donnees_generations!$U$3:$U$113,Donnees_generations!$A$3:$A$113,MAX(1915,MIN(2025,E530))),SUMIFS(Donnees_generations!$V$3:$V$113,Donnees_generations!$A$3:$A$113,MAX(1915,MIN(2025,E530))),SUMIFS(Donnees_generations!$W$3:$W$113,Donnees_generations!$A$3:$A$113,MAX(1915,MIN(2025,E530))),SUMIFS(Donnees_generations!$X$3:$X$113,Donnees_generations!$A$3:$A$113,MAX(1915,MIN(2025,E530))),SUMIFS(Donnees_generations!$Y$3:$Y$113,Donnees_generations!$A$3:$A$113,MAX(1915,MIN(2025,E530))),SUMIFS(Donnees_generations!$Z$3:$Z$113,Donnees_generations!$A$3:$A$113,MAX(1915,MIN(2025,E530))),SUMIFS(Donnees_generations!$AA$3:$AA$113,Donnees_generations!$A$3:$A$113,MAX(1915,MIN(2025,E530))),SUMIFS(Donnees_generations!$AB$3:$AB$113,Donnees_generations!$A$3:$A$113,MAX(1915,MIN(2025,E530))))+CHOOSE(((AG530+2)-56)/2+1,SUMIFS(Donnees_generations!$AC$3:$AC$113,Donnees_generations!$A$3:$A$113,MAX(1915,MIN(2025,E530))),SUMIFS(Donnees_generations!$AD$3:$AD$113,Donnees_generations!$A$3:$A$113,MAX(1915,MIN(2025,E530))),SUMIFS(Donnees_generations!$AE$3:$AE$113,Donnees_generations!$A$3:$A$113,MAX(1915,MIN(2025,E530))),SUMIFS(Donnees_generations!$AF$3:$AF$113,Donnees_generations!$A$3:$A$113,MAX(1915,MIN(2025,E530))),SUMIFS(Donnees_generations!$AG$3:$AG$113,Donnees_generations!$A$3:$A$113,MAX(1915,MIN(2025,E530))),SUMIFS(Donnees_generations!$AH$3:$AH$113,Donnees_generations!$A$3:$A$113,MAX(1915,MIN(2025,E530))),SUMIFS(Donnees_generations!$AI$3:$AI$113,Donnees_generations!$A$3:$A$113,MAX(1915,MIN(2025,E530))),SUMIFS(Donnees_generations!$AJ$3:$AJ$113,Donnees_generations!$A$3:$A$113,MAX(1915,MIN(2025,E530)))))/2</f>
        <v/>
      </c>
      <c r="AJ530" s="8">
        <f>MAX(0,AH530+(AI530-AH530)*(K530-AG530)/2)</f>
        <v/>
      </c>
      <c r="AK530" s="8">
        <f>K530+AJ530</f>
        <v/>
      </c>
      <c r="AL530" s="14">
        <f>AE530*AJ530</f>
        <v/>
      </c>
      <c r="AM530" s="17">
        <f>V530/AL530</f>
        <v/>
      </c>
      <c r="AN530" s="17">
        <f>Z530/AL530</f>
        <v/>
      </c>
      <c r="AO530" s="33">
        <f>IF(V530+Z530=0,0,Z530/(V530+Z530))</f>
        <v/>
      </c>
      <c r="AP530" s="14">
        <f>AL530/V530*100</f>
        <v/>
      </c>
      <c r="AQ530" s="8">
        <f>P530/AL530*1000</f>
        <v/>
      </c>
      <c r="AR530" s="77">
        <f>MAX(N530,M530-1)</f>
        <v/>
      </c>
      <c r="AS530" s="14">
        <f>SUMIFS(Donnees_regimes!$R$3:$R$1118,Donnees_regimes!$A$3:$A$1118,C530,Donnees_regimes!$B$3:$B$1118,"&gt;="&amp;G530,Donnees_regimes!$B$3:$B$1118,"&lt;="&amp;N530)*L530/ROUNDUP(L530,0)*SUMIFS(Donnees_annuelles!$AG$3:$AG$188,Donnees_annuelles!$A$3:$A$188,AR530)*SUMIFS(Donnees_annuelles!$AA$3:$AA$188,Donnees_annuelles!$A$3:$A$188,AR530)</f>
        <v/>
      </c>
      <c r="AT530" s="36">
        <f>AS530/V530</f>
        <v/>
      </c>
      <c r="AU530" s="14">
        <f>AL530</f>
        <v/>
      </c>
      <c r="AV530" s="39">
        <f>AS530-AL530</f>
        <v/>
      </c>
      <c r="AW530" s="9">
        <f>AS530/AL530-1</f>
        <v/>
      </c>
      <c r="AX530" s="14">
        <f>AS530/AJ530/12</f>
        <v/>
      </c>
      <c r="AY530" s="14">
        <f>AF530</f>
        <v/>
      </c>
      <c r="AZ530" s="39">
        <f>AX530-AF530</f>
        <v/>
      </c>
      <c r="BA530" s="14">
        <f>SUMIFS(Donnees_regimes!$S$3:$S$1118,Donnees_regimes!$A$3:$A$1118,C530,Donnees_regimes!$B$3:$B$1118,"&gt;="&amp;G530,Donnees_regimes!$B$3:$B$1118,"&lt;="&amp;N530)*L530/ROUNDUP(L530,0)*SUMIFS(Donnees_annuelles!$AH$3:$AH$188,Donnees_annuelles!$A$3:$A$188,AR530)*SUMIFS(Donnees_annuelles!$AA$3:$AA$188,Donnees_annuelles!$A$3:$A$188,AR530)</f>
        <v/>
      </c>
      <c r="BB530" s="39">
        <f>BA530-AL530</f>
        <v/>
      </c>
      <c r="BC530" s="7">
        <f>IF(M530+AJ530&gt;2026,IF(G530&gt;2026,"entièrement projeté","en partie projeté"),"observé")</f>
        <v/>
      </c>
    </row>
    <row r="531">
      <c r="A531" s="7" t="inlineStr">
        <is>
          <t>Génération X</t>
        </is>
      </c>
      <c r="B531" s="84" t="inlineStr">
        <is>
          <t>IEG</t>
        </is>
      </c>
      <c r="C531" s="7">
        <f>IF(G531&gt;=SUMIFS(Regimes!$C$5:$C$10,Regimes!$A$5:$A$10,B531),"Privé",B531)</f>
        <v/>
      </c>
      <c r="D531" s="7">
        <f>INDEX(Regimes!$D$5:$D$10,MATCH(C531,Regimes!$A$5:$A$10,0))</f>
        <v/>
      </c>
      <c r="E531" s="88" t="n">
        <v>1966</v>
      </c>
      <c r="F531" s="8">
        <f>Donnees_generations!C54</f>
        <v/>
      </c>
      <c r="G531" s="77">
        <f>Donnees_generations!D54</f>
        <v/>
      </c>
      <c r="H531" s="8">
        <f>SUMIFS(Donnees_generations!$S$3:$S$113,Donnees_generations!$A$3:$A$113,MAX(1915,MIN(2025,E531)))</f>
        <v/>
      </c>
      <c r="I531" s="8">
        <f>SUMIFS(Donnees_generations!$T$3:$T$113,Donnees_generations!$A$3:$A$113,MAX(1915,MIN(2025,E531)))</f>
        <v/>
      </c>
      <c r="J531" s="8">
        <f>IF(G531&gt;=2000,MAX(I531,Parametres!$B$3),I531)</f>
        <v/>
      </c>
      <c r="K531" s="8">
        <f>IF(C531="Privé",J531,SUMIFS(Regles_regimes!$J$3:$J$2000,Regles_regimes!$A$3:$A$2000,C531,Regles_regimes!$B$3:$B$2000,D531,Regles_regimes!$C$3:$C$2000,MAX(1915,MIN(2025,E531))))</f>
        <v/>
      </c>
      <c r="L531" s="8">
        <f>IF(C531="Privé",H531,(K531-F531)*H531/(J531-F531))</f>
        <v/>
      </c>
      <c r="M531" s="77">
        <f>INT(E531+K531)</f>
        <v/>
      </c>
      <c r="N531" s="77">
        <f>G531+ROUNDUP(L531,0)-1</f>
        <v/>
      </c>
      <c r="O531" s="89">
        <f>SUMIFS(Regles_regimes!$K$3:$K$2000,Regles_regimes!$A$3:$A$2000,C531,Regles_regimes!$B$3:$B$2000,D531,Regles_regimes!$C$3:$C$2000,MAX(1915,MIN(2025,E531)))</f>
        <v/>
      </c>
      <c r="P531" s="13">
        <f>SUMIFS(Donnees_annuelles!$W$3:$W$188,Donnees_annuelles!$A$3:$A$188,"&gt;="&amp;G531,Donnees_annuelles!$A$3:$A$188,"&lt;="&amp;N531)*L531/ROUNDUP(L531,0)*O531</f>
        <v/>
      </c>
      <c r="Q531" s="13">
        <f>SUMIFS(Donnees_annuelles!$V$3:$V$188,Donnees_annuelles!$A$3:$A$188,"&gt;="&amp;G531,Donnees_annuelles!$A$3:$A$188,"&lt;="&amp;N531)*L531/ROUNDUP(L531,0)</f>
        <v/>
      </c>
      <c r="R531" s="13">
        <f>P531/L531</f>
        <v/>
      </c>
      <c r="S531" s="14">
        <f>SUMIFS(Donnees_annuelles!$D$3:$D$188,Donnees_annuelles!$A$3:$A$188,"&gt;="&amp;G531,Donnees_annuelles!$A$3:$A$188,"&lt;="&amp;N531)*L531/ROUNDUP(L531,0)</f>
        <v/>
      </c>
      <c r="T531" s="14">
        <f>SUMIFS(Donnees_regimes!$N$3:$N$1118,Donnees_regimes!$A$3:$A$1118,C531,Donnees_regimes!$B$3:$B$1118,"&gt;="&amp;G531,Donnees_regimes!$B$3:$B$1118,"&lt;="&amp;N531)*L531/ROUNDUP(L531,0)</f>
        <v/>
      </c>
      <c r="U531" s="14">
        <f>SUMIFS(Donnees_regimes!$O$3:$O$1118,Donnees_regimes!$A$3:$A$1118,C531,Donnees_regimes!$B$3:$B$1118,"&gt;="&amp;G531,Donnees_regimes!$B$3:$B$1118,"&lt;="&amp;N531)*L531/ROUNDUP(L531,0)</f>
        <v/>
      </c>
      <c r="V531" s="14">
        <f>T531+U531</f>
        <v/>
      </c>
      <c r="W531" s="33">
        <f>V531/S531</f>
        <v/>
      </c>
      <c r="X531" s="14">
        <f>S531+U531</f>
        <v/>
      </c>
      <c r="Y531" s="17">
        <f>V531/P531</f>
        <v/>
      </c>
      <c r="Z531" s="14">
        <f>SUMIFS(Donnees_regimes!$Q$3:$Q$1118,Donnees_regimes!$A$3:$A$1118,C531,Donnees_regimes!$B$3:$B$1118,"&gt;="&amp;G531,Donnees_regimes!$B$3:$B$1118,"&lt;="&amp;N531)*L531/ROUNDUP(L531,0)</f>
        <v/>
      </c>
      <c r="AA531" s="77">
        <f>SUMIFS(Regles_regimes!$F$3:$F$2000,Regles_regimes!$A$3:$A$2000,C531,Regles_regimes!$B$3:$B$2000,D531,Regles_regimes!$C$3:$C$2000,MAX(1915,MIN(2025,E531)))</f>
        <v/>
      </c>
      <c r="AB531" s="77">
        <f>IF(AND(SUMIFS(Regles_regimes!$L$3:$L$2000,Regles_regimes!$A$3:$A$2000,C531,Regles_regimes!$B$3:$B$2000,D531,Regles_regimes!$C$3:$C$2000,MAX(1915,MIN(2025,E531)))=1,G531&lt;2009,C531&lt;&gt;"Privé"),MIN(20,L531*4/5),0)</f>
        <v/>
      </c>
      <c r="AC531" s="89">
        <f>SUMIFS(Donnees_regimes!$M$3:$M$1118,Donnees_regimes!$A$3:$A$1118,C531,Donnees_regimes!$B$3:$B$1118,M531)</f>
        <v/>
      </c>
      <c r="AD531" s="14">
        <f>SUMIFS(Donnees_annuelles!$Y$3:$Y$188,Donnees_annuelles!$A$3:$A$188,M531)*SUMIFS(Donnees_generations!$I$3:$I$113,Donnees_generations!$A$3:$A$113,MAX(1915,MIN(2025,E531)))/H531</f>
        <v/>
      </c>
      <c r="AE531" s="14">
        <f>IF(C531="Privé",SUMIFS(Donnees_annuelles!$Y$3:$Y$188,Donnees_annuelles!$A$3:$A$188,M531)*MIN(L531,SUMIFS(Donnees_generations!$I$3:$I$113,Donnees_generations!$A$3:$A$113,MAX(1915,MIN(2025,E531))))/L531,AD531*AC531*MIN(IF(AB531&gt;0,0.8/0.75,1),(L531*4+AB531)/AA531))</f>
        <v/>
      </c>
      <c r="AF531" s="14">
        <f>AE531/12</f>
        <v/>
      </c>
      <c r="AG531" s="77">
        <f>MIN(68,MAX(56,2*INT(K531/2)))</f>
        <v/>
      </c>
      <c r="AH531" s="75">
        <f>(CHOOSE((AG531-56)/2+1,SUMIFS(Donnees_generations!$U$3:$U$113,Donnees_generations!$A$3:$A$113,MAX(1915,MIN(2025,E531))),SUMIFS(Donnees_generations!$V$3:$V$113,Donnees_generations!$A$3:$A$113,MAX(1915,MIN(2025,E531))),SUMIFS(Donnees_generations!$W$3:$W$113,Donnees_generations!$A$3:$A$113,MAX(1915,MIN(2025,E531))),SUMIFS(Donnees_generations!$X$3:$X$113,Donnees_generations!$A$3:$A$113,MAX(1915,MIN(2025,E531))),SUMIFS(Donnees_generations!$Y$3:$Y$113,Donnees_generations!$A$3:$A$113,MAX(1915,MIN(2025,E531))),SUMIFS(Donnees_generations!$Z$3:$Z$113,Donnees_generations!$A$3:$A$113,MAX(1915,MIN(2025,E531))),SUMIFS(Donnees_generations!$AA$3:$AA$113,Donnees_generations!$A$3:$A$113,MAX(1915,MIN(2025,E531))),SUMIFS(Donnees_generations!$AB$3:$AB$113,Donnees_generations!$A$3:$A$113,MAX(1915,MIN(2025,E531))))+CHOOSE((AG531-56)/2+1,SUMIFS(Donnees_generations!$AC$3:$AC$113,Donnees_generations!$A$3:$A$113,MAX(1915,MIN(2025,E531))),SUMIFS(Donnees_generations!$AD$3:$AD$113,Donnees_generations!$A$3:$A$113,MAX(1915,MIN(2025,E531))),SUMIFS(Donnees_generations!$AE$3:$AE$113,Donnees_generations!$A$3:$A$113,MAX(1915,MIN(2025,E531))),SUMIFS(Donnees_generations!$AF$3:$AF$113,Donnees_generations!$A$3:$A$113,MAX(1915,MIN(2025,E531))),SUMIFS(Donnees_generations!$AG$3:$AG$113,Donnees_generations!$A$3:$A$113,MAX(1915,MIN(2025,E531))),SUMIFS(Donnees_generations!$AH$3:$AH$113,Donnees_generations!$A$3:$A$113,MAX(1915,MIN(2025,E531))),SUMIFS(Donnees_generations!$AI$3:$AI$113,Donnees_generations!$A$3:$A$113,MAX(1915,MIN(2025,E531))),SUMIFS(Donnees_generations!$AJ$3:$AJ$113,Donnees_generations!$A$3:$A$113,MAX(1915,MIN(2025,E531)))))/2</f>
        <v/>
      </c>
      <c r="AI531" s="75">
        <f>(CHOOSE(((AG531+2)-56)/2+1,SUMIFS(Donnees_generations!$U$3:$U$113,Donnees_generations!$A$3:$A$113,MAX(1915,MIN(2025,E531))),SUMIFS(Donnees_generations!$V$3:$V$113,Donnees_generations!$A$3:$A$113,MAX(1915,MIN(2025,E531))),SUMIFS(Donnees_generations!$W$3:$W$113,Donnees_generations!$A$3:$A$113,MAX(1915,MIN(2025,E531))),SUMIFS(Donnees_generations!$X$3:$X$113,Donnees_generations!$A$3:$A$113,MAX(1915,MIN(2025,E531))),SUMIFS(Donnees_generations!$Y$3:$Y$113,Donnees_generations!$A$3:$A$113,MAX(1915,MIN(2025,E531))),SUMIFS(Donnees_generations!$Z$3:$Z$113,Donnees_generations!$A$3:$A$113,MAX(1915,MIN(2025,E531))),SUMIFS(Donnees_generations!$AA$3:$AA$113,Donnees_generations!$A$3:$A$113,MAX(1915,MIN(2025,E531))),SUMIFS(Donnees_generations!$AB$3:$AB$113,Donnees_generations!$A$3:$A$113,MAX(1915,MIN(2025,E531))))+CHOOSE(((AG531+2)-56)/2+1,SUMIFS(Donnees_generations!$AC$3:$AC$113,Donnees_generations!$A$3:$A$113,MAX(1915,MIN(2025,E531))),SUMIFS(Donnees_generations!$AD$3:$AD$113,Donnees_generations!$A$3:$A$113,MAX(1915,MIN(2025,E531))),SUMIFS(Donnees_generations!$AE$3:$AE$113,Donnees_generations!$A$3:$A$113,MAX(1915,MIN(2025,E531))),SUMIFS(Donnees_generations!$AF$3:$AF$113,Donnees_generations!$A$3:$A$113,MAX(1915,MIN(2025,E531))),SUMIFS(Donnees_generations!$AG$3:$AG$113,Donnees_generations!$A$3:$A$113,MAX(1915,MIN(2025,E531))),SUMIFS(Donnees_generations!$AH$3:$AH$113,Donnees_generations!$A$3:$A$113,MAX(1915,MIN(2025,E531))),SUMIFS(Donnees_generations!$AI$3:$AI$113,Donnees_generations!$A$3:$A$113,MAX(1915,MIN(2025,E531))),SUMIFS(Donnees_generations!$AJ$3:$AJ$113,Donnees_generations!$A$3:$A$113,MAX(1915,MIN(2025,E531)))))/2</f>
        <v/>
      </c>
      <c r="AJ531" s="8">
        <f>MAX(0,AH531+(AI531-AH531)*(K531-AG531)/2)</f>
        <v/>
      </c>
      <c r="AK531" s="8">
        <f>K531+AJ531</f>
        <v/>
      </c>
      <c r="AL531" s="14">
        <f>AE531*AJ531</f>
        <v/>
      </c>
      <c r="AM531" s="17">
        <f>V531/AL531</f>
        <v/>
      </c>
      <c r="AN531" s="17">
        <f>Z531/AL531</f>
        <v/>
      </c>
      <c r="AO531" s="33">
        <f>IF(V531+Z531=0,0,Z531/(V531+Z531))</f>
        <v/>
      </c>
      <c r="AP531" s="14">
        <f>AL531/V531*100</f>
        <v/>
      </c>
      <c r="AQ531" s="8">
        <f>P531/AL531*1000</f>
        <v/>
      </c>
      <c r="AR531" s="77">
        <f>MAX(N531,M531-1)</f>
        <v/>
      </c>
      <c r="AS531" s="14">
        <f>SUMIFS(Donnees_regimes!$R$3:$R$1118,Donnees_regimes!$A$3:$A$1118,C531,Donnees_regimes!$B$3:$B$1118,"&gt;="&amp;G531,Donnees_regimes!$B$3:$B$1118,"&lt;="&amp;N531)*L531/ROUNDUP(L531,0)*SUMIFS(Donnees_annuelles!$AG$3:$AG$188,Donnees_annuelles!$A$3:$A$188,AR531)*SUMIFS(Donnees_annuelles!$AA$3:$AA$188,Donnees_annuelles!$A$3:$A$188,AR531)</f>
        <v/>
      </c>
      <c r="AT531" s="36">
        <f>AS531/V531</f>
        <v/>
      </c>
      <c r="AU531" s="14">
        <f>AL531</f>
        <v/>
      </c>
      <c r="AV531" s="39">
        <f>AS531-AL531</f>
        <v/>
      </c>
      <c r="AW531" s="9">
        <f>AS531/AL531-1</f>
        <v/>
      </c>
      <c r="AX531" s="14">
        <f>AS531/AJ531/12</f>
        <v/>
      </c>
      <c r="AY531" s="14">
        <f>AF531</f>
        <v/>
      </c>
      <c r="AZ531" s="39">
        <f>AX531-AF531</f>
        <v/>
      </c>
      <c r="BA531" s="14">
        <f>SUMIFS(Donnees_regimes!$S$3:$S$1118,Donnees_regimes!$A$3:$A$1118,C531,Donnees_regimes!$B$3:$B$1118,"&gt;="&amp;G531,Donnees_regimes!$B$3:$B$1118,"&lt;="&amp;N531)*L531/ROUNDUP(L531,0)*SUMIFS(Donnees_annuelles!$AH$3:$AH$188,Donnees_annuelles!$A$3:$A$188,AR531)*SUMIFS(Donnees_annuelles!$AA$3:$AA$188,Donnees_annuelles!$A$3:$A$188,AR531)</f>
        <v/>
      </c>
      <c r="BB531" s="39">
        <f>BA531-AL531</f>
        <v/>
      </c>
      <c r="BC531" s="7">
        <f>IF(M531+AJ531&gt;2026,IF(G531&gt;2026,"entièrement projeté","en partie projeté"),"observé")</f>
        <v/>
      </c>
    </row>
    <row r="532">
      <c r="A532" s="7" t="inlineStr">
        <is>
          <t>Génération X</t>
        </is>
      </c>
      <c r="B532" s="84" t="inlineStr">
        <is>
          <t>IEG</t>
        </is>
      </c>
      <c r="C532" s="7">
        <f>IF(G532&gt;=SUMIFS(Regimes!$C$5:$C$10,Regimes!$A$5:$A$10,B532),"Privé",B532)</f>
        <v/>
      </c>
      <c r="D532" s="7">
        <f>INDEX(Regimes!$D$5:$D$10,MATCH(C532,Regimes!$A$5:$A$10,0))</f>
        <v/>
      </c>
      <c r="E532" s="88" t="n">
        <v>1967</v>
      </c>
      <c r="F532" s="8">
        <f>Donnees_generations!C55</f>
        <v/>
      </c>
      <c r="G532" s="77">
        <f>Donnees_generations!D55</f>
        <v/>
      </c>
      <c r="H532" s="8">
        <f>SUMIFS(Donnees_generations!$S$3:$S$113,Donnees_generations!$A$3:$A$113,MAX(1915,MIN(2025,E532)))</f>
        <v/>
      </c>
      <c r="I532" s="8">
        <f>SUMIFS(Donnees_generations!$T$3:$T$113,Donnees_generations!$A$3:$A$113,MAX(1915,MIN(2025,E532)))</f>
        <v/>
      </c>
      <c r="J532" s="8">
        <f>IF(G532&gt;=2000,MAX(I532,Parametres!$B$3),I532)</f>
        <v/>
      </c>
      <c r="K532" s="8">
        <f>IF(C532="Privé",J532,SUMIFS(Regles_regimes!$J$3:$J$2000,Regles_regimes!$A$3:$A$2000,C532,Regles_regimes!$B$3:$B$2000,D532,Regles_regimes!$C$3:$C$2000,MAX(1915,MIN(2025,E532))))</f>
        <v/>
      </c>
      <c r="L532" s="8">
        <f>IF(C532="Privé",H532,(K532-F532)*H532/(J532-F532))</f>
        <v/>
      </c>
      <c r="M532" s="77">
        <f>INT(E532+K532)</f>
        <v/>
      </c>
      <c r="N532" s="77">
        <f>G532+ROUNDUP(L532,0)-1</f>
        <v/>
      </c>
      <c r="O532" s="89">
        <f>SUMIFS(Regles_regimes!$K$3:$K$2000,Regles_regimes!$A$3:$A$2000,C532,Regles_regimes!$B$3:$B$2000,D532,Regles_regimes!$C$3:$C$2000,MAX(1915,MIN(2025,E532)))</f>
        <v/>
      </c>
      <c r="P532" s="13">
        <f>SUMIFS(Donnees_annuelles!$W$3:$W$188,Donnees_annuelles!$A$3:$A$188,"&gt;="&amp;G532,Donnees_annuelles!$A$3:$A$188,"&lt;="&amp;N532)*L532/ROUNDUP(L532,0)*O532</f>
        <v/>
      </c>
      <c r="Q532" s="13">
        <f>SUMIFS(Donnees_annuelles!$V$3:$V$188,Donnees_annuelles!$A$3:$A$188,"&gt;="&amp;G532,Donnees_annuelles!$A$3:$A$188,"&lt;="&amp;N532)*L532/ROUNDUP(L532,0)</f>
        <v/>
      </c>
      <c r="R532" s="13">
        <f>P532/L532</f>
        <v/>
      </c>
      <c r="S532" s="14">
        <f>SUMIFS(Donnees_annuelles!$D$3:$D$188,Donnees_annuelles!$A$3:$A$188,"&gt;="&amp;G532,Donnees_annuelles!$A$3:$A$188,"&lt;="&amp;N532)*L532/ROUNDUP(L532,0)</f>
        <v/>
      </c>
      <c r="T532" s="14">
        <f>SUMIFS(Donnees_regimes!$N$3:$N$1118,Donnees_regimes!$A$3:$A$1118,C532,Donnees_regimes!$B$3:$B$1118,"&gt;="&amp;G532,Donnees_regimes!$B$3:$B$1118,"&lt;="&amp;N532)*L532/ROUNDUP(L532,0)</f>
        <v/>
      </c>
      <c r="U532" s="14">
        <f>SUMIFS(Donnees_regimes!$O$3:$O$1118,Donnees_regimes!$A$3:$A$1118,C532,Donnees_regimes!$B$3:$B$1118,"&gt;="&amp;G532,Donnees_regimes!$B$3:$B$1118,"&lt;="&amp;N532)*L532/ROUNDUP(L532,0)</f>
        <v/>
      </c>
      <c r="V532" s="14">
        <f>T532+U532</f>
        <v/>
      </c>
      <c r="W532" s="33">
        <f>V532/S532</f>
        <v/>
      </c>
      <c r="X532" s="14">
        <f>S532+U532</f>
        <v/>
      </c>
      <c r="Y532" s="17">
        <f>V532/P532</f>
        <v/>
      </c>
      <c r="Z532" s="14">
        <f>SUMIFS(Donnees_regimes!$Q$3:$Q$1118,Donnees_regimes!$A$3:$A$1118,C532,Donnees_regimes!$B$3:$B$1118,"&gt;="&amp;G532,Donnees_regimes!$B$3:$B$1118,"&lt;="&amp;N532)*L532/ROUNDUP(L532,0)</f>
        <v/>
      </c>
      <c r="AA532" s="77">
        <f>SUMIFS(Regles_regimes!$F$3:$F$2000,Regles_regimes!$A$3:$A$2000,C532,Regles_regimes!$B$3:$B$2000,D532,Regles_regimes!$C$3:$C$2000,MAX(1915,MIN(2025,E532)))</f>
        <v/>
      </c>
      <c r="AB532" s="77">
        <f>IF(AND(SUMIFS(Regles_regimes!$L$3:$L$2000,Regles_regimes!$A$3:$A$2000,C532,Regles_regimes!$B$3:$B$2000,D532,Regles_regimes!$C$3:$C$2000,MAX(1915,MIN(2025,E532)))=1,G532&lt;2009,C532&lt;&gt;"Privé"),MIN(20,L532*4/5),0)</f>
        <v/>
      </c>
      <c r="AC532" s="89">
        <f>SUMIFS(Donnees_regimes!$M$3:$M$1118,Donnees_regimes!$A$3:$A$1118,C532,Donnees_regimes!$B$3:$B$1118,M532)</f>
        <v/>
      </c>
      <c r="AD532" s="14">
        <f>SUMIFS(Donnees_annuelles!$Y$3:$Y$188,Donnees_annuelles!$A$3:$A$188,M532)*SUMIFS(Donnees_generations!$I$3:$I$113,Donnees_generations!$A$3:$A$113,MAX(1915,MIN(2025,E532)))/H532</f>
        <v/>
      </c>
      <c r="AE532" s="14">
        <f>IF(C532="Privé",SUMIFS(Donnees_annuelles!$Y$3:$Y$188,Donnees_annuelles!$A$3:$A$188,M532)*MIN(L532,SUMIFS(Donnees_generations!$I$3:$I$113,Donnees_generations!$A$3:$A$113,MAX(1915,MIN(2025,E532))))/L532,AD532*AC532*MIN(IF(AB532&gt;0,0.8/0.75,1),(L532*4+AB532)/AA532))</f>
        <v/>
      </c>
      <c r="AF532" s="14">
        <f>AE532/12</f>
        <v/>
      </c>
      <c r="AG532" s="77">
        <f>MIN(68,MAX(56,2*INT(K532/2)))</f>
        <v/>
      </c>
      <c r="AH532" s="75">
        <f>(CHOOSE((AG532-56)/2+1,SUMIFS(Donnees_generations!$U$3:$U$113,Donnees_generations!$A$3:$A$113,MAX(1915,MIN(2025,E532))),SUMIFS(Donnees_generations!$V$3:$V$113,Donnees_generations!$A$3:$A$113,MAX(1915,MIN(2025,E532))),SUMIFS(Donnees_generations!$W$3:$W$113,Donnees_generations!$A$3:$A$113,MAX(1915,MIN(2025,E532))),SUMIFS(Donnees_generations!$X$3:$X$113,Donnees_generations!$A$3:$A$113,MAX(1915,MIN(2025,E532))),SUMIFS(Donnees_generations!$Y$3:$Y$113,Donnees_generations!$A$3:$A$113,MAX(1915,MIN(2025,E532))),SUMIFS(Donnees_generations!$Z$3:$Z$113,Donnees_generations!$A$3:$A$113,MAX(1915,MIN(2025,E532))),SUMIFS(Donnees_generations!$AA$3:$AA$113,Donnees_generations!$A$3:$A$113,MAX(1915,MIN(2025,E532))),SUMIFS(Donnees_generations!$AB$3:$AB$113,Donnees_generations!$A$3:$A$113,MAX(1915,MIN(2025,E532))))+CHOOSE((AG532-56)/2+1,SUMIFS(Donnees_generations!$AC$3:$AC$113,Donnees_generations!$A$3:$A$113,MAX(1915,MIN(2025,E532))),SUMIFS(Donnees_generations!$AD$3:$AD$113,Donnees_generations!$A$3:$A$113,MAX(1915,MIN(2025,E532))),SUMIFS(Donnees_generations!$AE$3:$AE$113,Donnees_generations!$A$3:$A$113,MAX(1915,MIN(2025,E532))),SUMIFS(Donnees_generations!$AF$3:$AF$113,Donnees_generations!$A$3:$A$113,MAX(1915,MIN(2025,E532))),SUMIFS(Donnees_generations!$AG$3:$AG$113,Donnees_generations!$A$3:$A$113,MAX(1915,MIN(2025,E532))),SUMIFS(Donnees_generations!$AH$3:$AH$113,Donnees_generations!$A$3:$A$113,MAX(1915,MIN(2025,E532))),SUMIFS(Donnees_generations!$AI$3:$AI$113,Donnees_generations!$A$3:$A$113,MAX(1915,MIN(2025,E532))),SUMIFS(Donnees_generations!$AJ$3:$AJ$113,Donnees_generations!$A$3:$A$113,MAX(1915,MIN(2025,E532)))))/2</f>
        <v/>
      </c>
      <c r="AI532" s="75">
        <f>(CHOOSE(((AG532+2)-56)/2+1,SUMIFS(Donnees_generations!$U$3:$U$113,Donnees_generations!$A$3:$A$113,MAX(1915,MIN(2025,E532))),SUMIFS(Donnees_generations!$V$3:$V$113,Donnees_generations!$A$3:$A$113,MAX(1915,MIN(2025,E532))),SUMIFS(Donnees_generations!$W$3:$W$113,Donnees_generations!$A$3:$A$113,MAX(1915,MIN(2025,E532))),SUMIFS(Donnees_generations!$X$3:$X$113,Donnees_generations!$A$3:$A$113,MAX(1915,MIN(2025,E532))),SUMIFS(Donnees_generations!$Y$3:$Y$113,Donnees_generations!$A$3:$A$113,MAX(1915,MIN(2025,E532))),SUMIFS(Donnees_generations!$Z$3:$Z$113,Donnees_generations!$A$3:$A$113,MAX(1915,MIN(2025,E532))),SUMIFS(Donnees_generations!$AA$3:$AA$113,Donnees_generations!$A$3:$A$113,MAX(1915,MIN(2025,E532))),SUMIFS(Donnees_generations!$AB$3:$AB$113,Donnees_generations!$A$3:$A$113,MAX(1915,MIN(2025,E532))))+CHOOSE(((AG532+2)-56)/2+1,SUMIFS(Donnees_generations!$AC$3:$AC$113,Donnees_generations!$A$3:$A$113,MAX(1915,MIN(2025,E532))),SUMIFS(Donnees_generations!$AD$3:$AD$113,Donnees_generations!$A$3:$A$113,MAX(1915,MIN(2025,E532))),SUMIFS(Donnees_generations!$AE$3:$AE$113,Donnees_generations!$A$3:$A$113,MAX(1915,MIN(2025,E532))),SUMIFS(Donnees_generations!$AF$3:$AF$113,Donnees_generations!$A$3:$A$113,MAX(1915,MIN(2025,E532))),SUMIFS(Donnees_generations!$AG$3:$AG$113,Donnees_generations!$A$3:$A$113,MAX(1915,MIN(2025,E532))),SUMIFS(Donnees_generations!$AH$3:$AH$113,Donnees_generations!$A$3:$A$113,MAX(1915,MIN(2025,E532))),SUMIFS(Donnees_generations!$AI$3:$AI$113,Donnees_generations!$A$3:$A$113,MAX(1915,MIN(2025,E532))),SUMIFS(Donnees_generations!$AJ$3:$AJ$113,Donnees_generations!$A$3:$A$113,MAX(1915,MIN(2025,E532)))))/2</f>
        <v/>
      </c>
      <c r="AJ532" s="8">
        <f>MAX(0,AH532+(AI532-AH532)*(K532-AG532)/2)</f>
        <v/>
      </c>
      <c r="AK532" s="8">
        <f>K532+AJ532</f>
        <v/>
      </c>
      <c r="AL532" s="14">
        <f>AE532*AJ532</f>
        <v/>
      </c>
      <c r="AM532" s="17">
        <f>V532/AL532</f>
        <v/>
      </c>
      <c r="AN532" s="17">
        <f>Z532/AL532</f>
        <v/>
      </c>
      <c r="AO532" s="33">
        <f>IF(V532+Z532=0,0,Z532/(V532+Z532))</f>
        <v/>
      </c>
      <c r="AP532" s="14">
        <f>AL532/V532*100</f>
        <v/>
      </c>
      <c r="AQ532" s="8">
        <f>P532/AL532*1000</f>
        <v/>
      </c>
      <c r="AR532" s="77">
        <f>MAX(N532,M532-1)</f>
        <v/>
      </c>
      <c r="AS532" s="14">
        <f>SUMIFS(Donnees_regimes!$R$3:$R$1118,Donnees_regimes!$A$3:$A$1118,C532,Donnees_regimes!$B$3:$B$1118,"&gt;="&amp;G532,Donnees_regimes!$B$3:$B$1118,"&lt;="&amp;N532)*L532/ROUNDUP(L532,0)*SUMIFS(Donnees_annuelles!$AG$3:$AG$188,Donnees_annuelles!$A$3:$A$188,AR532)*SUMIFS(Donnees_annuelles!$AA$3:$AA$188,Donnees_annuelles!$A$3:$A$188,AR532)</f>
        <v/>
      </c>
      <c r="AT532" s="36">
        <f>AS532/V532</f>
        <v/>
      </c>
      <c r="AU532" s="14">
        <f>AL532</f>
        <v/>
      </c>
      <c r="AV532" s="39">
        <f>AS532-AL532</f>
        <v/>
      </c>
      <c r="AW532" s="9">
        <f>AS532/AL532-1</f>
        <v/>
      </c>
      <c r="AX532" s="14">
        <f>AS532/AJ532/12</f>
        <v/>
      </c>
      <c r="AY532" s="14">
        <f>AF532</f>
        <v/>
      </c>
      <c r="AZ532" s="39">
        <f>AX532-AF532</f>
        <v/>
      </c>
      <c r="BA532" s="14">
        <f>SUMIFS(Donnees_regimes!$S$3:$S$1118,Donnees_regimes!$A$3:$A$1118,C532,Donnees_regimes!$B$3:$B$1118,"&gt;="&amp;G532,Donnees_regimes!$B$3:$B$1118,"&lt;="&amp;N532)*L532/ROUNDUP(L532,0)*SUMIFS(Donnees_annuelles!$AH$3:$AH$188,Donnees_annuelles!$A$3:$A$188,AR532)*SUMIFS(Donnees_annuelles!$AA$3:$AA$188,Donnees_annuelles!$A$3:$A$188,AR532)</f>
        <v/>
      </c>
      <c r="BB532" s="39">
        <f>BA532-AL532</f>
        <v/>
      </c>
      <c r="BC532" s="7">
        <f>IF(M532+AJ532&gt;2026,IF(G532&gt;2026,"entièrement projeté","en partie projeté"),"observé")</f>
        <v/>
      </c>
    </row>
    <row r="533">
      <c r="A533" s="7" t="inlineStr">
        <is>
          <t>Génération X</t>
        </is>
      </c>
      <c r="B533" s="84" t="inlineStr">
        <is>
          <t>IEG</t>
        </is>
      </c>
      <c r="C533" s="7">
        <f>IF(G533&gt;=SUMIFS(Regimes!$C$5:$C$10,Regimes!$A$5:$A$10,B533),"Privé",B533)</f>
        <v/>
      </c>
      <c r="D533" s="7">
        <f>INDEX(Regimes!$D$5:$D$10,MATCH(C533,Regimes!$A$5:$A$10,0))</f>
        <v/>
      </c>
      <c r="E533" s="88" t="n">
        <v>1968</v>
      </c>
      <c r="F533" s="8">
        <f>Donnees_generations!C56</f>
        <v/>
      </c>
      <c r="G533" s="77">
        <f>Donnees_generations!D56</f>
        <v/>
      </c>
      <c r="H533" s="8">
        <f>SUMIFS(Donnees_generations!$S$3:$S$113,Donnees_generations!$A$3:$A$113,MAX(1915,MIN(2025,E533)))</f>
        <v/>
      </c>
      <c r="I533" s="8">
        <f>SUMIFS(Donnees_generations!$T$3:$T$113,Donnees_generations!$A$3:$A$113,MAX(1915,MIN(2025,E533)))</f>
        <v/>
      </c>
      <c r="J533" s="8">
        <f>IF(G533&gt;=2000,MAX(I533,Parametres!$B$3),I533)</f>
        <v/>
      </c>
      <c r="K533" s="8">
        <f>IF(C533="Privé",J533,SUMIFS(Regles_regimes!$J$3:$J$2000,Regles_regimes!$A$3:$A$2000,C533,Regles_regimes!$B$3:$B$2000,D533,Regles_regimes!$C$3:$C$2000,MAX(1915,MIN(2025,E533))))</f>
        <v/>
      </c>
      <c r="L533" s="8">
        <f>IF(C533="Privé",H533,(K533-F533)*H533/(J533-F533))</f>
        <v/>
      </c>
      <c r="M533" s="77">
        <f>INT(E533+K533)</f>
        <v/>
      </c>
      <c r="N533" s="77">
        <f>G533+ROUNDUP(L533,0)-1</f>
        <v/>
      </c>
      <c r="O533" s="89">
        <f>SUMIFS(Regles_regimes!$K$3:$K$2000,Regles_regimes!$A$3:$A$2000,C533,Regles_regimes!$B$3:$B$2000,D533,Regles_regimes!$C$3:$C$2000,MAX(1915,MIN(2025,E533)))</f>
        <v/>
      </c>
      <c r="P533" s="13">
        <f>SUMIFS(Donnees_annuelles!$W$3:$W$188,Donnees_annuelles!$A$3:$A$188,"&gt;="&amp;G533,Donnees_annuelles!$A$3:$A$188,"&lt;="&amp;N533)*L533/ROUNDUP(L533,0)*O533</f>
        <v/>
      </c>
      <c r="Q533" s="13">
        <f>SUMIFS(Donnees_annuelles!$V$3:$V$188,Donnees_annuelles!$A$3:$A$188,"&gt;="&amp;G533,Donnees_annuelles!$A$3:$A$188,"&lt;="&amp;N533)*L533/ROUNDUP(L533,0)</f>
        <v/>
      </c>
      <c r="R533" s="13">
        <f>P533/L533</f>
        <v/>
      </c>
      <c r="S533" s="14">
        <f>SUMIFS(Donnees_annuelles!$D$3:$D$188,Donnees_annuelles!$A$3:$A$188,"&gt;="&amp;G533,Donnees_annuelles!$A$3:$A$188,"&lt;="&amp;N533)*L533/ROUNDUP(L533,0)</f>
        <v/>
      </c>
      <c r="T533" s="14">
        <f>SUMIFS(Donnees_regimes!$N$3:$N$1118,Donnees_regimes!$A$3:$A$1118,C533,Donnees_regimes!$B$3:$B$1118,"&gt;="&amp;G533,Donnees_regimes!$B$3:$B$1118,"&lt;="&amp;N533)*L533/ROUNDUP(L533,0)</f>
        <v/>
      </c>
      <c r="U533" s="14">
        <f>SUMIFS(Donnees_regimes!$O$3:$O$1118,Donnees_regimes!$A$3:$A$1118,C533,Donnees_regimes!$B$3:$B$1118,"&gt;="&amp;G533,Donnees_regimes!$B$3:$B$1118,"&lt;="&amp;N533)*L533/ROUNDUP(L533,0)</f>
        <v/>
      </c>
      <c r="V533" s="14">
        <f>T533+U533</f>
        <v/>
      </c>
      <c r="W533" s="33">
        <f>V533/S533</f>
        <v/>
      </c>
      <c r="X533" s="14">
        <f>S533+U533</f>
        <v/>
      </c>
      <c r="Y533" s="17">
        <f>V533/P533</f>
        <v/>
      </c>
      <c r="Z533" s="14">
        <f>SUMIFS(Donnees_regimes!$Q$3:$Q$1118,Donnees_regimes!$A$3:$A$1118,C533,Donnees_regimes!$B$3:$B$1118,"&gt;="&amp;G533,Donnees_regimes!$B$3:$B$1118,"&lt;="&amp;N533)*L533/ROUNDUP(L533,0)</f>
        <v/>
      </c>
      <c r="AA533" s="77">
        <f>SUMIFS(Regles_regimes!$F$3:$F$2000,Regles_regimes!$A$3:$A$2000,C533,Regles_regimes!$B$3:$B$2000,D533,Regles_regimes!$C$3:$C$2000,MAX(1915,MIN(2025,E533)))</f>
        <v/>
      </c>
      <c r="AB533" s="77">
        <f>IF(AND(SUMIFS(Regles_regimes!$L$3:$L$2000,Regles_regimes!$A$3:$A$2000,C533,Regles_regimes!$B$3:$B$2000,D533,Regles_regimes!$C$3:$C$2000,MAX(1915,MIN(2025,E533)))=1,G533&lt;2009,C533&lt;&gt;"Privé"),MIN(20,L533*4/5),0)</f>
        <v/>
      </c>
      <c r="AC533" s="89">
        <f>SUMIFS(Donnees_regimes!$M$3:$M$1118,Donnees_regimes!$A$3:$A$1118,C533,Donnees_regimes!$B$3:$B$1118,M533)</f>
        <v/>
      </c>
      <c r="AD533" s="14">
        <f>SUMIFS(Donnees_annuelles!$Y$3:$Y$188,Donnees_annuelles!$A$3:$A$188,M533)*SUMIFS(Donnees_generations!$I$3:$I$113,Donnees_generations!$A$3:$A$113,MAX(1915,MIN(2025,E533)))/H533</f>
        <v/>
      </c>
      <c r="AE533" s="14">
        <f>IF(C533="Privé",SUMIFS(Donnees_annuelles!$Y$3:$Y$188,Donnees_annuelles!$A$3:$A$188,M533)*MIN(L533,SUMIFS(Donnees_generations!$I$3:$I$113,Donnees_generations!$A$3:$A$113,MAX(1915,MIN(2025,E533))))/L533,AD533*AC533*MIN(IF(AB533&gt;0,0.8/0.75,1),(L533*4+AB533)/AA533))</f>
        <v/>
      </c>
      <c r="AF533" s="14">
        <f>AE533/12</f>
        <v/>
      </c>
      <c r="AG533" s="77">
        <f>MIN(68,MAX(56,2*INT(K533/2)))</f>
        <v/>
      </c>
      <c r="AH533" s="75">
        <f>(CHOOSE((AG533-56)/2+1,SUMIFS(Donnees_generations!$U$3:$U$113,Donnees_generations!$A$3:$A$113,MAX(1915,MIN(2025,E533))),SUMIFS(Donnees_generations!$V$3:$V$113,Donnees_generations!$A$3:$A$113,MAX(1915,MIN(2025,E533))),SUMIFS(Donnees_generations!$W$3:$W$113,Donnees_generations!$A$3:$A$113,MAX(1915,MIN(2025,E533))),SUMIFS(Donnees_generations!$X$3:$X$113,Donnees_generations!$A$3:$A$113,MAX(1915,MIN(2025,E533))),SUMIFS(Donnees_generations!$Y$3:$Y$113,Donnees_generations!$A$3:$A$113,MAX(1915,MIN(2025,E533))),SUMIFS(Donnees_generations!$Z$3:$Z$113,Donnees_generations!$A$3:$A$113,MAX(1915,MIN(2025,E533))),SUMIFS(Donnees_generations!$AA$3:$AA$113,Donnees_generations!$A$3:$A$113,MAX(1915,MIN(2025,E533))),SUMIFS(Donnees_generations!$AB$3:$AB$113,Donnees_generations!$A$3:$A$113,MAX(1915,MIN(2025,E533))))+CHOOSE((AG533-56)/2+1,SUMIFS(Donnees_generations!$AC$3:$AC$113,Donnees_generations!$A$3:$A$113,MAX(1915,MIN(2025,E533))),SUMIFS(Donnees_generations!$AD$3:$AD$113,Donnees_generations!$A$3:$A$113,MAX(1915,MIN(2025,E533))),SUMIFS(Donnees_generations!$AE$3:$AE$113,Donnees_generations!$A$3:$A$113,MAX(1915,MIN(2025,E533))),SUMIFS(Donnees_generations!$AF$3:$AF$113,Donnees_generations!$A$3:$A$113,MAX(1915,MIN(2025,E533))),SUMIFS(Donnees_generations!$AG$3:$AG$113,Donnees_generations!$A$3:$A$113,MAX(1915,MIN(2025,E533))),SUMIFS(Donnees_generations!$AH$3:$AH$113,Donnees_generations!$A$3:$A$113,MAX(1915,MIN(2025,E533))),SUMIFS(Donnees_generations!$AI$3:$AI$113,Donnees_generations!$A$3:$A$113,MAX(1915,MIN(2025,E533))),SUMIFS(Donnees_generations!$AJ$3:$AJ$113,Donnees_generations!$A$3:$A$113,MAX(1915,MIN(2025,E533)))))/2</f>
        <v/>
      </c>
      <c r="AI533" s="75">
        <f>(CHOOSE(((AG533+2)-56)/2+1,SUMIFS(Donnees_generations!$U$3:$U$113,Donnees_generations!$A$3:$A$113,MAX(1915,MIN(2025,E533))),SUMIFS(Donnees_generations!$V$3:$V$113,Donnees_generations!$A$3:$A$113,MAX(1915,MIN(2025,E533))),SUMIFS(Donnees_generations!$W$3:$W$113,Donnees_generations!$A$3:$A$113,MAX(1915,MIN(2025,E533))),SUMIFS(Donnees_generations!$X$3:$X$113,Donnees_generations!$A$3:$A$113,MAX(1915,MIN(2025,E533))),SUMIFS(Donnees_generations!$Y$3:$Y$113,Donnees_generations!$A$3:$A$113,MAX(1915,MIN(2025,E533))),SUMIFS(Donnees_generations!$Z$3:$Z$113,Donnees_generations!$A$3:$A$113,MAX(1915,MIN(2025,E533))),SUMIFS(Donnees_generations!$AA$3:$AA$113,Donnees_generations!$A$3:$A$113,MAX(1915,MIN(2025,E533))),SUMIFS(Donnees_generations!$AB$3:$AB$113,Donnees_generations!$A$3:$A$113,MAX(1915,MIN(2025,E533))))+CHOOSE(((AG533+2)-56)/2+1,SUMIFS(Donnees_generations!$AC$3:$AC$113,Donnees_generations!$A$3:$A$113,MAX(1915,MIN(2025,E533))),SUMIFS(Donnees_generations!$AD$3:$AD$113,Donnees_generations!$A$3:$A$113,MAX(1915,MIN(2025,E533))),SUMIFS(Donnees_generations!$AE$3:$AE$113,Donnees_generations!$A$3:$A$113,MAX(1915,MIN(2025,E533))),SUMIFS(Donnees_generations!$AF$3:$AF$113,Donnees_generations!$A$3:$A$113,MAX(1915,MIN(2025,E533))),SUMIFS(Donnees_generations!$AG$3:$AG$113,Donnees_generations!$A$3:$A$113,MAX(1915,MIN(2025,E533))),SUMIFS(Donnees_generations!$AH$3:$AH$113,Donnees_generations!$A$3:$A$113,MAX(1915,MIN(2025,E533))),SUMIFS(Donnees_generations!$AI$3:$AI$113,Donnees_generations!$A$3:$A$113,MAX(1915,MIN(2025,E533))),SUMIFS(Donnees_generations!$AJ$3:$AJ$113,Donnees_generations!$A$3:$A$113,MAX(1915,MIN(2025,E533)))))/2</f>
        <v/>
      </c>
      <c r="AJ533" s="8">
        <f>MAX(0,AH533+(AI533-AH533)*(K533-AG533)/2)</f>
        <v/>
      </c>
      <c r="AK533" s="8">
        <f>K533+AJ533</f>
        <v/>
      </c>
      <c r="AL533" s="14">
        <f>AE533*AJ533</f>
        <v/>
      </c>
      <c r="AM533" s="17">
        <f>V533/AL533</f>
        <v/>
      </c>
      <c r="AN533" s="17">
        <f>Z533/AL533</f>
        <v/>
      </c>
      <c r="AO533" s="33">
        <f>IF(V533+Z533=0,0,Z533/(V533+Z533))</f>
        <v/>
      </c>
      <c r="AP533" s="14">
        <f>AL533/V533*100</f>
        <v/>
      </c>
      <c r="AQ533" s="8">
        <f>P533/AL533*1000</f>
        <v/>
      </c>
      <c r="AR533" s="77">
        <f>MAX(N533,M533-1)</f>
        <v/>
      </c>
      <c r="AS533" s="14">
        <f>SUMIFS(Donnees_regimes!$R$3:$R$1118,Donnees_regimes!$A$3:$A$1118,C533,Donnees_regimes!$B$3:$B$1118,"&gt;="&amp;G533,Donnees_regimes!$B$3:$B$1118,"&lt;="&amp;N533)*L533/ROUNDUP(L533,0)*SUMIFS(Donnees_annuelles!$AG$3:$AG$188,Donnees_annuelles!$A$3:$A$188,AR533)*SUMIFS(Donnees_annuelles!$AA$3:$AA$188,Donnees_annuelles!$A$3:$A$188,AR533)</f>
        <v/>
      </c>
      <c r="AT533" s="36">
        <f>AS533/V533</f>
        <v/>
      </c>
      <c r="AU533" s="14">
        <f>AL533</f>
        <v/>
      </c>
      <c r="AV533" s="39">
        <f>AS533-AL533</f>
        <v/>
      </c>
      <c r="AW533" s="9">
        <f>AS533/AL533-1</f>
        <v/>
      </c>
      <c r="AX533" s="14">
        <f>AS533/AJ533/12</f>
        <v/>
      </c>
      <c r="AY533" s="14">
        <f>AF533</f>
        <v/>
      </c>
      <c r="AZ533" s="39">
        <f>AX533-AF533</f>
        <v/>
      </c>
      <c r="BA533" s="14">
        <f>SUMIFS(Donnees_regimes!$S$3:$S$1118,Donnees_regimes!$A$3:$A$1118,C533,Donnees_regimes!$B$3:$B$1118,"&gt;="&amp;G533,Donnees_regimes!$B$3:$B$1118,"&lt;="&amp;N533)*L533/ROUNDUP(L533,0)*SUMIFS(Donnees_annuelles!$AH$3:$AH$188,Donnees_annuelles!$A$3:$A$188,AR533)*SUMIFS(Donnees_annuelles!$AA$3:$AA$188,Donnees_annuelles!$A$3:$A$188,AR533)</f>
        <v/>
      </c>
      <c r="BB533" s="39">
        <f>BA533-AL533</f>
        <v/>
      </c>
      <c r="BC533" s="7">
        <f>IF(M533+AJ533&gt;2026,IF(G533&gt;2026,"entièrement projeté","en partie projeté"),"observé")</f>
        <v/>
      </c>
    </row>
    <row r="534">
      <c r="A534" s="7" t="inlineStr">
        <is>
          <t>Génération X</t>
        </is>
      </c>
      <c r="B534" s="84" t="inlineStr">
        <is>
          <t>IEG</t>
        </is>
      </c>
      <c r="C534" s="7">
        <f>IF(G534&gt;=SUMIFS(Regimes!$C$5:$C$10,Regimes!$A$5:$A$10,B534),"Privé",B534)</f>
        <v/>
      </c>
      <c r="D534" s="7">
        <f>INDEX(Regimes!$D$5:$D$10,MATCH(C534,Regimes!$A$5:$A$10,0))</f>
        <v/>
      </c>
      <c r="E534" s="88" t="n">
        <v>1969</v>
      </c>
      <c r="F534" s="8">
        <f>Donnees_generations!C57</f>
        <v/>
      </c>
      <c r="G534" s="77">
        <f>Donnees_generations!D57</f>
        <v/>
      </c>
      <c r="H534" s="8">
        <f>SUMIFS(Donnees_generations!$S$3:$S$113,Donnees_generations!$A$3:$A$113,MAX(1915,MIN(2025,E534)))</f>
        <v/>
      </c>
      <c r="I534" s="8">
        <f>SUMIFS(Donnees_generations!$T$3:$T$113,Donnees_generations!$A$3:$A$113,MAX(1915,MIN(2025,E534)))</f>
        <v/>
      </c>
      <c r="J534" s="8">
        <f>IF(G534&gt;=2000,MAX(I534,Parametres!$B$3),I534)</f>
        <v/>
      </c>
      <c r="K534" s="8">
        <f>IF(C534="Privé",J534,SUMIFS(Regles_regimes!$J$3:$J$2000,Regles_regimes!$A$3:$A$2000,C534,Regles_regimes!$B$3:$B$2000,D534,Regles_regimes!$C$3:$C$2000,MAX(1915,MIN(2025,E534))))</f>
        <v/>
      </c>
      <c r="L534" s="8">
        <f>IF(C534="Privé",H534,(K534-F534)*H534/(J534-F534))</f>
        <v/>
      </c>
      <c r="M534" s="77">
        <f>INT(E534+K534)</f>
        <v/>
      </c>
      <c r="N534" s="77">
        <f>G534+ROUNDUP(L534,0)-1</f>
        <v/>
      </c>
      <c r="O534" s="89">
        <f>SUMIFS(Regles_regimes!$K$3:$K$2000,Regles_regimes!$A$3:$A$2000,C534,Regles_regimes!$B$3:$B$2000,D534,Regles_regimes!$C$3:$C$2000,MAX(1915,MIN(2025,E534)))</f>
        <v/>
      </c>
      <c r="P534" s="13">
        <f>SUMIFS(Donnees_annuelles!$W$3:$W$188,Donnees_annuelles!$A$3:$A$188,"&gt;="&amp;G534,Donnees_annuelles!$A$3:$A$188,"&lt;="&amp;N534)*L534/ROUNDUP(L534,0)*O534</f>
        <v/>
      </c>
      <c r="Q534" s="13">
        <f>SUMIFS(Donnees_annuelles!$V$3:$V$188,Donnees_annuelles!$A$3:$A$188,"&gt;="&amp;G534,Donnees_annuelles!$A$3:$A$188,"&lt;="&amp;N534)*L534/ROUNDUP(L534,0)</f>
        <v/>
      </c>
      <c r="R534" s="13">
        <f>P534/L534</f>
        <v/>
      </c>
      <c r="S534" s="14">
        <f>SUMIFS(Donnees_annuelles!$D$3:$D$188,Donnees_annuelles!$A$3:$A$188,"&gt;="&amp;G534,Donnees_annuelles!$A$3:$A$188,"&lt;="&amp;N534)*L534/ROUNDUP(L534,0)</f>
        <v/>
      </c>
      <c r="T534" s="14">
        <f>SUMIFS(Donnees_regimes!$N$3:$N$1118,Donnees_regimes!$A$3:$A$1118,C534,Donnees_regimes!$B$3:$B$1118,"&gt;="&amp;G534,Donnees_regimes!$B$3:$B$1118,"&lt;="&amp;N534)*L534/ROUNDUP(L534,0)</f>
        <v/>
      </c>
      <c r="U534" s="14">
        <f>SUMIFS(Donnees_regimes!$O$3:$O$1118,Donnees_regimes!$A$3:$A$1118,C534,Donnees_regimes!$B$3:$B$1118,"&gt;="&amp;G534,Donnees_regimes!$B$3:$B$1118,"&lt;="&amp;N534)*L534/ROUNDUP(L534,0)</f>
        <v/>
      </c>
      <c r="V534" s="14">
        <f>T534+U534</f>
        <v/>
      </c>
      <c r="W534" s="33">
        <f>V534/S534</f>
        <v/>
      </c>
      <c r="X534" s="14">
        <f>S534+U534</f>
        <v/>
      </c>
      <c r="Y534" s="17">
        <f>V534/P534</f>
        <v/>
      </c>
      <c r="Z534" s="14">
        <f>SUMIFS(Donnees_regimes!$Q$3:$Q$1118,Donnees_regimes!$A$3:$A$1118,C534,Donnees_regimes!$B$3:$B$1118,"&gt;="&amp;G534,Donnees_regimes!$B$3:$B$1118,"&lt;="&amp;N534)*L534/ROUNDUP(L534,0)</f>
        <v/>
      </c>
      <c r="AA534" s="77">
        <f>SUMIFS(Regles_regimes!$F$3:$F$2000,Regles_regimes!$A$3:$A$2000,C534,Regles_regimes!$B$3:$B$2000,D534,Regles_regimes!$C$3:$C$2000,MAX(1915,MIN(2025,E534)))</f>
        <v/>
      </c>
      <c r="AB534" s="77">
        <f>IF(AND(SUMIFS(Regles_regimes!$L$3:$L$2000,Regles_regimes!$A$3:$A$2000,C534,Regles_regimes!$B$3:$B$2000,D534,Regles_regimes!$C$3:$C$2000,MAX(1915,MIN(2025,E534)))=1,G534&lt;2009,C534&lt;&gt;"Privé"),MIN(20,L534*4/5),0)</f>
        <v/>
      </c>
      <c r="AC534" s="89">
        <f>SUMIFS(Donnees_regimes!$M$3:$M$1118,Donnees_regimes!$A$3:$A$1118,C534,Donnees_regimes!$B$3:$B$1118,M534)</f>
        <v/>
      </c>
      <c r="AD534" s="14">
        <f>SUMIFS(Donnees_annuelles!$Y$3:$Y$188,Donnees_annuelles!$A$3:$A$188,M534)*SUMIFS(Donnees_generations!$I$3:$I$113,Donnees_generations!$A$3:$A$113,MAX(1915,MIN(2025,E534)))/H534</f>
        <v/>
      </c>
      <c r="AE534" s="14">
        <f>IF(C534="Privé",SUMIFS(Donnees_annuelles!$Y$3:$Y$188,Donnees_annuelles!$A$3:$A$188,M534)*MIN(L534,SUMIFS(Donnees_generations!$I$3:$I$113,Donnees_generations!$A$3:$A$113,MAX(1915,MIN(2025,E534))))/L534,AD534*AC534*MIN(IF(AB534&gt;0,0.8/0.75,1),(L534*4+AB534)/AA534))</f>
        <v/>
      </c>
      <c r="AF534" s="14">
        <f>AE534/12</f>
        <v/>
      </c>
      <c r="AG534" s="77">
        <f>MIN(68,MAX(56,2*INT(K534/2)))</f>
        <v/>
      </c>
      <c r="AH534" s="75">
        <f>(CHOOSE((AG534-56)/2+1,SUMIFS(Donnees_generations!$U$3:$U$113,Donnees_generations!$A$3:$A$113,MAX(1915,MIN(2025,E534))),SUMIFS(Donnees_generations!$V$3:$V$113,Donnees_generations!$A$3:$A$113,MAX(1915,MIN(2025,E534))),SUMIFS(Donnees_generations!$W$3:$W$113,Donnees_generations!$A$3:$A$113,MAX(1915,MIN(2025,E534))),SUMIFS(Donnees_generations!$X$3:$X$113,Donnees_generations!$A$3:$A$113,MAX(1915,MIN(2025,E534))),SUMIFS(Donnees_generations!$Y$3:$Y$113,Donnees_generations!$A$3:$A$113,MAX(1915,MIN(2025,E534))),SUMIFS(Donnees_generations!$Z$3:$Z$113,Donnees_generations!$A$3:$A$113,MAX(1915,MIN(2025,E534))),SUMIFS(Donnees_generations!$AA$3:$AA$113,Donnees_generations!$A$3:$A$113,MAX(1915,MIN(2025,E534))),SUMIFS(Donnees_generations!$AB$3:$AB$113,Donnees_generations!$A$3:$A$113,MAX(1915,MIN(2025,E534))))+CHOOSE((AG534-56)/2+1,SUMIFS(Donnees_generations!$AC$3:$AC$113,Donnees_generations!$A$3:$A$113,MAX(1915,MIN(2025,E534))),SUMIFS(Donnees_generations!$AD$3:$AD$113,Donnees_generations!$A$3:$A$113,MAX(1915,MIN(2025,E534))),SUMIFS(Donnees_generations!$AE$3:$AE$113,Donnees_generations!$A$3:$A$113,MAX(1915,MIN(2025,E534))),SUMIFS(Donnees_generations!$AF$3:$AF$113,Donnees_generations!$A$3:$A$113,MAX(1915,MIN(2025,E534))),SUMIFS(Donnees_generations!$AG$3:$AG$113,Donnees_generations!$A$3:$A$113,MAX(1915,MIN(2025,E534))),SUMIFS(Donnees_generations!$AH$3:$AH$113,Donnees_generations!$A$3:$A$113,MAX(1915,MIN(2025,E534))),SUMIFS(Donnees_generations!$AI$3:$AI$113,Donnees_generations!$A$3:$A$113,MAX(1915,MIN(2025,E534))),SUMIFS(Donnees_generations!$AJ$3:$AJ$113,Donnees_generations!$A$3:$A$113,MAX(1915,MIN(2025,E534)))))/2</f>
        <v/>
      </c>
      <c r="AI534" s="75">
        <f>(CHOOSE(((AG534+2)-56)/2+1,SUMIFS(Donnees_generations!$U$3:$U$113,Donnees_generations!$A$3:$A$113,MAX(1915,MIN(2025,E534))),SUMIFS(Donnees_generations!$V$3:$V$113,Donnees_generations!$A$3:$A$113,MAX(1915,MIN(2025,E534))),SUMIFS(Donnees_generations!$W$3:$W$113,Donnees_generations!$A$3:$A$113,MAX(1915,MIN(2025,E534))),SUMIFS(Donnees_generations!$X$3:$X$113,Donnees_generations!$A$3:$A$113,MAX(1915,MIN(2025,E534))),SUMIFS(Donnees_generations!$Y$3:$Y$113,Donnees_generations!$A$3:$A$113,MAX(1915,MIN(2025,E534))),SUMIFS(Donnees_generations!$Z$3:$Z$113,Donnees_generations!$A$3:$A$113,MAX(1915,MIN(2025,E534))),SUMIFS(Donnees_generations!$AA$3:$AA$113,Donnees_generations!$A$3:$A$113,MAX(1915,MIN(2025,E534))),SUMIFS(Donnees_generations!$AB$3:$AB$113,Donnees_generations!$A$3:$A$113,MAX(1915,MIN(2025,E534))))+CHOOSE(((AG534+2)-56)/2+1,SUMIFS(Donnees_generations!$AC$3:$AC$113,Donnees_generations!$A$3:$A$113,MAX(1915,MIN(2025,E534))),SUMIFS(Donnees_generations!$AD$3:$AD$113,Donnees_generations!$A$3:$A$113,MAX(1915,MIN(2025,E534))),SUMIFS(Donnees_generations!$AE$3:$AE$113,Donnees_generations!$A$3:$A$113,MAX(1915,MIN(2025,E534))),SUMIFS(Donnees_generations!$AF$3:$AF$113,Donnees_generations!$A$3:$A$113,MAX(1915,MIN(2025,E534))),SUMIFS(Donnees_generations!$AG$3:$AG$113,Donnees_generations!$A$3:$A$113,MAX(1915,MIN(2025,E534))),SUMIFS(Donnees_generations!$AH$3:$AH$113,Donnees_generations!$A$3:$A$113,MAX(1915,MIN(2025,E534))),SUMIFS(Donnees_generations!$AI$3:$AI$113,Donnees_generations!$A$3:$A$113,MAX(1915,MIN(2025,E534))),SUMIFS(Donnees_generations!$AJ$3:$AJ$113,Donnees_generations!$A$3:$A$113,MAX(1915,MIN(2025,E534)))))/2</f>
        <v/>
      </c>
      <c r="AJ534" s="8">
        <f>MAX(0,AH534+(AI534-AH534)*(K534-AG534)/2)</f>
        <v/>
      </c>
      <c r="AK534" s="8">
        <f>K534+AJ534</f>
        <v/>
      </c>
      <c r="AL534" s="14">
        <f>AE534*AJ534</f>
        <v/>
      </c>
      <c r="AM534" s="17">
        <f>V534/AL534</f>
        <v/>
      </c>
      <c r="AN534" s="17">
        <f>Z534/AL534</f>
        <v/>
      </c>
      <c r="AO534" s="33">
        <f>IF(V534+Z534=0,0,Z534/(V534+Z534))</f>
        <v/>
      </c>
      <c r="AP534" s="14">
        <f>AL534/V534*100</f>
        <v/>
      </c>
      <c r="AQ534" s="8">
        <f>P534/AL534*1000</f>
        <v/>
      </c>
      <c r="AR534" s="77">
        <f>MAX(N534,M534-1)</f>
        <v/>
      </c>
      <c r="AS534" s="14">
        <f>SUMIFS(Donnees_regimes!$R$3:$R$1118,Donnees_regimes!$A$3:$A$1118,C534,Donnees_regimes!$B$3:$B$1118,"&gt;="&amp;G534,Donnees_regimes!$B$3:$B$1118,"&lt;="&amp;N534)*L534/ROUNDUP(L534,0)*SUMIFS(Donnees_annuelles!$AG$3:$AG$188,Donnees_annuelles!$A$3:$A$188,AR534)*SUMIFS(Donnees_annuelles!$AA$3:$AA$188,Donnees_annuelles!$A$3:$A$188,AR534)</f>
        <v/>
      </c>
      <c r="AT534" s="36">
        <f>AS534/V534</f>
        <v/>
      </c>
      <c r="AU534" s="14">
        <f>AL534</f>
        <v/>
      </c>
      <c r="AV534" s="39">
        <f>AS534-AL534</f>
        <v/>
      </c>
      <c r="AW534" s="9">
        <f>AS534/AL534-1</f>
        <v/>
      </c>
      <c r="AX534" s="14">
        <f>AS534/AJ534/12</f>
        <v/>
      </c>
      <c r="AY534" s="14">
        <f>AF534</f>
        <v/>
      </c>
      <c r="AZ534" s="39">
        <f>AX534-AF534</f>
        <v/>
      </c>
      <c r="BA534" s="14">
        <f>SUMIFS(Donnees_regimes!$S$3:$S$1118,Donnees_regimes!$A$3:$A$1118,C534,Donnees_regimes!$B$3:$B$1118,"&gt;="&amp;G534,Donnees_regimes!$B$3:$B$1118,"&lt;="&amp;N534)*L534/ROUNDUP(L534,0)*SUMIFS(Donnees_annuelles!$AH$3:$AH$188,Donnees_annuelles!$A$3:$A$188,AR534)*SUMIFS(Donnees_annuelles!$AA$3:$AA$188,Donnees_annuelles!$A$3:$A$188,AR534)</f>
        <v/>
      </c>
      <c r="BB534" s="39">
        <f>BA534-AL534</f>
        <v/>
      </c>
      <c r="BC534" s="7">
        <f>IF(M534+AJ534&gt;2026,IF(G534&gt;2026,"entièrement projeté","en partie projeté"),"observé")</f>
        <v/>
      </c>
    </row>
    <row r="535">
      <c r="A535" s="7" t="inlineStr">
        <is>
          <t>Génération X</t>
        </is>
      </c>
      <c r="B535" s="84" t="inlineStr">
        <is>
          <t>IEG</t>
        </is>
      </c>
      <c r="C535" s="7">
        <f>IF(G535&gt;=SUMIFS(Regimes!$C$5:$C$10,Regimes!$A$5:$A$10,B535),"Privé",B535)</f>
        <v/>
      </c>
      <c r="D535" s="7">
        <f>INDEX(Regimes!$D$5:$D$10,MATCH(C535,Regimes!$A$5:$A$10,0))</f>
        <v/>
      </c>
      <c r="E535" s="88" t="n">
        <v>1970</v>
      </c>
      <c r="F535" s="8">
        <f>Donnees_generations!C58</f>
        <v/>
      </c>
      <c r="G535" s="77">
        <f>Donnees_generations!D58</f>
        <v/>
      </c>
      <c r="H535" s="8">
        <f>SUMIFS(Donnees_generations!$S$3:$S$113,Donnees_generations!$A$3:$A$113,MAX(1915,MIN(2025,E535)))</f>
        <v/>
      </c>
      <c r="I535" s="8">
        <f>SUMIFS(Donnees_generations!$T$3:$T$113,Donnees_generations!$A$3:$A$113,MAX(1915,MIN(2025,E535)))</f>
        <v/>
      </c>
      <c r="J535" s="8">
        <f>IF(G535&gt;=2000,MAX(I535,Parametres!$B$3),I535)</f>
        <v/>
      </c>
      <c r="K535" s="8">
        <f>IF(C535="Privé",J535,SUMIFS(Regles_regimes!$J$3:$J$2000,Regles_regimes!$A$3:$A$2000,C535,Regles_regimes!$B$3:$B$2000,D535,Regles_regimes!$C$3:$C$2000,MAX(1915,MIN(2025,E535))))</f>
        <v/>
      </c>
      <c r="L535" s="8">
        <f>IF(C535="Privé",H535,(K535-F535)*H535/(J535-F535))</f>
        <v/>
      </c>
      <c r="M535" s="77">
        <f>INT(E535+K535)</f>
        <v/>
      </c>
      <c r="N535" s="77">
        <f>G535+ROUNDUP(L535,0)-1</f>
        <v/>
      </c>
      <c r="O535" s="89">
        <f>SUMIFS(Regles_regimes!$K$3:$K$2000,Regles_regimes!$A$3:$A$2000,C535,Regles_regimes!$B$3:$B$2000,D535,Regles_regimes!$C$3:$C$2000,MAX(1915,MIN(2025,E535)))</f>
        <v/>
      </c>
      <c r="P535" s="13">
        <f>SUMIFS(Donnees_annuelles!$W$3:$W$188,Donnees_annuelles!$A$3:$A$188,"&gt;="&amp;G535,Donnees_annuelles!$A$3:$A$188,"&lt;="&amp;N535)*L535/ROUNDUP(L535,0)*O535</f>
        <v/>
      </c>
      <c r="Q535" s="13">
        <f>SUMIFS(Donnees_annuelles!$V$3:$V$188,Donnees_annuelles!$A$3:$A$188,"&gt;="&amp;G535,Donnees_annuelles!$A$3:$A$188,"&lt;="&amp;N535)*L535/ROUNDUP(L535,0)</f>
        <v/>
      </c>
      <c r="R535" s="13">
        <f>P535/L535</f>
        <v/>
      </c>
      <c r="S535" s="14">
        <f>SUMIFS(Donnees_annuelles!$D$3:$D$188,Donnees_annuelles!$A$3:$A$188,"&gt;="&amp;G535,Donnees_annuelles!$A$3:$A$188,"&lt;="&amp;N535)*L535/ROUNDUP(L535,0)</f>
        <v/>
      </c>
      <c r="T535" s="14">
        <f>SUMIFS(Donnees_regimes!$N$3:$N$1118,Donnees_regimes!$A$3:$A$1118,C535,Donnees_regimes!$B$3:$B$1118,"&gt;="&amp;G535,Donnees_regimes!$B$3:$B$1118,"&lt;="&amp;N535)*L535/ROUNDUP(L535,0)</f>
        <v/>
      </c>
      <c r="U535" s="14">
        <f>SUMIFS(Donnees_regimes!$O$3:$O$1118,Donnees_regimes!$A$3:$A$1118,C535,Donnees_regimes!$B$3:$B$1118,"&gt;="&amp;G535,Donnees_regimes!$B$3:$B$1118,"&lt;="&amp;N535)*L535/ROUNDUP(L535,0)</f>
        <v/>
      </c>
      <c r="V535" s="14">
        <f>T535+U535</f>
        <v/>
      </c>
      <c r="W535" s="33">
        <f>V535/S535</f>
        <v/>
      </c>
      <c r="X535" s="14">
        <f>S535+U535</f>
        <v/>
      </c>
      <c r="Y535" s="17">
        <f>V535/P535</f>
        <v/>
      </c>
      <c r="Z535" s="14">
        <f>SUMIFS(Donnees_regimes!$Q$3:$Q$1118,Donnees_regimes!$A$3:$A$1118,C535,Donnees_regimes!$B$3:$B$1118,"&gt;="&amp;G535,Donnees_regimes!$B$3:$B$1118,"&lt;="&amp;N535)*L535/ROUNDUP(L535,0)</f>
        <v/>
      </c>
      <c r="AA535" s="77">
        <f>SUMIFS(Regles_regimes!$F$3:$F$2000,Regles_regimes!$A$3:$A$2000,C535,Regles_regimes!$B$3:$B$2000,D535,Regles_regimes!$C$3:$C$2000,MAX(1915,MIN(2025,E535)))</f>
        <v/>
      </c>
      <c r="AB535" s="77">
        <f>IF(AND(SUMIFS(Regles_regimes!$L$3:$L$2000,Regles_regimes!$A$3:$A$2000,C535,Regles_regimes!$B$3:$B$2000,D535,Regles_regimes!$C$3:$C$2000,MAX(1915,MIN(2025,E535)))=1,G535&lt;2009,C535&lt;&gt;"Privé"),MIN(20,L535*4/5),0)</f>
        <v/>
      </c>
      <c r="AC535" s="89">
        <f>SUMIFS(Donnees_regimes!$M$3:$M$1118,Donnees_regimes!$A$3:$A$1118,C535,Donnees_regimes!$B$3:$B$1118,M535)</f>
        <v/>
      </c>
      <c r="AD535" s="14">
        <f>SUMIFS(Donnees_annuelles!$Y$3:$Y$188,Donnees_annuelles!$A$3:$A$188,M535)*SUMIFS(Donnees_generations!$I$3:$I$113,Donnees_generations!$A$3:$A$113,MAX(1915,MIN(2025,E535)))/H535</f>
        <v/>
      </c>
      <c r="AE535" s="14">
        <f>IF(C535="Privé",SUMIFS(Donnees_annuelles!$Y$3:$Y$188,Donnees_annuelles!$A$3:$A$188,M535)*MIN(L535,SUMIFS(Donnees_generations!$I$3:$I$113,Donnees_generations!$A$3:$A$113,MAX(1915,MIN(2025,E535))))/L535,AD535*AC535*MIN(IF(AB535&gt;0,0.8/0.75,1),(L535*4+AB535)/AA535))</f>
        <v/>
      </c>
      <c r="AF535" s="14">
        <f>AE535/12</f>
        <v/>
      </c>
      <c r="AG535" s="77">
        <f>MIN(68,MAX(56,2*INT(K535/2)))</f>
        <v/>
      </c>
      <c r="AH535" s="75">
        <f>(CHOOSE((AG535-56)/2+1,SUMIFS(Donnees_generations!$U$3:$U$113,Donnees_generations!$A$3:$A$113,MAX(1915,MIN(2025,E535))),SUMIFS(Donnees_generations!$V$3:$V$113,Donnees_generations!$A$3:$A$113,MAX(1915,MIN(2025,E535))),SUMIFS(Donnees_generations!$W$3:$W$113,Donnees_generations!$A$3:$A$113,MAX(1915,MIN(2025,E535))),SUMIFS(Donnees_generations!$X$3:$X$113,Donnees_generations!$A$3:$A$113,MAX(1915,MIN(2025,E535))),SUMIFS(Donnees_generations!$Y$3:$Y$113,Donnees_generations!$A$3:$A$113,MAX(1915,MIN(2025,E535))),SUMIFS(Donnees_generations!$Z$3:$Z$113,Donnees_generations!$A$3:$A$113,MAX(1915,MIN(2025,E535))),SUMIFS(Donnees_generations!$AA$3:$AA$113,Donnees_generations!$A$3:$A$113,MAX(1915,MIN(2025,E535))),SUMIFS(Donnees_generations!$AB$3:$AB$113,Donnees_generations!$A$3:$A$113,MAX(1915,MIN(2025,E535))))+CHOOSE((AG535-56)/2+1,SUMIFS(Donnees_generations!$AC$3:$AC$113,Donnees_generations!$A$3:$A$113,MAX(1915,MIN(2025,E535))),SUMIFS(Donnees_generations!$AD$3:$AD$113,Donnees_generations!$A$3:$A$113,MAX(1915,MIN(2025,E535))),SUMIFS(Donnees_generations!$AE$3:$AE$113,Donnees_generations!$A$3:$A$113,MAX(1915,MIN(2025,E535))),SUMIFS(Donnees_generations!$AF$3:$AF$113,Donnees_generations!$A$3:$A$113,MAX(1915,MIN(2025,E535))),SUMIFS(Donnees_generations!$AG$3:$AG$113,Donnees_generations!$A$3:$A$113,MAX(1915,MIN(2025,E535))),SUMIFS(Donnees_generations!$AH$3:$AH$113,Donnees_generations!$A$3:$A$113,MAX(1915,MIN(2025,E535))),SUMIFS(Donnees_generations!$AI$3:$AI$113,Donnees_generations!$A$3:$A$113,MAX(1915,MIN(2025,E535))),SUMIFS(Donnees_generations!$AJ$3:$AJ$113,Donnees_generations!$A$3:$A$113,MAX(1915,MIN(2025,E535)))))/2</f>
        <v/>
      </c>
      <c r="AI535" s="75">
        <f>(CHOOSE(((AG535+2)-56)/2+1,SUMIFS(Donnees_generations!$U$3:$U$113,Donnees_generations!$A$3:$A$113,MAX(1915,MIN(2025,E535))),SUMIFS(Donnees_generations!$V$3:$V$113,Donnees_generations!$A$3:$A$113,MAX(1915,MIN(2025,E535))),SUMIFS(Donnees_generations!$W$3:$W$113,Donnees_generations!$A$3:$A$113,MAX(1915,MIN(2025,E535))),SUMIFS(Donnees_generations!$X$3:$X$113,Donnees_generations!$A$3:$A$113,MAX(1915,MIN(2025,E535))),SUMIFS(Donnees_generations!$Y$3:$Y$113,Donnees_generations!$A$3:$A$113,MAX(1915,MIN(2025,E535))),SUMIFS(Donnees_generations!$Z$3:$Z$113,Donnees_generations!$A$3:$A$113,MAX(1915,MIN(2025,E535))),SUMIFS(Donnees_generations!$AA$3:$AA$113,Donnees_generations!$A$3:$A$113,MAX(1915,MIN(2025,E535))),SUMIFS(Donnees_generations!$AB$3:$AB$113,Donnees_generations!$A$3:$A$113,MAX(1915,MIN(2025,E535))))+CHOOSE(((AG535+2)-56)/2+1,SUMIFS(Donnees_generations!$AC$3:$AC$113,Donnees_generations!$A$3:$A$113,MAX(1915,MIN(2025,E535))),SUMIFS(Donnees_generations!$AD$3:$AD$113,Donnees_generations!$A$3:$A$113,MAX(1915,MIN(2025,E535))),SUMIFS(Donnees_generations!$AE$3:$AE$113,Donnees_generations!$A$3:$A$113,MAX(1915,MIN(2025,E535))),SUMIFS(Donnees_generations!$AF$3:$AF$113,Donnees_generations!$A$3:$A$113,MAX(1915,MIN(2025,E535))),SUMIFS(Donnees_generations!$AG$3:$AG$113,Donnees_generations!$A$3:$A$113,MAX(1915,MIN(2025,E535))),SUMIFS(Donnees_generations!$AH$3:$AH$113,Donnees_generations!$A$3:$A$113,MAX(1915,MIN(2025,E535))),SUMIFS(Donnees_generations!$AI$3:$AI$113,Donnees_generations!$A$3:$A$113,MAX(1915,MIN(2025,E535))),SUMIFS(Donnees_generations!$AJ$3:$AJ$113,Donnees_generations!$A$3:$A$113,MAX(1915,MIN(2025,E535)))))/2</f>
        <v/>
      </c>
      <c r="AJ535" s="8">
        <f>MAX(0,AH535+(AI535-AH535)*(K535-AG535)/2)</f>
        <v/>
      </c>
      <c r="AK535" s="8">
        <f>K535+AJ535</f>
        <v/>
      </c>
      <c r="AL535" s="14">
        <f>AE535*AJ535</f>
        <v/>
      </c>
      <c r="AM535" s="17">
        <f>V535/AL535</f>
        <v/>
      </c>
      <c r="AN535" s="17">
        <f>Z535/AL535</f>
        <v/>
      </c>
      <c r="AO535" s="33">
        <f>IF(V535+Z535=0,0,Z535/(V535+Z535))</f>
        <v/>
      </c>
      <c r="AP535" s="14">
        <f>AL535/V535*100</f>
        <v/>
      </c>
      <c r="AQ535" s="8">
        <f>P535/AL535*1000</f>
        <v/>
      </c>
      <c r="AR535" s="77">
        <f>MAX(N535,M535-1)</f>
        <v/>
      </c>
      <c r="AS535" s="14">
        <f>SUMIFS(Donnees_regimes!$R$3:$R$1118,Donnees_regimes!$A$3:$A$1118,C535,Donnees_regimes!$B$3:$B$1118,"&gt;="&amp;G535,Donnees_regimes!$B$3:$B$1118,"&lt;="&amp;N535)*L535/ROUNDUP(L535,0)*SUMIFS(Donnees_annuelles!$AG$3:$AG$188,Donnees_annuelles!$A$3:$A$188,AR535)*SUMIFS(Donnees_annuelles!$AA$3:$AA$188,Donnees_annuelles!$A$3:$A$188,AR535)</f>
        <v/>
      </c>
      <c r="AT535" s="36">
        <f>AS535/V535</f>
        <v/>
      </c>
      <c r="AU535" s="14">
        <f>AL535</f>
        <v/>
      </c>
      <c r="AV535" s="39">
        <f>AS535-AL535</f>
        <v/>
      </c>
      <c r="AW535" s="9">
        <f>AS535/AL535-1</f>
        <v/>
      </c>
      <c r="AX535" s="14">
        <f>AS535/AJ535/12</f>
        <v/>
      </c>
      <c r="AY535" s="14">
        <f>AF535</f>
        <v/>
      </c>
      <c r="AZ535" s="39">
        <f>AX535-AF535</f>
        <v/>
      </c>
      <c r="BA535" s="14">
        <f>SUMIFS(Donnees_regimes!$S$3:$S$1118,Donnees_regimes!$A$3:$A$1118,C535,Donnees_regimes!$B$3:$B$1118,"&gt;="&amp;G535,Donnees_regimes!$B$3:$B$1118,"&lt;="&amp;N535)*L535/ROUNDUP(L535,0)*SUMIFS(Donnees_annuelles!$AH$3:$AH$188,Donnees_annuelles!$A$3:$A$188,AR535)*SUMIFS(Donnees_annuelles!$AA$3:$AA$188,Donnees_annuelles!$A$3:$A$188,AR535)</f>
        <v/>
      </c>
      <c r="BB535" s="39">
        <f>BA535-AL535</f>
        <v/>
      </c>
      <c r="BC535" s="7">
        <f>IF(M535+AJ535&gt;2026,IF(G535&gt;2026,"entièrement projeté","en partie projeté"),"observé")</f>
        <v/>
      </c>
    </row>
    <row r="536">
      <c r="A536" s="7" t="inlineStr">
        <is>
          <t>Génération X</t>
        </is>
      </c>
      <c r="B536" s="84" t="inlineStr">
        <is>
          <t>IEG</t>
        </is>
      </c>
      <c r="C536" s="7">
        <f>IF(G536&gt;=SUMIFS(Regimes!$C$5:$C$10,Regimes!$A$5:$A$10,B536),"Privé",B536)</f>
        <v/>
      </c>
      <c r="D536" s="7">
        <f>INDEX(Regimes!$D$5:$D$10,MATCH(C536,Regimes!$A$5:$A$10,0))</f>
        <v/>
      </c>
      <c r="E536" s="88" t="n">
        <v>1971</v>
      </c>
      <c r="F536" s="8">
        <f>Donnees_generations!C59</f>
        <v/>
      </c>
      <c r="G536" s="77">
        <f>Donnees_generations!D59</f>
        <v/>
      </c>
      <c r="H536" s="8">
        <f>SUMIFS(Donnees_generations!$S$3:$S$113,Donnees_generations!$A$3:$A$113,MAX(1915,MIN(2025,E536)))</f>
        <v/>
      </c>
      <c r="I536" s="8">
        <f>SUMIFS(Donnees_generations!$T$3:$T$113,Donnees_generations!$A$3:$A$113,MAX(1915,MIN(2025,E536)))</f>
        <v/>
      </c>
      <c r="J536" s="8">
        <f>IF(G536&gt;=2000,MAX(I536,Parametres!$B$3),I536)</f>
        <v/>
      </c>
      <c r="K536" s="8">
        <f>IF(C536="Privé",J536,SUMIFS(Regles_regimes!$J$3:$J$2000,Regles_regimes!$A$3:$A$2000,C536,Regles_regimes!$B$3:$B$2000,D536,Regles_regimes!$C$3:$C$2000,MAX(1915,MIN(2025,E536))))</f>
        <v/>
      </c>
      <c r="L536" s="8">
        <f>IF(C536="Privé",H536,(K536-F536)*H536/(J536-F536))</f>
        <v/>
      </c>
      <c r="M536" s="77">
        <f>INT(E536+K536)</f>
        <v/>
      </c>
      <c r="N536" s="77">
        <f>G536+ROUNDUP(L536,0)-1</f>
        <v/>
      </c>
      <c r="O536" s="89">
        <f>SUMIFS(Regles_regimes!$K$3:$K$2000,Regles_regimes!$A$3:$A$2000,C536,Regles_regimes!$B$3:$B$2000,D536,Regles_regimes!$C$3:$C$2000,MAX(1915,MIN(2025,E536)))</f>
        <v/>
      </c>
      <c r="P536" s="13">
        <f>SUMIFS(Donnees_annuelles!$W$3:$W$188,Donnees_annuelles!$A$3:$A$188,"&gt;="&amp;G536,Donnees_annuelles!$A$3:$A$188,"&lt;="&amp;N536)*L536/ROUNDUP(L536,0)*O536</f>
        <v/>
      </c>
      <c r="Q536" s="13">
        <f>SUMIFS(Donnees_annuelles!$V$3:$V$188,Donnees_annuelles!$A$3:$A$188,"&gt;="&amp;G536,Donnees_annuelles!$A$3:$A$188,"&lt;="&amp;N536)*L536/ROUNDUP(L536,0)</f>
        <v/>
      </c>
      <c r="R536" s="13">
        <f>P536/L536</f>
        <v/>
      </c>
      <c r="S536" s="14">
        <f>SUMIFS(Donnees_annuelles!$D$3:$D$188,Donnees_annuelles!$A$3:$A$188,"&gt;="&amp;G536,Donnees_annuelles!$A$3:$A$188,"&lt;="&amp;N536)*L536/ROUNDUP(L536,0)</f>
        <v/>
      </c>
      <c r="T536" s="14">
        <f>SUMIFS(Donnees_regimes!$N$3:$N$1118,Donnees_regimes!$A$3:$A$1118,C536,Donnees_regimes!$B$3:$B$1118,"&gt;="&amp;G536,Donnees_regimes!$B$3:$B$1118,"&lt;="&amp;N536)*L536/ROUNDUP(L536,0)</f>
        <v/>
      </c>
      <c r="U536" s="14">
        <f>SUMIFS(Donnees_regimes!$O$3:$O$1118,Donnees_regimes!$A$3:$A$1118,C536,Donnees_regimes!$B$3:$B$1118,"&gt;="&amp;G536,Donnees_regimes!$B$3:$B$1118,"&lt;="&amp;N536)*L536/ROUNDUP(L536,0)</f>
        <v/>
      </c>
      <c r="V536" s="14">
        <f>T536+U536</f>
        <v/>
      </c>
      <c r="W536" s="33">
        <f>V536/S536</f>
        <v/>
      </c>
      <c r="X536" s="14">
        <f>S536+U536</f>
        <v/>
      </c>
      <c r="Y536" s="17">
        <f>V536/P536</f>
        <v/>
      </c>
      <c r="Z536" s="14">
        <f>SUMIFS(Donnees_regimes!$Q$3:$Q$1118,Donnees_regimes!$A$3:$A$1118,C536,Donnees_regimes!$B$3:$B$1118,"&gt;="&amp;G536,Donnees_regimes!$B$3:$B$1118,"&lt;="&amp;N536)*L536/ROUNDUP(L536,0)</f>
        <v/>
      </c>
      <c r="AA536" s="77">
        <f>SUMIFS(Regles_regimes!$F$3:$F$2000,Regles_regimes!$A$3:$A$2000,C536,Regles_regimes!$B$3:$B$2000,D536,Regles_regimes!$C$3:$C$2000,MAX(1915,MIN(2025,E536)))</f>
        <v/>
      </c>
      <c r="AB536" s="77">
        <f>IF(AND(SUMIFS(Regles_regimes!$L$3:$L$2000,Regles_regimes!$A$3:$A$2000,C536,Regles_regimes!$B$3:$B$2000,D536,Regles_regimes!$C$3:$C$2000,MAX(1915,MIN(2025,E536)))=1,G536&lt;2009,C536&lt;&gt;"Privé"),MIN(20,L536*4/5),0)</f>
        <v/>
      </c>
      <c r="AC536" s="89">
        <f>SUMIFS(Donnees_regimes!$M$3:$M$1118,Donnees_regimes!$A$3:$A$1118,C536,Donnees_regimes!$B$3:$B$1118,M536)</f>
        <v/>
      </c>
      <c r="AD536" s="14">
        <f>SUMIFS(Donnees_annuelles!$Y$3:$Y$188,Donnees_annuelles!$A$3:$A$188,M536)*SUMIFS(Donnees_generations!$I$3:$I$113,Donnees_generations!$A$3:$A$113,MAX(1915,MIN(2025,E536)))/H536</f>
        <v/>
      </c>
      <c r="AE536" s="14">
        <f>IF(C536="Privé",SUMIFS(Donnees_annuelles!$Y$3:$Y$188,Donnees_annuelles!$A$3:$A$188,M536)*MIN(L536,SUMIFS(Donnees_generations!$I$3:$I$113,Donnees_generations!$A$3:$A$113,MAX(1915,MIN(2025,E536))))/L536,AD536*AC536*MIN(IF(AB536&gt;0,0.8/0.75,1),(L536*4+AB536)/AA536))</f>
        <v/>
      </c>
      <c r="AF536" s="14">
        <f>AE536/12</f>
        <v/>
      </c>
      <c r="AG536" s="77">
        <f>MIN(68,MAX(56,2*INT(K536/2)))</f>
        <v/>
      </c>
      <c r="AH536" s="75">
        <f>(CHOOSE((AG536-56)/2+1,SUMIFS(Donnees_generations!$U$3:$U$113,Donnees_generations!$A$3:$A$113,MAX(1915,MIN(2025,E536))),SUMIFS(Donnees_generations!$V$3:$V$113,Donnees_generations!$A$3:$A$113,MAX(1915,MIN(2025,E536))),SUMIFS(Donnees_generations!$W$3:$W$113,Donnees_generations!$A$3:$A$113,MAX(1915,MIN(2025,E536))),SUMIFS(Donnees_generations!$X$3:$X$113,Donnees_generations!$A$3:$A$113,MAX(1915,MIN(2025,E536))),SUMIFS(Donnees_generations!$Y$3:$Y$113,Donnees_generations!$A$3:$A$113,MAX(1915,MIN(2025,E536))),SUMIFS(Donnees_generations!$Z$3:$Z$113,Donnees_generations!$A$3:$A$113,MAX(1915,MIN(2025,E536))),SUMIFS(Donnees_generations!$AA$3:$AA$113,Donnees_generations!$A$3:$A$113,MAX(1915,MIN(2025,E536))),SUMIFS(Donnees_generations!$AB$3:$AB$113,Donnees_generations!$A$3:$A$113,MAX(1915,MIN(2025,E536))))+CHOOSE((AG536-56)/2+1,SUMIFS(Donnees_generations!$AC$3:$AC$113,Donnees_generations!$A$3:$A$113,MAX(1915,MIN(2025,E536))),SUMIFS(Donnees_generations!$AD$3:$AD$113,Donnees_generations!$A$3:$A$113,MAX(1915,MIN(2025,E536))),SUMIFS(Donnees_generations!$AE$3:$AE$113,Donnees_generations!$A$3:$A$113,MAX(1915,MIN(2025,E536))),SUMIFS(Donnees_generations!$AF$3:$AF$113,Donnees_generations!$A$3:$A$113,MAX(1915,MIN(2025,E536))),SUMIFS(Donnees_generations!$AG$3:$AG$113,Donnees_generations!$A$3:$A$113,MAX(1915,MIN(2025,E536))),SUMIFS(Donnees_generations!$AH$3:$AH$113,Donnees_generations!$A$3:$A$113,MAX(1915,MIN(2025,E536))),SUMIFS(Donnees_generations!$AI$3:$AI$113,Donnees_generations!$A$3:$A$113,MAX(1915,MIN(2025,E536))),SUMIFS(Donnees_generations!$AJ$3:$AJ$113,Donnees_generations!$A$3:$A$113,MAX(1915,MIN(2025,E536)))))/2</f>
        <v/>
      </c>
      <c r="AI536" s="75">
        <f>(CHOOSE(((AG536+2)-56)/2+1,SUMIFS(Donnees_generations!$U$3:$U$113,Donnees_generations!$A$3:$A$113,MAX(1915,MIN(2025,E536))),SUMIFS(Donnees_generations!$V$3:$V$113,Donnees_generations!$A$3:$A$113,MAX(1915,MIN(2025,E536))),SUMIFS(Donnees_generations!$W$3:$W$113,Donnees_generations!$A$3:$A$113,MAX(1915,MIN(2025,E536))),SUMIFS(Donnees_generations!$X$3:$X$113,Donnees_generations!$A$3:$A$113,MAX(1915,MIN(2025,E536))),SUMIFS(Donnees_generations!$Y$3:$Y$113,Donnees_generations!$A$3:$A$113,MAX(1915,MIN(2025,E536))),SUMIFS(Donnees_generations!$Z$3:$Z$113,Donnees_generations!$A$3:$A$113,MAX(1915,MIN(2025,E536))),SUMIFS(Donnees_generations!$AA$3:$AA$113,Donnees_generations!$A$3:$A$113,MAX(1915,MIN(2025,E536))),SUMIFS(Donnees_generations!$AB$3:$AB$113,Donnees_generations!$A$3:$A$113,MAX(1915,MIN(2025,E536))))+CHOOSE(((AG536+2)-56)/2+1,SUMIFS(Donnees_generations!$AC$3:$AC$113,Donnees_generations!$A$3:$A$113,MAX(1915,MIN(2025,E536))),SUMIFS(Donnees_generations!$AD$3:$AD$113,Donnees_generations!$A$3:$A$113,MAX(1915,MIN(2025,E536))),SUMIFS(Donnees_generations!$AE$3:$AE$113,Donnees_generations!$A$3:$A$113,MAX(1915,MIN(2025,E536))),SUMIFS(Donnees_generations!$AF$3:$AF$113,Donnees_generations!$A$3:$A$113,MAX(1915,MIN(2025,E536))),SUMIFS(Donnees_generations!$AG$3:$AG$113,Donnees_generations!$A$3:$A$113,MAX(1915,MIN(2025,E536))),SUMIFS(Donnees_generations!$AH$3:$AH$113,Donnees_generations!$A$3:$A$113,MAX(1915,MIN(2025,E536))),SUMIFS(Donnees_generations!$AI$3:$AI$113,Donnees_generations!$A$3:$A$113,MAX(1915,MIN(2025,E536))),SUMIFS(Donnees_generations!$AJ$3:$AJ$113,Donnees_generations!$A$3:$A$113,MAX(1915,MIN(2025,E536)))))/2</f>
        <v/>
      </c>
      <c r="AJ536" s="8">
        <f>MAX(0,AH536+(AI536-AH536)*(K536-AG536)/2)</f>
        <v/>
      </c>
      <c r="AK536" s="8">
        <f>K536+AJ536</f>
        <v/>
      </c>
      <c r="AL536" s="14">
        <f>AE536*AJ536</f>
        <v/>
      </c>
      <c r="AM536" s="17">
        <f>V536/AL536</f>
        <v/>
      </c>
      <c r="AN536" s="17">
        <f>Z536/AL536</f>
        <v/>
      </c>
      <c r="AO536" s="33">
        <f>IF(V536+Z536=0,0,Z536/(V536+Z536))</f>
        <v/>
      </c>
      <c r="AP536" s="14">
        <f>AL536/V536*100</f>
        <v/>
      </c>
      <c r="AQ536" s="8">
        <f>P536/AL536*1000</f>
        <v/>
      </c>
      <c r="AR536" s="77">
        <f>MAX(N536,M536-1)</f>
        <v/>
      </c>
      <c r="AS536" s="14">
        <f>SUMIFS(Donnees_regimes!$R$3:$R$1118,Donnees_regimes!$A$3:$A$1118,C536,Donnees_regimes!$B$3:$B$1118,"&gt;="&amp;G536,Donnees_regimes!$B$3:$B$1118,"&lt;="&amp;N536)*L536/ROUNDUP(L536,0)*SUMIFS(Donnees_annuelles!$AG$3:$AG$188,Donnees_annuelles!$A$3:$A$188,AR536)*SUMIFS(Donnees_annuelles!$AA$3:$AA$188,Donnees_annuelles!$A$3:$A$188,AR536)</f>
        <v/>
      </c>
      <c r="AT536" s="36">
        <f>AS536/V536</f>
        <v/>
      </c>
      <c r="AU536" s="14">
        <f>AL536</f>
        <v/>
      </c>
      <c r="AV536" s="39">
        <f>AS536-AL536</f>
        <v/>
      </c>
      <c r="AW536" s="9">
        <f>AS536/AL536-1</f>
        <v/>
      </c>
      <c r="AX536" s="14">
        <f>AS536/AJ536/12</f>
        <v/>
      </c>
      <c r="AY536" s="14">
        <f>AF536</f>
        <v/>
      </c>
      <c r="AZ536" s="39">
        <f>AX536-AF536</f>
        <v/>
      </c>
      <c r="BA536" s="14">
        <f>SUMIFS(Donnees_regimes!$S$3:$S$1118,Donnees_regimes!$A$3:$A$1118,C536,Donnees_regimes!$B$3:$B$1118,"&gt;="&amp;G536,Donnees_regimes!$B$3:$B$1118,"&lt;="&amp;N536)*L536/ROUNDUP(L536,0)*SUMIFS(Donnees_annuelles!$AH$3:$AH$188,Donnees_annuelles!$A$3:$A$188,AR536)*SUMIFS(Donnees_annuelles!$AA$3:$AA$188,Donnees_annuelles!$A$3:$A$188,AR536)</f>
        <v/>
      </c>
      <c r="BB536" s="39">
        <f>BA536-AL536</f>
        <v/>
      </c>
      <c r="BC536" s="7">
        <f>IF(M536+AJ536&gt;2026,IF(G536&gt;2026,"entièrement projeté","en partie projeté"),"observé")</f>
        <v/>
      </c>
    </row>
    <row r="537">
      <c r="A537" s="7" t="inlineStr">
        <is>
          <t>Génération X</t>
        </is>
      </c>
      <c r="B537" s="84" t="inlineStr">
        <is>
          <t>IEG</t>
        </is>
      </c>
      <c r="C537" s="7">
        <f>IF(G537&gt;=SUMIFS(Regimes!$C$5:$C$10,Regimes!$A$5:$A$10,B537),"Privé",B537)</f>
        <v/>
      </c>
      <c r="D537" s="7">
        <f>INDEX(Regimes!$D$5:$D$10,MATCH(C537,Regimes!$A$5:$A$10,0))</f>
        <v/>
      </c>
      <c r="E537" s="88" t="n">
        <v>1972</v>
      </c>
      <c r="F537" s="8">
        <f>Donnees_generations!C60</f>
        <v/>
      </c>
      <c r="G537" s="77">
        <f>Donnees_generations!D60</f>
        <v/>
      </c>
      <c r="H537" s="8">
        <f>SUMIFS(Donnees_generations!$S$3:$S$113,Donnees_generations!$A$3:$A$113,MAX(1915,MIN(2025,E537)))</f>
        <v/>
      </c>
      <c r="I537" s="8">
        <f>SUMIFS(Donnees_generations!$T$3:$T$113,Donnees_generations!$A$3:$A$113,MAX(1915,MIN(2025,E537)))</f>
        <v/>
      </c>
      <c r="J537" s="8">
        <f>IF(G537&gt;=2000,MAX(I537,Parametres!$B$3),I537)</f>
        <v/>
      </c>
      <c r="K537" s="8">
        <f>IF(C537="Privé",J537,SUMIFS(Regles_regimes!$J$3:$J$2000,Regles_regimes!$A$3:$A$2000,C537,Regles_regimes!$B$3:$B$2000,D537,Regles_regimes!$C$3:$C$2000,MAX(1915,MIN(2025,E537))))</f>
        <v/>
      </c>
      <c r="L537" s="8">
        <f>IF(C537="Privé",H537,(K537-F537)*H537/(J537-F537))</f>
        <v/>
      </c>
      <c r="M537" s="77">
        <f>INT(E537+K537)</f>
        <v/>
      </c>
      <c r="N537" s="77">
        <f>G537+ROUNDUP(L537,0)-1</f>
        <v/>
      </c>
      <c r="O537" s="89">
        <f>SUMIFS(Regles_regimes!$K$3:$K$2000,Regles_regimes!$A$3:$A$2000,C537,Regles_regimes!$B$3:$B$2000,D537,Regles_regimes!$C$3:$C$2000,MAX(1915,MIN(2025,E537)))</f>
        <v/>
      </c>
      <c r="P537" s="13">
        <f>SUMIFS(Donnees_annuelles!$W$3:$W$188,Donnees_annuelles!$A$3:$A$188,"&gt;="&amp;G537,Donnees_annuelles!$A$3:$A$188,"&lt;="&amp;N537)*L537/ROUNDUP(L537,0)*O537</f>
        <v/>
      </c>
      <c r="Q537" s="13">
        <f>SUMIFS(Donnees_annuelles!$V$3:$V$188,Donnees_annuelles!$A$3:$A$188,"&gt;="&amp;G537,Donnees_annuelles!$A$3:$A$188,"&lt;="&amp;N537)*L537/ROUNDUP(L537,0)</f>
        <v/>
      </c>
      <c r="R537" s="13">
        <f>P537/L537</f>
        <v/>
      </c>
      <c r="S537" s="14">
        <f>SUMIFS(Donnees_annuelles!$D$3:$D$188,Donnees_annuelles!$A$3:$A$188,"&gt;="&amp;G537,Donnees_annuelles!$A$3:$A$188,"&lt;="&amp;N537)*L537/ROUNDUP(L537,0)</f>
        <v/>
      </c>
      <c r="T537" s="14">
        <f>SUMIFS(Donnees_regimes!$N$3:$N$1118,Donnees_regimes!$A$3:$A$1118,C537,Donnees_regimes!$B$3:$B$1118,"&gt;="&amp;G537,Donnees_regimes!$B$3:$B$1118,"&lt;="&amp;N537)*L537/ROUNDUP(L537,0)</f>
        <v/>
      </c>
      <c r="U537" s="14">
        <f>SUMIFS(Donnees_regimes!$O$3:$O$1118,Donnees_regimes!$A$3:$A$1118,C537,Donnees_regimes!$B$3:$B$1118,"&gt;="&amp;G537,Donnees_regimes!$B$3:$B$1118,"&lt;="&amp;N537)*L537/ROUNDUP(L537,0)</f>
        <v/>
      </c>
      <c r="V537" s="14">
        <f>T537+U537</f>
        <v/>
      </c>
      <c r="W537" s="33">
        <f>V537/S537</f>
        <v/>
      </c>
      <c r="X537" s="14">
        <f>S537+U537</f>
        <v/>
      </c>
      <c r="Y537" s="17">
        <f>V537/P537</f>
        <v/>
      </c>
      <c r="Z537" s="14">
        <f>SUMIFS(Donnees_regimes!$Q$3:$Q$1118,Donnees_regimes!$A$3:$A$1118,C537,Donnees_regimes!$B$3:$B$1118,"&gt;="&amp;G537,Donnees_regimes!$B$3:$B$1118,"&lt;="&amp;N537)*L537/ROUNDUP(L537,0)</f>
        <v/>
      </c>
      <c r="AA537" s="77">
        <f>SUMIFS(Regles_regimes!$F$3:$F$2000,Regles_regimes!$A$3:$A$2000,C537,Regles_regimes!$B$3:$B$2000,D537,Regles_regimes!$C$3:$C$2000,MAX(1915,MIN(2025,E537)))</f>
        <v/>
      </c>
      <c r="AB537" s="77">
        <f>IF(AND(SUMIFS(Regles_regimes!$L$3:$L$2000,Regles_regimes!$A$3:$A$2000,C537,Regles_regimes!$B$3:$B$2000,D537,Regles_regimes!$C$3:$C$2000,MAX(1915,MIN(2025,E537)))=1,G537&lt;2009,C537&lt;&gt;"Privé"),MIN(20,L537*4/5),0)</f>
        <v/>
      </c>
      <c r="AC537" s="89">
        <f>SUMIFS(Donnees_regimes!$M$3:$M$1118,Donnees_regimes!$A$3:$A$1118,C537,Donnees_regimes!$B$3:$B$1118,M537)</f>
        <v/>
      </c>
      <c r="AD537" s="14">
        <f>SUMIFS(Donnees_annuelles!$Y$3:$Y$188,Donnees_annuelles!$A$3:$A$188,M537)*SUMIFS(Donnees_generations!$I$3:$I$113,Donnees_generations!$A$3:$A$113,MAX(1915,MIN(2025,E537)))/H537</f>
        <v/>
      </c>
      <c r="AE537" s="14">
        <f>IF(C537="Privé",SUMIFS(Donnees_annuelles!$Y$3:$Y$188,Donnees_annuelles!$A$3:$A$188,M537)*MIN(L537,SUMIFS(Donnees_generations!$I$3:$I$113,Donnees_generations!$A$3:$A$113,MAX(1915,MIN(2025,E537))))/L537,AD537*AC537*MIN(IF(AB537&gt;0,0.8/0.75,1),(L537*4+AB537)/AA537))</f>
        <v/>
      </c>
      <c r="AF537" s="14">
        <f>AE537/12</f>
        <v/>
      </c>
      <c r="AG537" s="77">
        <f>MIN(68,MAX(56,2*INT(K537/2)))</f>
        <v/>
      </c>
      <c r="AH537" s="75">
        <f>(CHOOSE((AG537-56)/2+1,SUMIFS(Donnees_generations!$U$3:$U$113,Donnees_generations!$A$3:$A$113,MAX(1915,MIN(2025,E537))),SUMIFS(Donnees_generations!$V$3:$V$113,Donnees_generations!$A$3:$A$113,MAX(1915,MIN(2025,E537))),SUMIFS(Donnees_generations!$W$3:$W$113,Donnees_generations!$A$3:$A$113,MAX(1915,MIN(2025,E537))),SUMIFS(Donnees_generations!$X$3:$X$113,Donnees_generations!$A$3:$A$113,MAX(1915,MIN(2025,E537))),SUMIFS(Donnees_generations!$Y$3:$Y$113,Donnees_generations!$A$3:$A$113,MAX(1915,MIN(2025,E537))),SUMIFS(Donnees_generations!$Z$3:$Z$113,Donnees_generations!$A$3:$A$113,MAX(1915,MIN(2025,E537))),SUMIFS(Donnees_generations!$AA$3:$AA$113,Donnees_generations!$A$3:$A$113,MAX(1915,MIN(2025,E537))),SUMIFS(Donnees_generations!$AB$3:$AB$113,Donnees_generations!$A$3:$A$113,MAX(1915,MIN(2025,E537))))+CHOOSE((AG537-56)/2+1,SUMIFS(Donnees_generations!$AC$3:$AC$113,Donnees_generations!$A$3:$A$113,MAX(1915,MIN(2025,E537))),SUMIFS(Donnees_generations!$AD$3:$AD$113,Donnees_generations!$A$3:$A$113,MAX(1915,MIN(2025,E537))),SUMIFS(Donnees_generations!$AE$3:$AE$113,Donnees_generations!$A$3:$A$113,MAX(1915,MIN(2025,E537))),SUMIFS(Donnees_generations!$AF$3:$AF$113,Donnees_generations!$A$3:$A$113,MAX(1915,MIN(2025,E537))),SUMIFS(Donnees_generations!$AG$3:$AG$113,Donnees_generations!$A$3:$A$113,MAX(1915,MIN(2025,E537))),SUMIFS(Donnees_generations!$AH$3:$AH$113,Donnees_generations!$A$3:$A$113,MAX(1915,MIN(2025,E537))),SUMIFS(Donnees_generations!$AI$3:$AI$113,Donnees_generations!$A$3:$A$113,MAX(1915,MIN(2025,E537))),SUMIFS(Donnees_generations!$AJ$3:$AJ$113,Donnees_generations!$A$3:$A$113,MAX(1915,MIN(2025,E537)))))/2</f>
        <v/>
      </c>
      <c r="AI537" s="75">
        <f>(CHOOSE(((AG537+2)-56)/2+1,SUMIFS(Donnees_generations!$U$3:$U$113,Donnees_generations!$A$3:$A$113,MAX(1915,MIN(2025,E537))),SUMIFS(Donnees_generations!$V$3:$V$113,Donnees_generations!$A$3:$A$113,MAX(1915,MIN(2025,E537))),SUMIFS(Donnees_generations!$W$3:$W$113,Donnees_generations!$A$3:$A$113,MAX(1915,MIN(2025,E537))),SUMIFS(Donnees_generations!$X$3:$X$113,Donnees_generations!$A$3:$A$113,MAX(1915,MIN(2025,E537))),SUMIFS(Donnees_generations!$Y$3:$Y$113,Donnees_generations!$A$3:$A$113,MAX(1915,MIN(2025,E537))),SUMIFS(Donnees_generations!$Z$3:$Z$113,Donnees_generations!$A$3:$A$113,MAX(1915,MIN(2025,E537))),SUMIFS(Donnees_generations!$AA$3:$AA$113,Donnees_generations!$A$3:$A$113,MAX(1915,MIN(2025,E537))),SUMIFS(Donnees_generations!$AB$3:$AB$113,Donnees_generations!$A$3:$A$113,MAX(1915,MIN(2025,E537))))+CHOOSE(((AG537+2)-56)/2+1,SUMIFS(Donnees_generations!$AC$3:$AC$113,Donnees_generations!$A$3:$A$113,MAX(1915,MIN(2025,E537))),SUMIFS(Donnees_generations!$AD$3:$AD$113,Donnees_generations!$A$3:$A$113,MAX(1915,MIN(2025,E537))),SUMIFS(Donnees_generations!$AE$3:$AE$113,Donnees_generations!$A$3:$A$113,MAX(1915,MIN(2025,E537))),SUMIFS(Donnees_generations!$AF$3:$AF$113,Donnees_generations!$A$3:$A$113,MAX(1915,MIN(2025,E537))),SUMIFS(Donnees_generations!$AG$3:$AG$113,Donnees_generations!$A$3:$A$113,MAX(1915,MIN(2025,E537))),SUMIFS(Donnees_generations!$AH$3:$AH$113,Donnees_generations!$A$3:$A$113,MAX(1915,MIN(2025,E537))),SUMIFS(Donnees_generations!$AI$3:$AI$113,Donnees_generations!$A$3:$A$113,MAX(1915,MIN(2025,E537))),SUMIFS(Donnees_generations!$AJ$3:$AJ$113,Donnees_generations!$A$3:$A$113,MAX(1915,MIN(2025,E537)))))/2</f>
        <v/>
      </c>
      <c r="AJ537" s="8">
        <f>MAX(0,AH537+(AI537-AH537)*(K537-AG537)/2)</f>
        <v/>
      </c>
      <c r="AK537" s="8">
        <f>K537+AJ537</f>
        <v/>
      </c>
      <c r="AL537" s="14">
        <f>AE537*AJ537</f>
        <v/>
      </c>
      <c r="AM537" s="17">
        <f>V537/AL537</f>
        <v/>
      </c>
      <c r="AN537" s="17">
        <f>Z537/AL537</f>
        <v/>
      </c>
      <c r="AO537" s="33">
        <f>IF(V537+Z537=0,0,Z537/(V537+Z537))</f>
        <v/>
      </c>
      <c r="AP537" s="14">
        <f>AL537/V537*100</f>
        <v/>
      </c>
      <c r="AQ537" s="8">
        <f>P537/AL537*1000</f>
        <v/>
      </c>
      <c r="AR537" s="77">
        <f>MAX(N537,M537-1)</f>
        <v/>
      </c>
      <c r="AS537" s="14">
        <f>SUMIFS(Donnees_regimes!$R$3:$R$1118,Donnees_regimes!$A$3:$A$1118,C537,Donnees_regimes!$B$3:$B$1118,"&gt;="&amp;G537,Donnees_regimes!$B$3:$B$1118,"&lt;="&amp;N537)*L537/ROUNDUP(L537,0)*SUMIFS(Donnees_annuelles!$AG$3:$AG$188,Donnees_annuelles!$A$3:$A$188,AR537)*SUMIFS(Donnees_annuelles!$AA$3:$AA$188,Donnees_annuelles!$A$3:$A$188,AR537)</f>
        <v/>
      </c>
      <c r="AT537" s="36">
        <f>AS537/V537</f>
        <v/>
      </c>
      <c r="AU537" s="14">
        <f>AL537</f>
        <v/>
      </c>
      <c r="AV537" s="39">
        <f>AS537-AL537</f>
        <v/>
      </c>
      <c r="AW537" s="9">
        <f>AS537/AL537-1</f>
        <v/>
      </c>
      <c r="AX537" s="14">
        <f>AS537/AJ537/12</f>
        <v/>
      </c>
      <c r="AY537" s="14">
        <f>AF537</f>
        <v/>
      </c>
      <c r="AZ537" s="39">
        <f>AX537-AF537</f>
        <v/>
      </c>
      <c r="BA537" s="14">
        <f>SUMIFS(Donnees_regimes!$S$3:$S$1118,Donnees_regimes!$A$3:$A$1118,C537,Donnees_regimes!$B$3:$B$1118,"&gt;="&amp;G537,Donnees_regimes!$B$3:$B$1118,"&lt;="&amp;N537)*L537/ROUNDUP(L537,0)*SUMIFS(Donnees_annuelles!$AH$3:$AH$188,Donnees_annuelles!$A$3:$A$188,AR537)*SUMIFS(Donnees_annuelles!$AA$3:$AA$188,Donnees_annuelles!$A$3:$A$188,AR537)</f>
        <v/>
      </c>
      <c r="BB537" s="39">
        <f>BA537-AL537</f>
        <v/>
      </c>
      <c r="BC537" s="7">
        <f>IF(M537+AJ537&gt;2026,IF(G537&gt;2026,"entièrement projeté","en partie projeté"),"observé")</f>
        <v/>
      </c>
    </row>
    <row r="538">
      <c r="A538" s="7" t="inlineStr">
        <is>
          <t>Génération X</t>
        </is>
      </c>
      <c r="B538" s="84" t="inlineStr">
        <is>
          <t>IEG</t>
        </is>
      </c>
      <c r="C538" s="7">
        <f>IF(G538&gt;=SUMIFS(Regimes!$C$5:$C$10,Regimes!$A$5:$A$10,B538),"Privé",B538)</f>
        <v/>
      </c>
      <c r="D538" s="7">
        <f>INDEX(Regimes!$D$5:$D$10,MATCH(C538,Regimes!$A$5:$A$10,0))</f>
        <v/>
      </c>
      <c r="E538" s="88" t="n">
        <v>1973</v>
      </c>
      <c r="F538" s="8">
        <f>Donnees_generations!C61</f>
        <v/>
      </c>
      <c r="G538" s="77">
        <f>Donnees_generations!D61</f>
        <v/>
      </c>
      <c r="H538" s="8">
        <f>SUMIFS(Donnees_generations!$S$3:$S$113,Donnees_generations!$A$3:$A$113,MAX(1915,MIN(2025,E538)))</f>
        <v/>
      </c>
      <c r="I538" s="8">
        <f>SUMIFS(Donnees_generations!$T$3:$T$113,Donnees_generations!$A$3:$A$113,MAX(1915,MIN(2025,E538)))</f>
        <v/>
      </c>
      <c r="J538" s="8">
        <f>IF(G538&gt;=2000,MAX(I538,Parametres!$B$3),I538)</f>
        <v/>
      </c>
      <c r="K538" s="8">
        <f>IF(C538="Privé",J538,SUMIFS(Regles_regimes!$J$3:$J$2000,Regles_regimes!$A$3:$A$2000,C538,Regles_regimes!$B$3:$B$2000,D538,Regles_regimes!$C$3:$C$2000,MAX(1915,MIN(2025,E538))))</f>
        <v/>
      </c>
      <c r="L538" s="8">
        <f>IF(C538="Privé",H538,(K538-F538)*H538/(J538-F538))</f>
        <v/>
      </c>
      <c r="M538" s="77">
        <f>INT(E538+K538)</f>
        <v/>
      </c>
      <c r="N538" s="77">
        <f>G538+ROUNDUP(L538,0)-1</f>
        <v/>
      </c>
      <c r="O538" s="89">
        <f>SUMIFS(Regles_regimes!$K$3:$K$2000,Regles_regimes!$A$3:$A$2000,C538,Regles_regimes!$B$3:$B$2000,D538,Regles_regimes!$C$3:$C$2000,MAX(1915,MIN(2025,E538)))</f>
        <v/>
      </c>
      <c r="P538" s="13">
        <f>SUMIFS(Donnees_annuelles!$W$3:$W$188,Donnees_annuelles!$A$3:$A$188,"&gt;="&amp;G538,Donnees_annuelles!$A$3:$A$188,"&lt;="&amp;N538)*L538/ROUNDUP(L538,0)*O538</f>
        <v/>
      </c>
      <c r="Q538" s="13">
        <f>SUMIFS(Donnees_annuelles!$V$3:$V$188,Donnees_annuelles!$A$3:$A$188,"&gt;="&amp;G538,Donnees_annuelles!$A$3:$A$188,"&lt;="&amp;N538)*L538/ROUNDUP(L538,0)</f>
        <v/>
      </c>
      <c r="R538" s="13">
        <f>P538/L538</f>
        <v/>
      </c>
      <c r="S538" s="14">
        <f>SUMIFS(Donnees_annuelles!$D$3:$D$188,Donnees_annuelles!$A$3:$A$188,"&gt;="&amp;G538,Donnees_annuelles!$A$3:$A$188,"&lt;="&amp;N538)*L538/ROUNDUP(L538,0)</f>
        <v/>
      </c>
      <c r="T538" s="14">
        <f>SUMIFS(Donnees_regimes!$N$3:$N$1118,Donnees_regimes!$A$3:$A$1118,C538,Donnees_regimes!$B$3:$B$1118,"&gt;="&amp;G538,Donnees_regimes!$B$3:$B$1118,"&lt;="&amp;N538)*L538/ROUNDUP(L538,0)</f>
        <v/>
      </c>
      <c r="U538" s="14">
        <f>SUMIFS(Donnees_regimes!$O$3:$O$1118,Donnees_regimes!$A$3:$A$1118,C538,Donnees_regimes!$B$3:$B$1118,"&gt;="&amp;G538,Donnees_regimes!$B$3:$B$1118,"&lt;="&amp;N538)*L538/ROUNDUP(L538,0)</f>
        <v/>
      </c>
      <c r="V538" s="14">
        <f>T538+U538</f>
        <v/>
      </c>
      <c r="W538" s="33">
        <f>V538/S538</f>
        <v/>
      </c>
      <c r="X538" s="14">
        <f>S538+U538</f>
        <v/>
      </c>
      <c r="Y538" s="17">
        <f>V538/P538</f>
        <v/>
      </c>
      <c r="Z538" s="14">
        <f>SUMIFS(Donnees_regimes!$Q$3:$Q$1118,Donnees_regimes!$A$3:$A$1118,C538,Donnees_regimes!$B$3:$B$1118,"&gt;="&amp;G538,Donnees_regimes!$B$3:$B$1118,"&lt;="&amp;N538)*L538/ROUNDUP(L538,0)</f>
        <v/>
      </c>
      <c r="AA538" s="77">
        <f>SUMIFS(Regles_regimes!$F$3:$F$2000,Regles_regimes!$A$3:$A$2000,C538,Regles_regimes!$B$3:$B$2000,D538,Regles_regimes!$C$3:$C$2000,MAX(1915,MIN(2025,E538)))</f>
        <v/>
      </c>
      <c r="AB538" s="77">
        <f>IF(AND(SUMIFS(Regles_regimes!$L$3:$L$2000,Regles_regimes!$A$3:$A$2000,C538,Regles_regimes!$B$3:$B$2000,D538,Regles_regimes!$C$3:$C$2000,MAX(1915,MIN(2025,E538)))=1,G538&lt;2009,C538&lt;&gt;"Privé"),MIN(20,L538*4/5),0)</f>
        <v/>
      </c>
      <c r="AC538" s="89">
        <f>SUMIFS(Donnees_regimes!$M$3:$M$1118,Donnees_regimes!$A$3:$A$1118,C538,Donnees_regimes!$B$3:$B$1118,M538)</f>
        <v/>
      </c>
      <c r="AD538" s="14">
        <f>SUMIFS(Donnees_annuelles!$Y$3:$Y$188,Donnees_annuelles!$A$3:$A$188,M538)*SUMIFS(Donnees_generations!$I$3:$I$113,Donnees_generations!$A$3:$A$113,MAX(1915,MIN(2025,E538)))/H538</f>
        <v/>
      </c>
      <c r="AE538" s="14">
        <f>IF(C538="Privé",SUMIFS(Donnees_annuelles!$Y$3:$Y$188,Donnees_annuelles!$A$3:$A$188,M538)*MIN(L538,SUMIFS(Donnees_generations!$I$3:$I$113,Donnees_generations!$A$3:$A$113,MAX(1915,MIN(2025,E538))))/L538,AD538*AC538*MIN(IF(AB538&gt;0,0.8/0.75,1),(L538*4+AB538)/AA538))</f>
        <v/>
      </c>
      <c r="AF538" s="14">
        <f>AE538/12</f>
        <v/>
      </c>
      <c r="AG538" s="77">
        <f>MIN(68,MAX(56,2*INT(K538/2)))</f>
        <v/>
      </c>
      <c r="AH538" s="75">
        <f>(CHOOSE((AG538-56)/2+1,SUMIFS(Donnees_generations!$U$3:$U$113,Donnees_generations!$A$3:$A$113,MAX(1915,MIN(2025,E538))),SUMIFS(Donnees_generations!$V$3:$V$113,Donnees_generations!$A$3:$A$113,MAX(1915,MIN(2025,E538))),SUMIFS(Donnees_generations!$W$3:$W$113,Donnees_generations!$A$3:$A$113,MAX(1915,MIN(2025,E538))),SUMIFS(Donnees_generations!$X$3:$X$113,Donnees_generations!$A$3:$A$113,MAX(1915,MIN(2025,E538))),SUMIFS(Donnees_generations!$Y$3:$Y$113,Donnees_generations!$A$3:$A$113,MAX(1915,MIN(2025,E538))),SUMIFS(Donnees_generations!$Z$3:$Z$113,Donnees_generations!$A$3:$A$113,MAX(1915,MIN(2025,E538))),SUMIFS(Donnees_generations!$AA$3:$AA$113,Donnees_generations!$A$3:$A$113,MAX(1915,MIN(2025,E538))),SUMIFS(Donnees_generations!$AB$3:$AB$113,Donnees_generations!$A$3:$A$113,MAX(1915,MIN(2025,E538))))+CHOOSE((AG538-56)/2+1,SUMIFS(Donnees_generations!$AC$3:$AC$113,Donnees_generations!$A$3:$A$113,MAX(1915,MIN(2025,E538))),SUMIFS(Donnees_generations!$AD$3:$AD$113,Donnees_generations!$A$3:$A$113,MAX(1915,MIN(2025,E538))),SUMIFS(Donnees_generations!$AE$3:$AE$113,Donnees_generations!$A$3:$A$113,MAX(1915,MIN(2025,E538))),SUMIFS(Donnees_generations!$AF$3:$AF$113,Donnees_generations!$A$3:$A$113,MAX(1915,MIN(2025,E538))),SUMIFS(Donnees_generations!$AG$3:$AG$113,Donnees_generations!$A$3:$A$113,MAX(1915,MIN(2025,E538))),SUMIFS(Donnees_generations!$AH$3:$AH$113,Donnees_generations!$A$3:$A$113,MAX(1915,MIN(2025,E538))),SUMIFS(Donnees_generations!$AI$3:$AI$113,Donnees_generations!$A$3:$A$113,MAX(1915,MIN(2025,E538))),SUMIFS(Donnees_generations!$AJ$3:$AJ$113,Donnees_generations!$A$3:$A$113,MAX(1915,MIN(2025,E538)))))/2</f>
        <v/>
      </c>
      <c r="AI538" s="75">
        <f>(CHOOSE(((AG538+2)-56)/2+1,SUMIFS(Donnees_generations!$U$3:$U$113,Donnees_generations!$A$3:$A$113,MAX(1915,MIN(2025,E538))),SUMIFS(Donnees_generations!$V$3:$V$113,Donnees_generations!$A$3:$A$113,MAX(1915,MIN(2025,E538))),SUMIFS(Donnees_generations!$W$3:$W$113,Donnees_generations!$A$3:$A$113,MAX(1915,MIN(2025,E538))),SUMIFS(Donnees_generations!$X$3:$X$113,Donnees_generations!$A$3:$A$113,MAX(1915,MIN(2025,E538))),SUMIFS(Donnees_generations!$Y$3:$Y$113,Donnees_generations!$A$3:$A$113,MAX(1915,MIN(2025,E538))),SUMIFS(Donnees_generations!$Z$3:$Z$113,Donnees_generations!$A$3:$A$113,MAX(1915,MIN(2025,E538))),SUMIFS(Donnees_generations!$AA$3:$AA$113,Donnees_generations!$A$3:$A$113,MAX(1915,MIN(2025,E538))),SUMIFS(Donnees_generations!$AB$3:$AB$113,Donnees_generations!$A$3:$A$113,MAX(1915,MIN(2025,E538))))+CHOOSE(((AG538+2)-56)/2+1,SUMIFS(Donnees_generations!$AC$3:$AC$113,Donnees_generations!$A$3:$A$113,MAX(1915,MIN(2025,E538))),SUMIFS(Donnees_generations!$AD$3:$AD$113,Donnees_generations!$A$3:$A$113,MAX(1915,MIN(2025,E538))),SUMIFS(Donnees_generations!$AE$3:$AE$113,Donnees_generations!$A$3:$A$113,MAX(1915,MIN(2025,E538))),SUMIFS(Donnees_generations!$AF$3:$AF$113,Donnees_generations!$A$3:$A$113,MAX(1915,MIN(2025,E538))),SUMIFS(Donnees_generations!$AG$3:$AG$113,Donnees_generations!$A$3:$A$113,MAX(1915,MIN(2025,E538))),SUMIFS(Donnees_generations!$AH$3:$AH$113,Donnees_generations!$A$3:$A$113,MAX(1915,MIN(2025,E538))),SUMIFS(Donnees_generations!$AI$3:$AI$113,Donnees_generations!$A$3:$A$113,MAX(1915,MIN(2025,E538))),SUMIFS(Donnees_generations!$AJ$3:$AJ$113,Donnees_generations!$A$3:$A$113,MAX(1915,MIN(2025,E538)))))/2</f>
        <v/>
      </c>
      <c r="AJ538" s="8">
        <f>MAX(0,AH538+(AI538-AH538)*(K538-AG538)/2)</f>
        <v/>
      </c>
      <c r="AK538" s="8">
        <f>K538+AJ538</f>
        <v/>
      </c>
      <c r="AL538" s="14">
        <f>AE538*AJ538</f>
        <v/>
      </c>
      <c r="AM538" s="17">
        <f>V538/AL538</f>
        <v/>
      </c>
      <c r="AN538" s="17">
        <f>Z538/AL538</f>
        <v/>
      </c>
      <c r="AO538" s="33">
        <f>IF(V538+Z538=0,0,Z538/(V538+Z538))</f>
        <v/>
      </c>
      <c r="AP538" s="14">
        <f>AL538/V538*100</f>
        <v/>
      </c>
      <c r="AQ538" s="8">
        <f>P538/AL538*1000</f>
        <v/>
      </c>
      <c r="AR538" s="77">
        <f>MAX(N538,M538-1)</f>
        <v/>
      </c>
      <c r="AS538" s="14">
        <f>SUMIFS(Donnees_regimes!$R$3:$R$1118,Donnees_regimes!$A$3:$A$1118,C538,Donnees_regimes!$B$3:$B$1118,"&gt;="&amp;G538,Donnees_regimes!$B$3:$B$1118,"&lt;="&amp;N538)*L538/ROUNDUP(L538,0)*SUMIFS(Donnees_annuelles!$AG$3:$AG$188,Donnees_annuelles!$A$3:$A$188,AR538)*SUMIFS(Donnees_annuelles!$AA$3:$AA$188,Donnees_annuelles!$A$3:$A$188,AR538)</f>
        <v/>
      </c>
      <c r="AT538" s="36">
        <f>AS538/V538</f>
        <v/>
      </c>
      <c r="AU538" s="14">
        <f>AL538</f>
        <v/>
      </c>
      <c r="AV538" s="39">
        <f>AS538-AL538</f>
        <v/>
      </c>
      <c r="AW538" s="9">
        <f>AS538/AL538-1</f>
        <v/>
      </c>
      <c r="AX538" s="14">
        <f>AS538/AJ538/12</f>
        <v/>
      </c>
      <c r="AY538" s="14">
        <f>AF538</f>
        <v/>
      </c>
      <c r="AZ538" s="39">
        <f>AX538-AF538</f>
        <v/>
      </c>
      <c r="BA538" s="14">
        <f>SUMIFS(Donnees_regimes!$S$3:$S$1118,Donnees_regimes!$A$3:$A$1118,C538,Donnees_regimes!$B$3:$B$1118,"&gt;="&amp;G538,Donnees_regimes!$B$3:$B$1118,"&lt;="&amp;N538)*L538/ROUNDUP(L538,0)*SUMIFS(Donnees_annuelles!$AH$3:$AH$188,Donnees_annuelles!$A$3:$A$188,AR538)*SUMIFS(Donnees_annuelles!$AA$3:$AA$188,Donnees_annuelles!$A$3:$A$188,AR538)</f>
        <v/>
      </c>
      <c r="BB538" s="39">
        <f>BA538-AL538</f>
        <v/>
      </c>
      <c r="BC538" s="7">
        <f>IF(M538+AJ538&gt;2026,IF(G538&gt;2026,"entièrement projeté","en partie projeté"),"observé")</f>
        <v/>
      </c>
    </row>
    <row r="539">
      <c r="A539" s="7" t="inlineStr">
        <is>
          <t>Génération X</t>
        </is>
      </c>
      <c r="B539" s="84" t="inlineStr">
        <is>
          <t>IEG</t>
        </is>
      </c>
      <c r="C539" s="7">
        <f>IF(G539&gt;=SUMIFS(Regimes!$C$5:$C$10,Regimes!$A$5:$A$10,B539),"Privé",B539)</f>
        <v/>
      </c>
      <c r="D539" s="7">
        <f>INDEX(Regimes!$D$5:$D$10,MATCH(C539,Regimes!$A$5:$A$10,0))</f>
        <v/>
      </c>
      <c r="E539" s="88" t="n">
        <v>1974</v>
      </c>
      <c r="F539" s="8">
        <f>Donnees_generations!C62</f>
        <v/>
      </c>
      <c r="G539" s="77">
        <f>Donnees_generations!D62</f>
        <v/>
      </c>
      <c r="H539" s="8">
        <f>SUMIFS(Donnees_generations!$S$3:$S$113,Donnees_generations!$A$3:$A$113,MAX(1915,MIN(2025,E539)))</f>
        <v/>
      </c>
      <c r="I539" s="8">
        <f>SUMIFS(Donnees_generations!$T$3:$T$113,Donnees_generations!$A$3:$A$113,MAX(1915,MIN(2025,E539)))</f>
        <v/>
      </c>
      <c r="J539" s="8">
        <f>IF(G539&gt;=2000,MAX(I539,Parametres!$B$3),I539)</f>
        <v/>
      </c>
      <c r="K539" s="8">
        <f>IF(C539="Privé",J539,SUMIFS(Regles_regimes!$J$3:$J$2000,Regles_regimes!$A$3:$A$2000,C539,Regles_regimes!$B$3:$B$2000,D539,Regles_regimes!$C$3:$C$2000,MAX(1915,MIN(2025,E539))))</f>
        <v/>
      </c>
      <c r="L539" s="8">
        <f>IF(C539="Privé",H539,(K539-F539)*H539/(J539-F539))</f>
        <v/>
      </c>
      <c r="M539" s="77">
        <f>INT(E539+K539)</f>
        <v/>
      </c>
      <c r="N539" s="77">
        <f>G539+ROUNDUP(L539,0)-1</f>
        <v/>
      </c>
      <c r="O539" s="89">
        <f>SUMIFS(Regles_regimes!$K$3:$K$2000,Regles_regimes!$A$3:$A$2000,C539,Regles_regimes!$B$3:$B$2000,D539,Regles_regimes!$C$3:$C$2000,MAX(1915,MIN(2025,E539)))</f>
        <v/>
      </c>
      <c r="P539" s="13">
        <f>SUMIFS(Donnees_annuelles!$W$3:$W$188,Donnees_annuelles!$A$3:$A$188,"&gt;="&amp;G539,Donnees_annuelles!$A$3:$A$188,"&lt;="&amp;N539)*L539/ROUNDUP(L539,0)*O539</f>
        <v/>
      </c>
      <c r="Q539" s="13">
        <f>SUMIFS(Donnees_annuelles!$V$3:$V$188,Donnees_annuelles!$A$3:$A$188,"&gt;="&amp;G539,Donnees_annuelles!$A$3:$A$188,"&lt;="&amp;N539)*L539/ROUNDUP(L539,0)</f>
        <v/>
      </c>
      <c r="R539" s="13">
        <f>P539/L539</f>
        <v/>
      </c>
      <c r="S539" s="14">
        <f>SUMIFS(Donnees_annuelles!$D$3:$D$188,Donnees_annuelles!$A$3:$A$188,"&gt;="&amp;G539,Donnees_annuelles!$A$3:$A$188,"&lt;="&amp;N539)*L539/ROUNDUP(L539,0)</f>
        <v/>
      </c>
      <c r="T539" s="14">
        <f>SUMIFS(Donnees_regimes!$N$3:$N$1118,Donnees_regimes!$A$3:$A$1118,C539,Donnees_regimes!$B$3:$B$1118,"&gt;="&amp;G539,Donnees_regimes!$B$3:$B$1118,"&lt;="&amp;N539)*L539/ROUNDUP(L539,0)</f>
        <v/>
      </c>
      <c r="U539" s="14">
        <f>SUMIFS(Donnees_regimes!$O$3:$O$1118,Donnees_regimes!$A$3:$A$1118,C539,Donnees_regimes!$B$3:$B$1118,"&gt;="&amp;G539,Donnees_regimes!$B$3:$B$1118,"&lt;="&amp;N539)*L539/ROUNDUP(L539,0)</f>
        <v/>
      </c>
      <c r="V539" s="14">
        <f>T539+U539</f>
        <v/>
      </c>
      <c r="W539" s="33">
        <f>V539/S539</f>
        <v/>
      </c>
      <c r="X539" s="14">
        <f>S539+U539</f>
        <v/>
      </c>
      <c r="Y539" s="17">
        <f>V539/P539</f>
        <v/>
      </c>
      <c r="Z539" s="14">
        <f>SUMIFS(Donnees_regimes!$Q$3:$Q$1118,Donnees_regimes!$A$3:$A$1118,C539,Donnees_regimes!$B$3:$B$1118,"&gt;="&amp;G539,Donnees_regimes!$B$3:$B$1118,"&lt;="&amp;N539)*L539/ROUNDUP(L539,0)</f>
        <v/>
      </c>
      <c r="AA539" s="77">
        <f>SUMIFS(Regles_regimes!$F$3:$F$2000,Regles_regimes!$A$3:$A$2000,C539,Regles_regimes!$B$3:$B$2000,D539,Regles_regimes!$C$3:$C$2000,MAX(1915,MIN(2025,E539)))</f>
        <v/>
      </c>
      <c r="AB539" s="77">
        <f>IF(AND(SUMIFS(Regles_regimes!$L$3:$L$2000,Regles_regimes!$A$3:$A$2000,C539,Regles_regimes!$B$3:$B$2000,D539,Regles_regimes!$C$3:$C$2000,MAX(1915,MIN(2025,E539)))=1,G539&lt;2009,C539&lt;&gt;"Privé"),MIN(20,L539*4/5),0)</f>
        <v/>
      </c>
      <c r="AC539" s="89">
        <f>SUMIFS(Donnees_regimes!$M$3:$M$1118,Donnees_regimes!$A$3:$A$1118,C539,Donnees_regimes!$B$3:$B$1118,M539)</f>
        <v/>
      </c>
      <c r="AD539" s="14">
        <f>SUMIFS(Donnees_annuelles!$Y$3:$Y$188,Donnees_annuelles!$A$3:$A$188,M539)*SUMIFS(Donnees_generations!$I$3:$I$113,Donnees_generations!$A$3:$A$113,MAX(1915,MIN(2025,E539)))/H539</f>
        <v/>
      </c>
      <c r="AE539" s="14">
        <f>IF(C539="Privé",SUMIFS(Donnees_annuelles!$Y$3:$Y$188,Donnees_annuelles!$A$3:$A$188,M539)*MIN(L539,SUMIFS(Donnees_generations!$I$3:$I$113,Donnees_generations!$A$3:$A$113,MAX(1915,MIN(2025,E539))))/L539,AD539*AC539*MIN(IF(AB539&gt;0,0.8/0.75,1),(L539*4+AB539)/AA539))</f>
        <v/>
      </c>
      <c r="AF539" s="14">
        <f>AE539/12</f>
        <v/>
      </c>
      <c r="AG539" s="77">
        <f>MIN(68,MAX(56,2*INT(K539/2)))</f>
        <v/>
      </c>
      <c r="AH539" s="75">
        <f>(CHOOSE((AG539-56)/2+1,SUMIFS(Donnees_generations!$U$3:$U$113,Donnees_generations!$A$3:$A$113,MAX(1915,MIN(2025,E539))),SUMIFS(Donnees_generations!$V$3:$V$113,Donnees_generations!$A$3:$A$113,MAX(1915,MIN(2025,E539))),SUMIFS(Donnees_generations!$W$3:$W$113,Donnees_generations!$A$3:$A$113,MAX(1915,MIN(2025,E539))),SUMIFS(Donnees_generations!$X$3:$X$113,Donnees_generations!$A$3:$A$113,MAX(1915,MIN(2025,E539))),SUMIFS(Donnees_generations!$Y$3:$Y$113,Donnees_generations!$A$3:$A$113,MAX(1915,MIN(2025,E539))),SUMIFS(Donnees_generations!$Z$3:$Z$113,Donnees_generations!$A$3:$A$113,MAX(1915,MIN(2025,E539))),SUMIFS(Donnees_generations!$AA$3:$AA$113,Donnees_generations!$A$3:$A$113,MAX(1915,MIN(2025,E539))),SUMIFS(Donnees_generations!$AB$3:$AB$113,Donnees_generations!$A$3:$A$113,MAX(1915,MIN(2025,E539))))+CHOOSE((AG539-56)/2+1,SUMIFS(Donnees_generations!$AC$3:$AC$113,Donnees_generations!$A$3:$A$113,MAX(1915,MIN(2025,E539))),SUMIFS(Donnees_generations!$AD$3:$AD$113,Donnees_generations!$A$3:$A$113,MAX(1915,MIN(2025,E539))),SUMIFS(Donnees_generations!$AE$3:$AE$113,Donnees_generations!$A$3:$A$113,MAX(1915,MIN(2025,E539))),SUMIFS(Donnees_generations!$AF$3:$AF$113,Donnees_generations!$A$3:$A$113,MAX(1915,MIN(2025,E539))),SUMIFS(Donnees_generations!$AG$3:$AG$113,Donnees_generations!$A$3:$A$113,MAX(1915,MIN(2025,E539))),SUMIFS(Donnees_generations!$AH$3:$AH$113,Donnees_generations!$A$3:$A$113,MAX(1915,MIN(2025,E539))),SUMIFS(Donnees_generations!$AI$3:$AI$113,Donnees_generations!$A$3:$A$113,MAX(1915,MIN(2025,E539))),SUMIFS(Donnees_generations!$AJ$3:$AJ$113,Donnees_generations!$A$3:$A$113,MAX(1915,MIN(2025,E539)))))/2</f>
        <v/>
      </c>
      <c r="AI539" s="75">
        <f>(CHOOSE(((AG539+2)-56)/2+1,SUMIFS(Donnees_generations!$U$3:$U$113,Donnees_generations!$A$3:$A$113,MAX(1915,MIN(2025,E539))),SUMIFS(Donnees_generations!$V$3:$V$113,Donnees_generations!$A$3:$A$113,MAX(1915,MIN(2025,E539))),SUMIFS(Donnees_generations!$W$3:$W$113,Donnees_generations!$A$3:$A$113,MAX(1915,MIN(2025,E539))),SUMIFS(Donnees_generations!$X$3:$X$113,Donnees_generations!$A$3:$A$113,MAX(1915,MIN(2025,E539))),SUMIFS(Donnees_generations!$Y$3:$Y$113,Donnees_generations!$A$3:$A$113,MAX(1915,MIN(2025,E539))),SUMIFS(Donnees_generations!$Z$3:$Z$113,Donnees_generations!$A$3:$A$113,MAX(1915,MIN(2025,E539))),SUMIFS(Donnees_generations!$AA$3:$AA$113,Donnees_generations!$A$3:$A$113,MAX(1915,MIN(2025,E539))),SUMIFS(Donnees_generations!$AB$3:$AB$113,Donnees_generations!$A$3:$A$113,MAX(1915,MIN(2025,E539))))+CHOOSE(((AG539+2)-56)/2+1,SUMIFS(Donnees_generations!$AC$3:$AC$113,Donnees_generations!$A$3:$A$113,MAX(1915,MIN(2025,E539))),SUMIFS(Donnees_generations!$AD$3:$AD$113,Donnees_generations!$A$3:$A$113,MAX(1915,MIN(2025,E539))),SUMIFS(Donnees_generations!$AE$3:$AE$113,Donnees_generations!$A$3:$A$113,MAX(1915,MIN(2025,E539))),SUMIFS(Donnees_generations!$AF$3:$AF$113,Donnees_generations!$A$3:$A$113,MAX(1915,MIN(2025,E539))),SUMIFS(Donnees_generations!$AG$3:$AG$113,Donnees_generations!$A$3:$A$113,MAX(1915,MIN(2025,E539))),SUMIFS(Donnees_generations!$AH$3:$AH$113,Donnees_generations!$A$3:$A$113,MAX(1915,MIN(2025,E539))),SUMIFS(Donnees_generations!$AI$3:$AI$113,Donnees_generations!$A$3:$A$113,MAX(1915,MIN(2025,E539))),SUMIFS(Donnees_generations!$AJ$3:$AJ$113,Donnees_generations!$A$3:$A$113,MAX(1915,MIN(2025,E539)))))/2</f>
        <v/>
      </c>
      <c r="AJ539" s="8">
        <f>MAX(0,AH539+(AI539-AH539)*(K539-AG539)/2)</f>
        <v/>
      </c>
      <c r="AK539" s="8">
        <f>K539+AJ539</f>
        <v/>
      </c>
      <c r="AL539" s="14">
        <f>AE539*AJ539</f>
        <v/>
      </c>
      <c r="AM539" s="17">
        <f>V539/AL539</f>
        <v/>
      </c>
      <c r="AN539" s="17">
        <f>Z539/AL539</f>
        <v/>
      </c>
      <c r="AO539" s="33">
        <f>IF(V539+Z539=0,0,Z539/(V539+Z539))</f>
        <v/>
      </c>
      <c r="AP539" s="14">
        <f>AL539/V539*100</f>
        <v/>
      </c>
      <c r="AQ539" s="8">
        <f>P539/AL539*1000</f>
        <v/>
      </c>
      <c r="AR539" s="77">
        <f>MAX(N539,M539-1)</f>
        <v/>
      </c>
      <c r="AS539" s="14">
        <f>SUMIFS(Donnees_regimes!$R$3:$R$1118,Donnees_regimes!$A$3:$A$1118,C539,Donnees_regimes!$B$3:$B$1118,"&gt;="&amp;G539,Donnees_regimes!$B$3:$B$1118,"&lt;="&amp;N539)*L539/ROUNDUP(L539,0)*SUMIFS(Donnees_annuelles!$AG$3:$AG$188,Donnees_annuelles!$A$3:$A$188,AR539)*SUMIFS(Donnees_annuelles!$AA$3:$AA$188,Donnees_annuelles!$A$3:$A$188,AR539)</f>
        <v/>
      </c>
      <c r="AT539" s="36">
        <f>AS539/V539</f>
        <v/>
      </c>
      <c r="AU539" s="14">
        <f>AL539</f>
        <v/>
      </c>
      <c r="AV539" s="39">
        <f>AS539-AL539</f>
        <v/>
      </c>
      <c r="AW539" s="9">
        <f>AS539/AL539-1</f>
        <v/>
      </c>
      <c r="AX539" s="14">
        <f>AS539/AJ539/12</f>
        <v/>
      </c>
      <c r="AY539" s="14">
        <f>AF539</f>
        <v/>
      </c>
      <c r="AZ539" s="39">
        <f>AX539-AF539</f>
        <v/>
      </c>
      <c r="BA539" s="14">
        <f>SUMIFS(Donnees_regimes!$S$3:$S$1118,Donnees_regimes!$A$3:$A$1118,C539,Donnees_regimes!$B$3:$B$1118,"&gt;="&amp;G539,Donnees_regimes!$B$3:$B$1118,"&lt;="&amp;N539)*L539/ROUNDUP(L539,0)*SUMIFS(Donnees_annuelles!$AH$3:$AH$188,Donnees_annuelles!$A$3:$A$188,AR539)*SUMIFS(Donnees_annuelles!$AA$3:$AA$188,Donnees_annuelles!$A$3:$A$188,AR539)</f>
        <v/>
      </c>
      <c r="BB539" s="39">
        <f>BA539-AL539</f>
        <v/>
      </c>
      <c r="BC539" s="7">
        <f>IF(M539+AJ539&gt;2026,IF(G539&gt;2026,"entièrement projeté","en partie projeté"),"observé")</f>
        <v/>
      </c>
    </row>
    <row r="540">
      <c r="A540" s="7" t="inlineStr">
        <is>
          <t>Génération X</t>
        </is>
      </c>
      <c r="B540" s="84" t="inlineStr">
        <is>
          <t>IEG</t>
        </is>
      </c>
      <c r="C540" s="7">
        <f>IF(G540&gt;=SUMIFS(Regimes!$C$5:$C$10,Regimes!$A$5:$A$10,B540),"Privé",B540)</f>
        <v/>
      </c>
      <c r="D540" s="7">
        <f>INDEX(Regimes!$D$5:$D$10,MATCH(C540,Regimes!$A$5:$A$10,0))</f>
        <v/>
      </c>
      <c r="E540" s="88" t="n">
        <v>1975</v>
      </c>
      <c r="F540" s="8">
        <f>Donnees_generations!C63</f>
        <v/>
      </c>
      <c r="G540" s="77">
        <f>Donnees_generations!D63</f>
        <v/>
      </c>
      <c r="H540" s="8">
        <f>SUMIFS(Donnees_generations!$S$3:$S$113,Donnees_generations!$A$3:$A$113,MAX(1915,MIN(2025,E540)))</f>
        <v/>
      </c>
      <c r="I540" s="8">
        <f>SUMIFS(Donnees_generations!$T$3:$T$113,Donnees_generations!$A$3:$A$113,MAX(1915,MIN(2025,E540)))</f>
        <v/>
      </c>
      <c r="J540" s="8">
        <f>IF(G540&gt;=2000,MAX(I540,Parametres!$B$3),I540)</f>
        <v/>
      </c>
      <c r="K540" s="8">
        <f>IF(C540="Privé",J540,SUMIFS(Regles_regimes!$J$3:$J$2000,Regles_regimes!$A$3:$A$2000,C540,Regles_regimes!$B$3:$B$2000,D540,Regles_regimes!$C$3:$C$2000,MAX(1915,MIN(2025,E540))))</f>
        <v/>
      </c>
      <c r="L540" s="8">
        <f>IF(C540="Privé",H540,(K540-F540)*H540/(J540-F540))</f>
        <v/>
      </c>
      <c r="M540" s="77">
        <f>INT(E540+K540)</f>
        <v/>
      </c>
      <c r="N540" s="77">
        <f>G540+ROUNDUP(L540,0)-1</f>
        <v/>
      </c>
      <c r="O540" s="89">
        <f>SUMIFS(Regles_regimes!$K$3:$K$2000,Regles_regimes!$A$3:$A$2000,C540,Regles_regimes!$B$3:$B$2000,D540,Regles_regimes!$C$3:$C$2000,MAX(1915,MIN(2025,E540)))</f>
        <v/>
      </c>
      <c r="P540" s="13">
        <f>SUMIFS(Donnees_annuelles!$W$3:$W$188,Donnees_annuelles!$A$3:$A$188,"&gt;="&amp;G540,Donnees_annuelles!$A$3:$A$188,"&lt;="&amp;N540)*L540/ROUNDUP(L540,0)*O540</f>
        <v/>
      </c>
      <c r="Q540" s="13">
        <f>SUMIFS(Donnees_annuelles!$V$3:$V$188,Donnees_annuelles!$A$3:$A$188,"&gt;="&amp;G540,Donnees_annuelles!$A$3:$A$188,"&lt;="&amp;N540)*L540/ROUNDUP(L540,0)</f>
        <v/>
      </c>
      <c r="R540" s="13">
        <f>P540/L540</f>
        <v/>
      </c>
      <c r="S540" s="14">
        <f>SUMIFS(Donnees_annuelles!$D$3:$D$188,Donnees_annuelles!$A$3:$A$188,"&gt;="&amp;G540,Donnees_annuelles!$A$3:$A$188,"&lt;="&amp;N540)*L540/ROUNDUP(L540,0)</f>
        <v/>
      </c>
      <c r="T540" s="14">
        <f>SUMIFS(Donnees_regimes!$N$3:$N$1118,Donnees_regimes!$A$3:$A$1118,C540,Donnees_regimes!$B$3:$B$1118,"&gt;="&amp;G540,Donnees_regimes!$B$3:$B$1118,"&lt;="&amp;N540)*L540/ROUNDUP(L540,0)</f>
        <v/>
      </c>
      <c r="U540" s="14">
        <f>SUMIFS(Donnees_regimes!$O$3:$O$1118,Donnees_regimes!$A$3:$A$1118,C540,Donnees_regimes!$B$3:$B$1118,"&gt;="&amp;G540,Donnees_regimes!$B$3:$B$1118,"&lt;="&amp;N540)*L540/ROUNDUP(L540,0)</f>
        <v/>
      </c>
      <c r="V540" s="14">
        <f>T540+U540</f>
        <v/>
      </c>
      <c r="W540" s="33">
        <f>V540/S540</f>
        <v/>
      </c>
      <c r="X540" s="14">
        <f>S540+U540</f>
        <v/>
      </c>
      <c r="Y540" s="17">
        <f>V540/P540</f>
        <v/>
      </c>
      <c r="Z540" s="14">
        <f>SUMIFS(Donnees_regimes!$Q$3:$Q$1118,Donnees_regimes!$A$3:$A$1118,C540,Donnees_regimes!$B$3:$B$1118,"&gt;="&amp;G540,Donnees_regimes!$B$3:$B$1118,"&lt;="&amp;N540)*L540/ROUNDUP(L540,0)</f>
        <v/>
      </c>
      <c r="AA540" s="77">
        <f>SUMIFS(Regles_regimes!$F$3:$F$2000,Regles_regimes!$A$3:$A$2000,C540,Regles_regimes!$B$3:$B$2000,D540,Regles_regimes!$C$3:$C$2000,MAX(1915,MIN(2025,E540)))</f>
        <v/>
      </c>
      <c r="AB540" s="77">
        <f>IF(AND(SUMIFS(Regles_regimes!$L$3:$L$2000,Regles_regimes!$A$3:$A$2000,C540,Regles_regimes!$B$3:$B$2000,D540,Regles_regimes!$C$3:$C$2000,MAX(1915,MIN(2025,E540)))=1,G540&lt;2009,C540&lt;&gt;"Privé"),MIN(20,L540*4/5),0)</f>
        <v/>
      </c>
      <c r="AC540" s="89">
        <f>SUMIFS(Donnees_regimes!$M$3:$M$1118,Donnees_regimes!$A$3:$A$1118,C540,Donnees_regimes!$B$3:$B$1118,M540)</f>
        <v/>
      </c>
      <c r="AD540" s="14">
        <f>SUMIFS(Donnees_annuelles!$Y$3:$Y$188,Donnees_annuelles!$A$3:$A$188,M540)*SUMIFS(Donnees_generations!$I$3:$I$113,Donnees_generations!$A$3:$A$113,MAX(1915,MIN(2025,E540)))/H540</f>
        <v/>
      </c>
      <c r="AE540" s="14">
        <f>IF(C540="Privé",SUMIFS(Donnees_annuelles!$Y$3:$Y$188,Donnees_annuelles!$A$3:$A$188,M540)*MIN(L540,SUMIFS(Donnees_generations!$I$3:$I$113,Donnees_generations!$A$3:$A$113,MAX(1915,MIN(2025,E540))))/L540,AD540*AC540*MIN(IF(AB540&gt;0,0.8/0.75,1),(L540*4+AB540)/AA540))</f>
        <v/>
      </c>
      <c r="AF540" s="14">
        <f>AE540/12</f>
        <v/>
      </c>
      <c r="AG540" s="77">
        <f>MIN(68,MAX(56,2*INT(K540/2)))</f>
        <v/>
      </c>
      <c r="AH540" s="75">
        <f>(CHOOSE((AG540-56)/2+1,SUMIFS(Donnees_generations!$U$3:$U$113,Donnees_generations!$A$3:$A$113,MAX(1915,MIN(2025,E540))),SUMIFS(Donnees_generations!$V$3:$V$113,Donnees_generations!$A$3:$A$113,MAX(1915,MIN(2025,E540))),SUMIFS(Donnees_generations!$W$3:$W$113,Donnees_generations!$A$3:$A$113,MAX(1915,MIN(2025,E540))),SUMIFS(Donnees_generations!$X$3:$X$113,Donnees_generations!$A$3:$A$113,MAX(1915,MIN(2025,E540))),SUMIFS(Donnees_generations!$Y$3:$Y$113,Donnees_generations!$A$3:$A$113,MAX(1915,MIN(2025,E540))),SUMIFS(Donnees_generations!$Z$3:$Z$113,Donnees_generations!$A$3:$A$113,MAX(1915,MIN(2025,E540))),SUMIFS(Donnees_generations!$AA$3:$AA$113,Donnees_generations!$A$3:$A$113,MAX(1915,MIN(2025,E540))),SUMIFS(Donnees_generations!$AB$3:$AB$113,Donnees_generations!$A$3:$A$113,MAX(1915,MIN(2025,E540))))+CHOOSE((AG540-56)/2+1,SUMIFS(Donnees_generations!$AC$3:$AC$113,Donnees_generations!$A$3:$A$113,MAX(1915,MIN(2025,E540))),SUMIFS(Donnees_generations!$AD$3:$AD$113,Donnees_generations!$A$3:$A$113,MAX(1915,MIN(2025,E540))),SUMIFS(Donnees_generations!$AE$3:$AE$113,Donnees_generations!$A$3:$A$113,MAX(1915,MIN(2025,E540))),SUMIFS(Donnees_generations!$AF$3:$AF$113,Donnees_generations!$A$3:$A$113,MAX(1915,MIN(2025,E540))),SUMIFS(Donnees_generations!$AG$3:$AG$113,Donnees_generations!$A$3:$A$113,MAX(1915,MIN(2025,E540))),SUMIFS(Donnees_generations!$AH$3:$AH$113,Donnees_generations!$A$3:$A$113,MAX(1915,MIN(2025,E540))),SUMIFS(Donnees_generations!$AI$3:$AI$113,Donnees_generations!$A$3:$A$113,MAX(1915,MIN(2025,E540))),SUMIFS(Donnees_generations!$AJ$3:$AJ$113,Donnees_generations!$A$3:$A$113,MAX(1915,MIN(2025,E540)))))/2</f>
        <v/>
      </c>
      <c r="AI540" s="75">
        <f>(CHOOSE(((AG540+2)-56)/2+1,SUMIFS(Donnees_generations!$U$3:$U$113,Donnees_generations!$A$3:$A$113,MAX(1915,MIN(2025,E540))),SUMIFS(Donnees_generations!$V$3:$V$113,Donnees_generations!$A$3:$A$113,MAX(1915,MIN(2025,E540))),SUMIFS(Donnees_generations!$W$3:$W$113,Donnees_generations!$A$3:$A$113,MAX(1915,MIN(2025,E540))),SUMIFS(Donnees_generations!$X$3:$X$113,Donnees_generations!$A$3:$A$113,MAX(1915,MIN(2025,E540))),SUMIFS(Donnees_generations!$Y$3:$Y$113,Donnees_generations!$A$3:$A$113,MAX(1915,MIN(2025,E540))),SUMIFS(Donnees_generations!$Z$3:$Z$113,Donnees_generations!$A$3:$A$113,MAX(1915,MIN(2025,E540))),SUMIFS(Donnees_generations!$AA$3:$AA$113,Donnees_generations!$A$3:$A$113,MAX(1915,MIN(2025,E540))),SUMIFS(Donnees_generations!$AB$3:$AB$113,Donnees_generations!$A$3:$A$113,MAX(1915,MIN(2025,E540))))+CHOOSE(((AG540+2)-56)/2+1,SUMIFS(Donnees_generations!$AC$3:$AC$113,Donnees_generations!$A$3:$A$113,MAX(1915,MIN(2025,E540))),SUMIFS(Donnees_generations!$AD$3:$AD$113,Donnees_generations!$A$3:$A$113,MAX(1915,MIN(2025,E540))),SUMIFS(Donnees_generations!$AE$3:$AE$113,Donnees_generations!$A$3:$A$113,MAX(1915,MIN(2025,E540))),SUMIFS(Donnees_generations!$AF$3:$AF$113,Donnees_generations!$A$3:$A$113,MAX(1915,MIN(2025,E540))),SUMIFS(Donnees_generations!$AG$3:$AG$113,Donnees_generations!$A$3:$A$113,MAX(1915,MIN(2025,E540))),SUMIFS(Donnees_generations!$AH$3:$AH$113,Donnees_generations!$A$3:$A$113,MAX(1915,MIN(2025,E540))),SUMIFS(Donnees_generations!$AI$3:$AI$113,Donnees_generations!$A$3:$A$113,MAX(1915,MIN(2025,E540))),SUMIFS(Donnees_generations!$AJ$3:$AJ$113,Donnees_generations!$A$3:$A$113,MAX(1915,MIN(2025,E540)))))/2</f>
        <v/>
      </c>
      <c r="AJ540" s="8">
        <f>MAX(0,AH540+(AI540-AH540)*(K540-AG540)/2)</f>
        <v/>
      </c>
      <c r="AK540" s="8">
        <f>K540+AJ540</f>
        <v/>
      </c>
      <c r="AL540" s="14">
        <f>AE540*AJ540</f>
        <v/>
      </c>
      <c r="AM540" s="17">
        <f>V540/AL540</f>
        <v/>
      </c>
      <c r="AN540" s="17">
        <f>Z540/AL540</f>
        <v/>
      </c>
      <c r="AO540" s="33">
        <f>IF(V540+Z540=0,0,Z540/(V540+Z540))</f>
        <v/>
      </c>
      <c r="AP540" s="14">
        <f>AL540/V540*100</f>
        <v/>
      </c>
      <c r="AQ540" s="8">
        <f>P540/AL540*1000</f>
        <v/>
      </c>
      <c r="AR540" s="77">
        <f>MAX(N540,M540-1)</f>
        <v/>
      </c>
      <c r="AS540" s="14">
        <f>SUMIFS(Donnees_regimes!$R$3:$R$1118,Donnees_regimes!$A$3:$A$1118,C540,Donnees_regimes!$B$3:$B$1118,"&gt;="&amp;G540,Donnees_regimes!$B$3:$B$1118,"&lt;="&amp;N540)*L540/ROUNDUP(L540,0)*SUMIFS(Donnees_annuelles!$AG$3:$AG$188,Donnees_annuelles!$A$3:$A$188,AR540)*SUMIFS(Donnees_annuelles!$AA$3:$AA$188,Donnees_annuelles!$A$3:$A$188,AR540)</f>
        <v/>
      </c>
      <c r="AT540" s="36">
        <f>AS540/V540</f>
        <v/>
      </c>
      <c r="AU540" s="14">
        <f>AL540</f>
        <v/>
      </c>
      <c r="AV540" s="39">
        <f>AS540-AL540</f>
        <v/>
      </c>
      <c r="AW540" s="9">
        <f>AS540/AL540-1</f>
        <v/>
      </c>
      <c r="AX540" s="14">
        <f>AS540/AJ540/12</f>
        <v/>
      </c>
      <c r="AY540" s="14">
        <f>AF540</f>
        <v/>
      </c>
      <c r="AZ540" s="39">
        <f>AX540-AF540</f>
        <v/>
      </c>
      <c r="BA540" s="14">
        <f>SUMIFS(Donnees_regimes!$S$3:$S$1118,Donnees_regimes!$A$3:$A$1118,C540,Donnees_regimes!$B$3:$B$1118,"&gt;="&amp;G540,Donnees_regimes!$B$3:$B$1118,"&lt;="&amp;N540)*L540/ROUNDUP(L540,0)*SUMIFS(Donnees_annuelles!$AH$3:$AH$188,Donnees_annuelles!$A$3:$A$188,AR540)*SUMIFS(Donnees_annuelles!$AA$3:$AA$188,Donnees_annuelles!$A$3:$A$188,AR540)</f>
        <v/>
      </c>
      <c r="BB540" s="39">
        <f>BA540-AL540</f>
        <v/>
      </c>
      <c r="BC540" s="7">
        <f>IF(M540+AJ540&gt;2026,IF(G540&gt;2026,"entièrement projeté","en partie projeté"),"observé")</f>
        <v/>
      </c>
    </row>
    <row r="541">
      <c r="A541" s="7" t="inlineStr">
        <is>
          <t>Génération X</t>
        </is>
      </c>
      <c r="B541" s="84" t="inlineStr">
        <is>
          <t>IEG</t>
        </is>
      </c>
      <c r="C541" s="7">
        <f>IF(G541&gt;=SUMIFS(Regimes!$C$5:$C$10,Regimes!$A$5:$A$10,B541),"Privé",B541)</f>
        <v/>
      </c>
      <c r="D541" s="7">
        <f>INDEX(Regimes!$D$5:$D$10,MATCH(C541,Regimes!$A$5:$A$10,0))</f>
        <v/>
      </c>
      <c r="E541" s="88" t="n">
        <v>1976</v>
      </c>
      <c r="F541" s="8">
        <f>Donnees_generations!C64</f>
        <v/>
      </c>
      <c r="G541" s="77">
        <f>Donnees_generations!D64</f>
        <v/>
      </c>
      <c r="H541" s="8">
        <f>SUMIFS(Donnees_generations!$S$3:$S$113,Donnees_generations!$A$3:$A$113,MAX(1915,MIN(2025,E541)))</f>
        <v/>
      </c>
      <c r="I541" s="8">
        <f>SUMIFS(Donnees_generations!$T$3:$T$113,Donnees_generations!$A$3:$A$113,MAX(1915,MIN(2025,E541)))</f>
        <v/>
      </c>
      <c r="J541" s="8">
        <f>IF(G541&gt;=2000,MAX(I541,Parametres!$B$3),I541)</f>
        <v/>
      </c>
      <c r="K541" s="8">
        <f>IF(C541="Privé",J541,SUMIFS(Regles_regimes!$J$3:$J$2000,Regles_regimes!$A$3:$A$2000,C541,Regles_regimes!$B$3:$B$2000,D541,Regles_regimes!$C$3:$C$2000,MAX(1915,MIN(2025,E541))))</f>
        <v/>
      </c>
      <c r="L541" s="8">
        <f>IF(C541="Privé",H541,(K541-F541)*H541/(J541-F541))</f>
        <v/>
      </c>
      <c r="M541" s="77">
        <f>INT(E541+K541)</f>
        <v/>
      </c>
      <c r="N541" s="77">
        <f>G541+ROUNDUP(L541,0)-1</f>
        <v/>
      </c>
      <c r="O541" s="89">
        <f>SUMIFS(Regles_regimes!$K$3:$K$2000,Regles_regimes!$A$3:$A$2000,C541,Regles_regimes!$B$3:$B$2000,D541,Regles_regimes!$C$3:$C$2000,MAX(1915,MIN(2025,E541)))</f>
        <v/>
      </c>
      <c r="P541" s="13">
        <f>SUMIFS(Donnees_annuelles!$W$3:$W$188,Donnees_annuelles!$A$3:$A$188,"&gt;="&amp;G541,Donnees_annuelles!$A$3:$A$188,"&lt;="&amp;N541)*L541/ROUNDUP(L541,0)*O541</f>
        <v/>
      </c>
      <c r="Q541" s="13">
        <f>SUMIFS(Donnees_annuelles!$V$3:$V$188,Donnees_annuelles!$A$3:$A$188,"&gt;="&amp;G541,Donnees_annuelles!$A$3:$A$188,"&lt;="&amp;N541)*L541/ROUNDUP(L541,0)</f>
        <v/>
      </c>
      <c r="R541" s="13">
        <f>P541/L541</f>
        <v/>
      </c>
      <c r="S541" s="14">
        <f>SUMIFS(Donnees_annuelles!$D$3:$D$188,Donnees_annuelles!$A$3:$A$188,"&gt;="&amp;G541,Donnees_annuelles!$A$3:$A$188,"&lt;="&amp;N541)*L541/ROUNDUP(L541,0)</f>
        <v/>
      </c>
      <c r="T541" s="14">
        <f>SUMIFS(Donnees_regimes!$N$3:$N$1118,Donnees_regimes!$A$3:$A$1118,C541,Donnees_regimes!$B$3:$B$1118,"&gt;="&amp;G541,Donnees_regimes!$B$3:$B$1118,"&lt;="&amp;N541)*L541/ROUNDUP(L541,0)</f>
        <v/>
      </c>
      <c r="U541" s="14">
        <f>SUMIFS(Donnees_regimes!$O$3:$O$1118,Donnees_regimes!$A$3:$A$1118,C541,Donnees_regimes!$B$3:$B$1118,"&gt;="&amp;G541,Donnees_regimes!$B$3:$B$1118,"&lt;="&amp;N541)*L541/ROUNDUP(L541,0)</f>
        <v/>
      </c>
      <c r="V541" s="14">
        <f>T541+U541</f>
        <v/>
      </c>
      <c r="W541" s="33">
        <f>V541/S541</f>
        <v/>
      </c>
      <c r="X541" s="14">
        <f>S541+U541</f>
        <v/>
      </c>
      <c r="Y541" s="17">
        <f>V541/P541</f>
        <v/>
      </c>
      <c r="Z541" s="14">
        <f>SUMIFS(Donnees_regimes!$Q$3:$Q$1118,Donnees_regimes!$A$3:$A$1118,C541,Donnees_regimes!$B$3:$B$1118,"&gt;="&amp;G541,Donnees_regimes!$B$3:$B$1118,"&lt;="&amp;N541)*L541/ROUNDUP(L541,0)</f>
        <v/>
      </c>
      <c r="AA541" s="77">
        <f>SUMIFS(Regles_regimes!$F$3:$F$2000,Regles_regimes!$A$3:$A$2000,C541,Regles_regimes!$B$3:$B$2000,D541,Regles_regimes!$C$3:$C$2000,MAX(1915,MIN(2025,E541)))</f>
        <v/>
      </c>
      <c r="AB541" s="77">
        <f>IF(AND(SUMIFS(Regles_regimes!$L$3:$L$2000,Regles_regimes!$A$3:$A$2000,C541,Regles_regimes!$B$3:$B$2000,D541,Regles_regimes!$C$3:$C$2000,MAX(1915,MIN(2025,E541)))=1,G541&lt;2009,C541&lt;&gt;"Privé"),MIN(20,L541*4/5),0)</f>
        <v/>
      </c>
      <c r="AC541" s="89">
        <f>SUMIFS(Donnees_regimes!$M$3:$M$1118,Donnees_regimes!$A$3:$A$1118,C541,Donnees_regimes!$B$3:$B$1118,M541)</f>
        <v/>
      </c>
      <c r="AD541" s="14">
        <f>SUMIFS(Donnees_annuelles!$Y$3:$Y$188,Donnees_annuelles!$A$3:$A$188,M541)*SUMIFS(Donnees_generations!$I$3:$I$113,Donnees_generations!$A$3:$A$113,MAX(1915,MIN(2025,E541)))/H541</f>
        <v/>
      </c>
      <c r="AE541" s="14">
        <f>IF(C541="Privé",SUMIFS(Donnees_annuelles!$Y$3:$Y$188,Donnees_annuelles!$A$3:$A$188,M541)*MIN(L541,SUMIFS(Donnees_generations!$I$3:$I$113,Donnees_generations!$A$3:$A$113,MAX(1915,MIN(2025,E541))))/L541,AD541*AC541*MIN(IF(AB541&gt;0,0.8/0.75,1),(L541*4+AB541)/AA541))</f>
        <v/>
      </c>
      <c r="AF541" s="14">
        <f>AE541/12</f>
        <v/>
      </c>
      <c r="AG541" s="77">
        <f>MIN(68,MAX(56,2*INT(K541/2)))</f>
        <v/>
      </c>
      <c r="AH541" s="75">
        <f>(CHOOSE((AG541-56)/2+1,SUMIFS(Donnees_generations!$U$3:$U$113,Donnees_generations!$A$3:$A$113,MAX(1915,MIN(2025,E541))),SUMIFS(Donnees_generations!$V$3:$V$113,Donnees_generations!$A$3:$A$113,MAX(1915,MIN(2025,E541))),SUMIFS(Donnees_generations!$W$3:$W$113,Donnees_generations!$A$3:$A$113,MAX(1915,MIN(2025,E541))),SUMIFS(Donnees_generations!$X$3:$X$113,Donnees_generations!$A$3:$A$113,MAX(1915,MIN(2025,E541))),SUMIFS(Donnees_generations!$Y$3:$Y$113,Donnees_generations!$A$3:$A$113,MAX(1915,MIN(2025,E541))),SUMIFS(Donnees_generations!$Z$3:$Z$113,Donnees_generations!$A$3:$A$113,MAX(1915,MIN(2025,E541))),SUMIFS(Donnees_generations!$AA$3:$AA$113,Donnees_generations!$A$3:$A$113,MAX(1915,MIN(2025,E541))),SUMIFS(Donnees_generations!$AB$3:$AB$113,Donnees_generations!$A$3:$A$113,MAX(1915,MIN(2025,E541))))+CHOOSE((AG541-56)/2+1,SUMIFS(Donnees_generations!$AC$3:$AC$113,Donnees_generations!$A$3:$A$113,MAX(1915,MIN(2025,E541))),SUMIFS(Donnees_generations!$AD$3:$AD$113,Donnees_generations!$A$3:$A$113,MAX(1915,MIN(2025,E541))),SUMIFS(Donnees_generations!$AE$3:$AE$113,Donnees_generations!$A$3:$A$113,MAX(1915,MIN(2025,E541))),SUMIFS(Donnees_generations!$AF$3:$AF$113,Donnees_generations!$A$3:$A$113,MAX(1915,MIN(2025,E541))),SUMIFS(Donnees_generations!$AG$3:$AG$113,Donnees_generations!$A$3:$A$113,MAX(1915,MIN(2025,E541))),SUMIFS(Donnees_generations!$AH$3:$AH$113,Donnees_generations!$A$3:$A$113,MAX(1915,MIN(2025,E541))),SUMIFS(Donnees_generations!$AI$3:$AI$113,Donnees_generations!$A$3:$A$113,MAX(1915,MIN(2025,E541))),SUMIFS(Donnees_generations!$AJ$3:$AJ$113,Donnees_generations!$A$3:$A$113,MAX(1915,MIN(2025,E541)))))/2</f>
        <v/>
      </c>
      <c r="AI541" s="75">
        <f>(CHOOSE(((AG541+2)-56)/2+1,SUMIFS(Donnees_generations!$U$3:$U$113,Donnees_generations!$A$3:$A$113,MAX(1915,MIN(2025,E541))),SUMIFS(Donnees_generations!$V$3:$V$113,Donnees_generations!$A$3:$A$113,MAX(1915,MIN(2025,E541))),SUMIFS(Donnees_generations!$W$3:$W$113,Donnees_generations!$A$3:$A$113,MAX(1915,MIN(2025,E541))),SUMIFS(Donnees_generations!$X$3:$X$113,Donnees_generations!$A$3:$A$113,MAX(1915,MIN(2025,E541))),SUMIFS(Donnees_generations!$Y$3:$Y$113,Donnees_generations!$A$3:$A$113,MAX(1915,MIN(2025,E541))),SUMIFS(Donnees_generations!$Z$3:$Z$113,Donnees_generations!$A$3:$A$113,MAX(1915,MIN(2025,E541))),SUMIFS(Donnees_generations!$AA$3:$AA$113,Donnees_generations!$A$3:$A$113,MAX(1915,MIN(2025,E541))),SUMIFS(Donnees_generations!$AB$3:$AB$113,Donnees_generations!$A$3:$A$113,MAX(1915,MIN(2025,E541))))+CHOOSE(((AG541+2)-56)/2+1,SUMIFS(Donnees_generations!$AC$3:$AC$113,Donnees_generations!$A$3:$A$113,MAX(1915,MIN(2025,E541))),SUMIFS(Donnees_generations!$AD$3:$AD$113,Donnees_generations!$A$3:$A$113,MAX(1915,MIN(2025,E541))),SUMIFS(Donnees_generations!$AE$3:$AE$113,Donnees_generations!$A$3:$A$113,MAX(1915,MIN(2025,E541))),SUMIFS(Donnees_generations!$AF$3:$AF$113,Donnees_generations!$A$3:$A$113,MAX(1915,MIN(2025,E541))),SUMIFS(Donnees_generations!$AG$3:$AG$113,Donnees_generations!$A$3:$A$113,MAX(1915,MIN(2025,E541))),SUMIFS(Donnees_generations!$AH$3:$AH$113,Donnees_generations!$A$3:$A$113,MAX(1915,MIN(2025,E541))),SUMIFS(Donnees_generations!$AI$3:$AI$113,Donnees_generations!$A$3:$A$113,MAX(1915,MIN(2025,E541))),SUMIFS(Donnees_generations!$AJ$3:$AJ$113,Donnees_generations!$A$3:$A$113,MAX(1915,MIN(2025,E541)))))/2</f>
        <v/>
      </c>
      <c r="AJ541" s="8">
        <f>MAX(0,AH541+(AI541-AH541)*(K541-AG541)/2)</f>
        <v/>
      </c>
      <c r="AK541" s="8">
        <f>K541+AJ541</f>
        <v/>
      </c>
      <c r="AL541" s="14">
        <f>AE541*AJ541</f>
        <v/>
      </c>
      <c r="AM541" s="17">
        <f>V541/AL541</f>
        <v/>
      </c>
      <c r="AN541" s="17">
        <f>Z541/AL541</f>
        <v/>
      </c>
      <c r="AO541" s="33">
        <f>IF(V541+Z541=0,0,Z541/(V541+Z541))</f>
        <v/>
      </c>
      <c r="AP541" s="14">
        <f>AL541/V541*100</f>
        <v/>
      </c>
      <c r="AQ541" s="8">
        <f>P541/AL541*1000</f>
        <v/>
      </c>
      <c r="AR541" s="77">
        <f>MAX(N541,M541-1)</f>
        <v/>
      </c>
      <c r="AS541" s="14">
        <f>SUMIFS(Donnees_regimes!$R$3:$R$1118,Donnees_regimes!$A$3:$A$1118,C541,Donnees_regimes!$B$3:$B$1118,"&gt;="&amp;G541,Donnees_regimes!$B$3:$B$1118,"&lt;="&amp;N541)*L541/ROUNDUP(L541,0)*SUMIFS(Donnees_annuelles!$AG$3:$AG$188,Donnees_annuelles!$A$3:$A$188,AR541)*SUMIFS(Donnees_annuelles!$AA$3:$AA$188,Donnees_annuelles!$A$3:$A$188,AR541)</f>
        <v/>
      </c>
      <c r="AT541" s="36">
        <f>AS541/V541</f>
        <v/>
      </c>
      <c r="AU541" s="14">
        <f>AL541</f>
        <v/>
      </c>
      <c r="AV541" s="39">
        <f>AS541-AL541</f>
        <v/>
      </c>
      <c r="AW541" s="9">
        <f>AS541/AL541-1</f>
        <v/>
      </c>
      <c r="AX541" s="14">
        <f>AS541/AJ541/12</f>
        <v/>
      </c>
      <c r="AY541" s="14">
        <f>AF541</f>
        <v/>
      </c>
      <c r="AZ541" s="39">
        <f>AX541-AF541</f>
        <v/>
      </c>
      <c r="BA541" s="14">
        <f>SUMIFS(Donnees_regimes!$S$3:$S$1118,Donnees_regimes!$A$3:$A$1118,C541,Donnees_regimes!$B$3:$B$1118,"&gt;="&amp;G541,Donnees_regimes!$B$3:$B$1118,"&lt;="&amp;N541)*L541/ROUNDUP(L541,0)*SUMIFS(Donnees_annuelles!$AH$3:$AH$188,Donnees_annuelles!$A$3:$A$188,AR541)*SUMIFS(Donnees_annuelles!$AA$3:$AA$188,Donnees_annuelles!$A$3:$A$188,AR541)</f>
        <v/>
      </c>
      <c r="BB541" s="39">
        <f>BA541-AL541</f>
        <v/>
      </c>
      <c r="BC541" s="7">
        <f>IF(M541+AJ541&gt;2026,IF(G541&gt;2026,"entièrement projeté","en partie projeté"),"observé")</f>
        <v/>
      </c>
    </row>
    <row r="542">
      <c r="A542" s="7" t="inlineStr">
        <is>
          <t>Génération X</t>
        </is>
      </c>
      <c r="B542" s="84" t="inlineStr">
        <is>
          <t>IEG</t>
        </is>
      </c>
      <c r="C542" s="7">
        <f>IF(G542&gt;=SUMIFS(Regimes!$C$5:$C$10,Regimes!$A$5:$A$10,B542),"Privé",B542)</f>
        <v/>
      </c>
      <c r="D542" s="7">
        <f>INDEX(Regimes!$D$5:$D$10,MATCH(C542,Regimes!$A$5:$A$10,0))</f>
        <v/>
      </c>
      <c r="E542" s="88" t="n">
        <v>1977</v>
      </c>
      <c r="F542" s="8">
        <f>Donnees_generations!C65</f>
        <v/>
      </c>
      <c r="G542" s="77">
        <f>Donnees_generations!D65</f>
        <v/>
      </c>
      <c r="H542" s="8">
        <f>SUMIFS(Donnees_generations!$S$3:$S$113,Donnees_generations!$A$3:$A$113,MAX(1915,MIN(2025,E542)))</f>
        <v/>
      </c>
      <c r="I542" s="8">
        <f>SUMIFS(Donnees_generations!$T$3:$T$113,Donnees_generations!$A$3:$A$113,MAX(1915,MIN(2025,E542)))</f>
        <v/>
      </c>
      <c r="J542" s="8">
        <f>IF(G542&gt;=2000,MAX(I542,Parametres!$B$3),I542)</f>
        <v/>
      </c>
      <c r="K542" s="8">
        <f>IF(C542="Privé",J542,SUMIFS(Regles_regimes!$J$3:$J$2000,Regles_regimes!$A$3:$A$2000,C542,Regles_regimes!$B$3:$B$2000,D542,Regles_regimes!$C$3:$C$2000,MAX(1915,MIN(2025,E542))))</f>
        <v/>
      </c>
      <c r="L542" s="8">
        <f>IF(C542="Privé",H542,(K542-F542)*H542/(J542-F542))</f>
        <v/>
      </c>
      <c r="M542" s="77">
        <f>INT(E542+K542)</f>
        <v/>
      </c>
      <c r="N542" s="77">
        <f>G542+ROUNDUP(L542,0)-1</f>
        <v/>
      </c>
      <c r="O542" s="89">
        <f>SUMIFS(Regles_regimes!$K$3:$K$2000,Regles_regimes!$A$3:$A$2000,C542,Regles_regimes!$B$3:$B$2000,D542,Regles_regimes!$C$3:$C$2000,MAX(1915,MIN(2025,E542)))</f>
        <v/>
      </c>
      <c r="P542" s="13">
        <f>SUMIFS(Donnees_annuelles!$W$3:$W$188,Donnees_annuelles!$A$3:$A$188,"&gt;="&amp;G542,Donnees_annuelles!$A$3:$A$188,"&lt;="&amp;N542)*L542/ROUNDUP(L542,0)*O542</f>
        <v/>
      </c>
      <c r="Q542" s="13">
        <f>SUMIFS(Donnees_annuelles!$V$3:$V$188,Donnees_annuelles!$A$3:$A$188,"&gt;="&amp;G542,Donnees_annuelles!$A$3:$A$188,"&lt;="&amp;N542)*L542/ROUNDUP(L542,0)</f>
        <v/>
      </c>
      <c r="R542" s="13">
        <f>P542/L542</f>
        <v/>
      </c>
      <c r="S542" s="14">
        <f>SUMIFS(Donnees_annuelles!$D$3:$D$188,Donnees_annuelles!$A$3:$A$188,"&gt;="&amp;G542,Donnees_annuelles!$A$3:$A$188,"&lt;="&amp;N542)*L542/ROUNDUP(L542,0)</f>
        <v/>
      </c>
      <c r="T542" s="14">
        <f>SUMIFS(Donnees_regimes!$N$3:$N$1118,Donnees_regimes!$A$3:$A$1118,C542,Donnees_regimes!$B$3:$B$1118,"&gt;="&amp;G542,Donnees_regimes!$B$3:$B$1118,"&lt;="&amp;N542)*L542/ROUNDUP(L542,0)</f>
        <v/>
      </c>
      <c r="U542" s="14">
        <f>SUMIFS(Donnees_regimes!$O$3:$O$1118,Donnees_regimes!$A$3:$A$1118,C542,Donnees_regimes!$B$3:$B$1118,"&gt;="&amp;G542,Donnees_regimes!$B$3:$B$1118,"&lt;="&amp;N542)*L542/ROUNDUP(L542,0)</f>
        <v/>
      </c>
      <c r="V542" s="14">
        <f>T542+U542</f>
        <v/>
      </c>
      <c r="W542" s="33">
        <f>V542/S542</f>
        <v/>
      </c>
      <c r="X542" s="14">
        <f>S542+U542</f>
        <v/>
      </c>
      <c r="Y542" s="17">
        <f>V542/P542</f>
        <v/>
      </c>
      <c r="Z542" s="14">
        <f>SUMIFS(Donnees_regimes!$Q$3:$Q$1118,Donnees_regimes!$A$3:$A$1118,C542,Donnees_regimes!$B$3:$B$1118,"&gt;="&amp;G542,Donnees_regimes!$B$3:$B$1118,"&lt;="&amp;N542)*L542/ROUNDUP(L542,0)</f>
        <v/>
      </c>
      <c r="AA542" s="77">
        <f>SUMIFS(Regles_regimes!$F$3:$F$2000,Regles_regimes!$A$3:$A$2000,C542,Regles_regimes!$B$3:$B$2000,D542,Regles_regimes!$C$3:$C$2000,MAX(1915,MIN(2025,E542)))</f>
        <v/>
      </c>
      <c r="AB542" s="77">
        <f>IF(AND(SUMIFS(Regles_regimes!$L$3:$L$2000,Regles_regimes!$A$3:$A$2000,C542,Regles_regimes!$B$3:$B$2000,D542,Regles_regimes!$C$3:$C$2000,MAX(1915,MIN(2025,E542)))=1,G542&lt;2009,C542&lt;&gt;"Privé"),MIN(20,L542*4/5),0)</f>
        <v/>
      </c>
      <c r="AC542" s="89">
        <f>SUMIFS(Donnees_regimes!$M$3:$M$1118,Donnees_regimes!$A$3:$A$1118,C542,Donnees_regimes!$B$3:$B$1118,M542)</f>
        <v/>
      </c>
      <c r="AD542" s="14">
        <f>SUMIFS(Donnees_annuelles!$Y$3:$Y$188,Donnees_annuelles!$A$3:$A$188,M542)*SUMIFS(Donnees_generations!$I$3:$I$113,Donnees_generations!$A$3:$A$113,MAX(1915,MIN(2025,E542)))/H542</f>
        <v/>
      </c>
      <c r="AE542" s="14">
        <f>IF(C542="Privé",SUMIFS(Donnees_annuelles!$Y$3:$Y$188,Donnees_annuelles!$A$3:$A$188,M542)*MIN(L542,SUMIFS(Donnees_generations!$I$3:$I$113,Donnees_generations!$A$3:$A$113,MAX(1915,MIN(2025,E542))))/L542,AD542*AC542*MIN(IF(AB542&gt;0,0.8/0.75,1),(L542*4+AB542)/AA542))</f>
        <v/>
      </c>
      <c r="AF542" s="14">
        <f>AE542/12</f>
        <v/>
      </c>
      <c r="AG542" s="77">
        <f>MIN(68,MAX(56,2*INT(K542/2)))</f>
        <v/>
      </c>
      <c r="AH542" s="75">
        <f>(CHOOSE((AG542-56)/2+1,SUMIFS(Donnees_generations!$U$3:$U$113,Donnees_generations!$A$3:$A$113,MAX(1915,MIN(2025,E542))),SUMIFS(Donnees_generations!$V$3:$V$113,Donnees_generations!$A$3:$A$113,MAX(1915,MIN(2025,E542))),SUMIFS(Donnees_generations!$W$3:$W$113,Donnees_generations!$A$3:$A$113,MAX(1915,MIN(2025,E542))),SUMIFS(Donnees_generations!$X$3:$X$113,Donnees_generations!$A$3:$A$113,MAX(1915,MIN(2025,E542))),SUMIFS(Donnees_generations!$Y$3:$Y$113,Donnees_generations!$A$3:$A$113,MAX(1915,MIN(2025,E542))),SUMIFS(Donnees_generations!$Z$3:$Z$113,Donnees_generations!$A$3:$A$113,MAX(1915,MIN(2025,E542))),SUMIFS(Donnees_generations!$AA$3:$AA$113,Donnees_generations!$A$3:$A$113,MAX(1915,MIN(2025,E542))),SUMIFS(Donnees_generations!$AB$3:$AB$113,Donnees_generations!$A$3:$A$113,MAX(1915,MIN(2025,E542))))+CHOOSE((AG542-56)/2+1,SUMIFS(Donnees_generations!$AC$3:$AC$113,Donnees_generations!$A$3:$A$113,MAX(1915,MIN(2025,E542))),SUMIFS(Donnees_generations!$AD$3:$AD$113,Donnees_generations!$A$3:$A$113,MAX(1915,MIN(2025,E542))),SUMIFS(Donnees_generations!$AE$3:$AE$113,Donnees_generations!$A$3:$A$113,MAX(1915,MIN(2025,E542))),SUMIFS(Donnees_generations!$AF$3:$AF$113,Donnees_generations!$A$3:$A$113,MAX(1915,MIN(2025,E542))),SUMIFS(Donnees_generations!$AG$3:$AG$113,Donnees_generations!$A$3:$A$113,MAX(1915,MIN(2025,E542))),SUMIFS(Donnees_generations!$AH$3:$AH$113,Donnees_generations!$A$3:$A$113,MAX(1915,MIN(2025,E542))),SUMIFS(Donnees_generations!$AI$3:$AI$113,Donnees_generations!$A$3:$A$113,MAX(1915,MIN(2025,E542))),SUMIFS(Donnees_generations!$AJ$3:$AJ$113,Donnees_generations!$A$3:$A$113,MAX(1915,MIN(2025,E542)))))/2</f>
        <v/>
      </c>
      <c r="AI542" s="75">
        <f>(CHOOSE(((AG542+2)-56)/2+1,SUMIFS(Donnees_generations!$U$3:$U$113,Donnees_generations!$A$3:$A$113,MAX(1915,MIN(2025,E542))),SUMIFS(Donnees_generations!$V$3:$V$113,Donnees_generations!$A$3:$A$113,MAX(1915,MIN(2025,E542))),SUMIFS(Donnees_generations!$W$3:$W$113,Donnees_generations!$A$3:$A$113,MAX(1915,MIN(2025,E542))),SUMIFS(Donnees_generations!$X$3:$X$113,Donnees_generations!$A$3:$A$113,MAX(1915,MIN(2025,E542))),SUMIFS(Donnees_generations!$Y$3:$Y$113,Donnees_generations!$A$3:$A$113,MAX(1915,MIN(2025,E542))),SUMIFS(Donnees_generations!$Z$3:$Z$113,Donnees_generations!$A$3:$A$113,MAX(1915,MIN(2025,E542))),SUMIFS(Donnees_generations!$AA$3:$AA$113,Donnees_generations!$A$3:$A$113,MAX(1915,MIN(2025,E542))),SUMIFS(Donnees_generations!$AB$3:$AB$113,Donnees_generations!$A$3:$A$113,MAX(1915,MIN(2025,E542))))+CHOOSE(((AG542+2)-56)/2+1,SUMIFS(Donnees_generations!$AC$3:$AC$113,Donnees_generations!$A$3:$A$113,MAX(1915,MIN(2025,E542))),SUMIFS(Donnees_generations!$AD$3:$AD$113,Donnees_generations!$A$3:$A$113,MAX(1915,MIN(2025,E542))),SUMIFS(Donnees_generations!$AE$3:$AE$113,Donnees_generations!$A$3:$A$113,MAX(1915,MIN(2025,E542))),SUMIFS(Donnees_generations!$AF$3:$AF$113,Donnees_generations!$A$3:$A$113,MAX(1915,MIN(2025,E542))),SUMIFS(Donnees_generations!$AG$3:$AG$113,Donnees_generations!$A$3:$A$113,MAX(1915,MIN(2025,E542))),SUMIFS(Donnees_generations!$AH$3:$AH$113,Donnees_generations!$A$3:$A$113,MAX(1915,MIN(2025,E542))),SUMIFS(Donnees_generations!$AI$3:$AI$113,Donnees_generations!$A$3:$A$113,MAX(1915,MIN(2025,E542))),SUMIFS(Donnees_generations!$AJ$3:$AJ$113,Donnees_generations!$A$3:$A$113,MAX(1915,MIN(2025,E542)))))/2</f>
        <v/>
      </c>
      <c r="AJ542" s="8">
        <f>MAX(0,AH542+(AI542-AH542)*(K542-AG542)/2)</f>
        <v/>
      </c>
      <c r="AK542" s="8">
        <f>K542+AJ542</f>
        <v/>
      </c>
      <c r="AL542" s="14">
        <f>AE542*AJ542</f>
        <v/>
      </c>
      <c r="AM542" s="17">
        <f>V542/AL542</f>
        <v/>
      </c>
      <c r="AN542" s="17">
        <f>Z542/AL542</f>
        <v/>
      </c>
      <c r="AO542" s="33">
        <f>IF(V542+Z542=0,0,Z542/(V542+Z542))</f>
        <v/>
      </c>
      <c r="AP542" s="14">
        <f>AL542/V542*100</f>
        <v/>
      </c>
      <c r="AQ542" s="8">
        <f>P542/AL542*1000</f>
        <v/>
      </c>
      <c r="AR542" s="77">
        <f>MAX(N542,M542-1)</f>
        <v/>
      </c>
      <c r="AS542" s="14">
        <f>SUMIFS(Donnees_regimes!$R$3:$R$1118,Donnees_regimes!$A$3:$A$1118,C542,Donnees_regimes!$B$3:$B$1118,"&gt;="&amp;G542,Donnees_regimes!$B$3:$B$1118,"&lt;="&amp;N542)*L542/ROUNDUP(L542,0)*SUMIFS(Donnees_annuelles!$AG$3:$AG$188,Donnees_annuelles!$A$3:$A$188,AR542)*SUMIFS(Donnees_annuelles!$AA$3:$AA$188,Donnees_annuelles!$A$3:$A$188,AR542)</f>
        <v/>
      </c>
      <c r="AT542" s="36">
        <f>AS542/V542</f>
        <v/>
      </c>
      <c r="AU542" s="14">
        <f>AL542</f>
        <v/>
      </c>
      <c r="AV542" s="39">
        <f>AS542-AL542</f>
        <v/>
      </c>
      <c r="AW542" s="9">
        <f>AS542/AL542-1</f>
        <v/>
      </c>
      <c r="AX542" s="14">
        <f>AS542/AJ542/12</f>
        <v/>
      </c>
      <c r="AY542" s="14">
        <f>AF542</f>
        <v/>
      </c>
      <c r="AZ542" s="39">
        <f>AX542-AF542</f>
        <v/>
      </c>
      <c r="BA542" s="14">
        <f>SUMIFS(Donnees_regimes!$S$3:$S$1118,Donnees_regimes!$A$3:$A$1118,C542,Donnees_regimes!$B$3:$B$1118,"&gt;="&amp;G542,Donnees_regimes!$B$3:$B$1118,"&lt;="&amp;N542)*L542/ROUNDUP(L542,0)*SUMIFS(Donnees_annuelles!$AH$3:$AH$188,Donnees_annuelles!$A$3:$A$188,AR542)*SUMIFS(Donnees_annuelles!$AA$3:$AA$188,Donnees_annuelles!$A$3:$A$188,AR542)</f>
        <v/>
      </c>
      <c r="BB542" s="39">
        <f>BA542-AL542</f>
        <v/>
      </c>
      <c r="BC542" s="7">
        <f>IF(M542+AJ542&gt;2026,IF(G542&gt;2026,"entièrement projeté","en partie projeté"),"observé")</f>
        <v/>
      </c>
    </row>
    <row r="543">
      <c r="A543" s="7" t="inlineStr">
        <is>
          <t>Génération X</t>
        </is>
      </c>
      <c r="B543" s="84" t="inlineStr">
        <is>
          <t>IEG</t>
        </is>
      </c>
      <c r="C543" s="7">
        <f>IF(G543&gt;=SUMIFS(Regimes!$C$5:$C$10,Regimes!$A$5:$A$10,B543),"Privé",B543)</f>
        <v/>
      </c>
      <c r="D543" s="7">
        <f>INDEX(Regimes!$D$5:$D$10,MATCH(C543,Regimes!$A$5:$A$10,0))</f>
        <v/>
      </c>
      <c r="E543" s="88" t="n">
        <v>1978</v>
      </c>
      <c r="F543" s="8">
        <f>Donnees_generations!C66</f>
        <v/>
      </c>
      <c r="G543" s="77">
        <f>Donnees_generations!D66</f>
        <v/>
      </c>
      <c r="H543" s="8">
        <f>SUMIFS(Donnees_generations!$S$3:$S$113,Donnees_generations!$A$3:$A$113,MAX(1915,MIN(2025,E543)))</f>
        <v/>
      </c>
      <c r="I543" s="8">
        <f>SUMIFS(Donnees_generations!$T$3:$T$113,Donnees_generations!$A$3:$A$113,MAX(1915,MIN(2025,E543)))</f>
        <v/>
      </c>
      <c r="J543" s="8">
        <f>IF(G543&gt;=2000,MAX(I543,Parametres!$B$3),I543)</f>
        <v/>
      </c>
      <c r="K543" s="8">
        <f>IF(C543="Privé",J543,SUMIFS(Regles_regimes!$J$3:$J$2000,Regles_regimes!$A$3:$A$2000,C543,Regles_regimes!$B$3:$B$2000,D543,Regles_regimes!$C$3:$C$2000,MAX(1915,MIN(2025,E543))))</f>
        <v/>
      </c>
      <c r="L543" s="8">
        <f>IF(C543="Privé",H543,(K543-F543)*H543/(J543-F543))</f>
        <v/>
      </c>
      <c r="M543" s="77">
        <f>INT(E543+K543)</f>
        <v/>
      </c>
      <c r="N543" s="77">
        <f>G543+ROUNDUP(L543,0)-1</f>
        <v/>
      </c>
      <c r="O543" s="89">
        <f>SUMIFS(Regles_regimes!$K$3:$K$2000,Regles_regimes!$A$3:$A$2000,C543,Regles_regimes!$B$3:$B$2000,D543,Regles_regimes!$C$3:$C$2000,MAX(1915,MIN(2025,E543)))</f>
        <v/>
      </c>
      <c r="P543" s="13">
        <f>SUMIFS(Donnees_annuelles!$W$3:$W$188,Donnees_annuelles!$A$3:$A$188,"&gt;="&amp;G543,Donnees_annuelles!$A$3:$A$188,"&lt;="&amp;N543)*L543/ROUNDUP(L543,0)*O543</f>
        <v/>
      </c>
      <c r="Q543" s="13">
        <f>SUMIFS(Donnees_annuelles!$V$3:$V$188,Donnees_annuelles!$A$3:$A$188,"&gt;="&amp;G543,Donnees_annuelles!$A$3:$A$188,"&lt;="&amp;N543)*L543/ROUNDUP(L543,0)</f>
        <v/>
      </c>
      <c r="R543" s="13">
        <f>P543/L543</f>
        <v/>
      </c>
      <c r="S543" s="14">
        <f>SUMIFS(Donnees_annuelles!$D$3:$D$188,Donnees_annuelles!$A$3:$A$188,"&gt;="&amp;G543,Donnees_annuelles!$A$3:$A$188,"&lt;="&amp;N543)*L543/ROUNDUP(L543,0)</f>
        <v/>
      </c>
      <c r="T543" s="14">
        <f>SUMIFS(Donnees_regimes!$N$3:$N$1118,Donnees_regimes!$A$3:$A$1118,C543,Donnees_regimes!$B$3:$B$1118,"&gt;="&amp;G543,Donnees_regimes!$B$3:$B$1118,"&lt;="&amp;N543)*L543/ROUNDUP(L543,0)</f>
        <v/>
      </c>
      <c r="U543" s="14">
        <f>SUMIFS(Donnees_regimes!$O$3:$O$1118,Donnees_regimes!$A$3:$A$1118,C543,Donnees_regimes!$B$3:$B$1118,"&gt;="&amp;G543,Donnees_regimes!$B$3:$B$1118,"&lt;="&amp;N543)*L543/ROUNDUP(L543,0)</f>
        <v/>
      </c>
      <c r="V543" s="14">
        <f>T543+U543</f>
        <v/>
      </c>
      <c r="W543" s="33">
        <f>V543/S543</f>
        <v/>
      </c>
      <c r="X543" s="14">
        <f>S543+U543</f>
        <v/>
      </c>
      <c r="Y543" s="17">
        <f>V543/P543</f>
        <v/>
      </c>
      <c r="Z543" s="14">
        <f>SUMIFS(Donnees_regimes!$Q$3:$Q$1118,Donnees_regimes!$A$3:$A$1118,C543,Donnees_regimes!$B$3:$B$1118,"&gt;="&amp;G543,Donnees_regimes!$B$3:$B$1118,"&lt;="&amp;N543)*L543/ROUNDUP(L543,0)</f>
        <v/>
      </c>
      <c r="AA543" s="77">
        <f>SUMIFS(Regles_regimes!$F$3:$F$2000,Regles_regimes!$A$3:$A$2000,C543,Regles_regimes!$B$3:$B$2000,D543,Regles_regimes!$C$3:$C$2000,MAX(1915,MIN(2025,E543)))</f>
        <v/>
      </c>
      <c r="AB543" s="77">
        <f>IF(AND(SUMIFS(Regles_regimes!$L$3:$L$2000,Regles_regimes!$A$3:$A$2000,C543,Regles_regimes!$B$3:$B$2000,D543,Regles_regimes!$C$3:$C$2000,MAX(1915,MIN(2025,E543)))=1,G543&lt;2009,C543&lt;&gt;"Privé"),MIN(20,L543*4/5),0)</f>
        <v/>
      </c>
      <c r="AC543" s="89">
        <f>SUMIFS(Donnees_regimes!$M$3:$M$1118,Donnees_regimes!$A$3:$A$1118,C543,Donnees_regimes!$B$3:$B$1118,M543)</f>
        <v/>
      </c>
      <c r="AD543" s="14">
        <f>SUMIFS(Donnees_annuelles!$Y$3:$Y$188,Donnees_annuelles!$A$3:$A$188,M543)*SUMIFS(Donnees_generations!$I$3:$I$113,Donnees_generations!$A$3:$A$113,MAX(1915,MIN(2025,E543)))/H543</f>
        <v/>
      </c>
      <c r="AE543" s="14">
        <f>IF(C543="Privé",SUMIFS(Donnees_annuelles!$Y$3:$Y$188,Donnees_annuelles!$A$3:$A$188,M543)*MIN(L543,SUMIFS(Donnees_generations!$I$3:$I$113,Donnees_generations!$A$3:$A$113,MAX(1915,MIN(2025,E543))))/L543,AD543*AC543*MIN(IF(AB543&gt;0,0.8/0.75,1),(L543*4+AB543)/AA543))</f>
        <v/>
      </c>
      <c r="AF543" s="14">
        <f>AE543/12</f>
        <v/>
      </c>
      <c r="AG543" s="77">
        <f>MIN(68,MAX(56,2*INT(K543/2)))</f>
        <v/>
      </c>
      <c r="AH543" s="75">
        <f>(CHOOSE((AG543-56)/2+1,SUMIFS(Donnees_generations!$U$3:$U$113,Donnees_generations!$A$3:$A$113,MAX(1915,MIN(2025,E543))),SUMIFS(Donnees_generations!$V$3:$V$113,Donnees_generations!$A$3:$A$113,MAX(1915,MIN(2025,E543))),SUMIFS(Donnees_generations!$W$3:$W$113,Donnees_generations!$A$3:$A$113,MAX(1915,MIN(2025,E543))),SUMIFS(Donnees_generations!$X$3:$X$113,Donnees_generations!$A$3:$A$113,MAX(1915,MIN(2025,E543))),SUMIFS(Donnees_generations!$Y$3:$Y$113,Donnees_generations!$A$3:$A$113,MAX(1915,MIN(2025,E543))),SUMIFS(Donnees_generations!$Z$3:$Z$113,Donnees_generations!$A$3:$A$113,MAX(1915,MIN(2025,E543))),SUMIFS(Donnees_generations!$AA$3:$AA$113,Donnees_generations!$A$3:$A$113,MAX(1915,MIN(2025,E543))),SUMIFS(Donnees_generations!$AB$3:$AB$113,Donnees_generations!$A$3:$A$113,MAX(1915,MIN(2025,E543))))+CHOOSE((AG543-56)/2+1,SUMIFS(Donnees_generations!$AC$3:$AC$113,Donnees_generations!$A$3:$A$113,MAX(1915,MIN(2025,E543))),SUMIFS(Donnees_generations!$AD$3:$AD$113,Donnees_generations!$A$3:$A$113,MAX(1915,MIN(2025,E543))),SUMIFS(Donnees_generations!$AE$3:$AE$113,Donnees_generations!$A$3:$A$113,MAX(1915,MIN(2025,E543))),SUMIFS(Donnees_generations!$AF$3:$AF$113,Donnees_generations!$A$3:$A$113,MAX(1915,MIN(2025,E543))),SUMIFS(Donnees_generations!$AG$3:$AG$113,Donnees_generations!$A$3:$A$113,MAX(1915,MIN(2025,E543))),SUMIFS(Donnees_generations!$AH$3:$AH$113,Donnees_generations!$A$3:$A$113,MAX(1915,MIN(2025,E543))),SUMIFS(Donnees_generations!$AI$3:$AI$113,Donnees_generations!$A$3:$A$113,MAX(1915,MIN(2025,E543))),SUMIFS(Donnees_generations!$AJ$3:$AJ$113,Donnees_generations!$A$3:$A$113,MAX(1915,MIN(2025,E543)))))/2</f>
        <v/>
      </c>
      <c r="AI543" s="75">
        <f>(CHOOSE(((AG543+2)-56)/2+1,SUMIFS(Donnees_generations!$U$3:$U$113,Donnees_generations!$A$3:$A$113,MAX(1915,MIN(2025,E543))),SUMIFS(Donnees_generations!$V$3:$V$113,Donnees_generations!$A$3:$A$113,MAX(1915,MIN(2025,E543))),SUMIFS(Donnees_generations!$W$3:$W$113,Donnees_generations!$A$3:$A$113,MAX(1915,MIN(2025,E543))),SUMIFS(Donnees_generations!$X$3:$X$113,Donnees_generations!$A$3:$A$113,MAX(1915,MIN(2025,E543))),SUMIFS(Donnees_generations!$Y$3:$Y$113,Donnees_generations!$A$3:$A$113,MAX(1915,MIN(2025,E543))),SUMIFS(Donnees_generations!$Z$3:$Z$113,Donnees_generations!$A$3:$A$113,MAX(1915,MIN(2025,E543))),SUMIFS(Donnees_generations!$AA$3:$AA$113,Donnees_generations!$A$3:$A$113,MAX(1915,MIN(2025,E543))),SUMIFS(Donnees_generations!$AB$3:$AB$113,Donnees_generations!$A$3:$A$113,MAX(1915,MIN(2025,E543))))+CHOOSE(((AG543+2)-56)/2+1,SUMIFS(Donnees_generations!$AC$3:$AC$113,Donnees_generations!$A$3:$A$113,MAX(1915,MIN(2025,E543))),SUMIFS(Donnees_generations!$AD$3:$AD$113,Donnees_generations!$A$3:$A$113,MAX(1915,MIN(2025,E543))),SUMIFS(Donnees_generations!$AE$3:$AE$113,Donnees_generations!$A$3:$A$113,MAX(1915,MIN(2025,E543))),SUMIFS(Donnees_generations!$AF$3:$AF$113,Donnees_generations!$A$3:$A$113,MAX(1915,MIN(2025,E543))),SUMIFS(Donnees_generations!$AG$3:$AG$113,Donnees_generations!$A$3:$A$113,MAX(1915,MIN(2025,E543))),SUMIFS(Donnees_generations!$AH$3:$AH$113,Donnees_generations!$A$3:$A$113,MAX(1915,MIN(2025,E543))),SUMIFS(Donnees_generations!$AI$3:$AI$113,Donnees_generations!$A$3:$A$113,MAX(1915,MIN(2025,E543))),SUMIFS(Donnees_generations!$AJ$3:$AJ$113,Donnees_generations!$A$3:$A$113,MAX(1915,MIN(2025,E543)))))/2</f>
        <v/>
      </c>
      <c r="AJ543" s="8">
        <f>MAX(0,AH543+(AI543-AH543)*(K543-AG543)/2)</f>
        <v/>
      </c>
      <c r="AK543" s="8">
        <f>K543+AJ543</f>
        <v/>
      </c>
      <c r="AL543" s="14">
        <f>AE543*AJ543</f>
        <v/>
      </c>
      <c r="AM543" s="17">
        <f>V543/AL543</f>
        <v/>
      </c>
      <c r="AN543" s="17">
        <f>Z543/AL543</f>
        <v/>
      </c>
      <c r="AO543" s="33">
        <f>IF(V543+Z543=0,0,Z543/(V543+Z543))</f>
        <v/>
      </c>
      <c r="AP543" s="14">
        <f>AL543/V543*100</f>
        <v/>
      </c>
      <c r="AQ543" s="8">
        <f>P543/AL543*1000</f>
        <v/>
      </c>
      <c r="AR543" s="77">
        <f>MAX(N543,M543-1)</f>
        <v/>
      </c>
      <c r="AS543" s="14">
        <f>SUMIFS(Donnees_regimes!$R$3:$R$1118,Donnees_regimes!$A$3:$A$1118,C543,Donnees_regimes!$B$3:$B$1118,"&gt;="&amp;G543,Donnees_regimes!$B$3:$B$1118,"&lt;="&amp;N543)*L543/ROUNDUP(L543,0)*SUMIFS(Donnees_annuelles!$AG$3:$AG$188,Donnees_annuelles!$A$3:$A$188,AR543)*SUMIFS(Donnees_annuelles!$AA$3:$AA$188,Donnees_annuelles!$A$3:$A$188,AR543)</f>
        <v/>
      </c>
      <c r="AT543" s="36">
        <f>AS543/V543</f>
        <v/>
      </c>
      <c r="AU543" s="14">
        <f>AL543</f>
        <v/>
      </c>
      <c r="AV543" s="39">
        <f>AS543-AL543</f>
        <v/>
      </c>
      <c r="AW543" s="9">
        <f>AS543/AL543-1</f>
        <v/>
      </c>
      <c r="AX543" s="14">
        <f>AS543/AJ543/12</f>
        <v/>
      </c>
      <c r="AY543" s="14">
        <f>AF543</f>
        <v/>
      </c>
      <c r="AZ543" s="39">
        <f>AX543-AF543</f>
        <v/>
      </c>
      <c r="BA543" s="14">
        <f>SUMIFS(Donnees_regimes!$S$3:$S$1118,Donnees_regimes!$A$3:$A$1118,C543,Donnees_regimes!$B$3:$B$1118,"&gt;="&amp;G543,Donnees_regimes!$B$3:$B$1118,"&lt;="&amp;N543)*L543/ROUNDUP(L543,0)*SUMIFS(Donnees_annuelles!$AH$3:$AH$188,Donnees_annuelles!$A$3:$A$188,AR543)*SUMIFS(Donnees_annuelles!$AA$3:$AA$188,Donnees_annuelles!$A$3:$A$188,AR543)</f>
        <v/>
      </c>
      <c r="BB543" s="39">
        <f>BA543-AL543</f>
        <v/>
      </c>
      <c r="BC543" s="7">
        <f>IF(M543+AJ543&gt;2026,IF(G543&gt;2026,"entièrement projeté","en partie projeté"),"observé")</f>
        <v/>
      </c>
    </row>
    <row r="544">
      <c r="A544" s="7" t="inlineStr">
        <is>
          <t>Génération X</t>
        </is>
      </c>
      <c r="B544" s="84" t="inlineStr">
        <is>
          <t>IEG</t>
        </is>
      </c>
      <c r="C544" s="7">
        <f>IF(G544&gt;=SUMIFS(Regimes!$C$5:$C$10,Regimes!$A$5:$A$10,B544),"Privé",B544)</f>
        <v/>
      </c>
      <c r="D544" s="7">
        <f>INDEX(Regimes!$D$5:$D$10,MATCH(C544,Regimes!$A$5:$A$10,0))</f>
        <v/>
      </c>
      <c r="E544" s="88" t="n">
        <v>1979</v>
      </c>
      <c r="F544" s="8">
        <f>Donnees_generations!C67</f>
        <v/>
      </c>
      <c r="G544" s="77">
        <f>Donnees_generations!D67</f>
        <v/>
      </c>
      <c r="H544" s="8">
        <f>SUMIFS(Donnees_generations!$S$3:$S$113,Donnees_generations!$A$3:$A$113,MAX(1915,MIN(2025,E544)))</f>
        <v/>
      </c>
      <c r="I544" s="8">
        <f>SUMIFS(Donnees_generations!$T$3:$T$113,Donnees_generations!$A$3:$A$113,MAX(1915,MIN(2025,E544)))</f>
        <v/>
      </c>
      <c r="J544" s="8">
        <f>IF(G544&gt;=2000,MAX(I544,Parametres!$B$3),I544)</f>
        <v/>
      </c>
      <c r="K544" s="8">
        <f>IF(C544="Privé",J544,SUMIFS(Regles_regimes!$J$3:$J$2000,Regles_regimes!$A$3:$A$2000,C544,Regles_regimes!$B$3:$B$2000,D544,Regles_regimes!$C$3:$C$2000,MAX(1915,MIN(2025,E544))))</f>
        <v/>
      </c>
      <c r="L544" s="8">
        <f>IF(C544="Privé",H544,(K544-F544)*H544/(J544-F544))</f>
        <v/>
      </c>
      <c r="M544" s="77">
        <f>INT(E544+K544)</f>
        <v/>
      </c>
      <c r="N544" s="77">
        <f>G544+ROUNDUP(L544,0)-1</f>
        <v/>
      </c>
      <c r="O544" s="89">
        <f>SUMIFS(Regles_regimes!$K$3:$K$2000,Regles_regimes!$A$3:$A$2000,C544,Regles_regimes!$B$3:$B$2000,D544,Regles_regimes!$C$3:$C$2000,MAX(1915,MIN(2025,E544)))</f>
        <v/>
      </c>
      <c r="P544" s="13">
        <f>SUMIFS(Donnees_annuelles!$W$3:$W$188,Donnees_annuelles!$A$3:$A$188,"&gt;="&amp;G544,Donnees_annuelles!$A$3:$A$188,"&lt;="&amp;N544)*L544/ROUNDUP(L544,0)*O544</f>
        <v/>
      </c>
      <c r="Q544" s="13">
        <f>SUMIFS(Donnees_annuelles!$V$3:$V$188,Donnees_annuelles!$A$3:$A$188,"&gt;="&amp;G544,Donnees_annuelles!$A$3:$A$188,"&lt;="&amp;N544)*L544/ROUNDUP(L544,0)</f>
        <v/>
      </c>
      <c r="R544" s="13">
        <f>P544/L544</f>
        <v/>
      </c>
      <c r="S544" s="14">
        <f>SUMIFS(Donnees_annuelles!$D$3:$D$188,Donnees_annuelles!$A$3:$A$188,"&gt;="&amp;G544,Donnees_annuelles!$A$3:$A$188,"&lt;="&amp;N544)*L544/ROUNDUP(L544,0)</f>
        <v/>
      </c>
      <c r="T544" s="14">
        <f>SUMIFS(Donnees_regimes!$N$3:$N$1118,Donnees_regimes!$A$3:$A$1118,C544,Donnees_regimes!$B$3:$B$1118,"&gt;="&amp;G544,Donnees_regimes!$B$3:$B$1118,"&lt;="&amp;N544)*L544/ROUNDUP(L544,0)</f>
        <v/>
      </c>
      <c r="U544" s="14">
        <f>SUMIFS(Donnees_regimes!$O$3:$O$1118,Donnees_regimes!$A$3:$A$1118,C544,Donnees_regimes!$B$3:$B$1118,"&gt;="&amp;G544,Donnees_regimes!$B$3:$B$1118,"&lt;="&amp;N544)*L544/ROUNDUP(L544,0)</f>
        <v/>
      </c>
      <c r="V544" s="14">
        <f>T544+U544</f>
        <v/>
      </c>
      <c r="W544" s="33">
        <f>V544/S544</f>
        <v/>
      </c>
      <c r="X544" s="14">
        <f>S544+U544</f>
        <v/>
      </c>
      <c r="Y544" s="17">
        <f>V544/P544</f>
        <v/>
      </c>
      <c r="Z544" s="14">
        <f>SUMIFS(Donnees_regimes!$Q$3:$Q$1118,Donnees_regimes!$A$3:$A$1118,C544,Donnees_regimes!$B$3:$B$1118,"&gt;="&amp;G544,Donnees_regimes!$B$3:$B$1118,"&lt;="&amp;N544)*L544/ROUNDUP(L544,0)</f>
        <v/>
      </c>
      <c r="AA544" s="77">
        <f>SUMIFS(Regles_regimes!$F$3:$F$2000,Regles_regimes!$A$3:$A$2000,C544,Regles_regimes!$B$3:$B$2000,D544,Regles_regimes!$C$3:$C$2000,MAX(1915,MIN(2025,E544)))</f>
        <v/>
      </c>
      <c r="AB544" s="77">
        <f>IF(AND(SUMIFS(Regles_regimes!$L$3:$L$2000,Regles_regimes!$A$3:$A$2000,C544,Regles_regimes!$B$3:$B$2000,D544,Regles_regimes!$C$3:$C$2000,MAX(1915,MIN(2025,E544)))=1,G544&lt;2009,C544&lt;&gt;"Privé"),MIN(20,L544*4/5),0)</f>
        <v/>
      </c>
      <c r="AC544" s="89">
        <f>SUMIFS(Donnees_regimes!$M$3:$M$1118,Donnees_regimes!$A$3:$A$1118,C544,Donnees_regimes!$B$3:$B$1118,M544)</f>
        <v/>
      </c>
      <c r="AD544" s="14">
        <f>SUMIFS(Donnees_annuelles!$Y$3:$Y$188,Donnees_annuelles!$A$3:$A$188,M544)*SUMIFS(Donnees_generations!$I$3:$I$113,Donnees_generations!$A$3:$A$113,MAX(1915,MIN(2025,E544)))/H544</f>
        <v/>
      </c>
      <c r="AE544" s="14">
        <f>IF(C544="Privé",SUMIFS(Donnees_annuelles!$Y$3:$Y$188,Donnees_annuelles!$A$3:$A$188,M544)*MIN(L544,SUMIFS(Donnees_generations!$I$3:$I$113,Donnees_generations!$A$3:$A$113,MAX(1915,MIN(2025,E544))))/L544,AD544*AC544*MIN(IF(AB544&gt;0,0.8/0.75,1),(L544*4+AB544)/AA544))</f>
        <v/>
      </c>
      <c r="AF544" s="14">
        <f>AE544/12</f>
        <v/>
      </c>
      <c r="AG544" s="77">
        <f>MIN(68,MAX(56,2*INT(K544/2)))</f>
        <v/>
      </c>
      <c r="AH544" s="75">
        <f>(CHOOSE((AG544-56)/2+1,SUMIFS(Donnees_generations!$U$3:$U$113,Donnees_generations!$A$3:$A$113,MAX(1915,MIN(2025,E544))),SUMIFS(Donnees_generations!$V$3:$V$113,Donnees_generations!$A$3:$A$113,MAX(1915,MIN(2025,E544))),SUMIFS(Donnees_generations!$W$3:$W$113,Donnees_generations!$A$3:$A$113,MAX(1915,MIN(2025,E544))),SUMIFS(Donnees_generations!$X$3:$X$113,Donnees_generations!$A$3:$A$113,MAX(1915,MIN(2025,E544))),SUMIFS(Donnees_generations!$Y$3:$Y$113,Donnees_generations!$A$3:$A$113,MAX(1915,MIN(2025,E544))),SUMIFS(Donnees_generations!$Z$3:$Z$113,Donnees_generations!$A$3:$A$113,MAX(1915,MIN(2025,E544))),SUMIFS(Donnees_generations!$AA$3:$AA$113,Donnees_generations!$A$3:$A$113,MAX(1915,MIN(2025,E544))),SUMIFS(Donnees_generations!$AB$3:$AB$113,Donnees_generations!$A$3:$A$113,MAX(1915,MIN(2025,E544))))+CHOOSE((AG544-56)/2+1,SUMIFS(Donnees_generations!$AC$3:$AC$113,Donnees_generations!$A$3:$A$113,MAX(1915,MIN(2025,E544))),SUMIFS(Donnees_generations!$AD$3:$AD$113,Donnees_generations!$A$3:$A$113,MAX(1915,MIN(2025,E544))),SUMIFS(Donnees_generations!$AE$3:$AE$113,Donnees_generations!$A$3:$A$113,MAX(1915,MIN(2025,E544))),SUMIFS(Donnees_generations!$AF$3:$AF$113,Donnees_generations!$A$3:$A$113,MAX(1915,MIN(2025,E544))),SUMIFS(Donnees_generations!$AG$3:$AG$113,Donnees_generations!$A$3:$A$113,MAX(1915,MIN(2025,E544))),SUMIFS(Donnees_generations!$AH$3:$AH$113,Donnees_generations!$A$3:$A$113,MAX(1915,MIN(2025,E544))),SUMIFS(Donnees_generations!$AI$3:$AI$113,Donnees_generations!$A$3:$A$113,MAX(1915,MIN(2025,E544))),SUMIFS(Donnees_generations!$AJ$3:$AJ$113,Donnees_generations!$A$3:$A$113,MAX(1915,MIN(2025,E544)))))/2</f>
        <v/>
      </c>
      <c r="AI544" s="75">
        <f>(CHOOSE(((AG544+2)-56)/2+1,SUMIFS(Donnees_generations!$U$3:$U$113,Donnees_generations!$A$3:$A$113,MAX(1915,MIN(2025,E544))),SUMIFS(Donnees_generations!$V$3:$V$113,Donnees_generations!$A$3:$A$113,MAX(1915,MIN(2025,E544))),SUMIFS(Donnees_generations!$W$3:$W$113,Donnees_generations!$A$3:$A$113,MAX(1915,MIN(2025,E544))),SUMIFS(Donnees_generations!$X$3:$X$113,Donnees_generations!$A$3:$A$113,MAX(1915,MIN(2025,E544))),SUMIFS(Donnees_generations!$Y$3:$Y$113,Donnees_generations!$A$3:$A$113,MAX(1915,MIN(2025,E544))),SUMIFS(Donnees_generations!$Z$3:$Z$113,Donnees_generations!$A$3:$A$113,MAX(1915,MIN(2025,E544))),SUMIFS(Donnees_generations!$AA$3:$AA$113,Donnees_generations!$A$3:$A$113,MAX(1915,MIN(2025,E544))),SUMIFS(Donnees_generations!$AB$3:$AB$113,Donnees_generations!$A$3:$A$113,MAX(1915,MIN(2025,E544))))+CHOOSE(((AG544+2)-56)/2+1,SUMIFS(Donnees_generations!$AC$3:$AC$113,Donnees_generations!$A$3:$A$113,MAX(1915,MIN(2025,E544))),SUMIFS(Donnees_generations!$AD$3:$AD$113,Donnees_generations!$A$3:$A$113,MAX(1915,MIN(2025,E544))),SUMIFS(Donnees_generations!$AE$3:$AE$113,Donnees_generations!$A$3:$A$113,MAX(1915,MIN(2025,E544))),SUMIFS(Donnees_generations!$AF$3:$AF$113,Donnees_generations!$A$3:$A$113,MAX(1915,MIN(2025,E544))),SUMIFS(Donnees_generations!$AG$3:$AG$113,Donnees_generations!$A$3:$A$113,MAX(1915,MIN(2025,E544))),SUMIFS(Donnees_generations!$AH$3:$AH$113,Donnees_generations!$A$3:$A$113,MAX(1915,MIN(2025,E544))),SUMIFS(Donnees_generations!$AI$3:$AI$113,Donnees_generations!$A$3:$A$113,MAX(1915,MIN(2025,E544))),SUMIFS(Donnees_generations!$AJ$3:$AJ$113,Donnees_generations!$A$3:$A$113,MAX(1915,MIN(2025,E544)))))/2</f>
        <v/>
      </c>
      <c r="AJ544" s="8">
        <f>MAX(0,AH544+(AI544-AH544)*(K544-AG544)/2)</f>
        <v/>
      </c>
      <c r="AK544" s="8">
        <f>K544+AJ544</f>
        <v/>
      </c>
      <c r="AL544" s="14">
        <f>AE544*AJ544</f>
        <v/>
      </c>
      <c r="AM544" s="17">
        <f>V544/AL544</f>
        <v/>
      </c>
      <c r="AN544" s="17">
        <f>Z544/AL544</f>
        <v/>
      </c>
      <c r="AO544" s="33">
        <f>IF(V544+Z544=0,0,Z544/(V544+Z544))</f>
        <v/>
      </c>
      <c r="AP544" s="14">
        <f>AL544/V544*100</f>
        <v/>
      </c>
      <c r="AQ544" s="8">
        <f>P544/AL544*1000</f>
        <v/>
      </c>
      <c r="AR544" s="77">
        <f>MAX(N544,M544-1)</f>
        <v/>
      </c>
      <c r="AS544" s="14">
        <f>SUMIFS(Donnees_regimes!$R$3:$R$1118,Donnees_regimes!$A$3:$A$1118,C544,Donnees_regimes!$B$3:$B$1118,"&gt;="&amp;G544,Donnees_regimes!$B$3:$B$1118,"&lt;="&amp;N544)*L544/ROUNDUP(L544,0)*SUMIFS(Donnees_annuelles!$AG$3:$AG$188,Donnees_annuelles!$A$3:$A$188,AR544)*SUMIFS(Donnees_annuelles!$AA$3:$AA$188,Donnees_annuelles!$A$3:$A$188,AR544)</f>
        <v/>
      </c>
      <c r="AT544" s="36">
        <f>AS544/V544</f>
        <v/>
      </c>
      <c r="AU544" s="14">
        <f>AL544</f>
        <v/>
      </c>
      <c r="AV544" s="39">
        <f>AS544-AL544</f>
        <v/>
      </c>
      <c r="AW544" s="9">
        <f>AS544/AL544-1</f>
        <v/>
      </c>
      <c r="AX544" s="14">
        <f>AS544/AJ544/12</f>
        <v/>
      </c>
      <c r="AY544" s="14">
        <f>AF544</f>
        <v/>
      </c>
      <c r="AZ544" s="39">
        <f>AX544-AF544</f>
        <v/>
      </c>
      <c r="BA544" s="14">
        <f>SUMIFS(Donnees_regimes!$S$3:$S$1118,Donnees_regimes!$A$3:$A$1118,C544,Donnees_regimes!$B$3:$B$1118,"&gt;="&amp;G544,Donnees_regimes!$B$3:$B$1118,"&lt;="&amp;N544)*L544/ROUNDUP(L544,0)*SUMIFS(Donnees_annuelles!$AH$3:$AH$188,Donnees_annuelles!$A$3:$A$188,AR544)*SUMIFS(Donnees_annuelles!$AA$3:$AA$188,Donnees_annuelles!$A$3:$A$188,AR544)</f>
        <v/>
      </c>
      <c r="BB544" s="39">
        <f>BA544-AL544</f>
        <v/>
      </c>
      <c r="BC544" s="7">
        <f>IF(M544+AJ544&gt;2026,IF(G544&gt;2026,"entièrement projeté","en partie projeté"),"observé")</f>
        <v/>
      </c>
    </row>
    <row r="545">
      <c r="A545" s="7" t="inlineStr">
        <is>
          <t>Génération X</t>
        </is>
      </c>
      <c r="B545" s="84" t="inlineStr">
        <is>
          <t>IEG</t>
        </is>
      </c>
      <c r="C545" s="7">
        <f>IF(G545&gt;=SUMIFS(Regimes!$C$5:$C$10,Regimes!$A$5:$A$10,B545),"Privé",B545)</f>
        <v/>
      </c>
      <c r="D545" s="7">
        <f>INDEX(Regimes!$D$5:$D$10,MATCH(C545,Regimes!$A$5:$A$10,0))</f>
        <v/>
      </c>
      <c r="E545" s="88" t="n">
        <v>1980</v>
      </c>
      <c r="F545" s="8">
        <f>Donnees_generations!C68</f>
        <v/>
      </c>
      <c r="G545" s="77">
        <f>Donnees_generations!D68</f>
        <v/>
      </c>
      <c r="H545" s="8">
        <f>SUMIFS(Donnees_generations!$S$3:$S$113,Donnees_generations!$A$3:$A$113,MAX(1915,MIN(2025,E545)))</f>
        <v/>
      </c>
      <c r="I545" s="8">
        <f>SUMIFS(Donnees_generations!$T$3:$T$113,Donnees_generations!$A$3:$A$113,MAX(1915,MIN(2025,E545)))</f>
        <v/>
      </c>
      <c r="J545" s="8">
        <f>IF(G545&gt;=2000,MAX(I545,Parametres!$B$3),I545)</f>
        <v/>
      </c>
      <c r="K545" s="8">
        <f>IF(C545="Privé",J545,SUMIFS(Regles_regimes!$J$3:$J$2000,Regles_regimes!$A$3:$A$2000,C545,Regles_regimes!$B$3:$B$2000,D545,Regles_regimes!$C$3:$C$2000,MAX(1915,MIN(2025,E545))))</f>
        <v/>
      </c>
      <c r="L545" s="8">
        <f>IF(C545="Privé",H545,(K545-F545)*H545/(J545-F545))</f>
        <v/>
      </c>
      <c r="M545" s="77">
        <f>INT(E545+K545)</f>
        <v/>
      </c>
      <c r="N545" s="77">
        <f>G545+ROUNDUP(L545,0)-1</f>
        <v/>
      </c>
      <c r="O545" s="89">
        <f>SUMIFS(Regles_regimes!$K$3:$K$2000,Regles_regimes!$A$3:$A$2000,C545,Regles_regimes!$B$3:$B$2000,D545,Regles_regimes!$C$3:$C$2000,MAX(1915,MIN(2025,E545)))</f>
        <v/>
      </c>
      <c r="P545" s="13">
        <f>SUMIFS(Donnees_annuelles!$W$3:$W$188,Donnees_annuelles!$A$3:$A$188,"&gt;="&amp;G545,Donnees_annuelles!$A$3:$A$188,"&lt;="&amp;N545)*L545/ROUNDUP(L545,0)*O545</f>
        <v/>
      </c>
      <c r="Q545" s="13">
        <f>SUMIFS(Donnees_annuelles!$V$3:$V$188,Donnees_annuelles!$A$3:$A$188,"&gt;="&amp;G545,Donnees_annuelles!$A$3:$A$188,"&lt;="&amp;N545)*L545/ROUNDUP(L545,0)</f>
        <v/>
      </c>
      <c r="R545" s="13">
        <f>P545/L545</f>
        <v/>
      </c>
      <c r="S545" s="14">
        <f>SUMIFS(Donnees_annuelles!$D$3:$D$188,Donnees_annuelles!$A$3:$A$188,"&gt;="&amp;G545,Donnees_annuelles!$A$3:$A$188,"&lt;="&amp;N545)*L545/ROUNDUP(L545,0)</f>
        <v/>
      </c>
      <c r="T545" s="14">
        <f>SUMIFS(Donnees_regimes!$N$3:$N$1118,Donnees_regimes!$A$3:$A$1118,C545,Donnees_regimes!$B$3:$B$1118,"&gt;="&amp;G545,Donnees_regimes!$B$3:$B$1118,"&lt;="&amp;N545)*L545/ROUNDUP(L545,0)</f>
        <v/>
      </c>
      <c r="U545" s="14">
        <f>SUMIFS(Donnees_regimes!$O$3:$O$1118,Donnees_regimes!$A$3:$A$1118,C545,Donnees_regimes!$B$3:$B$1118,"&gt;="&amp;G545,Donnees_regimes!$B$3:$B$1118,"&lt;="&amp;N545)*L545/ROUNDUP(L545,0)</f>
        <v/>
      </c>
      <c r="V545" s="14">
        <f>T545+U545</f>
        <v/>
      </c>
      <c r="W545" s="33">
        <f>V545/S545</f>
        <v/>
      </c>
      <c r="X545" s="14">
        <f>S545+U545</f>
        <v/>
      </c>
      <c r="Y545" s="17">
        <f>V545/P545</f>
        <v/>
      </c>
      <c r="Z545" s="14">
        <f>SUMIFS(Donnees_regimes!$Q$3:$Q$1118,Donnees_regimes!$A$3:$A$1118,C545,Donnees_regimes!$B$3:$B$1118,"&gt;="&amp;G545,Donnees_regimes!$B$3:$B$1118,"&lt;="&amp;N545)*L545/ROUNDUP(L545,0)</f>
        <v/>
      </c>
      <c r="AA545" s="77">
        <f>SUMIFS(Regles_regimes!$F$3:$F$2000,Regles_regimes!$A$3:$A$2000,C545,Regles_regimes!$B$3:$B$2000,D545,Regles_regimes!$C$3:$C$2000,MAX(1915,MIN(2025,E545)))</f>
        <v/>
      </c>
      <c r="AB545" s="77">
        <f>IF(AND(SUMIFS(Regles_regimes!$L$3:$L$2000,Regles_regimes!$A$3:$A$2000,C545,Regles_regimes!$B$3:$B$2000,D545,Regles_regimes!$C$3:$C$2000,MAX(1915,MIN(2025,E545)))=1,G545&lt;2009,C545&lt;&gt;"Privé"),MIN(20,L545*4/5),0)</f>
        <v/>
      </c>
      <c r="AC545" s="89">
        <f>SUMIFS(Donnees_regimes!$M$3:$M$1118,Donnees_regimes!$A$3:$A$1118,C545,Donnees_regimes!$B$3:$B$1118,M545)</f>
        <v/>
      </c>
      <c r="AD545" s="14">
        <f>SUMIFS(Donnees_annuelles!$Y$3:$Y$188,Donnees_annuelles!$A$3:$A$188,M545)*SUMIFS(Donnees_generations!$I$3:$I$113,Donnees_generations!$A$3:$A$113,MAX(1915,MIN(2025,E545)))/H545</f>
        <v/>
      </c>
      <c r="AE545" s="14">
        <f>IF(C545="Privé",SUMIFS(Donnees_annuelles!$Y$3:$Y$188,Donnees_annuelles!$A$3:$A$188,M545)*MIN(L545,SUMIFS(Donnees_generations!$I$3:$I$113,Donnees_generations!$A$3:$A$113,MAX(1915,MIN(2025,E545))))/L545,AD545*AC545*MIN(IF(AB545&gt;0,0.8/0.75,1),(L545*4+AB545)/AA545))</f>
        <v/>
      </c>
      <c r="AF545" s="14">
        <f>AE545/12</f>
        <v/>
      </c>
      <c r="AG545" s="77">
        <f>MIN(68,MAX(56,2*INT(K545/2)))</f>
        <v/>
      </c>
      <c r="AH545" s="75">
        <f>(CHOOSE((AG545-56)/2+1,SUMIFS(Donnees_generations!$U$3:$U$113,Donnees_generations!$A$3:$A$113,MAX(1915,MIN(2025,E545))),SUMIFS(Donnees_generations!$V$3:$V$113,Donnees_generations!$A$3:$A$113,MAX(1915,MIN(2025,E545))),SUMIFS(Donnees_generations!$W$3:$W$113,Donnees_generations!$A$3:$A$113,MAX(1915,MIN(2025,E545))),SUMIFS(Donnees_generations!$X$3:$X$113,Donnees_generations!$A$3:$A$113,MAX(1915,MIN(2025,E545))),SUMIFS(Donnees_generations!$Y$3:$Y$113,Donnees_generations!$A$3:$A$113,MAX(1915,MIN(2025,E545))),SUMIFS(Donnees_generations!$Z$3:$Z$113,Donnees_generations!$A$3:$A$113,MAX(1915,MIN(2025,E545))),SUMIFS(Donnees_generations!$AA$3:$AA$113,Donnees_generations!$A$3:$A$113,MAX(1915,MIN(2025,E545))),SUMIFS(Donnees_generations!$AB$3:$AB$113,Donnees_generations!$A$3:$A$113,MAX(1915,MIN(2025,E545))))+CHOOSE((AG545-56)/2+1,SUMIFS(Donnees_generations!$AC$3:$AC$113,Donnees_generations!$A$3:$A$113,MAX(1915,MIN(2025,E545))),SUMIFS(Donnees_generations!$AD$3:$AD$113,Donnees_generations!$A$3:$A$113,MAX(1915,MIN(2025,E545))),SUMIFS(Donnees_generations!$AE$3:$AE$113,Donnees_generations!$A$3:$A$113,MAX(1915,MIN(2025,E545))),SUMIFS(Donnees_generations!$AF$3:$AF$113,Donnees_generations!$A$3:$A$113,MAX(1915,MIN(2025,E545))),SUMIFS(Donnees_generations!$AG$3:$AG$113,Donnees_generations!$A$3:$A$113,MAX(1915,MIN(2025,E545))),SUMIFS(Donnees_generations!$AH$3:$AH$113,Donnees_generations!$A$3:$A$113,MAX(1915,MIN(2025,E545))),SUMIFS(Donnees_generations!$AI$3:$AI$113,Donnees_generations!$A$3:$A$113,MAX(1915,MIN(2025,E545))),SUMIFS(Donnees_generations!$AJ$3:$AJ$113,Donnees_generations!$A$3:$A$113,MAX(1915,MIN(2025,E545)))))/2</f>
        <v/>
      </c>
      <c r="AI545" s="75">
        <f>(CHOOSE(((AG545+2)-56)/2+1,SUMIFS(Donnees_generations!$U$3:$U$113,Donnees_generations!$A$3:$A$113,MAX(1915,MIN(2025,E545))),SUMIFS(Donnees_generations!$V$3:$V$113,Donnees_generations!$A$3:$A$113,MAX(1915,MIN(2025,E545))),SUMIFS(Donnees_generations!$W$3:$W$113,Donnees_generations!$A$3:$A$113,MAX(1915,MIN(2025,E545))),SUMIFS(Donnees_generations!$X$3:$X$113,Donnees_generations!$A$3:$A$113,MAX(1915,MIN(2025,E545))),SUMIFS(Donnees_generations!$Y$3:$Y$113,Donnees_generations!$A$3:$A$113,MAX(1915,MIN(2025,E545))),SUMIFS(Donnees_generations!$Z$3:$Z$113,Donnees_generations!$A$3:$A$113,MAX(1915,MIN(2025,E545))),SUMIFS(Donnees_generations!$AA$3:$AA$113,Donnees_generations!$A$3:$A$113,MAX(1915,MIN(2025,E545))),SUMIFS(Donnees_generations!$AB$3:$AB$113,Donnees_generations!$A$3:$A$113,MAX(1915,MIN(2025,E545))))+CHOOSE(((AG545+2)-56)/2+1,SUMIFS(Donnees_generations!$AC$3:$AC$113,Donnees_generations!$A$3:$A$113,MAX(1915,MIN(2025,E545))),SUMIFS(Donnees_generations!$AD$3:$AD$113,Donnees_generations!$A$3:$A$113,MAX(1915,MIN(2025,E545))),SUMIFS(Donnees_generations!$AE$3:$AE$113,Donnees_generations!$A$3:$A$113,MAX(1915,MIN(2025,E545))),SUMIFS(Donnees_generations!$AF$3:$AF$113,Donnees_generations!$A$3:$A$113,MAX(1915,MIN(2025,E545))),SUMIFS(Donnees_generations!$AG$3:$AG$113,Donnees_generations!$A$3:$A$113,MAX(1915,MIN(2025,E545))),SUMIFS(Donnees_generations!$AH$3:$AH$113,Donnees_generations!$A$3:$A$113,MAX(1915,MIN(2025,E545))),SUMIFS(Donnees_generations!$AI$3:$AI$113,Donnees_generations!$A$3:$A$113,MAX(1915,MIN(2025,E545))),SUMIFS(Donnees_generations!$AJ$3:$AJ$113,Donnees_generations!$A$3:$A$113,MAX(1915,MIN(2025,E545)))))/2</f>
        <v/>
      </c>
      <c r="AJ545" s="8">
        <f>MAX(0,AH545+(AI545-AH545)*(K545-AG545)/2)</f>
        <v/>
      </c>
      <c r="AK545" s="8">
        <f>K545+AJ545</f>
        <v/>
      </c>
      <c r="AL545" s="14">
        <f>AE545*AJ545</f>
        <v/>
      </c>
      <c r="AM545" s="17">
        <f>V545/AL545</f>
        <v/>
      </c>
      <c r="AN545" s="17">
        <f>Z545/AL545</f>
        <v/>
      </c>
      <c r="AO545" s="33">
        <f>IF(V545+Z545=0,0,Z545/(V545+Z545))</f>
        <v/>
      </c>
      <c r="AP545" s="14">
        <f>AL545/V545*100</f>
        <v/>
      </c>
      <c r="AQ545" s="8">
        <f>P545/AL545*1000</f>
        <v/>
      </c>
      <c r="AR545" s="77">
        <f>MAX(N545,M545-1)</f>
        <v/>
      </c>
      <c r="AS545" s="14">
        <f>SUMIFS(Donnees_regimes!$R$3:$R$1118,Donnees_regimes!$A$3:$A$1118,C545,Donnees_regimes!$B$3:$B$1118,"&gt;="&amp;G545,Donnees_regimes!$B$3:$B$1118,"&lt;="&amp;N545)*L545/ROUNDUP(L545,0)*SUMIFS(Donnees_annuelles!$AG$3:$AG$188,Donnees_annuelles!$A$3:$A$188,AR545)*SUMIFS(Donnees_annuelles!$AA$3:$AA$188,Donnees_annuelles!$A$3:$A$188,AR545)</f>
        <v/>
      </c>
      <c r="AT545" s="36">
        <f>AS545/V545</f>
        <v/>
      </c>
      <c r="AU545" s="14">
        <f>AL545</f>
        <v/>
      </c>
      <c r="AV545" s="39">
        <f>AS545-AL545</f>
        <v/>
      </c>
      <c r="AW545" s="9">
        <f>AS545/AL545-1</f>
        <v/>
      </c>
      <c r="AX545" s="14">
        <f>AS545/AJ545/12</f>
        <v/>
      </c>
      <c r="AY545" s="14">
        <f>AF545</f>
        <v/>
      </c>
      <c r="AZ545" s="39">
        <f>AX545-AF545</f>
        <v/>
      </c>
      <c r="BA545" s="14">
        <f>SUMIFS(Donnees_regimes!$S$3:$S$1118,Donnees_regimes!$A$3:$A$1118,C545,Donnees_regimes!$B$3:$B$1118,"&gt;="&amp;G545,Donnees_regimes!$B$3:$B$1118,"&lt;="&amp;N545)*L545/ROUNDUP(L545,0)*SUMIFS(Donnees_annuelles!$AH$3:$AH$188,Donnees_annuelles!$A$3:$A$188,AR545)*SUMIFS(Donnees_annuelles!$AA$3:$AA$188,Donnees_annuelles!$A$3:$A$188,AR545)</f>
        <v/>
      </c>
      <c r="BB545" s="39">
        <f>BA545-AL545</f>
        <v/>
      </c>
      <c r="BC545" s="7">
        <f>IF(M545+AJ545&gt;2026,IF(G545&gt;2026,"entièrement projeté","en partie projeté"),"observé")</f>
        <v/>
      </c>
    </row>
    <row r="546">
      <c r="A546" s="7" t="inlineStr">
        <is>
          <t>Génération Y</t>
        </is>
      </c>
      <c r="B546" s="84" t="inlineStr">
        <is>
          <t>IEG</t>
        </is>
      </c>
      <c r="C546" s="7">
        <f>IF(G546&gt;=SUMIFS(Regimes!$C$5:$C$10,Regimes!$A$5:$A$10,B546),"Privé",B546)</f>
        <v/>
      </c>
      <c r="D546" s="7">
        <f>INDEX(Regimes!$D$5:$D$10,MATCH(C546,Regimes!$A$5:$A$10,0))</f>
        <v/>
      </c>
      <c r="E546" s="88" t="n">
        <v>1981</v>
      </c>
      <c r="F546" s="8">
        <f>Donnees_generations!C69</f>
        <v/>
      </c>
      <c r="G546" s="77">
        <f>Donnees_generations!D69</f>
        <v/>
      </c>
      <c r="H546" s="8">
        <f>SUMIFS(Donnees_generations!$S$3:$S$113,Donnees_generations!$A$3:$A$113,MAX(1915,MIN(2025,E546)))</f>
        <v/>
      </c>
      <c r="I546" s="8">
        <f>SUMIFS(Donnees_generations!$T$3:$T$113,Donnees_generations!$A$3:$A$113,MAX(1915,MIN(2025,E546)))</f>
        <v/>
      </c>
      <c r="J546" s="8">
        <f>IF(G546&gt;=2000,MAX(I546,Parametres!$B$3),I546)</f>
        <v/>
      </c>
      <c r="K546" s="8">
        <f>IF(C546="Privé",J546,SUMIFS(Regles_regimes!$J$3:$J$2000,Regles_regimes!$A$3:$A$2000,C546,Regles_regimes!$B$3:$B$2000,D546,Regles_regimes!$C$3:$C$2000,MAX(1915,MIN(2025,E546))))</f>
        <v/>
      </c>
      <c r="L546" s="8">
        <f>IF(C546="Privé",H546,(K546-F546)*H546/(J546-F546))</f>
        <v/>
      </c>
      <c r="M546" s="77">
        <f>INT(E546+K546)</f>
        <v/>
      </c>
      <c r="N546" s="77">
        <f>G546+ROUNDUP(L546,0)-1</f>
        <v/>
      </c>
      <c r="O546" s="89">
        <f>SUMIFS(Regles_regimes!$K$3:$K$2000,Regles_regimes!$A$3:$A$2000,C546,Regles_regimes!$B$3:$B$2000,D546,Regles_regimes!$C$3:$C$2000,MAX(1915,MIN(2025,E546)))</f>
        <v/>
      </c>
      <c r="P546" s="13">
        <f>SUMIFS(Donnees_annuelles!$W$3:$W$188,Donnees_annuelles!$A$3:$A$188,"&gt;="&amp;G546,Donnees_annuelles!$A$3:$A$188,"&lt;="&amp;N546)*L546/ROUNDUP(L546,0)*O546</f>
        <v/>
      </c>
      <c r="Q546" s="13">
        <f>SUMIFS(Donnees_annuelles!$V$3:$V$188,Donnees_annuelles!$A$3:$A$188,"&gt;="&amp;G546,Donnees_annuelles!$A$3:$A$188,"&lt;="&amp;N546)*L546/ROUNDUP(L546,0)</f>
        <v/>
      </c>
      <c r="R546" s="13">
        <f>P546/L546</f>
        <v/>
      </c>
      <c r="S546" s="14">
        <f>SUMIFS(Donnees_annuelles!$D$3:$D$188,Donnees_annuelles!$A$3:$A$188,"&gt;="&amp;G546,Donnees_annuelles!$A$3:$A$188,"&lt;="&amp;N546)*L546/ROUNDUP(L546,0)</f>
        <v/>
      </c>
      <c r="T546" s="14">
        <f>SUMIFS(Donnees_regimes!$N$3:$N$1118,Donnees_regimes!$A$3:$A$1118,C546,Donnees_regimes!$B$3:$B$1118,"&gt;="&amp;G546,Donnees_regimes!$B$3:$B$1118,"&lt;="&amp;N546)*L546/ROUNDUP(L546,0)</f>
        <v/>
      </c>
      <c r="U546" s="14">
        <f>SUMIFS(Donnees_regimes!$O$3:$O$1118,Donnees_regimes!$A$3:$A$1118,C546,Donnees_regimes!$B$3:$B$1118,"&gt;="&amp;G546,Donnees_regimes!$B$3:$B$1118,"&lt;="&amp;N546)*L546/ROUNDUP(L546,0)</f>
        <v/>
      </c>
      <c r="V546" s="14">
        <f>T546+U546</f>
        <v/>
      </c>
      <c r="W546" s="33">
        <f>V546/S546</f>
        <v/>
      </c>
      <c r="X546" s="14">
        <f>S546+U546</f>
        <v/>
      </c>
      <c r="Y546" s="17">
        <f>V546/P546</f>
        <v/>
      </c>
      <c r="Z546" s="14">
        <f>SUMIFS(Donnees_regimes!$Q$3:$Q$1118,Donnees_regimes!$A$3:$A$1118,C546,Donnees_regimes!$B$3:$B$1118,"&gt;="&amp;G546,Donnees_regimes!$B$3:$B$1118,"&lt;="&amp;N546)*L546/ROUNDUP(L546,0)</f>
        <v/>
      </c>
      <c r="AA546" s="77">
        <f>SUMIFS(Regles_regimes!$F$3:$F$2000,Regles_regimes!$A$3:$A$2000,C546,Regles_regimes!$B$3:$B$2000,D546,Regles_regimes!$C$3:$C$2000,MAX(1915,MIN(2025,E546)))</f>
        <v/>
      </c>
      <c r="AB546" s="77">
        <f>IF(AND(SUMIFS(Regles_regimes!$L$3:$L$2000,Regles_regimes!$A$3:$A$2000,C546,Regles_regimes!$B$3:$B$2000,D546,Regles_regimes!$C$3:$C$2000,MAX(1915,MIN(2025,E546)))=1,G546&lt;2009,C546&lt;&gt;"Privé"),MIN(20,L546*4/5),0)</f>
        <v/>
      </c>
      <c r="AC546" s="89">
        <f>SUMIFS(Donnees_regimes!$M$3:$M$1118,Donnees_regimes!$A$3:$A$1118,C546,Donnees_regimes!$B$3:$B$1118,M546)</f>
        <v/>
      </c>
      <c r="AD546" s="14">
        <f>SUMIFS(Donnees_annuelles!$Y$3:$Y$188,Donnees_annuelles!$A$3:$A$188,M546)*SUMIFS(Donnees_generations!$I$3:$I$113,Donnees_generations!$A$3:$A$113,MAX(1915,MIN(2025,E546)))/H546</f>
        <v/>
      </c>
      <c r="AE546" s="14">
        <f>IF(C546="Privé",SUMIFS(Donnees_annuelles!$Y$3:$Y$188,Donnees_annuelles!$A$3:$A$188,M546)*MIN(L546,SUMIFS(Donnees_generations!$I$3:$I$113,Donnees_generations!$A$3:$A$113,MAX(1915,MIN(2025,E546))))/L546,AD546*AC546*MIN(IF(AB546&gt;0,0.8/0.75,1),(L546*4+AB546)/AA546))</f>
        <v/>
      </c>
      <c r="AF546" s="14">
        <f>AE546/12</f>
        <v/>
      </c>
      <c r="AG546" s="77">
        <f>MIN(68,MAX(56,2*INT(K546/2)))</f>
        <v/>
      </c>
      <c r="AH546" s="75">
        <f>(CHOOSE((AG546-56)/2+1,SUMIFS(Donnees_generations!$U$3:$U$113,Donnees_generations!$A$3:$A$113,MAX(1915,MIN(2025,E546))),SUMIFS(Donnees_generations!$V$3:$V$113,Donnees_generations!$A$3:$A$113,MAX(1915,MIN(2025,E546))),SUMIFS(Donnees_generations!$W$3:$W$113,Donnees_generations!$A$3:$A$113,MAX(1915,MIN(2025,E546))),SUMIFS(Donnees_generations!$X$3:$X$113,Donnees_generations!$A$3:$A$113,MAX(1915,MIN(2025,E546))),SUMIFS(Donnees_generations!$Y$3:$Y$113,Donnees_generations!$A$3:$A$113,MAX(1915,MIN(2025,E546))),SUMIFS(Donnees_generations!$Z$3:$Z$113,Donnees_generations!$A$3:$A$113,MAX(1915,MIN(2025,E546))),SUMIFS(Donnees_generations!$AA$3:$AA$113,Donnees_generations!$A$3:$A$113,MAX(1915,MIN(2025,E546))),SUMIFS(Donnees_generations!$AB$3:$AB$113,Donnees_generations!$A$3:$A$113,MAX(1915,MIN(2025,E546))))+CHOOSE((AG546-56)/2+1,SUMIFS(Donnees_generations!$AC$3:$AC$113,Donnees_generations!$A$3:$A$113,MAX(1915,MIN(2025,E546))),SUMIFS(Donnees_generations!$AD$3:$AD$113,Donnees_generations!$A$3:$A$113,MAX(1915,MIN(2025,E546))),SUMIFS(Donnees_generations!$AE$3:$AE$113,Donnees_generations!$A$3:$A$113,MAX(1915,MIN(2025,E546))),SUMIFS(Donnees_generations!$AF$3:$AF$113,Donnees_generations!$A$3:$A$113,MAX(1915,MIN(2025,E546))),SUMIFS(Donnees_generations!$AG$3:$AG$113,Donnees_generations!$A$3:$A$113,MAX(1915,MIN(2025,E546))),SUMIFS(Donnees_generations!$AH$3:$AH$113,Donnees_generations!$A$3:$A$113,MAX(1915,MIN(2025,E546))),SUMIFS(Donnees_generations!$AI$3:$AI$113,Donnees_generations!$A$3:$A$113,MAX(1915,MIN(2025,E546))),SUMIFS(Donnees_generations!$AJ$3:$AJ$113,Donnees_generations!$A$3:$A$113,MAX(1915,MIN(2025,E546)))))/2</f>
        <v/>
      </c>
      <c r="AI546" s="75">
        <f>(CHOOSE(((AG546+2)-56)/2+1,SUMIFS(Donnees_generations!$U$3:$U$113,Donnees_generations!$A$3:$A$113,MAX(1915,MIN(2025,E546))),SUMIFS(Donnees_generations!$V$3:$V$113,Donnees_generations!$A$3:$A$113,MAX(1915,MIN(2025,E546))),SUMIFS(Donnees_generations!$W$3:$W$113,Donnees_generations!$A$3:$A$113,MAX(1915,MIN(2025,E546))),SUMIFS(Donnees_generations!$X$3:$X$113,Donnees_generations!$A$3:$A$113,MAX(1915,MIN(2025,E546))),SUMIFS(Donnees_generations!$Y$3:$Y$113,Donnees_generations!$A$3:$A$113,MAX(1915,MIN(2025,E546))),SUMIFS(Donnees_generations!$Z$3:$Z$113,Donnees_generations!$A$3:$A$113,MAX(1915,MIN(2025,E546))),SUMIFS(Donnees_generations!$AA$3:$AA$113,Donnees_generations!$A$3:$A$113,MAX(1915,MIN(2025,E546))),SUMIFS(Donnees_generations!$AB$3:$AB$113,Donnees_generations!$A$3:$A$113,MAX(1915,MIN(2025,E546))))+CHOOSE(((AG546+2)-56)/2+1,SUMIFS(Donnees_generations!$AC$3:$AC$113,Donnees_generations!$A$3:$A$113,MAX(1915,MIN(2025,E546))),SUMIFS(Donnees_generations!$AD$3:$AD$113,Donnees_generations!$A$3:$A$113,MAX(1915,MIN(2025,E546))),SUMIFS(Donnees_generations!$AE$3:$AE$113,Donnees_generations!$A$3:$A$113,MAX(1915,MIN(2025,E546))),SUMIFS(Donnees_generations!$AF$3:$AF$113,Donnees_generations!$A$3:$A$113,MAX(1915,MIN(2025,E546))),SUMIFS(Donnees_generations!$AG$3:$AG$113,Donnees_generations!$A$3:$A$113,MAX(1915,MIN(2025,E546))),SUMIFS(Donnees_generations!$AH$3:$AH$113,Donnees_generations!$A$3:$A$113,MAX(1915,MIN(2025,E546))),SUMIFS(Donnees_generations!$AI$3:$AI$113,Donnees_generations!$A$3:$A$113,MAX(1915,MIN(2025,E546))),SUMIFS(Donnees_generations!$AJ$3:$AJ$113,Donnees_generations!$A$3:$A$113,MAX(1915,MIN(2025,E546)))))/2</f>
        <v/>
      </c>
      <c r="AJ546" s="8">
        <f>MAX(0,AH546+(AI546-AH546)*(K546-AG546)/2)</f>
        <v/>
      </c>
      <c r="AK546" s="8">
        <f>K546+AJ546</f>
        <v/>
      </c>
      <c r="AL546" s="14">
        <f>AE546*AJ546</f>
        <v/>
      </c>
      <c r="AM546" s="17">
        <f>V546/AL546</f>
        <v/>
      </c>
      <c r="AN546" s="17">
        <f>Z546/AL546</f>
        <v/>
      </c>
      <c r="AO546" s="33">
        <f>IF(V546+Z546=0,0,Z546/(V546+Z546))</f>
        <v/>
      </c>
      <c r="AP546" s="14">
        <f>AL546/V546*100</f>
        <v/>
      </c>
      <c r="AQ546" s="8">
        <f>P546/AL546*1000</f>
        <v/>
      </c>
      <c r="AR546" s="77">
        <f>MAX(N546,M546-1)</f>
        <v/>
      </c>
      <c r="AS546" s="14">
        <f>SUMIFS(Donnees_regimes!$R$3:$R$1118,Donnees_regimes!$A$3:$A$1118,C546,Donnees_regimes!$B$3:$B$1118,"&gt;="&amp;G546,Donnees_regimes!$B$3:$B$1118,"&lt;="&amp;N546)*L546/ROUNDUP(L546,0)*SUMIFS(Donnees_annuelles!$AG$3:$AG$188,Donnees_annuelles!$A$3:$A$188,AR546)*SUMIFS(Donnees_annuelles!$AA$3:$AA$188,Donnees_annuelles!$A$3:$A$188,AR546)</f>
        <v/>
      </c>
      <c r="AT546" s="36">
        <f>AS546/V546</f>
        <v/>
      </c>
      <c r="AU546" s="14">
        <f>AL546</f>
        <v/>
      </c>
      <c r="AV546" s="39">
        <f>AS546-AL546</f>
        <v/>
      </c>
      <c r="AW546" s="9">
        <f>AS546/AL546-1</f>
        <v/>
      </c>
      <c r="AX546" s="14">
        <f>AS546/AJ546/12</f>
        <v/>
      </c>
      <c r="AY546" s="14">
        <f>AF546</f>
        <v/>
      </c>
      <c r="AZ546" s="39">
        <f>AX546-AF546</f>
        <v/>
      </c>
      <c r="BA546" s="14">
        <f>SUMIFS(Donnees_regimes!$S$3:$S$1118,Donnees_regimes!$A$3:$A$1118,C546,Donnees_regimes!$B$3:$B$1118,"&gt;="&amp;G546,Donnees_regimes!$B$3:$B$1118,"&lt;="&amp;N546)*L546/ROUNDUP(L546,0)*SUMIFS(Donnees_annuelles!$AH$3:$AH$188,Donnees_annuelles!$A$3:$A$188,AR546)*SUMIFS(Donnees_annuelles!$AA$3:$AA$188,Donnees_annuelles!$A$3:$A$188,AR546)</f>
        <v/>
      </c>
      <c r="BB546" s="39">
        <f>BA546-AL546</f>
        <v/>
      </c>
      <c r="BC546" s="7">
        <f>IF(M546+AJ546&gt;2026,IF(G546&gt;2026,"entièrement projeté","en partie projeté"),"observé")</f>
        <v/>
      </c>
    </row>
    <row r="547">
      <c r="A547" s="7" t="inlineStr">
        <is>
          <t>Génération Y</t>
        </is>
      </c>
      <c r="B547" s="84" t="inlineStr">
        <is>
          <t>IEG</t>
        </is>
      </c>
      <c r="C547" s="7">
        <f>IF(G547&gt;=SUMIFS(Regimes!$C$5:$C$10,Regimes!$A$5:$A$10,B547),"Privé",B547)</f>
        <v/>
      </c>
      <c r="D547" s="7">
        <f>INDEX(Regimes!$D$5:$D$10,MATCH(C547,Regimes!$A$5:$A$10,0))</f>
        <v/>
      </c>
      <c r="E547" s="88" t="n">
        <v>1982</v>
      </c>
      <c r="F547" s="8">
        <f>Donnees_generations!C70</f>
        <v/>
      </c>
      <c r="G547" s="77">
        <f>Donnees_generations!D70</f>
        <v/>
      </c>
      <c r="H547" s="8">
        <f>SUMIFS(Donnees_generations!$S$3:$S$113,Donnees_generations!$A$3:$A$113,MAX(1915,MIN(2025,E547)))</f>
        <v/>
      </c>
      <c r="I547" s="8">
        <f>SUMIFS(Donnees_generations!$T$3:$T$113,Donnees_generations!$A$3:$A$113,MAX(1915,MIN(2025,E547)))</f>
        <v/>
      </c>
      <c r="J547" s="8">
        <f>IF(G547&gt;=2000,MAX(I547,Parametres!$B$3),I547)</f>
        <v/>
      </c>
      <c r="K547" s="8">
        <f>IF(C547="Privé",J547,SUMIFS(Regles_regimes!$J$3:$J$2000,Regles_regimes!$A$3:$A$2000,C547,Regles_regimes!$B$3:$B$2000,D547,Regles_regimes!$C$3:$C$2000,MAX(1915,MIN(2025,E547))))</f>
        <v/>
      </c>
      <c r="L547" s="8">
        <f>IF(C547="Privé",H547,(K547-F547)*H547/(J547-F547))</f>
        <v/>
      </c>
      <c r="M547" s="77">
        <f>INT(E547+K547)</f>
        <v/>
      </c>
      <c r="N547" s="77">
        <f>G547+ROUNDUP(L547,0)-1</f>
        <v/>
      </c>
      <c r="O547" s="89">
        <f>SUMIFS(Regles_regimes!$K$3:$K$2000,Regles_regimes!$A$3:$A$2000,C547,Regles_regimes!$B$3:$B$2000,D547,Regles_regimes!$C$3:$C$2000,MAX(1915,MIN(2025,E547)))</f>
        <v/>
      </c>
      <c r="P547" s="13">
        <f>SUMIFS(Donnees_annuelles!$W$3:$W$188,Donnees_annuelles!$A$3:$A$188,"&gt;="&amp;G547,Donnees_annuelles!$A$3:$A$188,"&lt;="&amp;N547)*L547/ROUNDUP(L547,0)*O547</f>
        <v/>
      </c>
      <c r="Q547" s="13">
        <f>SUMIFS(Donnees_annuelles!$V$3:$V$188,Donnees_annuelles!$A$3:$A$188,"&gt;="&amp;G547,Donnees_annuelles!$A$3:$A$188,"&lt;="&amp;N547)*L547/ROUNDUP(L547,0)</f>
        <v/>
      </c>
      <c r="R547" s="13">
        <f>P547/L547</f>
        <v/>
      </c>
      <c r="S547" s="14">
        <f>SUMIFS(Donnees_annuelles!$D$3:$D$188,Donnees_annuelles!$A$3:$A$188,"&gt;="&amp;G547,Donnees_annuelles!$A$3:$A$188,"&lt;="&amp;N547)*L547/ROUNDUP(L547,0)</f>
        <v/>
      </c>
      <c r="T547" s="14">
        <f>SUMIFS(Donnees_regimes!$N$3:$N$1118,Donnees_regimes!$A$3:$A$1118,C547,Donnees_regimes!$B$3:$B$1118,"&gt;="&amp;G547,Donnees_regimes!$B$3:$B$1118,"&lt;="&amp;N547)*L547/ROUNDUP(L547,0)</f>
        <v/>
      </c>
      <c r="U547" s="14">
        <f>SUMIFS(Donnees_regimes!$O$3:$O$1118,Donnees_regimes!$A$3:$A$1118,C547,Donnees_regimes!$B$3:$B$1118,"&gt;="&amp;G547,Donnees_regimes!$B$3:$B$1118,"&lt;="&amp;N547)*L547/ROUNDUP(L547,0)</f>
        <v/>
      </c>
      <c r="V547" s="14">
        <f>T547+U547</f>
        <v/>
      </c>
      <c r="W547" s="33">
        <f>V547/S547</f>
        <v/>
      </c>
      <c r="X547" s="14">
        <f>S547+U547</f>
        <v/>
      </c>
      <c r="Y547" s="17">
        <f>V547/P547</f>
        <v/>
      </c>
      <c r="Z547" s="14">
        <f>SUMIFS(Donnees_regimes!$Q$3:$Q$1118,Donnees_regimes!$A$3:$A$1118,C547,Donnees_regimes!$B$3:$B$1118,"&gt;="&amp;G547,Donnees_regimes!$B$3:$B$1118,"&lt;="&amp;N547)*L547/ROUNDUP(L547,0)</f>
        <v/>
      </c>
      <c r="AA547" s="77">
        <f>SUMIFS(Regles_regimes!$F$3:$F$2000,Regles_regimes!$A$3:$A$2000,C547,Regles_regimes!$B$3:$B$2000,D547,Regles_regimes!$C$3:$C$2000,MAX(1915,MIN(2025,E547)))</f>
        <v/>
      </c>
      <c r="AB547" s="77">
        <f>IF(AND(SUMIFS(Regles_regimes!$L$3:$L$2000,Regles_regimes!$A$3:$A$2000,C547,Regles_regimes!$B$3:$B$2000,D547,Regles_regimes!$C$3:$C$2000,MAX(1915,MIN(2025,E547)))=1,G547&lt;2009,C547&lt;&gt;"Privé"),MIN(20,L547*4/5),0)</f>
        <v/>
      </c>
      <c r="AC547" s="89">
        <f>SUMIFS(Donnees_regimes!$M$3:$M$1118,Donnees_regimes!$A$3:$A$1118,C547,Donnees_regimes!$B$3:$B$1118,M547)</f>
        <v/>
      </c>
      <c r="AD547" s="14">
        <f>SUMIFS(Donnees_annuelles!$Y$3:$Y$188,Donnees_annuelles!$A$3:$A$188,M547)*SUMIFS(Donnees_generations!$I$3:$I$113,Donnees_generations!$A$3:$A$113,MAX(1915,MIN(2025,E547)))/H547</f>
        <v/>
      </c>
      <c r="AE547" s="14">
        <f>IF(C547="Privé",SUMIFS(Donnees_annuelles!$Y$3:$Y$188,Donnees_annuelles!$A$3:$A$188,M547)*MIN(L547,SUMIFS(Donnees_generations!$I$3:$I$113,Donnees_generations!$A$3:$A$113,MAX(1915,MIN(2025,E547))))/L547,AD547*AC547*MIN(IF(AB547&gt;0,0.8/0.75,1),(L547*4+AB547)/AA547))</f>
        <v/>
      </c>
      <c r="AF547" s="14">
        <f>AE547/12</f>
        <v/>
      </c>
      <c r="AG547" s="77">
        <f>MIN(68,MAX(56,2*INT(K547/2)))</f>
        <v/>
      </c>
      <c r="AH547" s="75">
        <f>(CHOOSE((AG547-56)/2+1,SUMIFS(Donnees_generations!$U$3:$U$113,Donnees_generations!$A$3:$A$113,MAX(1915,MIN(2025,E547))),SUMIFS(Donnees_generations!$V$3:$V$113,Donnees_generations!$A$3:$A$113,MAX(1915,MIN(2025,E547))),SUMIFS(Donnees_generations!$W$3:$W$113,Donnees_generations!$A$3:$A$113,MAX(1915,MIN(2025,E547))),SUMIFS(Donnees_generations!$X$3:$X$113,Donnees_generations!$A$3:$A$113,MAX(1915,MIN(2025,E547))),SUMIFS(Donnees_generations!$Y$3:$Y$113,Donnees_generations!$A$3:$A$113,MAX(1915,MIN(2025,E547))),SUMIFS(Donnees_generations!$Z$3:$Z$113,Donnees_generations!$A$3:$A$113,MAX(1915,MIN(2025,E547))),SUMIFS(Donnees_generations!$AA$3:$AA$113,Donnees_generations!$A$3:$A$113,MAX(1915,MIN(2025,E547))),SUMIFS(Donnees_generations!$AB$3:$AB$113,Donnees_generations!$A$3:$A$113,MAX(1915,MIN(2025,E547))))+CHOOSE((AG547-56)/2+1,SUMIFS(Donnees_generations!$AC$3:$AC$113,Donnees_generations!$A$3:$A$113,MAX(1915,MIN(2025,E547))),SUMIFS(Donnees_generations!$AD$3:$AD$113,Donnees_generations!$A$3:$A$113,MAX(1915,MIN(2025,E547))),SUMIFS(Donnees_generations!$AE$3:$AE$113,Donnees_generations!$A$3:$A$113,MAX(1915,MIN(2025,E547))),SUMIFS(Donnees_generations!$AF$3:$AF$113,Donnees_generations!$A$3:$A$113,MAX(1915,MIN(2025,E547))),SUMIFS(Donnees_generations!$AG$3:$AG$113,Donnees_generations!$A$3:$A$113,MAX(1915,MIN(2025,E547))),SUMIFS(Donnees_generations!$AH$3:$AH$113,Donnees_generations!$A$3:$A$113,MAX(1915,MIN(2025,E547))),SUMIFS(Donnees_generations!$AI$3:$AI$113,Donnees_generations!$A$3:$A$113,MAX(1915,MIN(2025,E547))),SUMIFS(Donnees_generations!$AJ$3:$AJ$113,Donnees_generations!$A$3:$A$113,MAX(1915,MIN(2025,E547)))))/2</f>
        <v/>
      </c>
      <c r="AI547" s="75">
        <f>(CHOOSE(((AG547+2)-56)/2+1,SUMIFS(Donnees_generations!$U$3:$U$113,Donnees_generations!$A$3:$A$113,MAX(1915,MIN(2025,E547))),SUMIFS(Donnees_generations!$V$3:$V$113,Donnees_generations!$A$3:$A$113,MAX(1915,MIN(2025,E547))),SUMIFS(Donnees_generations!$W$3:$W$113,Donnees_generations!$A$3:$A$113,MAX(1915,MIN(2025,E547))),SUMIFS(Donnees_generations!$X$3:$X$113,Donnees_generations!$A$3:$A$113,MAX(1915,MIN(2025,E547))),SUMIFS(Donnees_generations!$Y$3:$Y$113,Donnees_generations!$A$3:$A$113,MAX(1915,MIN(2025,E547))),SUMIFS(Donnees_generations!$Z$3:$Z$113,Donnees_generations!$A$3:$A$113,MAX(1915,MIN(2025,E547))),SUMIFS(Donnees_generations!$AA$3:$AA$113,Donnees_generations!$A$3:$A$113,MAX(1915,MIN(2025,E547))),SUMIFS(Donnees_generations!$AB$3:$AB$113,Donnees_generations!$A$3:$A$113,MAX(1915,MIN(2025,E547))))+CHOOSE(((AG547+2)-56)/2+1,SUMIFS(Donnees_generations!$AC$3:$AC$113,Donnees_generations!$A$3:$A$113,MAX(1915,MIN(2025,E547))),SUMIFS(Donnees_generations!$AD$3:$AD$113,Donnees_generations!$A$3:$A$113,MAX(1915,MIN(2025,E547))),SUMIFS(Donnees_generations!$AE$3:$AE$113,Donnees_generations!$A$3:$A$113,MAX(1915,MIN(2025,E547))),SUMIFS(Donnees_generations!$AF$3:$AF$113,Donnees_generations!$A$3:$A$113,MAX(1915,MIN(2025,E547))),SUMIFS(Donnees_generations!$AG$3:$AG$113,Donnees_generations!$A$3:$A$113,MAX(1915,MIN(2025,E547))),SUMIFS(Donnees_generations!$AH$3:$AH$113,Donnees_generations!$A$3:$A$113,MAX(1915,MIN(2025,E547))),SUMIFS(Donnees_generations!$AI$3:$AI$113,Donnees_generations!$A$3:$A$113,MAX(1915,MIN(2025,E547))),SUMIFS(Donnees_generations!$AJ$3:$AJ$113,Donnees_generations!$A$3:$A$113,MAX(1915,MIN(2025,E547)))))/2</f>
        <v/>
      </c>
      <c r="AJ547" s="8">
        <f>MAX(0,AH547+(AI547-AH547)*(K547-AG547)/2)</f>
        <v/>
      </c>
      <c r="AK547" s="8">
        <f>K547+AJ547</f>
        <v/>
      </c>
      <c r="AL547" s="14">
        <f>AE547*AJ547</f>
        <v/>
      </c>
      <c r="AM547" s="17">
        <f>V547/AL547</f>
        <v/>
      </c>
      <c r="AN547" s="17">
        <f>Z547/AL547</f>
        <v/>
      </c>
      <c r="AO547" s="33">
        <f>IF(V547+Z547=0,0,Z547/(V547+Z547))</f>
        <v/>
      </c>
      <c r="AP547" s="14">
        <f>AL547/V547*100</f>
        <v/>
      </c>
      <c r="AQ547" s="8">
        <f>P547/AL547*1000</f>
        <v/>
      </c>
      <c r="AR547" s="77">
        <f>MAX(N547,M547-1)</f>
        <v/>
      </c>
      <c r="AS547" s="14">
        <f>SUMIFS(Donnees_regimes!$R$3:$R$1118,Donnees_regimes!$A$3:$A$1118,C547,Donnees_regimes!$B$3:$B$1118,"&gt;="&amp;G547,Donnees_regimes!$B$3:$B$1118,"&lt;="&amp;N547)*L547/ROUNDUP(L547,0)*SUMIFS(Donnees_annuelles!$AG$3:$AG$188,Donnees_annuelles!$A$3:$A$188,AR547)*SUMIFS(Donnees_annuelles!$AA$3:$AA$188,Donnees_annuelles!$A$3:$A$188,AR547)</f>
        <v/>
      </c>
      <c r="AT547" s="36">
        <f>AS547/V547</f>
        <v/>
      </c>
      <c r="AU547" s="14">
        <f>AL547</f>
        <v/>
      </c>
      <c r="AV547" s="39">
        <f>AS547-AL547</f>
        <v/>
      </c>
      <c r="AW547" s="9">
        <f>AS547/AL547-1</f>
        <v/>
      </c>
      <c r="AX547" s="14">
        <f>AS547/AJ547/12</f>
        <v/>
      </c>
      <c r="AY547" s="14">
        <f>AF547</f>
        <v/>
      </c>
      <c r="AZ547" s="39">
        <f>AX547-AF547</f>
        <v/>
      </c>
      <c r="BA547" s="14">
        <f>SUMIFS(Donnees_regimes!$S$3:$S$1118,Donnees_regimes!$A$3:$A$1118,C547,Donnees_regimes!$B$3:$B$1118,"&gt;="&amp;G547,Donnees_regimes!$B$3:$B$1118,"&lt;="&amp;N547)*L547/ROUNDUP(L547,0)*SUMIFS(Donnees_annuelles!$AH$3:$AH$188,Donnees_annuelles!$A$3:$A$188,AR547)*SUMIFS(Donnees_annuelles!$AA$3:$AA$188,Donnees_annuelles!$A$3:$A$188,AR547)</f>
        <v/>
      </c>
      <c r="BB547" s="39">
        <f>BA547-AL547</f>
        <v/>
      </c>
      <c r="BC547" s="7">
        <f>IF(M547+AJ547&gt;2026,IF(G547&gt;2026,"entièrement projeté","en partie projeté"),"observé")</f>
        <v/>
      </c>
    </row>
    <row r="548">
      <c r="A548" s="7" t="inlineStr">
        <is>
          <t>Génération Y</t>
        </is>
      </c>
      <c r="B548" s="84" t="inlineStr">
        <is>
          <t>IEG</t>
        </is>
      </c>
      <c r="C548" s="7">
        <f>IF(G548&gt;=SUMIFS(Regimes!$C$5:$C$10,Regimes!$A$5:$A$10,B548),"Privé",B548)</f>
        <v/>
      </c>
      <c r="D548" s="7">
        <f>INDEX(Regimes!$D$5:$D$10,MATCH(C548,Regimes!$A$5:$A$10,0))</f>
        <v/>
      </c>
      <c r="E548" s="88" t="n">
        <v>1983</v>
      </c>
      <c r="F548" s="8">
        <f>Donnees_generations!C71</f>
        <v/>
      </c>
      <c r="G548" s="77">
        <f>Donnees_generations!D71</f>
        <v/>
      </c>
      <c r="H548" s="8">
        <f>SUMIFS(Donnees_generations!$S$3:$S$113,Donnees_generations!$A$3:$A$113,MAX(1915,MIN(2025,E548)))</f>
        <v/>
      </c>
      <c r="I548" s="8">
        <f>SUMIFS(Donnees_generations!$T$3:$T$113,Donnees_generations!$A$3:$A$113,MAX(1915,MIN(2025,E548)))</f>
        <v/>
      </c>
      <c r="J548" s="8">
        <f>IF(G548&gt;=2000,MAX(I548,Parametres!$B$3),I548)</f>
        <v/>
      </c>
      <c r="K548" s="8">
        <f>IF(C548="Privé",J548,SUMIFS(Regles_regimes!$J$3:$J$2000,Regles_regimes!$A$3:$A$2000,C548,Regles_regimes!$B$3:$B$2000,D548,Regles_regimes!$C$3:$C$2000,MAX(1915,MIN(2025,E548))))</f>
        <v/>
      </c>
      <c r="L548" s="8">
        <f>IF(C548="Privé",H548,(K548-F548)*H548/(J548-F548))</f>
        <v/>
      </c>
      <c r="M548" s="77">
        <f>INT(E548+K548)</f>
        <v/>
      </c>
      <c r="N548" s="77">
        <f>G548+ROUNDUP(L548,0)-1</f>
        <v/>
      </c>
      <c r="O548" s="89">
        <f>SUMIFS(Regles_regimes!$K$3:$K$2000,Regles_regimes!$A$3:$A$2000,C548,Regles_regimes!$B$3:$B$2000,D548,Regles_regimes!$C$3:$C$2000,MAX(1915,MIN(2025,E548)))</f>
        <v/>
      </c>
      <c r="P548" s="13">
        <f>SUMIFS(Donnees_annuelles!$W$3:$W$188,Donnees_annuelles!$A$3:$A$188,"&gt;="&amp;G548,Donnees_annuelles!$A$3:$A$188,"&lt;="&amp;N548)*L548/ROUNDUP(L548,0)*O548</f>
        <v/>
      </c>
      <c r="Q548" s="13">
        <f>SUMIFS(Donnees_annuelles!$V$3:$V$188,Donnees_annuelles!$A$3:$A$188,"&gt;="&amp;G548,Donnees_annuelles!$A$3:$A$188,"&lt;="&amp;N548)*L548/ROUNDUP(L548,0)</f>
        <v/>
      </c>
      <c r="R548" s="13">
        <f>P548/L548</f>
        <v/>
      </c>
      <c r="S548" s="14">
        <f>SUMIFS(Donnees_annuelles!$D$3:$D$188,Donnees_annuelles!$A$3:$A$188,"&gt;="&amp;G548,Donnees_annuelles!$A$3:$A$188,"&lt;="&amp;N548)*L548/ROUNDUP(L548,0)</f>
        <v/>
      </c>
      <c r="T548" s="14">
        <f>SUMIFS(Donnees_regimes!$N$3:$N$1118,Donnees_regimes!$A$3:$A$1118,C548,Donnees_regimes!$B$3:$B$1118,"&gt;="&amp;G548,Donnees_regimes!$B$3:$B$1118,"&lt;="&amp;N548)*L548/ROUNDUP(L548,0)</f>
        <v/>
      </c>
      <c r="U548" s="14">
        <f>SUMIFS(Donnees_regimes!$O$3:$O$1118,Donnees_regimes!$A$3:$A$1118,C548,Donnees_regimes!$B$3:$B$1118,"&gt;="&amp;G548,Donnees_regimes!$B$3:$B$1118,"&lt;="&amp;N548)*L548/ROUNDUP(L548,0)</f>
        <v/>
      </c>
      <c r="V548" s="14">
        <f>T548+U548</f>
        <v/>
      </c>
      <c r="W548" s="33">
        <f>V548/S548</f>
        <v/>
      </c>
      <c r="X548" s="14">
        <f>S548+U548</f>
        <v/>
      </c>
      <c r="Y548" s="17">
        <f>V548/P548</f>
        <v/>
      </c>
      <c r="Z548" s="14">
        <f>SUMIFS(Donnees_regimes!$Q$3:$Q$1118,Donnees_regimes!$A$3:$A$1118,C548,Donnees_regimes!$B$3:$B$1118,"&gt;="&amp;G548,Donnees_regimes!$B$3:$B$1118,"&lt;="&amp;N548)*L548/ROUNDUP(L548,0)</f>
        <v/>
      </c>
      <c r="AA548" s="77">
        <f>SUMIFS(Regles_regimes!$F$3:$F$2000,Regles_regimes!$A$3:$A$2000,C548,Regles_regimes!$B$3:$B$2000,D548,Regles_regimes!$C$3:$C$2000,MAX(1915,MIN(2025,E548)))</f>
        <v/>
      </c>
      <c r="AB548" s="77">
        <f>IF(AND(SUMIFS(Regles_regimes!$L$3:$L$2000,Regles_regimes!$A$3:$A$2000,C548,Regles_regimes!$B$3:$B$2000,D548,Regles_regimes!$C$3:$C$2000,MAX(1915,MIN(2025,E548)))=1,G548&lt;2009,C548&lt;&gt;"Privé"),MIN(20,L548*4/5),0)</f>
        <v/>
      </c>
      <c r="AC548" s="89">
        <f>SUMIFS(Donnees_regimes!$M$3:$M$1118,Donnees_regimes!$A$3:$A$1118,C548,Donnees_regimes!$B$3:$B$1118,M548)</f>
        <v/>
      </c>
      <c r="AD548" s="14">
        <f>SUMIFS(Donnees_annuelles!$Y$3:$Y$188,Donnees_annuelles!$A$3:$A$188,M548)*SUMIFS(Donnees_generations!$I$3:$I$113,Donnees_generations!$A$3:$A$113,MAX(1915,MIN(2025,E548)))/H548</f>
        <v/>
      </c>
      <c r="AE548" s="14">
        <f>IF(C548="Privé",SUMIFS(Donnees_annuelles!$Y$3:$Y$188,Donnees_annuelles!$A$3:$A$188,M548)*MIN(L548,SUMIFS(Donnees_generations!$I$3:$I$113,Donnees_generations!$A$3:$A$113,MAX(1915,MIN(2025,E548))))/L548,AD548*AC548*MIN(IF(AB548&gt;0,0.8/0.75,1),(L548*4+AB548)/AA548))</f>
        <v/>
      </c>
      <c r="AF548" s="14">
        <f>AE548/12</f>
        <v/>
      </c>
      <c r="AG548" s="77">
        <f>MIN(68,MAX(56,2*INT(K548/2)))</f>
        <v/>
      </c>
      <c r="AH548" s="75">
        <f>(CHOOSE((AG548-56)/2+1,SUMIFS(Donnees_generations!$U$3:$U$113,Donnees_generations!$A$3:$A$113,MAX(1915,MIN(2025,E548))),SUMIFS(Donnees_generations!$V$3:$V$113,Donnees_generations!$A$3:$A$113,MAX(1915,MIN(2025,E548))),SUMIFS(Donnees_generations!$W$3:$W$113,Donnees_generations!$A$3:$A$113,MAX(1915,MIN(2025,E548))),SUMIFS(Donnees_generations!$X$3:$X$113,Donnees_generations!$A$3:$A$113,MAX(1915,MIN(2025,E548))),SUMIFS(Donnees_generations!$Y$3:$Y$113,Donnees_generations!$A$3:$A$113,MAX(1915,MIN(2025,E548))),SUMIFS(Donnees_generations!$Z$3:$Z$113,Donnees_generations!$A$3:$A$113,MAX(1915,MIN(2025,E548))),SUMIFS(Donnees_generations!$AA$3:$AA$113,Donnees_generations!$A$3:$A$113,MAX(1915,MIN(2025,E548))),SUMIFS(Donnees_generations!$AB$3:$AB$113,Donnees_generations!$A$3:$A$113,MAX(1915,MIN(2025,E548))))+CHOOSE((AG548-56)/2+1,SUMIFS(Donnees_generations!$AC$3:$AC$113,Donnees_generations!$A$3:$A$113,MAX(1915,MIN(2025,E548))),SUMIFS(Donnees_generations!$AD$3:$AD$113,Donnees_generations!$A$3:$A$113,MAX(1915,MIN(2025,E548))),SUMIFS(Donnees_generations!$AE$3:$AE$113,Donnees_generations!$A$3:$A$113,MAX(1915,MIN(2025,E548))),SUMIFS(Donnees_generations!$AF$3:$AF$113,Donnees_generations!$A$3:$A$113,MAX(1915,MIN(2025,E548))),SUMIFS(Donnees_generations!$AG$3:$AG$113,Donnees_generations!$A$3:$A$113,MAX(1915,MIN(2025,E548))),SUMIFS(Donnees_generations!$AH$3:$AH$113,Donnees_generations!$A$3:$A$113,MAX(1915,MIN(2025,E548))),SUMIFS(Donnees_generations!$AI$3:$AI$113,Donnees_generations!$A$3:$A$113,MAX(1915,MIN(2025,E548))),SUMIFS(Donnees_generations!$AJ$3:$AJ$113,Donnees_generations!$A$3:$A$113,MAX(1915,MIN(2025,E548)))))/2</f>
        <v/>
      </c>
      <c r="AI548" s="75">
        <f>(CHOOSE(((AG548+2)-56)/2+1,SUMIFS(Donnees_generations!$U$3:$U$113,Donnees_generations!$A$3:$A$113,MAX(1915,MIN(2025,E548))),SUMIFS(Donnees_generations!$V$3:$V$113,Donnees_generations!$A$3:$A$113,MAX(1915,MIN(2025,E548))),SUMIFS(Donnees_generations!$W$3:$W$113,Donnees_generations!$A$3:$A$113,MAX(1915,MIN(2025,E548))),SUMIFS(Donnees_generations!$X$3:$X$113,Donnees_generations!$A$3:$A$113,MAX(1915,MIN(2025,E548))),SUMIFS(Donnees_generations!$Y$3:$Y$113,Donnees_generations!$A$3:$A$113,MAX(1915,MIN(2025,E548))),SUMIFS(Donnees_generations!$Z$3:$Z$113,Donnees_generations!$A$3:$A$113,MAX(1915,MIN(2025,E548))),SUMIFS(Donnees_generations!$AA$3:$AA$113,Donnees_generations!$A$3:$A$113,MAX(1915,MIN(2025,E548))),SUMIFS(Donnees_generations!$AB$3:$AB$113,Donnees_generations!$A$3:$A$113,MAX(1915,MIN(2025,E548))))+CHOOSE(((AG548+2)-56)/2+1,SUMIFS(Donnees_generations!$AC$3:$AC$113,Donnees_generations!$A$3:$A$113,MAX(1915,MIN(2025,E548))),SUMIFS(Donnees_generations!$AD$3:$AD$113,Donnees_generations!$A$3:$A$113,MAX(1915,MIN(2025,E548))),SUMIFS(Donnees_generations!$AE$3:$AE$113,Donnees_generations!$A$3:$A$113,MAX(1915,MIN(2025,E548))),SUMIFS(Donnees_generations!$AF$3:$AF$113,Donnees_generations!$A$3:$A$113,MAX(1915,MIN(2025,E548))),SUMIFS(Donnees_generations!$AG$3:$AG$113,Donnees_generations!$A$3:$A$113,MAX(1915,MIN(2025,E548))),SUMIFS(Donnees_generations!$AH$3:$AH$113,Donnees_generations!$A$3:$A$113,MAX(1915,MIN(2025,E548))),SUMIFS(Donnees_generations!$AI$3:$AI$113,Donnees_generations!$A$3:$A$113,MAX(1915,MIN(2025,E548))),SUMIFS(Donnees_generations!$AJ$3:$AJ$113,Donnees_generations!$A$3:$A$113,MAX(1915,MIN(2025,E548)))))/2</f>
        <v/>
      </c>
      <c r="AJ548" s="8">
        <f>MAX(0,AH548+(AI548-AH548)*(K548-AG548)/2)</f>
        <v/>
      </c>
      <c r="AK548" s="8">
        <f>K548+AJ548</f>
        <v/>
      </c>
      <c r="AL548" s="14">
        <f>AE548*AJ548</f>
        <v/>
      </c>
      <c r="AM548" s="17">
        <f>V548/AL548</f>
        <v/>
      </c>
      <c r="AN548" s="17">
        <f>Z548/AL548</f>
        <v/>
      </c>
      <c r="AO548" s="33">
        <f>IF(V548+Z548=0,0,Z548/(V548+Z548))</f>
        <v/>
      </c>
      <c r="AP548" s="14">
        <f>AL548/V548*100</f>
        <v/>
      </c>
      <c r="AQ548" s="8">
        <f>P548/AL548*1000</f>
        <v/>
      </c>
      <c r="AR548" s="77">
        <f>MAX(N548,M548-1)</f>
        <v/>
      </c>
      <c r="AS548" s="14">
        <f>SUMIFS(Donnees_regimes!$R$3:$R$1118,Donnees_regimes!$A$3:$A$1118,C548,Donnees_regimes!$B$3:$B$1118,"&gt;="&amp;G548,Donnees_regimes!$B$3:$B$1118,"&lt;="&amp;N548)*L548/ROUNDUP(L548,0)*SUMIFS(Donnees_annuelles!$AG$3:$AG$188,Donnees_annuelles!$A$3:$A$188,AR548)*SUMIFS(Donnees_annuelles!$AA$3:$AA$188,Donnees_annuelles!$A$3:$A$188,AR548)</f>
        <v/>
      </c>
      <c r="AT548" s="36">
        <f>AS548/V548</f>
        <v/>
      </c>
      <c r="AU548" s="14">
        <f>AL548</f>
        <v/>
      </c>
      <c r="AV548" s="39">
        <f>AS548-AL548</f>
        <v/>
      </c>
      <c r="AW548" s="9">
        <f>AS548/AL548-1</f>
        <v/>
      </c>
      <c r="AX548" s="14">
        <f>AS548/AJ548/12</f>
        <v/>
      </c>
      <c r="AY548" s="14">
        <f>AF548</f>
        <v/>
      </c>
      <c r="AZ548" s="39">
        <f>AX548-AF548</f>
        <v/>
      </c>
      <c r="BA548" s="14">
        <f>SUMIFS(Donnees_regimes!$S$3:$S$1118,Donnees_regimes!$A$3:$A$1118,C548,Donnees_regimes!$B$3:$B$1118,"&gt;="&amp;G548,Donnees_regimes!$B$3:$B$1118,"&lt;="&amp;N548)*L548/ROUNDUP(L548,0)*SUMIFS(Donnees_annuelles!$AH$3:$AH$188,Donnees_annuelles!$A$3:$A$188,AR548)*SUMIFS(Donnees_annuelles!$AA$3:$AA$188,Donnees_annuelles!$A$3:$A$188,AR548)</f>
        <v/>
      </c>
      <c r="BB548" s="39">
        <f>BA548-AL548</f>
        <v/>
      </c>
      <c r="BC548" s="7">
        <f>IF(M548+AJ548&gt;2026,IF(G548&gt;2026,"entièrement projeté","en partie projeté"),"observé")</f>
        <v/>
      </c>
    </row>
    <row r="549">
      <c r="A549" s="7" t="inlineStr">
        <is>
          <t>Génération Y</t>
        </is>
      </c>
      <c r="B549" s="84" t="inlineStr">
        <is>
          <t>IEG</t>
        </is>
      </c>
      <c r="C549" s="7">
        <f>IF(G549&gt;=SUMIFS(Regimes!$C$5:$C$10,Regimes!$A$5:$A$10,B549),"Privé",B549)</f>
        <v/>
      </c>
      <c r="D549" s="7">
        <f>INDEX(Regimes!$D$5:$D$10,MATCH(C549,Regimes!$A$5:$A$10,0))</f>
        <v/>
      </c>
      <c r="E549" s="88" t="n">
        <v>1984</v>
      </c>
      <c r="F549" s="8">
        <f>Donnees_generations!C72</f>
        <v/>
      </c>
      <c r="G549" s="77">
        <f>Donnees_generations!D72</f>
        <v/>
      </c>
      <c r="H549" s="8">
        <f>SUMIFS(Donnees_generations!$S$3:$S$113,Donnees_generations!$A$3:$A$113,MAX(1915,MIN(2025,E549)))</f>
        <v/>
      </c>
      <c r="I549" s="8">
        <f>SUMIFS(Donnees_generations!$T$3:$T$113,Donnees_generations!$A$3:$A$113,MAX(1915,MIN(2025,E549)))</f>
        <v/>
      </c>
      <c r="J549" s="8">
        <f>IF(G549&gt;=2000,MAX(I549,Parametres!$B$3),I549)</f>
        <v/>
      </c>
      <c r="K549" s="8">
        <f>IF(C549="Privé",J549,SUMIFS(Regles_regimes!$J$3:$J$2000,Regles_regimes!$A$3:$A$2000,C549,Regles_regimes!$B$3:$B$2000,D549,Regles_regimes!$C$3:$C$2000,MAX(1915,MIN(2025,E549))))</f>
        <v/>
      </c>
      <c r="L549" s="8">
        <f>IF(C549="Privé",H549,(K549-F549)*H549/(J549-F549))</f>
        <v/>
      </c>
      <c r="M549" s="77">
        <f>INT(E549+K549)</f>
        <v/>
      </c>
      <c r="N549" s="77">
        <f>G549+ROUNDUP(L549,0)-1</f>
        <v/>
      </c>
      <c r="O549" s="89">
        <f>SUMIFS(Regles_regimes!$K$3:$K$2000,Regles_regimes!$A$3:$A$2000,C549,Regles_regimes!$B$3:$B$2000,D549,Regles_regimes!$C$3:$C$2000,MAX(1915,MIN(2025,E549)))</f>
        <v/>
      </c>
      <c r="P549" s="13">
        <f>SUMIFS(Donnees_annuelles!$W$3:$W$188,Donnees_annuelles!$A$3:$A$188,"&gt;="&amp;G549,Donnees_annuelles!$A$3:$A$188,"&lt;="&amp;N549)*L549/ROUNDUP(L549,0)*O549</f>
        <v/>
      </c>
      <c r="Q549" s="13">
        <f>SUMIFS(Donnees_annuelles!$V$3:$V$188,Donnees_annuelles!$A$3:$A$188,"&gt;="&amp;G549,Donnees_annuelles!$A$3:$A$188,"&lt;="&amp;N549)*L549/ROUNDUP(L549,0)</f>
        <v/>
      </c>
      <c r="R549" s="13">
        <f>P549/L549</f>
        <v/>
      </c>
      <c r="S549" s="14">
        <f>SUMIFS(Donnees_annuelles!$D$3:$D$188,Donnees_annuelles!$A$3:$A$188,"&gt;="&amp;G549,Donnees_annuelles!$A$3:$A$188,"&lt;="&amp;N549)*L549/ROUNDUP(L549,0)</f>
        <v/>
      </c>
      <c r="T549" s="14">
        <f>SUMIFS(Donnees_regimes!$N$3:$N$1118,Donnees_regimes!$A$3:$A$1118,C549,Donnees_regimes!$B$3:$B$1118,"&gt;="&amp;G549,Donnees_regimes!$B$3:$B$1118,"&lt;="&amp;N549)*L549/ROUNDUP(L549,0)</f>
        <v/>
      </c>
      <c r="U549" s="14">
        <f>SUMIFS(Donnees_regimes!$O$3:$O$1118,Donnees_regimes!$A$3:$A$1118,C549,Donnees_regimes!$B$3:$B$1118,"&gt;="&amp;G549,Donnees_regimes!$B$3:$B$1118,"&lt;="&amp;N549)*L549/ROUNDUP(L549,0)</f>
        <v/>
      </c>
      <c r="V549" s="14">
        <f>T549+U549</f>
        <v/>
      </c>
      <c r="W549" s="33">
        <f>V549/S549</f>
        <v/>
      </c>
      <c r="X549" s="14">
        <f>S549+U549</f>
        <v/>
      </c>
      <c r="Y549" s="17">
        <f>V549/P549</f>
        <v/>
      </c>
      <c r="Z549" s="14">
        <f>SUMIFS(Donnees_regimes!$Q$3:$Q$1118,Donnees_regimes!$A$3:$A$1118,C549,Donnees_regimes!$B$3:$B$1118,"&gt;="&amp;G549,Donnees_regimes!$B$3:$B$1118,"&lt;="&amp;N549)*L549/ROUNDUP(L549,0)</f>
        <v/>
      </c>
      <c r="AA549" s="77">
        <f>SUMIFS(Regles_regimes!$F$3:$F$2000,Regles_regimes!$A$3:$A$2000,C549,Regles_regimes!$B$3:$B$2000,D549,Regles_regimes!$C$3:$C$2000,MAX(1915,MIN(2025,E549)))</f>
        <v/>
      </c>
      <c r="AB549" s="77">
        <f>IF(AND(SUMIFS(Regles_regimes!$L$3:$L$2000,Regles_regimes!$A$3:$A$2000,C549,Regles_regimes!$B$3:$B$2000,D549,Regles_regimes!$C$3:$C$2000,MAX(1915,MIN(2025,E549)))=1,G549&lt;2009,C549&lt;&gt;"Privé"),MIN(20,L549*4/5),0)</f>
        <v/>
      </c>
      <c r="AC549" s="89">
        <f>SUMIFS(Donnees_regimes!$M$3:$M$1118,Donnees_regimes!$A$3:$A$1118,C549,Donnees_regimes!$B$3:$B$1118,M549)</f>
        <v/>
      </c>
      <c r="AD549" s="14">
        <f>SUMIFS(Donnees_annuelles!$Y$3:$Y$188,Donnees_annuelles!$A$3:$A$188,M549)*SUMIFS(Donnees_generations!$I$3:$I$113,Donnees_generations!$A$3:$A$113,MAX(1915,MIN(2025,E549)))/H549</f>
        <v/>
      </c>
      <c r="AE549" s="14">
        <f>IF(C549="Privé",SUMIFS(Donnees_annuelles!$Y$3:$Y$188,Donnees_annuelles!$A$3:$A$188,M549)*MIN(L549,SUMIFS(Donnees_generations!$I$3:$I$113,Donnees_generations!$A$3:$A$113,MAX(1915,MIN(2025,E549))))/L549,AD549*AC549*MIN(IF(AB549&gt;0,0.8/0.75,1),(L549*4+AB549)/AA549))</f>
        <v/>
      </c>
      <c r="AF549" s="14">
        <f>AE549/12</f>
        <v/>
      </c>
      <c r="AG549" s="77">
        <f>MIN(68,MAX(56,2*INT(K549/2)))</f>
        <v/>
      </c>
      <c r="AH549" s="75">
        <f>(CHOOSE((AG549-56)/2+1,SUMIFS(Donnees_generations!$U$3:$U$113,Donnees_generations!$A$3:$A$113,MAX(1915,MIN(2025,E549))),SUMIFS(Donnees_generations!$V$3:$V$113,Donnees_generations!$A$3:$A$113,MAX(1915,MIN(2025,E549))),SUMIFS(Donnees_generations!$W$3:$W$113,Donnees_generations!$A$3:$A$113,MAX(1915,MIN(2025,E549))),SUMIFS(Donnees_generations!$X$3:$X$113,Donnees_generations!$A$3:$A$113,MAX(1915,MIN(2025,E549))),SUMIFS(Donnees_generations!$Y$3:$Y$113,Donnees_generations!$A$3:$A$113,MAX(1915,MIN(2025,E549))),SUMIFS(Donnees_generations!$Z$3:$Z$113,Donnees_generations!$A$3:$A$113,MAX(1915,MIN(2025,E549))),SUMIFS(Donnees_generations!$AA$3:$AA$113,Donnees_generations!$A$3:$A$113,MAX(1915,MIN(2025,E549))),SUMIFS(Donnees_generations!$AB$3:$AB$113,Donnees_generations!$A$3:$A$113,MAX(1915,MIN(2025,E549))))+CHOOSE((AG549-56)/2+1,SUMIFS(Donnees_generations!$AC$3:$AC$113,Donnees_generations!$A$3:$A$113,MAX(1915,MIN(2025,E549))),SUMIFS(Donnees_generations!$AD$3:$AD$113,Donnees_generations!$A$3:$A$113,MAX(1915,MIN(2025,E549))),SUMIFS(Donnees_generations!$AE$3:$AE$113,Donnees_generations!$A$3:$A$113,MAX(1915,MIN(2025,E549))),SUMIFS(Donnees_generations!$AF$3:$AF$113,Donnees_generations!$A$3:$A$113,MAX(1915,MIN(2025,E549))),SUMIFS(Donnees_generations!$AG$3:$AG$113,Donnees_generations!$A$3:$A$113,MAX(1915,MIN(2025,E549))),SUMIFS(Donnees_generations!$AH$3:$AH$113,Donnees_generations!$A$3:$A$113,MAX(1915,MIN(2025,E549))),SUMIFS(Donnees_generations!$AI$3:$AI$113,Donnees_generations!$A$3:$A$113,MAX(1915,MIN(2025,E549))),SUMIFS(Donnees_generations!$AJ$3:$AJ$113,Donnees_generations!$A$3:$A$113,MAX(1915,MIN(2025,E549)))))/2</f>
        <v/>
      </c>
      <c r="AI549" s="75">
        <f>(CHOOSE(((AG549+2)-56)/2+1,SUMIFS(Donnees_generations!$U$3:$U$113,Donnees_generations!$A$3:$A$113,MAX(1915,MIN(2025,E549))),SUMIFS(Donnees_generations!$V$3:$V$113,Donnees_generations!$A$3:$A$113,MAX(1915,MIN(2025,E549))),SUMIFS(Donnees_generations!$W$3:$W$113,Donnees_generations!$A$3:$A$113,MAX(1915,MIN(2025,E549))),SUMIFS(Donnees_generations!$X$3:$X$113,Donnees_generations!$A$3:$A$113,MAX(1915,MIN(2025,E549))),SUMIFS(Donnees_generations!$Y$3:$Y$113,Donnees_generations!$A$3:$A$113,MAX(1915,MIN(2025,E549))),SUMIFS(Donnees_generations!$Z$3:$Z$113,Donnees_generations!$A$3:$A$113,MAX(1915,MIN(2025,E549))),SUMIFS(Donnees_generations!$AA$3:$AA$113,Donnees_generations!$A$3:$A$113,MAX(1915,MIN(2025,E549))),SUMIFS(Donnees_generations!$AB$3:$AB$113,Donnees_generations!$A$3:$A$113,MAX(1915,MIN(2025,E549))))+CHOOSE(((AG549+2)-56)/2+1,SUMIFS(Donnees_generations!$AC$3:$AC$113,Donnees_generations!$A$3:$A$113,MAX(1915,MIN(2025,E549))),SUMIFS(Donnees_generations!$AD$3:$AD$113,Donnees_generations!$A$3:$A$113,MAX(1915,MIN(2025,E549))),SUMIFS(Donnees_generations!$AE$3:$AE$113,Donnees_generations!$A$3:$A$113,MAX(1915,MIN(2025,E549))),SUMIFS(Donnees_generations!$AF$3:$AF$113,Donnees_generations!$A$3:$A$113,MAX(1915,MIN(2025,E549))),SUMIFS(Donnees_generations!$AG$3:$AG$113,Donnees_generations!$A$3:$A$113,MAX(1915,MIN(2025,E549))),SUMIFS(Donnees_generations!$AH$3:$AH$113,Donnees_generations!$A$3:$A$113,MAX(1915,MIN(2025,E549))),SUMIFS(Donnees_generations!$AI$3:$AI$113,Donnees_generations!$A$3:$A$113,MAX(1915,MIN(2025,E549))),SUMIFS(Donnees_generations!$AJ$3:$AJ$113,Donnees_generations!$A$3:$A$113,MAX(1915,MIN(2025,E549)))))/2</f>
        <v/>
      </c>
      <c r="AJ549" s="8">
        <f>MAX(0,AH549+(AI549-AH549)*(K549-AG549)/2)</f>
        <v/>
      </c>
      <c r="AK549" s="8">
        <f>K549+AJ549</f>
        <v/>
      </c>
      <c r="AL549" s="14">
        <f>AE549*AJ549</f>
        <v/>
      </c>
      <c r="AM549" s="17">
        <f>V549/AL549</f>
        <v/>
      </c>
      <c r="AN549" s="17">
        <f>Z549/AL549</f>
        <v/>
      </c>
      <c r="AO549" s="33">
        <f>IF(V549+Z549=0,0,Z549/(V549+Z549))</f>
        <v/>
      </c>
      <c r="AP549" s="14">
        <f>AL549/V549*100</f>
        <v/>
      </c>
      <c r="AQ549" s="8">
        <f>P549/AL549*1000</f>
        <v/>
      </c>
      <c r="AR549" s="77">
        <f>MAX(N549,M549-1)</f>
        <v/>
      </c>
      <c r="AS549" s="14">
        <f>SUMIFS(Donnees_regimes!$R$3:$R$1118,Donnees_regimes!$A$3:$A$1118,C549,Donnees_regimes!$B$3:$B$1118,"&gt;="&amp;G549,Donnees_regimes!$B$3:$B$1118,"&lt;="&amp;N549)*L549/ROUNDUP(L549,0)*SUMIFS(Donnees_annuelles!$AG$3:$AG$188,Donnees_annuelles!$A$3:$A$188,AR549)*SUMIFS(Donnees_annuelles!$AA$3:$AA$188,Donnees_annuelles!$A$3:$A$188,AR549)</f>
        <v/>
      </c>
      <c r="AT549" s="36">
        <f>AS549/V549</f>
        <v/>
      </c>
      <c r="AU549" s="14">
        <f>AL549</f>
        <v/>
      </c>
      <c r="AV549" s="39">
        <f>AS549-AL549</f>
        <v/>
      </c>
      <c r="AW549" s="9">
        <f>AS549/AL549-1</f>
        <v/>
      </c>
      <c r="AX549" s="14">
        <f>AS549/AJ549/12</f>
        <v/>
      </c>
      <c r="AY549" s="14">
        <f>AF549</f>
        <v/>
      </c>
      <c r="AZ549" s="39">
        <f>AX549-AF549</f>
        <v/>
      </c>
      <c r="BA549" s="14">
        <f>SUMIFS(Donnees_regimes!$S$3:$S$1118,Donnees_regimes!$A$3:$A$1118,C549,Donnees_regimes!$B$3:$B$1118,"&gt;="&amp;G549,Donnees_regimes!$B$3:$B$1118,"&lt;="&amp;N549)*L549/ROUNDUP(L549,0)*SUMIFS(Donnees_annuelles!$AH$3:$AH$188,Donnees_annuelles!$A$3:$A$188,AR549)*SUMIFS(Donnees_annuelles!$AA$3:$AA$188,Donnees_annuelles!$A$3:$A$188,AR549)</f>
        <v/>
      </c>
      <c r="BB549" s="39">
        <f>BA549-AL549</f>
        <v/>
      </c>
      <c r="BC549" s="7">
        <f>IF(M549+AJ549&gt;2026,IF(G549&gt;2026,"entièrement projeté","en partie projeté"),"observé")</f>
        <v/>
      </c>
    </row>
    <row r="550">
      <c r="A550" s="7" t="inlineStr">
        <is>
          <t>Génération Y</t>
        </is>
      </c>
      <c r="B550" s="84" t="inlineStr">
        <is>
          <t>IEG</t>
        </is>
      </c>
      <c r="C550" s="7">
        <f>IF(G550&gt;=SUMIFS(Regimes!$C$5:$C$10,Regimes!$A$5:$A$10,B550),"Privé",B550)</f>
        <v/>
      </c>
      <c r="D550" s="7">
        <f>INDEX(Regimes!$D$5:$D$10,MATCH(C550,Regimes!$A$5:$A$10,0))</f>
        <v/>
      </c>
      <c r="E550" s="88" t="n">
        <v>1985</v>
      </c>
      <c r="F550" s="8">
        <f>Donnees_generations!C73</f>
        <v/>
      </c>
      <c r="G550" s="77">
        <f>Donnees_generations!D73</f>
        <v/>
      </c>
      <c r="H550" s="8">
        <f>SUMIFS(Donnees_generations!$S$3:$S$113,Donnees_generations!$A$3:$A$113,MAX(1915,MIN(2025,E550)))</f>
        <v/>
      </c>
      <c r="I550" s="8">
        <f>SUMIFS(Donnees_generations!$T$3:$T$113,Donnees_generations!$A$3:$A$113,MAX(1915,MIN(2025,E550)))</f>
        <v/>
      </c>
      <c r="J550" s="8">
        <f>IF(G550&gt;=2000,MAX(I550,Parametres!$B$3),I550)</f>
        <v/>
      </c>
      <c r="K550" s="8">
        <f>IF(C550="Privé",J550,SUMIFS(Regles_regimes!$J$3:$J$2000,Regles_regimes!$A$3:$A$2000,C550,Regles_regimes!$B$3:$B$2000,D550,Regles_regimes!$C$3:$C$2000,MAX(1915,MIN(2025,E550))))</f>
        <v/>
      </c>
      <c r="L550" s="8">
        <f>IF(C550="Privé",H550,(K550-F550)*H550/(J550-F550))</f>
        <v/>
      </c>
      <c r="M550" s="77">
        <f>INT(E550+K550)</f>
        <v/>
      </c>
      <c r="N550" s="77">
        <f>G550+ROUNDUP(L550,0)-1</f>
        <v/>
      </c>
      <c r="O550" s="89">
        <f>SUMIFS(Regles_regimes!$K$3:$K$2000,Regles_regimes!$A$3:$A$2000,C550,Regles_regimes!$B$3:$B$2000,D550,Regles_regimes!$C$3:$C$2000,MAX(1915,MIN(2025,E550)))</f>
        <v/>
      </c>
      <c r="P550" s="13">
        <f>SUMIFS(Donnees_annuelles!$W$3:$W$188,Donnees_annuelles!$A$3:$A$188,"&gt;="&amp;G550,Donnees_annuelles!$A$3:$A$188,"&lt;="&amp;N550)*L550/ROUNDUP(L550,0)*O550</f>
        <v/>
      </c>
      <c r="Q550" s="13">
        <f>SUMIFS(Donnees_annuelles!$V$3:$V$188,Donnees_annuelles!$A$3:$A$188,"&gt;="&amp;G550,Donnees_annuelles!$A$3:$A$188,"&lt;="&amp;N550)*L550/ROUNDUP(L550,0)</f>
        <v/>
      </c>
      <c r="R550" s="13">
        <f>P550/L550</f>
        <v/>
      </c>
      <c r="S550" s="14">
        <f>SUMIFS(Donnees_annuelles!$D$3:$D$188,Donnees_annuelles!$A$3:$A$188,"&gt;="&amp;G550,Donnees_annuelles!$A$3:$A$188,"&lt;="&amp;N550)*L550/ROUNDUP(L550,0)</f>
        <v/>
      </c>
      <c r="T550" s="14">
        <f>SUMIFS(Donnees_regimes!$N$3:$N$1118,Donnees_regimes!$A$3:$A$1118,C550,Donnees_regimes!$B$3:$B$1118,"&gt;="&amp;G550,Donnees_regimes!$B$3:$B$1118,"&lt;="&amp;N550)*L550/ROUNDUP(L550,0)</f>
        <v/>
      </c>
      <c r="U550" s="14">
        <f>SUMIFS(Donnees_regimes!$O$3:$O$1118,Donnees_regimes!$A$3:$A$1118,C550,Donnees_regimes!$B$3:$B$1118,"&gt;="&amp;G550,Donnees_regimes!$B$3:$B$1118,"&lt;="&amp;N550)*L550/ROUNDUP(L550,0)</f>
        <v/>
      </c>
      <c r="V550" s="14">
        <f>T550+U550</f>
        <v/>
      </c>
      <c r="W550" s="33">
        <f>V550/S550</f>
        <v/>
      </c>
      <c r="X550" s="14">
        <f>S550+U550</f>
        <v/>
      </c>
      <c r="Y550" s="17">
        <f>V550/P550</f>
        <v/>
      </c>
      <c r="Z550" s="14">
        <f>SUMIFS(Donnees_regimes!$Q$3:$Q$1118,Donnees_regimes!$A$3:$A$1118,C550,Donnees_regimes!$B$3:$B$1118,"&gt;="&amp;G550,Donnees_regimes!$B$3:$B$1118,"&lt;="&amp;N550)*L550/ROUNDUP(L550,0)</f>
        <v/>
      </c>
      <c r="AA550" s="77">
        <f>SUMIFS(Regles_regimes!$F$3:$F$2000,Regles_regimes!$A$3:$A$2000,C550,Regles_regimes!$B$3:$B$2000,D550,Regles_regimes!$C$3:$C$2000,MAX(1915,MIN(2025,E550)))</f>
        <v/>
      </c>
      <c r="AB550" s="77">
        <f>IF(AND(SUMIFS(Regles_regimes!$L$3:$L$2000,Regles_regimes!$A$3:$A$2000,C550,Regles_regimes!$B$3:$B$2000,D550,Regles_regimes!$C$3:$C$2000,MAX(1915,MIN(2025,E550)))=1,G550&lt;2009,C550&lt;&gt;"Privé"),MIN(20,L550*4/5),0)</f>
        <v/>
      </c>
      <c r="AC550" s="89">
        <f>SUMIFS(Donnees_regimes!$M$3:$M$1118,Donnees_regimes!$A$3:$A$1118,C550,Donnees_regimes!$B$3:$B$1118,M550)</f>
        <v/>
      </c>
      <c r="AD550" s="14">
        <f>SUMIFS(Donnees_annuelles!$Y$3:$Y$188,Donnees_annuelles!$A$3:$A$188,M550)*SUMIFS(Donnees_generations!$I$3:$I$113,Donnees_generations!$A$3:$A$113,MAX(1915,MIN(2025,E550)))/H550</f>
        <v/>
      </c>
      <c r="AE550" s="14">
        <f>IF(C550="Privé",SUMIFS(Donnees_annuelles!$Y$3:$Y$188,Donnees_annuelles!$A$3:$A$188,M550)*MIN(L550,SUMIFS(Donnees_generations!$I$3:$I$113,Donnees_generations!$A$3:$A$113,MAX(1915,MIN(2025,E550))))/L550,AD550*AC550*MIN(IF(AB550&gt;0,0.8/0.75,1),(L550*4+AB550)/AA550))</f>
        <v/>
      </c>
      <c r="AF550" s="14">
        <f>AE550/12</f>
        <v/>
      </c>
      <c r="AG550" s="77">
        <f>MIN(68,MAX(56,2*INT(K550/2)))</f>
        <v/>
      </c>
      <c r="AH550" s="75">
        <f>(CHOOSE((AG550-56)/2+1,SUMIFS(Donnees_generations!$U$3:$U$113,Donnees_generations!$A$3:$A$113,MAX(1915,MIN(2025,E550))),SUMIFS(Donnees_generations!$V$3:$V$113,Donnees_generations!$A$3:$A$113,MAX(1915,MIN(2025,E550))),SUMIFS(Donnees_generations!$W$3:$W$113,Donnees_generations!$A$3:$A$113,MAX(1915,MIN(2025,E550))),SUMIFS(Donnees_generations!$X$3:$X$113,Donnees_generations!$A$3:$A$113,MAX(1915,MIN(2025,E550))),SUMIFS(Donnees_generations!$Y$3:$Y$113,Donnees_generations!$A$3:$A$113,MAX(1915,MIN(2025,E550))),SUMIFS(Donnees_generations!$Z$3:$Z$113,Donnees_generations!$A$3:$A$113,MAX(1915,MIN(2025,E550))),SUMIFS(Donnees_generations!$AA$3:$AA$113,Donnees_generations!$A$3:$A$113,MAX(1915,MIN(2025,E550))),SUMIFS(Donnees_generations!$AB$3:$AB$113,Donnees_generations!$A$3:$A$113,MAX(1915,MIN(2025,E550))))+CHOOSE((AG550-56)/2+1,SUMIFS(Donnees_generations!$AC$3:$AC$113,Donnees_generations!$A$3:$A$113,MAX(1915,MIN(2025,E550))),SUMIFS(Donnees_generations!$AD$3:$AD$113,Donnees_generations!$A$3:$A$113,MAX(1915,MIN(2025,E550))),SUMIFS(Donnees_generations!$AE$3:$AE$113,Donnees_generations!$A$3:$A$113,MAX(1915,MIN(2025,E550))),SUMIFS(Donnees_generations!$AF$3:$AF$113,Donnees_generations!$A$3:$A$113,MAX(1915,MIN(2025,E550))),SUMIFS(Donnees_generations!$AG$3:$AG$113,Donnees_generations!$A$3:$A$113,MAX(1915,MIN(2025,E550))),SUMIFS(Donnees_generations!$AH$3:$AH$113,Donnees_generations!$A$3:$A$113,MAX(1915,MIN(2025,E550))),SUMIFS(Donnees_generations!$AI$3:$AI$113,Donnees_generations!$A$3:$A$113,MAX(1915,MIN(2025,E550))),SUMIFS(Donnees_generations!$AJ$3:$AJ$113,Donnees_generations!$A$3:$A$113,MAX(1915,MIN(2025,E550)))))/2</f>
        <v/>
      </c>
      <c r="AI550" s="75">
        <f>(CHOOSE(((AG550+2)-56)/2+1,SUMIFS(Donnees_generations!$U$3:$U$113,Donnees_generations!$A$3:$A$113,MAX(1915,MIN(2025,E550))),SUMIFS(Donnees_generations!$V$3:$V$113,Donnees_generations!$A$3:$A$113,MAX(1915,MIN(2025,E550))),SUMIFS(Donnees_generations!$W$3:$W$113,Donnees_generations!$A$3:$A$113,MAX(1915,MIN(2025,E550))),SUMIFS(Donnees_generations!$X$3:$X$113,Donnees_generations!$A$3:$A$113,MAX(1915,MIN(2025,E550))),SUMIFS(Donnees_generations!$Y$3:$Y$113,Donnees_generations!$A$3:$A$113,MAX(1915,MIN(2025,E550))),SUMIFS(Donnees_generations!$Z$3:$Z$113,Donnees_generations!$A$3:$A$113,MAX(1915,MIN(2025,E550))),SUMIFS(Donnees_generations!$AA$3:$AA$113,Donnees_generations!$A$3:$A$113,MAX(1915,MIN(2025,E550))),SUMIFS(Donnees_generations!$AB$3:$AB$113,Donnees_generations!$A$3:$A$113,MAX(1915,MIN(2025,E550))))+CHOOSE(((AG550+2)-56)/2+1,SUMIFS(Donnees_generations!$AC$3:$AC$113,Donnees_generations!$A$3:$A$113,MAX(1915,MIN(2025,E550))),SUMIFS(Donnees_generations!$AD$3:$AD$113,Donnees_generations!$A$3:$A$113,MAX(1915,MIN(2025,E550))),SUMIFS(Donnees_generations!$AE$3:$AE$113,Donnees_generations!$A$3:$A$113,MAX(1915,MIN(2025,E550))),SUMIFS(Donnees_generations!$AF$3:$AF$113,Donnees_generations!$A$3:$A$113,MAX(1915,MIN(2025,E550))),SUMIFS(Donnees_generations!$AG$3:$AG$113,Donnees_generations!$A$3:$A$113,MAX(1915,MIN(2025,E550))),SUMIFS(Donnees_generations!$AH$3:$AH$113,Donnees_generations!$A$3:$A$113,MAX(1915,MIN(2025,E550))),SUMIFS(Donnees_generations!$AI$3:$AI$113,Donnees_generations!$A$3:$A$113,MAX(1915,MIN(2025,E550))),SUMIFS(Donnees_generations!$AJ$3:$AJ$113,Donnees_generations!$A$3:$A$113,MAX(1915,MIN(2025,E550)))))/2</f>
        <v/>
      </c>
      <c r="AJ550" s="8">
        <f>MAX(0,AH550+(AI550-AH550)*(K550-AG550)/2)</f>
        <v/>
      </c>
      <c r="AK550" s="8">
        <f>K550+AJ550</f>
        <v/>
      </c>
      <c r="AL550" s="14">
        <f>AE550*AJ550</f>
        <v/>
      </c>
      <c r="AM550" s="17">
        <f>V550/AL550</f>
        <v/>
      </c>
      <c r="AN550" s="17">
        <f>Z550/AL550</f>
        <v/>
      </c>
      <c r="AO550" s="33">
        <f>IF(V550+Z550=0,0,Z550/(V550+Z550))</f>
        <v/>
      </c>
      <c r="AP550" s="14">
        <f>AL550/V550*100</f>
        <v/>
      </c>
      <c r="AQ550" s="8">
        <f>P550/AL550*1000</f>
        <v/>
      </c>
      <c r="AR550" s="77">
        <f>MAX(N550,M550-1)</f>
        <v/>
      </c>
      <c r="AS550" s="14">
        <f>SUMIFS(Donnees_regimes!$R$3:$R$1118,Donnees_regimes!$A$3:$A$1118,C550,Donnees_regimes!$B$3:$B$1118,"&gt;="&amp;G550,Donnees_regimes!$B$3:$B$1118,"&lt;="&amp;N550)*L550/ROUNDUP(L550,0)*SUMIFS(Donnees_annuelles!$AG$3:$AG$188,Donnees_annuelles!$A$3:$A$188,AR550)*SUMIFS(Donnees_annuelles!$AA$3:$AA$188,Donnees_annuelles!$A$3:$A$188,AR550)</f>
        <v/>
      </c>
      <c r="AT550" s="36">
        <f>AS550/V550</f>
        <v/>
      </c>
      <c r="AU550" s="14">
        <f>AL550</f>
        <v/>
      </c>
      <c r="AV550" s="39">
        <f>AS550-AL550</f>
        <v/>
      </c>
      <c r="AW550" s="9">
        <f>AS550/AL550-1</f>
        <v/>
      </c>
      <c r="AX550" s="14">
        <f>AS550/AJ550/12</f>
        <v/>
      </c>
      <c r="AY550" s="14">
        <f>AF550</f>
        <v/>
      </c>
      <c r="AZ550" s="39">
        <f>AX550-AF550</f>
        <v/>
      </c>
      <c r="BA550" s="14">
        <f>SUMIFS(Donnees_regimes!$S$3:$S$1118,Donnees_regimes!$A$3:$A$1118,C550,Donnees_regimes!$B$3:$B$1118,"&gt;="&amp;G550,Donnees_regimes!$B$3:$B$1118,"&lt;="&amp;N550)*L550/ROUNDUP(L550,0)*SUMIFS(Donnees_annuelles!$AH$3:$AH$188,Donnees_annuelles!$A$3:$A$188,AR550)*SUMIFS(Donnees_annuelles!$AA$3:$AA$188,Donnees_annuelles!$A$3:$A$188,AR550)</f>
        <v/>
      </c>
      <c r="BB550" s="39">
        <f>BA550-AL550</f>
        <v/>
      </c>
      <c r="BC550" s="7">
        <f>IF(M550+AJ550&gt;2026,IF(G550&gt;2026,"entièrement projeté","en partie projeté"),"observé")</f>
        <v/>
      </c>
    </row>
    <row r="551">
      <c r="A551" s="7" t="inlineStr">
        <is>
          <t>Génération Y</t>
        </is>
      </c>
      <c r="B551" s="84" t="inlineStr">
        <is>
          <t>IEG</t>
        </is>
      </c>
      <c r="C551" s="7">
        <f>IF(G551&gt;=SUMIFS(Regimes!$C$5:$C$10,Regimes!$A$5:$A$10,B551),"Privé",B551)</f>
        <v/>
      </c>
      <c r="D551" s="7">
        <f>INDEX(Regimes!$D$5:$D$10,MATCH(C551,Regimes!$A$5:$A$10,0))</f>
        <v/>
      </c>
      <c r="E551" s="88" t="n">
        <v>1986</v>
      </c>
      <c r="F551" s="8">
        <f>Donnees_generations!C74</f>
        <v/>
      </c>
      <c r="G551" s="77">
        <f>Donnees_generations!D74</f>
        <v/>
      </c>
      <c r="H551" s="8">
        <f>SUMIFS(Donnees_generations!$S$3:$S$113,Donnees_generations!$A$3:$A$113,MAX(1915,MIN(2025,E551)))</f>
        <v/>
      </c>
      <c r="I551" s="8">
        <f>SUMIFS(Donnees_generations!$T$3:$T$113,Donnees_generations!$A$3:$A$113,MAX(1915,MIN(2025,E551)))</f>
        <v/>
      </c>
      <c r="J551" s="8">
        <f>IF(G551&gt;=2000,MAX(I551,Parametres!$B$3),I551)</f>
        <v/>
      </c>
      <c r="K551" s="8">
        <f>IF(C551="Privé",J551,SUMIFS(Regles_regimes!$J$3:$J$2000,Regles_regimes!$A$3:$A$2000,C551,Regles_regimes!$B$3:$B$2000,D551,Regles_regimes!$C$3:$C$2000,MAX(1915,MIN(2025,E551))))</f>
        <v/>
      </c>
      <c r="L551" s="8">
        <f>IF(C551="Privé",H551,(K551-F551)*H551/(J551-F551))</f>
        <v/>
      </c>
      <c r="M551" s="77">
        <f>INT(E551+K551)</f>
        <v/>
      </c>
      <c r="N551" s="77">
        <f>G551+ROUNDUP(L551,0)-1</f>
        <v/>
      </c>
      <c r="O551" s="89">
        <f>SUMIFS(Regles_regimes!$K$3:$K$2000,Regles_regimes!$A$3:$A$2000,C551,Regles_regimes!$B$3:$B$2000,D551,Regles_regimes!$C$3:$C$2000,MAX(1915,MIN(2025,E551)))</f>
        <v/>
      </c>
      <c r="P551" s="13">
        <f>SUMIFS(Donnees_annuelles!$W$3:$W$188,Donnees_annuelles!$A$3:$A$188,"&gt;="&amp;G551,Donnees_annuelles!$A$3:$A$188,"&lt;="&amp;N551)*L551/ROUNDUP(L551,0)*O551</f>
        <v/>
      </c>
      <c r="Q551" s="13">
        <f>SUMIFS(Donnees_annuelles!$V$3:$V$188,Donnees_annuelles!$A$3:$A$188,"&gt;="&amp;G551,Donnees_annuelles!$A$3:$A$188,"&lt;="&amp;N551)*L551/ROUNDUP(L551,0)</f>
        <v/>
      </c>
      <c r="R551" s="13">
        <f>P551/L551</f>
        <v/>
      </c>
      <c r="S551" s="14">
        <f>SUMIFS(Donnees_annuelles!$D$3:$D$188,Donnees_annuelles!$A$3:$A$188,"&gt;="&amp;G551,Donnees_annuelles!$A$3:$A$188,"&lt;="&amp;N551)*L551/ROUNDUP(L551,0)</f>
        <v/>
      </c>
      <c r="T551" s="14">
        <f>SUMIFS(Donnees_regimes!$N$3:$N$1118,Donnees_regimes!$A$3:$A$1118,C551,Donnees_regimes!$B$3:$B$1118,"&gt;="&amp;G551,Donnees_regimes!$B$3:$B$1118,"&lt;="&amp;N551)*L551/ROUNDUP(L551,0)</f>
        <v/>
      </c>
      <c r="U551" s="14">
        <f>SUMIFS(Donnees_regimes!$O$3:$O$1118,Donnees_regimes!$A$3:$A$1118,C551,Donnees_regimes!$B$3:$B$1118,"&gt;="&amp;G551,Donnees_regimes!$B$3:$B$1118,"&lt;="&amp;N551)*L551/ROUNDUP(L551,0)</f>
        <v/>
      </c>
      <c r="V551" s="14">
        <f>T551+U551</f>
        <v/>
      </c>
      <c r="W551" s="33">
        <f>V551/S551</f>
        <v/>
      </c>
      <c r="X551" s="14">
        <f>S551+U551</f>
        <v/>
      </c>
      <c r="Y551" s="17">
        <f>V551/P551</f>
        <v/>
      </c>
      <c r="Z551" s="14">
        <f>SUMIFS(Donnees_regimes!$Q$3:$Q$1118,Donnees_regimes!$A$3:$A$1118,C551,Donnees_regimes!$B$3:$B$1118,"&gt;="&amp;G551,Donnees_regimes!$B$3:$B$1118,"&lt;="&amp;N551)*L551/ROUNDUP(L551,0)</f>
        <v/>
      </c>
      <c r="AA551" s="77">
        <f>SUMIFS(Regles_regimes!$F$3:$F$2000,Regles_regimes!$A$3:$A$2000,C551,Regles_regimes!$B$3:$B$2000,D551,Regles_regimes!$C$3:$C$2000,MAX(1915,MIN(2025,E551)))</f>
        <v/>
      </c>
      <c r="AB551" s="77">
        <f>IF(AND(SUMIFS(Regles_regimes!$L$3:$L$2000,Regles_regimes!$A$3:$A$2000,C551,Regles_regimes!$B$3:$B$2000,D551,Regles_regimes!$C$3:$C$2000,MAX(1915,MIN(2025,E551)))=1,G551&lt;2009,C551&lt;&gt;"Privé"),MIN(20,L551*4/5),0)</f>
        <v/>
      </c>
      <c r="AC551" s="89">
        <f>SUMIFS(Donnees_regimes!$M$3:$M$1118,Donnees_regimes!$A$3:$A$1118,C551,Donnees_regimes!$B$3:$B$1118,M551)</f>
        <v/>
      </c>
      <c r="AD551" s="14">
        <f>SUMIFS(Donnees_annuelles!$Y$3:$Y$188,Donnees_annuelles!$A$3:$A$188,M551)*SUMIFS(Donnees_generations!$I$3:$I$113,Donnees_generations!$A$3:$A$113,MAX(1915,MIN(2025,E551)))/H551</f>
        <v/>
      </c>
      <c r="AE551" s="14">
        <f>IF(C551="Privé",SUMIFS(Donnees_annuelles!$Y$3:$Y$188,Donnees_annuelles!$A$3:$A$188,M551)*MIN(L551,SUMIFS(Donnees_generations!$I$3:$I$113,Donnees_generations!$A$3:$A$113,MAX(1915,MIN(2025,E551))))/L551,AD551*AC551*MIN(IF(AB551&gt;0,0.8/0.75,1),(L551*4+AB551)/AA551))</f>
        <v/>
      </c>
      <c r="AF551" s="14">
        <f>AE551/12</f>
        <v/>
      </c>
      <c r="AG551" s="77">
        <f>MIN(68,MAX(56,2*INT(K551/2)))</f>
        <v/>
      </c>
      <c r="AH551" s="75">
        <f>(CHOOSE((AG551-56)/2+1,SUMIFS(Donnees_generations!$U$3:$U$113,Donnees_generations!$A$3:$A$113,MAX(1915,MIN(2025,E551))),SUMIFS(Donnees_generations!$V$3:$V$113,Donnees_generations!$A$3:$A$113,MAX(1915,MIN(2025,E551))),SUMIFS(Donnees_generations!$W$3:$W$113,Donnees_generations!$A$3:$A$113,MAX(1915,MIN(2025,E551))),SUMIFS(Donnees_generations!$X$3:$X$113,Donnees_generations!$A$3:$A$113,MAX(1915,MIN(2025,E551))),SUMIFS(Donnees_generations!$Y$3:$Y$113,Donnees_generations!$A$3:$A$113,MAX(1915,MIN(2025,E551))),SUMIFS(Donnees_generations!$Z$3:$Z$113,Donnees_generations!$A$3:$A$113,MAX(1915,MIN(2025,E551))),SUMIFS(Donnees_generations!$AA$3:$AA$113,Donnees_generations!$A$3:$A$113,MAX(1915,MIN(2025,E551))),SUMIFS(Donnees_generations!$AB$3:$AB$113,Donnees_generations!$A$3:$A$113,MAX(1915,MIN(2025,E551))))+CHOOSE((AG551-56)/2+1,SUMIFS(Donnees_generations!$AC$3:$AC$113,Donnees_generations!$A$3:$A$113,MAX(1915,MIN(2025,E551))),SUMIFS(Donnees_generations!$AD$3:$AD$113,Donnees_generations!$A$3:$A$113,MAX(1915,MIN(2025,E551))),SUMIFS(Donnees_generations!$AE$3:$AE$113,Donnees_generations!$A$3:$A$113,MAX(1915,MIN(2025,E551))),SUMIFS(Donnees_generations!$AF$3:$AF$113,Donnees_generations!$A$3:$A$113,MAX(1915,MIN(2025,E551))),SUMIFS(Donnees_generations!$AG$3:$AG$113,Donnees_generations!$A$3:$A$113,MAX(1915,MIN(2025,E551))),SUMIFS(Donnees_generations!$AH$3:$AH$113,Donnees_generations!$A$3:$A$113,MAX(1915,MIN(2025,E551))),SUMIFS(Donnees_generations!$AI$3:$AI$113,Donnees_generations!$A$3:$A$113,MAX(1915,MIN(2025,E551))),SUMIFS(Donnees_generations!$AJ$3:$AJ$113,Donnees_generations!$A$3:$A$113,MAX(1915,MIN(2025,E551)))))/2</f>
        <v/>
      </c>
      <c r="AI551" s="75">
        <f>(CHOOSE(((AG551+2)-56)/2+1,SUMIFS(Donnees_generations!$U$3:$U$113,Donnees_generations!$A$3:$A$113,MAX(1915,MIN(2025,E551))),SUMIFS(Donnees_generations!$V$3:$V$113,Donnees_generations!$A$3:$A$113,MAX(1915,MIN(2025,E551))),SUMIFS(Donnees_generations!$W$3:$W$113,Donnees_generations!$A$3:$A$113,MAX(1915,MIN(2025,E551))),SUMIFS(Donnees_generations!$X$3:$X$113,Donnees_generations!$A$3:$A$113,MAX(1915,MIN(2025,E551))),SUMIFS(Donnees_generations!$Y$3:$Y$113,Donnees_generations!$A$3:$A$113,MAX(1915,MIN(2025,E551))),SUMIFS(Donnees_generations!$Z$3:$Z$113,Donnees_generations!$A$3:$A$113,MAX(1915,MIN(2025,E551))),SUMIFS(Donnees_generations!$AA$3:$AA$113,Donnees_generations!$A$3:$A$113,MAX(1915,MIN(2025,E551))),SUMIFS(Donnees_generations!$AB$3:$AB$113,Donnees_generations!$A$3:$A$113,MAX(1915,MIN(2025,E551))))+CHOOSE(((AG551+2)-56)/2+1,SUMIFS(Donnees_generations!$AC$3:$AC$113,Donnees_generations!$A$3:$A$113,MAX(1915,MIN(2025,E551))),SUMIFS(Donnees_generations!$AD$3:$AD$113,Donnees_generations!$A$3:$A$113,MAX(1915,MIN(2025,E551))),SUMIFS(Donnees_generations!$AE$3:$AE$113,Donnees_generations!$A$3:$A$113,MAX(1915,MIN(2025,E551))),SUMIFS(Donnees_generations!$AF$3:$AF$113,Donnees_generations!$A$3:$A$113,MAX(1915,MIN(2025,E551))),SUMIFS(Donnees_generations!$AG$3:$AG$113,Donnees_generations!$A$3:$A$113,MAX(1915,MIN(2025,E551))),SUMIFS(Donnees_generations!$AH$3:$AH$113,Donnees_generations!$A$3:$A$113,MAX(1915,MIN(2025,E551))),SUMIFS(Donnees_generations!$AI$3:$AI$113,Donnees_generations!$A$3:$A$113,MAX(1915,MIN(2025,E551))),SUMIFS(Donnees_generations!$AJ$3:$AJ$113,Donnees_generations!$A$3:$A$113,MAX(1915,MIN(2025,E551)))))/2</f>
        <v/>
      </c>
      <c r="AJ551" s="8">
        <f>MAX(0,AH551+(AI551-AH551)*(K551-AG551)/2)</f>
        <v/>
      </c>
      <c r="AK551" s="8">
        <f>K551+AJ551</f>
        <v/>
      </c>
      <c r="AL551" s="14">
        <f>AE551*AJ551</f>
        <v/>
      </c>
      <c r="AM551" s="17">
        <f>V551/AL551</f>
        <v/>
      </c>
      <c r="AN551" s="17">
        <f>Z551/AL551</f>
        <v/>
      </c>
      <c r="AO551" s="33">
        <f>IF(V551+Z551=0,0,Z551/(V551+Z551))</f>
        <v/>
      </c>
      <c r="AP551" s="14">
        <f>AL551/V551*100</f>
        <v/>
      </c>
      <c r="AQ551" s="8">
        <f>P551/AL551*1000</f>
        <v/>
      </c>
      <c r="AR551" s="77">
        <f>MAX(N551,M551-1)</f>
        <v/>
      </c>
      <c r="AS551" s="14">
        <f>SUMIFS(Donnees_regimes!$R$3:$R$1118,Donnees_regimes!$A$3:$A$1118,C551,Donnees_regimes!$B$3:$B$1118,"&gt;="&amp;G551,Donnees_regimes!$B$3:$B$1118,"&lt;="&amp;N551)*L551/ROUNDUP(L551,0)*SUMIFS(Donnees_annuelles!$AG$3:$AG$188,Donnees_annuelles!$A$3:$A$188,AR551)*SUMIFS(Donnees_annuelles!$AA$3:$AA$188,Donnees_annuelles!$A$3:$A$188,AR551)</f>
        <v/>
      </c>
      <c r="AT551" s="36">
        <f>AS551/V551</f>
        <v/>
      </c>
      <c r="AU551" s="14">
        <f>AL551</f>
        <v/>
      </c>
      <c r="AV551" s="39">
        <f>AS551-AL551</f>
        <v/>
      </c>
      <c r="AW551" s="9">
        <f>AS551/AL551-1</f>
        <v/>
      </c>
      <c r="AX551" s="14">
        <f>AS551/AJ551/12</f>
        <v/>
      </c>
      <c r="AY551" s="14">
        <f>AF551</f>
        <v/>
      </c>
      <c r="AZ551" s="39">
        <f>AX551-AF551</f>
        <v/>
      </c>
      <c r="BA551" s="14">
        <f>SUMIFS(Donnees_regimes!$S$3:$S$1118,Donnees_regimes!$A$3:$A$1118,C551,Donnees_regimes!$B$3:$B$1118,"&gt;="&amp;G551,Donnees_regimes!$B$3:$B$1118,"&lt;="&amp;N551)*L551/ROUNDUP(L551,0)*SUMIFS(Donnees_annuelles!$AH$3:$AH$188,Donnees_annuelles!$A$3:$A$188,AR551)*SUMIFS(Donnees_annuelles!$AA$3:$AA$188,Donnees_annuelles!$A$3:$A$188,AR551)</f>
        <v/>
      </c>
      <c r="BB551" s="39">
        <f>BA551-AL551</f>
        <v/>
      </c>
      <c r="BC551" s="7">
        <f>IF(M551+AJ551&gt;2026,IF(G551&gt;2026,"entièrement projeté","en partie projeté"),"observé")</f>
        <v/>
      </c>
    </row>
    <row r="552">
      <c r="A552" s="7" t="inlineStr">
        <is>
          <t>Génération Y</t>
        </is>
      </c>
      <c r="B552" s="84" t="inlineStr">
        <is>
          <t>IEG</t>
        </is>
      </c>
      <c r="C552" s="7">
        <f>IF(G552&gt;=SUMIFS(Regimes!$C$5:$C$10,Regimes!$A$5:$A$10,B552),"Privé",B552)</f>
        <v/>
      </c>
      <c r="D552" s="7">
        <f>INDEX(Regimes!$D$5:$D$10,MATCH(C552,Regimes!$A$5:$A$10,0))</f>
        <v/>
      </c>
      <c r="E552" s="88" t="n">
        <v>1987</v>
      </c>
      <c r="F552" s="8">
        <f>Donnees_generations!C75</f>
        <v/>
      </c>
      <c r="G552" s="77">
        <f>Donnees_generations!D75</f>
        <v/>
      </c>
      <c r="H552" s="8">
        <f>SUMIFS(Donnees_generations!$S$3:$S$113,Donnees_generations!$A$3:$A$113,MAX(1915,MIN(2025,E552)))</f>
        <v/>
      </c>
      <c r="I552" s="8">
        <f>SUMIFS(Donnees_generations!$T$3:$T$113,Donnees_generations!$A$3:$A$113,MAX(1915,MIN(2025,E552)))</f>
        <v/>
      </c>
      <c r="J552" s="8">
        <f>IF(G552&gt;=2000,MAX(I552,Parametres!$B$3),I552)</f>
        <v/>
      </c>
      <c r="K552" s="8">
        <f>IF(C552="Privé",J552,SUMIFS(Regles_regimes!$J$3:$J$2000,Regles_regimes!$A$3:$A$2000,C552,Regles_regimes!$B$3:$B$2000,D552,Regles_regimes!$C$3:$C$2000,MAX(1915,MIN(2025,E552))))</f>
        <v/>
      </c>
      <c r="L552" s="8">
        <f>IF(C552="Privé",H552,(K552-F552)*H552/(J552-F552))</f>
        <v/>
      </c>
      <c r="M552" s="77">
        <f>INT(E552+K552)</f>
        <v/>
      </c>
      <c r="N552" s="77">
        <f>G552+ROUNDUP(L552,0)-1</f>
        <v/>
      </c>
      <c r="O552" s="89">
        <f>SUMIFS(Regles_regimes!$K$3:$K$2000,Regles_regimes!$A$3:$A$2000,C552,Regles_regimes!$B$3:$B$2000,D552,Regles_regimes!$C$3:$C$2000,MAX(1915,MIN(2025,E552)))</f>
        <v/>
      </c>
      <c r="P552" s="13">
        <f>SUMIFS(Donnees_annuelles!$W$3:$W$188,Donnees_annuelles!$A$3:$A$188,"&gt;="&amp;G552,Donnees_annuelles!$A$3:$A$188,"&lt;="&amp;N552)*L552/ROUNDUP(L552,0)*O552</f>
        <v/>
      </c>
      <c r="Q552" s="13">
        <f>SUMIFS(Donnees_annuelles!$V$3:$V$188,Donnees_annuelles!$A$3:$A$188,"&gt;="&amp;G552,Donnees_annuelles!$A$3:$A$188,"&lt;="&amp;N552)*L552/ROUNDUP(L552,0)</f>
        <v/>
      </c>
      <c r="R552" s="13">
        <f>P552/L552</f>
        <v/>
      </c>
      <c r="S552" s="14">
        <f>SUMIFS(Donnees_annuelles!$D$3:$D$188,Donnees_annuelles!$A$3:$A$188,"&gt;="&amp;G552,Donnees_annuelles!$A$3:$A$188,"&lt;="&amp;N552)*L552/ROUNDUP(L552,0)</f>
        <v/>
      </c>
      <c r="T552" s="14">
        <f>SUMIFS(Donnees_regimes!$N$3:$N$1118,Donnees_regimes!$A$3:$A$1118,C552,Donnees_regimes!$B$3:$B$1118,"&gt;="&amp;G552,Donnees_regimes!$B$3:$B$1118,"&lt;="&amp;N552)*L552/ROUNDUP(L552,0)</f>
        <v/>
      </c>
      <c r="U552" s="14">
        <f>SUMIFS(Donnees_regimes!$O$3:$O$1118,Donnees_regimes!$A$3:$A$1118,C552,Donnees_regimes!$B$3:$B$1118,"&gt;="&amp;G552,Donnees_regimes!$B$3:$B$1118,"&lt;="&amp;N552)*L552/ROUNDUP(L552,0)</f>
        <v/>
      </c>
      <c r="V552" s="14">
        <f>T552+U552</f>
        <v/>
      </c>
      <c r="W552" s="33">
        <f>V552/S552</f>
        <v/>
      </c>
      <c r="X552" s="14">
        <f>S552+U552</f>
        <v/>
      </c>
      <c r="Y552" s="17">
        <f>V552/P552</f>
        <v/>
      </c>
      <c r="Z552" s="14">
        <f>SUMIFS(Donnees_regimes!$Q$3:$Q$1118,Donnees_regimes!$A$3:$A$1118,C552,Donnees_regimes!$B$3:$B$1118,"&gt;="&amp;G552,Donnees_regimes!$B$3:$B$1118,"&lt;="&amp;N552)*L552/ROUNDUP(L552,0)</f>
        <v/>
      </c>
      <c r="AA552" s="77">
        <f>SUMIFS(Regles_regimes!$F$3:$F$2000,Regles_regimes!$A$3:$A$2000,C552,Regles_regimes!$B$3:$B$2000,D552,Regles_regimes!$C$3:$C$2000,MAX(1915,MIN(2025,E552)))</f>
        <v/>
      </c>
      <c r="AB552" s="77">
        <f>IF(AND(SUMIFS(Regles_regimes!$L$3:$L$2000,Regles_regimes!$A$3:$A$2000,C552,Regles_regimes!$B$3:$B$2000,D552,Regles_regimes!$C$3:$C$2000,MAX(1915,MIN(2025,E552)))=1,G552&lt;2009,C552&lt;&gt;"Privé"),MIN(20,L552*4/5),0)</f>
        <v/>
      </c>
      <c r="AC552" s="89">
        <f>SUMIFS(Donnees_regimes!$M$3:$M$1118,Donnees_regimes!$A$3:$A$1118,C552,Donnees_regimes!$B$3:$B$1118,M552)</f>
        <v/>
      </c>
      <c r="AD552" s="14">
        <f>SUMIFS(Donnees_annuelles!$Y$3:$Y$188,Donnees_annuelles!$A$3:$A$188,M552)*SUMIFS(Donnees_generations!$I$3:$I$113,Donnees_generations!$A$3:$A$113,MAX(1915,MIN(2025,E552)))/H552</f>
        <v/>
      </c>
      <c r="AE552" s="14">
        <f>IF(C552="Privé",SUMIFS(Donnees_annuelles!$Y$3:$Y$188,Donnees_annuelles!$A$3:$A$188,M552)*MIN(L552,SUMIFS(Donnees_generations!$I$3:$I$113,Donnees_generations!$A$3:$A$113,MAX(1915,MIN(2025,E552))))/L552,AD552*AC552*MIN(IF(AB552&gt;0,0.8/0.75,1),(L552*4+AB552)/AA552))</f>
        <v/>
      </c>
      <c r="AF552" s="14">
        <f>AE552/12</f>
        <v/>
      </c>
      <c r="AG552" s="77">
        <f>MIN(68,MAX(56,2*INT(K552/2)))</f>
        <v/>
      </c>
      <c r="AH552" s="75">
        <f>(CHOOSE((AG552-56)/2+1,SUMIFS(Donnees_generations!$U$3:$U$113,Donnees_generations!$A$3:$A$113,MAX(1915,MIN(2025,E552))),SUMIFS(Donnees_generations!$V$3:$V$113,Donnees_generations!$A$3:$A$113,MAX(1915,MIN(2025,E552))),SUMIFS(Donnees_generations!$W$3:$W$113,Donnees_generations!$A$3:$A$113,MAX(1915,MIN(2025,E552))),SUMIFS(Donnees_generations!$X$3:$X$113,Donnees_generations!$A$3:$A$113,MAX(1915,MIN(2025,E552))),SUMIFS(Donnees_generations!$Y$3:$Y$113,Donnees_generations!$A$3:$A$113,MAX(1915,MIN(2025,E552))),SUMIFS(Donnees_generations!$Z$3:$Z$113,Donnees_generations!$A$3:$A$113,MAX(1915,MIN(2025,E552))),SUMIFS(Donnees_generations!$AA$3:$AA$113,Donnees_generations!$A$3:$A$113,MAX(1915,MIN(2025,E552))),SUMIFS(Donnees_generations!$AB$3:$AB$113,Donnees_generations!$A$3:$A$113,MAX(1915,MIN(2025,E552))))+CHOOSE((AG552-56)/2+1,SUMIFS(Donnees_generations!$AC$3:$AC$113,Donnees_generations!$A$3:$A$113,MAX(1915,MIN(2025,E552))),SUMIFS(Donnees_generations!$AD$3:$AD$113,Donnees_generations!$A$3:$A$113,MAX(1915,MIN(2025,E552))),SUMIFS(Donnees_generations!$AE$3:$AE$113,Donnees_generations!$A$3:$A$113,MAX(1915,MIN(2025,E552))),SUMIFS(Donnees_generations!$AF$3:$AF$113,Donnees_generations!$A$3:$A$113,MAX(1915,MIN(2025,E552))),SUMIFS(Donnees_generations!$AG$3:$AG$113,Donnees_generations!$A$3:$A$113,MAX(1915,MIN(2025,E552))),SUMIFS(Donnees_generations!$AH$3:$AH$113,Donnees_generations!$A$3:$A$113,MAX(1915,MIN(2025,E552))),SUMIFS(Donnees_generations!$AI$3:$AI$113,Donnees_generations!$A$3:$A$113,MAX(1915,MIN(2025,E552))),SUMIFS(Donnees_generations!$AJ$3:$AJ$113,Donnees_generations!$A$3:$A$113,MAX(1915,MIN(2025,E552)))))/2</f>
        <v/>
      </c>
      <c r="AI552" s="75">
        <f>(CHOOSE(((AG552+2)-56)/2+1,SUMIFS(Donnees_generations!$U$3:$U$113,Donnees_generations!$A$3:$A$113,MAX(1915,MIN(2025,E552))),SUMIFS(Donnees_generations!$V$3:$V$113,Donnees_generations!$A$3:$A$113,MAX(1915,MIN(2025,E552))),SUMIFS(Donnees_generations!$W$3:$W$113,Donnees_generations!$A$3:$A$113,MAX(1915,MIN(2025,E552))),SUMIFS(Donnees_generations!$X$3:$X$113,Donnees_generations!$A$3:$A$113,MAX(1915,MIN(2025,E552))),SUMIFS(Donnees_generations!$Y$3:$Y$113,Donnees_generations!$A$3:$A$113,MAX(1915,MIN(2025,E552))),SUMIFS(Donnees_generations!$Z$3:$Z$113,Donnees_generations!$A$3:$A$113,MAX(1915,MIN(2025,E552))),SUMIFS(Donnees_generations!$AA$3:$AA$113,Donnees_generations!$A$3:$A$113,MAX(1915,MIN(2025,E552))),SUMIFS(Donnees_generations!$AB$3:$AB$113,Donnees_generations!$A$3:$A$113,MAX(1915,MIN(2025,E552))))+CHOOSE(((AG552+2)-56)/2+1,SUMIFS(Donnees_generations!$AC$3:$AC$113,Donnees_generations!$A$3:$A$113,MAX(1915,MIN(2025,E552))),SUMIFS(Donnees_generations!$AD$3:$AD$113,Donnees_generations!$A$3:$A$113,MAX(1915,MIN(2025,E552))),SUMIFS(Donnees_generations!$AE$3:$AE$113,Donnees_generations!$A$3:$A$113,MAX(1915,MIN(2025,E552))),SUMIFS(Donnees_generations!$AF$3:$AF$113,Donnees_generations!$A$3:$A$113,MAX(1915,MIN(2025,E552))),SUMIFS(Donnees_generations!$AG$3:$AG$113,Donnees_generations!$A$3:$A$113,MAX(1915,MIN(2025,E552))),SUMIFS(Donnees_generations!$AH$3:$AH$113,Donnees_generations!$A$3:$A$113,MAX(1915,MIN(2025,E552))),SUMIFS(Donnees_generations!$AI$3:$AI$113,Donnees_generations!$A$3:$A$113,MAX(1915,MIN(2025,E552))),SUMIFS(Donnees_generations!$AJ$3:$AJ$113,Donnees_generations!$A$3:$A$113,MAX(1915,MIN(2025,E552)))))/2</f>
        <v/>
      </c>
      <c r="AJ552" s="8">
        <f>MAX(0,AH552+(AI552-AH552)*(K552-AG552)/2)</f>
        <v/>
      </c>
      <c r="AK552" s="8">
        <f>K552+AJ552</f>
        <v/>
      </c>
      <c r="AL552" s="14">
        <f>AE552*AJ552</f>
        <v/>
      </c>
      <c r="AM552" s="17">
        <f>V552/AL552</f>
        <v/>
      </c>
      <c r="AN552" s="17">
        <f>Z552/AL552</f>
        <v/>
      </c>
      <c r="AO552" s="33">
        <f>IF(V552+Z552=0,0,Z552/(V552+Z552))</f>
        <v/>
      </c>
      <c r="AP552" s="14">
        <f>AL552/V552*100</f>
        <v/>
      </c>
      <c r="AQ552" s="8">
        <f>P552/AL552*1000</f>
        <v/>
      </c>
      <c r="AR552" s="77">
        <f>MAX(N552,M552-1)</f>
        <v/>
      </c>
      <c r="AS552" s="14">
        <f>SUMIFS(Donnees_regimes!$R$3:$R$1118,Donnees_regimes!$A$3:$A$1118,C552,Donnees_regimes!$B$3:$B$1118,"&gt;="&amp;G552,Donnees_regimes!$B$3:$B$1118,"&lt;="&amp;N552)*L552/ROUNDUP(L552,0)*SUMIFS(Donnees_annuelles!$AG$3:$AG$188,Donnees_annuelles!$A$3:$A$188,AR552)*SUMIFS(Donnees_annuelles!$AA$3:$AA$188,Donnees_annuelles!$A$3:$A$188,AR552)</f>
        <v/>
      </c>
      <c r="AT552" s="36">
        <f>AS552/V552</f>
        <v/>
      </c>
      <c r="AU552" s="14">
        <f>AL552</f>
        <v/>
      </c>
      <c r="AV552" s="39">
        <f>AS552-AL552</f>
        <v/>
      </c>
      <c r="AW552" s="9">
        <f>AS552/AL552-1</f>
        <v/>
      </c>
      <c r="AX552" s="14">
        <f>AS552/AJ552/12</f>
        <v/>
      </c>
      <c r="AY552" s="14">
        <f>AF552</f>
        <v/>
      </c>
      <c r="AZ552" s="39">
        <f>AX552-AF552</f>
        <v/>
      </c>
      <c r="BA552" s="14">
        <f>SUMIFS(Donnees_regimes!$S$3:$S$1118,Donnees_regimes!$A$3:$A$1118,C552,Donnees_regimes!$B$3:$B$1118,"&gt;="&amp;G552,Donnees_regimes!$B$3:$B$1118,"&lt;="&amp;N552)*L552/ROUNDUP(L552,0)*SUMIFS(Donnees_annuelles!$AH$3:$AH$188,Donnees_annuelles!$A$3:$A$188,AR552)*SUMIFS(Donnees_annuelles!$AA$3:$AA$188,Donnees_annuelles!$A$3:$A$188,AR552)</f>
        <v/>
      </c>
      <c r="BB552" s="39">
        <f>BA552-AL552</f>
        <v/>
      </c>
      <c r="BC552" s="7">
        <f>IF(M552+AJ552&gt;2026,IF(G552&gt;2026,"entièrement projeté","en partie projeté"),"observé")</f>
        <v/>
      </c>
    </row>
    <row r="553">
      <c r="A553" s="7" t="inlineStr">
        <is>
          <t>Génération Y</t>
        </is>
      </c>
      <c r="B553" s="84" t="inlineStr">
        <is>
          <t>IEG</t>
        </is>
      </c>
      <c r="C553" s="7">
        <f>IF(G553&gt;=SUMIFS(Regimes!$C$5:$C$10,Regimes!$A$5:$A$10,B553),"Privé",B553)</f>
        <v/>
      </c>
      <c r="D553" s="7">
        <f>INDEX(Regimes!$D$5:$D$10,MATCH(C553,Regimes!$A$5:$A$10,0))</f>
        <v/>
      </c>
      <c r="E553" s="88" t="n">
        <v>1988</v>
      </c>
      <c r="F553" s="8">
        <f>Donnees_generations!C76</f>
        <v/>
      </c>
      <c r="G553" s="77">
        <f>Donnees_generations!D76</f>
        <v/>
      </c>
      <c r="H553" s="8">
        <f>SUMIFS(Donnees_generations!$S$3:$S$113,Donnees_generations!$A$3:$A$113,MAX(1915,MIN(2025,E553)))</f>
        <v/>
      </c>
      <c r="I553" s="8">
        <f>SUMIFS(Donnees_generations!$T$3:$T$113,Donnees_generations!$A$3:$A$113,MAX(1915,MIN(2025,E553)))</f>
        <v/>
      </c>
      <c r="J553" s="8">
        <f>IF(G553&gt;=2000,MAX(I553,Parametres!$B$3),I553)</f>
        <v/>
      </c>
      <c r="K553" s="8">
        <f>IF(C553="Privé",J553,SUMIFS(Regles_regimes!$J$3:$J$2000,Regles_regimes!$A$3:$A$2000,C553,Regles_regimes!$B$3:$B$2000,D553,Regles_regimes!$C$3:$C$2000,MAX(1915,MIN(2025,E553))))</f>
        <v/>
      </c>
      <c r="L553" s="8">
        <f>IF(C553="Privé",H553,(K553-F553)*H553/(J553-F553))</f>
        <v/>
      </c>
      <c r="M553" s="77">
        <f>INT(E553+K553)</f>
        <v/>
      </c>
      <c r="N553" s="77">
        <f>G553+ROUNDUP(L553,0)-1</f>
        <v/>
      </c>
      <c r="O553" s="89">
        <f>SUMIFS(Regles_regimes!$K$3:$K$2000,Regles_regimes!$A$3:$A$2000,C553,Regles_regimes!$B$3:$B$2000,D553,Regles_regimes!$C$3:$C$2000,MAX(1915,MIN(2025,E553)))</f>
        <v/>
      </c>
      <c r="P553" s="13">
        <f>SUMIFS(Donnees_annuelles!$W$3:$W$188,Donnees_annuelles!$A$3:$A$188,"&gt;="&amp;G553,Donnees_annuelles!$A$3:$A$188,"&lt;="&amp;N553)*L553/ROUNDUP(L553,0)*O553</f>
        <v/>
      </c>
      <c r="Q553" s="13">
        <f>SUMIFS(Donnees_annuelles!$V$3:$V$188,Donnees_annuelles!$A$3:$A$188,"&gt;="&amp;G553,Donnees_annuelles!$A$3:$A$188,"&lt;="&amp;N553)*L553/ROUNDUP(L553,0)</f>
        <v/>
      </c>
      <c r="R553" s="13">
        <f>P553/L553</f>
        <v/>
      </c>
      <c r="S553" s="14">
        <f>SUMIFS(Donnees_annuelles!$D$3:$D$188,Donnees_annuelles!$A$3:$A$188,"&gt;="&amp;G553,Donnees_annuelles!$A$3:$A$188,"&lt;="&amp;N553)*L553/ROUNDUP(L553,0)</f>
        <v/>
      </c>
      <c r="T553" s="14">
        <f>SUMIFS(Donnees_regimes!$N$3:$N$1118,Donnees_regimes!$A$3:$A$1118,C553,Donnees_regimes!$B$3:$B$1118,"&gt;="&amp;G553,Donnees_regimes!$B$3:$B$1118,"&lt;="&amp;N553)*L553/ROUNDUP(L553,0)</f>
        <v/>
      </c>
      <c r="U553" s="14">
        <f>SUMIFS(Donnees_regimes!$O$3:$O$1118,Donnees_regimes!$A$3:$A$1118,C553,Donnees_regimes!$B$3:$B$1118,"&gt;="&amp;G553,Donnees_regimes!$B$3:$B$1118,"&lt;="&amp;N553)*L553/ROUNDUP(L553,0)</f>
        <v/>
      </c>
      <c r="V553" s="14">
        <f>T553+U553</f>
        <v/>
      </c>
      <c r="W553" s="33">
        <f>V553/S553</f>
        <v/>
      </c>
      <c r="X553" s="14">
        <f>S553+U553</f>
        <v/>
      </c>
      <c r="Y553" s="17">
        <f>V553/P553</f>
        <v/>
      </c>
      <c r="Z553" s="14">
        <f>SUMIFS(Donnees_regimes!$Q$3:$Q$1118,Donnees_regimes!$A$3:$A$1118,C553,Donnees_regimes!$B$3:$B$1118,"&gt;="&amp;G553,Donnees_regimes!$B$3:$B$1118,"&lt;="&amp;N553)*L553/ROUNDUP(L553,0)</f>
        <v/>
      </c>
      <c r="AA553" s="77">
        <f>SUMIFS(Regles_regimes!$F$3:$F$2000,Regles_regimes!$A$3:$A$2000,C553,Regles_regimes!$B$3:$B$2000,D553,Regles_regimes!$C$3:$C$2000,MAX(1915,MIN(2025,E553)))</f>
        <v/>
      </c>
      <c r="AB553" s="77">
        <f>IF(AND(SUMIFS(Regles_regimes!$L$3:$L$2000,Regles_regimes!$A$3:$A$2000,C553,Regles_regimes!$B$3:$B$2000,D553,Regles_regimes!$C$3:$C$2000,MAX(1915,MIN(2025,E553)))=1,G553&lt;2009,C553&lt;&gt;"Privé"),MIN(20,L553*4/5),0)</f>
        <v/>
      </c>
      <c r="AC553" s="89">
        <f>SUMIFS(Donnees_regimes!$M$3:$M$1118,Donnees_regimes!$A$3:$A$1118,C553,Donnees_regimes!$B$3:$B$1118,M553)</f>
        <v/>
      </c>
      <c r="AD553" s="14">
        <f>SUMIFS(Donnees_annuelles!$Y$3:$Y$188,Donnees_annuelles!$A$3:$A$188,M553)*SUMIFS(Donnees_generations!$I$3:$I$113,Donnees_generations!$A$3:$A$113,MAX(1915,MIN(2025,E553)))/H553</f>
        <v/>
      </c>
      <c r="AE553" s="14">
        <f>IF(C553="Privé",SUMIFS(Donnees_annuelles!$Y$3:$Y$188,Donnees_annuelles!$A$3:$A$188,M553)*MIN(L553,SUMIFS(Donnees_generations!$I$3:$I$113,Donnees_generations!$A$3:$A$113,MAX(1915,MIN(2025,E553))))/L553,AD553*AC553*MIN(IF(AB553&gt;0,0.8/0.75,1),(L553*4+AB553)/AA553))</f>
        <v/>
      </c>
      <c r="AF553" s="14">
        <f>AE553/12</f>
        <v/>
      </c>
      <c r="AG553" s="77">
        <f>MIN(68,MAX(56,2*INT(K553/2)))</f>
        <v/>
      </c>
      <c r="AH553" s="75">
        <f>(CHOOSE((AG553-56)/2+1,SUMIFS(Donnees_generations!$U$3:$U$113,Donnees_generations!$A$3:$A$113,MAX(1915,MIN(2025,E553))),SUMIFS(Donnees_generations!$V$3:$V$113,Donnees_generations!$A$3:$A$113,MAX(1915,MIN(2025,E553))),SUMIFS(Donnees_generations!$W$3:$W$113,Donnees_generations!$A$3:$A$113,MAX(1915,MIN(2025,E553))),SUMIFS(Donnees_generations!$X$3:$X$113,Donnees_generations!$A$3:$A$113,MAX(1915,MIN(2025,E553))),SUMIFS(Donnees_generations!$Y$3:$Y$113,Donnees_generations!$A$3:$A$113,MAX(1915,MIN(2025,E553))),SUMIFS(Donnees_generations!$Z$3:$Z$113,Donnees_generations!$A$3:$A$113,MAX(1915,MIN(2025,E553))),SUMIFS(Donnees_generations!$AA$3:$AA$113,Donnees_generations!$A$3:$A$113,MAX(1915,MIN(2025,E553))),SUMIFS(Donnees_generations!$AB$3:$AB$113,Donnees_generations!$A$3:$A$113,MAX(1915,MIN(2025,E553))))+CHOOSE((AG553-56)/2+1,SUMIFS(Donnees_generations!$AC$3:$AC$113,Donnees_generations!$A$3:$A$113,MAX(1915,MIN(2025,E553))),SUMIFS(Donnees_generations!$AD$3:$AD$113,Donnees_generations!$A$3:$A$113,MAX(1915,MIN(2025,E553))),SUMIFS(Donnees_generations!$AE$3:$AE$113,Donnees_generations!$A$3:$A$113,MAX(1915,MIN(2025,E553))),SUMIFS(Donnees_generations!$AF$3:$AF$113,Donnees_generations!$A$3:$A$113,MAX(1915,MIN(2025,E553))),SUMIFS(Donnees_generations!$AG$3:$AG$113,Donnees_generations!$A$3:$A$113,MAX(1915,MIN(2025,E553))),SUMIFS(Donnees_generations!$AH$3:$AH$113,Donnees_generations!$A$3:$A$113,MAX(1915,MIN(2025,E553))),SUMIFS(Donnees_generations!$AI$3:$AI$113,Donnees_generations!$A$3:$A$113,MAX(1915,MIN(2025,E553))),SUMIFS(Donnees_generations!$AJ$3:$AJ$113,Donnees_generations!$A$3:$A$113,MAX(1915,MIN(2025,E553)))))/2</f>
        <v/>
      </c>
      <c r="AI553" s="75">
        <f>(CHOOSE(((AG553+2)-56)/2+1,SUMIFS(Donnees_generations!$U$3:$U$113,Donnees_generations!$A$3:$A$113,MAX(1915,MIN(2025,E553))),SUMIFS(Donnees_generations!$V$3:$V$113,Donnees_generations!$A$3:$A$113,MAX(1915,MIN(2025,E553))),SUMIFS(Donnees_generations!$W$3:$W$113,Donnees_generations!$A$3:$A$113,MAX(1915,MIN(2025,E553))),SUMIFS(Donnees_generations!$X$3:$X$113,Donnees_generations!$A$3:$A$113,MAX(1915,MIN(2025,E553))),SUMIFS(Donnees_generations!$Y$3:$Y$113,Donnees_generations!$A$3:$A$113,MAX(1915,MIN(2025,E553))),SUMIFS(Donnees_generations!$Z$3:$Z$113,Donnees_generations!$A$3:$A$113,MAX(1915,MIN(2025,E553))),SUMIFS(Donnees_generations!$AA$3:$AA$113,Donnees_generations!$A$3:$A$113,MAX(1915,MIN(2025,E553))),SUMIFS(Donnees_generations!$AB$3:$AB$113,Donnees_generations!$A$3:$A$113,MAX(1915,MIN(2025,E553))))+CHOOSE(((AG553+2)-56)/2+1,SUMIFS(Donnees_generations!$AC$3:$AC$113,Donnees_generations!$A$3:$A$113,MAX(1915,MIN(2025,E553))),SUMIFS(Donnees_generations!$AD$3:$AD$113,Donnees_generations!$A$3:$A$113,MAX(1915,MIN(2025,E553))),SUMIFS(Donnees_generations!$AE$3:$AE$113,Donnees_generations!$A$3:$A$113,MAX(1915,MIN(2025,E553))),SUMIFS(Donnees_generations!$AF$3:$AF$113,Donnees_generations!$A$3:$A$113,MAX(1915,MIN(2025,E553))),SUMIFS(Donnees_generations!$AG$3:$AG$113,Donnees_generations!$A$3:$A$113,MAX(1915,MIN(2025,E553))),SUMIFS(Donnees_generations!$AH$3:$AH$113,Donnees_generations!$A$3:$A$113,MAX(1915,MIN(2025,E553))),SUMIFS(Donnees_generations!$AI$3:$AI$113,Donnees_generations!$A$3:$A$113,MAX(1915,MIN(2025,E553))),SUMIFS(Donnees_generations!$AJ$3:$AJ$113,Donnees_generations!$A$3:$A$113,MAX(1915,MIN(2025,E553)))))/2</f>
        <v/>
      </c>
      <c r="AJ553" s="8">
        <f>MAX(0,AH553+(AI553-AH553)*(K553-AG553)/2)</f>
        <v/>
      </c>
      <c r="AK553" s="8">
        <f>K553+AJ553</f>
        <v/>
      </c>
      <c r="AL553" s="14">
        <f>AE553*AJ553</f>
        <v/>
      </c>
      <c r="AM553" s="17">
        <f>V553/AL553</f>
        <v/>
      </c>
      <c r="AN553" s="17">
        <f>Z553/AL553</f>
        <v/>
      </c>
      <c r="AO553" s="33">
        <f>IF(V553+Z553=0,0,Z553/(V553+Z553))</f>
        <v/>
      </c>
      <c r="AP553" s="14">
        <f>AL553/V553*100</f>
        <v/>
      </c>
      <c r="AQ553" s="8">
        <f>P553/AL553*1000</f>
        <v/>
      </c>
      <c r="AR553" s="77">
        <f>MAX(N553,M553-1)</f>
        <v/>
      </c>
      <c r="AS553" s="14">
        <f>SUMIFS(Donnees_regimes!$R$3:$R$1118,Donnees_regimes!$A$3:$A$1118,C553,Donnees_regimes!$B$3:$B$1118,"&gt;="&amp;G553,Donnees_regimes!$B$3:$B$1118,"&lt;="&amp;N553)*L553/ROUNDUP(L553,0)*SUMIFS(Donnees_annuelles!$AG$3:$AG$188,Donnees_annuelles!$A$3:$A$188,AR553)*SUMIFS(Donnees_annuelles!$AA$3:$AA$188,Donnees_annuelles!$A$3:$A$188,AR553)</f>
        <v/>
      </c>
      <c r="AT553" s="36">
        <f>AS553/V553</f>
        <v/>
      </c>
      <c r="AU553" s="14">
        <f>AL553</f>
        <v/>
      </c>
      <c r="AV553" s="39">
        <f>AS553-AL553</f>
        <v/>
      </c>
      <c r="AW553" s="9">
        <f>AS553/AL553-1</f>
        <v/>
      </c>
      <c r="AX553" s="14">
        <f>AS553/AJ553/12</f>
        <v/>
      </c>
      <c r="AY553" s="14">
        <f>AF553</f>
        <v/>
      </c>
      <c r="AZ553" s="39">
        <f>AX553-AF553</f>
        <v/>
      </c>
      <c r="BA553" s="14">
        <f>SUMIFS(Donnees_regimes!$S$3:$S$1118,Donnees_regimes!$A$3:$A$1118,C553,Donnees_regimes!$B$3:$B$1118,"&gt;="&amp;G553,Donnees_regimes!$B$3:$B$1118,"&lt;="&amp;N553)*L553/ROUNDUP(L553,0)*SUMIFS(Donnees_annuelles!$AH$3:$AH$188,Donnees_annuelles!$A$3:$A$188,AR553)*SUMIFS(Donnees_annuelles!$AA$3:$AA$188,Donnees_annuelles!$A$3:$A$188,AR553)</f>
        <v/>
      </c>
      <c r="BB553" s="39">
        <f>BA553-AL553</f>
        <v/>
      </c>
      <c r="BC553" s="7">
        <f>IF(M553+AJ553&gt;2026,IF(G553&gt;2026,"entièrement projeté","en partie projeté"),"observé")</f>
        <v/>
      </c>
    </row>
    <row r="554">
      <c r="A554" s="7" t="inlineStr">
        <is>
          <t>Génération Y</t>
        </is>
      </c>
      <c r="B554" s="84" t="inlineStr">
        <is>
          <t>IEG</t>
        </is>
      </c>
      <c r="C554" s="7">
        <f>IF(G554&gt;=SUMIFS(Regimes!$C$5:$C$10,Regimes!$A$5:$A$10,B554),"Privé",B554)</f>
        <v/>
      </c>
      <c r="D554" s="7">
        <f>INDEX(Regimes!$D$5:$D$10,MATCH(C554,Regimes!$A$5:$A$10,0))</f>
        <v/>
      </c>
      <c r="E554" s="88" t="n">
        <v>1989</v>
      </c>
      <c r="F554" s="8">
        <f>Donnees_generations!C77</f>
        <v/>
      </c>
      <c r="G554" s="77">
        <f>Donnees_generations!D77</f>
        <v/>
      </c>
      <c r="H554" s="8">
        <f>SUMIFS(Donnees_generations!$S$3:$S$113,Donnees_generations!$A$3:$A$113,MAX(1915,MIN(2025,E554)))</f>
        <v/>
      </c>
      <c r="I554" s="8">
        <f>SUMIFS(Donnees_generations!$T$3:$T$113,Donnees_generations!$A$3:$A$113,MAX(1915,MIN(2025,E554)))</f>
        <v/>
      </c>
      <c r="J554" s="8">
        <f>IF(G554&gt;=2000,MAX(I554,Parametres!$B$3),I554)</f>
        <v/>
      </c>
      <c r="K554" s="8">
        <f>IF(C554="Privé",J554,SUMIFS(Regles_regimes!$J$3:$J$2000,Regles_regimes!$A$3:$A$2000,C554,Regles_regimes!$B$3:$B$2000,D554,Regles_regimes!$C$3:$C$2000,MAX(1915,MIN(2025,E554))))</f>
        <v/>
      </c>
      <c r="L554" s="8">
        <f>IF(C554="Privé",H554,(K554-F554)*H554/(J554-F554))</f>
        <v/>
      </c>
      <c r="M554" s="77">
        <f>INT(E554+K554)</f>
        <v/>
      </c>
      <c r="N554" s="77">
        <f>G554+ROUNDUP(L554,0)-1</f>
        <v/>
      </c>
      <c r="O554" s="89">
        <f>SUMIFS(Regles_regimes!$K$3:$K$2000,Regles_regimes!$A$3:$A$2000,C554,Regles_regimes!$B$3:$B$2000,D554,Regles_regimes!$C$3:$C$2000,MAX(1915,MIN(2025,E554)))</f>
        <v/>
      </c>
      <c r="P554" s="13">
        <f>SUMIFS(Donnees_annuelles!$W$3:$W$188,Donnees_annuelles!$A$3:$A$188,"&gt;="&amp;G554,Donnees_annuelles!$A$3:$A$188,"&lt;="&amp;N554)*L554/ROUNDUP(L554,0)*O554</f>
        <v/>
      </c>
      <c r="Q554" s="13">
        <f>SUMIFS(Donnees_annuelles!$V$3:$V$188,Donnees_annuelles!$A$3:$A$188,"&gt;="&amp;G554,Donnees_annuelles!$A$3:$A$188,"&lt;="&amp;N554)*L554/ROUNDUP(L554,0)</f>
        <v/>
      </c>
      <c r="R554" s="13">
        <f>P554/L554</f>
        <v/>
      </c>
      <c r="S554" s="14">
        <f>SUMIFS(Donnees_annuelles!$D$3:$D$188,Donnees_annuelles!$A$3:$A$188,"&gt;="&amp;G554,Donnees_annuelles!$A$3:$A$188,"&lt;="&amp;N554)*L554/ROUNDUP(L554,0)</f>
        <v/>
      </c>
      <c r="T554" s="14">
        <f>SUMIFS(Donnees_regimes!$N$3:$N$1118,Donnees_regimes!$A$3:$A$1118,C554,Donnees_regimes!$B$3:$B$1118,"&gt;="&amp;G554,Donnees_regimes!$B$3:$B$1118,"&lt;="&amp;N554)*L554/ROUNDUP(L554,0)</f>
        <v/>
      </c>
      <c r="U554" s="14">
        <f>SUMIFS(Donnees_regimes!$O$3:$O$1118,Donnees_regimes!$A$3:$A$1118,C554,Donnees_regimes!$B$3:$B$1118,"&gt;="&amp;G554,Donnees_regimes!$B$3:$B$1118,"&lt;="&amp;N554)*L554/ROUNDUP(L554,0)</f>
        <v/>
      </c>
      <c r="V554" s="14">
        <f>T554+U554</f>
        <v/>
      </c>
      <c r="W554" s="33">
        <f>V554/S554</f>
        <v/>
      </c>
      <c r="X554" s="14">
        <f>S554+U554</f>
        <v/>
      </c>
      <c r="Y554" s="17">
        <f>V554/P554</f>
        <v/>
      </c>
      <c r="Z554" s="14">
        <f>SUMIFS(Donnees_regimes!$Q$3:$Q$1118,Donnees_regimes!$A$3:$A$1118,C554,Donnees_regimes!$B$3:$B$1118,"&gt;="&amp;G554,Donnees_regimes!$B$3:$B$1118,"&lt;="&amp;N554)*L554/ROUNDUP(L554,0)</f>
        <v/>
      </c>
      <c r="AA554" s="77">
        <f>SUMIFS(Regles_regimes!$F$3:$F$2000,Regles_regimes!$A$3:$A$2000,C554,Regles_regimes!$B$3:$B$2000,D554,Regles_regimes!$C$3:$C$2000,MAX(1915,MIN(2025,E554)))</f>
        <v/>
      </c>
      <c r="AB554" s="77">
        <f>IF(AND(SUMIFS(Regles_regimes!$L$3:$L$2000,Regles_regimes!$A$3:$A$2000,C554,Regles_regimes!$B$3:$B$2000,D554,Regles_regimes!$C$3:$C$2000,MAX(1915,MIN(2025,E554)))=1,G554&lt;2009,C554&lt;&gt;"Privé"),MIN(20,L554*4/5),0)</f>
        <v/>
      </c>
      <c r="AC554" s="89">
        <f>SUMIFS(Donnees_regimes!$M$3:$M$1118,Donnees_regimes!$A$3:$A$1118,C554,Donnees_regimes!$B$3:$B$1118,M554)</f>
        <v/>
      </c>
      <c r="AD554" s="14">
        <f>SUMIFS(Donnees_annuelles!$Y$3:$Y$188,Donnees_annuelles!$A$3:$A$188,M554)*SUMIFS(Donnees_generations!$I$3:$I$113,Donnees_generations!$A$3:$A$113,MAX(1915,MIN(2025,E554)))/H554</f>
        <v/>
      </c>
      <c r="AE554" s="14">
        <f>IF(C554="Privé",SUMIFS(Donnees_annuelles!$Y$3:$Y$188,Donnees_annuelles!$A$3:$A$188,M554)*MIN(L554,SUMIFS(Donnees_generations!$I$3:$I$113,Donnees_generations!$A$3:$A$113,MAX(1915,MIN(2025,E554))))/L554,AD554*AC554*MIN(IF(AB554&gt;0,0.8/0.75,1),(L554*4+AB554)/AA554))</f>
        <v/>
      </c>
      <c r="AF554" s="14">
        <f>AE554/12</f>
        <v/>
      </c>
      <c r="AG554" s="77">
        <f>MIN(68,MAX(56,2*INT(K554/2)))</f>
        <v/>
      </c>
      <c r="AH554" s="75">
        <f>(CHOOSE((AG554-56)/2+1,SUMIFS(Donnees_generations!$U$3:$U$113,Donnees_generations!$A$3:$A$113,MAX(1915,MIN(2025,E554))),SUMIFS(Donnees_generations!$V$3:$V$113,Donnees_generations!$A$3:$A$113,MAX(1915,MIN(2025,E554))),SUMIFS(Donnees_generations!$W$3:$W$113,Donnees_generations!$A$3:$A$113,MAX(1915,MIN(2025,E554))),SUMIFS(Donnees_generations!$X$3:$X$113,Donnees_generations!$A$3:$A$113,MAX(1915,MIN(2025,E554))),SUMIFS(Donnees_generations!$Y$3:$Y$113,Donnees_generations!$A$3:$A$113,MAX(1915,MIN(2025,E554))),SUMIFS(Donnees_generations!$Z$3:$Z$113,Donnees_generations!$A$3:$A$113,MAX(1915,MIN(2025,E554))),SUMIFS(Donnees_generations!$AA$3:$AA$113,Donnees_generations!$A$3:$A$113,MAX(1915,MIN(2025,E554))),SUMIFS(Donnees_generations!$AB$3:$AB$113,Donnees_generations!$A$3:$A$113,MAX(1915,MIN(2025,E554))))+CHOOSE((AG554-56)/2+1,SUMIFS(Donnees_generations!$AC$3:$AC$113,Donnees_generations!$A$3:$A$113,MAX(1915,MIN(2025,E554))),SUMIFS(Donnees_generations!$AD$3:$AD$113,Donnees_generations!$A$3:$A$113,MAX(1915,MIN(2025,E554))),SUMIFS(Donnees_generations!$AE$3:$AE$113,Donnees_generations!$A$3:$A$113,MAX(1915,MIN(2025,E554))),SUMIFS(Donnees_generations!$AF$3:$AF$113,Donnees_generations!$A$3:$A$113,MAX(1915,MIN(2025,E554))),SUMIFS(Donnees_generations!$AG$3:$AG$113,Donnees_generations!$A$3:$A$113,MAX(1915,MIN(2025,E554))),SUMIFS(Donnees_generations!$AH$3:$AH$113,Donnees_generations!$A$3:$A$113,MAX(1915,MIN(2025,E554))),SUMIFS(Donnees_generations!$AI$3:$AI$113,Donnees_generations!$A$3:$A$113,MAX(1915,MIN(2025,E554))),SUMIFS(Donnees_generations!$AJ$3:$AJ$113,Donnees_generations!$A$3:$A$113,MAX(1915,MIN(2025,E554)))))/2</f>
        <v/>
      </c>
      <c r="AI554" s="75">
        <f>(CHOOSE(((AG554+2)-56)/2+1,SUMIFS(Donnees_generations!$U$3:$U$113,Donnees_generations!$A$3:$A$113,MAX(1915,MIN(2025,E554))),SUMIFS(Donnees_generations!$V$3:$V$113,Donnees_generations!$A$3:$A$113,MAX(1915,MIN(2025,E554))),SUMIFS(Donnees_generations!$W$3:$W$113,Donnees_generations!$A$3:$A$113,MAX(1915,MIN(2025,E554))),SUMIFS(Donnees_generations!$X$3:$X$113,Donnees_generations!$A$3:$A$113,MAX(1915,MIN(2025,E554))),SUMIFS(Donnees_generations!$Y$3:$Y$113,Donnees_generations!$A$3:$A$113,MAX(1915,MIN(2025,E554))),SUMIFS(Donnees_generations!$Z$3:$Z$113,Donnees_generations!$A$3:$A$113,MAX(1915,MIN(2025,E554))),SUMIFS(Donnees_generations!$AA$3:$AA$113,Donnees_generations!$A$3:$A$113,MAX(1915,MIN(2025,E554))),SUMIFS(Donnees_generations!$AB$3:$AB$113,Donnees_generations!$A$3:$A$113,MAX(1915,MIN(2025,E554))))+CHOOSE(((AG554+2)-56)/2+1,SUMIFS(Donnees_generations!$AC$3:$AC$113,Donnees_generations!$A$3:$A$113,MAX(1915,MIN(2025,E554))),SUMIFS(Donnees_generations!$AD$3:$AD$113,Donnees_generations!$A$3:$A$113,MAX(1915,MIN(2025,E554))),SUMIFS(Donnees_generations!$AE$3:$AE$113,Donnees_generations!$A$3:$A$113,MAX(1915,MIN(2025,E554))),SUMIFS(Donnees_generations!$AF$3:$AF$113,Donnees_generations!$A$3:$A$113,MAX(1915,MIN(2025,E554))),SUMIFS(Donnees_generations!$AG$3:$AG$113,Donnees_generations!$A$3:$A$113,MAX(1915,MIN(2025,E554))),SUMIFS(Donnees_generations!$AH$3:$AH$113,Donnees_generations!$A$3:$A$113,MAX(1915,MIN(2025,E554))),SUMIFS(Donnees_generations!$AI$3:$AI$113,Donnees_generations!$A$3:$A$113,MAX(1915,MIN(2025,E554))),SUMIFS(Donnees_generations!$AJ$3:$AJ$113,Donnees_generations!$A$3:$A$113,MAX(1915,MIN(2025,E554)))))/2</f>
        <v/>
      </c>
      <c r="AJ554" s="8">
        <f>MAX(0,AH554+(AI554-AH554)*(K554-AG554)/2)</f>
        <v/>
      </c>
      <c r="AK554" s="8">
        <f>K554+AJ554</f>
        <v/>
      </c>
      <c r="AL554" s="14">
        <f>AE554*AJ554</f>
        <v/>
      </c>
      <c r="AM554" s="17">
        <f>V554/AL554</f>
        <v/>
      </c>
      <c r="AN554" s="17">
        <f>Z554/AL554</f>
        <v/>
      </c>
      <c r="AO554" s="33">
        <f>IF(V554+Z554=0,0,Z554/(V554+Z554))</f>
        <v/>
      </c>
      <c r="AP554" s="14">
        <f>AL554/V554*100</f>
        <v/>
      </c>
      <c r="AQ554" s="8">
        <f>P554/AL554*1000</f>
        <v/>
      </c>
      <c r="AR554" s="77">
        <f>MAX(N554,M554-1)</f>
        <v/>
      </c>
      <c r="AS554" s="14">
        <f>SUMIFS(Donnees_regimes!$R$3:$R$1118,Donnees_regimes!$A$3:$A$1118,C554,Donnees_regimes!$B$3:$B$1118,"&gt;="&amp;G554,Donnees_regimes!$B$3:$B$1118,"&lt;="&amp;N554)*L554/ROUNDUP(L554,0)*SUMIFS(Donnees_annuelles!$AG$3:$AG$188,Donnees_annuelles!$A$3:$A$188,AR554)*SUMIFS(Donnees_annuelles!$AA$3:$AA$188,Donnees_annuelles!$A$3:$A$188,AR554)</f>
        <v/>
      </c>
      <c r="AT554" s="36">
        <f>AS554/V554</f>
        <v/>
      </c>
      <c r="AU554" s="14">
        <f>AL554</f>
        <v/>
      </c>
      <c r="AV554" s="39">
        <f>AS554-AL554</f>
        <v/>
      </c>
      <c r="AW554" s="9">
        <f>AS554/AL554-1</f>
        <v/>
      </c>
      <c r="AX554" s="14">
        <f>AS554/AJ554/12</f>
        <v/>
      </c>
      <c r="AY554" s="14">
        <f>AF554</f>
        <v/>
      </c>
      <c r="AZ554" s="39">
        <f>AX554-AF554</f>
        <v/>
      </c>
      <c r="BA554" s="14">
        <f>SUMIFS(Donnees_regimes!$S$3:$S$1118,Donnees_regimes!$A$3:$A$1118,C554,Donnees_regimes!$B$3:$B$1118,"&gt;="&amp;G554,Donnees_regimes!$B$3:$B$1118,"&lt;="&amp;N554)*L554/ROUNDUP(L554,0)*SUMIFS(Donnees_annuelles!$AH$3:$AH$188,Donnees_annuelles!$A$3:$A$188,AR554)*SUMIFS(Donnees_annuelles!$AA$3:$AA$188,Donnees_annuelles!$A$3:$A$188,AR554)</f>
        <v/>
      </c>
      <c r="BB554" s="39">
        <f>BA554-AL554</f>
        <v/>
      </c>
      <c r="BC554" s="7">
        <f>IF(M554+AJ554&gt;2026,IF(G554&gt;2026,"entièrement projeté","en partie projeté"),"observé")</f>
        <v/>
      </c>
    </row>
    <row r="555">
      <c r="A555" s="7" t="inlineStr">
        <is>
          <t>Génération Y</t>
        </is>
      </c>
      <c r="B555" s="84" t="inlineStr">
        <is>
          <t>IEG</t>
        </is>
      </c>
      <c r="C555" s="7">
        <f>IF(G555&gt;=SUMIFS(Regimes!$C$5:$C$10,Regimes!$A$5:$A$10,B555),"Privé",B555)</f>
        <v/>
      </c>
      <c r="D555" s="7">
        <f>INDEX(Regimes!$D$5:$D$10,MATCH(C555,Regimes!$A$5:$A$10,0))</f>
        <v/>
      </c>
      <c r="E555" s="88" t="n">
        <v>1990</v>
      </c>
      <c r="F555" s="8">
        <f>Donnees_generations!C78</f>
        <v/>
      </c>
      <c r="G555" s="77">
        <f>Donnees_generations!D78</f>
        <v/>
      </c>
      <c r="H555" s="8">
        <f>SUMIFS(Donnees_generations!$S$3:$S$113,Donnees_generations!$A$3:$A$113,MAX(1915,MIN(2025,E555)))</f>
        <v/>
      </c>
      <c r="I555" s="8">
        <f>SUMIFS(Donnees_generations!$T$3:$T$113,Donnees_generations!$A$3:$A$113,MAX(1915,MIN(2025,E555)))</f>
        <v/>
      </c>
      <c r="J555" s="8">
        <f>IF(G555&gt;=2000,MAX(I555,Parametres!$B$3),I555)</f>
        <v/>
      </c>
      <c r="K555" s="8">
        <f>IF(C555="Privé",J555,SUMIFS(Regles_regimes!$J$3:$J$2000,Regles_regimes!$A$3:$A$2000,C555,Regles_regimes!$B$3:$B$2000,D555,Regles_regimes!$C$3:$C$2000,MAX(1915,MIN(2025,E555))))</f>
        <v/>
      </c>
      <c r="L555" s="8">
        <f>IF(C555="Privé",H555,(K555-F555)*H555/(J555-F555))</f>
        <v/>
      </c>
      <c r="M555" s="77">
        <f>INT(E555+K555)</f>
        <v/>
      </c>
      <c r="N555" s="77">
        <f>G555+ROUNDUP(L555,0)-1</f>
        <v/>
      </c>
      <c r="O555" s="89">
        <f>SUMIFS(Regles_regimes!$K$3:$K$2000,Regles_regimes!$A$3:$A$2000,C555,Regles_regimes!$B$3:$B$2000,D555,Regles_regimes!$C$3:$C$2000,MAX(1915,MIN(2025,E555)))</f>
        <v/>
      </c>
      <c r="P555" s="13">
        <f>SUMIFS(Donnees_annuelles!$W$3:$W$188,Donnees_annuelles!$A$3:$A$188,"&gt;="&amp;G555,Donnees_annuelles!$A$3:$A$188,"&lt;="&amp;N555)*L555/ROUNDUP(L555,0)*O555</f>
        <v/>
      </c>
      <c r="Q555" s="13">
        <f>SUMIFS(Donnees_annuelles!$V$3:$V$188,Donnees_annuelles!$A$3:$A$188,"&gt;="&amp;G555,Donnees_annuelles!$A$3:$A$188,"&lt;="&amp;N555)*L555/ROUNDUP(L555,0)</f>
        <v/>
      </c>
      <c r="R555" s="13">
        <f>P555/L555</f>
        <v/>
      </c>
      <c r="S555" s="14">
        <f>SUMIFS(Donnees_annuelles!$D$3:$D$188,Donnees_annuelles!$A$3:$A$188,"&gt;="&amp;G555,Donnees_annuelles!$A$3:$A$188,"&lt;="&amp;N555)*L555/ROUNDUP(L555,0)</f>
        <v/>
      </c>
      <c r="T555" s="14">
        <f>SUMIFS(Donnees_regimes!$N$3:$N$1118,Donnees_regimes!$A$3:$A$1118,C555,Donnees_regimes!$B$3:$B$1118,"&gt;="&amp;G555,Donnees_regimes!$B$3:$B$1118,"&lt;="&amp;N555)*L555/ROUNDUP(L555,0)</f>
        <v/>
      </c>
      <c r="U555" s="14">
        <f>SUMIFS(Donnees_regimes!$O$3:$O$1118,Donnees_regimes!$A$3:$A$1118,C555,Donnees_regimes!$B$3:$B$1118,"&gt;="&amp;G555,Donnees_regimes!$B$3:$B$1118,"&lt;="&amp;N555)*L555/ROUNDUP(L555,0)</f>
        <v/>
      </c>
      <c r="V555" s="14">
        <f>T555+U555</f>
        <v/>
      </c>
      <c r="W555" s="33">
        <f>V555/S555</f>
        <v/>
      </c>
      <c r="X555" s="14">
        <f>S555+U555</f>
        <v/>
      </c>
      <c r="Y555" s="17">
        <f>V555/P555</f>
        <v/>
      </c>
      <c r="Z555" s="14">
        <f>SUMIFS(Donnees_regimes!$Q$3:$Q$1118,Donnees_regimes!$A$3:$A$1118,C555,Donnees_regimes!$B$3:$B$1118,"&gt;="&amp;G555,Donnees_regimes!$B$3:$B$1118,"&lt;="&amp;N555)*L555/ROUNDUP(L555,0)</f>
        <v/>
      </c>
      <c r="AA555" s="77">
        <f>SUMIFS(Regles_regimes!$F$3:$F$2000,Regles_regimes!$A$3:$A$2000,C555,Regles_regimes!$B$3:$B$2000,D555,Regles_regimes!$C$3:$C$2000,MAX(1915,MIN(2025,E555)))</f>
        <v/>
      </c>
      <c r="AB555" s="77">
        <f>IF(AND(SUMIFS(Regles_regimes!$L$3:$L$2000,Regles_regimes!$A$3:$A$2000,C555,Regles_regimes!$B$3:$B$2000,D555,Regles_regimes!$C$3:$C$2000,MAX(1915,MIN(2025,E555)))=1,G555&lt;2009,C555&lt;&gt;"Privé"),MIN(20,L555*4/5),0)</f>
        <v/>
      </c>
      <c r="AC555" s="89">
        <f>SUMIFS(Donnees_regimes!$M$3:$M$1118,Donnees_regimes!$A$3:$A$1118,C555,Donnees_regimes!$B$3:$B$1118,M555)</f>
        <v/>
      </c>
      <c r="AD555" s="14">
        <f>SUMIFS(Donnees_annuelles!$Y$3:$Y$188,Donnees_annuelles!$A$3:$A$188,M555)*SUMIFS(Donnees_generations!$I$3:$I$113,Donnees_generations!$A$3:$A$113,MAX(1915,MIN(2025,E555)))/H555</f>
        <v/>
      </c>
      <c r="AE555" s="14">
        <f>IF(C555="Privé",SUMIFS(Donnees_annuelles!$Y$3:$Y$188,Donnees_annuelles!$A$3:$A$188,M555)*MIN(L555,SUMIFS(Donnees_generations!$I$3:$I$113,Donnees_generations!$A$3:$A$113,MAX(1915,MIN(2025,E555))))/L555,AD555*AC555*MIN(IF(AB555&gt;0,0.8/0.75,1),(L555*4+AB555)/AA555))</f>
        <v/>
      </c>
      <c r="AF555" s="14">
        <f>AE555/12</f>
        <v/>
      </c>
      <c r="AG555" s="77">
        <f>MIN(68,MAX(56,2*INT(K555/2)))</f>
        <v/>
      </c>
      <c r="AH555" s="75">
        <f>(CHOOSE((AG555-56)/2+1,SUMIFS(Donnees_generations!$U$3:$U$113,Donnees_generations!$A$3:$A$113,MAX(1915,MIN(2025,E555))),SUMIFS(Donnees_generations!$V$3:$V$113,Donnees_generations!$A$3:$A$113,MAX(1915,MIN(2025,E555))),SUMIFS(Donnees_generations!$W$3:$W$113,Donnees_generations!$A$3:$A$113,MAX(1915,MIN(2025,E555))),SUMIFS(Donnees_generations!$X$3:$X$113,Donnees_generations!$A$3:$A$113,MAX(1915,MIN(2025,E555))),SUMIFS(Donnees_generations!$Y$3:$Y$113,Donnees_generations!$A$3:$A$113,MAX(1915,MIN(2025,E555))),SUMIFS(Donnees_generations!$Z$3:$Z$113,Donnees_generations!$A$3:$A$113,MAX(1915,MIN(2025,E555))),SUMIFS(Donnees_generations!$AA$3:$AA$113,Donnees_generations!$A$3:$A$113,MAX(1915,MIN(2025,E555))),SUMIFS(Donnees_generations!$AB$3:$AB$113,Donnees_generations!$A$3:$A$113,MAX(1915,MIN(2025,E555))))+CHOOSE((AG555-56)/2+1,SUMIFS(Donnees_generations!$AC$3:$AC$113,Donnees_generations!$A$3:$A$113,MAX(1915,MIN(2025,E555))),SUMIFS(Donnees_generations!$AD$3:$AD$113,Donnees_generations!$A$3:$A$113,MAX(1915,MIN(2025,E555))),SUMIFS(Donnees_generations!$AE$3:$AE$113,Donnees_generations!$A$3:$A$113,MAX(1915,MIN(2025,E555))),SUMIFS(Donnees_generations!$AF$3:$AF$113,Donnees_generations!$A$3:$A$113,MAX(1915,MIN(2025,E555))),SUMIFS(Donnees_generations!$AG$3:$AG$113,Donnees_generations!$A$3:$A$113,MAX(1915,MIN(2025,E555))),SUMIFS(Donnees_generations!$AH$3:$AH$113,Donnees_generations!$A$3:$A$113,MAX(1915,MIN(2025,E555))),SUMIFS(Donnees_generations!$AI$3:$AI$113,Donnees_generations!$A$3:$A$113,MAX(1915,MIN(2025,E555))),SUMIFS(Donnees_generations!$AJ$3:$AJ$113,Donnees_generations!$A$3:$A$113,MAX(1915,MIN(2025,E555)))))/2</f>
        <v/>
      </c>
      <c r="AI555" s="75">
        <f>(CHOOSE(((AG555+2)-56)/2+1,SUMIFS(Donnees_generations!$U$3:$U$113,Donnees_generations!$A$3:$A$113,MAX(1915,MIN(2025,E555))),SUMIFS(Donnees_generations!$V$3:$V$113,Donnees_generations!$A$3:$A$113,MAX(1915,MIN(2025,E555))),SUMIFS(Donnees_generations!$W$3:$W$113,Donnees_generations!$A$3:$A$113,MAX(1915,MIN(2025,E555))),SUMIFS(Donnees_generations!$X$3:$X$113,Donnees_generations!$A$3:$A$113,MAX(1915,MIN(2025,E555))),SUMIFS(Donnees_generations!$Y$3:$Y$113,Donnees_generations!$A$3:$A$113,MAX(1915,MIN(2025,E555))),SUMIFS(Donnees_generations!$Z$3:$Z$113,Donnees_generations!$A$3:$A$113,MAX(1915,MIN(2025,E555))),SUMIFS(Donnees_generations!$AA$3:$AA$113,Donnees_generations!$A$3:$A$113,MAX(1915,MIN(2025,E555))),SUMIFS(Donnees_generations!$AB$3:$AB$113,Donnees_generations!$A$3:$A$113,MAX(1915,MIN(2025,E555))))+CHOOSE(((AG555+2)-56)/2+1,SUMIFS(Donnees_generations!$AC$3:$AC$113,Donnees_generations!$A$3:$A$113,MAX(1915,MIN(2025,E555))),SUMIFS(Donnees_generations!$AD$3:$AD$113,Donnees_generations!$A$3:$A$113,MAX(1915,MIN(2025,E555))),SUMIFS(Donnees_generations!$AE$3:$AE$113,Donnees_generations!$A$3:$A$113,MAX(1915,MIN(2025,E555))),SUMIFS(Donnees_generations!$AF$3:$AF$113,Donnees_generations!$A$3:$A$113,MAX(1915,MIN(2025,E555))),SUMIFS(Donnees_generations!$AG$3:$AG$113,Donnees_generations!$A$3:$A$113,MAX(1915,MIN(2025,E555))),SUMIFS(Donnees_generations!$AH$3:$AH$113,Donnees_generations!$A$3:$A$113,MAX(1915,MIN(2025,E555))),SUMIFS(Donnees_generations!$AI$3:$AI$113,Donnees_generations!$A$3:$A$113,MAX(1915,MIN(2025,E555))),SUMIFS(Donnees_generations!$AJ$3:$AJ$113,Donnees_generations!$A$3:$A$113,MAX(1915,MIN(2025,E555)))))/2</f>
        <v/>
      </c>
      <c r="AJ555" s="8">
        <f>MAX(0,AH555+(AI555-AH555)*(K555-AG555)/2)</f>
        <v/>
      </c>
      <c r="AK555" s="8">
        <f>K555+AJ555</f>
        <v/>
      </c>
      <c r="AL555" s="14">
        <f>AE555*AJ555</f>
        <v/>
      </c>
      <c r="AM555" s="17">
        <f>V555/AL555</f>
        <v/>
      </c>
      <c r="AN555" s="17">
        <f>Z555/AL555</f>
        <v/>
      </c>
      <c r="AO555" s="33">
        <f>IF(V555+Z555=0,0,Z555/(V555+Z555))</f>
        <v/>
      </c>
      <c r="AP555" s="14">
        <f>AL555/V555*100</f>
        <v/>
      </c>
      <c r="AQ555" s="8">
        <f>P555/AL555*1000</f>
        <v/>
      </c>
      <c r="AR555" s="77">
        <f>MAX(N555,M555-1)</f>
        <v/>
      </c>
      <c r="AS555" s="14">
        <f>SUMIFS(Donnees_regimes!$R$3:$R$1118,Donnees_regimes!$A$3:$A$1118,C555,Donnees_regimes!$B$3:$B$1118,"&gt;="&amp;G555,Donnees_regimes!$B$3:$B$1118,"&lt;="&amp;N555)*L555/ROUNDUP(L555,0)*SUMIFS(Donnees_annuelles!$AG$3:$AG$188,Donnees_annuelles!$A$3:$A$188,AR555)*SUMIFS(Donnees_annuelles!$AA$3:$AA$188,Donnees_annuelles!$A$3:$A$188,AR555)</f>
        <v/>
      </c>
      <c r="AT555" s="36">
        <f>AS555/V555</f>
        <v/>
      </c>
      <c r="AU555" s="14">
        <f>AL555</f>
        <v/>
      </c>
      <c r="AV555" s="39">
        <f>AS555-AL555</f>
        <v/>
      </c>
      <c r="AW555" s="9">
        <f>AS555/AL555-1</f>
        <v/>
      </c>
      <c r="AX555" s="14">
        <f>AS555/AJ555/12</f>
        <v/>
      </c>
      <c r="AY555" s="14">
        <f>AF555</f>
        <v/>
      </c>
      <c r="AZ555" s="39">
        <f>AX555-AF555</f>
        <v/>
      </c>
      <c r="BA555" s="14">
        <f>SUMIFS(Donnees_regimes!$S$3:$S$1118,Donnees_regimes!$A$3:$A$1118,C555,Donnees_regimes!$B$3:$B$1118,"&gt;="&amp;G555,Donnees_regimes!$B$3:$B$1118,"&lt;="&amp;N555)*L555/ROUNDUP(L555,0)*SUMIFS(Donnees_annuelles!$AH$3:$AH$188,Donnees_annuelles!$A$3:$A$188,AR555)*SUMIFS(Donnees_annuelles!$AA$3:$AA$188,Donnees_annuelles!$A$3:$A$188,AR555)</f>
        <v/>
      </c>
      <c r="BB555" s="39">
        <f>BA555-AL555</f>
        <v/>
      </c>
      <c r="BC555" s="7">
        <f>IF(M555+AJ555&gt;2026,IF(G555&gt;2026,"entièrement projeté","en partie projeté"),"observé")</f>
        <v/>
      </c>
    </row>
    <row r="556">
      <c r="A556" s="7" t="inlineStr">
        <is>
          <t>Génération Y</t>
        </is>
      </c>
      <c r="B556" s="84" t="inlineStr">
        <is>
          <t>IEG</t>
        </is>
      </c>
      <c r="C556" s="7">
        <f>IF(G556&gt;=SUMIFS(Regimes!$C$5:$C$10,Regimes!$A$5:$A$10,B556),"Privé",B556)</f>
        <v/>
      </c>
      <c r="D556" s="7">
        <f>INDEX(Regimes!$D$5:$D$10,MATCH(C556,Regimes!$A$5:$A$10,0))</f>
        <v/>
      </c>
      <c r="E556" s="88" t="n">
        <v>1991</v>
      </c>
      <c r="F556" s="8">
        <f>Donnees_generations!C79</f>
        <v/>
      </c>
      <c r="G556" s="77">
        <f>Donnees_generations!D79</f>
        <v/>
      </c>
      <c r="H556" s="8">
        <f>SUMIFS(Donnees_generations!$S$3:$S$113,Donnees_generations!$A$3:$A$113,MAX(1915,MIN(2025,E556)))</f>
        <v/>
      </c>
      <c r="I556" s="8">
        <f>SUMIFS(Donnees_generations!$T$3:$T$113,Donnees_generations!$A$3:$A$113,MAX(1915,MIN(2025,E556)))</f>
        <v/>
      </c>
      <c r="J556" s="8">
        <f>IF(G556&gt;=2000,MAX(I556,Parametres!$B$3),I556)</f>
        <v/>
      </c>
      <c r="K556" s="8">
        <f>IF(C556="Privé",J556,SUMIFS(Regles_regimes!$J$3:$J$2000,Regles_regimes!$A$3:$A$2000,C556,Regles_regimes!$B$3:$B$2000,D556,Regles_regimes!$C$3:$C$2000,MAX(1915,MIN(2025,E556))))</f>
        <v/>
      </c>
      <c r="L556" s="8">
        <f>IF(C556="Privé",H556,(K556-F556)*H556/(J556-F556))</f>
        <v/>
      </c>
      <c r="M556" s="77">
        <f>INT(E556+K556)</f>
        <v/>
      </c>
      <c r="N556" s="77">
        <f>G556+ROUNDUP(L556,0)-1</f>
        <v/>
      </c>
      <c r="O556" s="89">
        <f>SUMIFS(Regles_regimes!$K$3:$K$2000,Regles_regimes!$A$3:$A$2000,C556,Regles_regimes!$B$3:$B$2000,D556,Regles_regimes!$C$3:$C$2000,MAX(1915,MIN(2025,E556)))</f>
        <v/>
      </c>
      <c r="P556" s="13">
        <f>SUMIFS(Donnees_annuelles!$W$3:$W$188,Donnees_annuelles!$A$3:$A$188,"&gt;="&amp;G556,Donnees_annuelles!$A$3:$A$188,"&lt;="&amp;N556)*L556/ROUNDUP(L556,0)*O556</f>
        <v/>
      </c>
      <c r="Q556" s="13">
        <f>SUMIFS(Donnees_annuelles!$V$3:$V$188,Donnees_annuelles!$A$3:$A$188,"&gt;="&amp;G556,Donnees_annuelles!$A$3:$A$188,"&lt;="&amp;N556)*L556/ROUNDUP(L556,0)</f>
        <v/>
      </c>
      <c r="R556" s="13">
        <f>P556/L556</f>
        <v/>
      </c>
      <c r="S556" s="14">
        <f>SUMIFS(Donnees_annuelles!$D$3:$D$188,Donnees_annuelles!$A$3:$A$188,"&gt;="&amp;G556,Donnees_annuelles!$A$3:$A$188,"&lt;="&amp;N556)*L556/ROUNDUP(L556,0)</f>
        <v/>
      </c>
      <c r="T556" s="14">
        <f>SUMIFS(Donnees_regimes!$N$3:$N$1118,Donnees_regimes!$A$3:$A$1118,C556,Donnees_regimes!$B$3:$B$1118,"&gt;="&amp;G556,Donnees_regimes!$B$3:$B$1118,"&lt;="&amp;N556)*L556/ROUNDUP(L556,0)</f>
        <v/>
      </c>
      <c r="U556" s="14">
        <f>SUMIFS(Donnees_regimes!$O$3:$O$1118,Donnees_regimes!$A$3:$A$1118,C556,Donnees_regimes!$B$3:$B$1118,"&gt;="&amp;G556,Donnees_regimes!$B$3:$B$1118,"&lt;="&amp;N556)*L556/ROUNDUP(L556,0)</f>
        <v/>
      </c>
      <c r="V556" s="14">
        <f>T556+U556</f>
        <v/>
      </c>
      <c r="W556" s="33">
        <f>V556/S556</f>
        <v/>
      </c>
      <c r="X556" s="14">
        <f>S556+U556</f>
        <v/>
      </c>
      <c r="Y556" s="17">
        <f>V556/P556</f>
        <v/>
      </c>
      <c r="Z556" s="14">
        <f>SUMIFS(Donnees_regimes!$Q$3:$Q$1118,Donnees_regimes!$A$3:$A$1118,C556,Donnees_regimes!$B$3:$B$1118,"&gt;="&amp;G556,Donnees_regimes!$B$3:$B$1118,"&lt;="&amp;N556)*L556/ROUNDUP(L556,0)</f>
        <v/>
      </c>
      <c r="AA556" s="77">
        <f>SUMIFS(Regles_regimes!$F$3:$F$2000,Regles_regimes!$A$3:$A$2000,C556,Regles_regimes!$B$3:$B$2000,D556,Regles_regimes!$C$3:$C$2000,MAX(1915,MIN(2025,E556)))</f>
        <v/>
      </c>
      <c r="AB556" s="77">
        <f>IF(AND(SUMIFS(Regles_regimes!$L$3:$L$2000,Regles_regimes!$A$3:$A$2000,C556,Regles_regimes!$B$3:$B$2000,D556,Regles_regimes!$C$3:$C$2000,MAX(1915,MIN(2025,E556)))=1,G556&lt;2009,C556&lt;&gt;"Privé"),MIN(20,L556*4/5),0)</f>
        <v/>
      </c>
      <c r="AC556" s="89">
        <f>SUMIFS(Donnees_regimes!$M$3:$M$1118,Donnees_regimes!$A$3:$A$1118,C556,Donnees_regimes!$B$3:$B$1118,M556)</f>
        <v/>
      </c>
      <c r="AD556" s="14">
        <f>SUMIFS(Donnees_annuelles!$Y$3:$Y$188,Donnees_annuelles!$A$3:$A$188,M556)*SUMIFS(Donnees_generations!$I$3:$I$113,Donnees_generations!$A$3:$A$113,MAX(1915,MIN(2025,E556)))/H556</f>
        <v/>
      </c>
      <c r="AE556" s="14">
        <f>IF(C556="Privé",SUMIFS(Donnees_annuelles!$Y$3:$Y$188,Donnees_annuelles!$A$3:$A$188,M556)*MIN(L556,SUMIFS(Donnees_generations!$I$3:$I$113,Donnees_generations!$A$3:$A$113,MAX(1915,MIN(2025,E556))))/L556,AD556*AC556*MIN(IF(AB556&gt;0,0.8/0.75,1),(L556*4+AB556)/AA556))</f>
        <v/>
      </c>
      <c r="AF556" s="14">
        <f>AE556/12</f>
        <v/>
      </c>
      <c r="AG556" s="77">
        <f>MIN(68,MAX(56,2*INT(K556/2)))</f>
        <v/>
      </c>
      <c r="AH556" s="75">
        <f>(CHOOSE((AG556-56)/2+1,SUMIFS(Donnees_generations!$U$3:$U$113,Donnees_generations!$A$3:$A$113,MAX(1915,MIN(2025,E556))),SUMIFS(Donnees_generations!$V$3:$V$113,Donnees_generations!$A$3:$A$113,MAX(1915,MIN(2025,E556))),SUMIFS(Donnees_generations!$W$3:$W$113,Donnees_generations!$A$3:$A$113,MAX(1915,MIN(2025,E556))),SUMIFS(Donnees_generations!$X$3:$X$113,Donnees_generations!$A$3:$A$113,MAX(1915,MIN(2025,E556))),SUMIFS(Donnees_generations!$Y$3:$Y$113,Donnees_generations!$A$3:$A$113,MAX(1915,MIN(2025,E556))),SUMIFS(Donnees_generations!$Z$3:$Z$113,Donnees_generations!$A$3:$A$113,MAX(1915,MIN(2025,E556))),SUMIFS(Donnees_generations!$AA$3:$AA$113,Donnees_generations!$A$3:$A$113,MAX(1915,MIN(2025,E556))),SUMIFS(Donnees_generations!$AB$3:$AB$113,Donnees_generations!$A$3:$A$113,MAX(1915,MIN(2025,E556))))+CHOOSE((AG556-56)/2+1,SUMIFS(Donnees_generations!$AC$3:$AC$113,Donnees_generations!$A$3:$A$113,MAX(1915,MIN(2025,E556))),SUMIFS(Donnees_generations!$AD$3:$AD$113,Donnees_generations!$A$3:$A$113,MAX(1915,MIN(2025,E556))),SUMIFS(Donnees_generations!$AE$3:$AE$113,Donnees_generations!$A$3:$A$113,MAX(1915,MIN(2025,E556))),SUMIFS(Donnees_generations!$AF$3:$AF$113,Donnees_generations!$A$3:$A$113,MAX(1915,MIN(2025,E556))),SUMIFS(Donnees_generations!$AG$3:$AG$113,Donnees_generations!$A$3:$A$113,MAX(1915,MIN(2025,E556))),SUMIFS(Donnees_generations!$AH$3:$AH$113,Donnees_generations!$A$3:$A$113,MAX(1915,MIN(2025,E556))),SUMIFS(Donnees_generations!$AI$3:$AI$113,Donnees_generations!$A$3:$A$113,MAX(1915,MIN(2025,E556))),SUMIFS(Donnees_generations!$AJ$3:$AJ$113,Donnees_generations!$A$3:$A$113,MAX(1915,MIN(2025,E556)))))/2</f>
        <v/>
      </c>
      <c r="AI556" s="75">
        <f>(CHOOSE(((AG556+2)-56)/2+1,SUMIFS(Donnees_generations!$U$3:$U$113,Donnees_generations!$A$3:$A$113,MAX(1915,MIN(2025,E556))),SUMIFS(Donnees_generations!$V$3:$V$113,Donnees_generations!$A$3:$A$113,MAX(1915,MIN(2025,E556))),SUMIFS(Donnees_generations!$W$3:$W$113,Donnees_generations!$A$3:$A$113,MAX(1915,MIN(2025,E556))),SUMIFS(Donnees_generations!$X$3:$X$113,Donnees_generations!$A$3:$A$113,MAX(1915,MIN(2025,E556))),SUMIFS(Donnees_generations!$Y$3:$Y$113,Donnees_generations!$A$3:$A$113,MAX(1915,MIN(2025,E556))),SUMIFS(Donnees_generations!$Z$3:$Z$113,Donnees_generations!$A$3:$A$113,MAX(1915,MIN(2025,E556))),SUMIFS(Donnees_generations!$AA$3:$AA$113,Donnees_generations!$A$3:$A$113,MAX(1915,MIN(2025,E556))),SUMIFS(Donnees_generations!$AB$3:$AB$113,Donnees_generations!$A$3:$A$113,MAX(1915,MIN(2025,E556))))+CHOOSE(((AG556+2)-56)/2+1,SUMIFS(Donnees_generations!$AC$3:$AC$113,Donnees_generations!$A$3:$A$113,MAX(1915,MIN(2025,E556))),SUMIFS(Donnees_generations!$AD$3:$AD$113,Donnees_generations!$A$3:$A$113,MAX(1915,MIN(2025,E556))),SUMIFS(Donnees_generations!$AE$3:$AE$113,Donnees_generations!$A$3:$A$113,MAX(1915,MIN(2025,E556))),SUMIFS(Donnees_generations!$AF$3:$AF$113,Donnees_generations!$A$3:$A$113,MAX(1915,MIN(2025,E556))),SUMIFS(Donnees_generations!$AG$3:$AG$113,Donnees_generations!$A$3:$A$113,MAX(1915,MIN(2025,E556))),SUMIFS(Donnees_generations!$AH$3:$AH$113,Donnees_generations!$A$3:$A$113,MAX(1915,MIN(2025,E556))),SUMIFS(Donnees_generations!$AI$3:$AI$113,Donnees_generations!$A$3:$A$113,MAX(1915,MIN(2025,E556))),SUMIFS(Donnees_generations!$AJ$3:$AJ$113,Donnees_generations!$A$3:$A$113,MAX(1915,MIN(2025,E556)))))/2</f>
        <v/>
      </c>
      <c r="AJ556" s="8">
        <f>MAX(0,AH556+(AI556-AH556)*(K556-AG556)/2)</f>
        <v/>
      </c>
      <c r="AK556" s="8">
        <f>K556+AJ556</f>
        <v/>
      </c>
      <c r="AL556" s="14">
        <f>AE556*AJ556</f>
        <v/>
      </c>
      <c r="AM556" s="17">
        <f>V556/AL556</f>
        <v/>
      </c>
      <c r="AN556" s="17">
        <f>Z556/AL556</f>
        <v/>
      </c>
      <c r="AO556" s="33">
        <f>IF(V556+Z556=0,0,Z556/(V556+Z556))</f>
        <v/>
      </c>
      <c r="AP556" s="14">
        <f>AL556/V556*100</f>
        <v/>
      </c>
      <c r="AQ556" s="8">
        <f>P556/AL556*1000</f>
        <v/>
      </c>
      <c r="AR556" s="77">
        <f>MAX(N556,M556-1)</f>
        <v/>
      </c>
      <c r="AS556" s="14">
        <f>SUMIFS(Donnees_regimes!$R$3:$R$1118,Donnees_regimes!$A$3:$A$1118,C556,Donnees_regimes!$B$3:$B$1118,"&gt;="&amp;G556,Donnees_regimes!$B$3:$B$1118,"&lt;="&amp;N556)*L556/ROUNDUP(L556,0)*SUMIFS(Donnees_annuelles!$AG$3:$AG$188,Donnees_annuelles!$A$3:$A$188,AR556)*SUMIFS(Donnees_annuelles!$AA$3:$AA$188,Donnees_annuelles!$A$3:$A$188,AR556)</f>
        <v/>
      </c>
      <c r="AT556" s="36">
        <f>AS556/V556</f>
        <v/>
      </c>
      <c r="AU556" s="14">
        <f>AL556</f>
        <v/>
      </c>
      <c r="AV556" s="39">
        <f>AS556-AL556</f>
        <v/>
      </c>
      <c r="AW556" s="9">
        <f>AS556/AL556-1</f>
        <v/>
      </c>
      <c r="AX556" s="14">
        <f>AS556/AJ556/12</f>
        <v/>
      </c>
      <c r="AY556" s="14">
        <f>AF556</f>
        <v/>
      </c>
      <c r="AZ556" s="39">
        <f>AX556-AF556</f>
        <v/>
      </c>
      <c r="BA556" s="14">
        <f>SUMIFS(Donnees_regimes!$S$3:$S$1118,Donnees_regimes!$A$3:$A$1118,C556,Donnees_regimes!$B$3:$B$1118,"&gt;="&amp;G556,Donnees_regimes!$B$3:$B$1118,"&lt;="&amp;N556)*L556/ROUNDUP(L556,0)*SUMIFS(Donnees_annuelles!$AH$3:$AH$188,Donnees_annuelles!$A$3:$A$188,AR556)*SUMIFS(Donnees_annuelles!$AA$3:$AA$188,Donnees_annuelles!$A$3:$A$188,AR556)</f>
        <v/>
      </c>
      <c r="BB556" s="39">
        <f>BA556-AL556</f>
        <v/>
      </c>
      <c r="BC556" s="7">
        <f>IF(M556+AJ556&gt;2026,IF(G556&gt;2026,"entièrement projeté","en partie projeté"),"observé")</f>
        <v/>
      </c>
    </row>
    <row r="557">
      <c r="A557" s="7" t="inlineStr">
        <is>
          <t>Génération Y</t>
        </is>
      </c>
      <c r="B557" s="84" t="inlineStr">
        <is>
          <t>IEG</t>
        </is>
      </c>
      <c r="C557" s="7">
        <f>IF(G557&gt;=SUMIFS(Regimes!$C$5:$C$10,Regimes!$A$5:$A$10,B557),"Privé",B557)</f>
        <v/>
      </c>
      <c r="D557" s="7">
        <f>INDEX(Regimes!$D$5:$D$10,MATCH(C557,Regimes!$A$5:$A$10,0))</f>
        <v/>
      </c>
      <c r="E557" s="88" t="n">
        <v>1992</v>
      </c>
      <c r="F557" s="8">
        <f>Donnees_generations!C80</f>
        <v/>
      </c>
      <c r="G557" s="77">
        <f>Donnees_generations!D80</f>
        <v/>
      </c>
      <c r="H557" s="8">
        <f>SUMIFS(Donnees_generations!$S$3:$S$113,Donnees_generations!$A$3:$A$113,MAX(1915,MIN(2025,E557)))</f>
        <v/>
      </c>
      <c r="I557" s="8">
        <f>SUMIFS(Donnees_generations!$T$3:$T$113,Donnees_generations!$A$3:$A$113,MAX(1915,MIN(2025,E557)))</f>
        <v/>
      </c>
      <c r="J557" s="8">
        <f>IF(G557&gt;=2000,MAX(I557,Parametres!$B$3),I557)</f>
        <v/>
      </c>
      <c r="K557" s="8">
        <f>IF(C557="Privé",J557,SUMIFS(Regles_regimes!$J$3:$J$2000,Regles_regimes!$A$3:$A$2000,C557,Regles_regimes!$B$3:$B$2000,D557,Regles_regimes!$C$3:$C$2000,MAX(1915,MIN(2025,E557))))</f>
        <v/>
      </c>
      <c r="L557" s="8">
        <f>IF(C557="Privé",H557,(K557-F557)*H557/(J557-F557))</f>
        <v/>
      </c>
      <c r="M557" s="77">
        <f>INT(E557+K557)</f>
        <v/>
      </c>
      <c r="N557" s="77">
        <f>G557+ROUNDUP(L557,0)-1</f>
        <v/>
      </c>
      <c r="O557" s="89">
        <f>SUMIFS(Regles_regimes!$K$3:$K$2000,Regles_regimes!$A$3:$A$2000,C557,Regles_regimes!$B$3:$B$2000,D557,Regles_regimes!$C$3:$C$2000,MAX(1915,MIN(2025,E557)))</f>
        <v/>
      </c>
      <c r="P557" s="13">
        <f>SUMIFS(Donnees_annuelles!$W$3:$W$188,Donnees_annuelles!$A$3:$A$188,"&gt;="&amp;G557,Donnees_annuelles!$A$3:$A$188,"&lt;="&amp;N557)*L557/ROUNDUP(L557,0)*O557</f>
        <v/>
      </c>
      <c r="Q557" s="13">
        <f>SUMIFS(Donnees_annuelles!$V$3:$V$188,Donnees_annuelles!$A$3:$A$188,"&gt;="&amp;G557,Donnees_annuelles!$A$3:$A$188,"&lt;="&amp;N557)*L557/ROUNDUP(L557,0)</f>
        <v/>
      </c>
      <c r="R557" s="13">
        <f>P557/L557</f>
        <v/>
      </c>
      <c r="S557" s="14">
        <f>SUMIFS(Donnees_annuelles!$D$3:$D$188,Donnees_annuelles!$A$3:$A$188,"&gt;="&amp;G557,Donnees_annuelles!$A$3:$A$188,"&lt;="&amp;N557)*L557/ROUNDUP(L557,0)</f>
        <v/>
      </c>
      <c r="T557" s="14">
        <f>SUMIFS(Donnees_regimes!$N$3:$N$1118,Donnees_regimes!$A$3:$A$1118,C557,Donnees_regimes!$B$3:$B$1118,"&gt;="&amp;G557,Donnees_regimes!$B$3:$B$1118,"&lt;="&amp;N557)*L557/ROUNDUP(L557,0)</f>
        <v/>
      </c>
      <c r="U557" s="14">
        <f>SUMIFS(Donnees_regimes!$O$3:$O$1118,Donnees_regimes!$A$3:$A$1118,C557,Donnees_regimes!$B$3:$B$1118,"&gt;="&amp;G557,Donnees_regimes!$B$3:$B$1118,"&lt;="&amp;N557)*L557/ROUNDUP(L557,0)</f>
        <v/>
      </c>
      <c r="V557" s="14">
        <f>T557+U557</f>
        <v/>
      </c>
      <c r="W557" s="33">
        <f>V557/S557</f>
        <v/>
      </c>
      <c r="X557" s="14">
        <f>S557+U557</f>
        <v/>
      </c>
      <c r="Y557" s="17">
        <f>V557/P557</f>
        <v/>
      </c>
      <c r="Z557" s="14">
        <f>SUMIFS(Donnees_regimes!$Q$3:$Q$1118,Donnees_regimes!$A$3:$A$1118,C557,Donnees_regimes!$B$3:$B$1118,"&gt;="&amp;G557,Donnees_regimes!$B$3:$B$1118,"&lt;="&amp;N557)*L557/ROUNDUP(L557,0)</f>
        <v/>
      </c>
      <c r="AA557" s="77">
        <f>SUMIFS(Regles_regimes!$F$3:$F$2000,Regles_regimes!$A$3:$A$2000,C557,Regles_regimes!$B$3:$B$2000,D557,Regles_regimes!$C$3:$C$2000,MAX(1915,MIN(2025,E557)))</f>
        <v/>
      </c>
      <c r="AB557" s="77">
        <f>IF(AND(SUMIFS(Regles_regimes!$L$3:$L$2000,Regles_regimes!$A$3:$A$2000,C557,Regles_regimes!$B$3:$B$2000,D557,Regles_regimes!$C$3:$C$2000,MAX(1915,MIN(2025,E557)))=1,G557&lt;2009,C557&lt;&gt;"Privé"),MIN(20,L557*4/5),0)</f>
        <v/>
      </c>
      <c r="AC557" s="89">
        <f>SUMIFS(Donnees_regimes!$M$3:$M$1118,Donnees_regimes!$A$3:$A$1118,C557,Donnees_regimes!$B$3:$B$1118,M557)</f>
        <v/>
      </c>
      <c r="AD557" s="14">
        <f>SUMIFS(Donnees_annuelles!$Y$3:$Y$188,Donnees_annuelles!$A$3:$A$188,M557)*SUMIFS(Donnees_generations!$I$3:$I$113,Donnees_generations!$A$3:$A$113,MAX(1915,MIN(2025,E557)))/H557</f>
        <v/>
      </c>
      <c r="AE557" s="14">
        <f>IF(C557="Privé",SUMIFS(Donnees_annuelles!$Y$3:$Y$188,Donnees_annuelles!$A$3:$A$188,M557)*MIN(L557,SUMIFS(Donnees_generations!$I$3:$I$113,Donnees_generations!$A$3:$A$113,MAX(1915,MIN(2025,E557))))/L557,AD557*AC557*MIN(IF(AB557&gt;0,0.8/0.75,1),(L557*4+AB557)/AA557))</f>
        <v/>
      </c>
      <c r="AF557" s="14">
        <f>AE557/12</f>
        <v/>
      </c>
      <c r="AG557" s="77">
        <f>MIN(68,MAX(56,2*INT(K557/2)))</f>
        <v/>
      </c>
      <c r="AH557" s="75">
        <f>(CHOOSE((AG557-56)/2+1,SUMIFS(Donnees_generations!$U$3:$U$113,Donnees_generations!$A$3:$A$113,MAX(1915,MIN(2025,E557))),SUMIFS(Donnees_generations!$V$3:$V$113,Donnees_generations!$A$3:$A$113,MAX(1915,MIN(2025,E557))),SUMIFS(Donnees_generations!$W$3:$W$113,Donnees_generations!$A$3:$A$113,MAX(1915,MIN(2025,E557))),SUMIFS(Donnees_generations!$X$3:$X$113,Donnees_generations!$A$3:$A$113,MAX(1915,MIN(2025,E557))),SUMIFS(Donnees_generations!$Y$3:$Y$113,Donnees_generations!$A$3:$A$113,MAX(1915,MIN(2025,E557))),SUMIFS(Donnees_generations!$Z$3:$Z$113,Donnees_generations!$A$3:$A$113,MAX(1915,MIN(2025,E557))),SUMIFS(Donnees_generations!$AA$3:$AA$113,Donnees_generations!$A$3:$A$113,MAX(1915,MIN(2025,E557))),SUMIFS(Donnees_generations!$AB$3:$AB$113,Donnees_generations!$A$3:$A$113,MAX(1915,MIN(2025,E557))))+CHOOSE((AG557-56)/2+1,SUMIFS(Donnees_generations!$AC$3:$AC$113,Donnees_generations!$A$3:$A$113,MAX(1915,MIN(2025,E557))),SUMIFS(Donnees_generations!$AD$3:$AD$113,Donnees_generations!$A$3:$A$113,MAX(1915,MIN(2025,E557))),SUMIFS(Donnees_generations!$AE$3:$AE$113,Donnees_generations!$A$3:$A$113,MAX(1915,MIN(2025,E557))),SUMIFS(Donnees_generations!$AF$3:$AF$113,Donnees_generations!$A$3:$A$113,MAX(1915,MIN(2025,E557))),SUMIFS(Donnees_generations!$AG$3:$AG$113,Donnees_generations!$A$3:$A$113,MAX(1915,MIN(2025,E557))),SUMIFS(Donnees_generations!$AH$3:$AH$113,Donnees_generations!$A$3:$A$113,MAX(1915,MIN(2025,E557))),SUMIFS(Donnees_generations!$AI$3:$AI$113,Donnees_generations!$A$3:$A$113,MAX(1915,MIN(2025,E557))),SUMIFS(Donnees_generations!$AJ$3:$AJ$113,Donnees_generations!$A$3:$A$113,MAX(1915,MIN(2025,E557)))))/2</f>
        <v/>
      </c>
      <c r="AI557" s="75">
        <f>(CHOOSE(((AG557+2)-56)/2+1,SUMIFS(Donnees_generations!$U$3:$U$113,Donnees_generations!$A$3:$A$113,MAX(1915,MIN(2025,E557))),SUMIFS(Donnees_generations!$V$3:$V$113,Donnees_generations!$A$3:$A$113,MAX(1915,MIN(2025,E557))),SUMIFS(Donnees_generations!$W$3:$W$113,Donnees_generations!$A$3:$A$113,MAX(1915,MIN(2025,E557))),SUMIFS(Donnees_generations!$X$3:$X$113,Donnees_generations!$A$3:$A$113,MAX(1915,MIN(2025,E557))),SUMIFS(Donnees_generations!$Y$3:$Y$113,Donnees_generations!$A$3:$A$113,MAX(1915,MIN(2025,E557))),SUMIFS(Donnees_generations!$Z$3:$Z$113,Donnees_generations!$A$3:$A$113,MAX(1915,MIN(2025,E557))),SUMIFS(Donnees_generations!$AA$3:$AA$113,Donnees_generations!$A$3:$A$113,MAX(1915,MIN(2025,E557))),SUMIFS(Donnees_generations!$AB$3:$AB$113,Donnees_generations!$A$3:$A$113,MAX(1915,MIN(2025,E557))))+CHOOSE(((AG557+2)-56)/2+1,SUMIFS(Donnees_generations!$AC$3:$AC$113,Donnees_generations!$A$3:$A$113,MAX(1915,MIN(2025,E557))),SUMIFS(Donnees_generations!$AD$3:$AD$113,Donnees_generations!$A$3:$A$113,MAX(1915,MIN(2025,E557))),SUMIFS(Donnees_generations!$AE$3:$AE$113,Donnees_generations!$A$3:$A$113,MAX(1915,MIN(2025,E557))),SUMIFS(Donnees_generations!$AF$3:$AF$113,Donnees_generations!$A$3:$A$113,MAX(1915,MIN(2025,E557))),SUMIFS(Donnees_generations!$AG$3:$AG$113,Donnees_generations!$A$3:$A$113,MAX(1915,MIN(2025,E557))),SUMIFS(Donnees_generations!$AH$3:$AH$113,Donnees_generations!$A$3:$A$113,MAX(1915,MIN(2025,E557))),SUMIFS(Donnees_generations!$AI$3:$AI$113,Donnees_generations!$A$3:$A$113,MAX(1915,MIN(2025,E557))),SUMIFS(Donnees_generations!$AJ$3:$AJ$113,Donnees_generations!$A$3:$A$113,MAX(1915,MIN(2025,E557)))))/2</f>
        <v/>
      </c>
      <c r="AJ557" s="8">
        <f>MAX(0,AH557+(AI557-AH557)*(K557-AG557)/2)</f>
        <v/>
      </c>
      <c r="AK557" s="8">
        <f>K557+AJ557</f>
        <v/>
      </c>
      <c r="AL557" s="14">
        <f>AE557*AJ557</f>
        <v/>
      </c>
      <c r="AM557" s="17">
        <f>V557/AL557</f>
        <v/>
      </c>
      <c r="AN557" s="17">
        <f>Z557/AL557</f>
        <v/>
      </c>
      <c r="AO557" s="33">
        <f>IF(V557+Z557=0,0,Z557/(V557+Z557))</f>
        <v/>
      </c>
      <c r="AP557" s="14">
        <f>AL557/V557*100</f>
        <v/>
      </c>
      <c r="AQ557" s="8">
        <f>P557/AL557*1000</f>
        <v/>
      </c>
      <c r="AR557" s="77">
        <f>MAX(N557,M557-1)</f>
        <v/>
      </c>
      <c r="AS557" s="14">
        <f>SUMIFS(Donnees_regimes!$R$3:$R$1118,Donnees_regimes!$A$3:$A$1118,C557,Donnees_regimes!$B$3:$B$1118,"&gt;="&amp;G557,Donnees_regimes!$B$3:$B$1118,"&lt;="&amp;N557)*L557/ROUNDUP(L557,0)*SUMIFS(Donnees_annuelles!$AG$3:$AG$188,Donnees_annuelles!$A$3:$A$188,AR557)*SUMIFS(Donnees_annuelles!$AA$3:$AA$188,Donnees_annuelles!$A$3:$A$188,AR557)</f>
        <v/>
      </c>
      <c r="AT557" s="36">
        <f>AS557/V557</f>
        <v/>
      </c>
      <c r="AU557" s="14">
        <f>AL557</f>
        <v/>
      </c>
      <c r="AV557" s="39">
        <f>AS557-AL557</f>
        <v/>
      </c>
      <c r="AW557" s="9">
        <f>AS557/AL557-1</f>
        <v/>
      </c>
      <c r="AX557" s="14">
        <f>AS557/AJ557/12</f>
        <v/>
      </c>
      <c r="AY557" s="14">
        <f>AF557</f>
        <v/>
      </c>
      <c r="AZ557" s="39">
        <f>AX557-AF557</f>
        <v/>
      </c>
      <c r="BA557" s="14">
        <f>SUMIFS(Donnees_regimes!$S$3:$S$1118,Donnees_regimes!$A$3:$A$1118,C557,Donnees_regimes!$B$3:$B$1118,"&gt;="&amp;G557,Donnees_regimes!$B$3:$B$1118,"&lt;="&amp;N557)*L557/ROUNDUP(L557,0)*SUMIFS(Donnees_annuelles!$AH$3:$AH$188,Donnees_annuelles!$A$3:$A$188,AR557)*SUMIFS(Donnees_annuelles!$AA$3:$AA$188,Donnees_annuelles!$A$3:$A$188,AR557)</f>
        <v/>
      </c>
      <c r="BB557" s="39">
        <f>BA557-AL557</f>
        <v/>
      </c>
      <c r="BC557" s="7">
        <f>IF(M557+AJ557&gt;2026,IF(G557&gt;2026,"entièrement projeté","en partie projeté"),"observé")</f>
        <v/>
      </c>
    </row>
    <row r="558">
      <c r="A558" s="7" t="inlineStr">
        <is>
          <t>Génération Y</t>
        </is>
      </c>
      <c r="B558" s="84" t="inlineStr">
        <is>
          <t>IEG</t>
        </is>
      </c>
      <c r="C558" s="7">
        <f>IF(G558&gt;=SUMIFS(Regimes!$C$5:$C$10,Regimes!$A$5:$A$10,B558),"Privé",B558)</f>
        <v/>
      </c>
      <c r="D558" s="7">
        <f>INDEX(Regimes!$D$5:$D$10,MATCH(C558,Regimes!$A$5:$A$10,0))</f>
        <v/>
      </c>
      <c r="E558" s="88" t="n">
        <v>1993</v>
      </c>
      <c r="F558" s="8">
        <f>Donnees_generations!C81</f>
        <v/>
      </c>
      <c r="G558" s="77">
        <f>Donnees_generations!D81</f>
        <v/>
      </c>
      <c r="H558" s="8">
        <f>SUMIFS(Donnees_generations!$S$3:$S$113,Donnees_generations!$A$3:$A$113,MAX(1915,MIN(2025,E558)))</f>
        <v/>
      </c>
      <c r="I558" s="8">
        <f>SUMIFS(Donnees_generations!$T$3:$T$113,Donnees_generations!$A$3:$A$113,MAX(1915,MIN(2025,E558)))</f>
        <v/>
      </c>
      <c r="J558" s="8">
        <f>IF(G558&gt;=2000,MAX(I558,Parametres!$B$3),I558)</f>
        <v/>
      </c>
      <c r="K558" s="8">
        <f>IF(C558="Privé",J558,SUMIFS(Regles_regimes!$J$3:$J$2000,Regles_regimes!$A$3:$A$2000,C558,Regles_regimes!$B$3:$B$2000,D558,Regles_regimes!$C$3:$C$2000,MAX(1915,MIN(2025,E558))))</f>
        <v/>
      </c>
      <c r="L558" s="8">
        <f>IF(C558="Privé",H558,(K558-F558)*H558/(J558-F558))</f>
        <v/>
      </c>
      <c r="M558" s="77">
        <f>INT(E558+K558)</f>
        <v/>
      </c>
      <c r="N558" s="77">
        <f>G558+ROUNDUP(L558,0)-1</f>
        <v/>
      </c>
      <c r="O558" s="89">
        <f>SUMIFS(Regles_regimes!$K$3:$K$2000,Regles_regimes!$A$3:$A$2000,C558,Regles_regimes!$B$3:$B$2000,D558,Regles_regimes!$C$3:$C$2000,MAX(1915,MIN(2025,E558)))</f>
        <v/>
      </c>
      <c r="P558" s="13">
        <f>SUMIFS(Donnees_annuelles!$W$3:$W$188,Donnees_annuelles!$A$3:$A$188,"&gt;="&amp;G558,Donnees_annuelles!$A$3:$A$188,"&lt;="&amp;N558)*L558/ROUNDUP(L558,0)*O558</f>
        <v/>
      </c>
      <c r="Q558" s="13">
        <f>SUMIFS(Donnees_annuelles!$V$3:$V$188,Donnees_annuelles!$A$3:$A$188,"&gt;="&amp;G558,Donnees_annuelles!$A$3:$A$188,"&lt;="&amp;N558)*L558/ROUNDUP(L558,0)</f>
        <v/>
      </c>
      <c r="R558" s="13">
        <f>P558/L558</f>
        <v/>
      </c>
      <c r="S558" s="14">
        <f>SUMIFS(Donnees_annuelles!$D$3:$D$188,Donnees_annuelles!$A$3:$A$188,"&gt;="&amp;G558,Donnees_annuelles!$A$3:$A$188,"&lt;="&amp;N558)*L558/ROUNDUP(L558,0)</f>
        <v/>
      </c>
      <c r="T558" s="14">
        <f>SUMIFS(Donnees_regimes!$N$3:$N$1118,Donnees_regimes!$A$3:$A$1118,C558,Donnees_regimes!$B$3:$B$1118,"&gt;="&amp;G558,Donnees_regimes!$B$3:$B$1118,"&lt;="&amp;N558)*L558/ROUNDUP(L558,0)</f>
        <v/>
      </c>
      <c r="U558" s="14">
        <f>SUMIFS(Donnees_regimes!$O$3:$O$1118,Donnees_regimes!$A$3:$A$1118,C558,Donnees_regimes!$B$3:$B$1118,"&gt;="&amp;G558,Donnees_regimes!$B$3:$B$1118,"&lt;="&amp;N558)*L558/ROUNDUP(L558,0)</f>
        <v/>
      </c>
      <c r="V558" s="14">
        <f>T558+U558</f>
        <v/>
      </c>
      <c r="W558" s="33">
        <f>V558/S558</f>
        <v/>
      </c>
      <c r="X558" s="14">
        <f>S558+U558</f>
        <v/>
      </c>
      <c r="Y558" s="17">
        <f>V558/P558</f>
        <v/>
      </c>
      <c r="Z558" s="14">
        <f>SUMIFS(Donnees_regimes!$Q$3:$Q$1118,Donnees_regimes!$A$3:$A$1118,C558,Donnees_regimes!$B$3:$B$1118,"&gt;="&amp;G558,Donnees_regimes!$B$3:$B$1118,"&lt;="&amp;N558)*L558/ROUNDUP(L558,0)</f>
        <v/>
      </c>
      <c r="AA558" s="77">
        <f>SUMIFS(Regles_regimes!$F$3:$F$2000,Regles_regimes!$A$3:$A$2000,C558,Regles_regimes!$B$3:$B$2000,D558,Regles_regimes!$C$3:$C$2000,MAX(1915,MIN(2025,E558)))</f>
        <v/>
      </c>
      <c r="AB558" s="77">
        <f>IF(AND(SUMIFS(Regles_regimes!$L$3:$L$2000,Regles_regimes!$A$3:$A$2000,C558,Regles_regimes!$B$3:$B$2000,D558,Regles_regimes!$C$3:$C$2000,MAX(1915,MIN(2025,E558)))=1,G558&lt;2009,C558&lt;&gt;"Privé"),MIN(20,L558*4/5),0)</f>
        <v/>
      </c>
      <c r="AC558" s="89">
        <f>SUMIFS(Donnees_regimes!$M$3:$M$1118,Donnees_regimes!$A$3:$A$1118,C558,Donnees_regimes!$B$3:$B$1118,M558)</f>
        <v/>
      </c>
      <c r="AD558" s="14">
        <f>SUMIFS(Donnees_annuelles!$Y$3:$Y$188,Donnees_annuelles!$A$3:$A$188,M558)*SUMIFS(Donnees_generations!$I$3:$I$113,Donnees_generations!$A$3:$A$113,MAX(1915,MIN(2025,E558)))/H558</f>
        <v/>
      </c>
      <c r="AE558" s="14">
        <f>IF(C558="Privé",SUMIFS(Donnees_annuelles!$Y$3:$Y$188,Donnees_annuelles!$A$3:$A$188,M558)*MIN(L558,SUMIFS(Donnees_generations!$I$3:$I$113,Donnees_generations!$A$3:$A$113,MAX(1915,MIN(2025,E558))))/L558,AD558*AC558*MIN(IF(AB558&gt;0,0.8/0.75,1),(L558*4+AB558)/AA558))</f>
        <v/>
      </c>
      <c r="AF558" s="14">
        <f>AE558/12</f>
        <v/>
      </c>
      <c r="AG558" s="77">
        <f>MIN(68,MAX(56,2*INT(K558/2)))</f>
        <v/>
      </c>
      <c r="AH558" s="75">
        <f>(CHOOSE((AG558-56)/2+1,SUMIFS(Donnees_generations!$U$3:$U$113,Donnees_generations!$A$3:$A$113,MAX(1915,MIN(2025,E558))),SUMIFS(Donnees_generations!$V$3:$V$113,Donnees_generations!$A$3:$A$113,MAX(1915,MIN(2025,E558))),SUMIFS(Donnees_generations!$W$3:$W$113,Donnees_generations!$A$3:$A$113,MAX(1915,MIN(2025,E558))),SUMIFS(Donnees_generations!$X$3:$X$113,Donnees_generations!$A$3:$A$113,MAX(1915,MIN(2025,E558))),SUMIFS(Donnees_generations!$Y$3:$Y$113,Donnees_generations!$A$3:$A$113,MAX(1915,MIN(2025,E558))),SUMIFS(Donnees_generations!$Z$3:$Z$113,Donnees_generations!$A$3:$A$113,MAX(1915,MIN(2025,E558))),SUMIFS(Donnees_generations!$AA$3:$AA$113,Donnees_generations!$A$3:$A$113,MAX(1915,MIN(2025,E558))),SUMIFS(Donnees_generations!$AB$3:$AB$113,Donnees_generations!$A$3:$A$113,MAX(1915,MIN(2025,E558))))+CHOOSE((AG558-56)/2+1,SUMIFS(Donnees_generations!$AC$3:$AC$113,Donnees_generations!$A$3:$A$113,MAX(1915,MIN(2025,E558))),SUMIFS(Donnees_generations!$AD$3:$AD$113,Donnees_generations!$A$3:$A$113,MAX(1915,MIN(2025,E558))),SUMIFS(Donnees_generations!$AE$3:$AE$113,Donnees_generations!$A$3:$A$113,MAX(1915,MIN(2025,E558))),SUMIFS(Donnees_generations!$AF$3:$AF$113,Donnees_generations!$A$3:$A$113,MAX(1915,MIN(2025,E558))),SUMIFS(Donnees_generations!$AG$3:$AG$113,Donnees_generations!$A$3:$A$113,MAX(1915,MIN(2025,E558))),SUMIFS(Donnees_generations!$AH$3:$AH$113,Donnees_generations!$A$3:$A$113,MAX(1915,MIN(2025,E558))),SUMIFS(Donnees_generations!$AI$3:$AI$113,Donnees_generations!$A$3:$A$113,MAX(1915,MIN(2025,E558))),SUMIFS(Donnees_generations!$AJ$3:$AJ$113,Donnees_generations!$A$3:$A$113,MAX(1915,MIN(2025,E558)))))/2</f>
        <v/>
      </c>
      <c r="AI558" s="75">
        <f>(CHOOSE(((AG558+2)-56)/2+1,SUMIFS(Donnees_generations!$U$3:$U$113,Donnees_generations!$A$3:$A$113,MAX(1915,MIN(2025,E558))),SUMIFS(Donnees_generations!$V$3:$V$113,Donnees_generations!$A$3:$A$113,MAX(1915,MIN(2025,E558))),SUMIFS(Donnees_generations!$W$3:$W$113,Donnees_generations!$A$3:$A$113,MAX(1915,MIN(2025,E558))),SUMIFS(Donnees_generations!$X$3:$X$113,Donnees_generations!$A$3:$A$113,MAX(1915,MIN(2025,E558))),SUMIFS(Donnees_generations!$Y$3:$Y$113,Donnees_generations!$A$3:$A$113,MAX(1915,MIN(2025,E558))),SUMIFS(Donnees_generations!$Z$3:$Z$113,Donnees_generations!$A$3:$A$113,MAX(1915,MIN(2025,E558))),SUMIFS(Donnees_generations!$AA$3:$AA$113,Donnees_generations!$A$3:$A$113,MAX(1915,MIN(2025,E558))),SUMIFS(Donnees_generations!$AB$3:$AB$113,Donnees_generations!$A$3:$A$113,MAX(1915,MIN(2025,E558))))+CHOOSE(((AG558+2)-56)/2+1,SUMIFS(Donnees_generations!$AC$3:$AC$113,Donnees_generations!$A$3:$A$113,MAX(1915,MIN(2025,E558))),SUMIFS(Donnees_generations!$AD$3:$AD$113,Donnees_generations!$A$3:$A$113,MAX(1915,MIN(2025,E558))),SUMIFS(Donnees_generations!$AE$3:$AE$113,Donnees_generations!$A$3:$A$113,MAX(1915,MIN(2025,E558))),SUMIFS(Donnees_generations!$AF$3:$AF$113,Donnees_generations!$A$3:$A$113,MAX(1915,MIN(2025,E558))),SUMIFS(Donnees_generations!$AG$3:$AG$113,Donnees_generations!$A$3:$A$113,MAX(1915,MIN(2025,E558))),SUMIFS(Donnees_generations!$AH$3:$AH$113,Donnees_generations!$A$3:$A$113,MAX(1915,MIN(2025,E558))),SUMIFS(Donnees_generations!$AI$3:$AI$113,Donnees_generations!$A$3:$A$113,MAX(1915,MIN(2025,E558))),SUMIFS(Donnees_generations!$AJ$3:$AJ$113,Donnees_generations!$A$3:$A$113,MAX(1915,MIN(2025,E558)))))/2</f>
        <v/>
      </c>
      <c r="AJ558" s="8">
        <f>MAX(0,AH558+(AI558-AH558)*(K558-AG558)/2)</f>
        <v/>
      </c>
      <c r="AK558" s="8">
        <f>K558+AJ558</f>
        <v/>
      </c>
      <c r="AL558" s="14">
        <f>AE558*AJ558</f>
        <v/>
      </c>
      <c r="AM558" s="17">
        <f>V558/AL558</f>
        <v/>
      </c>
      <c r="AN558" s="17">
        <f>Z558/AL558</f>
        <v/>
      </c>
      <c r="AO558" s="33">
        <f>IF(V558+Z558=0,0,Z558/(V558+Z558))</f>
        <v/>
      </c>
      <c r="AP558" s="14">
        <f>AL558/V558*100</f>
        <v/>
      </c>
      <c r="AQ558" s="8">
        <f>P558/AL558*1000</f>
        <v/>
      </c>
      <c r="AR558" s="77">
        <f>MAX(N558,M558-1)</f>
        <v/>
      </c>
      <c r="AS558" s="14">
        <f>SUMIFS(Donnees_regimes!$R$3:$R$1118,Donnees_regimes!$A$3:$A$1118,C558,Donnees_regimes!$B$3:$B$1118,"&gt;="&amp;G558,Donnees_regimes!$B$3:$B$1118,"&lt;="&amp;N558)*L558/ROUNDUP(L558,0)*SUMIFS(Donnees_annuelles!$AG$3:$AG$188,Donnees_annuelles!$A$3:$A$188,AR558)*SUMIFS(Donnees_annuelles!$AA$3:$AA$188,Donnees_annuelles!$A$3:$A$188,AR558)</f>
        <v/>
      </c>
      <c r="AT558" s="36">
        <f>AS558/V558</f>
        <v/>
      </c>
      <c r="AU558" s="14">
        <f>AL558</f>
        <v/>
      </c>
      <c r="AV558" s="39">
        <f>AS558-AL558</f>
        <v/>
      </c>
      <c r="AW558" s="9">
        <f>AS558/AL558-1</f>
        <v/>
      </c>
      <c r="AX558" s="14">
        <f>AS558/AJ558/12</f>
        <v/>
      </c>
      <c r="AY558" s="14">
        <f>AF558</f>
        <v/>
      </c>
      <c r="AZ558" s="39">
        <f>AX558-AF558</f>
        <v/>
      </c>
      <c r="BA558" s="14">
        <f>SUMIFS(Donnees_regimes!$S$3:$S$1118,Donnees_regimes!$A$3:$A$1118,C558,Donnees_regimes!$B$3:$B$1118,"&gt;="&amp;G558,Donnees_regimes!$B$3:$B$1118,"&lt;="&amp;N558)*L558/ROUNDUP(L558,0)*SUMIFS(Donnees_annuelles!$AH$3:$AH$188,Donnees_annuelles!$A$3:$A$188,AR558)*SUMIFS(Donnees_annuelles!$AA$3:$AA$188,Donnees_annuelles!$A$3:$A$188,AR558)</f>
        <v/>
      </c>
      <c r="BB558" s="39">
        <f>BA558-AL558</f>
        <v/>
      </c>
      <c r="BC558" s="7">
        <f>IF(M558+AJ558&gt;2026,IF(G558&gt;2026,"entièrement projeté","en partie projeté"),"observé")</f>
        <v/>
      </c>
    </row>
    <row r="559">
      <c r="A559" s="7" t="inlineStr">
        <is>
          <t>Génération Y</t>
        </is>
      </c>
      <c r="B559" s="84" t="inlineStr">
        <is>
          <t>IEG</t>
        </is>
      </c>
      <c r="C559" s="7">
        <f>IF(G559&gt;=SUMIFS(Regimes!$C$5:$C$10,Regimes!$A$5:$A$10,B559),"Privé",B559)</f>
        <v/>
      </c>
      <c r="D559" s="7">
        <f>INDEX(Regimes!$D$5:$D$10,MATCH(C559,Regimes!$A$5:$A$10,0))</f>
        <v/>
      </c>
      <c r="E559" s="88" t="n">
        <v>1994</v>
      </c>
      <c r="F559" s="8">
        <f>Donnees_generations!C82</f>
        <v/>
      </c>
      <c r="G559" s="77">
        <f>Donnees_generations!D82</f>
        <v/>
      </c>
      <c r="H559" s="8">
        <f>SUMIFS(Donnees_generations!$S$3:$S$113,Donnees_generations!$A$3:$A$113,MAX(1915,MIN(2025,E559)))</f>
        <v/>
      </c>
      <c r="I559" s="8">
        <f>SUMIFS(Donnees_generations!$T$3:$T$113,Donnees_generations!$A$3:$A$113,MAX(1915,MIN(2025,E559)))</f>
        <v/>
      </c>
      <c r="J559" s="8">
        <f>IF(G559&gt;=2000,MAX(I559,Parametres!$B$3),I559)</f>
        <v/>
      </c>
      <c r="K559" s="8">
        <f>IF(C559="Privé",J559,SUMIFS(Regles_regimes!$J$3:$J$2000,Regles_regimes!$A$3:$A$2000,C559,Regles_regimes!$B$3:$B$2000,D559,Regles_regimes!$C$3:$C$2000,MAX(1915,MIN(2025,E559))))</f>
        <v/>
      </c>
      <c r="L559" s="8">
        <f>IF(C559="Privé",H559,(K559-F559)*H559/(J559-F559))</f>
        <v/>
      </c>
      <c r="M559" s="77">
        <f>INT(E559+K559)</f>
        <v/>
      </c>
      <c r="N559" s="77">
        <f>G559+ROUNDUP(L559,0)-1</f>
        <v/>
      </c>
      <c r="O559" s="89">
        <f>SUMIFS(Regles_regimes!$K$3:$K$2000,Regles_regimes!$A$3:$A$2000,C559,Regles_regimes!$B$3:$B$2000,D559,Regles_regimes!$C$3:$C$2000,MAX(1915,MIN(2025,E559)))</f>
        <v/>
      </c>
      <c r="P559" s="13">
        <f>SUMIFS(Donnees_annuelles!$W$3:$W$188,Donnees_annuelles!$A$3:$A$188,"&gt;="&amp;G559,Donnees_annuelles!$A$3:$A$188,"&lt;="&amp;N559)*L559/ROUNDUP(L559,0)*O559</f>
        <v/>
      </c>
      <c r="Q559" s="13">
        <f>SUMIFS(Donnees_annuelles!$V$3:$V$188,Donnees_annuelles!$A$3:$A$188,"&gt;="&amp;G559,Donnees_annuelles!$A$3:$A$188,"&lt;="&amp;N559)*L559/ROUNDUP(L559,0)</f>
        <v/>
      </c>
      <c r="R559" s="13">
        <f>P559/L559</f>
        <v/>
      </c>
      <c r="S559" s="14">
        <f>SUMIFS(Donnees_annuelles!$D$3:$D$188,Donnees_annuelles!$A$3:$A$188,"&gt;="&amp;G559,Donnees_annuelles!$A$3:$A$188,"&lt;="&amp;N559)*L559/ROUNDUP(L559,0)</f>
        <v/>
      </c>
      <c r="T559" s="14">
        <f>SUMIFS(Donnees_regimes!$N$3:$N$1118,Donnees_regimes!$A$3:$A$1118,C559,Donnees_regimes!$B$3:$B$1118,"&gt;="&amp;G559,Donnees_regimes!$B$3:$B$1118,"&lt;="&amp;N559)*L559/ROUNDUP(L559,0)</f>
        <v/>
      </c>
      <c r="U559" s="14">
        <f>SUMIFS(Donnees_regimes!$O$3:$O$1118,Donnees_regimes!$A$3:$A$1118,C559,Donnees_regimes!$B$3:$B$1118,"&gt;="&amp;G559,Donnees_regimes!$B$3:$B$1118,"&lt;="&amp;N559)*L559/ROUNDUP(L559,0)</f>
        <v/>
      </c>
      <c r="V559" s="14">
        <f>T559+U559</f>
        <v/>
      </c>
      <c r="W559" s="33">
        <f>V559/S559</f>
        <v/>
      </c>
      <c r="X559" s="14">
        <f>S559+U559</f>
        <v/>
      </c>
      <c r="Y559" s="17">
        <f>V559/P559</f>
        <v/>
      </c>
      <c r="Z559" s="14">
        <f>SUMIFS(Donnees_regimes!$Q$3:$Q$1118,Donnees_regimes!$A$3:$A$1118,C559,Donnees_regimes!$B$3:$B$1118,"&gt;="&amp;G559,Donnees_regimes!$B$3:$B$1118,"&lt;="&amp;N559)*L559/ROUNDUP(L559,0)</f>
        <v/>
      </c>
      <c r="AA559" s="77">
        <f>SUMIFS(Regles_regimes!$F$3:$F$2000,Regles_regimes!$A$3:$A$2000,C559,Regles_regimes!$B$3:$B$2000,D559,Regles_regimes!$C$3:$C$2000,MAX(1915,MIN(2025,E559)))</f>
        <v/>
      </c>
      <c r="AB559" s="77">
        <f>IF(AND(SUMIFS(Regles_regimes!$L$3:$L$2000,Regles_regimes!$A$3:$A$2000,C559,Regles_regimes!$B$3:$B$2000,D559,Regles_regimes!$C$3:$C$2000,MAX(1915,MIN(2025,E559)))=1,G559&lt;2009,C559&lt;&gt;"Privé"),MIN(20,L559*4/5),0)</f>
        <v/>
      </c>
      <c r="AC559" s="89">
        <f>SUMIFS(Donnees_regimes!$M$3:$M$1118,Donnees_regimes!$A$3:$A$1118,C559,Donnees_regimes!$B$3:$B$1118,M559)</f>
        <v/>
      </c>
      <c r="AD559" s="14">
        <f>SUMIFS(Donnees_annuelles!$Y$3:$Y$188,Donnees_annuelles!$A$3:$A$188,M559)*SUMIFS(Donnees_generations!$I$3:$I$113,Donnees_generations!$A$3:$A$113,MAX(1915,MIN(2025,E559)))/H559</f>
        <v/>
      </c>
      <c r="AE559" s="14">
        <f>IF(C559="Privé",SUMIFS(Donnees_annuelles!$Y$3:$Y$188,Donnees_annuelles!$A$3:$A$188,M559)*MIN(L559,SUMIFS(Donnees_generations!$I$3:$I$113,Donnees_generations!$A$3:$A$113,MAX(1915,MIN(2025,E559))))/L559,AD559*AC559*MIN(IF(AB559&gt;0,0.8/0.75,1),(L559*4+AB559)/AA559))</f>
        <v/>
      </c>
      <c r="AF559" s="14">
        <f>AE559/12</f>
        <v/>
      </c>
      <c r="AG559" s="77">
        <f>MIN(68,MAX(56,2*INT(K559/2)))</f>
        <v/>
      </c>
      <c r="AH559" s="75">
        <f>(CHOOSE((AG559-56)/2+1,SUMIFS(Donnees_generations!$U$3:$U$113,Donnees_generations!$A$3:$A$113,MAX(1915,MIN(2025,E559))),SUMIFS(Donnees_generations!$V$3:$V$113,Donnees_generations!$A$3:$A$113,MAX(1915,MIN(2025,E559))),SUMIFS(Donnees_generations!$W$3:$W$113,Donnees_generations!$A$3:$A$113,MAX(1915,MIN(2025,E559))),SUMIFS(Donnees_generations!$X$3:$X$113,Donnees_generations!$A$3:$A$113,MAX(1915,MIN(2025,E559))),SUMIFS(Donnees_generations!$Y$3:$Y$113,Donnees_generations!$A$3:$A$113,MAX(1915,MIN(2025,E559))),SUMIFS(Donnees_generations!$Z$3:$Z$113,Donnees_generations!$A$3:$A$113,MAX(1915,MIN(2025,E559))),SUMIFS(Donnees_generations!$AA$3:$AA$113,Donnees_generations!$A$3:$A$113,MAX(1915,MIN(2025,E559))),SUMIFS(Donnees_generations!$AB$3:$AB$113,Donnees_generations!$A$3:$A$113,MAX(1915,MIN(2025,E559))))+CHOOSE((AG559-56)/2+1,SUMIFS(Donnees_generations!$AC$3:$AC$113,Donnees_generations!$A$3:$A$113,MAX(1915,MIN(2025,E559))),SUMIFS(Donnees_generations!$AD$3:$AD$113,Donnees_generations!$A$3:$A$113,MAX(1915,MIN(2025,E559))),SUMIFS(Donnees_generations!$AE$3:$AE$113,Donnees_generations!$A$3:$A$113,MAX(1915,MIN(2025,E559))),SUMIFS(Donnees_generations!$AF$3:$AF$113,Donnees_generations!$A$3:$A$113,MAX(1915,MIN(2025,E559))),SUMIFS(Donnees_generations!$AG$3:$AG$113,Donnees_generations!$A$3:$A$113,MAX(1915,MIN(2025,E559))),SUMIFS(Donnees_generations!$AH$3:$AH$113,Donnees_generations!$A$3:$A$113,MAX(1915,MIN(2025,E559))),SUMIFS(Donnees_generations!$AI$3:$AI$113,Donnees_generations!$A$3:$A$113,MAX(1915,MIN(2025,E559))),SUMIFS(Donnees_generations!$AJ$3:$AJ$113,Donnees_generations!$A$3:$A$113,MAX(1915,MIN(2025,E559)))))/2</f>
        <v/>
      </c>
      <c r="AI559" s="75">
        <f>(CHOOSE(((AG559+2)-56)/2+1,SUMIFS(Donnees_generations!$U$3:$U$113,Donnees_generations!$A$3:$A$113,MAX(1915,MIN(2025,E559))),SUMIFS(Donnees_generations!$V$3:$V$113,Donnees_generations!$A$3:$A$113,MAX(1915,MIN(2025,E559))),SUMIFS(Donnees_generations!$W$3:$W$113,Donnees_generations!$A$3:$A$113,MAX(1915,MIN(2025,E559))),SUMIFS(Donnees_generations!$X$3:$X$113,Donnees_generations!$A$3:$A$113,MAX(1915,MIN(2025,E559))),SUMIFS(Donnees_generations!$Y$3:$Y$113,Donnees_generations!$A$3:$A$113,MAX(1915,MIN(2025,E559))),SUMIFS(Donnees_generations!$Z$3:$Z$113,Donnees_generations!$A$3:$A$113,MAX(1915,MIN(2025,E559))),SUMIFS(Donnees_generations!$AA$3:$AA$113,Donnees_generations!$A$3:$A$113,MAX(1915,MIN(2025,E559))),SUMIFS(Donnees_generations!$AB$3:$AB$113,Donnees_generations!$A$3:$A$113,MAX(1915,MIN(2025,E559))))+CHOOSE(((AG559+2)-56)/2+1,SUMIFS(Donnees_generations!$AC$3:$AC$113,Donnees_generations!$A$3:$A$113,MAX(1915,MIN(2025,E559))),SUMIFS(Donnees_generations!$AD$3:$AD$113,Donnees_generations!$A$3:$A$113,MAX(1915,MIN(2025,E559))),SUMIFS(Donnees_generations!$AE$3:$AE$113,Donnees_generations!$A$3:$A$113,MAX(1915,MIN(2025,E559))),SUMIFS(Donnees_generations!$AF$3:$AF$113,Donnees_generations!$A$3:$A$113,MAX(1915,MIN(2025,E559))),SUMIFS(Donnees_generations!$AG$3:$AG$113,Donnees_generations!$A$3:$A$113,MAX(1915,MIN(2025,E559))),SUMIFS(Donnees_generations!$AH$3:$AH$113,Donnees_generations!$A$3:$A$113,MAX(1915,MIN(2025,E559))),SUMIFS(Donnees_generations!$AI$3:$AI$113,Donnees_generations!$A$3:$A$113,MAX(1915,MIN(2025,E559))),SUMIFS(Donnees_generations!$AJ$3:$AJ$113,Donnees_generations!$A$3:$A$113,MAX(1915,MIN(2025,E559)))))/2</f>
        <v/>
      </c>
      <c r="AJ559" s="8">
        <f>MAX(0,AH559+(AI559-AH559)*(K559-AG559)/2)</f>
        <v/>
      </c>
      <c r="AK559" s="8">
        <f>K559+AJ559</f>
        <v/>
      </c>
      <c r="AL559" s="14">
        <f>AE559*AJ559</f>
        <v/>
      </c>
      <c r="AM559" s="17">
        <f>V559/AL559</f>
        <v/>
      </c>
      <c r="AN559" s="17">
        <f>Z559/AL559</f>
        <v/>
      </c>
      <c r="AO559" s="33">
        <f>IF(V559+Z559=0,0,Z559/(V559+Z559))</f>
        <v/>
      </c>
      <c r="AP559" s="14">
        <f>AL559/V559*100</f>
        <v/>
      </c>
      <c r="AQ559" s="8">
        <f>P559/AL559*1000</f>
        <v/>
      </c>
      <c r="AR559" s="77">
        <f>MAX(N559,M559-1)</f>
        <v/>
      </c>
      <c r="AS559" s="14">
        <f>SUMIFS(Donnees_regimes!$R$3:$R$1118,Donnees_regimes!$A$3:$A$1118,C559,Donnees_regimes!$B$3:$B$1118,"&gt;="&amp;G559,Donnees_regimes!$B$3:$B$1118,"&lt;="&amp;N559)*L559/ROUNDUP(L559,0)*SUMIFS(Donnees_annuelles!$AG$3:$AG$188,Donnees_annuelles!$A$3:$A$188,AR559)*SUMIFS(Donnees_annuelles!$AA$3:$AA$188,Donnees_annuelles!$A$3:$A$188,AR559)</f>
        <v/>
      </c>
      <c r="AT559" s="36">
        <f>AS559/V559</f>
        <v/>
      </c>
      <c r="AU559" s="14">
        <f>AL559</f>
        <v/>
      </c>
      <c r="AV559" s="39">
        <f>AS559-AL559</f>
        <v/>
      </c>
      <c r="AW559" s="9">
        <f>AS559/AL559-1</f>
        <v/>
      </c>
      <c r="AX559" s="14">
        <f>AS559/AJ559/12</f>
        <v/>
      </c>
      <c r="AY559" s="14">
        <f>AF559</f>
        <v/>
      </c>
      <c r="AZ559" s="39">
        <f>AX559-AF559</f>
        <v/>
      </c>
      <c r="BA559" s="14">
        <f>SUMIFS(Donnees_regimes!$S$3:$S$1118,Donnees_regimes!$A$3:$A$1118,C559,Donnees_regimes!$B$3:$B$1118,"&gt;="&amp;G559,Donnees_regimes!$B$3:$B$1118,"&lt;="&amp;N559)*L559/ROUNDUP(L559,0)*SUMIFS(Donnees_annuelles!$AH$3:$AH$188,Donnees_annuelles!$A$3:$A$188,AR559)*SUMIFS(Donnees_annuelles!$AA$3:$AA$188,Donnees_annuelles!$A$3:$A$188,AR559)</f>
        <v/>
      </c>
      <c r="BB559" s="39">
        <f>BA559-AL559</f>
        <v/>
      </c>
      <c r="BC559" s="7">
        <f>IF(M559+AJ559&gt;2026,IF(G559&gt;2026,"entièrement projeté","en partie projeté"),"observé")</f>
        <v/>
      </c>
    </row>
    <row r="560">
      <c r="A560" s="7" t="inlineStr">
        <is>
          <t>Génération Y</t>
        </is>
      </c>
      <c r="B560" s="84" t="inlineStr">
        <is>
          <t>IEG</t>
        </is>
      </c>
      <c r="C560" s="7">
        <f>IF(G560&gt;=SUMIFS(Regimes!$C$5:$C$10,Regimes!$A$5:$A$10,B560),"Privé",B560)</f>
        <v/>
      </c>
      <c r="D560" s="7">
        <f>INDEX(Regimes!$D$5:$D$10,MATCH(C560,Regimes!$A$5:$A$10,0))</f>
        <v/>
      </c>
      <c r="E560" s="88" t="n">
        <v>1995</v>
      </c>
      <c r="F560" s="8">
        <f>Donnees_generations!C83</f>
        <v/>
      </c>
      <c r="G560" s="77">
        <f>Donnees_generations!D83</f>
        <v/>
      </c>
      <c r="H560" s="8">
        <f>SUMIFS(Donnees_generations!$S$3:$S$113,Donnees_generations!$A$3:$A$113,MAX(1915,MIN(2025,E560)))</f>
        <v/>
      </c>
      <c r="I560" s="8">
        <f>SUMIFS(Donnees_generations!$T$3:$T$113,Donnees_generations!$A$3:$A$113,MAX(1915,MIN(2025,E560)))</f>
        <v/>
      </c>
      <c r="J560" s="8">
        <f>IF(G560&gt;=2000,MAX(I560,Parametres!$B$3),I560)</f>
        <v/>
      </c>
      <c r="K560" s="8">
        <f>IF(C560="Privé",J560,SUMIFS(Regles_regimes!$J$3:$J$2000,Regles_regimes!$A$3:$A$2000,C560,Regles_regimes!$B$3:$B$2000,D560,Regles_regimes!$C$3:$C$2000,MAX(1915,MIN(2025,E560))))</f>
        <v/>
      </c>
      <c r="L560" s="8">
        <f>IF(C560="Privé",H560,(K560-F560)*H560/(J560-F560))</f>
        <v/>
      </c>
      <c r="M560" s="77">
        <f>INT(E560+K560)</f>
        <v/>
      </c>
      <c r="N560" s="77">
        <f>G560+ROUNDUP(L560,0)-1</f>
        <v/>
      </c>
      <c r="O560" s="89">
        <f>SUMIFS(Regles_regimes!$K$3:$K$2000,Regles_regimes!$A$3:$A$2000,C560,Regles_regimes!$B$3:$B$2000,D560,Regles_regimes!$C$3:$C$2000,MAX(1915,MIN(2025,E560)))</f>
        <v/>
      </c>
      <c r="P560" s="13">
        <f>SUMIFS(Donnees_annuelles!$W$3:$W$188,Donnees_annuelles!$A$3:$A$188,"&gt;="&amp;G560,Donnees_annuelles!$A$3:$A$188,"&lt;="&amp;N560)*L560/ROUNDUP(L560,0)*O560</f>
        <v/>
      </c>
      <c r="Q560" s="13">
        <f>SUMIFS(Donnees_annuelles!$V$3:$V$188,Donnees_annuelles!$A$3:$A$188,"&gt;="&amp;G560,Donnees_annuelles!$A$3:$A$188,"&lt;="&amp;N560)*L560/ROUNDUP(L560,0)</f>
        <v/>
      </c>
      <c r="R560" s="13">
        <f>P560/L560</f>
        <v/>
      </c>
      <c r="S560" s="14">
        <f>SUMIFS(Donnees_annuelles!$D$3:$D$188,Donnees_annuelles!$A$3:$A$188,"&gt;="&amp;G560,Donnees_annuelles!$A$3:$A$188,"&lt;="&amp;N560)*L560/ROUNDUP(L560,0)</f>
        <v/>
      </c>
      <c r="T560" s="14">
        <f>SUMIFS(Donnees_regimes!$N$3:$N$1118,Donnees_regimes!$A$3:$A$1118,C560,Donnees_regimes!$B$3:$B$1118,"&gt;="&amp;G560,Donnees_regimes!$B$3:$B$1118,"&lt;="&amp;N560)*L560/ROUNDUP(L560,0)</f>
        <v/>
      </c>
      <c r="U560" s="14">
        <f>SUMIFS(Donnees_regimes!$O$3:$O$1118,Donnees_regimes!$A$3:$A$1118,C560,Donnees_regimes!$B$3:$B$1118,"&gt;="&amp;G560,Donnees_regimes!$B$3:$B$1118,"&lt;="&amp;N560)*L560/ROUNDUP(L560,0)</f>
        <v/>
      </c>
      <c r="V560" s="14">
        <f>T560+U560</f>
        <v/>
      </c>
      <c r="W560" s="33">
        <f>V560/S560</f>
        <v/>
      </c>
      <c r="X560" s="14">
        <f>S560+U560</f>
        <v/>
      </c>
      <c r="Y560" s="17">
        <f>V560/P560</f>
        <v/>
      </c>
      <c r="Z560" s="14">
        <f>SUMIFS(Donnees_regimes!$Q$3:$Q$1118,Donnees_regimes!$A$3:$A$1118,C560,Donnees_regimes!$B$3:$B$1118,"&gt;="&amp;G560,Donnees_regimes!$B$3:$B$1118,"&lt;="&amp;N560)*L560/ROUNDUP(L560,0)</f>
        <v/>
      </c>
      <c r="AA560" s="77">
        <f>SUMIFS(Regles_regimes!$F$3:$F$2000,Regles_regimes!$A$3:$A$2000,C560,Regles_regimes!$B$3:$B$2000,D560,Regles_regimes!$C$3:$C$2000,MAX(1915,MIN(2025,E560)))</f>
        <v/>
      </c>
      <c r="AB560" s="77">
        <f>IF(AND(SUMIFS(Regles_regimes!$L$3:$L$2000,Regles_regimes!$A$3:$A$2000,C560,Regles_regimes!$B$3:$B$2000,D560,Regles_regimes!$C$3:$C$2000,MAX(1915,MIN(2025,E560)))=1,G560&lt;2009,C560&lt;&gt;"Privé"),MIN(20,L560*4/5),0)</f>
        <v/>
      </c>
      <c r="AC560" s="89">
        <f>SUMIFS(Donnees_regimes!$M$3:$M$1118,Donnees_regimes!$A$3:$A$1118,C560,Donnees_regimes!$B$3:$B$1118,M560)</f>
        <v/>
      </c>
      <c r="AD560" s="14">
        <f>SUMIFS(Donnees_annuelles!$Y$3:$Y$188,Donnees_annuelles!$A$3:$A$188,M560)*SUMIFS(Donnees_generations!$I$3:$I$113,Donnees_generations!$A$3:$A$113,MAX(1915,MIN(2025,E560)))/H560</f>
        <v/>
      </c>
      <c r="AE560" s="14">
        <f>IF(C560="Privé",SUMIFS(Donnees_annuelles!$Y$3:$Y$188,Donnees_annuelles!$A$3:$A$188,M560)*MIN(L560,SUMIFS(Donnees_generations!$I$3:$I$113,Donnees_generations!$A$3:$A$113,MAX(1915,MIN(2025,E560))))/L560,AD560*AC560*MIN(IF(AB560&gt;0,0.8/0.75,1),(L560*4+AB560)/AA560))</f>
        <v/>
      </c>
      <c r="AF560" s="14">
        <f>AE560/12</f>
        <v/>
      </c>
      <c r="AG560" s="77">
        <f>MIN(68,MAX(56,2*INT(K560/2)))</f>
        <v/>
      </c>
      <c r="AH560" s="75">
        <f>(CHOOSE((AG560-56)/2+1,SUMIFS(Donnees_generations!$U$3:$U$113,Donnees_generations!$A$3:$A$113,MAX(1915,MIN(2025,E560))),SUMIFS(Donnees_generations!$V$3:$V$113,Donnees_generations!$A$3:$A$113,MAX(1915,MIN(2025,E560))),SUMIFS(Donnees_generations!$W$3:$W$113,Donnees_generations!$A$3:$A$113,MAX(1915,MIN(2025,E560))),SUMIFS(Donnees_generations!$X$3:$X$113,Donnees_generations!$A$3:$A$113,MAX(1915,MIN(2025,E560))),SUMIFS(Donnees_generations!$Y$3:$Y$113,Donnees_generations!$A$3:$A$113,MAX(1915,MIN(2025,E560))),SUMIFS(Donnees_generations!$Z$3:$Z$113,Donnees_generations!$A$3:$A$113,MAX(1915,MIN(2025,E560))),SUMIFS(Donnees_generations!$AA$3:$AA$113,Donnees_generations!$A$3:$A$113,MAX(1915,MIN(2025,E560))),SUMIFS(Donnees_generations!$AB$3:$AB$113,Donnees_generations!$A$3:$A$113,MAX(1915,MIN(2025,E560))))+CHOOSE((AG560-56)/2+1,SUMIFS(Donnees_generations!$AC$3:$AC$113,Donnees_generations!$A$3:$A$113,MAX(1915,MIN(2025,E560))),SUMIFS(Donnees_generations!$AD$3:$AD$113,Donnees_generations!$A$3:$A$113,MAX(1915,MIN(2025,E560))),SUMIFS(Donnees_generations!$AE$3:$AE$113,Donnees_generations!$A$3:$A$113,MAX(1915,MIN(2025,E560))),SUMIFS(Donnees_generations!$AF$3:$AF$113,Donnees_generations!$A$3:$A$113,MAX(1915,MIN(2025,E560))),SUMIFS(Donnees_generations!$AG$3:$AG$113,Donnees_generations!$A$3:$A$113,MAX(1915,MIN(2025,E560))),SUMIFS(Donnees_generations!$AH$3:$AH$113,Donnees_generations!$A$3:$A$113,MAX(1915,MIN(2025,E560))),SUMIFS(Donnees_generations!$AI$3:$AI$113,Donnees_generations!$A$3:$A$113,MAX(1915,MIN(2025,E560))),SUMIFS(Donnees_generations!$AJ$3:$AJ$113,Donnees_generations!$A$3:$A$113,MAX(1915,MIN(2025,E560)))))/2</f>
        <v/>
      </c>
      <c r="AI560" s="75">
        <f>(CHOOSE(((AG560+2)-56)/2+1,SUMIFS(Donnees_generations!$U$3:$U$113,Donnees_generations!$A$3:$A$113,MAX(1915,MIN(2025,E560))),SUMIFS(Donnees_generations!$V$3:$V$113,Donnees_generations!$A$3:$A$113,MAX(1915,MIN(2025,E560))),SUMIFS(Donnees_generations!$W$3:$W$113,Donnees_generations!$A$3:$A$113,MAX(1915,MIN(2025,E560))),SUMIFS(Donnees_generations!$X$3:$X$113,Donnees_generations!$A$3:$A$113,MAX(1915,MIN(2025,E560))),SUMIFS(Donnees_generations!$Y$3:$Y$113,Donnees_generations!$A$3:$A$113,MAX(1915,MIN(2025,E560))),SUMIFS(Donnees_generations!$Z$3:$Z$113,Donnees_generations!$A$3:$A$113,MAX(1915,MIN(2025,E560))),SUMIFS(Donnees_generations!$AA$3:$AA$113,Donnees_generations!$A$3:$A$113,MAX(1915,MIN(2025,E560))),SUMIFS(Donnees_generations!$AB$3:$AB$113,Donnees_generations!$A$3:$A$113,MAX(1915,MIN(2025,E560))))+CHOOSE(((AG560+2)-56)/2+1,SUMIFS(Donnees_generations!$AC$3:$AC$113,Donnees_generations!$A$3:$A$113,MAX(1915,MIN(2025,E560))),SUMIFS(Donnees_generations!$AD$3:$AD$113,Donnees_generations!$A$3:$A$113,MAX(1915,MIN(2025,E560))),SUMIFS(Donnees_generations!$AE$3:$AE$113,Donnees_generations!$A$3:$A$113,MAX(1915,MIN(2025,E560))),SUMIFS(Donnees_generations!$AF$3:$AF$113,Donnees_generations!$A$3:$A$113,MAX(1915,MIN(2025,E560))),SUMIFS(Donnees_generations!$AG$3:$AG$113,Donnees_generations!$A$3:$A$113,MAX(1915,MIN(2025,E560))),SUMIFS(Donnees_generations!$AH$3:$AH$113,Donnees_generations!$A$3:$A$113,MAX(1915,MIN(2025,E560))),SUMIFS(Donnees_generations!$AI$3:$AI$113,Donnees_generations!$A$3:$A$113,MAX(1915,MIN(2025,E560))),SUMIFS(Donnees_generations!$AJ$3:$AJ$113,Donnees_generations!$A$3:$A$113,MAX(1915,MIN(2025,E560)))))/2</f>
        <v/>
      </c>
      <c r="AJ560" s="8">
        <f>MAX(0,AH560+(AI560-AH560)*(K560-AG560)/2)</f>
        <v/>
      </c>
      <c r="AK560" s="8">
        <f>K560+AJ560</f>
        <v/>
      </c>
      <c r="AL560" s="14">
        <f>AE560*AJ560</f>
        <v/>
      </c>
      <c r="AM560" s="17">
        <f>V560/AL560</f>
        <v/>
      </c>
      <c r="AN560" s="17">
        <f>Z560/AL560</f>
        <v/>
      </c>
      <c r="AO560" s="33">
        <f>IF(V560+Z560=0,0,Z560/(V560+Z560))</f>
        <v/>
      </c>
      <c r="AP560" s="14">
        <f>AL560/V560*100</f>
        <v/>
      </c>
      <c r="AQ560" s="8">
        <f>P560/AL560*1000</f>
        <v/>
      </c>
      <c r="AR560" s="77">
        <f>MAX(N560,M560-1)</f>
        <v/>
      </c>
      <c r="AS560" s="14">
        <f>SUMIFS(Donnees_regimes!$R$3:$R$1118,Donnees_regimes!$A$3:$A$1118,C560,Donnees_regimes!$B$3:$B$1118,"&gt;="&amp;G560,Donnees_regimes!$B$3:$B$1118,"&lt;="&amp;N560)*L560/ROUNDUP(L560,0)*SUMIFS(Donnees_annuelles!$AG$3:$AG$188,Donnees_annuelles!$A$3:$A$188,AR560)*SUMIFS(Donnees_annuelles!$AA$3:$AA$188,Donnees_annuelles!$A$3:$A$188,AR560)</f>
        <v/>
      </c>
      <c r="AT560" s="36">
        <f>AS560/V560</f>
        <v/>
      </c>
      <c r="AU560" s="14">
        <f>AL560</f>
        <v/>
      </c>
      <c r="AV560" s="39">
        <f>AS560-AL560</f>
        <v/>
      </c>
      <c r="AW560" s="9">
        <f>AS560/AL560-1</f>
        <v/>
      </c>
      <c r="AX560" s="14">
        <f>AS560/AJ560/12</f>
        <v/>
      </c>
      <c r="AY560" s="14">
        <f>AF560</f>
        <v/>
      </c>
      <c r="AZ560" s="39">
        <f>AX560-AF560</f>
        <v/>
      </c>
      <c r="BA560" s="14">
        <f>SUMIFS(Donnees_regimes!$S$3:$S$1118,Donnees_regimes!$A$3:$A$1118,C560,Donnees_regimes!$B$3:$B$1118,"&gt;="&amp;G560,Donnees_regimes!$B$3:$B$1118,"&lt;="&amp;N560)*L560/ROUNDUP(L560,0)*SUMIFS(Donnees_annuelles!$AH$3:$AH$188,Donnees_annuelles!$A$3:$A$188,AR560)*SUMIFS(Donnees_annuelles!$AA$3:$AA$188,Donnees_annuelles!$A$3:$A$188,AR560)</f>
        <v/>
      </c>
      <c r="BB560" s="39">
        <f>BA560-AL560</f>
        <v/>
      </c>
      <c r="BC560" s="7">
        <f>IF(M560+AJ560&gt;2026,IF(G560&gt;2026,"entièrement projeté","en partie projeté"),"observé")</f>
        <v/>
      </c>
    </row>
    <row r="561">
      <c r="A561" s="7" t="inlineStr">
        <is>
          <t>Génération Y</t>
        </is>
      </c>
      <c r="B561" s="84" t="inlineStr">
        <is>
          <t>IEG</t>
        </is>
      </c>
      <c r="C561" s="7">
        <f>IF(G561&gt;=SUMIFS(Regimes!$C$5:$C$10,Regimes!$A$5:$A$10,B561),"Privé",B561)</f>
        <v/>
      </c>
      <c r="D561" s="7">
        <f>INDEX(Regimes!$D$5:$D$10,MATCH(C561,Regimes!$A$5:$A$10,0))</f>
        <v/>
      </c>
      <c r="E561" s="88" t="n">
        <v>1996</v>
      </c>
      <c r="F561" s="8">
        <f>Donnees_generations!C84</f>
        <v/>
      </c>
      <c r="G561" s="77">
        <f>Donnees_generations!D84</f>
        <v/>
      </c>
      <c r="H561" s="8">
        <f>SUMIFS(Donnees_generations!$S$3:$S$113,Donnees_generations!$A$3:$A$113,MAX(1915,MIN(2025,E561)))</f>
        <v/>
      </c>
      <c r="I561" s="8">
        <f>SUMIFS(Donnees_generations!$T$3:$T$113,Donnees_generations!$A$3:$A$113,MAX(1915,MIN(2025,E561)))</f>
        <v/>
      </c>
      <c r="J561" s="8">
        <f>IF(G561&gt;=2000,MAX(I561,Parametres!$B$3),I561)</f>
        <v/>
      </c>
      <c r="K561" s="8">
        <f>IF(C561="Privé",J561,SUMIFS(Regles_regimes!$J$3:$J$2000,Regles_regimes!$A$3:$A$2000,C561,Regles_regimes!$B$3:$B$2000,D561,Regles_regimes!$C$3:$C$2000,MAX(1915,MIN(2025,E561))))</f>
        <v/>
      </c>
      <c r="L561" s="8">
        <f>IF(C561="Privé",H561,(K561-F561)*H561/(J561-F561))</f>
        <v/>
      </c>
      <c r="M561" s="77">
        <f>INT(E561+K561)</f>
        <v/>
      </c>
      <c r="N561" s="77">
        <f>G561+ROUNDUP(L561,0)-1</f>
        <v/>
      </c>
      <c r="O561" s="89">
        <f>SUMIFS(Regles_regimes!$K$3:$K$2000,Regles_regimes!$A$3:$A$2000,C561,Regles_regimes!$B$3:$B$2000,D561,Regles_regimes!$C$3:$C$2000,MAX(1915,MIN(2025,E561)))</f>
        <v/>
      </c>
      <c r="P561" s="13">
        <f>SUMIFS(Donnees_annuelles!$W$3:$W$188,Donnees_annuelles!$A$3:$A$188,"&gt;="&amp;G561,Donnees_annuelles!$A$3:$A$188,"&lt;="&amp;N561)*L561/ROUNDUP(L561,0)*O561</f>
        <v/>
      </c>
      <c r="Q561" s="13">
        <f>SUMIFS(Donnees_annuelles!$V$3:$V$188,Donnees_annuelles!$A$3:$A$188,"&gt;="&amp;G561,Donnees_annuelles!$A$3:$A$188,"&lt;="&amp;N561)*L561/ROUNDUP(L561,0)</f>
        <v/>
      </c>
      <c r="R561" s="13">
        <f>P561/L561</f>
        <v/>
      </c>
      <c r="S561" s="14">
        <f>SUMIFS(Donnees_annuelles!$D$3:$D$188,Donnees_annuelles!$A$3:$A$188,"&gt;="&amp;G561,Donnees_annuelles!$A$3:$A$188,"&lt;="&amp;N561)*L561/ROUNDUP(L561,0)</f>
        <v/>
      </c>
      <c r="T561" s="14">
        <f>SUMIFS(Donnees_regimes!$N$3:$N$1118,Donnees_regimes!$A$3:$A$1118,C561,Donnees_regimes!$B$3:$B$1118,"&gt;="&amp;G561,Donnees_regimes!$B$3:$B$1118,"&lt;="&amp;N561)*L561/ROUNDUP(L561,0)</f>
        <v/>
      </c>
      <c r="U561" s="14">
        <f>SUMIFS(Donnees_regimes!$O$3:$O$1118,Donnees_regimes!$A$3:$A$1118,C561,Donnees_regimes!$B$3:$B$1118,"&gt;="&amp;G561,Donnees_regimes!$B$3:$B$1118,"&lt;="&amp;N561)*L561/ROUNDUP(L561,0)</f>
        <v/>
      </c>
      <c r="V561" s="14">
        <f>T561+U561</f>
        <v/>
      </c>
      <c r="W561" s="33">
        <f>V561/S561</f>
        <v/>
      </c>
      <c r="X561" s="14">
        <f>S561+U561</f>
        <v/>
      </c>
      <c r="Y561" s="17">
        <f>V561/P561</f>
        <v/>
      </c>
      <c r="Z561" s="14">
        <f>SUMIFS(Donnees_regimes!$Q$3:$Q$1118,Donnees_regimes!$A$3:$A$1118,C561,Donnees_regimes!$B$3:$B$1118,"&gt;="&amp;G561,Donnees_regimes!$B$3:$B$1118,"&lt;="&amp;N561)*L561/ROUNDUP(L561,0)</f>
        <v/>
      </c>
      <c r="AA561" s="77">
        <f>SUMIFS(Regles_regimes!$F$3:$F$2000,Regles_regimes!$A$3:$A$2000,C561,Regles_regimes!$B$3:$B$2000,D561,Regles_regimes!$C$3:$C$2000,MAX(1915,MIN(2025,E561)))</f>
        <v/>
      </c>
      <c r="AB561" s="77">
        <f>IF(AND(SUMIFS(Regles_regimes!$L$3:$L$2000,Regles_regimes!$A$3:$A$2000,C561,Regles_regimes!$B$3:$B$2000,D561,Regles_regimes!$C$3:$C$2000,MAX(1915,MIN(2025,E561)))=1,G561&lt;2009,C561&lt;&gt;"Privé"),MIN(20,L561*4/5),0)</f>
        <v/>
      </c>
      <c r="AC561" s="89">
        <f>SUMIFS(Donnees_regimes!$M$3:$M$1118,Donnees_regimes!$A$3:$A$1118,C561,Donnees_regimes!$B$3:$B$1118,M561)</f>
        <v/>
      </c>
      <c r="AD561" s="14">
        <f>SUMIFS(Donnees_annuelles!$Y$3:$Y$188,Donnees_annuelles!$A$3:$A$188,M561)*SUMIFS(Donnees_generations!$I$3:$I$113,Donnees_generations!$A$3:$A$113,MAX(1915,MIN(2025,E561)))/H561</f>
        <v/>
      </c>
      <c r="AE561" s="14">
        <f>IF(C561="Privé",SUMIFS(Donnees_annuelles!$Y$3:$Y$188,Donnees_annuelles!$A$3:$A$188,M561)*MIN(L561,SUMIFS(Donnees_generations!$I$3:$I$113,Donnees_generations!$A$3:$A$113,MAX(1915,MIN(2025,E561))))/L561,AD561*AC561*MIN(IF(AB561&gt;0,0.8/0.75,1),(L561*4+AB561)/AA561))</f>
        <v/>
      </c>
      <c r="AF561" s="14">
        <f>AE561/12</f>
        <v/>
      </c>
      <c r="AG561" s="77">
        <f>MIN(68,MAX(56,2*INT(K561/2)))</f>
        <v/>
      </c>
      <c r="AH561" s="75">
        <f>(CHOOSE((AG561-56)/2+1,SUMIFS(Donnees_generations!$U$3:$U$113,Donnees_generations!$A$3:$A$113,MAX(1915,MIN(2025,E561))),SUMIFS(Donnees_generations!$V$3:$V$113,Donnees_generations!$A$3:$A$113,MAX(1915,MIN(2025,E561))),SUMIFS(Donnees_generations!$W$3:$W$113,Donnees_generations!$A$3:$A$113,MAX(1915,MIN(2025,E561))),SUMIFS(Donnees_generations!$X$3:$X$113,Donnees_generations!$A$3:$A$113,MAX(1915,MIN(2025,E561))),SUMIFS(Donnees_generations!$Y$3:$Y$113,Donnees_generations!$A$3:$A$113,MAX(1915,MIN(2025,E561))),SUMIFS(Donnees_generations!$Z$3:$Z$113,Donnees_generations!$A$3:$A$113,MAX(1915,MIN(2025,E561))),SUMIFS(Donnees_generations!$AA$3:$AA$113,Donnees_generations!$A$3:$A$113,MAX(1915,MIN(2025,E561))),SUMIFS(Donnees_generations!$AB$3:$AB$113,Donnees_generations!$A$3:$A$113,MAX(1915,MIN(2025,E561))))+CHOOSE((AG561-56)/2+1,SUMIFS(Donnees_generations!$AC$3:$AC$113,Donnees_generations!$A$3:$A$113,MAX(1915,MIN(2025,E561))),SUMIFS(Donnees_generations!$AD$3:$AD$113,Donnees_generations!$A$3:$A$113,MAX(1915,MIN(2025,E561))),SUMIFS(Donnees_generations!$AE$3:$AE$113,Donnees_generations!$A$3:$A$113,MAX(1915,MIN(2025,E561))),SUMIFS(Donnees_generations!$AF$3:$AF$113,Donnees_generations!$A$3:$A$113,MAX(1915,MIN(2025,E561))),SUMIFS(Donnees_generations!$AG$3:$AG$113,Donnees_generations!$A$3:$A$113,MAX(1915,MIN(2025,E561))),SUMIFS(Donnees_generations!$AH$3:$AH$113,Donnees_generations!$A$3:$A$113,MAX(1915,MIN(2025,E561))),SUMIFS(Donnees_generations!$AI$3:$AI$113,Donnees_generations!$A$3:$A$113,MAX(1915,MIN(2025,E561))),SUMIFS(Donnees_generations!$AJ$3:$AJ$113,Donnees_generations!$A$3:$A$113,MAX(1915,MIN(2025,E561)))))/2</f>
        <v/>
      </c>
      <c r="AI561" s="75">
        <f>(CHOOSE(((AG561+2)-56)/2+1,SUMIFS(Donnees_generations!$U$3:$U$113,Donnees_generations!$A$3:$A$113,MAX(1915,MIN(2025,E561))),SUMIFS(Donnees_generations!$V$3:$V$113,Donnees_generations!$A$3:$A$113,MAX(1915,MIN(2025,E561))),SUMIFS(Donnees_generations!$W$3:$W$113,Donnees_generations!$A$3:$A$113,MAX(1915,MIN(2025,E561))),SUMIFS(Donnees_generations!$X$3:$X$113,Donnees_generations!$A$3:$A$113,MAX(1915,MIN(2025,E561))),SUMIFS(Donnees_generations!$Y$3:$Y$113,Donnees_generations!$A$3:$A$113,MAX(1915,MIN(2025,E561))),SUMIFS(Donnees_generations!$Z$3:$Z$113,Donnees_generations!$A$3:$A$113,MAX(1915,MIN(2025,E561))),SUMIFS(Donnees_generations!$AA$3:$AA$113,Donnees_generations!$A$3:$A$113,MAX(1915,MIN(2025,E561))),SUMIFS(Donnees_generations!$AB$3:$AB$113,Donnees_generations!$A$3:$A$113,MAX(1915,MIN(2025,E561))))+CHOOSE(((AG561+2)-56)/2+1,SUMIFS(Donnees_generations!$AC$3:$AC$113,Donnees_generations!$A$3:$A$113,MAX(1915,MIN(2025,E561))),SUMIFS(Donnees_generations!$AD$3:$AD$113,Donnees_generations!$A$3:$A$113,MAX(1915,MIN(2025,E561))),SUMIFS(Donnees_generations!$AE$3:$AE$113,Donnees_generations!$A$3:$A$113,MAX(1915,MIN(2025,E561))),SUMIFS(Donnees_generations!$AF$3:$AF$113,Donnees_generations!$A$3:$A$113,MAX(1915,MIN(2025,E561))),SUMIFS(Donnees_generations!$AG$3:$AG$113,Donnees_generations!$A$3:$A$113,MAX(1915,MIN(2025,E561))),SUMIFS(Donnees_generations!$AH$3:$AH$113,Donnees_generations!$A$3:$A$113,MAX(1915,MIN(2025,E561))),SUMIFS(Donnees_generations!$AI$3:$AI$113,Donnees_generations!$A$3:$A$113,MAX(1915,MIN(2025,E561))),SUMIFS(Donnees_generations!$AJ$3:$AJ$113,Donnees_generations!$A$3:$A$113,MAX(1915,MIN(2025,E561)))))/2</f>
        <v/>
      </c>
      <c r="AJ561" s="8">
        <f>MAX(0,AH561+(AI561-AH561)*(K561-AG561)/2)</f>
        <v/>
      </c>
      <c r="AK561" s="8">
        <f>K561+AJ561</f>
        <v/>
      </c>
      <c r="AL561" s="14">
        <f>AE561*AJ561</f>
        <v/>
      </c>
      <c r="AM561" s="17">
        <f>V561/AL561</f>
        <v/>
      </c>
      <c r="AN561" s="17">
        <f>Z561/AL561</f>
        <v/>
      </c>
      <c r="AO561" s="33">
        <f>IF(V561+Z561=0,0,Z561/(V561+Z561))</f>
        <v/>
      </c>
      <c r="AP561" s="14">
        <f>AL561/V561*100</f>
        <v/>
      </c>
      <c r="AQ561" s="8">
        <f>P561/AL561*1000</f>
        <v/>
      </c>
      <c r="AR561" s="77">
        <f>MAX(N561,M561-1)</f>
        <v/>
      </c>
      <c r="AS561" s="14">
        <f>SUMIFS(Donnees_regimes!$R$3:$R$1118,Donnees_regimes!$A$3:$A$1118,C561,Donnees_regimes!$B$3:$B$1118,"&gt;="&amp;G561,Donnees_regimes!$B$3:$B$1118,"&lt;="&amp;N561)*L561/ROUNDUP(L561,0)*SUMIFS(Donnees_annuelles!$AG$3:$AG$188,Donnees_annuelles!$A$3:$A$188,AR561)*SUMIFS(Donnees_annuelles!$AA$3:$AA$188,Donnees_annuelles!$A$3:$A$188,AR561)</f>
        <v/>
      </c>
      <c r="AT561" s="36">
        <f>AS561/V561</f>
        <v/>
      </c>
      <c r="AU561" s="14">
        <f>AL561</f>
        <v/>
      </c>
      <c r="AV561" s="39">
        <f>AS561-AL561</f>
        <v/>
      </c>
      <c r="AW561" s="9">
        <f>AS561/AL561-1</f>
        <v/>
      </c>
      <c r="AX561" s="14">
        <f>AS561/AJ561/12</f>
        <v/>
      </c>
      <c r="AY561" s="14">
        <f>AF561</f>
        <v/>
      </c>
      <c r="AZ561" s="39">
        <f>AX561-AF561</f>
        <v/>
      </c>
      <c r="BA561" s="14">
        <f>SUMIFS(Donnees_regimes!$S$3:$S$1118,Donnees_regimes!$A$3:$A$1118,C561,Donnees_regimes!$B$3:$B$1118,"&gt;="&amp;G561,Donnees_regimes!$B$3:$B$1118,"&lt;="&amp;N561)*L561/ROUNDUP(L561,0)*SUMIFS(Donnees_annuelles!$AH$3:$AH$188,Donnees_annuelles!$A$3:$A$188,AR561)*SUMIFS(Donnees_annuelles!$AA$3:$AA$188,Donnees_annuelles!$A$3:$A$188,AR561)</f>
        <v/>
      </c>
      <c r="BB561" s="39">
        <f>BA561-AL561</f>
        <v/>
      </c>
      <c r="BC561" s="7">
        <f>IF(M561+AJ561&gt;2026,IF(G561&gt;2026,"entièrement projeté","en partie projeté"),"observé")</f>
        <v/>
      </c>
    </row>
    <row r="562">
      <c r="A562" s="7" t="inlineStr">
        <is>
          <t>Génération Z</t>
        </is>
      </c>
      <c r="B562" s="84" t="inlineStr">
        <is>
          <t>IEG</t>
        </is>
      </c>
      <c r="C562" s="7">
        <f>IF(G562&gt;=SUMIFS(Regimes!$C$5:$C$10,Regimes!$A$5:$A$10,B562),"Privé",B562)</f>
        <v/>
      </c>
      <c r="D562" s="7">
        <f>INDEX(Regimes!$D$5:$D$10,MATCH(C562,Regimes!$A$5:$A$10,0))</f>
        <v/>
      </c>
      <c r="E562" s="88" t="n">
        <v>1997</v>
      </c>
      <c r="F562" s="8">
        <f>Donnees_generations!C85</f>
        <v/>
      </c>
      <c r="G562" s="77">
        <f>Donnees_generations!D85</f>
        <v/>
      </c>
      <c r="H562" s="8">
        <f>SUMIFS(Donnees_generations!$S$3:$S$113,Donnees_generations!$A$3:$A$113,MAX(1915,MIN(2025,E562)))</f>
        <v/>
      </c>
      <c r="I562" s="8">
        <f>SUMIFS(Donnees_generations!$T$3:$T$113,Donnees_generations!$A$3:$A$113,MAX(1915,MIN(2025,E562)))</f>
        <v/>
      </c>
      <c r="J562" s="8">
        <f>IF(G562&gt;=2000,MAX(I562,Parametres!$B$3),I562)</f>
        <v/>
      </c>
      <c r="K562" s="8">
        <f>IF(C562="Privé",J562,SUMIFS(Regles_regimes!$J$3:$J$2000,Regles_regimes!$A$3:$A$2000,C562,Regles_regimes!$B$3:$B$2000,D562,Regles_regimes!$C$3:$C$2000,MAX(1915,MIN(2025,E562))))</f>
        <v/>
      </c>
      <c r="L562" s="8">
        <f>IF(C562="Privé",H562,(K562-F562)*H562/(J562-F562))</f>
        <v/>
      </c>
      <c r="M562" s="77">
        <f>INT(E562+K562)</f>
        <v/>
      </c>
      <c r="N562" s="77">
        <f>G562+ROUNDUP(L562,0)-1</f>
        <v/>
      </c>
      <c r="O562" s="89">
        <f>SUMIFS(Regles_regimes!$K$3:$K$2000,Regles_regimes!$A$3:$A$2000,C562,Regles_regimes!$B$3:$B$2000,D562,Regles_regimes!$C$3:$C$2000,MAX(1915,MIN(2025,E562)))</f>
        <v/>
      </c>
      <c r="P562" s="13">
        <f>SUMIFS(Donnees_annuelles!$W$3:$W$188,Donnees_annuelles!$A$3:$A$188,"&gt;="&amp;G562,Donnees_annuelles!$A$3:$A$188,"&lt;="&amp;N562)*L562/ROUNDUP(L562,0)*O562</f>
        <v/>
      </c>
      <c r="Q562" s="13">
        <f>SUMIFS(Donnees_annuelles!$V$3:$V$188,Donnees_annuelles!$A$3:$A$188,"&gt;="&amp;G562,Donnees_annuelles!$A$3:$A$188,"&lt;="&amp;N562)*L562/ROUNDUP(L562,0)</f>
        <v/>
      </c>
      <c r="R562" s="13">
        <f>P562/L562</f>
        <v/>
      </c>
      <c r="S562" s="14">
        <f>SUMIFS(Donnees_annuelles!$D$3:$D$188,Donnees_annuelles!$A$3:$A$188,"&gt;="&amp;G562,Donnees_annuelles!$A$3:$A$188,"&lt;="&amp;N562)*L562/ROUNDUP(L562,0)</f>
        <v/>
      </c>
      <c r="T562" s="14">
        <f>SUMIFS(Donnees_regimes!$N$3:$N$1118,Donnees_regimes!$A$3:$A$1118,C562,Donnees_regimes!$B$3:$B$1118,"&gt;="&amp;G562,Donnees_regimes!$B$3:$B$1118,"&lt;="&amp;N562)*L562/ROUNDUP(L562,0)</f>
        <v/>
      </c>
      <c r="U562" s="14">
        <f>SUMIFS(Donnees_regimes!$O$3:$O$1118,Donnees_regimes!$A$3:$A$1118,C562,Donnees_regimes!$B$3:$B$1118,"&gt;="&amp;G562,Donnees_regimes!$B$3:$B$1118,"&lt;="&amp;N562)*L562/ROUNDUP(L562,0)</f>
        <v/>
      </c>
      <c r="V562" s="14">
        <f>T562+U562</f>
        <v/>
      </c>
      <c r="W562" s="33">
        <f>V562/S562</f>
        <v/>
      </c>
      <c r="X562" s="14">
        <f>S562+U562</f>
        <v/>
      </c>
      <c r="Y562" s="17">
        <f>V562/P562</f>
        <v/>
      </c>
      <c r="Z562" s="14">
        <f>SUMIFS(Donnees_regimes!$Q$3:$Q$1118,Donnees_regimes!$A$3:$A$1118,C562,Donnees_regimes!$B$3:$B$1118,"&gt;="&amp;G562,Donnees_regimes!$B$3:$B$1118,"&lt;="&amp;N562)*L562/ROUNDUP(L562,0)</f>
        <v/>
      </c>
      <c r="AA562" s="77">
        <f>SUMIFS(Regles_regimes!$F$3:$F$2000,Regles_regimes!$A$3:$A$2000,C562,Regles_regimes!$B$3:$B$2000,D562,Regles_regimes!$C$3:$C$2000,MAX(1915,MIN(2025,E562)))</f>
        <v/>
      </c>
      <c r="AB562" s="77">
        <f>IF(AND(SUMIFS(Regles_regimes!$L$3:$L$2000,Regles_regimes!$A$3:$A$2000,C562,Regles_regimes!$B$3:$B$2000,D562,Regles_regimes!$C$3:$C$2000,MAX(1915,MIN(2025,E562)))=1,G562&lt;2009,C562&lt;&gt;"Privé"),MIN(20,L562*4/5),0)</f>
        <v/>
      </c>
      <c r="AC562" s="89">
        <f>SUMIFS(Donnees_regimes!$M$3:$M$1118,Donnees_regimes!$A$3:$A$1118,C562,Donnees_regimes!$B$3:$B$1118,M562)</f>
        <v/>
      </c>
      <c r="AD562" s="14">
        <f>SUMIFS(Donnees_annuelles!$Y$3:$Y$188,Donnees_annuelles!$A$3:$A$188,M562)*SUMIFS(Donnees_generations!$I$3:$I$113,Donnees_generations!$A$3:$A$113,MAX(1915,MIN(2025,E562)))/H562</f>
        <v/>
      </c>
      <c r="AE562" s="14">
        <f>IF(C562="Privé",SUMIFS(Donnees_annuelles!$Y$3:$Y$188,Donnees_annuelles!$A$3:$A$188,M562)*MIN(L562,SUMIFS(Donnees_generations!$I$3:$I$113,Donnees_generations!$A$3:$A$113,MAX(1915,MIN(2025,E562))))/L562,AD562*AC562*MIN(IF(AB562&gt;0,0.8/0.75,1),(L562*4+AB562)/AA562))</f>
        <v/>
      </c>
      <c r="AF562" s="14">
        <f>AE562/12</f>
        <v/>
      </c>
      <c r="AG562" s="77">
        <f>MIN(68,MAX(56,2*INT(K562/2)))</f>
        <v/>
      </c>
      <c r="AH562" s="75">
        <f>(CHOOSE((AG562-56)/2+1,SUMIFS(Donnees_generations!$U$3:$U$113,Donnees_generations!$A$3:$A$113,MAX(1915,MIN(2025,E562))),SUMIFS(Donnees_generations!$V$3:$V$113,Donnees_generations!$A$3:$A$113,MAX(1915,MIN(2025,E562))),SUMIFS(Donnees_generations!$W$3:$W$113,Donnees_generations!$A$3:$A$113,MAX(1915,MIN(2025,E562))),SUMIFS(Donnees_generations!$X$3:$X$113,Donnees_generations!$A$3:$A$113,MAX(1915,MIN(2025,E562))),SUMIFS(Donnees_generations!$Y$3:$Y$113,Donnees_generations!$A$3:$A$113,MAX(1915,MIN(2025,E562))),SUMIFS(Donnees_generations!$Z$3:$Z$113,Donnees_generations!$A$3:$A$113,MAX(1915,MIN(2025,E562))),SUMIFS(Donnees_generations!$AA$3:$AA$113,Donnees_generations!$A$3:$A$113,MAX(1915,MIN(2025,E562))),SUMIFS(Donnees_generations!$AB$3:$AB$113,Donnees_generations!$A$3:$A$113,MAX(1915,MIN(2025,E562))))+CHOOSE((AG562-56)/2+1,SUMIFS(Donnees_generations!$AC$3:$AC$113,Donnees_generations!$A$3:$A$113,MAX(1915,MIN(2025,E562))),SUMIFS(Donnees_generations!$AD$3:$AD$113,Donnees_generations!$A$3:$A$113,MAX(1915,MIN(2025,E562))),SUMIFS(Donnees_generations!$AE$3:$AE$113,Donnees_generations!$A$3:$A$113,MAX(1915,MIN(2025,E562))),SUMIFS(Donnees_generations!$AF$3:$AF$113,Donnees_generations!$A$3:$A$113,MAX(1915,MIN(2025,E562))),SUMIFS(Donnees_generations!$AG$3:$AG$113,Donnees_generations!$A$3:$A$113,MAX(1915,MIN(2025,E562))),SUMIFS(Donnees_generations!$AH$3:$AH$113,Donnees_generations!$A$3:$A$113,MAX(1915,MIN(2025,E562))),SUMIFS(Donnees_generations!$AI$3:$AI$113,Donnees_generations!$A$3:$A$113,MAX(1915,MIN(2025,E562))),SUMIFS(Donnees_generations!$AJ$3:$AJ$113,Donnees_generations!$A$3:$A$113,MAX(1915,MIN(2025,E562)))))/2</f>
        <v/>
      </c>
      <c r="AI562" s="75">
        <f>(CHOOSE(((AG562+2)-56)/2+1,SUMIFS(Donnees_generations!$U$3:$U$113,Donnees_generations!$A$3:$A$113,MAX(1915,MIN(2025,E562))),SUMIFS(Donnees_generations!$V$3:$V$113,Donnees_generations!$A$3:$A$113,MAX(1915,MIN(2025,E562))),SUMIFS(Donnees_generations!$W$3:$W$113,Donnees_generations!$A$3:$A$113,MAX(1915,MIN(2025,E562))),SUMIFS(Donnees_generations!$X$3:$X$113,Donnees_generations!$A$3:$A$113,MAX(1915,MIN(2025,E562))),SUMIFS(Donnees_generations!$Y$3:$Y$113,Donnees_generations!$A$3:$A$113,MAX(1915,MIN(2025,E562))),SUMIFS(Donnees_generations!$Z$3:$Z$113,Donnees_generations!$A$3:$A$113,MAX(1915,MIN(2025,E562))),SUMIFS(Donnees_generations!$AA$3:$AA$113,Donnees_generations!$A$3:$A$113,MAX(1915,MIN(2025,E562))),SUMIFS(Donnees_generations!$AB$3:$AB$113,Donnees_generations!$A$3:$A$113,MAX(1915,MIN(2025,E562))))+CHOOSE(((AG562+2)-56)/2+1,SUMIFS(Donnees_generations!$AC$3:$AC$113,Donnees_generations!$A$3:$A$113,MAX(1915,MIN(2025,E562))),SUMIFS(Donnees_generations!$AD$3:$AD$113,Donnees_generations!$A$3:$A$113,MAX(1915,MIN(2025,E562))),SUMIFS(Donnees_generations!$AE$3:$AE$113,Donnees_generations!$A$3:$A$113,MAX(1915,MIN(2025,E562))),SUMIFS(Donnees_generations!$AF$3:$AF$113,Donnees_generations!$A$3:$A$113,MAX(1915,MIN(2025,E562))),SUMIFS(Donnees_generations!$AG$3:$AG$113,Donnees_generations!$A$3:$A$113,MAX(1915,MIN(2025,E562))),SUMIFS(Donnees_generations!$AH$3:$AH$113,Donnees_generations!$A$3:$A$113,MAX(1915,MIN(2025,E562))),SUMIFS(Donnees_generations!$AI$3:$AI$113,Donnees_generations!$A$3:$A$113,MAX(1915,MIN(2025,E562))),SUMIFS(Donnees_generations!$AJ$3:$AJ$113,Donnees_generations!$A$3:$A$113,MAX(1915,MIN(2025,E562)))))/2</f>
        <v/>
      </c>
      <c r="AJ562" s="8">
        <f>MAX(0,AH562+(AI562-AH562)*(K562-AG562)/2)</f>
        <v/>
      </c>
      <c r="AK562" s="8">
        <f>K562+AJ562</f>
        <v/>
      </c>
      <c r="AL562" s="14">
        <f>AE562*AJ562</f>
        <v/>
      </c>
      <c r="AM562" s="17">
        <f>V562/AL562</f>
        <v/>
      </c>
      <c r="AN562" s="17">
        <f>Z562/AL562</f>
        <v/>
      </c>
      <c r="AO562" s="33">
        <f>IF(V562+Z562=0,0,Z562/(V562+Z562))</f>
        <v/>
      </c>
      <c r="AP562" s="14">
        <f>AL562/V562*100</f>
        <v/>
      </c>
      <c r="AQ562" s="8">
        <f>P562/AL562*1000</f>
        <v/>
      </c>
      <c r="AR562" s="77">
        <f>MAX(N562,M562-1)</f>
        <v/>
      </c>
      <c r="AS562" s="14">
        <f>SUMIFS(Donnees_regimes!$R$3:$R$1118,Donnees_regimes!$A$3:$A$1118,C562,Donnees_regimes!$B$3:$B$1118,"&gt;="&amp;G562,Donnees_regimes!$B$3:$B$1118,"&lt;="&amp;N562)*L562/ROUNDUP(L562,0)*SUMIFS(Donnees_annuelles!$AG$3:$AG$188,Donnees_annuelles!$A$3:$A$188,AR562)*SUMIFS(Donnees_annuelles!$AA$3:$AA$188,Donnees_annuelles!$A$3:$A$188,AR562)</f>
        <v/>
      </c>
      <c r="AT562" s="36">
        <f>AS562/V562</f>
        <v/>
      </c>
      <c r="AU562" s="14">
        <f>AL562</f>
        <v/>
      </c>
      <c r="AV562" s="39">
        <f>AS562-AL562</f>
        <v/>
      </c>
      <c r="AW562" s="9">
        <f>AS562/AL562-1</f>
        <v/>
      </c>
      <c r="AX562" s="14">
        <f>AS562/AJ562/12</f>
        <v/>
      </c>
      <c r="AY562" s="14">
        <f>AF562</f>
        <v/>
      </c>
      <c r="AZ562" s="39">
        <f>AX562-AF562</f>
        <v/>
      </c>
      <c r="BA562" s="14">
        <f>SUMIFS(Donnees_regimes!$S$3:$S$1118,Donnees_regimes!$A$3:$A$1118,C562,Donnees_regimes!$B$3:$B$1118,"&gt;="&amp;G562,Donnees_regimes!$B$3:$B$1118,"&lt;="&amp;N562)*L562/ROUNDUP(L562,0)*SUMIFS(Donnees_annuelles!$AH$3:$AH$188,Donnees_annuelles!$A$3:$A$188,AR562)*SUMIFS(Donnees_annuelles!$AA$3:$AA$188,Donnees_annuelles!$A$3:$A$188,AR562)</f>
        <v/>
      </c>
      <c r="BB562" s="39">
        <f>BA562-AL562</f>
        <v/>
      </c>
      <c r="BC562" s="7">
        <f>IF(M562+AJ562&gt;2026,IF(G562&gt;2026,"entièrement projeté","en partie projeté"),"observé")</f>
        <v/>
      </c>
    </row>
    <row r="563">
      <c r="A563" s="7" t="inlineStr">
        <is>
          <t>Génération Z</t>
        </is>
      </c>
      <c r="B563" s="84" t="inlineStr">
        <is>
          <t>IEG</t>
        </is>
      </c>
      <c r="C563" s="7">
        <f>IF(G563&gt;=SUMIFS(Regimes!$C$5:$C$10,Regimes!$A$5:$A$10,B563),"Privé",B563)</f>
        <v/>
      </c>
      <c r="D563" s="7">
        <f>INDEX(Regimes!$D$5:$D$10,MATCH(C563,Regimes!$A$5:$A$10,0))</f>
        <v/>
      </c>
      <c r="E563" s="88" t="n">
        <v>1998</v>
      </c>
      <c r="F563" s="8">
        <f>Donnees_generations!C86</f>
        <v/>
      </c>
      <c r="G563" s="77">
        <f>Donnees_generations!D86</f>
        <v/>
      </c>
      <c r="H563" s="8">
        <f>SUMIFS(Donnees_generations!$S$3:$S$113,Donnees_generations!$A$3:$A$113,MAX(1915,MIN(2025,E563)))</f>
        <v/>
      </c>
      <c r="I563" s="8">
        <f>SUMIFS(Donnees_generations!$T$3:$T$113,Donnees_generations!$A$3:$A$113,MAX(1915,MIN(2025,E563)))</f>
        <v/>
      </c>
      <c r="J563" s="8">
        <f>IF(G563&gt;=2000,MAX(I563,Parametres!$B$3),I563)</f>
        <v/>
      </c>
      <c r="K563" s="8">
        <f>IF(C563="Privé",J563,SUMIFS(Regles_regimes!$J$3:$J$2000,Regles_regimes!$A$3:$A$2000,C563,Regles_regimes!$B$3:$B$2000,D563,Regles_regimes!$C$3:$C$2000,MAX(1915,MIN(2025,E563))))</f>
        <v/>
      </c>
      <c r="L563" s="8">
        <f>IF(C563="Privé",H563,(K563-F563)*H563/(J563-F563))</f>
        <v/>
      </c>
      <c r="M563" s="77">
        <f>INT(E563+K563)</f>
        <v/>
      </c>
      <c r="N563" s="77">
        <f>G563+ROUNDUP(L563,0)-1</f>
        <v/>
      </c>
      <c r="O563" s="89">
        <f>SUMIFS(Regles_regimes!$K$3:$K$2000,Regles_regimes!$A$3:$A$2000,C563,Regles_regimes!$B$3:$B$2000,D563,Regles_regimes!$C$3:$C$2000,MAX(1915,MIN(2025,E563)))</f>
        <v/>
      </c>
      <c r="P563" s="13">
        <f>SUMIFS(Donnees_annuelles!$W$3:$W$188,Donnees_annuelles!$A$3:$A$188,"&gt;="&amp;G563,Donnees_annuelles!$A$3:$A$188,"&lt;="&amp;N563)*L563/ROUNDUP(L563,0)*O563</f>
        <v/>
      </c>
      <c r="Q563" s="13">
        <f>SUMIFS(Donnees_annuelles!$V$3:$V$188,Donnees_annuelles!$A$3:$A$188,"&gt;="&amp;G563,Donnees_annuelles!$A$3:$A$188,"&lt;="&amp;N563)*L563/ROUNDUP(L563,0)</f>
        <v/>
      </c>
      <c r="R563" s="13">
        <f>P563/L563</f>
        <v/>
      </c>
      <c r="S563" s="14">
        <f>SUMIFS(Donnees_annuelles!$D$3:$D$188,Donnees_annuelles!$A$3:$A$188,"&gt;="&amp;G563,Donnees_annuelles!$A$3:$A$188,"&lt;="&amp;N563)*L563/ROUNDUP(L563,0)</f>
        <v/>
      </c>
      <c r="T563" s="14">
        <f>SUMIFS(Donnees_regimes!$N$3:$N$1118,Donnees_regimes!$A$3:$A$1118,C563,Donnees_regimes!$B$3:$B$1118,"&gt;="&amp;G563,Donnees_regimes!$B$3:$B$1118,"&lt;="&amp;N563)*L563/ROUNDUP(L563,0)</f>
        <v/>
      </c>
      <c r="U563" s="14">
        <f>SUMIFS(Donnees_regimes!$O$3:$O$1118,Donnees_regimes!$A$3:$A$1118,C563,Donnees_regimes!$B$3:$B$1118,"&gt;="&amp;G563,Donnees_regimes!$B$3:$B$1118,"&lt;="&amp;N563)*L563/ROUNDUP(L563,0)</f>
        <v/>
      </c>
      <c r="V563" s="14">
        <f>T563+U563</f>
        <v/>
      </c>
      <c r="W563" s="33">
        <f>V563/S563</f>
        <v/>
      </c>
      <c r="X563" s="14">
        <f>S563+U563</f>
        <v/>
      </c>
      <c r="Y563" s="17">
        <f>V563/P563</f>
        <v/>
      </c>
      <c r="Z563" s="14">
        <f>SUMIFS(Donnees_regimes!$Q$3:$Q$1118,Donnees_regimes!$A$3:$A$1118,C563,Donnees_regimes!$B$3:$B$1118,"&gt;="&amp;G563,Donnees_regimes!$B$3:$B$1118,"&lt;="&amp;N563)*L563/ROUNDUP(L563,0)</f>
        <v/>
      </c>
      <c r="AA563" s="77">
        <f>SUMIFS(Regles_regimes!$F$3:$F$2000,Regles_regimes!$A$3:$A$2000,C563,Regles_regimes!$B$3:$B$2000,D563,Regles_regimes!$C$3:$C$2000,MAX(1915,MIN(2025,E563)))</f>
        <v/>
      </c>
      <c r="AB563" s="77">
        <f>IF(AND(SUMIFS(Regles_regimes!$L$3:$L$2000,Regles_regimes!$A$3:$A$2000,C563,Regles_regimes!$B$3:$B$2000,D563,Regles_regimes!$C$3:$C$2000,MAX(1915,MIN(2025,E563)))=1,G563&lt;2009,C563&lt;&gt;"Privé"),MIN(20,L563*4/5),0)</f>
        <v/>
      </c>
      <c r="AC563" s="89">
        <f>SUMIFS(Donnees_regimes!$M$3:$M$1118,Donnees_regimes!$A$3:$A$1118,C563,Donnees_regimes!$B$3:$B$1118,M563)</f>
        <v/>
      </c>
      <c r="AD563" s="14">
        <f>SUMIFS(Donnees_annuelles!$Y$3:$Y$188,Donnees_annuelles!$A$3:$A$188,M563)*SUMIFS(Donnees_generations!$I$3:$I$113,Donnees_generations!$A$3:$A$113,MAX(1915,MIN(2025,E563)))/H563</f>
        <v/>
      </c>
      <c r="AE563" s="14">
        <f>IF(C563="Privé",SUMIFS(Donnees_annuelles!$Y$3:$Y$188,Donnees_annuelles!$A$3:$A$188,M563)*MIN(L563,SUMIFS(Donnees_generations!$I$3:$I$113,Donnees_generations!$A$3:$A$113,MAX(1915,MIN(2025,E563))))/L563,AD563*AC563*MIN(IF(AB563&gt;0,0.8/0.75,1),(L563*4+AB563)/AA563))</f>
        <v/>
      </c>
      <c r="AF563" s="14">
        <f>AE563/12</f>
        <v/>
      </c>
      <c r="AG563" s="77">
        <f>MIN(68,MAX(56,2*INT(K563/2)))</f>
        <v/>
      </c>
      <c r="AH563" s="75">
        <f>(CHOOSE((AG563-56)/2+1,SUMIFS(Donnees_generations!$U$3:$U$113,Donnees_generations!$A$3:$A$113,MAX(1915,MIN(2025,E563))),SUMIFS(Donnees_generations!$V$3:$V$113,Donnees_generations!$A$3:$A$113,MAX(1915,MIN(2025,E563))),SUMIFS(Donnees_generations!$W$3:$W$113,Donnees_generations!$A$3:$A$113,MAX(1915,MIN(2025,E563))),SUMIFS(Donnees_generations!$X$3:$X$113,Donnees_generations!$A$3:$A$113,MAX(1915,MIN(2025,E563))),SUMIFS(Donnees_generations!$Y$3:$Y$113,Donnees_generations!$A$3:$A$113,MAX(1915,MIN(2025,E563))),SUMIFS(Donnees_generations!$Z$3:$Z$113,Donnees_generations!$A$3:$A$113,MAX(1915,MIN(2025,E563))),SUMIFS(Donnees_generations!$AA$3:$AA$113,Donnees_generations!$A$3:$A$113,MAX(1915,MIN(2025,E563))),SUMIFS(Donnees_generations!$AB$3:$AB$113,Donnees_generations!$A$3:$A$113,MAX(1915,MIN(2025,E563))))+CHOOSE((AG563-56)/2+1,SUMIFS(Donnees_generations!$AC$3:$AC$113,Donnees_generations!$A$3:$A$113,MAX(1915,MIN(2025,E563))),SUMIFS(Donnees_generations!$AD$3:$AD$113,Donnees_generations!$A$3:$A$113,MAX(1915,MIN(2025,E563))),SUMIFS(Donnees_generations!$AE$3:$AE$113,Donnees_generations!$A$3:$A$113,MAX(1915,MIN(2025,E563))),SUMIFS(Donnees_generations!$AF$3:$AF$113,Donnees_generations!$A$3:$A$113,MAX(1915,MIN(2025,E563))),SUMIFS(Donnees_generations!$AG$3:$AG$113,Donnees_generations!$A$3:$A$113,MAX(1915,MIN(2025,E563))),SUMIFS(Donnees_generations!$AH$3:$AH$113,Donnees_generations!$A$3:$A$113,MAX(1915,MIN(2025,E563))),SUMIFS(Donnees_generations!$AI$3:$AI$113,Donnees_generations!$A$3:$A$113,MAX(1915,MIN(2025,E563))),SUMIFS(Donnees_generations!$AJ$3:$AJ$113,Donnees_generations!$A$3:$A$113,MAX(1915,MIN(2025,E563)))))/2</f>
        <v/>
      </c>
      <c r="AI563" s="75">
        <f>(CHOOSE(((AG563+2)-56)/2+1,SUMIFS(Donnees_generations!$U$3:$U$113,Donnees_generations!$A$3:$A$113,MAX(1915,MIN(2025,E563))),SUMIFS(Donnees_generations!$V$3:$V$113,Donnees_generations!$A$3:$A$113,MAX(1915,MIN(2025,E563))),SUMIFS(Donnees_generations!$W$3:$W$113,Donnees_generations!$A$3:$A$113,MAX(1915,MIN(2025,E563))),SUMIFS(Donnees_generations!$X$3:$X$113,Donnees_generations!$A$3:$A$113,MAX(1915,MIN(2025,E563))),SUMIFS(Donnees_generations!$Y$3:$Y$113,Donnees_generations!$A$3:$A$113,MAX(1915,MIN(2025,E563))),SUMIFS(Donnees_generations!$Z$3:$Z$113,Donnees_generations!$A$3:$A$113,MAX(1915,MIN(2025,E563))),SUMIFS(Donnees_generations!$AA$3:$AA$113,Donnees_generations!$A$3:$A$113,MAX(1915,MIN(2025,E563))),SUMIFS(Donnees_generations!$AB$3:$AB$113,Donnees_generations!$A$3:$A$113,MAX(1915,MIN(2025,E563))))+CHOOSE(((AG563+2)-56)/2+1,SUMIFS(Donnees_generations!$AC$3:$AC$113,Donnees_generations!$A$3:$A$113,MAX(1915,MIN(2025,E563))),SUMIFS(Donnees_generations!$AD$3:$AD$113,Donnees_generations!$A$3:$A$113,MAX(1915,MIN(2025,E563))),SUMIFS(Donnees_generations!$AE$3:$AE$113,Donnees_generations!$A$3:$A$113,MAX(1915,MIN(2025,E563))),SUMIFS(Donnees_generations!$AF$3:$AF$113,Donnees_generations!$A$3:$A$113,MAX(1915,MIN(2025,E563))),SUMIFS(Donnees_generations!$AG$3:$AG$113,Donnees_generations!$A$3:$A$113,MAX(1915,MIN(2025,E563))),SUMIFS(Donnees_generations!$AH$3:$AH$113,Donnees_generations!$A$3:$A$113,MAX(1915,MIN(2025,E563))),SUMIFS(Donnees_generations!$AI$3:$AI$113,Donnees_generations!$A$3:$A$113,MAX(1915,MIN(2025,E563))),SUMIFS(Donnees_generations!$AJ$3:$AJ$113,Donnees_generations!$A$3:$A$113,MAX(1915,MIN(2025,E563)))))/2</f>
        <v/>
      </c>
      <c r="AJ563" s="8">
        <f>MAX(0,AH563+(AI563-AH563)*(K563-AG563)/2)</f>
        <v/>
      </c>
      <c r="AK563" s="8">
        <f>K563+AJ563</f>
        <v/>
      </c>
      <c r="AL563" s="14">
        <f>AE563*AJ563</f>
        <v/>
      </c>
      <c r="AM563" s="17">
        <f>V563/AL563</f>
        <v/>
      </c>
      <c r="AN563" s="17">
        <f>Z563/AL563</f>
        <v/>
      </c>
      <c r="AO563" s="33">
        <f>IF(V563+Z563=0,0,Z563/(V563+Z563))</f>
        <v/>
      </c>
      <c r="AP563" s="14">
        <f>AL563/V563*100</f>
        <v/>
      </c>
      <c r="AQ563" s="8">
        <f>P563/AL563*1000</f>
        <v/>
      </c>
      <c r="AR563" s="77">
        <f>MAX(N563,M563-1)</f>
        <v/>
      </c>
      <c r="AS563" s="14">
        <f>SUMIFS(Donnees_regimes!$R$3:$R$1118,Donnees_regimes!$A$3:$A$1118,C563,Donnees_regimes!$B$3:$B$1118,"&gt;="&amp;G563,Donnees_regimes!$B$3:$B$1118,"&lt;="&amp;N563)*L563/ROUNDUP(L563,0)*SUMIFS(Donnees_annuelles!$AG$3:$AG$188,Donnees_annuelles!$A$3:$A$188,AR563)*SUMIFS(Donnees_annuelles!$AA$3:$AA$188,Donnees_annuelles!$A$3:$A$188,AR563)</f>
        <v/>
      </c>
      <c r="AT563" s="36">
        <f>AS563/V563</f>
        <v/>
      </c>
      <c r="AU563" s="14">
        <f>AL563</f>
        <v/>
      </c>
      <c r="AV563" s="39">
        <f>AS563-AL563</f>
        <v/>
      </c>
      <c r="AW563" s="9">
        <f>AS563/AL563-1</f>
        <v/>
      </c>
      <c r="AX563" s="14">
        <f>AS563/AJ563/12</f>
        <v/>
      </c>
      <c r="AY563" s="14">
        <f>AF563</f>
        <v/>
      </c>
      <c r="AZ563" s="39">
        <f>AX563-AF563</f>
        <v/>
      </c>
      <c r="BA563" s="14">
        <f>SUMIFS(Donnees_regimes!$S$3:$S$1118,Donnees_regimes!$A$3:$A$1118,C563,Donnees_regimes!$B$3:$B$1118,"&gt;="&amp;G563,Donnees_regimes!$B$3:$B$1118,"&lt;="&amp;N563)*L563/ROUNDUP(L563,0)*SUMIFS(Donnees_annuelles!$AH$3:$AH$188,Donnees_annuelles!$A$3:$A$188,AR563)*SUMIFS(Donnees_annuelles!$AA$3:$AA$188,Donnees_annuelles!$A$3:$A$188,AR563)</f>
        <v/>
      </c>
      <c r="BB563" s="39">
        <f>BA563-AL563</f>
        <v/>
      </c>
      <c r="BC563" s="7">
        <f>IF(M563+AJ563&gt;2026,IF(G563&gt;2026,"entièrement projeté","en partie projeté"),"observé")</f>
        <v/>
      </c>
    </row>
    <row r="564">
      <c r="A564" s="7" t="inlineStr">
        <is>
          <t>Génération Z</t>
        </is>
      </c>
      <c r="B564" s="84" t="inlineStr">
        <is>
          <t>IEG</t>
        </is>
      </c>
      <c r="C564" s="7">
        <f>IF(G564&gt;=SUMIFS(Regimes!$C$5:$C$10,Regimes!$A$5:$A$10,B564),"Privé",B564)</f>
        <v/>
      </c>
      <c r="D564" s="7">
        <f>INDEX(Regimes!$D$5:$D$10,MATCH(C564,Regimes!$A$5:$A$10,0))</f>
        <v/>
      </c>
      <c r="E564" s="88" t="n">
        <v>1999</v>
      </c>
      <c r="F564" s="8">
        <f>Donnees_generations!C87</f>
        <v/>
      </c>
      <c r="G564" s="77">
        <f>Donnees_generations!D87</f>
        <v/>
      </c>
      <c r="H564" s="8">
        <f>SUMIFS(Donnees_generations!$S$3:$S$113,Donnees_generations!$A$3:$A$113,MAX(1915,MIN(2025,E564)))</f>
        <v/>
      </c>
      <c r="I564" s="8">
        <f>SUMIFS(Donnees_generations!$T$3:$T$113,Donnees_generations!$A$3:$A$113,MAX(1915,MIN(2025,E564)))</f>
        <v/>
      </c>
      <c r="J564" s="8">
        <f>IF(G564&gt;=2000,MAX(I564,Parametres!$B$3),I564)</f>
        <v/>
      </c>
      <c r="K564" s="8">
        <f>IF(C564="Privé",J564,SUMIFS(Regles_regimes!$J$3:$J$2000,Regles_regimes!$A$3:$A$2000,C564,Regles_regimes!$B$3:$B$2000,D564,Regles_regimes!$C$3:$C$2000,MAX(1915,MIN(2025,E564))))</f>
        <v/>
      </c>
      <c r="L564" s="8">
        <f>IF(C564="Privé",H564,(K564-F564)*H564/(J564-F564))</f>
        <v/>
      </c>
      <c r="M564" s="77">
        <f>INT(E564+K564)</f>
        <v/>
      </c>
      <c r="N564" s="77">
        <f>G564+ROUNDUP(L564,0)-1</f>
        <v/>
      </c>
      <c r="O564" s="89">
        <f>SUMIFS(Regles_regimes!$K$3:$K$2000,Regles_regimes!$A$3:$A$2000,C564,Regles_regimes!$B$3:$B$2000,D564,Regles_regimes!$C$3:$C$2000,MAX(1915,MIN(2025,E564)))</f>
        <v/>
      </c>
      <c r="P564" s="13">
        <f>SUMIFS(Donnees_annuelles!$W$3:$W$188,Donnees_annuelles!$A$3:$A$188,"&gt;="&amp;G564,Donnees_annuelles!$A$3:$A$188,"&lt;="&amp;N564)*L564/ROUNDUP(L564,0)*O564</f>
        <v/>
      </c>
      <c r="Q564" s="13">
        <f>SUMIFS(Donnees_annuelles!$V$3:$V$188,Donnees_annuelles!$A$3:$A$188,"&gt;="&amp;G564,Donnees_annuelles!$A$3:$A$188,"&lt;="&amp;N564)*L564/ROUNDUP(L564,0)</f>
        <v/>
      </c>
      <c r="R564" s="13">
        <f>P564/L564</f>
        <v/>
      </c>
      <c r="S564" s="14">
        <f>SUMIFS(Donnees_annuelles!$D$3:$D$188,Donnees_annuelles!$A$3:$A$188,"&gt;="&amp;G564,Donnees_annuelles!$A$3:$A$188,"&lt;="&amp;N564)*L564/ROUNDUP(L564,0)</f>
        <v/>
      </c>
      <c r="T564" s="14">
        <f>SUMIFS(Donnees_regimes!$N$3:$N$1118,Donnees_regimes!$A$3:$A$1118,C564,Donnees_regimes!$B$3:$B$1118,"&gt;="&amp;G564,Donnees_regimes!$B$3:$B$1118,"&lt;="&amp;N564)*L564/ROUNDUP(L564,0)</f>
        <v/>
      </c>
      <c r="U564" s="14">
        <f>SUMIFS(Donnees_regimes!$O$3:$O$1118,Donnees_regimes!$A$3:$A$1118,C564,Donnees_regimes!$B$3:$B$1118,"&gt;="&amp;G564,Donnees_regimes!$B$3:$B$1118,"&lt;="&amp;N564)*L564/ROUNDUP(L564,0)</f>
        <v/>
      </c>
      <c r="V564" s="14">
        <f>T564+U564</f>
        <v/>
      </c>
      <c r="W564" s="33">
        <f>V564/S564</f>
        <v/>
      </c>
      <c r="X564" s="14">
        <f>S564+U564</f>
        <v/>
      </c>
      <c r="Y564" s="17">
        <f>V564/P564</f>
        <v/>
      </c>
      <c r="Z564" s="14">
        <f>SUMIFS(Donnees_regimes!$Q$3:$Q$1118,Donnees_regimes!$A$3:$A$1118,C564,Donnees_regimes!$B$3:$B$1118,"&gt;="&amp;G564,Donnees_regimes!$B$3:$B$1118,"&lt;="&amp;N564)*L564/ROUNDUP(L564,0)</f>
        <v/>
      </c>
      <c r="AA564" s="77">
        <f>SUMIFS(Regles_regimes!$F$3:$F$2000,Regles_regimes!$A$3:$A$2000,C564,Regles_regimes!$B$3:$B$2000,D564,Regles_regimes!$C$3:$C$2000,MAX(1915,MIN(2025,E564)))</f>
        <v/>
      </c>
      <c r="AB564" s="77">
        <f>IF(AND(SUMIFS(Regles_regimes!$L$3:$L$2000,Regles_regimes!$A$3:$A$2000,C564,Regles_regimes!$B$3:$B$2000,D564,Regles_regimes!$C$3:$C$2000,MAX(1915,MIN(2025,E564)))=1,G564&lt;2009,C564&lt;&gt;"Privé"),MIN(20,L564*4/5),0)</f>
        <v/>
      </c>
      <c r="AC564" s="89">
        <f>SUMIFS(Donnees_regimes!$M$3:$M$1118,Donnees_regimes!$A$3:$A$1118,C564,Donnees_regimes!$B$3:$B$1118,M564)</f>
        <v/>
      </c>
      <c r="AD564" s="14">
        <f>SUMIFS(Donnees_annuelles!$Y$3:$Y$188,Donnees_annuelles!$A$3:$A$188,M564)*SUMIFS(Donnees_generations!$I$3:$I$113,Donnees_generations!$A$3:$A$113,MAX(1915,MIN(2025,E564)))/H564</f>
        <v/>
      </c>
      <c r="AE564" s="14">
        <f>IF(C564="Privé",SUMIFS(Donnees_annuelles!$Y$3:$Y$188,Donnees_annuelles!$A$3:$A$188,M564)*MIN(L564,SUMIFS(Donnees_generations!$I$3:$I$113,Donnees_generations!$A$3:$A$113,MAX(1915,MIN(2025,E564))))/L564,AD564*AC564*MIN(IF(AB564&gt;0,0.8/0.75,1),(L564*4+AB564)/AA564))</f>
        <v/>
      </c>
      <c r="AF564" s="14">
        <f>AE564/12</f>
        <v/>
      </c>
      <c r="AG564" s="77">
        <f>MIN(68,MAX(56,2*INT(K564/2)))</f>
        <v/>
      </c>
      <c r="AH564" s="75">
        <f>(CHOOSE((AG564-56)/2+1,SUMIFS(Donnees_generations!$U$3:$U$113,Donnees_generations!$A$3:$A$113,MAX(1915,MIN(2025,E564))),SUMIFS(Donnees_generations!$V$3:$V$113,Donnees_generations!$A$3:$A$113,MAX(1915,MIN(2025,E564))),SUMIFS(Donnees_generations!$W$3:$W$113,Donnees_generations!$A$3:$A$113,MAX(1915,MIN(2025,E564))),SUMIFS(Donnees_generations!$X$3:$X$113,Donnees_generations!$A$3:$A$113,MAX(1915,MIN(2025,E564))),SUMIFS(Donnees_generations!$Y$3:$Y$113,Donnees_generations!$A$3:$A$113,MAX(1915,MIN(2025,E564))),SUMIFS(Donnees_generations!$Z$3:$Z$113,Donnees_generations!$A$3:$A$113,MAX(1915,MIN(2025,E564))),SUMIFS(Donnees_generations!$AA$3:$AA$113,Donnees_generations!$A$3:$A$113,MAX(1915,MIN(2025,E564))),SUMIFS(Donnees_generations!$AB$3:$AB$113,Donnees_generations!$A$3:$A$113,MAX(1915,MIN(2025,E564))))+CHOOSE((AG564-56)/2+1,SUMIFS(Donnees_generations!$AC$3:$AC$113,Donnees_generations!$A$3:$A$113,MAX(1915,MIN(2025,E564))),SUMIFS(Donnees_generations!$AD$3:$AD$113,Donnees_generations!$A$3:$A$113,MAX(1915,MIN(2025,E564))),SUMIFS(Donnees_generations!$AE$3:$AE$113,Donnees_generations!$A$3:$A$113,MAX(1915,MIN(2025,E564))),SUMIFS(Donnees_generations!$AF$3:$AF$113,Donnees_generations!$A$3:$A$113,MAX(1915,MIN(2025,E564))),SUMIFS(Donnees_generations!$AG$3:$AG$113,Donnees_generations!$A$3:$A$113,MAX(1915,MIN(2025,E564))),SUMIFS(Donnees_generations!$AH$3:$AH$113,Donnees_generations!$A$3:$A$113,MAX(1915,MIN(2025,E564))),SUMIFS(Donnees_generations!$AI$3:$AI$113,Donnees_generations!$A$3:$A$113,MAX(1915,MIN(2025,E564))),SUMIFS(Donnees_generations!$AJ$3:$AJ$113,Donnees_generations!$A$3:$A$113,MAX(1915,MIN(2025,E564)))))/2</f>
        <v/>
      </c>
      <c r="AI564" s="75">
        <f>(CHOOSE(((AG564+2)-56)/2+1,SUMIFS(Donnees_generations!$U$3:$U$113,Donnees_generations!$A$3:$A$113,MAX(1915,MIN(2025,E564))),SUMIFS(Donnees_generations!$V$3:$V$113,Donnees_generations!$A$3:$A$113,MAX(1915,MIN(2025,E564))),SUMIFS(Donnees_generations!$W$3:$W$113,Donnees_generations!$A$3:$A$113,MAX(1915,MIN(2025,E564))),SUMIFS(Donnees_generations!$X$3:$X$113,Donnees_generations!$A$3:$A$113,MAX(1915,MIN(2025,E564))),SUMIFS(Donnees_generations!$Y$3:$Y$113,Donnees_generations!$A$3:$A$113,MAX(1915,MIN(2025,E564))),SUMIFS(Donnees_generations!$Z$3:$Z$113,Donnees_generations!$A$3:$A$113,MAX(1915,MIN(2025,E564))),SUMIFS(Donnees_generations!$AA$3:$AA$113,Donnees_generations!$A$3:$A$113,MAX(1915,MIN(2025,E564))),SUMIFS(Donnees_generations!$AB$3:$AB$113,Donnees_generations!$A$3:$A$113,MAX(1915,MIN(2025,E564))))+CHOOSE(((AG564+2)-56)/2+1,SUMIFS(Donnees_generations!$AC$3:$AC$113,Donnees_generations!$A$3:$A$113,MAX(1915,MIN(2025,E564))),SUMIFS(Donnees_generations!$AD$3:$AD$113,Donnees_generations!$A$3:$A$113,MAX(1915,MIN(2025,E564))),SUMIFS(Donnees_generations!$AE$3:$AE$113,Donnees_generations!$A$3:$A$113,MAX(1915,MIN(2025,E564))),SUMIFS(Donnees_generations!$AF$3:$AF$113,Donnees_generations!$A$3:$A$113,MAX(1915,MIN(2025,E564))),SUMIFS(Donnees_generations!$AG$3:$AG$113,Donnees_generations!$A$3:$A$113,MAX(1915,MIN(2025,E564))),SUMIFS(Donnees_generations!$AH$3:$AH$113,Donnees_generations!$A$3:$A$113,MAX(1915,MIN(2025,E564))),SUMIFS(Donnees_generations!$AI$3:$AI$113,Donnees_generations!$A$3:$A$113,MAX(1915,MIN(2025,E564))),SUMIFS(Donnees_generations!$AJ$3:$AJ$113,Donnees_generations!$A$3:$A$113,MAX(1915,MIN(2025,E564)))))/2</f>
        <v/>
      </c>
      <c r="AJ564" s="8">
        <f>MAX(0,AH564+(AI564-AH564)*(K564-AG564)/2)</f>
        <v/>
      </c>
      <c r="AK564" s="8">
        <f>K564+AJ564</f>
        <v/>
      </c>
      <c r="AL564" s="14">
        <f>AE564*AJ564</f>
        <v/>
      </c>
      <c r="AM564" s="17">
        <f>V564/AL564</f>
        <v/>
      </c>
      <c r="AN564" s="17">
        <f>Z564/AL564</f>
        <v/>
      </c>
      <c r="AO564" s="33">
        <f>IF(V564+Z564=0,0,Z564/(V564+Z564))</f>
        <v/>
      </c>
      <c r="AP564" s="14">
        <f>AL564/V564*100</f>
        <v/>
      </c>
      <c r="AQ564" s="8">
        <f>P564/AL564*1000</f>
        <v/>
      </c>
      <c r="AR564" s="77">
        <f>MAX(N564,M564-1)</f>
        <v/>
      </c>
      <c r="AS564" s="14">
        <f>SUMIFS(Donnees_regimes!$R$3:$R$1118,Donnees_regimes!$A$3:$A$1118,C564,Donnees_regimes!$B$3:$B$1118,"&gt;="&amp;G564,Donnees_regimes!$B$3:$B$1118,"&lt;="&amp;N564)*L564/ROUNDUP(L564,0)*SUMIFS(Donnees_annuelles!$AG$3:$AG$188,Donnees_annuelles!$A$3:$A$188,AR564)*SUMIFS(Donnees_annuelles!$AA$3:$AA$188,Donnees_annuelles!$A$3:$A$188,AR564)</f>
        <v/>
      </c>
      <c r="AT564" s="36">
        <f>AS564/V564</f>
        <v/>
      </c>
      <c r="AU564" s="14">
        <f>AL564</f>
        <v/>
      </c>
      <c r="AV564" s="39">
        <f>AS564-AL564</f>
        <v/>
      </c>
      <c r="AW564" s="9">
        <f>AS564/AL564-1</f>
        <v/>
      </c>
      <c r="AX564" s="14">
        <f>AS564/AJ564/12</f>
        <v/>
      </c>
      <c r="AY564" s="14">
        <f>AF564</f>
        <v/>
      </c>
      <c r="AZ564" s="39">
        <f>AX564-AF564</f>
        <v/>
      </c>
      <c r="BA564" s="14">
        <f>SUMIFS(Donnees_regimes!$S$3:$S$1118,Donnees_regimes!$A$3:$A$1118,C564,Donnees_regimes!$B$3:$B$1118,"&gt;="&amp;G564,Donnees_regimes!$B$3:$B$1118,"&lt;="&amp;N564)*L564/ROUNDUP(L564,0)*SUMIFS(Donnees_annuelles!$AH$3:$AH$188,Donnees_annuelles!$A$3:$A$188,AR564)*SUMIFS(Donnees_annuelles!$AA$3:$AA$188,Donnees_annuelles!$A$3:$A$188,AR564)</f>
        <v/>
      </c>
      <c r="BB564" s="39">
        <f>BA564-AL564</f>
        <v/>
      </c>
      <c r="BC564" s="7">
        <f>IF(M564+AJ564&gt;2026,IF(G564&gt;2026,"entièrement projeté","en partie projeté"),"observé")</f>
        <v/>
      </c>
    </row>
    <row r="565">
      <c r="A565" s="7" t="inlineStr">
        <is>
          <t>Génération Z</t>
        </is>
      </c>
      <c r="B565" s="84" t="inlineStr">
        <is>
          <t>IEG</t>
        </is>
      </c>
      <c r="C565" s="7">
        <f>IF(G565&gt;=SUMIFS(Regimes!$C$5:$C$10,Regimes!$A$5:$A$10,B565),"Privé",B565)</f>
        <v/>
      </c>
      <c r="D565" s="7">
        <f>INDEX(Regimes!$D$5:$D$10,MATCH(C565,Regimes!$A$5:$A$10,0))</f>
        <v/>
      </c>
      <c r="E565" s="88" t="n">
        <v>2000</v>
      </c>
      <c r="F565" s="8">
        <f>Donnees_generations!C88</f>
        <v/>
      </c>
      <c r="G565" s="77">
        <f>Donnees_generations!D88</f>
        <v/>
      </c>
      <c r="H565" s="8">
        <f>SUMIFS(Donnees_generations!$S$3:$S$113,Donnees_generations!$A$3:$A$113,MAX(1915,MIN(2025,E565)))</f>
        <v/>
      </c>
      <c r="I565" s="8">
        <f>SUMIFS(Donnees_generations!$T$3:$T$113,Donnees_generations!$A$3:$A$113,MAX(1915,MIN(2025,E565)))</f>
        <v/>
      </c>
      <c r="J565" s="8">
        <f>IF(G565&gt;=2000,MAX(I565,Parametres!$B$3),I565)</f>
        <v/>
      </c>
      <c r="K565" s="8">
        <f>IF(C565="Privé",J565,SUMIFS(Regles_regimes!$J$3:$J$2000,Regles_regimes!$A$3:$A$2000,C565,Regles_regimes!$B$3:$B$2000,D565,Regles_regimes!$C$3:$C$2000,MAX(1915,MIN(2025,E565))))</f>
        <v/>
      </c>
      <c r="L565" s="8">
        <f>IF(C565="Privé",H565,(K565-F565)*H565/(J565-F565))</f>
        <v/>
      </c>
      <c r="M565" s="77">
        <f>INT(E565+K565)</f>
        <v/>
      </c>
      <c r="N565" s="77">
        <f>G565+ROUNDUP(L565,0)-1</f>
        <v/>
      </c>
      <c r="O565" s="89">
        <f>SUMIFS(Regles_regimes!$K$3:$K$2000,Regles_regimes!$A$3:$A$2000,C565,Regles_regimes!$B$3:$B$2000,D565,Regles_regimes!$C$3:$C$2000,MAX(1915,MIN(2025,E565)))</f>
        <v/>
      </c>
      <c r="P565" s="13">
        <f>SUMIFS(Donnees_annuelles!$W$3:$W$188,Donnees_annuelles!$A$3:$A$188,"&gt;="&amp;G565,Donnees_annuelles!$A$3:$A$188,"&lt;="&amp;N565)*L565/ROUNDUP(L565,0)*O565</f>
        <v/>
      </c>
      <c r="Q565" s="13">
        <f>SUMIFS(Donnees_annuelles!$V$3:$V$188,Donnees_annuelles!$A$3:$A$188,"&gt;="&amp;G565,Donnees_annuelles!$A$3:$A$188,"&lt;="&amp;N565)*L565/ROUNDUP(L565,0)</f>
        <v/>
      </c>
      <c r="R565" s="13">
        <f>P565/L565</f>
        <v/>
      </c>
      <c r="S565" s="14">
        <f>SUMIFS(Donnees_annuelles!$D$3:$D$188,Donnees_annuelles!$A$3:$A$188,"&gt;="&amp;G565,Donnees_annuelles!$A$3:$A$188,"&lt;="&amp;N565)*L565/ROUNDUP(L565,0)</f>
        <v/>
      </c>
      <c r="T565" s="14">
        <f>SUMIFS(Donnees_regimes!$N$3:$N$1118,Donnees_regimes!$A$3:$A$1118,C565,Donnees_regimes!$B$3:$B$1118,"&gt;="&amp;G565,Donnees_regimes!$B$3:$B$1118,"&lt;="&amp;N565)*L565/ROUNDUP(L565,0)</f>
        <v/>
      </c>
      <c r="U565" s="14">
        <f>SUMIFS(Donnees_regimes!$O$3:$O$1118,Donnees_regimes!$A$3:$A$1118,C565,Donnees_regimes!$B$3:$B$1118,"&gt;="&amp;G565,Donnees_regimes!$B$3:$B$1118,"&lt;="&amp;N565)*L565/ROUNDUP(L565,0)</f>
        <v/>
      </c>
      <c r="V565" s="14">
        <f>T565+U565</f>
        <v/>
      </c>
      <c r="W565" s="33">
        <f>V565/S565</f>
        <v/>
      </c>
      <c r="X565" s="14">
        <f>S565+U565</f>
        <v/>
      </c>
      <c r="Y565" s="17">
        <f>V565/P565</f>
        <v/>
      </c>
      <c r="Z565" s="14">
        <f>SUMIFS(Donnees_regimes!$Q$3:$Q$1118,Donnees_regimes!$A$3:$A$1118,C565,Donnees_regimes!$B$3:$B$1118,"&gt;="&amp;G565,Donnees_regimes!$B$3:$B$1118,"&lt;="&amp;N565)*L565/ROUNDUP(L565,0)</f>
        <v/>
      </c>
      <c r="AA565" s="77">
        <f>SUMIFS(Regles_regimes!$F$3:$F$2000,Regles_regimes!$A$3:$A$2000,C565,Regles_regimes!$B$3:$B$2000,D565,Regles_regimes!$C$3:$C$2000,MAX(1915,MIN(2025,E565)))</f>
        <v/>
      </c>
      <c r="AB565" s="77">
        <f>IF(AND(SUMIFS(Regles_regimes!$L$3:$L$2000,Regles_regimes!$A$3:$A$2000,C565,Regles_regimes!$B$3:$B$2000,D565,Regles_regimes!$C$3:$C$2000,MAX(1915,MIN(2025,E565)))=1,G565&lt;2009,C565&lt;&gt;"Privé"),MIN(20,L565*4/5),0)</f>
        <v/>
      </c>
      <c r="AC565" s="89">
        <f>SUMIFS(Donnees_regimes!$M$3:$M$1118,Donnees_regimes!$A$3:$A$1118,C565,Donnees_regimes!$B$3:$B$1118,M565)</f>
        <v/>
      </c>
      <c r="AD565" s="14">
        <f>SUMIFS(Donnees_annuelles!$Y$3:$Y$188,Donnees_annuelles!$A$3:$A$188,M565)*SUMIFS(Donnees_generations!$I$3:$I$113,Donnees_generations!$A$3:$A$113,MAX(1915,MIN(2025,E565)))/H565</f>
        <v/>
      </c>
      <c r="AE565" s="14">
        <f>IF(C565="Privé",SUMIFS(Donnees_annuelles!$Y$3:$Y$188,Donnees_annuelles!$A$3:$A$188,M565)*MIN(L565,SUMIFS(Donnees_generations!$I$3:$I$113,Donnees_generations!$A$3:$A$113,MAX(1915,MIN(2025,E565))))/L565,AD565*AC565*MIN(IF(AB565&gt;0,0.8/0.75,1),(L565*4+AB565)/AA565))</f>
        <v/>
      </c>
      <c r="AF565" s="14">
        <f>AE565/12</f>
        <v/>
      </c>
      <c r="AG565" s="77">
        <f>MIN(68,MAX(56,2*INT(K565/2)))</f>
        <v/>
      </c>
      <c r="AH565" s="75">
        <f>(CHOOSE((AG565-56)/2+1,SUMIFS(Donnees_generations!$U$3:$U$113,Donnees_generations!$A$3:$A$113,MAX(1915,MIN(2025,E565))),SUMIFS(Donnees_generations!$V$3:$V$113,Donnees_generations!$A$3:$A$113,MAX(1915,MIN(2025,E565))),SUMIFS(Donnees_generations!$W$3:$W$113,Donnees_generations!$A$3:$A$113,MAX(1915,MIN(2025,E565))),SUMIFS(Donnees_generations!$X$3:$X$113,Donnees_generations!$A$3:$A$113,MAX(1915,MIN(2025,E565))),SUMIFS(Donnees_generations!$Y$3:$Y$113,Donnees_generations!$A$3:$A$113,MAX(1915,MIN(2025,E565))),SUMIFS(Donnees_generations!$Z$3:$Z$113,Donnees_generations!$A$3:$A$113,MAX(1915,MIN(2025,E565))),SUMIFS(Donnees_generations!$AA$3:$AA$113,Donnees_generations!$A$3:$A$113,MAX(1915,MIN(2025,E565))),SUMIFS(Donnees_generations!$AB$3:$AB$113,Donnees_generations!$A$3:$A$113,MAX(1915,MIN(2025,E565))))+CHOOSE((AG565-56)/2+1,SUMIFS(Donnees_generations!$AC$3:$AC$113,Donnees_generations!$A$3:$A$113,MAX(1915,MIN(2025,E565))),SUMIFS(Donnees_generations!$AD$3:$AD$113,Donnees_generations!$A$3:$A$113,MAX(1915,MIN(2025,E565))),SUMIFS(Donnees_generations!$AE$3:$AE$113,Donnees_generations!$A$3:$A$113,MAX(1915,MIN(2025,E565))),SUMIFS(Donnees_generations!$AF$3:$AF$113,Donnees_generations!$A$3:$A$113,MAX(1915,MIN(2025,E565))),SUMIFS(Donnees_generations!$AG$3:$AG$113,Donnees_generations!$A$3:$A$113,MAX(1915,MIN(2025,E565))),SUMIFS(Donnees_generations!$AH$3:$AH$113,Donnees_generations!$A$3:$A$113,MAX(1915,MIN(2025,E565))),SUMIFS(Donnees_generations!$AI$3:$AI$113,Donnees_generations!$A$3:$A$113,MAX(1915,MIN(2025,E565))),SUMIFS(Donnees_generations!$AJ$3:$AJ$113,Donnees_generations!$A$3:$A$113,MAX(1915,MIN(2025,E565)))))/2</f>
        <v/>
      </c>
      <c r="AI565" s="75">
        <f>(CHOOSE(((AG565+2)-56)/2+1,SUMIFS(Donnees_generations!$U$3:$U$113,Donnees_generations!$A$3:$A$113,MAX(1915,MIN(2025,E565))),SUMIFS(Donnees_generations!$V$3:$V$113,Donnees_generations!$A$3:$A$113,MAX(1915,MIN(2025,E565))),SUMIFS(Donnees_generations!$W$3:$W$113,Donnees_generations!$A$3:$A$113,MAX(1915,MIN(2025,E565))),SUMIFS(Donnees_generations!$X$3:$X$113,Donnees_generations!$A$3:$A$113,MAX(1915,MIN(2025,E565))),SUMIFS(Donnees_generations!$Y$3:$Y$113,Donnees_generations!$A$3:$A$113,MAX(1915,MIN(2025,E565))),SUMIFS(Donnees_generations!$Z$3:$Z$113,Donnees_generations!$A$3:$A$113,MAX(1915,MIN(2025,E565))),SUMIFS(Donnees_generations!$AA$3:$AA$113,Donnees_generations!$A$3:$A$113,MAX(1915,MIN(2025,E565))),SUMIFS(Donnees_generations!$AB$3:$AB$113,Donnees_generations!$A$3:$A$113,MAX(1915,MIN(2025,E565))))+CHOOSE(((AG565+2)-56)/2+1,SUMIFS(Donnees_generations!$AC$3:$AC$113,Donnees_generations!$A$3:$A$113,MAX(1915,MIN(2025,E565))),SUMIFS(Donnees_generations!$AD$3:$AD$113,Donnees_generations!$A$3:$A$113,MAX(1915,MIN(2025,E565))),SUMIFS(Donnees_generations!$AE$3:$AE$113,Donnees_generations!$A$3:$A$113,MAX(1915,MIN(2025,E565))),SUMIFS(Donnees_generations!$AF$3:$AF$113,Donnees_generations!$A$3:$A$113,MAX(1915,MIN(2025,E565))),SUMIFS(Donnees_generations!$AG$3:$AG$113,Donnees_generations!$A$3:$A$113,MAX(1915,MIN(2025,E565))),SUMIFS(Donnees_generations!$AH$3:$AH$113,Donnees_generations!$A$3:$A$113,MAX(1915,MIN(2025,E565))),SUMIFS(Donnees_generations!$AI$3:$AI$113,Donnees_generations!$A$3:$A$113,MAX(1915,MIN(2025,E565))),SUMIFS(Donnees_generations!$AJ$3:$AJ$113,Donnees_generations!$A$3:$A$113,MAX(1915,MIN(2025,E565)))))/2</f>
        <v/>
      </c>
      <c r="AJ565" s="8">
        <f>MAX(0,AH565+(AI565-AH565)*(K565-AG565)/2)</f>
        <v/>
      </c>
      <c r="AK565" s="8">
        <f>K565+AJ565</f>
        <v/>
      </c>
      <c r="AL565" s="14">
        <f>AE565*AJ565</f>
        <v/>
      </c>
      <c r="AM565" s="17">
        <f>V565/AL565</f>
        <v/>
      </c>
      <c r="AN565" s="17">
        <f>Z565/AL565</f>
        <v/>
      </c>
      <c r="AO565" s="33">
        <f>IF(V565+Z565=0,0,Z565/(V565+Z565))</f>
        <v/>
      </c>
      <c r="AP565" s="14">
        <f>AL565/V565*100</f>
        <v/>
      </c>
      <c r="AQ565" s="8">
        <f>P565/AL565*1000</f>
        <v/>
      </c>
      <c r="AR565" s="77">
        <f>MAX(N565,M565-1)</f>
        <v/>
      </c>
      <c r="AS565" s="14">
        <f>SUMIFS(Donnees_regimes!$R$3:$R$1118,Donnees_regimes!$A$3:$A$1118,C565,Donnees_regimes!$B$3:$B$1118,"&gt;="&amp;G565,Donnees_regimes!$B$3:$B$1118,"&lt;="&amp;N565)*L565/ROUNDUP(L565,0)*SUMIFS(Donnees_annuelles!$AG$3:$AG$188,Donnees_annuelles!$A$3:$A$188,AR565)*SUMIFS(Donnees_annuelles!$AA$3:$AA$188,Donnees_annuelles!$A$3:$A$188,AR565)</f>
        <v/>
      </c>
      <c r="AT565" s="36">
        <f>AS565/V565</f>
        <v/>
      </c>
      <c r="AU565" s="14">
        <f>AL565</f>
        <v/>
      </c>
      <c r="AV565" s="39">
        <f>AS565-AL565</f>
        <v/>
      </c>
      <c r="AW565" s="9">
        <f>AS565/AL565-1</f>
        <v/>
      </c>
      <c r="AX565" s="14">
        <f>AS565/AJ565/12</f>
        <v/>
      </c>
      <c r="AY565" s="14">
        <f>AF565</f>
        <v/>
      </c>
      <c r="AZ565" s="39">
        <f>AX565-AF565</f>
        <v/>
      </c>
      <c r="BA565" s="14">
        <f>SUMIFS(Donnees_regimes!$S$3:$S$1118,Donnees_regimes!$A$3:$A$1118,C565,Donnees_regimes!$B$3:$B$1118,"&gt;="&amp;G565,Donnees_regimes!$B$3:$B$1118,"&lt;="&amp;N565)*L565/ROUNDUP(L565,0)*SUMIFS(Donnees_annuelles!$AH$3:$AH$188,Donnees_annuelles!$A$3:$A$188,AR565)*SUMIFS(Donnees_annuelles!$AA$3:$AA$188,Donnees_annuelles!$A$3:$A$188,AR565)</f>
        <v/>
      </c>
      <c r="BB565" s="39">
        <f>BA565-AL565</f>
        <v/>
      </c>
      <c r="BC565" s="7">
        <f>IF(M565+AJ565&gt;2026,IF(G565&gt;2026,"entièrement projeté","en partie projeté"),"observé")</f>
        <v/>
      </c>
    </row>
    <row r="566">
      <c r="A566" s="7" t="inlineStr">
        <is>
          <t>Génération Z</t>
        </is>
      </c>
      <c r="B566" s="84" t="inlineStr">
        <is>
          <t>IEG</t>
        </is>
      </c>
      <c r="C566" s="7">
        <f>IF(G566&gt;=SUMIFS(Regimes!$C$5:$C$10,Regimes!$A$5:$A$10,B566),"Privé",B566)</f>
        <v/>
      </c>
      <c r="D566" s="7">
        <f>INDEX(Regimes!$D$5:$D$10,MATCH(C566,Regimes!$A$5:$A$10,0))</f>
        <v/>
      </c>
      <c r="E566" s="88" t="n">
        <v>2001</v>
      </c>
      <c r="F566" s="8">
        <f>Donnees_generations!C89</f>
        <v/>
      </c>
      <c r="G566" s="77">
        <f>Donnees_generations!D89</f>
        <v/>
      </c>
      <c r="H566" s="8">
        <f>SUMIFS(Donnees_generations!$S$3:$S$113,Donnees_generations!$A$3:$A$113,MAX(1915,MIN(2025,E566)))</f>
        <v/>
      </c>
      <c r="I566" s="8">
        <f>SUMIFS(Donnees_generations!$T$3:$T$113,Donnees_generations!$A$3:$A$113,MAX(1915,MIN(2025,E566)))</f>
        <v/>
      </c>
      <c r="J566" s="8">
        <f>IF(G566&gt;=2000,MAX(I566,Parametres!$B$3),I566)</f>
        <v/>
      </c>
      <c r="K566" s="8">
        <f>IF(C566="Privé",J566,SUMIFS(Regles_regimes!$J$3:$J$2000,Regles_regimes!$A$3:$A$2000,C566,Regles_regimes!$B$3:$B$2000,D566,Regles_regimes!$C$3:$C$2000,MAX(1915,MIN(2025,E566))))</f>
        <v/>
      </c>
      <c r="L566" s="8">
        <f>IF(C566="Privé",H566,(K566-F566)*H566/(J566-F566))</f>
        <v/>
      </c>
      <c r="M566" s="77">
        <f>INT(E566+K566)</f>
        <v/>
      </c>
      <c r="N566" s="77">
        <f>G566+ROUNDUP(L566,0)-1</f>
        <v/>
      </c>
      <c r="O566" s="89">
        <f>SUMIFS(Regles_regimes!$K$3:$K$2000,Regles_regimes!$A$3:$A$2000,C566,Regles_regimes!$B$3:$B$2000,D566,Regles_regimes!$C$3:$C$2000,MAX(1915,MIN(2025,E566)))</f>
        <v/>
      </c>
      <c r="P566" s="13">
        <f>SUMIFS(Donnees_annuelles!$W$3:$W$188,Donnees_annuelles!$A$3:$A$188,"&gt;="&amp;G566,Donnees_annuelles!$A$3:$A$188,"&lt;="&amp;N566)*L566/ROUNDUP(L566,0)*O566</f>
        <v/>
      </c>
      <c r="Q566" s="13">
        <f>SUMIFS(Donnees_annuelles!$V$3:$V$188,Donnees_annuelles!$A$3:$A$188,"&gt;="&amp;G566,Donnees_annuelles!$A$3:$A$188,"&lt;="&amp;N566)*L566/ROUNDUP(L566,0)</f>
        <v/>
      </c>
      <c r="R566" s="13">
        <f>P566/L566</f>
        <v/>
      </c>
      <c r="S566" s="14">
        <f>SUMIFS(Donnees_annuelles!$D$3:$D$188,Donnees_annuelles!$A$3:$A$188,"&gt;="&amp;G566,Donnees_annuelles!$A$3:$A$188,"&lt;="&amp;N566)*L566/ROUNDUP(L566,0)</f>
        <v/>
      </c>
      <c r="T566" s="14">
        <f>SUMIFS(Donnees_regimes!$N$3:$N$1118,Donnees_regimes!$A$3:$A$1118,C566,Donnees_regimes!$B$3:$B$1118,"&gt;="&amp;G566,Donnees_regimes!$B$3:$B$1118,"&lt;="&amp;N566)*L566/ROUNDUP(L566,0)</f>
        <v/>
      </c>
      <c r="U566" s="14">
        <f>SUMIFS(Donnees_regimes!$O$3:$O$1118,Donnees_regimes!$A$3:$A$1118,C566,Donnees_regimes!$B$3:$B$1118,"&gt;="&amp;G566,Donnees_regimes!$B$3:$B$1118,"&lt;="&amp;N566)*L566/ROUNDUP(L566,0)</f>
        <v/>
      </c>
      <c r="V566" s="14">
        <f>T566+U566</f>
        <v/>
      </c>
      <c r="W566" s="33">
        <f>V566/S566</f>
        <v/>
      </c>
      <c r="X566" s="14">
        <f>S566+U566</f>
        <v/>
      </c>
      <c r="Y566" s="17">
        <f>V566/P566</f>
        <v/>
      </c>
      <c r="Z566" s="14">
        <f>SUMIFS(Donnees_regimes!$Q$3:$Q$1118,Donnees_regimes!$A$3:$A$1118,C566,Donnees_regimes!$B$3:$B$1118,"&gt;="&amp;G566,Donnees_regimes!$B$3:$B$1118,"&lt;="&amp;N566)*L566/ROUNDUP(L566,0)</f>
        <v/>
      </c>
      <c r="AA566" s="77">
        <f>SUMIFS(Regles_regimes!$F$3:$F$2000,Regles_regimes!$A$3:$A$2000,C566,Regles_regimes!$B$3:$B$2000,D566,Regles_regimes!$C$3:$C$2000,MAX(1915,MIN(2025,E566)))</f>
        <v/>
      </c>
      <c r="AB566" s="77">
        <f>IF(AND(SUMIFS(Regles_regimes!$L$3:$L$2000,Regles_regimes!$A$3:$A$2000,C566,Regles_regimes!$B$3:$B$2000,D566,Regles_regimes!$C$3:$C$2000,MAX(1915,MIN(2025,E566)))=1,G566&lt;2009,C566&lt;&gt;"Privé"),MIN(20,L566*4/5),0)</f>
        <v/>
      </c>
      <c r="AC566" s="89">
        <f>SUMIFS(Donnees_regimes!$M$3:$M$1118,Donnees_regimes!$A$3:$A$1118,C566,Donnees_regimes!$B$3:$B$1118,M566)</f>
        <v/>
      </c>
      <c r="AD566" s="14">
        <f>SUMIFS(Donnees_annuelles!$Y$3:$Y$188,Donnees_annuelles!$A$3:$A$188,M566)*SUMIFS(Donnees_generations!$I$3:$I$113,Donnees_generations!$A$3:$A$113,MAX(1915,MIN(2025,E566)))/H566</f>
        <v/>
      </c>
      <c r="AE566" s="14">
        <f>IF(C566="Privé",SUMIFS(Donnees_annuelles!$Y$3:$Y$188,Donnees_annuelles!$A$3:$A$188,M566)*MIN(L566,SUMIFS(Donnees_generations!$I$3:$I$113,Donnees_generations!$A$3:$A$113,MAX(1915,MIN(2025,E566))))/L566,AD566*AC566*MIN(IF(AB566&gt;0,0.8/0.75,1),(L566*4+AB566)/AA566))</f>
        <v/>
      </c>
      <c r="AF566" s="14">
        <f>AE566/12</f>
        <v/>
      </c>
      <c r="AG566" s="77">
        <f>MIN(68,MAX(56,2*INT(K566/2)))</f>
        <v/>
      </c>
      <c r="AH566" s="75">
        <f>(CHOOSE((AG566-56)/2+1,SUMIFS(Donnees_generations!$U$3:$U$113,Donnees_generations!$A$3:$A$113,MAX(1915,MIN(2025,E566))),SUMIFS(Donnees_generations!$V$3:$V$113,Donnees_generations!$A$3:$A$113,MAX(1915,MIN(2025,E566))),SUMIFS(Donnees_generations!$W$3:$W$113,Donnees_generations!$A$3:$A$113,MAX(1915,MIN(2025,E566))),SUMIFS(Donnees_generations!$X$3:$X$113,Donnees_generations!$A$3:$A$113,MAX(1915,MIN(2025,E566))),SUMIFS(Donnees_generations!$Y$3:$Y$113,Donnees_generations!$A$3:$A$113,MAX(1915,MIN(2025,E566))),SUMIFS(Donnees_generations!$Z$3:$Z$113,Donnees_generations!$A$3:$A$113,MAX(1915,MIN(2025,E566))),SUMIFS(Donnees_generations!$AA$3:$AA$113,Donnees_generations!$A$3:$A$113,MAX(1915,MIN(2025,E566))),SUMIFS(Donnees_generations!$AB$3:$AB$113,Donnees_generations!$A$3:$A$113,MAX(1915,MIN(2025,E566))))+CHOOSE((AG566-56)/2+1,SUMIFS(Donnees_generations!$AC$3:$AC$113,Donnees_generations!$A$3:$A$113,MAX(1915,MIN(2025,E566))),SUMIFS(Donnees_generations!$AD$3:$AD$113,Donnees_generations!$A$3:$A$113,MAX(1915,MIN(2025,E566))),SUMIFS(Donnees_generations!$AE$3:$AE$113,Donnees_generations!$A$3:$A$113,MAX(1915,MIN(2025,E566))),SUMIFS(Donnees_generations!$AF$3:$AF$113,Donnees_generations!$A$3:$A$113,MAX(1915,MIN(2025,E566))),SUMIFS(Donnees_generations!$AG$3:$AG$113,Donnees_generations!$A$3:$A$113,MAX(1915,MIN(2025,E566))),SUMIFS(Donnees_generations!$AH$3:$AH$113,Donnees_generations!$A$3:$A$113,MAX(1915,MIN(2025,E566))),SUMIFS(Donnees_generations!$AI$3:$AI$113,Donnees_generations!$A$3:$A$113,MAX(1915,MIN(2025,E566))),SUMIFS(Donnees_generations!$AJ$3:$AJ$113,Donnees_generations!$A$3:$A$113,MAX(1915,MIN(2025,E566)))))/2</f>
        <v/>
      </c>
      <c r="AI566" s="75">
        <f>(CHOOSE(((AG566+2)-56)/2+1,SUMIFS(Donnees_generations!$U$3:$U$113,Donnees_generations!$A$3:$A$113,MAX(1915,MIN(2025,E566))),SUMIFS(Donnees_generations!$V$3:$V$113,Donnees_generations!$A$3:$A$113,MAX(1915,MIN(2025,E566))),SUMIFS(Donnees_generations!$W$3:$W$113,Donnees_generations!$A$3:$A$113,MAX(1915,MIN(2025,E566))),SUMIFS(Donnees_generations!$X$3:$X$113,Donnees_generations!$A$3:$A$113,MAX(1915,MIN(2025,E566))),SUMIFS(Donnees_generations!$Y$3:$Y$113,Donnees_generations!$A$3:$A$113,MAX(1915,MIN(2025,E566))),SUMIFS(Donnees_generations!$Z$3:$Z$113,Donnees_generations!$A$3:$A$113,MAX(1915,MIN(2025,E566))),SUMIFS(Donnees_generations!$AA$3:$AA$113,Donnees_generations!$A$3:$A$113,MAX(1915,MIN(2025,E566))),SUMIFS(Donnees_generations!$AB$3:$AB$113,Donnees_generations!$A$3:$A$113,MAX(1915,MIN(2025,E566))))+CHOOSE(((AG566+2)-56)/2+1,SUMIFS(Donnees_generations!$AC$3:$AC$113,Donnees_generations!$A$3:$A$113,MAX(1915,MIN(2025,E566))),SUMIFS(Donnees_generations!$AD$3:$AD$113,Donnees_generations!$A$3:$A$113,MAX(1915,MIN(2025,E566))),SUMIFS(Donnees_generations!$AE$3:$AE$113,Donnees_generations!$A$3:$A$113,MAX(1915,MIN(2025,E566))),SUMIFS(Donnees_generations!$AF$3:$AF$113,Donnees_generations!$A$3:$A$113,MAX(1915,MIN(2025,E566))),SUMIFS(Donnees_generations!$AG$3:$AG$113,Donnees_generations!$A$3:$A$113,MAX(1915,MIN(2025,E566))),SUMIFS(Donnees_generations!$AH$3:$AH$113,Donnees_generations!$A$3:$A$113,MAX(1915,MIN(2025,E566))),SUMIFS(Donnees_generations!$AI$3:$AI$113,Donnees_generations!$A$3:$A$113,MAX(1915,MIN(2025,E566))),SUMIFS(Donnees_generations!$AJ$3:$AJ$113,Donnees_generations!$A$3:$A$113,MAX(1915,MIN(2025,E566)))))/2</f>
        <v/>
      </c>
      <c r="AJ566" s="8">
        <f>MAX(0,AH566+(AI566-AH566)*(K566-AG566)/2)</f>
        <v/>
      </c>
      <c r="AK566" s="8">
        <f>K566+AJ566</f>
        <v/>
      </c>
      <c r="AL566" s="14">
        <f>AE566*AJ566</f>
        <v/>
      </c>
      <c r="AM566" s="17">
        <f>V566/AL566</f>
        <v/>
      </c>
      <c r="AN566" s="17">
        <f>Z566/AL566</f>
        <v/>
      </c>
      <c r="AO566" s="33">
        <f>IF(V566+Z566=0,0,Z566/(V566+Z566))</f>
        <v/>
      </c>
      <c r="AP566" s="14">
        <f>AL566/V566*100</f>
        <v/>
      </c>
      <c r="AQ566" s="8">
        <f>P566/AL566*1000</f>
        <v/>
      </c>
      <c r="AR566" s="77">
        <f>MAX(N566,M566-1)</f>
        <v/>
      </c>
      <c r="AS566" s="14">
        <f>SUMIFS(Donnees_regimes!$R$3:$R$1118,Donnees_regimes!$A$3:$A$1118,C566,Donnees_regimes!$B$3:$B$1118,"&gt;="&amp;G566,Donnees_regimes!$B$3:$B$1118,"&lt;="&amp;N566)*L566/ROUNDUP(L566,0)*SUMIFS(Donnees_annuelles!$AG$3:$AG$188,Donnees_annuelles!$A$3:$A$188,AR566)*SUMIFS(Donnees_annuelles!$AA$3:$AA$188,Donnees_annuelles!$A$3:$A$188,AR566)</f>
        <v/>
      </c>
      <c r="AT566" s="36">
        <f>AS566/V566</f>
        <v/>
      </c>
      <c r="AU566" s="14">
        <f>AL566</f>
        <v/>
      </c>
      <c r="AV566" s="39">
        <f>AS566-AL566</f>
        <v/>
      </c>
      <c r="AW566" s="9">
        <f>AS566/AL566-1</f>
        <v/>
      </c>
      <c r="AX566" s="14">
        <f>AS566/AJ566/12</f>
        <v/>
      </c>
      <c r="AY566" s="14">
        <f>AF566</f>
        <v/>
      </c>
      <c r="AZ566" s="39">
        <f>AX566-AF566</f>
        <v/>
      </c>
      <c r="BA566" s="14">
        <f>SUMIFS(Donnees_regimes!$S$3:$S$1118,Donnees_regimes!$A$3:$A$1118,C566,Donnees_regimes!$B$3:$B$1118,"&gt;="&amp;G566,Donnees_regimes!$B$3:$B$1118,"&lt;="&amp;N566)*L566/ROUNDUP(L566,0)*SUMIFS(Donnees_annuelles!$AH$3:$AH$188,Donnees_annuelles!$A$3:$A$188,AR566)*SUMIFS(Donnees_annuelles!$AA$3:$AA$188,Donnees_annuelles!$A$3:$A$188,AR566)</f>
        <v/>
      </c>
      <c r="BB566" s="39">
        <f>BA566-AL566</f>
        <v/>
      </c>
      <c r="BC566" s="7">
        <f>IF(M566+AJ566&gt;2026,IF(G566&gt;2026,"entièrement projeté","en partie projeté"),"observé")</f>
        <v/>
      </c>
    </row>
    <row r="567">
      <c r="A567" s="7" t="inlineStr">
        <is>
          <t>Génération Z</t>
        </is>
      </c>
      <c r="B567" s="84" t="inlineStr">
        <is>
          <t>IEG</t>
        </is>
      </c>
      <c r="C567" s="7">
        <f>IF(G567&gt;=SUMIFS(Regimes!$C$5:$C$10,Regimes!$A$5:$A$10,B567),"Privé",B567)</f>
        <v/>
      </c>
      <c r="D567" s="7">
        <f>INDEX(Regimes!$D$5:$D$10,MATCH(C567,Regimes!$A$5:$A$10,0))</f>
        <v/>
      </c>
      <c r="E567" s="88" t="n">
        <v>2002</v>
      </c>
      <c r="F567" s="8">
        <f>Donnees_generations!C90</f>
        <v/>
      </c>
      <c r="G567" s="77">
        <f>Donnees_generations!D90</f>
        <v/>
      </c>
      <c r="H567" s="8">
        <f>SUMIFS(Donnees_generations!$S$3:$S$113,Donnees_generations!$A$3:$A$113,MAX(1915,MIN(2025,E567)))</f>
        <v/>
      </c>
      <c r="I567" s="8">
        <f>SUMIFS(Donnees_generations!$T$3:$T$113,Donnees_generations!$A$3:$A$113,MAX(1915,MIN(2025,E567)))</f>
        <v/>
      </c>
      <c r="J567" s="8">
        <f>IF(G567&gt;=2000,MAX(I567,Parametres!$B$3),I567)</f>
        <v/>
      </c>
      <c r="K567" s="8">
        <f>IF(C567="Privé",J567,SUMIFS(Regles_regimes!$J$3:$J$2000,Regles_regimes!$A$3:$A$2000,C567,Regles_regimes!$B$3:$B$2000,D567,Regles_regimes!$C$3:$C$2000,MAX(1915,MIN(2025,E567))))</f>
        <v/>
      </c>
      <c r="L567" s="8">
        <f>IF(C567="Privé",H567,(K567-F567)*H567/(J567-F567))</f>
        <v/>
      </c>
      <c r="M567" s="77">
        <f>INT(E567+K567)</f>
        <v/>
      </c>
      <c r="N567" s="77">
        <f>G567+ROUNDUP(L567,0)-1</f>
        <v/>
      </c>
      <c r="O567" s="89">
        <f>SUMIFS(Regles_regimes!$K$3:$K$2000,Regles_regimes!$A$3:$A$2000,C567,Regles_regimes!$B$3:$B$2000,D567,Regles_regimes!$C$3:$C$2000,MAX(1915,MIN(2025,E567)))</f>
        <v/>
      </c>
      <c r="P567" s="13">
        <f>SUMIFS(Donnees_annuelles!$W$3:$W$188,Donnees_annuelles!$A$3:$A$188,"&gt;="&amp;G567,Donnees_annuelles!$A$3:$A$188,"&lt;="&amp;N567)*L567/ROUNDUP(L567,0)*O567</f>
        <v/>
      </c>
      <c r="Q567" s="13">
        <f>SUMIFS(Donnees_annuelles!$V$3:$V$188,Donnees_annuelles!$A$3:$A$188,"&gt;="&amp;G567,Donnees_annuelles!$A$3:$A$188,"&lt;="&amp;N567)*L567/ROUNDUP(L567,0)</f>
        <v/>
      </c>
      <c r="R567" s="13">
        <f>P567/L567</f>
        <v/>
      </c>
      <c r="S567" s="14">
        <f>SUMIFS(Donnees_annuelles!$D$3:$D$188,Donnees_annuelles!$A$3:$A$188,"&gt;="&amp;G567,Donnees_annuelles!$A$3:$A$188,"&lt;="&amp;N567)*L567/ROUNDUP(L567,0)</f>
        <v/>
      </c>
      <c r="T567" s="14">
        <f>SUMIFS(Donnees_regimes!$N$3:$N$1118,Donnees_regimes!$A$3:$A$1118,C567,Donnees_regimes!$B$3:$B$1118,"&gt;="&amp;G567,Donnees_regimes!$B$3:$B$1118,"&lt;="&amp;N567)*L567/ROUNDUP(L567,0)</f>
        <v/>
      </c>
      <c r="U567" s="14">
        <f>SUMIFS(Donnees_regimes!$O$3:$O$1118,Donnees_regimes!$A$3:$A$1118,C567,Donnees_regimes!$B$3:$B$1118,"&gt;="&amp;G567,Donnees_regimes!$B$3:$B$1118,"&lt;="&amp;N567)*L567/ROUNDUP(L567,0)</f>
        <v/>
      </c>
      <c r="V567" s="14">
        <f>T567+U567</f>
        <v/>
      </c>
      <c r="W567" s="33">
        <f>V567/S567</f>
        <v/>
      </c>
      <c r="X567" s="14">
        <f>S567+U567</f>
        <v/>
      </c>
      <c r="Y567" s="17">
        <f>V567/P567</f>
        <v/>
      </c>
      <c r="Z567" s="14">
        <f>SUMIFS(Donnees_regimes!$Q$3:$Q$1118,Donnees_regimes!$A$3:$A$1118,C567,Donnees_regimes!$B$3:$B$1118,"&gt;="&amp;G567,Donnees_regimes!$B$3:$B$1118,"&lt;="&amp;N567)*L567/ROUNDUP(L567,0)</f>
        <v/>
      </c>
      <c r="AA567" s="77">
        <f>SUMIFS(Regles_regimes!$F$3:$F$2000,Regles_regimes!$A$3:$A$2000,C567,Regles_regimes!$B$3:$B$2000,D567,Regles_regimes!$C$3:$C$2000,MAX(1915,MIN(2025,E567)))</f>
        <v/>
      </c>
      <c r="AB567" s="77">
        <f>IF(AND(SUMIFS(Regles_regimes!$L$3:$L$2000,Regles_regimes!$A$3:$A$2000,C567,Regles_regimes!$B$3:$B$2000,D567,Regles_regimes!$C$3:$C$2000,MAX(1915,MIN(2025,E567)))=1,G567&lt;2009,C567&lt;&gt;"Privé"),MIN(20,L567*4/5),0)</f>
        <v/>
      </c>
      <c r="AC567" s="89">
        <f>SUMIFS(Donnees_regimes!$M$3:$M$1118,Donnees_regimes!$A$3:$A$1118,C567,Donnees_regimes!$B$3:$B$1118,M567)</f>
        <v/>
      </c>
      <c r="AD567" s="14">
        <f>SUMIFS(Donnees_annuelles!$Y$3:$Y$188,Donnees_annuelles!$A$3:$A$188,M567)*SUMIFS(Donnees_generations!$I$3:$I$113,Donnees_generations!$A$3:$A$113,MAX(1915,MIN(2025,E567)))/H567</f>
        <v/>
      </c>
      <c r="AE567" s="14">
        <f>IF(C567="Privé",SUMIFS(Donnees_annuelles!$Y$3:$Y$188,Donnees_annuelles!$A$3:$A$188,M567)*MIN(L567,SUMIFS(Donnees_generations!$I$3:$I$113,Donnees_generations!$A$3:$A$113,MAX(1915,MIN(2025,E567))))/L567,AD567*AC567*MIN(IF(AB567&gt;0,0.8/0.75,1),(L567*4+AB567)/AA567))</f>
        <v/>
      </c>
      <c r="AF567" s="14">
        <f>AE567/12</f>
        <v/>
      </c>
      <c r="AG567" s="77">
        <f>MIN(68,MAX(56,2*INT(K567/2)))</f>
        <v/>
      </c>
      <c r="AH567" s="75">
        <f>(CHOOSE((AG567-56)/2+1,SUMIFS(Donnees_generations!$U$3:$U$113,Donnees_generations!$A$3:$A$113,MAX(1915,MIN(2025,E567))),SUMIFS(Donnees_generations!$V$3:$V$113,Donnees_generations!$A$3:$A$113,MAX(1915,MIN(2025,E567))),SUMIFS(Donnees_generations!$W$3:$W$113,Donnees_generations!$A$3:$A$113,MAX(1915,MIN(2025,E567))),SUMIFS(Donnees_generations!$X$3:$X$113,Donnees_generations!$A$3:$A$113,MAX(1915,MIN(2025,E567))),SUMIFS(Donnees_generations!$Y$3:$Y$113,Donnees_generations!$A$3:$A$113,MAX(1915,MIN(2025,E567))),SUMIFS(Donnees_generations!$Z$3:$Z$113,Donnees_generations!$A$3:$A$113,MAX(1915,MIN(2025,E567))),SUMIFS(Donnees_generations!$AA$3:$AA$113,Donnees_generations!$A$3:$A$113,MAX(1915,MIN(2025,E567))),SUMIFS(Donnees_generations!$AB$3:$AB$113,Donnees_generations!$A$3:$A$113,MAX(1915,MIN(2025,E567))))+CHOOSE((AG567-56)/2+1,SUMIFS(Donnees_generations!$AC$3:$AC$113,Donnees_generations!$A$3:$A$113,MAX(1915,MIN(2025,E567))),SUMIFS(Donnees_generations!$AD$3:$AD$113,Donnees_generations!$A$3:$A$113,MAX(1915,MIN(2025,E567))),SUMIFS(Donnees_generations!$AE$3:$AE$113,Donnees_generations!$A$3:$A$113,MAX(1915,MIN(2025,E567))),SUMIFS(Donnees_generations!$AF$3:$AF$113,Donnees_generations!$A$3:$A$113,MAX(1915,MIN(2025,E567))),SUMIFS(Donnees_generations!$AG$3:$AG$113,Donnees_generations!$A$3:$A$113,MAX(1915,MIN(2025,E567))),SUMIFS(Donnees_generations!$AH$3:$AH$113,Donnees_generations!$A$3:$A$113,MAX(1915,MIN(2025,E567))),SUMIFS(Donnees_generations!$AI$3:$AI$113,Donnees_generations!$A$3:$A$113,MAX(1915,MIN(2025,E567))),SUMIFS(Donnees_generations!$AJ$3:$AJ$113,Donnees_generations!$A$3:$A$113,MAX(1915,MIN(2025,E567)))))/2</f>
        <v/>
      </c>
      <c r="AI567" s="75">
        <f>(CHOOSE(((AG567+2)-56)/2+1,SUMIFS(Donnees_generations!$U$3:$U$113,Donnees_generations!$A$3:$A$113,MAX(1915,MIN(2025,E567))),SUMIFS(Donnees_generations!$V$3:$V$113,Donnees_generations!$A$3:$A$113,MAX(1915,MIN(2025,E567))),SUMIFS(Donnees_generations!$W$3:$W$113,Donnees_generations!$A$3:$A$113,MAX(1915,MIN(2025,E567))),SUMIFS(Donnees_generations!$X$3:$X$113,Donnees_generations!$A$3:$A$113,MAX(1915,MIN(2025,E567))),SUMIFS(Donnees_generations!$Y$3:$Y$113,Donnees_generations!$A$3:$A$113,MAX(1915,MIN(2025,E567))),SUMIFS(Donnees_generations!$Z$3:$Z$113,Donnees_generations!$A$3:$A$113,MAX(1915,MIN(2025,E567))),SUMIFS(Donnees_generations!$AA$3:$AA$113,Donnees_generations!$A$3:$A$113,MAX(1915,MIN(2025,E567))),SUMIFS(Donnees_generations!$AB$3:$AB$113,Donnees_generations!$A$3:$A$113,MAX(1915,MIN(2025,E567))))+CHOOSE(((AG567+2)-56)/2+1,SUMIFS(Donnees_generations!$AC$3:$AC$113,Donnees_generations!$A$3:$A$113,MAX(1915,MIN(2025,E567))),SUMIFS(Donnees_generations!$AD$3:$AD$113,Donnees_generations!$A$3:$A$113,MAX(1915,MIN(2025,E567))),SUMIFS(Donnees_generations!$AE$3:$AE$113,Donnees_generations!$A$3:$A$113,MAX(1915,MIN(2025,E567))),SUMIFS(Donnees_generations!$AF$3:$AF$113,Donnees_generations!$A$3:$A$113,MAX(1915,MIN(2025,E567))),SUMIFS(Donnees_generations!$AG$3:$AG$113,Donnees_generations!$A$3:$A$113,MAX(1915,MIN(2025,E567))),SUMIFS(Donnees_generations!$AH$3:$AH$113,Donnees_generations!$A$3:$A$113,MAX(1915,MIN(2025,E567))),SUMIFS(Donnees_generations!$AI$3:$AI$113,Donnees_generations!$A$3:$A$113,MAX(1915,MIN(2025,E567))),SUMIFS(Donnees_generations!$AJ$3:$AJ$113,Donnees_generations!$A$3:$A$113,MAX(1915,MIN(2025,E567)))))/2</f>
        <v/>
      </c>
      <c r="AJ567" s="8">
        <f>MAX(0,AH567+(AI567-AH567)*(K567-AG567)/2)</f>
        <v/>
      </c>
      <c r="AK567" s="8">
        <f>K567+AJ567</f>
        <v/>
      </c>
      <c r="AL567" s="14">
        <f>AE567*AJ567</f>
        <v/>
      </c>
      <c r="AM567" s="17">
        <f>V567/AL567</f>
        <v/>
      </c>
      <c r="AN567" s="17">
        <f>Z567/AL567</f>
        <v/>
      </c>
      <c r="AO567" s="33">
        <f>IF(V567+Z567=0,0,Z567/(V567+Z567))</f>
        <v/>
      </c>
      <c r="AP567" s="14">
        <f>AL567/V567*100</f>
        <v/>
      </c>
      <c r="AQ567" s="8">
        <f>P567/AL567*1000</f>
        <v/>
      </c>
      <c r="AR567" s="77">
        <f>MAX(N567,M567-1)</f>
        <v/>
      </c>
      <c r="AS567" s="14">
        <f>SUMIFS(Donnees_regimes!$R$3:$R$1118,Donnees_regimes!$A$3:$A$1118,C567,Donnees_regimes!$B$3:$B$1118,"&gt;="&amp;G567,Donnees_regimes!$B$3:$B$1118,"&lt;="&amp;N567)*L567/ROUNDUP(L567,0)*SUMIFS(Donnees_annuelles!$AG$3:$AG$188,Donnees_annuelles!$A$3:$A$188,AR567)*SUMIFS(Donnees_annuelles!$AA$3:$AA$188,Donnees_annuelles!$A$3:$A$188,AR567)</f>
        <v/>
      </c>
      <c r="AT567" s="36">
        <f>AS567/V567</f>
        <v/>
      </c>
      <c r="AU567" s="14">
        <f>AL567</f>
        <v/>
      </c>
      <c r="AV567" s="39">
        <f>AS567-AL567</f>
        <v/>
      </c>
      <c r="AW567" s="9">
        <f>AS567/AL567-1</f>
        <v/>
      </c>
      <c r="AX567" s="14">
        <f>AS567/AJ567/12</f>
        <v/>
      </c>
      <c r="AY567" s="14">
        <f>AF567</f>
        <v/>
      </c>
      <c r="AZ567" s="39">
        <f>AX567-AF567</f>
        <v/>
      </c>
      <c r="BA567" s="14">
        <f>SUMIFS(Donnees_regimes!$S$3:$S$1118,Donnees_regimes!$A$3:$A$1118,C567,Donnees_regimes!$B$3:$B$1118,"&gt;="&amp;G567,Donnees_regimes!$B$3:$B$1118,"&lt;="&amp;N567)*L567/ROUNDUP(L567,0)*SUMIFS(Donnees_annuelles!$AH$3:$AH$188,Donnees_annuelles!$A$3:$A$188,AR567)*SUMIFS(Donnees_annuelles!$AA$3:$AA$188,Donnees_annuelles!$A$3:$A$188,AR567)</f>
        <v/>
      </c>
      <c r="BB567" s="39">
        <f>BA567-AL567</f>
        <v/>
      </c>
      <c r="BC567" s="7">
        <f>IF(M567+AJ567&gt;2026,IF(G567&gt;2026,"entièrement projeté","en partie projeté"),"observé")</f>
        <v/>
      </c>
    </row>
    <row r="568">
      <c r="A568" s="7" t="inlineStr">
        <is>
          <t>Génération Z</t>
        </is>
      </c>
      <c r="B568" s="84" t="inlineStr">
        <is>
          <t>IEG</t>
        </is>
      </c>
      <c r="C568" s="7">
        <f>IF(G568&gt;=SUMIFS(Regimes!$C$5:$C$10,Regimes!$A$5:$A$10,B568),"Privé",B568)</f>
        <v/>
      </c>
      <c r="D568" s="7">
        <f>INDEX(Regimes!$D$5:$D$10,MATCH(C568,Regimes!$A$5:$A$10,0))</f>
        <v/>
      </c>
      <c r="E568" s="88" t="n">
        <v>2003</v>
      </c>
      <c r="F568" s="8">
        <f>Donnees_generations!C91</f>
        <v/>
      </c>
      <c r="G568" s="77">
        <f>Donnees_generations!D91</f>
        <v/>
      </c>
      <c r="H568" s="8">
        <f>SUMIFS(Donnees_generations!$S$3:$S$113,Donnees_generations!$A$3:$A$113,MAX(1915,MIN(2025,E568)))</f>
        <v/>
      </c>
      <c r="I568" s="8">
        <f>SUMIFS(Donnees_generations!$T$3:$T$113,Donnees_generations!$A$3:$A$113,MAX(1915,MIN(2025,E568)))</f>
        <v/>
      </c>
      <c r="J568" s="8">
        <f>IF(G568&gt;=2000,MAX(I568,Parametres!$B$3),I568)</f>
        <v/>
      </c>
      <c r="K568" s="8">
        <f>IF(C568="Privé",J568,SUMIFS(Regles_regimes!$J$3:$J$2000,Regles_regimes!$A$3:$A$2000,C568,Regles_regimes!$B$3:$B$2000,D568,Regles_regimes!$C$3:$C$2000,MAX(1915,MIN(2025,E568))))</f>
        <v/>
      </c>
      <c r="L568" s="8">
        <f>IF(C568="Privé",H568,(K568-F568)*H568/(J568-F568))</f>
        <v/>
      </c>
      <c r="M568" s="77">
        <f>INT(E568+K568)</f>
        <v/>
      </c>
      <c r="N568" s="77">
        <f>G568+ROUNDUP(L568,0)-1</f>
        <v/>
      </c>
      <c r="O568" s="89">
        <f>SUMIFS(Regles_regimes!$K$3:$K$2000,Regles_regimes!$A$3:$A$2000,C568,Regles_regimes!$B$3:$B$2000,D568,Regles_regimes!$C$3:$C$2000,MAX(1915,MIN(2025,E568)))</f>
        <v/>
      </c>
      <c r="P568" s="13">
        <f>SUMIFS(Donnees_annuelles!$W$3:$W$188,Donnees_annuelles!$A$3:$A$188,"&gt;="&amp;G568,Donnees_annuelles!$A$3:$A$188,"&lt;="&amp;N568)*L568/ROUNDUP(L568,0)*O568</f>
        <v/>
      </c>
      <c r="Q568" s="13">
        <f>SUMIFS(Donnees_annuelles!$V$3:$V$188,Donnees_annuelles!$A$3:$A$188,"&gt;="&amp;G568,Donnees_annuelles!$A$3:$A$188,"&lt;="&amp;N568)*L568/ROUNDUP(L568,0)</f>
        <v/>
      </c>
      <c r="R568" s="13">
        <f>P568/L568</f>
        <v/>
      </c>
      <c r="S568" s="14">
        <f>SUMIFS(Donnees_annuelles!$D$3:$D$188,Donnees_annuelles!$A$3:$A$188,"&gt;="&amp;G568,Donnees_annuelles!$A$3:$A$188,"&lt;="&amp;N568)*L568/ROUNDUP(L568,0)</f>
        <v/>
      </c>
      <c r="T568" s="14">
        <f>SUMIFS(Donnees_regimes!$N$3:$N$1118,Donnees_regimes!$A$3:$A$1118,C568,Donnees_regimes!$B$3:$B$1118,"&gt;="&amp;G568,Donnees_regimes!$B$3:$B$1118,"&lt;="&amp;N568)*L568/ROUNDUP(L568,0)</f>
        <v/>
      </c>
      <c r="U568" s="14">
        <f>SUMIFS(Donnees_regimes!$O$3:$O$1118,Donnees_regimes!$A$3:$A$1118,C568,Donnees_regimes!$B$3:$B$1118,"&gt;="&amp;G568,Donnees_regimes!$B$3:$B$1118,"&lt;="&amp;N568)*L568/ROUNDUP(L568,0)</f>
        <v/>
      </c>
      <c r="V568" s="14">
        <f>T568+U568</f>
        <v/>
      </c>
      <c r="W568" s="33">
        <f>V568/S568</f>
        <v/>
      </c>
      <c r="X568" s="14">
        <f>S568+U568</f>
        <v/>
      </c>
      <c r="Y568" s="17">
        <f>V568/P568</f>
        <v/>
      </c>
      <c r="Z568" s="14">
        <f>SUMIFS(Donnees_regimes!$Q$3:$Q$1118,Donnees_regimes!$A$3:$A$1118,C568,Donnees_regimes!$B$3:$B$1118,"&gt;="&amp;G568,Donnees_regimes!$B$3:$B$1118,"&lt;="&amp;N568)*L568/ROUNDUP(L568,0)</f>
        <v/>
      </c>
      <c r="AA568" s="77">
        <f>SUMIFS(Regles_regimes!$F$3:$F$2000,Regles_regimes!$A$3:$A$2000,C568,Regles_regimes!$B$3:$B$2000,D568,Regles_regimes!$C$3:$C$2000,MAX(1915,MIN(2025,E568)))</f>
        <v/>
      </c>
      <c r="AB568" s="77">
        <f>IF(AND(SUMIFS(Regles_regimes!$L$3:$L$2000,Regles_regimes!$A$3:$A$2000,C568,Regles_regimes!$B$3:$B$2000,D568,Regles_regimes!$C$3:$C$2000,MAX(1915,MIN(2025,E568)))=1,G568&lt;2009,C568&lt;&gt;"Privé"),MIN(20,L568*4/5),0)</f>
        <v/>
      </c>
      <c r="AC568" s="89">
        <f>SUMIFS(Donnees_regimes!$M$3:$M$1118,Donnees_regimes!$A$3:$A$1118,C568,Donnees_regimes!$B$3:$B$1118,M568)</f>
        <v/>
      </c>
      <c r="AD568" s="14">
        <f>SUMIFS(Donnees_annuelles!$Y$3:$Y$188,Donnees_annuelles!$A$3:$A$188,M568)*SUMIFS(Donnees_generations!$I$3:$I$113,Donnees_generations!$A$3:$A$113,MAX(1915,MIN(2025,E568)))/H568</f>
        <v/>
      </c>
      <c r="AE568" s="14">
        <f>IF(C568="Privé",SUMIFS(Donnees_annuelles!$Y$3:$Y$188,Donnees_annuelles!$A$3:$A$188,M568)*MIN(L568,SUMIFS(Donnees_generations!$I$3:$I$113,Donnees_generations!$A$3:$A$113,MAX(1915,MIN(2025,E568))))/L568,AD568*AC568*MIN(IF(AB568&gt;0,0.8/0.75,1),(L568*4+AB568)/AA568))</f>
        <v/>
      </c>
      <c r="AF568" s="14">
        <f>AE568/12</f>
        <v/>
      </c>
      <c r="AG568" s="77">
        <f>MIN(68,MAX(56,2*INT(K568/2)))</f>
        <v/>
      </c>
      <c r="AH568" s="75">
        <f>(CHOOSE((AG568-56)/2+1,SUMIFS(Donnees_generations!$U$3:$U$113,Donnees_generations!$A$3:$A$113,MAX(1915,MIN(2025,E568))),SUMIFS(Donnees_generations!$V$3:$V$113,Donnees_generations!$A$3:$A$113,MAX(1915,MIN(2025,E568))),SUMIFS(Donnees_generations!$W$3:$W$113,Donnees_generations!$A$3:$A$113,MAX(1915,MIN(2025,E568))),SUMIFS(Donnees_generations!$X$3:$X$113,Donnees_generations!$A$3:$A$113,MAX(1915,MIN(2025,E568))),SUMIFS(Donnees_generations!$Y$3:$Y$113,Donnees_generations!$A$3:$A$113,MAX(1915,MIN(2025,E568))),SUMIFS(Donnees_generations!$Z$3:$Z$113,Donnees_generations!$A$3:$A$113,MAX(1915,MIN(2025,E568))),SUMIFS(Donnees_generations!$AA$3:$AA$113,Donnees_generations!$A$3:$A$113,MAX(1915,MIN(2025,E568))),SUMIFS(Donnees_generations!$AB$3:$AB$113,Donnees_generations!$A$3:$A$113,MAX(1915,MIN(2025,E568))))+CHOOSE((AG568-56)/2+1,SUMIFS(Donnees_generations!$AC$3:$AC$113,Donnees_generations!$A$3:$A$113,MAX(1915,MIN(2025,E568))),SUMIFS(Donnees_generations!$AD$3:$AD$113,Donnees_generations!$A$3:$A$113,MAX(1915,MIN(2025,E568))),SUMIFS(Donnees_generations!$AE$3:$AE$113,Donnees_generations!$A$3:$A$113,MAX(1915,MIN(2025,E568))),SUMIFS(Donnees_generations!$AF$3:$AF$113,Donnees_generations!$A$3:$A$113,MAX(1915,MIN(2025,E568))),SUMIFS(Donnees_generations!$AG$3:$AG$113,Donnees_generations!$A$3:$A$113,MAX(1915,MIN(2025,E568))),SUMIFS(Donnees_generations!$AH$3:$AH$113,Donnees_generations!$A$3:$A$113,MAX(1915,MIN(2025,E568))),SUMIFS(Donnees_generations!$AI$3:$AI$113,Donnees_generations!$A$3:$A$113,MAX(1915,MIN(2025,E568))),SUMIFS(Donnees_generations!$AJ$3:$AJ$113,Donnees_generations!$A$3:$A$113,MAX(1915,MIN(2025,E568)))))/2</f>
        <v/>
      </c>
      <c r="AI568" s="75">
        <f>(CHOOSE(((AG568+2)-56)/2+1,SUMIFS(Donnees_generations!$U$3:$U$113,Donnees_generations!$A$3:$A$113,MAX(1915,MIN(2025,E568))),SUMIFS(Donnees_generations!$V$3:$V$113,Donnees_generations!$A$3:$A$113,MAX(1915,MIN(2025,E568))),SUMIFS(Donnees_generations!$W$3:$W$113,Donnees_generations!$A$3:$A$113,MAX(1915,MIN(2025,E568))),SUMIFS(Donnees_generations!$X$3:$X$113,Donnees_generations!$A$3:$A$113,MAX(1915,MIN(2025,E568))),SUMIFS(Donnees_generations!$Y$3:$Y$113,Donnees_generations!$A$3:$A$113,MAX(1915,MIN(2025,E568))),SUMIFS(Donnees_generations!$Z$3:$Z$113,Donnees_generations!$A$3:$A$113,MAX(1915,MIN(2025,E568))),SUMIFS(Donnees_generations!$AA$3:$AA$113,Donnees_generations!$A$3:$A$113,MAX(1915,MIN(2025,E568))),SUMIFS(Donnees_generations!$AB$3:$AB$113,Donnees_generations!$A$3:$A$113,MAX(1915,MIN(2025,E568))))+CHOOSE(((AG568+2)-56)/2+1,SUMIFS(Donnees_generations!$AC$3:$AC$113,Donnees_generations!$A$3:$A$113,MAX(1915,MIN(2025,E568))),SUMIFS(Donnees_generations!$AD$3:$AD$113,Donnees_generations!$A$3:$A$113,MAX(1915,MIN(2025,E568))),SUMIFS(Donnees_generations!$AE$3:$AE$113,Donnees_generations!$A$3:$A$113,MAX(1915,MIN(2025,E568))),SUMIFS(Donnees_generations!$AF$3:$AF$113,Donnees_generations!$A$3:$A$113,MAX(1915,MIN(2025,E568))),SUMIFS(Donnees_generations!$AG$3:$AG$113,Donnees_generations!$A$3:$A$113,MAX(1915,MIN(2025,E568))),SUMIFS(Donnees_generations!$AH$3:$AH$113,Donnees_generations!$A$3:$A$113,MAX(1915,MIN(2025,E568))),SUMIFS(Donnees_generations!$AI$3:$AI$113,Donnees_generations!$A$3:$A$113,MAX(1915,MIN(2025,E568))),SUMIFS(Donnees_generations!$AJ$3:$AJ$113,Donnees_generations!$A$3:$A$113,MAX(1915,MIN(2025,E568)))))/2</f>
        <v/>
      </c>
      <c r="AJ568" s="8">
        <f>MAX(0,AH568+(AI568-AH568)*(K568-AG568)/2)</f>
        <v/>
      </c>
      <c r="AK568" s="8">
        <f>K568+AJ568</f>
        <v/>
      </c>
      <c r="AL568" s="14">
        <f>AE568*AJ568</f>
        <v/>
      </c>
      <c r="AM568" s="17">
        <f>V568/AL568</f>
        <v/>
      </c>
      <c r="AN568" s="17">
        <f>Z568/AL568</f>
        <v/>
      </c>
      <c r="AO568" s="33">
        <f>IF(V568+Z568=0,0,Z568/(V568+Z568))</f>
        <v/>
      </c>
      <c r="AP568" s="14">
        <f>AL568/V568*100</f>
        <v/>
      </c>
      <c r="AQ568" s="8">
        <f>P568/AL568*1000</f>
        <v/>
      </c>
      <c r="AR568" s="77">
        <f>MAX(N568,M568-1)</f>
        <v/>
      </c>
      <c r="AS568" s="14">
        <f>SUMIFS(Donnees_regimes!$R$3:$R$1118,Donnees_regimes!$A$3:$A$1118,C568,Donnees_regimes!$B$3:$B$1118,"&gt;="&amp;G568,Donnees_regimes!$B$3:$B$1118,"&lt;="&amp;N568)*L568/ROUNDUP(L568,0)*SUMIFS(Donnees_annuelles!$AG$3:$AG$188,Donnees_annuelles!$A$3:$A$188,AR568)*SUMIFS(Donnees_annuelles!$AA$3:$AA$188,Donnees_annuelles!$A$3:$A$188,AR568)</f>
        <v/>
      </c>
      <c r="AT568" s="36">
        <f>AS568/V568</f>
        <v/>
      </c>
      <c r="AU568" s="14">
        <f>AL568</f>
        <v/>
      </c>
      <c r="AV568" s="39">
        <f>AS568-AL568</f>
        <v/>
      </c>
      <c r="AW568" s="9">
        <f>AS568/AL568-1</f>
        <v/>
      </c>
      <c r="AX568" s="14">
        <f>AS568/AJ568/12</f>
        <v/>
      </c>
      <c r="AY568" s="14">
        <f>AF568</f>
        <v/>
      </c>
      <c r="AZ568" s="39">
        <f>AX568-AF568</f>
        <v/>
      </c>
      <c r="BA568" s="14">
        <f>SUMIFS(Donnees_regimes!$S$3:$S$1118,Donnees_regimes!$A$3:$A$1118,C568,Donnees_regimes!$B$3:$B$1118,"&gt;="&amp;G568,Donnees_regimes!$B$3:$B$1118,"&lt;="&amp;N568)*L568/ROUNDUP(L568,0)*SUMIFS(Donnees_annuelles!$AH$3:$AH$188,Donnees_annuelles!$A$3:$A$188,AR568)*SUMIFS(Donnees_annuelles!$AA$3:$AA$188,Donnees_annuelles!$A$3:$A$188,AR568)</f>
        <v/>
      </c>
      <c r="BB568" s="39">
        <f>BA568-AL568</f>
        <v/>
      </c>
      <c r="BC568" s="7">
        <f>IF(M568+AJ568&gt;2026,IF(G568&gt;2026,"entièrement projeté","en partie projeté"),"observé")</f>
        <v/>
      </c>
    </row>
    <row r="569">
      <c r="A569" s="7" t="inlineStr">
        <is>
          <t>Génération Z</t>
        </is>
      </c>
      <c r="B569" s="84" t="inlineStr">
        <is>
          <t>IEG</t>
        </is>
      </c>
      <c r="C569" s="7">
        <f>IF(G569&gt;=SUMIFS(Regimes!$C$5:$C$10,Regimes!$A$5:$A$10,B569),"Privé",B569)</f>
        <v/>
      </c>
      <c r="D569" s="7">
        <f>INDEX(Regimes!$D$5:$D$10,MATCH(C569,Regimes!$A$5:$A$10,0))</f>
        <v/>
      </c>
      <c r="E569" s="88" t="n">
        <v>2004</v>
      </c>
      <c r="F569" s="8">
        <f>Donnees_generations!C92</f>
        <v/>
      </c>
      <c r="G569" s="77">
        <f>Donnees_generations!D92</f>
        <v/>
      </c>
      <c r="H569" s="8">
        <f>SUMIFS(Donnees_generations!$S$3:$S$113,Donnees_generations!$A$3:$A$113,MAX(1915,MIN(2025,E569)))</f>
        <v/>
      </c>
      <c r="I569" s="8">
        <f>SUMIFS(Donnees_generations!$T$3:$T$113,Donnees_generations!$A$3:$A$113,MAX(1915,MIN(2025,E569)))</f>
        <v/>
      </c>
      <c r="J569" s="8">
        <f>IF(G569&gt;=2000,MAX(I569,Parametres!$B$3),I569)</f>
        <v/>
      </c>
      <c r="K569" s="8">
        <f>IF(C569="Privé",J569,SUMIFS(Regles_regimes!$J$3:$J$2000,Regles_regimes!$A$3:$A$2000,C569,Regles_regimes!$B$3:$B$2000,D569,Regles_regimes!$C$3:$C$2000,MAX(1915,MIN(2025,E569))))</f>
        <v/>
      </c>
      <c r="L569" s="8">
        <f>IF(C569="Privé",H569,(K569-F569)*H569/(J569-F569))</f>
        <v/>
      </c>
      <c r="M569" s="77">
        <f>INT(E569+K569)</f>
        <v/>
      </c>
      <c r="N569" s="77">
        <f>G569+ROUNDUP(L569,0)-1</f>
        <v/>
      </c>
      <c r="O569" s="89">
        <f>SUMIFS(Regles_regimes!$K$3:$K$2000,Regles_regimes!$A$3:$A$2000,C569,Regles_regimes!$B$3:$B$2000,D569,Regles_regimes!$C$3:$C$2000,MAX(1915,MIN(2025,E569)))</f>
        <v/>
      </c>
      <c r="P569" s="13">
        <f>SUMIFS(Donnees_annuelles!$W$3:$W$188,Donnees_annuelles!$A$3:$A$188,"&gt;="&amp;G569,Donnees_annuelles!$A$3:$A$188,"&lt;="&amp;N569)*L569/ROUNDUP(L569,0)*O569</f>
        <v/>
      </c>
      <c r="Q569" s="13">
        <f>SUMIFS(Donnees_annuelles!$V$3:$V$188,Donnees_annuelles!$A$3:$A$188,"&gt;="&amp;G569,Donnees_annuelles!$A$3:$A$188,"&lt;="&amp;N569)*L569/ROUNDUP(L569,0)</f>
        <v/>
      </c>
      <c r="R569" s="13">
        <f>P569/L569</f>
        <v/>
      </c>
      <c r="S569" s="14">
        <f>SUMIFS(Donnees_annuelles!$D$3:$D$188,Donnees_annuelles!$A$3:$A$188,"&gt;="&amp;G569,Donnees_annuelles!$A$3:$A$188,"&lt;="&amp;N569)*L569/ROUNDUP(L569,0)</f>
        <v/>
      </c>
      <c r="T569" s="14">
        <f>SUMIFS(Donnees_regimes!$N$3:$N$1118,Donnees_regimes!$A$3:$A$1118,C569,Donnees_regimes!$B$3:$B$1118,"&gt;="&amp;G569,Donnees_regimes!$B$3:$B$1118,"&lt;="&amp;N569)*L569/ROUNDUP(L569,0)</f>
        <v/>
      </c>
      <c r="U569" s="14">
        <f>SUMIFS(Donnees_regimes!$O$3:$O$1118,Donnees_regimes!$A$3:$A$1118,C569,Donnees_regimes!$B$3:$B$1118,"&gt;="&amp;G569,Donnees_regimes!$B$3:$B$1118,"&lt;="&amp;N569)*L569/ROUNDUP(L569,0)</f>
        <v/>
      </c>
      <c r="V569" s="14">
        <f>T569+U569</f>
        <v/>
      </c>
      <c r="W569" s="33">
        <f>V569/S569</f>
        <v/>
      </c>
      <c r="X569" s="14">
        <f>S569+U569</f>
        <v/>
      </c>
      <c r="Y569" s="17">
        <f>V569/P569</f>
        <v/>
      </c>
      <c r="Z569" s="14">
        <f>SUMIFS(Donnees_regimes!$Q$3:$Q$1118,Donnees_regimes!$A$3:$A$1118,C569,Donnees_regimes!$B$3:$B$1118,"&gt;="&amp;G569,Donnees_regimes!$B$3:$B$1118,"&lt;="&amp;N569)*L569/ROUNDUP(L569,0)</f>
        <v/>
      </c>
      <c r="AA569" s="77">
        <f>SUMIFS(Regles_regimes!$F$3:$F$2000,Regles_regimes!$A$3:$A$2000,C569,Regles_regimes!$B$3:$B$2000,D569,Regles_regimes!$C$3:$C$2000,MAX(1915,MIN(2025,E569)))</f>
        <v/>
      </c>
      <c r="AB569" s="77">
        <f>IF(AND(SUMIFS(Regles_regimes!$L$3:$L$2000,Regles_regimes!$A$3:$A$2000,C569,Regles_regimes!$B$3:$B$2000,D569,Regles_regimes!$C$3:$C$2000,MAX(1915,MIN(2025,E569)))=1,G569&lt;2009,C569&lt;&gt;"Privé"),MIN(20,L569*4/5),0)</f>
        <v/>
      </c>
      <c r="AC569" s="89">
        <f>SUMIFS(Donnees_regimes!$M$3:$M$1118,Donnees_regimes!$A$3:$A$1118,C569,Donnees_regimes!$B$3:$B$1118,M569)</f>
        <v/>
      </c>
      <c r="AD569" s="14">
        <f>SUMIFS(Donnees_annuelles!$Y$3:$Y$188,Donnees_annuelles!$A$3:$A$188,M569)*SUMIFS(Donnees_generations!$I$3:$I$113,Donnees_generations!$A$3:$A$113,MAX(1915,MIN(2025,E569)))/H569</f>
        <v/>
      </c>
      <c r="AE569" s="14">
        <f>IF(C569="Privé",SUMIFS(Donnees_annuelles!$Y$3:$Y$188,Donnees_annuelles!$A$3:$A$188,M569)*MIN(L569,SUMIFS(Donnees_generations!$I$3:$I$113,Donnees_generations!$A$3:$A$113,MAX(1915,MIN(2025,E569))))/L569,AD569*AC569*MIN(IF(AB569&gt;0,0.8/0.75,1),(L569*4+AB569)/AA569))</f>
        <v/>
      </c>
      <c r="AF569" s="14">
        <f>AE569/12</f>
        <v/>
      </c>
      <c r="AG569" s="77">
        <f>MIN(68,MAX(56,2*INT(K569/2)))</f>
        <v/>
      </c>
      <c r="AH569" s="75">
        <f>(CHOOSE((AG569-56)/2+1,SUMIFS(Donnees_generations!$U$3:$U$113,Donnees_generations!$A$3:$A$113,MAX(1915,MIN(2025,E569))),SUMIFS(Donnees_generations!$V$3:$V$113,Donnees_generations!$A$3:$A$113,MAX(1915,MIN(2025,E569))),SUMIFS(Donnees_generations!$W$3:$W$113,Donnees_generations!$A$3:$A$113,MAX(1915,MIN(2025,E569))),SUMIFS(Donnees_generations!$X$3:$X$113,Donnees_generations!$A$3:$A$113,MAX(1915,MIN(2025,E569))),SUMIFS(Donnees_generations!$Y$3:$Y$113,Donnees_generations!$A$3:$A$113,MAX(1915,MIN(2025,E569))),SUMIFS(Donnees_generations!$Z$3:$Z$113,Donnees_generations!$A$3:$A$113,MAX(1915,MIN(2025,E569))),SUMIFS(Donnees_generations!$AA$3:$AA$113,Donnees_generations!$A$3:$A$113,MAX(1915,MIN(2025,E569))),SUMIFS(Donnees_generations!$AB$3:$AB$113,Donnees_generations!$A$3:$A$113,MAX(1915,MIN(2025,E569))))+CHOOSE((AG569-56)/2+1,SUMIFS(Donnees_generations!$AC$3:$AC$113,Donnees_generations!$A$3:$A$113,MAX(1915,MIN(2025,E569))),SUMIFS(Donnees_generations!$AD$3:$AD$113,Donnees_generations!$A$3:$A$113,MAX(1915,MIN(2025,E569))),SUMIFS(Donnees_generations!$AE$3:$AE$113,Donnees_generations!$A$3:$A$113,MAX(1915,MIN(2025,E569))),SUMIFS(Donnees_generations!$AF$3:$AF$113,Donnees_generations!$A$3:$A$113,MAX(1915,MIN(2025,E569))),SUMIFS(Donnees_generations!$AG$3:$AG$113,Donnees_generations!$A$3:$A$113,MAX(1915,MIN(2025,E569))),SUMIFS(Donnees_generations!$AH$3:$AH$113,Donnees_generations!$A$3:$A$113,MAX(1915,MIN(2025,E569))),SUMIFS(Donnees_generations!$AI$3:$AI$113,Donnees_generations!$A$3:$A$113,MAX(1915,MIN(2025,E569))),SUMIFS(Donnees_generations!$AJ$3:$AJ$113,Donnees_generations!$A$3:$A$113,MAX(1915,MIN(2025,E569)))))/2</f>
        <v/>
      </c>
      <c r="AI569" s="75">
        <f>(CHOOSE(((AG569+2)-56)/2+1,SUMIFS(Donnees_generations!$U$3:$U$113,Donnees_generations!$A$3:$A$113,MAX(1915,MIN(2025,E569))),SUMIFS(Donnees_generations!$V$3:$V$113,Donnees_generations!$A$3:$A$113,MAX(1915,MIN(2025,E569))),SUMIFS(Donnees_generations!$W$3:$W$113,Donnees_generations!$A$3:$A$113,MAX(1915,MIN(2025,E569))),SUMIFS(Donnees_generations!$X$3:$X$113,Donnees_generations!$A$3:$A$113,MAX(1915,MIN(2025,E569))),SUMIFS(Donnees_generations!$Y$3:$Y$113,Donnees_generations!$A$3:$A$113,MAX(1915,MIN(2025,E569))),SUMIFS(Donnees_generations!$Z$3:$Z$113,Donnees_generations!$A$3:$A$113,MAX(1915,MIN(2025,E569))),SUMIFS(Donnees_generations!$AA$3:$AA$113,Donnees_generations!$A$3:$A$113,MAX(1915,MIN(2025,E569))),SUMIFS(Donnees_generations!$AB$3:$AB$113,Donnees_generations!$A$3:$A$113,MAX(1915,MIN(2025,E569))))+CHOOSE(((AG569+2)-56)/2+1,SUMIFS(Donnees_generations!$AC$3:$AC$113,Donnees_generations!$A$3:$A$113,MAX(1915,MIN(2025,E569))),SUMIFS(Donnees_generations!$AD$3:$AD$113,Donnees_generations!$A$3:$A$113,MAX(1915,MIN(2025,E569))),SUMIFS(Donnees_generations!$AE$3:$AE$113,Donnees_generations!$A$3:$A$113,MAX(1915,MIN(2025,E569))),SUMIFS(Donnees_generations!$AF$3:$AF$113,Donnees_generations!$A$3:$A$113,MAX(1915,MIN(2025,E569))),SUMIFS(Donnees_generations!$AG$3:$AG$113,Donnees_generations!$A$3:$A$113,MAX(1915,MIN(2025,E569))),SUMIFS(Donnees_generations!$AH$3:$AH$113,Donnees_generations!$A$3:$A$113,MAX(1915,MIN(2025,E569))),SUMIFS(Donnees_generations!$AI$3:$AI$113,Donnees_generations!$A$3:$A$113,MAX(1915,MIN(2025,E569))),SUMIFS(Donnees_generations!$AJ$3:$AJ$113,Donnees_generations!$A$3:$A$113,MAX(1915,MIN(2025,E569)))))/2</f>
        <v/>
      </c>
      <c r="AJ569" s="8">
        <f>MAX(0,AH569+(AI569-AH569)*(K569-AG569)/2)</f>
        <v/>
      </c>
      <c r="AK569" s="8">
        <f>K569+AJ569</f>
        <v/>
      </c>
      <c r="AL569" s="14">
        <f>AE569*AJ569</f>
        <v/>
      </c>
      <c r="AM569" s="17">
        <f>V569/AL569</f>
        <v/>
      </c>
      <c r="AN569" s="17">
        <f>Z569/AL569</f>
        <v/>
      </c>
      <c r="AO569" s="33">
        <f>IF(V569+Z569=0,0,Z569/(V569+Z569))</f>
        <v/>
      </c>
      <c r="AP569" s="14">
        <f>AL569/V569*100</f>
        <v/>
      </c>
      <c r="AQ569" s="8">
        <f>P569/AL569*1000</f>
        <v/>
      </c>
      <c r="AR569" s="77">
        <f>MAX(N569,M569-1)</f>
        <v/>
      </c>
      <c r="AS569" s="14">
        <f>SUMIFS(Donnees_regimes!$R$3:$R$1118,Donnees_regimes!$A$3:$A$1118,C569,Donnees_regimes!$B$3:$B$1118,"&gt;="&amp;G569,Donnees_regimes!$B$3:$B$1118,"&lt;="&amp;N569)*L569/ROUNDUP(L569,0)*SUMIFS(Donnees_annuelles!$AG$3:$AG$188,Donnees_annuelles!$A$3:$A$188,AR569)*SUMIFS(Donnees_annuelles!$AA$3:$AA$188,Donnees_annuelles!$A$3:$A$188,AR569)</f>
        <v/>
      </c>
      <c r="AT569" s="36">
        <f>AS569/V569</f>
        <v/>
      </c>
      <c r="AU569" s="14">
        <f>AL569</f>
        <v/>
      </c>
      <c r="AV569" s="39">
        <f>AS569-AL569</f>
        <v/>
      </c>
      <c r="AW569" s="9">
        <f>AS569/AL569-1</f>
        <v/>
      </c>
      <c r="AX569" s="14">
        <f>AS569/AJ569/12</f>
        <v/>
      </c>
      <c r="AY569" s="14">
        <f>AF569</f>
        <v/>
      </c>
      <c r="AZ569" s="39">
        <f>AX569-AF569</f>
        <v/>
      </c>
      <c r="BA569" s="14">
        <f>SUMIFS(Donnees_regimes!$S$3:$S$1118,Donnees_regimes!$A$3:$A$1118,C569,Donnees_regimes!$B$3:$B$1118,"&gt;="&amp;G569,Donnees_regimes!$B$3:$B$1118,"&lt;="&amp;N569)*L569/ROUNDUP(L569,0)*SUMIFS(Donnees_annuelles!$AH$3:$AH$188,Donnees_annuelles!$A$3:$A$188,AR569)*SUMIFS(Donnees_annuelles!$AA$3:$AA$188,Donnees_annuelles!$A$3:$A$188,AR569)</f>
        <v/>
      </c>
      <c r="BB569" s="39">
        <f>BA569-AL569</f>
        <v/>
      </c>
      <c r="BC569" s="7">
        <f>IF(M569+AJ569&gt;2026,IF(G569&gt;2026,"entièrement projeté","en partie projeté"),"observé")</f>
        <v/>
      </c>
    </row>
    <row r="570">
      <c r="A570" s="7" t="inlineStr">
        <is>
          <t>Génération Z</t>
        </is>
      </c>
      <c r="B570" s="84" t="inlineStr">
        <is>
          <t>IEG</t>
        </is>
      </c>
      <c r="C570" s="7">
        <f>IF(G570&gt;=SUMIFS(Regimes!$C$5:$C$10,Regimes!$A$5:$A$10,B570),"Privé",B570)</f>
        <v/>
      </c>
      <c r="D570" s="7">
        <f>INDEX(Regimes!$D$5:$D$10,MATCH(C570,Regimes!$A$5:$A$10,0))</f>
        <v/>
      </c>
      <c r="E570" s="88" t="n">
        <v>2005</v>
      </c>
      <c r="F570" s="8">
        <f>Donnees_generations!C93</f>
        <v/>
      </c>
      <c r="G570" s="77">
        <f>Donnees_generations!D93</f>
        <v/>
      </c>
      <c r="H570" s="8">
        <f>SUMIFS(Donnees_generations!$S$3:$S$113,Donnees_generations!$A$3:$A$113,MAX(1915,MIN(2025,E570)))</f>
        <v/>
      </c>
      <c r="I570" s="8">
        <f>SUMIFS(Donnees_generations!$T$3:$T$113,Donnees_generations!$A$3:$A$113,MAX(1915,MIN(2025,E570)))</f>
        <v/>
      </c>
      <c r="J570" s="8">
        <f>IF(G570&gt;=2000,MAX(I570,Parametres!$B$3),I570)</f>
        <v/>
      </c>
      <c r="K570" s="8">
        <f>IF(C570="Privé",J570,SUMIFS(Regles_regimes!$J$3:$J$2000,Regles_regimes!$A$3:$A$2000,C570,Regles_regimes!$B$3:$B$2000,D570,Regles_regimes!$C$3:$C$2000,MAX(1915,MIN(2025,E570))))</f>
        <v/>
      </c>
      <c r="L570" s="8">
        <f>IF(C570="Privé",H570,(K570-F570)*H570/(J570-F570))</f>
        <v/>
      </c>
      <c r="M570" s="77">
        <f>INT(E570+K570)</f>
        <v/>
      </c>
      <c r="N570" s="77">
        <f>G570+ROUNDUP(L570,0)-1</f>
        <v/>
      </c>
      <c r="O570" s="89">
        <f>SUMIFS(Regles_regimes!$K$3:$K$2000,Regles_regimes!$A$3:$A$2000,C570,Regles_regimes!$B$3:$B$2000,D570,Regles_regimes!$C$3:$C$2000,MAX(1915,MIN(2025,E570)))</f>
        <v/>
      </c>
      <c r="P570" s="13">
        <f>SUMIFS(Donnees_annuelles!$W$3:$W$188,Donnees_annuelles!$A$3:$A$188,"&gt;="&amp;G570,Donnees_annuelles!$A$3:$A$188,"&lt;="&amp;N570)*L570/ROUNDUP(L570,0)*O570</f>
        <v/>
      </c>
      <c r="Q570" s="13">
        <f>SUMIFS(Donnees_annuelles!$V$3:$V$188,Donnees_annuelles!$A$3:$A$188,"&gt;="&amp;G570,Donnees_annuelles!$A$3:$A$188,"&lt;="&amp;N570)*L570/ROUNDUP(L570,0)</f>
        <v/>
      </c>
      <c r="R570" s="13">
        <f>P570/L570</f>
        <v/>
      </c>
      <c r="S570" s="14">
        <f>SUMIFS(Donnees_annuelles!$D$3:$D$188,Donnees_annuelles!$A$3:$A$188,"&gt;="&amp;G570,Donnees_annuelles!$A$3:$A$188,"&lt;="&amp;N570)*L570/ROUNDUP(L570,0)</f>
        <v/>
      </c>
      <c r="T570" s="14">
        <f>SUMIFS(Donnees_regimes!$N$3:$N$1118,Donnees_regimes!$A$3:$A$1118,C570,Donnees_regimes!$B$3:$B$1118,"&gt;="&amp;G570,Donnees_regimes!$B$3:$B$1118,"&lt;="&amp;N570)*L570/ROUNDUP(L570,0)</f>
        <v/>
      </c>
      <c r="U570" s="14">
        <f>SUMIFS(Donnees_regimes!$O$3:$O$1118,Donnees_regimes!$A$3:$A$1118,C570,Donnees_regimes!$B$3:$B$1118,"&gt;="&amp;G570,Donnees_regimes!$B$3:$B$1118,"&lt;="&amp;N570)*L570/ROUNDUP(L570,0)</f>
        <v/>
      </c>
      <c r="V570" s="14">
        <f>T570+U570</f>
        <v/>
      </c>
      <c r="W570" s="33">
        <f>V570/S570</f>
        <v/>
      </c>
      <c r="X570" s="14">
        <f>S570+U570</f>
        <v/>
      </c>
      <c r="Y570" s="17">
        <f>V570/P570</f>
        <v/>
      </c>
      <c r="Z570" s="14">
        <f>SUMIFS(Donnees_regimes!$Q$3:$Q$1118,Donnees_regimes!$A$3:$A$1118,C570,Donnees_regimes!$B$3:$B$1118,"&gt;="&amp;G570,Donnees_regimes!$B$3:$B$1118,"&lt;="&amp;N570)*L570/ROUNDUP(L570,0)</f>
        <v/>
      </c>
      <c r="AA570" s="77">
        <f>SUMIFS(Regles_regimes!$F$3:$F$2000,Regles_regimes!$A$3:$A$2000,C570,Regles_regimes!$B$3:$B$2000,D570,Regles_regimes!$C$3:$C$2000,MAX(1915,MIN(2025,E570)))</f>
        <v/>
      </c>
      <c r="AB570" s="77">
        <f>IF(AND(SUMIFS(Regles_regimes!$L$3:$L$2000,Regles_regimes!$A$3:$A$2000,C570,Regles_regimes!$B$3:$B$2000,D570,Regles_regimes!$C$3:$C$2000,MAX(1915,MIN(2025,E570)))=1,G570&lt;2009,C570&lt;&gt;"Privé"),MIN(20,L570*4/5),0)</f>
        <v/>
      </c>
      <c r="AC570" s="89">
        <f>SUMIFS(Donnees_regimes!$M$3:$M$1118,Donnees_regimes!$A$3:$A$1118,C570,Donnees_regimes!$B$3:$B$1118,M570)</f>
        <v/>
      </c>
      <c r="AD570" s="14">
        <f>SUMIFS(Donnees_annuelles!$Y$3:$Y$188,Donnees_annuelles!$A$3:$A$188,M570)*SUMIFS(Donnees_generations!$I$3:$I$113,Donnees_generations!$A$3:$A$113,MAX(1915,MIN(2025,E570)))/H570</f>
        <v/>
      </c>
      <c r="AE570" s="14">
        <f>IF(C570="Privé",SUMIFS(Donnees_annuelles!$Y$3:$Y$188,Donnees_annuelles!$A$3:$A$188,M570)*MIN(L570,SUMIFS(Donnees_generations!$I$3:$I$113,Donnees_generations!$A$3:$A$113,MAX(1915,MIN(2025,E570))))/L570,AD570*AC570*MIN(IF(AB570&gt;0,0.8/0.75,1),(L570*4+AB570)/AA570))</f>
        <v/>
      </c>
      <c r="AF570" s="14">
        <f>AE570/12</f>
        <v/>
      </c>
      <c r="AG570" s="77">
        <f>MIN(68,MAX(56,2*INT(K570/2)))</f>
        <v/>
      </c>
      <c r="AH570" s="75">
        <f>(CHOOSE((AG570-56)/2+1,SUMIFS(Donnees_generations!$U$3:$U$113,Donnees_generations!$A$3:$A$113,MAX(1915,MIN(2025,E570))),SUMIFS(Donnees_generations!$V$3:$V$113,Donnees_generations!$A$3:$A$113,MAX(1915,MIN(2025,E570))),SUMIFS(Donnees_generations!$W$3:$W$113,Donnees_generations!$A$3:$A$113,MAX(1915,MIN(2025,E570))),SUMIFS(Donnees_generations!$X$3:$X$113,Donnees_generations!$A$3:$A$113,MAX(1915,MIN(2025,E570))),SUMIFS(Donnees_generations!$Y$3:$Y$113,Donnees_generations!$A$3:$A$113,MAX(1915,MIN(2025,E570))),SUMIFS(Donnees_generations!$Z$3:$Z$113,Donnees_generations!$A$3:$A$113,MAX(1915,MIN(2025,E570))),SUMIFS(Donnees_generations!$AA$3:$AA$113,Donnees_generations!$A$3:$A$113,MAX(1915,MIN(2025,E570))),SUMIFS(Donnees_generations!$AB$3:$AB$113,Donnees_generations!$A$3:$A$113,MAX(1915,MIN(2025,E570))))+CHOOSE((AG570-56)/2+1,SUMIFS(Donnees_generations!$AC$3:$AC$113,Donnees_generations!$A$3:$A$113,MAX(1915,MIN(2025,E570))),SUMIFS(Donnees_generations!$AD$3:$AD$113,Donnees_generations!$A$3:$A$113,MAX(1915,MIN(2025,E570))),SUMIFS(Donnees_generations!$AE$3:$AE$113,Donnees_generations!$A$3:$A$113,MAX(1915,MIN(2025,E570))),SUMIFS(Donnees_generations!$AF$3:$AF$113,Donnees_generations!$A$3:$A$113,MAX(1915,MIN(2025,E570))),SUMIFS(Donnees_generations!$AG$3:$AG$113,Donnees_generations!$A$3:$A$113,MAX(1915,MIN(2025,E570))),SUMIFS(Donnees_generations!$AH$3:$AH$113,Donnees_generations!$A$3:$A$113,MAX(1915,MIN(2025,E570))),SUMIFS(Donnees_generations!$AI$3:$AI$113,Donnees_generations!$A$3:$A$113,MAX(1915,MIN(2025,E570))),SUMIFS(Donnees_generations!$AJ$3:$AJ$113,Donnees_generations!$A$3:$A$113,MAX(1915,MIN(2025,E570)))))/2</f>
        <v/>
      </c>
      <c r="AI570" s="75">
        <f>(CHOOSE(((AG570+2)-56)/2+1,SUMIFS(Donnees_generations!$U$3:$U$113,Donnees_generations!$A$3:$A$113,MAX(1915,MIN(2025,E570))),SUMIFS(Donnees_generations!$V$3:$V$113,Donnees_generations!$A$3:$A$113,MAX(1915,MIN(2025,E570))),SUMIFS(Donnees_generations!$W$3:$W$113,Donnees_generations!$A$3:$A$113,MAX(1915,MIN(2025,E570))),SUMIFS(Donnees_generations!$X$3:$X$113,Donnees_generations!$A$3:$A$113,MAX(1915,MIN(2025,E570))),SUMIFS(Donnees_generations!$Y$3:$Y$113,Donnees_generations!$A$3:$A$113,MAX(1915,MIN(2025,E570))),SUMIFS(Donnees_generations!$Z$3:$Z$113,Donnees_generations!$A$3:$A$113,MAX(1915,MIN(2025,E570))),SUMIFS(Donnees_generations!$AA$3:$AA$113,Donnees_generations!$A$3:$A$113,MAX(1915,MIN(2025,E570))),SUMIFS(Donnees_generations!$AB$3:$AB$113,Donnees_generations!$A$3:$A$113,MAX(1915,MIN(2025,E570))))+CHOOSE(((AG570+2)-56)/2+1,SUMIFS(Donnees_generations!$AC$3:$AC$113,Donnees_generations!$A$3:$A$113,MAX(1915,MIN(2025,E570))),SUMIFS(Donnees_generations!$AD$3:$AD$113,Donnees_generations!$A$3:$A$113,MAX(1915,MIN(2025,E570))),SUMIFS(Donnees_generations!$AE$3:$AE$113,Donnees_generations!$A$3:$A$113,MAX(1915,MIN(2025,E570))),SUMIFS(Donnees_generations!$AF$3:$AF$113,Donnees_generations!$A$3:$A$113,MAX(1915,MIN(2025,E570))),SUMIFS(Donnees_generations!$AG$3:$AG$113,Donnees_generations!$A$3:$A$113,MAX(1915,MIN(2025,E570))),SUMIFS(Donnees_generations!$AH$3:$AH$113,Donnees_generations!$A$3:$A$113,MAX(1915,MIN(2025,E570))),SUMIFS(Donnees_generations!$AI$3:$AI$113,Donnees_generations!$A$3:$A$113,MAX(1915,MIN(2025,E570))),SUMIFS(Donnees_generations!$AJ$3:$AJ$113,Donnees_generations!$A$3:$A$113,MAX(1915,MIN(2025,E570)))))/2</f>
        <v/>
      </c>
      <c r="AJ570" s="8">
        <f>MAX(0,AH570+(AI570-AH570)*(K570-AG570)/2)</f>
        <v/>
      </c>
      <c r="AK570" s="8">
        <f>K570+AJ570</f>
        <v/>
      </c>
      <c r="AL570" s="14">
        <f>AE570*AJ570</f>
        <v/>
      </c>
      <c r="AM570" s="17">
        <f>V570/AL570</f>
        <v/>
      </c>
      <c r="AN570" s="17">
        <f>Z570/AL570</f>
        <v/>
      </c>
      <c r="AO570" s="33">
        <f>IF(V570+Z570=0,0,Z570/(V570+Z570))</f>
        <v/>
      </c>
      <c r="AP570" s="14">
        <f>AL570/V570*100</f>
        <v/>
      </c>
      <c r="AQ570" s="8">
        <f>P570/AL570*1000</f>
        <v/>
      </c>
      <c r="AR570" s="77">
        <f>MAX(N570,M570-1)</f>
        <v/>
      </c>
      <c r="AS570" s="14">
        <f>SUMIFS(Donnees_regimes!$R$3:$R$1118,Donnees_regimes!$A$3:$A$1118,C570,Donnees_regimes!$B$3:$B$1118,"&gt;="&amp;G570,Donnees_regimes!$B$3:$B$1118,"&lt;="&amp;N570)*L570/ROUNDUP(L570,0)*SUMIFS(Donnees_annuelles!$AG$3:$AG$188,Donnees_annuelles!$A$3:$A$188,AR570)*SUMIFS(Donnees_annuelles!$AA$3:$AA$188,Donnees_annuelles!$A$3:$A$188,AR570)</f>
        <v/>
      </c>
      <c r="AT570" s="36">
        <f>AS570/V570</f>
        <v/>
      </c>
      <c r="AU570" s="14">
        <f>AL570</f>
        <v/>
      </c>
      <c r="AV570" s="39">
        <f>AS570-AL570</f>
        <v/>
      </c>
      <c r="AW570" s="9">
        <f>AS570/AL570-1</f>
        <v/>
      </c>
      <c r="AX570" s="14">
        <f>AS570/AJ570/12</f>
        <v/>
      </c>
      <c r="AY570" s="14">
        <f>AF570</f>
        <v/>
      </c>
      <c r="AZ570" s="39">
        <f>AX570-AF570</f>
        <v/>
      </c>
      <c r="BA570" s="14">
        <f>SUMIFS(Donnees_regimes!$S$3:$S$1118,Donnees_regimes!$A$3:$A$1118,C570,Donnees_regimes!$B$3:$B$1118,"&gt;="&amp;G570,Donnees_regimes!$B$3:$B$1118,"&lt;="&amp;N570)*L570/ROUNDUP(L570,0)*SUMIFS(Donnees_annuelles!$AH$3:$AH$188,Donnees_annuelles!$A$3:$A$188,AR570)*SUMIFS(Donnees_annuelles!$AA$3:$AA$188,Donnees_annuelles!$A$3:$A$188,AR570)</f>
        <v/>
      </c>
      <c r="BB570" s="39">
        <f>BA570-AL570</f>
        <v/>
      </c>
      <c r="BC570" s="7">
        <f>IF(M570+AJ570&gt;2026,IF(G570&gt;2026,"entièrement projeté","en partie projeté"),"observé")</f>
        <v/>
      </c>
    </row>
    <row r="571">
      <c r="A571" s="7" t="inlineStr">
        <is>
          <t>Génération Z</t>
        </is>
      </c>
      <c r="B571" s="84" t="inlineStr">
        <is>
          <t>IEG</t>
        </is>
      </c>
      <c r="C571" s="7">
        <f>IF(G571&gt;=SUMIFS(Regimes!$C$5:$C$10,Regimes!$A$5:$A$10,B571),"Privé",B571)</f>
        <v/>
      </c>
      <c r="D571" s="7">
        <f>INDEX(Regimes!$D$5:$D$10,MATCH(C571,Regimes!$A$5:$A$10,0))</f>
        <v/>
      </c>
      <c r="E571" s="88" t="n">
        <v>2006</v>
      </c>
      <c r="F571" s="8">
        <f>Donnees_generations!C94</f>
        <v/>
      </c>
      <c r="G571" s="77">
        <f>Donnees_generations!D94</f>
        <v/>
      </c>
      <c r="H571" s="8">
        <f>SUMIFS(Donnees_generations!$S$3:$S$113,Donnees_generations!$A$3:$A$113,MAX(1915,MIN(2025,E571)))</f>
        <v/>
      </c>
      <c r="I571" s="8">
        <f>SUMIFS(Donnees_generations!$T$3:$T$113,Donnees_generations!$A$3:$A$113,MAX(1915,MIN(2025,E571)))</f>
        <v/>
      </c>
      <c r="J571" s="8">
        <f>IF(G571&gt;=2000,MAX(I571,Parametres!$B$3),I571)</f>
        <v/>
      </c>
      <c r="K571" s="8">
        <f>IF(C571="Privé",J571,SUMIFS(Regles_regimes!$J$3:$J$2000,Regles_regimes!$A$3:$A$2000,C571,Regles_regimes!$B$3:$B$2000,D571,Regles_regimes!$C$3:$C$2000,MAX(1915,MIN(2025,E571))))</f>
        <v/>
      </c>
      <c r="L571" s="8">
        <f>IF(C571="Privé",H571,(K571-F571)*H571/(J571-F571))</f>
        <v/>
      </c>
      <c r="M571" s="77">
        <f>INT(E571+K571)</f>
        <v/>
      </c>
      <c r="N571" s="77">
        <f>G571+ROUNDUP(L571,0)-1</f>
        <v/>
      </c>
      <c r="O571" s="89">
        <f>SUMIFS(Regles_regimes!$K$3:$K$2000,Regles_regimes!$A$3:$A$2000,C571,Regles_regimes!$B$3:$B$2000,D571,Regles_regimes!$C$3:$C$2000,MAX(1915,MIN(2025,E571)))</f>
        <v/>
      </c>
      <c r="P571" s="13">
        <f>SUMIFS(Donnees_annuelles!$W$3:$W$188,Donnees_annuelles!$A$3:$A$188,"&gt;="&amp;G571,Donnees_annuelles!$A$3:$A$188,"&lt;="&amp;N571)*L571/ROUNDUP(L571,0)*O571</f>
        <v/>
      </c>
      <c r="Q571" s="13">
        <f>SUMIFS(Donnees_annuelles!$V$3:$V$188,Donnees_annuelles!$A$3:$A$188,"&gt;="&amp;G571,Donnees_annuelles!$A$3:$A$188,"&lt;="&amp;N571)*L571/ROUNDUP(L571,0)</f>
        <v/>
      </c>
      <c r="R571" s="13">
        <f>P571/L571</f>
        <v/>
      </c>
      <c r="S571" s="14">
        <f>SUMIFS(Donnees_annuelles!$D$3:$D$188,Donnees_annuelles!$A$3:$A$188,"&gt;="&amp;G571,Donnees_annuelles!$A$3:$A$188,"&lt;="&amp;N571)*L571/ROUNDUP(L571,0)</f>
        <v/>
      </c>
      <c r="T571" s="14">
        <f>SUMIFS(Donnees_regimes!$N$3:$N$1118,Donnees_regimes!$A$3:$A$1118,C571,Donnees_regimes!$B$3:$B$1118,"&gt;="&amp;G571,Donnees_regimes!$B$3:$B$1118,"&lt;="&amp;N571)*L571/ROUNDUP(L571,0)</f>
        <v/>
      </c>
      <c r="U571" s="14">
        <f>SUMIFS(Donnees_regimes!$O$3:$O$1118,Donnees_regimes!$A$3:$A$1118,C571,Donnees_regimes!$B$3:$B$1118,"&gt;="&amp;G571,Donnees_regimes!$B$3:$B$1118,"&lt;="&amp;N571)*L571/ROUNDUP(L571,0)</f>
        <v/>
      </c>
      <c r="V571" s="14">
        <f>T571+U571</f>
        <v/>
      </c>
      <c r="W571" s="33">
        <f>V571/S571</f>
        <v/>
      </c>
      <c r="X571" s="14">
        <f>S571+U571</f>
        <v/>
      </c>
      <c r="Y571" s="17">
        <f>V571/P571</f>
        <v/>
      </c>
      <c r="Z571" s="14">
        <f>SUMIFS(Donnees_regimes!$Q$3:$Q$1118,Donnees_regimes!$A$3:$A$1118,C571,Donnees_regimes!$B$3:$B$1118,"&gt;="&amp;G571,Donnees_regimes!$B$3:$B$1118,"&lt;="&amp;N571)*L571/ROUNDUP(L571,0)</f>
        <v/>
      </c>
      <c r="AA571" s="77">
        <f>SUMIFS(Regles_regimes!$F$3:$F$2000,Regles_regimes!$A$3:$A$2000,C571,Regles_regimes!$B$3:$B$2000,D571,Regles_regimes!$C$3:$C$2000,MAX(1915,MIN(2025,E571)))</f>
        <v/>
      </c>
      <c r="AB571" s="77">
        <f>IF(AND(SUMIFS(Regles_regimes!$L$3:$L$2000,Regles_regimes!$A$3:$A$2000,C571,Regles_regimes!$B$3:$B$2000,D571,Regles_regimes!$C$3:$C$2000,MAX(1915,MIN(2025,E571)))=1,G571&lt;2009,C571&lt;&gt;"Privé"),MIN(20,L571*4/5),0)</f>
        <v/>
      </c>
      <c r="AC571" s="89">
        <f>SUMIFS(Donnees_regimes!$M$3:$M$1118,Donnees_regimes!$A$3:$A$1118,C571,Donnees_regimes!$B$3:$B$1118,M571)</f>
        <v/>
      </c>
      <c r="AD571" s="14">
        <f>SUMIFS(Donnees_annuelles!$Y$3:$Y$188,Donnees_annuelles!$A$3:$A$188,M571)*SUMIFS(Donnees_generations!$I$3:$I$113,Donnees_generations!$A$3:$A$113,MAX(1915,MIN(2025,E571)))/H571</f>
        <v/>
      </c>
      <c r="AE571" s="14">
        <f>IF(C571="Privé",SUMIFS(Donnees_annuelles!$Y$3:$Y$188,Donnees_annuelles!$A$3:$A$188,M571)*MIN(L571,SUMIFS(Donnees_generations!$I$3:$I$113,Donnees_generations!$A$3:$A$113,MAX(1915,MIN(2025,E571))))/L571,AD571*AC571*MIN(IF(AB571&gt;0,0.8/0.75,1),(L571*4+AB571)/AA571))</f>
        <v/>
      </c>
      <c r="AF571" s="14">
        <f>AE571/12</f>
        <v/>
      </c>
      <c r="AG571" s="77">
        <f>MIN(68,MAX(56,2*INT(K571/2)))</f>
        <v/>
      </c>
      <c r="AH571" s="75">
        <f>(CHOOSE((AG571-56)/2+1,SUMIFS(Donnees_generations!$U$3:$U$113,Donnees_generations!$A$3:$A$113,MAX(1915,MIN(2025,E571))),SUMIFS(Donnees_generations!$V$3:$V$113,Donnees_generations!$A$3:$A$113,MAX(1915,MIN(2025,E571))),SUMIFS(Donnees_generations!$W$3:$W$113,Donnees_generations!$A$3:$A$113,MAX(1915,MIN(2025,E571))),SUMIFS(Donnees_generations!$X$3:$X$113,Donnees_generations!$A$3:$A$113,MAX(1915,MIN(2025,E571))),SUMIFS(Donnees_generations!$Y$3:$Y$113,Donnees_generations!$A$3:$A$113,MAX(1915,MIN(2025,E571))),SUMIFS(Donnees_generations!$Z$3:$Z$113,Donnees_generations!$A$3:$A$113,MAX(1915,MIN(2025,E571))),SUMIFS(Donnees_generations!$AA$3:$AA$113,Donnees_generations!$A$3:$A$113,MAX(1915,MIN(2025,E571))),SUMIFS(Donnees_generations!$AB$3:$AB$113,Donnees_generations!$A$3:$A$113,MAX(1915,MIN(2025,E571))))+CHOOSE((AG571-56)/2+1,SUMIFS(Donnees_generations!$AC$3:$AC$113,Donnees_generations!$A$3:$A$113,MAX(1915,MIN(2025,E571))),SUMIFS(Donnees_generations!$AD$3:$AD$113,Donnees_generations!$A$3:$A$113,MAX(1915,MIN(2025,E571))),SUMIFS(Donnees_generations!$AE$3:$AE$113,Donnees_generations!$A$3:$A$113,MAX(1915,MIN(2025,E571))),SUMIFS(Donnees_generations!$AF$3:$AF$113,Donnees_generations!$A$3:$A$113,MAX(1915,MIN(2025,E571))),SUMIFS(Donnees_generations!$AG$3:$AG$113,Donnees_generations!$A$3:$A$113,MAX(1915,MIN(2025,E571))),SUMIFS(Donnees_generations!$AH$3:$AH$113,Donnees_generations!$A$3:$A$113,MAX(1915,MIN(2025,E571))),SUMIFS(Donnees_generations!$AI$3:$AI$113,Donnees_generations!$A$3:$A$113,MAX(1915,MIN(2025,E571))),SUMIFS(Donnees_generations!$AJ$3:$AJ$113,Donnees_generations!$A$3:$A$113,MAX(1915,MIN(2025,E571)))))/2</f>
        <v/>
      </c>
      <c r="AI571" s="75">
        <f>(CHOOSE(((AG571+2)-56)/2+1,SUMIFS(Donnees_generations!$U$3:$U$113,Donnees_generations!$A$3:$A$113,MAX(1915,MIN(2025,E571))),SUMIFS(Donnees_generations!$V$3:$V$113,Donnees_generations!$A$3:$A$113,MAX(1915,MIN(2025,E571))),SUMIFS(Donnees_generations!$W$3:$W$113,Donnees_generations!$A$3:$A$113,MAX(1915,MIN(2025,E571))),SUMIFS(Donnees_generations!$X$3:$X$113,Donnees_generations!$A$3:$A$113,MAX(1915,MIN(2025,E571))),SUMIFS(Donnees_generations!$Y$3:$Y$113,Donnees_generations!$A$3:$A$113,MAX(1915,MIN(2025,E571))),SUMIFS(Donnees_generations!$Z$3:$Z$113,Donnees_generations!$A$3:$A$113,MAX(1915,MIN(2025,E571))),SUMIFS(Donnees_generations!$AA$3:$AA$113,Donnees_generations!$A$3:$A$113,MAX(1915,MIN(2025,E571))),SUMIFS(Donnees_generations!$AB$3:$AB$113,Donnees_generations!$A$3:$A$113,MAX(1915,MIN(2025,E571))))+CHOOSE(((AG571+2)-56)/2+1,SUMIFS(Donnees_generations!$AC$3:$AC$113,Donnees_generations!$A$3:$A$113,MAX(1915,MIN(2025,E571))),SUMIFS(Donnees_generations!$AD$3:$AD$113,Donnees_generations!$A$3:$A$113,MAX(1915,MIN(2025,E571))),SUMIFS(Donnees_generations!$AE$3:$AE$113,Donnees_generations!$A$3:$A$113,MAX(1915,MIN(2025,E571))),SUMIFS(Donnees_generations!$AF$3:$AF$113,Donnees_generations!$A$3:$A$113,MAX(1915,MIN(2025,E571))),SUMIFS(Donnees_generations!$AG$3:$AG$113,Donnees_generations!$A$3:$A$113,MAX(1915,MIN(2025,E571))),SUMIFS(Donnees_generations!$AH$3:$AH$113,Donnees_generations!$A$3:$A$113,MAX(1915,MIN(2025,E571))),SUMIFS(Donnees_generations!$AI$3:$AI$113,Donnees_generations!$A$3:$A$113,MAX(1915,MIN(2025,E571))),SUMIFS(Donnees_generations!$AJ$3:$AJ$113,Donnees_generations!$A$3:$A$113,MAX(1915,MIN(2025,E571)))))/2</f>
        <v/>
      </c>
      <c r="AJ571" s="8">
        <f>MAX(0,AH571+(AI571-AH571)*(K571-AG571)/2)</f>
        <v/>
      </c>
      <c r="AK571" s="8">
        <f>K571+AJ571</f>
        <v/>
      </c>
      <c r="AL571" s="14">
        <f>AE571*AJ571</f>
        <v/>
      </c>
      <c r="AM571" s="17">
        <f>V571/AL571</f>
        <v/>
      </c>
      <c r="AN571" s="17">
        <f>Z571/AL571</f>
        <v/>
      </c>
      <c r="AO571" s="33">
        <f>IF(V571+Z571=0,0,Z571/(V571+Z571))</f>
        <v/>
      </c>
      <c r="AP571" s="14">
        <f>AL571/V571*100</f>
        <v/>
      </c>
      <c r="AQ571" s="8">
        <f>P571/AL571*1000</f>
        <v/>
      </c>
      <c r="AR571" s="77">
        <f>MAX(N571,M571-1)</f>
        <v/>
      </c>
      <c r="AS571" s="14">
        <f>SUMIFS(Donnees_regimes!$R$3:$R$1118,Donnees_regimes!$A$3:$A$1118,C571,Donnees_regimes!$B$3:$B$1118,"&gt;="&amp;G571,Donnees_regimes!$B$3:$B$1118,"&lt;="&amp;N571)*L571/ROUNDUP(L571,0)*SUMIFS(Donnees_annuelles!$AG$3:$AG$188,Donnees_annuelles!$A$3:$A$188,AR571)*SUMIFS(Donnees_annuelles!$AA$3:$AA$188,Donnees_annuelles!$A$3:$A$188,AR571)</f>
        <v/>
      </c>
      <c r="AT571" s="36">
        <f>AS571/V571</f>
        <v/>
      </c>
      <c r="AU571" s="14">
        <f>AL571</f>
        <v/>
      </c>
      <c r="AV571" s="39">
        <f>AS571-AL571</f>
        <v/>
      </c>
      <c r="AW571" s="9">
        <f>AS571/AL571-1</f>
        <v/>
      </c>
      <c r="AX571" s="14">
        <f>AS571/AJ571/12</f>
        <v/>
      </c>
      <c r="AY571" s="14">
        <f>AF571</f>
        <v/>
      </c>
      <c r="AZ571" s="39">
        <f>AX571-AF571</f>
        <v/>
      </c>
      <c r="BA571" s="14">
        <f>SUMIFS(Donnees_regimes!$S$3:$S$1118,Donnees_regimes!$A$3:$A$1118,C571,Donnees_regimes!$B$3:$B$1118,"&gt;="&amp;G571,Donnees_regimes!$B$3:$B$1118,"&lt;="&amp;N571)*L571/ROUNDUP(L571,0)*SUMIFS(Donnees_annuelles!$AH$3:$AH$188,Donnees_annuelles!$A$3:$A$188,AR571)*SUMIFS(Donnees_annuelles!$AA$3:$AA$188,Donnees_annuelles!$A$3:$A$188,AR571)</f>
        <v/>
      </c>
      <c r="BB571" s="39">
        <f>BA571-AL571</f>
        <v/>
      </c>
      <c r="BC571" s="7">
        <f>IF(M571+AJ571&gt;2026,IF(G571&gt;2026,"entièrement projeté","en partie projeté"),"observé")</f>
        <v/>
      </c>
    </row>
    <row r="572">
      <c r="A572" s="7" t="inlineStr">
        <is>
          <t>Génération Z</t>
        </is>
      </c>
      <c r="B572" s="84" t="inlineStr">
        <is>
          <t>IEG</t>
        </is>
      </c>
      <c r="C572" s="7">
        <f>IF(G572&gt;=SUMIFS(Regimes!$C$5:$C$10,Regimes!$A$5:$A$10,B572),"Privé",B572)</f>
        <v/>
      </c>
      <c r="D572" s="7">
        <f>INDEX(Regimes!$D$5:$D$10,MATCH(C572,Regimes!$A$5:$A$10,0))</f>
        <v/>
      </c>
      <c r="E572" s="88" t="n">
        <v>2007</v>
      </c>
      <c r="F572" s="8">
        <f>Donnees_generations!C95</f>
        <v/>
      </c>
      <c r="G572" s="77">
        <f>Donnees_generations!D95</f>
        <v/>
      </c>
      <c r="H572" s="8">
        <f>SUMIFS(Donnees_generations!$S$3:$S$113,Donnees_generations!$A$3:$A$113,MAX(1915,MIN(2025,E572)))</f>
        <v/>
      </c>
      <c r="I572" s="8">
        <f>SUMIFS(Donnees_generations!$T$3:$T$113,Donnees_generations!$A$3:$A$113,MAX(1915,MIN(2025,E572)))</f>
        <v/>
      </c>
      <c r="J572" s="8">
        <f>IF(G572&gt;=2000,MAX(I572,Parametres!$B$3),I572)</f>
        <v/>
      </c>
      <c r="K572" s="8">
        <f>IF(C572="Privé",J572,SUMIFS(Regles_regimes!$J$3:$J$2000,Regles_regimes!$A$3:$A$2000,C572,Regles_regimes!$B$3:$B$2000,D572,Regles_regimes!$C$3:$C$2000,MAX(1915,MIN(2025,E572))))</f>
        <v/>
      </c>
      <c r="L572" s="8">
        <f>IF(C572="Privé",H572,(K572-F572)*H572/(J572-F572))</f>
        <v/>
      </c>
      <c r="M572" s="77">
        <f>INT(E572+K572)</f>
        <v/>
      </c>
      <c r="N572" s="77">
        <f>G572+ROUNDUP(L572,0)-1</f>
        <v/>
      </c>
      <c r="O572" s="89">
        <f>SUMIFS(Regles_regimes!$K$3:$K$2000,Regles_regimes!$A$3:$A$2000,C572,Regles_regimes!$B$3:$B$2000,D572,Regles_regimes!$C$3:$C$2000,MAX(1915,MIN(2025,E572)))</f>
        <v/>
      </c>
      <c r="P572" s="13">
        <f>SUMIFS(Donnees_annuelles!$W$3:$W$188,Donnees_annuelles!$A$3:$A$188,"&gt;="&amp;G572,Donnees_annuelles!$A$3:$A$188,"&lt;="&amp;N572)*L572/ROUNDUP(L572,0)*O572</f>
        <v/>
      </c>
      <c r="Q572" s="13">
        <f>SUMIFS(Donnees_annuelles!$V$3:$V$188,Donnees_annuelles!$A$3:$A$188,"&gt;="&amp;G572,Donnees_annuelles!$A$3:$A$188,"&lt;="&amp;N572)*L572/ROUNDUP(L572,0)</f>
        <v/>
      </c>
      <c r="R572" s="13">
        <f>P572/L572</f>
        <v/>
      </c>
      <c r="S572" s="14">
        <f>SUMIFS(Donnees_annuelles!$D$3:$D$188,Donnees_annuelles!$A$3:$A$188,"&gt;="&amp;G572,Donnees_annuelles!$A$3:$A$188,"&lt;="&amp;N572)*L572/ROUNDUP(L572,0)</f>
        <v/>
      </c>
      <c r="T572" s="14">
        <f>SUMIFS(Donnees_regimes!$N$3:$N$1118,Donnees_regimes!$A$3:$A$1118,C572,Donnees_regimes!$B$3:$B$1118,"&gt;="&amp;G572,Donnees_regimes!$B$3:$B$1118,"&lt;="&amp;N572)*L572/ROUNDUP(L572,0)</f>
        <v/>
      </c>
      <c r="U572" s="14">
        <f>SUMIFS(Donnees_regimes!$O$3:$O$1118,Donnees_regimes!$A$3:$A$1118,C572,Donnees_regimes!$B$3:$B$1118,"&gt;="&amp;G572,Donnees_regimes!$B$3:$B$1118,"&lt;="&amp;N572)*L572/ROUNDUP(L572,0)</f>
        <v/>
      </c>
      <c r="V572" s="14">
        <f>T572+U572</f>
        <v/>
      </c>
      <c r="W572" s="33">
        <f>V572/S572</f>
        <v/>
      </c>
      <c r="X572" s="14">
        <f>S572+U572</f>
        <v/>
      </c>
      <c r="Y572" s="17">
        <f>V572/P572</f>
        <v/>
      </c>
      <c r="Z572" s="14">
        <f>SUMIFS(Donnees_regimes!$Q$3:$Q$1118,Donnees_regimes!$A$3:$A$1118,C572,Donnees_regimes!$B$3:$B$1118,"&gt;="&amp;G572,Donnees_regimes!$B$3:$B$1118,"&lt;="&amp;N572)*L572/ROUNDUP(L572,0)</f>
        <v/>
      </c>
      <c r="AA572" s="77">
        <f>SUMIFS(Regles_regimes!$F$3:$F$2000,Regles_regimes!$A$3:$A$2000,C572,Regles_regimes!$B$3:$B$2000,D572,Regles_regimes!$C$3:$C$2000,MAX(1915,MIN(2025,E572)))</f>
        <v/>
      </c>
      <c r="AB572" s="77">
        <f>IF(AND(SUMIFS(Regles_regimes!$L$3:$L$2000,Regles_regimes!$A$3:$A$2000,C572,Regles_regimes!$B$3:$B$2000,D572,Regles_regimes!$C$3:$C$2000,MAX(1915,MIN(2025,E572)))=1,G572&lt;2009,C572&lt;&gt;"Privé"),MIN(20,L572*4/5),0)</f>
        <v/>
      </c>
      <c r="AC572" s="89">
        <f>SUMIFS(Donnees_regimes!$M$3:$M$1118,Donnees_regimes!$A$3:$A$1118,C572,Donnees_regimes!$B$3:$B$1118,M572)</f>
        <v/>
      </c>
      <c r="AD572" s="14">
        <f>SUMIFS(Donnees_annuelles!$Y$3:$Y$188,Donnees_annuelles!$A$3:$A$188,M572)*SUMIFS(Donnees_generations!$I$3:$I$113,Donnees_generations!$A$3:$A$113,MAX(1915,MIN(2025,E572)))/H572</f>
        <v/>
      </c>
      <c r="AE572" s="14">
        <f>IF(C572="Privé",SUMIFS(Donnees_annuelles!$Y$3:$Y$188,Donnees_annuelles!$A$3:$A$188,M572)*MIN(L572,SUMIFS(Donnees_generations!$I$3:$I$113,Donnees_generations!$A$3:$A$113,MAX(1915,MIN(2025,E572))))/L572,AD572*AC572*MIN(IF(AB572&gt;0,0.8/0.75,1),(L572*4+AB572)/AA572))</f>
        <v/>
      </c>
      <c r="AF572" s="14">
        <f>AE572/12</f>
        <v/>
      </c>
      <c r="AG572" s="77">
        <f>MIN(68,MAX(56,2*INT(K572/2)))</f>
        <v/>
      </c>
      <c r="AH572" s="75">
        <f>(CHOOSE((AG572-56)/2+1,SUMIFS(Donnees_generations!$U$3:$U$113,Donnees_generations!$A$3:$A$113,MAX(1915,MIN(2025,E572))),SUMIFS(Donnees_generations!$V$3:$V$113,Donnees_generations!$A$3:$A$113,MAX(1915,MIN(2025,E572))),SUMIFS(Donnees_generations!$W$3:$W$113,Donnees_generations!$A$3:$A$113,MAX(1915,MIN(2025,E572))),SUMIFS(Donnees_generations!$X$3:$X$113,Donnees_generations!$A$3:$A$113,MAX(1915,MIN(2025,E572))),SUMIFS(Donnees_generations!$Y$3:$Y$113,Donnees_generations!$A$3:$A$113,MAX(1915,MIN(2025,E572))),SUMIFS(Donnees_generations!$Z$3:$Z$113,Donnees_generations!$A$3:$A$113,MAX(1915,MIN(2025,E572))),SUMIFS(Donnees_generations!$AA$3:$AA$113,Donnees_generations!$A$3:$A$113,MAX(1915,MIN(2025,E572))),SUMIFS(Donnees_generations!$AB$3:$AB$113,Donnees_generations!$A$3:$A$113,MAX(1915,MIN(2025,E572))))+CHOOSE((AG572-56)/2+1,SUMIFS(Donnees_generations!$AC$3:$AC$113,Donnees_generations!$A$3:$A$113,MAX(1915,MIN(2025,E572))),SUMIFS(Donnees_generations!$AD$3:$AD$113,Donnees_generations!$A$3:$A$113,MAX(1915,MIN(2025,E572))),SUMIFS(Donnees_generations!$AE$3:$AE$113,Donnees_generations!$A$3:$A$113,MAX(1915,MIN(2025,E572))),SUMIFS(Donnees_generations!$AF$3:$AF$113,Donnees_generations!$A$3:$A$113,MAX(1915,MIN(2025,E572))),SUMIFS(Donnees_generations!$AG$3:$AG$113,Donnees_generations!$A$3:$A$113,MAX(1915,MIN(2025,E572))),SUMIFS(Donnees_generations!$AH$3:$AH$113,Donnees_generations!$A$3:$A$113,MAX(1915,MIN(2025,E572))),SUMIFS(Donnees_generations!$AI$3:$AI$113,Donnees_generations!$A$3:$A$113,MAX(1915,MIN(2025,E572))),SUMIFS(Donnees_generations!$AJ$3:$AJ$113,Donnees_generations!$A$3:$A$113,MAX(1915,MIN(2025,E572)))))/2</f>
        <v/>
      </c>
      <c r="AI572" s="75">
        <f>(CHOOSE(((AG572+2)-56)/2+1,SUMIFS(Donnees_generations!$U$3:$U$113,Donnees_generations!$A$3:$A$113,MAX(1915,MIN(2025,E572))),SUMIFS(Donnees_generations!$V$3:$V$113,Donnees_generations!$A$3:$A$113,MAX(1915,MIN(2025,E572))),SUMIFS(Donnees_generations!$W$3:$W$113,Donnees_generations!$A$3:$A$113,MAX(1915,MIN(2025,E572))),SUMIFS(Donnees_generations!$X$3:$X$113,Donnees_generations!$A$3:$A$113,MAX(1915,MIN(2025,E572))),SUMIFS(Donnees_generations!$Y$3:$Y$113,Donnees_generations!$A$3:$A$113,MAX(1915,MIN(2025,E572))),SUMIFS(Donnees_generations!$Z$3:$Z$113,Donnees_generations!$A$3:$A$113,MAX(1915,MIN(2025,E572))),SUMIFS(Donnees_generations!$AA$3:$AA$113,Donnees_generations!$A$3:$A$113,MAX(1915,MIN(2025,E572))),SUMIFS(Donnees_generations!$AB$3:$AB$113,Donnees_generations!$A$3:$A$113,MAX(1915,MIN(2025,E572))))+CHOOSE(((AG572+2)-56)/2+1,SUMIFS(Donnees_generations!$AC$3:$AC$113,Donnees_generations!$A$3:$A$113,MAX(1915,MIN(2025,E572))),SUMIFS(Donnees_generations!$AD$3:$AD$113,Donnees_generations!$A$3:$A$113,MAX(1915,MIN(2025,E572))),SUMIFS(Donnees_generations!$AE$3:$AE$113,Donnees_generations!$A$3:$A$113,MAX(1915,MIN(2025,E572))),SUMIFS(Donnees_generations!$AF$3:$AF$113,Donnees_generations!$A$3:$A$113,MAX(1915,MIN(2025,E572))),SUMIFS(Donnees_generations!$AG$3:$AG$113,Donnees_generations!$A$3:$A$113,MAX(1915,MIN(2025,E572))),SUMIFS(Donnees_generations!$AH$3:$AH$113,Donnees_generations!$A$3:$A$113,MAX(1915,MIN(2025,E572))),SUMIFS(Donnees_generations!$AI$3:$AI$113,Donnees_generations!$A$3:$A$113,MAX(1915,MIN(2025,E572))),SUMIFS(Donnees_generations!$AJ$3:$AJ$113,Donnees_generations!$A$3:$A$113,MAX(1915,MIN(2025,E572)))))/2</f>
        <v/>
      </c>
      <c r="AJ572" s="8">
        <f>MAX(0,AH572+(AI572-AH572)*(K572-AG572)/2)</f>
        <v/>
      </c>
      <c r="AK572" s="8">
        <f>K572+AJ572</f>
        <v/>
      </c>
      <c r="AL572" s="14">
        <f>AE572*AJ572</f>
        <v/>
      </c>
      <c r="AM572" s="17">
        <f>V572/AL572</f>
        <v/>
      </c>
      <c r="AN572" s="17">
        <f>Z572/AL572</f>
        <v/>
      </c>
      <c r="AO572" s="33">
        <f>IF(V572+Z572=0,0,Z572/(V572+Z572))</f>
        <v/>
      </c>
      <c r="AP572" s="14">
        <f>AL572/V572*100</f>
        <v/>
      </c>
      <c r="AQ572" s="8">
        <f>P572/AL572*1000</f>
        <v/>
      </c>
      <c r="AR572" s="77">
        <f>MAX(N572,M572-1)</f>
        <v/>
      </c>
      <c r="AS572" s="14">
        <f>SUMIFS(Donnees_regimes!$R$3:$R$1118,Donnees_regimes!$A$3:$A$1118,C572,Donnees_regimes!$B$3:$B$1118,"&gt;="&amp;G572,Donnees_regimes!$B$3:$B$1118,"&lt;="&amp;N572)*L572/ROUNDUP(L572,0)*SUMIFS(Donnees_annuelles!$AG$3:$AG$188,Donnees_annuelles!$A$3:$A$188,AR572)*SUMIFS(Donnees_annuelles!$AA$3:$AA$188,Donnees_annuelles!$A$3:$A$188,AR572)</f>
        <v/>
      </c>
      <c r="AT572" s="36">
        <f>AS572/V572</f>
        <v/>
      </c>
      <c r="AU572" s="14">
        <f>AL572</f>
        <v/>
      </c>
      <c r="AV572" s="39">
        <f>AS572-AL572</f>
        <v/>
      </c>
      <c r="AW572" s="9">
        <f>AS572/AL572-1</f>
        <v/>
      </c>
      <c r="AX572" s="14">
        <f>AS572/AJ572/12</f>
        <v/>
      </c>
      <c r="AY572" s="14">
        <f>AF572</f>
        <v/>
      </c>
      <c r="AZ572" s="39">
        <f>AX572-AF572</f>
        <v/>
      </c>
      <c r="BA572" s="14">
        <f>SUMIFS(Donnees_regimes!$S$3:$S$1118,Donnees_regimes!$A$3:$A$1118,C572,Donnees_regimes!$B$3:$B$1118,"&gt;="&amp;G572,Donnees_regimes!$B$3:$B$1118,"&lt;="&amp;N572)*L572/ROUNDUP(L572,0)*SUMIFS(Donnees_annuelles!$AH$3:$AH$188,Donnees_annuelles!$A$3:$A$188,AR572)*SUMIFS(Donnees_annuelles!$AA$3:$AA$188,Donnees_annuelles!$A$3:$A$188,AR572)</f>
        <v/>
      </c>
      <c r="BB572" s="39">
        <f>BA572-AL572</f>
        <v/>
      </c>
      <c r="BC572" s="7">
        <f>IF(M572+AJ572&gt;2026,IF(G572&gt;2026,"entièrement projeté","en partie projeté"),"observé")</f>
        <v/>
      </c>
    </row>
    <row r="573">
      <c r="A573" s="7" t="inlineStr">
        <is>
          <t>Génération Z</t>
        </is>
      </c>
      <c r="B573" s="84" t="inlineStr">
        <is>
          <t>IEG</t>
        </is>
      </c>
      <c r="C573" s="7">
        <f>IF(G573&gt;=SUMIFS(Regimes!$C$5:$C$10,Regimes!$A$5:$A$10,B573),"Privé",B573)</f>
        <v/>
      </c>
      <c r="D573" s="7">
        <f>INDEX(Regimes!$D$5:$D$10,MATCH(C573,Regimes!$A$5:$A$10,0))</f>
        <v/>
      </c>
      <c r="E573" s="88" t="n">
        <v>2008</v>
      </c>
      <c r="F573" s="8">
        <f>Donnees_generations!C96</f>
        <v/>
      </c>
      <c r="G573" s="77">
        <f>Donnees_generations!D96</f>
        <v/>
      </c>
      <c r="H573" s="8">
        <f>SUMIFS(Donnees_generations!$S$3:$S$113,Donnees_generations!$A$3:$A$113,MAX(1915,MIN(2025,E573)))</f>
        <v/>
      </c>
      <c r="I573" s="8">
        <f>SUMIFS(Donnees_generations!$T$3:$T$113,Donnees_generations!$A$3:$A$113,MAX(1915,MIN(2025,E573)))</f>
        <v/>
      </c>
      <c r="J573" s="8">
        <f>IF(G573&gt;=2000,MAX(I573,Parametres!$B$3),I573)</f>
        <v/>
      </c>
      <c r="K573" s="8">
        <f>IF(C573="Privé",J573,SUMIFS(Regles_regimes!$J$3:$J$2000,Regles_regimes!$A$3:$A$2000,C573,Regles_regimes!$B$3:$B$2000,D573,Regles_regimes!$C$3:$C$2000,MAX(1915,MIN(2025,E573))))</f>
        <v/>
      </c>
      <c r="L573" s="8">
        <f>IF(C573="Privé",H573,(K573-F573)*H573/(J573-F573))</f>
        <v/>
      </c>
      <c r="M573" s="77">
        <f>INT(E573+K573)</f>
        <v/>
      </c>
      <c r="N573" s="77">
        <f>G573+ROUNDUP(L573,0)-1</f>
        <v/>
      </c>
      <c r="O573" s="89">
        <f>SUMIFS(Regles_regimes!$K$3:$K$2000,Regles_regimes!$A$3:$A$2000,C573,Regles_regimes!$B$3:$B$2000,D573,Regles_regimes!$C$3:$C$2000,MAX(1915,MIN(2025,E573)))</f>
        <v/>
      </c>
      <c r="P573" s="13">
        <f>SUMIFS(Donnees_annuelles!$W$3:$W$188,Donnees_annuelles!$A$3:$A$188,"&gt;="&amp;G573,Donnees_annuelles!$A$3:$A$188,"&lt;="&amp;N573)*L573/ROUNDUP(L573,0)*O573</f>
        <v/>
      </c>
      <c r="Q573" s="13">
        <f>SUMIFS(Donnees_annuelles!$V$3:$V$188,Donnees_annuelles!$A$3:$A$188,"&gt;="&amp;G573,Donnees_annuelles!$A$3:$A$188,"&lt;="&amp;N573)*L573/ROUNDUP(L573,0)</f>
        <v/>
      </c>
      <c r="R573" s="13">
        <f>P573/L573</f>
        <v/>
      </c>
      <c r="S573" s="14">
        <f>SUMIFS(Donnees_annuelles!$D$3:$D$188,Donnees_annuelles!$A$3:$A$188,"&gt;="&amp;G573,Donnees_annuelles!$A$3:$A$188,"&lt;="&amp;N573)*L573/ROUNDUP(L573,0)</f>
        <v/>
      </c>
      <c r="T573" s="14">
        <f>SUMIFS(Donnees_regimes!$N$3:$N$1118,Donnees_regimes!$A$3:$A$1118,C573,Donnees_regimes!$B$3:$B$1118,"&gt;="&amp;G573,Donnees_regimes!$B$3:$B$1118,"&lt;="&amp;N573)*L573/ROUNDUP(L573,0)</f>
        <v/>
      </c>
      <c r="U573" s="14">
        <f>SUMIFS(Donnees_regimes!$O$3:$O$1118,Donnees_regimes!$A$3:$A$1118,C573,Donnees_regimes!$B$3:$B$1118,"&gt;="&amp;G573,Donnees_regimes!$B$3:$B$1118,"&lt;="&amp;N573)*L573/ROUNDUP(L573,0)</f>
        <v/>
      </c>
      <c r="V573" s="14">
        <f>T573+U573</f>
        <v/>
      </c>
      <c r="W573" s="33">
        <f>V573/S573</f>
        <v/>
      </c>
      <c r="X573" s="14">
        <f>S573+U573</f>
        <v/>
      </c>
      <c r="Y573" s="17">
        <f>V573/P573</f>
        <v/>
      </c>
      <c r="Z573" s="14">
        <f>SUMIFS(Donnees_regimes!$Q$3:$Q$1118,Donnees_regimes!$A$3:$A$1118,C573,Donnees_regimes!$B$3:$B$1118,"&gt;="&amp;G573,Donnees_regimes!$B$3:$B$1118,"&lt;="&amp;N573)*L573/ROUNDUP(L573,0)</f>
        <v/>
      </c>
      <c r="AA573" s="77">
        <f>SUMIFS(Regles_regimes!$F$3:$F$2000,Regles_regimes!$A$3:$A$2000,C573,Regles_regimes!$B$3:$B$2000,D573,Regles_regimes!$C$3:$C$2000,MAX(1915,MIN(2025,E573)))</f>
        <v/>
      </c>
      <c r="AB573" s="77">
        <f>IF(AND(SUMIFS(Regles_regimes!$L$3:$L$2000,Regles_regimes!$A$3:$A$2000,C573,Regles_regimes!$B$3:$B$2000,D573,Regles_regimes!$C$3:$C$2000,MAX(1915,MIN(2025,E573)))=1,G573&lt;2009,C573&lt;&gt;"Privé"),MIN(20,L573*4/5),0)</f>
        <v/>
      </c>
      <c r="AC573" s="89">
        <f>SUMIFS(Donnees_regimes!$M$3:$M$1118,Donnees_regimes!$A$3:$A$1118,C573,Donnees_regimes!$B$3:$B$1118,M573)</f>
        <v/>
      </c>
      <c r="AD573" s="14">
        <f>SUMIFS(Donnees_annuelles!$Y$3:$Y$188,Donnees_annuelles!$A$3:$A$188,M573)*SUMIFS(Donnees_generations!$I$3:$I$113,Donnees_generations!$A$3:$A$113,MAX(1915,MIN(2025,E573)))/H573</f>
        <v/>
      </c>
      <c r="AE573" s="14">
        <f>IF(C573="Privé",SUMIFS(Donnees_annuelles!$Y$3:$Y$188,Donnees_annuelles!$A$3:$A$188,M573)*MIN(L573,SUMIFS(Donnees_generations!$I$3:$I$113,Donnees_generations!$A$3:$A$113,MAX(1915,MIN(2025,E573))))/L573,AD573*AC573*MIN(IF(AB573&gt;0,0.8/0.75,1),(L573*4+AB573)/AA573))</f>
        <v/>
      </c>
      <c r="AF573" s="14">
        <f>AE573/12</f>
        <v/>
      </c>
      <c r="AG573" s="77">
        <f>MIN(68,MAX(56,2*INT(K573/2)))</f>
        <v/>
      </c>
      <c r="AH573" s="75">
        <f>(CHOOSE((AG573-56)/2+1,SUMIFS(Donnees_generations!$U$3:$U$113,Donnees_generations!$A$3:$A$113,MAX(1915,MIN(2025,E573))),SUMIFS(Donnees_generations!$V$3:$V$113,Donnees_generations!$A$3:$A$113,MAX(1915,MIN(2025,E573))),SUMIFS(Donnees_generations!$W$3:$W$113,Donnees_generations!$A$3:$A$113,MAX(1915,MIN(2025,E573))),SUMIFS(Donnees_generations!$X$3:$X$113,Donnees_generations!$A$3:$A$113,MAX(1915,MIN(2025,E573))),SUMIFS(Donnees_generations!$Y$3:$Y$113,Donnees_generations!$A$3:$A$113,MAX(1915,MIN(2025,E573))),SUMIFS(Donnees_generations!$Z$3:$Z$113,Donnees_generations!$A$3:$A$113,MAX(1915,MIN(2025,E573))),SUMIFS(Donnees_generations!$AA$3:$AA$113,Donnees_generations!$A$3:$A$113,MAX(1915,MIN(2025,E573))),SUMIFS(Donnees_generations!$AB$3:$AB$113,Donnees_generations!$A$3:$A$113,MAX(1915,MIN(2025,E573))))+CHOOSE((AG573-56)/2+1,SUMIFS(Donnees_generations!$AC$3:$AC$113,Donnees_generations!$A$3:$A$113,MAX(1915,MIN(2025,E573))),SUMIFS(Donnees_generations!$AD$3:$AD$113,Donnees_generations!$A$3:$A$113,MAX(1915,MIN(2025,E573))),SUMIFS(Donnees_generations!$AE$3:$AE$113,Donnees_generations!$A$3:$A$113,MAX(1915,MIN(2025,E573))),SUMIFS(Donnees_generations!$AF$3:$AF$113,Donnees_generations!$A$3:$A$113,MAX(1915,MIN(2025,E573))),SUMIFS(Donnees_generations!$AG$3:$AG$113,Donnees_generations!$A$3:$A$113,MAX(1915,MIN(2025,E573))),SUMIFS(Donnees_generations!$AH$3:$AH$113,Donnees_generations!$A$3:$A$113,MAX(1915,MIN(2025,E573))),SUMIFS(Donnees_generations!$AI$3:$AI$113,Donnees_generations!$A$3:$A$113,MAX(1915,MIN(2025,E573))),SUMIFS(Donnees_generations!$AJ$3:$AJ$113,Donnees_generations!$A$3:$A$113,MAX(1915,MIN(2025,E573)))))/2</f>
        <v/>
      </c>
      <c r="AI573" s="75">
        <f>(CHOOSE(((AG573+2)-56)/2+1,SUMIFS(Donnees_generations!$U$3:$U$113,Donnees_generations!$A$3:$A$113,MAX(1915,MIN(2025,E573))),SUMIFS(Donnees_generations!$V$3:$V$113,Donnees_generations!$A$3:$A$113,MAX(1915,MIN(2025,E573))),SUMIFS(Donnees_generations!$W$3:$W$113,Donnees_generations!$A$3:$A$113,MAX(1915,MIN(2025,E573))),SUMIFS(Donnees_generations!$X$3:$X$113,Donnees_generations!$A$3:$A$113,MAX(1915,MIN(2025,E573))),SUMIFS(Donnees_generations!$Y$3:$Y$113,Donnees_generations!$A$3:$A$113,MAX(1915,MIN(2025,E573))),SUMIFS(Donnees_generations!$Z$3:$Z$113,Donnees_generations!$A$3:$A$113,MAX(1915,MIN(2025,E573))),SUMIFS(Donnees_generations!$AA$3:$AA$113,Donnees_generations!$A$3:$A$113,MAX(1915,MIN(2025,E573))),SUMIFS(Donnees_generations!$AB$3:$AB$113,Donnees_generations!$A$3:$A$113,MAX(1915,MIN(2025,E573))))+CHOOSE(((AG573+2)-56)/2+1,SUMIFS(Donnees_generations!$AC$3:$AC$113,Donnees_generations!$A$3:$A$113,MAX(1915,MIN(2025,E573))),SUMIFS(Donnees_generations!$AD$3:$AD$113,Donnees_generations!$A$3:$A$113,MAX(1915,MIN(2025,E573))),SUMIFS(Donnees_generations!$AE$3:$AE$113,Donnees_generations!$A$3:$A$113,MAX(1915,MIN(2025,E573))),SUMIFS(Donnees_generations!$AF$3:$AF$113,Donnees_generations!$A$3:$A$113,MAX(1915,MIN(2025,E573))),SUMIFS(Donnees_generations!$AG$3:$AG$113,Donnees_generations!$A$3:$A$113,MAX(1915,MIN(2025,E573))),SUMIFS(Donnees_generations!$AH$3:$AH$113,Donnees_generations!$A$3:$A$113,MAX(1915,MIN(2025,E573))),SUMIFS(Donnees_generations!$AI$3:$AI$113,Donnees_generations!$A$3:$A$113,MAX(1915,MIN(2025,E573))),SUMIFS(Donnees_generations!$AJ$3:$AJ$113,Donnees_generations!$A$3:$A$113,MAX(1915,MIN(2025,E573)))))/2</f>
        <v/>
      </c>
      <c r="AJ573" s="8">
        <f>MAX(0,AH573+(AI573-AH573)*(K573-AG573)/2)</f>
        <v/>
      </c>
      <c r="AK573" s="8">
        <f>K573+AJ573</f>
        <v/>
      </c>
      <c r="AL573" s="14">
        <f>AE573*AJ573</f>
        <v/>
      </c>
      <c r="AM573" s="17">
        <f>V573/AL573</f>
        <v/>
      </c>
      <c r="AN573" s="17">
        <f>Z573/AL573</f>
        <v/>
      </c>
      <c r="AO573" s="33">
        <f>IF(V573+Z573=0,0,Z573/(V573+Z573))</f>
        <v/>
      </c>
      <c r="AP573" s="14">
        <f>AL573/V573*100</f>
        <v/>
      </c>
      <c r="AQ573" s="8">
        <f>P573/AL573*1000</f>
        <v/>
      </c>
      <c r="AR573" s="77">
        <f>MAX(N573,M573-1)</f>
        <v/>
      </c>
      <c r="AS573" s="14">
        <f>SUMIFS(Donnees_regimes!$R$3:$R$1118,Donnees_regimes!$A$3:$A$1118,C573,Donnees_regimes!$B$3:$B$1118,"&gt;="&amp;G573,Donnees_regimes!$B$3:$B$1118,"&lt;="&amp;N573)*L573/ROUNDUP(L573,0)*SUMIFS(Donnees_annuelles!$AG$3:$AG$188,Donnees_annuelles!$A$3:$A$188,AR573)*SUMIFS(Donnees_annuelles!$AA$3:$AA$188,Donnees_annuelles!$A$3:$A$188,AR573)</f>
        <v/>
      </c>
      <c r="AT573" s="36">
        <f>AS573/V573</f>
        <v/>
      </c>
      <c r="AU573" s="14">
        <f>AL573</f>
        <v/>
      </c>
      <c r="AV573" s="39">
        <f>AS573-AL573</f>
        <v/>
      </c>
      <c r="AW573" s="9">
        <f>AS573/AL573-1</f>
        <v/>
      </c>
      <c r="AX573" s="14">
        <f>AS573/AJ573/12</f>
        <v/>
      </c>
      <c r="AY573" s="14">
        <f>AF573</f>
        <v/>
      </c>
      <c r="AZ573" s="39">
        <f>AX573-AF573</f>
        <v/>
      </c>
      <c r="BA573" s="14">
        <f>SUMIFS(Donnees_regimes!$S$3:$S$1118,Donnees_regimes!$A$3:$A$1118,C573,Donnees_regimes!$B$3:$B$1118,"&gt;="&amp;G573,Donnees_regimes!$B$3:$B$1118,"&lt;="&amp;N573)*L573/ROUNDUP(L573,0)*SUMIFS(Donnees_annuelles!$AH$3:$AH$188,Donnees_annuelles!$A$3:$A$188,AR573)*SUMIFS(Donnees_annuelles!$AA$3:$AA$188,Donnees_annuelles!$A$3:$A$188,AR573)</f>
        <v/>
      </c>
      <c r="BB573" s="39">
        <f>BA573-AL573</f>
        <v/>
      </c>
      <c r="BC573" s="7">
        <f>IF(M573+AJ573&gt;2026,IF(G573&gt;2026,"entièrement projeté","en partie projeté"),"observé")</f>
        <v/>
      </c>
    </row>
    <row r="574">
      <c r="A574" s="7" t="inlineStr">
        <is>
          <t>Génération Z</t>
        </is>
      </c>
      <c r="B574" s="84" t="inlineStr">
        <is>
          <t>IEG</t>
        </is>
      </c>
      <c r="C574" s="7">
        <f>IF(G574&gt;=SUMIFS(Regimes!$C$5:$C$10,Regimes!$A$5:$A$10,B574),"Privé",B574)</f>
        <v/>
      </c>
      <c r="D574" s="7">
        <f>INDEX(Regimes!$D$5:$D$10,MATCH(C574,Regimes!$A$5:$A$10,0))</f>
        <v/>
      </c>
      <c r="E574" s="88" t="n">
        <v>2009</v>
      </c>
      <c r="F574" s="8">
        <f>Donnees_generations!C97</f>
        <v/>
      </c>
      <c r="G574" s="77">
        <f>Donnees_generations!D97</f>
        <v/>
      </c>
      <c r="H574" s="8">
        <f>SUMIFS(Donnees_generations!$S$3:$S$113,Donnees_generations!$A$3:$A$113,MAX(1915,MIN(2025,E574)))</f>
        <v/>
      </c>
      <c r="I574" s="8">
        <f>SUMIFS(Donnees_generations!$T$3:$T$113,Donnees_generations!$A$3:$A$113,MAX(1915,MIN(2025,E574)))</f>
        <v/>
      </c>
      <c r="J574" s="8">
        <f>IF(G574&gt;=2000,MAX(I574,Parametres!$B$3),I574)</f>
        <v/>
      </c>
      <c r="K574" s="8">
        <f>IF(C574="Privé",J574,SUMIFS(Regles_regimes!$J$3:$J$2000,Regles_regimes!$A$3:$A$2000,C574,Regles_regimes!$B$3:$B$2000,D574,Regles_regimes!$C$3:$C$2000,MAX(1915,MIN(2025,E574))))</f>
        <v/>
      </c>
      <c r="L574" s="8">
        <f>IF(C574="Privé",H574,(K574-F574)*H574/(J574-F574))</f>
        <v/>
      </c>
      <c r="M574" s="77">
        <f>INT(E574+K574)</f>
        <v/>
      </c>
      <c r="N574" s="77">
        <f>G574+ROUNDUP(L574,0)-1</f>
        <v/>
      </c>
      <c r="O574" s="89">
        <f>SUMIFS(Regles_regimes!$K$3:$K$2000,Regles_regimes!$A$3:$A$2000,C574,Regles_regimes!$B$3:$B$2000,D574,Regles_regimes!$C$3:$C$2000,MAX(1915,MIN(2025,E574)))</f>
        <v/>
      </c>
      <c r="P574" s="13">
        <f>SUMIFS(Donnees_annuelles!$W$3:$W$188,Donnees_annuelles!$A$3:$A$188,"&gt;="&amp;G574,Donnees_annuelles!$A$3:$A$188,"&lt;="&amp;N574)*L574/ROUNDUP(L574,0)*O574</f>
        <v/>
      </c>
      <c r="Q574" s="13">
        <f>SUMIFS(Donnees_annuelles!$V$3:$V$188,Donnees_annuelles!$A$3:$A$188,"&gt;="&amp;G574,Donnees_annuelles!$A$3:$A$188,"&lt;="&amp;N574)*L574/ROUNDUP(L574,0)</f>
        <v/>
      </c>
      <c r="R574" s="13">
        <f>P574/L574</f>
        <v/>
      </c>
      <c r="S574" s="14">
        <f>SUMIFS(Donnees_annuelles!$D$3:$D$188,Donnees_annuelles!$A$3:$A$188,"&gt;="&amp;G574,Donnees_annuelles!$A$3:$A$188,"&lt;="&amp;N574)*L574/ROUNDUP(L574,0)</f>
        <v/>
      </c>
      <c r="T574" s="14">
        <f>SUMIFS(Donnees_regimes!$N$3:$N$1118,Donnees_regimes!$A$3:$A$1118,C574,Donnees_regimes!$B$3:$B$1118,"&gt;="&amp;G574,Donnees_regimes!$B$3:$B$1118,"&lt;="&amp;N574)*L574/ROUNDUP(L574,0)</f>
        <v/>
      </c>
      <c r="U574" s="14">
        <f>SUMIFS(Donnees_regimes!$O$3:$O$1118,Donnees_regimes!$A$3:$A$1118,C574,Donnees_regimes!$B$3:$B$1118,"&gt;="&amp;G574,Donnees_regimes!$B$3:$B$1118,"&lt;="&amp;N574)*L574/ROUNDUP(L574,0)</f>
        <v/>
      </c>
      <c r="V574" s="14">
        <f>T574+U574</f>
        <v/>
      </c>
      <c r="W574" s="33">
        <f>V574/S574</f>
        <v/>
      </c>
      <c r="X574" s="14">
        <f>S574+U574</f>
        <v/>
      </c>
      <c r="Y574" s="17">
        <f>V574/P574</f>
        <v/>
      </c>
      <c r="Z574" s="14">
        <f>SUMIFS(Donnees_regimes!$Q$3:$Q$1118,Donnees_regimes!$A$3:$A$1118,C574,Donnees_regimes!$B$3:$B$1118,"&gt;="&amp;G574,Donnees_regimes!$B$3:$B$1118,"&lt;="&amp;N574)*L574/ROUNDUP(L574,0)</f>
        <v/>
      </c>
      <c r="AA574" s="77">
        <f>SUMIFS(Regles_regimes!$F$3:$F$2000,Regles_regimes!$A$3:$A$2000,C574,Regles_regimes!$B$3:$B$2000,D574,Regles_regimes!$C$3:$C$2000,MAX(1915,MIN(2025,E574)))</f>
        <v/>
      </c>
      <c r="AB574" s="77">
        <f>IF(AND(SUMIFS(Regles_regimes!$L$3:$L$2000,Regles_regimes!$A$3:$A$2000,C574,Regles_regimes!$B$3:$B$2000,D574,Regles_regimes!$C$3:$C$2000,MAX(1915,MIN(2025,E574)))=1,G574&lt;2009,C574&lt;&gt;"Privé"),MIN(20,L574*4/5),0)</f>
        <v/>
      </c>
      <c r="AC574" s="89">
        <f>SUMIFS(Donnees_regimes!$M$3:$M$1118,Donnees_regimes!$A$3:$A$1118,C574,Donnees_regimes!$B$3:$B$1118,M574)</f>
        <v/>
      </c>
      <c r="AD574" s="14">
        <f>SUMIFS(Donnees_annuelles!$Y$3:$Y$188,Donnees_annuelles!$A$3:$A$188,M574)*SUMIFS(Donnees_generations!$I$3:$I$113,Donnees_generations!$A$3:$A$113,MAX(1915,MIN(2025,E574)))/H574</f>
        <v/>
      </c>
      <c r="AE574" s="14">
        <f>IF(C574="Privé",SUMIFS(Donnees_annuelles!$Y$3:$Y$188,Donnees_annuelles!$A$3:$A$188,M574)*MIN(L574,SUMIFS(Donnees_generations!$I$3:$I$113,Donnees_generations!$A$3:$A$113,MAX(1915,MIN(2025,E574))))/L574,AD574*AC574*MIN(IF(AB574&gt;0,0.8/0.75,1),(L574*4+AB574)/AA574))</f>
        <v/>
      </c>
      <c r="AF574" s="14">
        <f>AE574/12</f>
        <v/>
      </c>
      <c r="AG574" s="77">
        <f>MIN(68,MAX(56,2*INT(K574/2)))</f>
        <v/>
      </c>
      <c r="AH574" s="75">
        <f>(CHOOSE((AG574-56)/2+1,SUMIFS(Donnees_generations!$U$3:$U$113,Donnees_generations!$A$3:$A$113,MAX(1915,MIN(2025,E574))),SUMIFS(Donnees_generations!$V$3:$V$113,Donnees_generations!$A$3:$A$113,MAX(1915,MIN(2025,E574))),SUMIFS(Donnees_generations!$W$3:$W$113,Donnees_generations!$A$3:$A$113,MAX(1915,MIN(2025,E574))),SUMIFS(Donnees_generations!$X$3:$X$113,Donnees_generations!$A$3:$A$113,MAX(1915,MIN(2025,E574))),SUMIFS(Donnees_generations!$Y$3:$Y$113,Donnees_generations!$A$3:$A$113,MAX(1915,MIN(2025,E574))),SUMIFS(Donnees_generations!$Z$3:$Z$113,Donnees_generations!$A$3:$A$113,MAX(1915,MIN(2025,E574))),SUMIFS(Donnees_generations!$AA$3:$AA$113,Donnees_generations!$A$3:$A$113,MAX(1915,MIN(2025,E574))),SUMIFS(Donnees_generations!$AB$3:$AB$113,Donnees_generations!$A$3:$A$113,MAX(1915,MIN(2025,E574))))+CHOOSE((AG574-56)/2+1,SUMIFS(Donnees_generations!$AC$3:$AC$113,Donnees_generations!$A$3:$A$113,MAX(1915,MIN(2025,E574))),SUMIFS(Donnees_generations!$AD$3:$AD$113,Donnees_generations!$A$3:$A$113,MAX(1915,MIN(2025,E574))),SUMIFS(Donnees_generations!$AE$3:$AE$113,Donnees_generations!$A$3:$A$113,MAX(1915,MIN(2025,E574))),SUMIFS(Donnees_generations!$AF$3:$AF$113,Donnees_generations!$A$3:$A$113,MAX(1915,MIN(2025,E574))),SUMIFS(Donnees_generations!$AG$3:$AG$113,Donnees_generations!$A$3:$A$113,MAX(1915,MIN(2025,E574))),SUMIFS(Donnees_generations!$AH$3:$AH$113,Donnees_generations!$A$3:$A$113,MAX(1915,MIN(2025,E574))),SUMIFS(Donnees_generations!$AI$3:$AI$113,Donnees_generations!$A$3:$A$113,MAX(1915,MIN(2025,E574))),SUMIFS(Donnees_generations!$AJ$3:$AJ$113,Donnees_generations!$A$3:$A$113,MAX(1915,MIN(2025,E574)))))/2</f>
        <v/>
      </c>
      <c r="AI574" s="75">
        <f>(CHOOSE(((AG574+2)-56)/2+1,SUMIFS(Donnees_generations!$U$3:$U$113,Donnees_generations!$A$3:$A$113,MAX(1915,MIN(2025,E574))),SUMIFS(Donnees_generations!$V$3:$V$113,Donnees_generations!$A$3:$A$113,MAX(1915,MIN(2025,E574))),SUMIFS(Donnees_generations!$W$3:$W$113,Donnees_generations!$A$3:$A$113,MAX(1915,MIN(2025,E574))),SUMIFS(Donnees_generations!$X$3:$X$113,Donnees_generations!$A$3:$A$113,MAX(1915,MIN(2025,E574))),SUMIFS(Donnees_generations!$Y$3:$Y$113,Donnees_generations!$A$3:$A$113,MAX(1915,MIN(2025,E574))),SUMIFS(Donnees_generations!$Z$3:$Z$113,Donnees_generations!$A$3:$A$113,MAX(1915,MIN(2025,E574))),SUMIFS(Donnees_generations!$AA$3:$AA$113,Donnees_generations!$A$3:$A$113,MAX(1915,MIN(2025,E574))),SUMIFS(Donnees_generations!$AB$3:$AB$113,Donnees_generations!$A$3:$A$113,MAX(1915,MIN(2025,E574))))+CHOOSE(((AG574+2)-56)/2+1,SUMIFS(Donnees_generations!$AC$3:$AC$113,Donnees_generations!$A$3:$A$113,MAX(1915,MIN(2025,E574))),SUMIFS(Donnees_generations!$AD$3:$AD$113,Donnees_generations!$A$3:$A$113,MAX(1915,MIN(2025,E574))),SUMIFS(Donnees_generations!$AE$3:$AE$113,Donnees_generations!$A$3:$A$113,MAX(1915,MIN(2025,E574))),SUMIFS(Donnees_generations!$AF$3:$AF$113,Donnees_generations!$A$3:$A$113,MAX(1915,MIN(2025,E574))),SUMIFS(Donnees_generations!$AG$3:$AG$113,Donnees_generations!$A$3:$A$113,MAX(1915,MIN(2025,E574))),SUMIFS(Donnees_generations!$AH$3:$AH$113,Donnees_generations!$A$3:$A$113,MAX(1915,MIN(2025,E574))),SUMIFS(Donnees_generations!$AI$3:$AI$113,Donnees_generations!$A$3:$A$113,MAX(1915,MIN(2025,E574))),SUMIFS(Donnees_generations!$AJ$3:$AJ$113,Donnees_generations!$A$3:$A$113,MAX(1915,MIN(2025,E574)))))/2</f>
        <v/>
      </c>
      <c r="AJ574" s="8">
        <f>MAX(0,AH574+(AI574-AH574)*(K574-AG574)/2)</f>
        <v/>
      </c>
      <c r="AK574" s="8">
        <f>K574+AJ574</f>
        <v/>
      </c>
      <c r="AL574" s="14">
        <f>AE574*AJ574</f>
        <v/>
      </c>
      <c r="AM574" s="17">
        <f>V574/AL574</f>
        <v/>
      </c>
      <c r="AN574" s="17">
        <f>Z574/AL574</f>
        <v/>
      </c>
      <c r="AO574" s="33">
        <f>IF(V574+Z574=0,0,Z574/(V574+Z574))</f>
        <v/>
      </c>
      <c r="AP574" s="14">
        <f>AL574/V574*100</f>
        <v/>
      </c>
      <c r="AQ574" s="8">
        <f>P574/AL574*1000</f>
        <v/>
      </c>
      <c r="AR574" s="77">
        <f>MAX(N574,M574-1)</f>
        <v/>
      </c>
      <c r="AS574" s="14">
        <f>SUMIFS(Donnees_regimes!$R$3:$R$1118,Donnees_regimes!$A$3:$A$1118,C574,Donnees_regimes!$B$3:$B$1118,"&gt;="&amp;G574,Donnees_regimes!$B$3:$B$1118,"&lt;="&amp;N574)*L574/ROUNDUP(L574,0)*SUMIFS(Donnees_annuelles!$AG$3:$AG$188,Donnees_annuelles!$A$3:$A$188,AR574)*SUMIFS(Donnees_annuelles!$AA$3:$AA$188,Donnees_annuelles!$A$3:$A$188,AR574)</f>
        <v/>
      </c>
      <c r="AT574" s="36">
        <f>AS574/V574</f>
        <v/>
      </c>
      <c r="AU574" s="14">
        <f>AL574</f>
        <v/>
      </c>
      <c r="AV574" s="39">
        <f>AS574-AL574</f>
        <v/>
      </c>
      <c r="AW574" s="9">
        <f>AS574/AL574-1</f>
        <v/>
      </c>
      <c r="AX574" s="14">
        <f>AS574/AJ574/12</f>
        <v/>
      </c>
      <c r="AY574" s="14">
        <f>AF574</f>
        <v/>
      </c>
      <c r="AZ574" s="39">
        <f>AX574-AF574</f>
        <v/>
      </c>
      <c r="BA574" s="14">
        <f>SUMIFS(Donnees_regimes!$S$3:$S$1118,Donnees_regimes!$A$3:$A$1118,C574,Donnees_regimes!$B$3:$B$1118,"&gt;="&amp;G574,Donnees_regimes!$B$3:$B$1118,"&lt;="&amp;N574)*L574/ROUNDUP(L574,0)*SUMIFS(Donnees_annuelles!$AH$3:$AH$188,Donnees_annuelles!$A$3:$A$188,AR574)*SUMIFS(Donnees_annuelles!$AA$3:$AA$188,Donnees_annuelles!$A$3:$A$188,AR574)</f>
        <v/>
      </c>
      <c r="BB574" s="39">
        <f>BA574-AL574</f>
        <v/>
      </c>
      <c r="BC574" s="7">
        <f>IF(M574+AJ574&gt;2026,IF(G574&gt;2026,"entièrement projeté","en partie projeté"),"observé")</f>
        <v/>
      </c>
    </row>
    <row r="575">
      <c r="A575" s="7" t="inlineStr">
        <is>
          <t>Génération Z</t>
        </is>
      </c>
      <c r="B575" s="84" t="inlineStr">
        <is>
          <t>IEG</t>
        </is>
      </c>
      <c r="C575" s="7">
        <f>IF(G575&gt;=SUMIFS(Regimes!$C$5:$C$10,Regimes!$A$5:$A$10,B575),"Privé",B575)</f>
        <v/>
      </c>
      <c r="D575" s="7">
        <f>INDEX(Regimes!$D$5:$D$10,MATCH(C575,Regimes!$A$5:$A$10,0))</f>
        <v/>
      </c>
      <c r="E575" s="88" t="n">
        <v>2010</v>
      </c>
      <c r="F575" s="8">
        <f>Donnees_generations!C98</f>
        <v/>
      </c>
      <c r="G575" s="77">
        <f>Donnees_generations!D98</f>
        <v/>
      </c>
      <c r="H575" s="8">
        <f>SUMIFS(Donnees_generations!$S$3:$S$113,Donnees_generations!$A$3:$A$113,MAX(1915,MIN(2025,E575)))</f>
        <v/>
      </c>
      <c r="I575" s="8">
        <f>SUMIFS(Donnees_generations!$T$3:$T$113,Donnees_generations!$A$3:$A$113,MAX(1915,MIN(2025,E575)))</f>
        <v/>
      </c>
      <c r="J575" s="8">
        <f>IF(G575&gt;=2000,MAX(I575,Parametres!$B$3),I575)</f>
        <v/>
      </c>
      <c r="K575" s="8">
        <f>IF(C575="Privé",J575,SUMIFS(Regles_regimes!$J$3:$J$2000,Regles_regimes!$A$3:$A$2000,C575,Regles_regimes!$B$3:$B$2000,D575,Regles_regimes!$C$3:$C$2000,MAX(1915,MIN(2025,E575))))</f>
        <v/>
      </c>
      <c r="L575" s="8">
        <f>IF(C575="Privé",H575,(K575-F575)*H575/(J575-F575))</f>
        <v/>
      </c>
      <c r="M575" s="77">
        <f>INT(E575+K575)</f>
        <v/>
      </c>
      <c r="N575" s="77">
        <f>G575+ROUNDUP(L575,0)-1</f>
        <v/>
      </c>
      <c r="O575" s="89">
        <f>SUMIFS(Regles_regimes!$K$3:$K$2000,Regles_regimes!$A$3:$A$2000,C575,Regles_regimes!$B$3:$B$2000,D575,Regles_regimes!$C$3:$C$2000,MAX(1915,MIN(2025,E575)))</f>
        <v/>
      </c>
      <c r="P575" s="13">
        <f>SUMIFS(Donnees_annuelles!$W$3:$W$188,Donnees_annuelles!$A$3:$A$188,"&gt;="&amp;G575,Donnees_annuelles!$A$3:$A$188,"&lt;="&amp;N575)*L575/ROUNDUP(L575,0)*O575</f>
        <v/>
      </c>
      <c r="Q575" s="13">
        <f>SUMIFS(Donnees_annuelles!$V$3:$V$188,Donnees_annuelles!$A$3:$A$188,"&gt;="&amp;G575,Donnees_annuelles!$A$3:$A$188,"&lt;="&amp;N575)*L575/ROUNDUP(L575,0)</f>
        <v/>
      </c>
      <c r="R575" s="13">
        <f>P575/L575</f>
        <v/>
      </c>
      <c r="S575" s="14">
        <f>SUMIFS(Donnees_annuelles!$D$3:$D$188,Donnees_annuelles!$A$3:$A$188,"&gt;="&amp;G575,Donnees_annuelles!$A$3:$A$188,"&lt;="&amp;N575)*L575/ROUNDUP(L575,0)</f>
        <v/>
      </c>
      <c r="T575" s="14">
        <f>SUMIFS(Donnees_regimes!$N$3:$N$1118,Donnees_regimes!$A$3:$A$1118,C575,Donnees_regimes!$B$3:$B$1118,"&gt;="&amp;G575,Donnees_regimes!$B$3:$B$1118,"&lt;="&amp;N575)*L575/ROUNDUP(L575,0)</f>
        <v/>
      </c>
      <c r="U575" s="14">
        <f>SUMIFS(Donnees_regimes!$O$3:$O$1118,Donnees_regimes!$A$3:$A$1118,C575,Donnees_regimes!$B$3:$B$1118,"&gt;="&amp;G575,Donnees_regimes!$B$3:$B$1118,"&lt;="&amp;N575)*L575/ROUNDUP(L575,0)</f>
        <v/>
      </c>
      <c r="V575" s="14">
        <f>T575+U575</f>
        <v/>
      </c>
      <c r="W575" s="33">
        <f>V575/S575</f>
        <v/>
      </c>
      <c r="X575" s="14">
        <f>S575+U575</f>
        <v/>
      </c>
      <c r="Y575" s="17">
        <f>V575/P575</f>
        <v/>
      </c>
      <c r="Z575" s="14">
        <f>SUMIFS(Donnees_regimes!$Q$3:$Q$1118,Donnees_regimes!$A$3:$A$1118,C575,Donnees_regimes!$B$3:$B$1118,"&gt;="&amp;G575,Donnees_regimes!$B$3:$B$1118,"&lt;="&amp;N575)*L575/ROUNDUP(L575,0)</f>
        <v/>
      </c>
      <c r="AA575" s="77">
        <f>SUMIFS(Regles_regimes!$F$3:$F$2000,Regles_regimes!$A$3:$A$2000,C575,Regles_regimes!$B$3:$B$2000,D575,Regles_regimes!$C$3:$C$2000,MAX(1915,MIN(2025,E575)))</f>
        <v/>
      </c>
      <c r="AB575" s="77">
        <f>IF(AND(SUMIFS(Regles_regimes!$L$3:$L$2000,Regles_regimes!$A$3:$A$2000,C575,Regles_regimes!$B$3:$B$2000,D575,Regles_regimes!$C$3:$C$2000,MAX(1915,MIN(2025,E575)))=1,G575&lt;2009,C575&lt;&gt;"Privé"),MIN(20,L575*4/5),0)</f>
        <v/>
      </c>
      <c r="AC575" s="89">
        <f>SUMIFS(Donnees_regimes!$M$3:$M$1118,Donnees_regimes!$A$3:$A$1118,C575,Donnees_regimes!$B$3:$B$1118,M575)</f>
        <v/>
      </c>
      <c r="AD575" s="14">
        <f>SUMIFS(Donnees_annuelles!$Y$3:$Y$188,Donnees_annuelles!$A$3:$A$188,M575)*SUMIFS(Donnees_generations!$I$3:$I$113,Donnees_generations!$A$3:$A$113,MAX(1915,MIN(2025,E575)))/H575</f>
        <v/>
      </c>
      <c r="AE575" s="14">
        <f>IF(C575="Privé",SUMIFS(Donnees_annuelles!$Y$3:$Y$188,Donnees_annuelles!$A$3:$A$188,M575)*MIN(L575,SUMIFS(Donnees_generations!$I$3:$I$113,Donnees_generations!$A$3:$A$113,MAX(1915,MIN(2025,E575))))/L575,AD575*AC575*MIN(IF(AB575&gt;0,0.8/0.75,1),(L575*4+AB575)/AA575))</f>
        <v/>
      </c>
      <c r="AF575" s="14">
        <f>AE575/12</f>
        <v/>
      </c>
      <c r="AG575" s="77">
        <f>MIN(68,MAX(56,2*INT(K575/2)))</f>
        <v/>
      </c>
      <c r="AH575" s="75">
        <f>(CHOOSE((AG575-56)/2+1,SUMIFS(Donnees_generations!$U$3:$U$113,Donnees_generations!$A$3:$A$113,MAX(1915,MIN(2025,E575))),SUMIFS(Donnees_generations!$V$3:$V$113,Donnees_generations!$A$3:$A$113,MAX(1915,MIN(2025,E575))),SUMIFS(Donnees_generations!$W$3:$W$113,Donnees_generations!$A$3:$A$113,MAX(1915,MIN(2025,E575))),SUMIFS(Donnees_generations!$X$3:$X$113,Donnees_generations!$A$3:$A$113,MAX(1915,MIN(2025,E575))),SUMIFS(Donnees_generations!$Y$3:$Y$113,Donnees_generations!$A$3:$A$113,MAX(1915,MIN(2025,E575))),SUMIFS(Donnees_generations!$Z$3:$Z$113,Donnees_generations!$A$3:$A$113,MAX(1915,MIN(2025,E575))),SUMIFS(Donnees_generations!$AA$3:$AA$113,Donnees_generations!$A$3:$A$113,MAX(1915,MIN(2025,E575))),SUMIFS(Donnees_generations!$AB$3:$AB$113,Donnees_generations!$A$3:$A$113,MAX(1915,MIN(2025,E575))))+CHOOSE((AG575-56)/2+1,SUMIFS(Donnees_generations!$AC$3:$AC$113,Donnees_generations!$A$3:$A$113,MAX(1915,MIN(2025,E575))),SUMIFS(Donnees_generations!$AD$3:$AD$113,Donnees_generations!$A$3:$A$113,MAX(1915,MIN(2025,E575))),SUMIFS(Donnees_generations!$AE$3:$AE$113,Donnees_generations!$A$3:$A$113,MAX(1915,MIN(2025,E575))),SUMIFS(Donnees_generations!$AF$3:$AF$113,Donnees_generations!$A$3:$A$113,MAX(1915,MIN(2025,E575))),SUMIFS(Donnees_generations!$AG$3:$AG$113,Donnees_generations!$A$3:$A$113,MAX(1915,MIN(2025,E575))),SUMIFS(Donnees_generations!$AH$3:$AH$113,Donnees_generations!$A$3:$A$113,MAX(1915,MIN(2025,E575))),SUMIFS(Donnees_generations!$AI$3:$AI$113,Donnees_generations!$A$3:$A$113,MAX(1915,MIN(2025,E575))),SUMIFS(Donnees_generations!$AJ$3:$AJ$113,Donnees_generations!$A$3:$A$113,MAX(1915,MIN(2025,E575)))))/2</f>
        <v/>
      </c>
      <c r="AI575" s="75">
        <f>(CHOOSE(((AG575+2)-56)/2+1,SUMIFS(Donnees_generations!$U$3:$U$113,Donnees_generations!$A$3:$A$113,MAX(1915,MIN(2025,E575))),SUMIFS(Donnees_generations!$V$3:$V$113,Donnees_generations!$A$3:$A$113,MAX(1915,MIN(2025,E575))),SUMIFS(Donnees_generations!$W$3:$W$113,Donnees_generations!$A$3:$A$113,MAX(1915,MIN(2025,E575))),SUMIFS(Donnees_generations!$X$3:$X$113,Donnees_generations!$A$3:$A$113,MAX(1915,MIN(2025,E575))),SUMIFS(Donnees_generations!$Y$3:$Y$113,Donnees_generations!$A$3:$A$113,MAX(1915,MIN(2025,E575))),SUMIFS(Donnees_generations!$Z$3:$Z$113,Donnees_generations!$A$3:$A$113,MAX(1915,MIN(2025,E575))),SUMIFS(Donnees_generations!$AA$3:$AA$113,Donnees_generations!$A$3:$A$113,MAX(1915,MIN(2025,E575))),SUMIFS(Donnees_generations!$AB$3:$AB$113,Donnees_generations!$A$3:$A$113,MAX(1915,MIN(2025,E575))))+CHOOSE(((AG575+2)-56)/2+1,SUMIFS(Donnees_generations!$AC$3:$AC$113,Donnees_generations!$A$3:$A$113,MAX(1915,MIN(2025,E575))),SUMIFS(Donnees_generations!$AD$3:$AD$113,Donnees_generations!$A$3:$A$113,MAX(1915,MIN(2025,E575))),SUMIFS(Donnees_generations!$AE$3:$AE$113,Donnees_generations!$A$3:$A$113,MAX(1915,MIN(2025,E575))),SUMIFS(Donnees_generations!$AF$3:$AF$113,Donnees_generations!$A$3:$A$113,MAX(1915,MIN(2025,E575))),SUMIFS(Donnees_generations!$AG$3:$AG$113,Donnees_generations!$A$3:$A$113,MAX(1915,MIN(2025,E575))),SUMIFS(Donnees_generations!$AH$3:$AH$113,Donnees_generations!$A$3:$A$113,MAX(1915,MIN(2025,E575))),SUMIFS(Donnees_generations!$AI$3:$AI$113,Donnees_generations!$A$3:$A$113,MAX(1915,MIN(2025,E575))),SUMIFS(Donnees_generations!$AJ$3:$AJ$113,Donnees_generations!$A$3:$A$113,MAX(1915,MIN(2025,E575)))))/2</f>
        <v/>
      </c>
      <c r="AJ575" s="8">
        <f>MAX(0,AH575+(AI575-AH575)*(K575-AG575)/2)</f>
        <v/>
      </c>
      <c r="AK575" s="8">
        <f>K575+AJ575</f>
        <v/>
      </c>
      <c r="AL575" s="14">
        <f>AE575*AJ575</f>
        <v/>
      </c>
      <c r="AM575" s="17">
        <f>V575/AL575</f>
        <v/>
      </c>
      <c r="AN575" s="17">
        <f>Z575/AL575</f>
        <v/>
      </c>
      <c r="AO575" s="33">
        <f>IF(V575+Z575=0,0,Z575/(V575+Z575))</f>
        <v/>
      </c>
      <c r="AP575" s="14">
        <f>AL575/V575*100</f>
        <v/>
      </c>
      <c r="AQ575" s="8">
        <f>P575/AL575*1000</f>
        <v/>
      </c>
      <c r="AR575" s="77">
        <f>MAX(N575,M575-1)</f>
        <v/>
      </c>
      <c r="AS575" s="14">
        <f>SUMIFS(Donnees_regimes!$R$3:$R$1118,Donnees_regimes!$A$3:$A$1118,C575,Donnees_regimes!$B$3:$B$1118,"&gt;="&amp;G575,Donnees_regimes!$B$3:$B$1118,"&lt;="&amp;N575)*L575/ROUNDUP(L575,0)*SUMIFS(Donnees_annuelles!$AG$3:$AG$188,Donnees_annuelles!$A$3:$A$188,AR575)*SUMIFS(Donnees_annuelles!$AA$3:$AA$188,Donnees_annuelles!$A$3:$A$188,AR575)</f>
        <v/>
      </c>
      <c r="AT575" s="36">
        <f>AS575/V575</f>
        <v/>
      </c>
      <c r="AU575" s="14">
        <f>AL575</f>
        <v/>
      </c>
      <c r="AV575" s="39">
        <f>AS575-AL575</f>
        <v/>
      </c>
      <c r="AW575" s="9">
        <f>AS575/AL575-1</f>
        <v/>
      </c>
      <c r="AX575" s="14">
        <f>AS575/AJ575/12</f>
        <v/>
      </c>
      <c r="AY575" s="14">
        <f>AF575</f>
        <v/>
      </c>
      <c r="AZ575" s="39">
        <f>AX575-AF575</f>
        <v/>
      </c>
      <c r="BA575" s="14">
        <f>SUMIFS(Donnees_regimes!$S$3:$S$1118,Donnees_regimes!$A$3:$A$1118,C575,Donnees_regimes!$B$3:$B$1118,"&gt;="&amp;G575,Donnees_regimes!$B$3:$B$1118,"&lt;="&amp;N575)*L575/ROUNDUP(L575,0)*SUMIFS(Donnees_annuelles!$AH$3:$AH$188,Donnees_annuelles!$A$3:$A$188,AR575)*SUMIFS(Donnees_annuelles!$AA$3:$AA$188,Donnees_annuelles!$A$3:$A$188,AR575)</f>
        <v/>
      </c>
      <c r="BB575" s="39">
        <f>BA575-AL575</f>
        <v/>
      </c>
      <c r="BC575" s="7">
        <f>IF(M575+AJ575&gt;2026,IF(G575&gt;2026,"entièrement projeté","en partie projeté"),"observé")</f>
        <v/>
      </c>
    </row>
    <row r="576">
      <c r="A576" s="7" t="inlineStr">
        <is>
          <t>Génération Z</t>
        </is>
      </c>
      <c r="B576" s="84" t="inlineStr">
        <is>
          <t>IEG</t>
        </is>
      </c>
      <c r="C576" s="7">
        <f>IF(G576&gt;=SUMIFS(Regimes!$C$5:$C$10,Regimes!$A$5:$A$10,B576),"Privé",B576)</f>
        <v/>
      </c>
      <c r="D576" s="7">
        <f>INDEX(Regimes!$D$5:$D$10,MATCH(C576,Regimes!$A$5:$A$10,0))</f>
        <v/>
      </c>
      <c r="E576" s="88" t="n">
        <v>2011</v>
      </c>
      <c r="F576" s="8">
        <f>Donnees_generations!C99</f>
        <v/>
      </c>
      <c r="G576" s="77">
        <f>Donnees_generations!D99</f>
        <v/>
      </c>
      <c r="H576" s="8">
        <f>SUMIFS(Donnees_generations!$S$3:$S$113,Donnees_generations!$A$3:$A$113,MAX(1915,MIN(2025,E576)))</f>
        <v/>
      </c>
      <c r="I576" s="8">
        <f>SUMIFS(Donnees_generations!$T$3:$T$113,Donnees_generations!$A$3:$A$113,MAX(1915,MIN(2025,E576)))</f>
        <v/>
      </c>
      <c r="J576" s="8">
        <f>IF(G576&gt;=2000,MAX(I576,Parametres!$B$3),I576)</f>
        <v/>
      </c>
      <c r="K576" s="8">
        <f>IF(C576="Privé",J576,SUMIFS(Regles_regimes!$J$3:$J$2000,Regles_regimes!$A$3:$A$2000,C576,Regles_regimes!$B$3:$B$2000,D576,Regles_regimes!$C$3:$C$2000,MAX(1915,MIN(2025,E576))))</f>
        <v/>
      </c>
      <c r="L576" s="8">
        <f>IF(C576="Privé",H576,(K576-F576)*H576/(J576-F576))</f>
        <v/>
      </c>
      <c r="M576" s="77">
        <f>INT(E576+K576)</f>
        <v/>
      </c>
      <c r="N576" s="77">
        <f>G576+ROUNDUP(L576,0)-1</f>
        <v/>
      </c>
      <c r="O576" s="89">
        <f>SUMIFS(Regles_regimes!$K$3:$K$2000,Regles_regimes!$A$3:$A$2000,C576,Regles_regimes!$B$3:$B$2000,D576,Regles_regimes!$C$3:$C$2000,MAX(1915,MIN(2025,E576)))</f>
        <v/>
      </c>
      <c r="P576" s="13">
        <f>SUMIFS(Donnees_annuelles!$W$3:$W$188,Donnees_annuelles!$A$3:$A$188,"&gt;="&amp;G576,Donnees_annuelles!$A$3:$A$188,"&lt;="&amp;N576)*L576/ROUNDUP(L576,0)*O576</f>
        <v/>
      </c>
      <c r="Q576" s="13">
        <f>SUMIFS(Donnees_annuelles!$V$3:$V$188,Donnees_annuelles!$A$3:$A$188,"&gt;="&amp;G576,Donnees_annuelles!$A$3:$A$188,"&lt;="&amp;N576)*L576/ROUNDUP(L576,0)</f>
        <v/>
      </c>
      <c r="R576" s="13">
        <f>P576/L576</f>
        <v/>
      </c>
      <c r="S576" s="14">
        <f>SUMIFS(Donnees_annuelles!$D$3:$D$188,Donnees_annuelles!$A$3:$A$188,"&gt;="&amp;G576,Donnees_annuelles!$A$3:$A$188,"&lt;="&amp;N576)*L576/ROUNDUP(L576,0)</f>
        <v/>
      </c>
      <c r="T576" s="14">
        <f>SUMIFS(Donnees_regimes!$N$3:$N$1118,Donnees_regimes!$A$3:$A$1118,C576,Donnees_regimes!$B$3:$B$1118,"&gt;="&amp;G576,Donnees_regimes!$B$3:$B$1118,"&lt;="&amp;N576)*L576/ROUNDUP(L576,0)</f>
        <v/>
      </c>
      <c r="U576" s="14">
        <f>SUMIFS(Donnees_regimes!$O$3:$O$1118,Donnees_regimes!$A$3:$A$1118,C576,Donnees_regimes!$B$3:$B$1118,"&gt;="&amp;G576,Donnees_regimes!$B$3:$B$1118,"&lt;="&amp;N576)*L576/ROUNDUP(L576,0)</f>
        <v/>
      </c>
      <c r="V576" s="14">
        <f>T576+U576</f>
        <v/>
      </c>
      <c r="W576" s="33">
        <f>V576/S576</f>
        <v/>
      </c>
      <c r="X576" s="14">
        <f>S576+U576</f>
        <v/>
      </c>
      <c r="Y576" s="17">
        <f>V576/P576</f>
        <v/>
      </c>
      <c r="Z576" s="14">
        <f>SUMIFS(Donnees_regimes!$Q$3:$Q$1118,Donnees_regimes!$A$3:$A$1118,C576,Donnees_regimes!$B$3:$B$1118,"&gt;="&amp;G576,Donnees_regimes!$B$3:$B$1118,"&lt;="&amp;N576)*L576/ROUNDUP(L576,0)</f>
        <v/>
      </c>
      <c r="AA576" s="77">
        <f>SUMIFS(Regles_regimes!$F$3:$F$2000,Regles_regimes!$A$3:$A$2000,C576,Regles_regimes!$B$3:$B$2000,D576,Regles_regimes!$C$3:$C$2000,MAX(1915,MIN(2025,E576)))</f>
        <v/>
      </c>
      <c r="AB576" s="77">
        <f>IF(AND(SUMIFS(Regles_regimes!$L$3:$L$2000,Regles_regimes!$A$3:$A$2000,C576,Regles_regimes!$B$3:$B$2000,D576,Regles_regimes!$C$3:$C$2000,MAX(1915,MIN(2025,E576)))=1,G576&lt;2009,C576&lt;&gt;"Privé"),MIN(20,L576*4/5),0)</f>
        <v/>
      </c>
      <c r="AC576" s="89">
        <f>SUMIFS(Donnees_regimes!$M$3:$M$1118,Donnees_regimes!$A$3:$A$1118,C576,Donnees_regimes!$B$3:$B$1118,M576)</f>
        <v/>
      </c>
      <c r="AD576" s="14">
        <f>SUMIFS(Donnees_annuelles!$Y$3:$Y$188,Donnees_annuelles!$A$3:$A$188,M576)*SUMIFS(Donnees_generations!$I$3:$I$113,Donnees_generations!$A$3:$A$113,MAX(1915,MIN(2025,E576)))/H576</f>
        <v/>
      </c>
      <c r="AE576" s="14">
        <f>IF(C576="Privé",SUMIFS(Donnees_annuelles!$Y$3:$Y$188,Donnees_annuelles!$A$3:$A$188,M576)*MIN(L576,SUMIFS(Donnees_generations!$I$3:$I$113,Donnees_generations!$A$3:$A$113,MAX(1915,MIN(2025,E576))))/L576,AD576*AC576*MIN(IF(AB576&gt;0,0.8/0.75,1),(L576*4+AB576)/AA576))</f>
        <v/>
      </c>
      <c r="AF576" s="14">
        <f>AE576/12</f>
        <v/>
      </c>
      <c r="AG576" s="77">
        <f>MIN(68,MAX(56,2*INT(K576/2)))</f>
        <v/>
      </c>
      <c r="AH576" s="75">
        <f>(CHOOSE((AG576-56)/2+1,SUMIFS(Donnees_generations!$U$3:$U$113,Donnees_generations!$A$3:$A$113,MAX(1915,MIN(2025,E576))),SUMIFS(Donnees_generations!$V$3:$V$113,Donnees_generations!$A$3:$A$113,MAX(1915,MIN(2025,E576))),SUMIFS(Donnees_generations!$W$3:$W$113,Donnees_generations!$A$3:$A$113,MAX(1915,MIN(2025,E576))),SUMIFS(Donnees_generations!$X$3:$X$113,Donnees_generations!$A$3:$A$113,MAX(1915,MIN(2025,E576))),SUMIFS(Donnees_generations!$Y$3:$Y$113,Donnees_generations!$A$3:$A$113,MAX(1915,MIN(2025,E576))),SUMIFS(Donnees_generations!$Z$3:$Z$113,Donnees_generations!$A$3:$A$113,MAX(1915,MIN(2025,E576))),SUMIFS(Donnees_generations!$AA$3:$AA$113,Donnees_generations!$A$3:$A$113,MAX(1915,MIN(2025,E576))),SUMIFS(Donnees_generations!$AB$3:$AB$113,Donnees_generations!$A$3:$A$113,MAX(1915,MIN(2025,E576))))+CHOOSE((AG576-56)/2+1,SUMIFS(Donnees_generations!$AC$3:$AC$113,Donnees_generations!$A$3:$A$113,MAX(1915,MIN(2025,E576))),SUMIFS(Donnees_generations!$AD$3:$AD$113,Donnees_generations!$A$3:$A$113,MAX(1915,MIN(2025,E576))),SUMIFS(Donnees_generations!$AE$3:$AE$113,Donnees_generations!$A$3:$A$113,MAX(1915,MIN(2025,E576))),SUMIFS(Donnees_generations!$AF$3:$AF$113,Donnees_generations!$A$3:$A$113,MAX(1915,MIN(2025,E576))),SUMIFS(Donnees_generations!$AG$3:$AG$113,Donnees_generations!$A$3:$A$113,MAX(1915,MIN(2025,E576))),SUMIFS(Donnees_generations!$AH$3:$AH$113,Donnees_generations!$A$3:$A$113,MAX(1915,MIN(2025,E576))),SUMIFS(Donnees_generations!$AI$3:$AI$113,Donnees_generations!$A$3:$A$113,MAX(1915,MIN(2025,E576))),SUMIFS(Donnees_generations!$AJ$3:$AJ$113,Donnees_generations!$A$3:$A$113,MAX(1915,MIN(2025,E576)))))/2</f>
        <v/>
      </c>
      <c r="AI576" s="75">
        <f>(CHOOSE(((AG576+2)-56)/2+1,SUMIFS(Donnees_generations!$U$3:$U$113,Donnees_generations!$A$3:$A$113,MAX(1915,MIN(2025,E576))),SUMIFS(Donnees_generations!$V$3:$V$113,Donnees_generations!$A$3:$A$113,MAX(1915,MIN(2025,E576))),SUMIFS(Donnees_generations!$W$3:$W$113,Donnees_generations!$A$3:$A$113,MAX(1915,MIN(2025,E576))),SUMIFS(Donnees_generations!$X$3:$X$113,Donnees_generations!$A$3:$A$113,MAX(1915,MIN(2025,E576))),SUMIFS(Donnees_generations!$Y$3:$Y$113,Donnees_generations!$A$3:$A$113,MAX(1915,MIN(2025,E576))),SUMIFS(Donnees_generations!$Z$3:$Z$113,Donnees_generations!$A$3:$A$113,MAX(1915,MIN(2025,E576))),SUMIFS(Donnees_generations!$AA$3:$AA$113,Donnees_generations!$A$3:$A$113,MAX(1915,MIN(2025,E576))),SUMIFS(Donnees_generations!$AB$3:$AB$113,Donnees_generations!$A$3:$A$113,MAX(1915,MIN(2025,E576))))+CHOOSE(((AG576+2)-56)/2+1,SUMIFS(Donnees_generations!$AC$3:$AC$113,Donnees_generations!$A$3:$A$113,MAX(1915,MIN(2025,E576))),SUMIFS(Donnees_generations!$AD$3:$AD$113,Donnees_generations!$A$3:$A$113,MAX(1915,MIN(2025,E576))),SUMIFS(Donnees_generations!$AE$3:$AE$113,Donnees_generations!$A$3:$A$113,MAX(1915,MIN(2025,E576))),SUMIFS(Donnees_generations!$AF$3:$AF$113,Donnees_generations!$A$3:$A$113,MAX(1915,MIN(2025,E576))),SUMIFS(Donnees_generations!$AG$3:$AG$113,Donnees_generations!$A$3:$A$113,MAX(1915,MIN(2025,E576))),SUMIFS(Donnees_generations!$AH$3:$AH$113,Donnees_generations!$A$3:$A$113,MAX(1915,MIN(2025,E576))),SUMIFS(Donnees_generations!$AI$3:$AI$113,Donnees_generations!$A$3:$A$113,MAX(1915,MIN(2025,E576))),SUMIFS(Donnees_generations!$AJ$3:$AJ$113,Donnees_generations!$A$3:$A$113,MAX(1915,MIN(2025,E576)))))/2</f>
        <v/>
      </c>
      <c r="AJ576" s="8">
        <f>MAX(0,AH576+(AI576-AH576)*(K576-AG576)/2)</f>
        <v/>
      </c>
      <c r="AK576" s="8">
        <f>K576+AJ576</f>
        <v/>
      </c>
      <c r="AL576" s="14">
        <f>AE576*AJ576</f>
        <v/>
      </c>
      <c r="AM576" s="17">
        <f>V576/AL576</f>
        <v/>
      </c>
      <c r="AN576" s="17">
        <f>Z576/AL576</f>
        <v/>
      </c>
      <c r="AO576" s="33">
        <f>IF(V576+Z576=0,0,Z576/(V576+Z576))</f>
        <v/>
      </c>
      <c r="AP576" s="14">
        <f>AL576/V576*100</f>
        <v/>
      </c>
      <c r="AQ576" s="8">
        <f>P576/AL576*1000</f>
        <v/>
      </c>
      <c r="AR576" s="77">
        <f>MAX(N576,M576-1)</f>
        <v/>
      </c>
      <c r="AS576" s="14">
        <f>SUMIFS(Donnees_regimes!$R$3:$R$1118,Donnees_regimes!$A$3:$A$1118,C576,Donnees_regimes!$B$3:$B$1118,"&gt;="&amp;G576,Donnees_regimes!$B$3:$B$1118,"&lt;="&amp;N576)*L576/ROUNDUP(L576,0)*SUMIFS(Donnees_annuelles!$AG$3:$AG$188,Donnees_annuelles!$A$3:$A$188,AR576)*SUMIFS(Donnees_annuelles!$AA$3:$AA$188,Donnees_annuelles!$A$3:$A$188,AR576)</f>
        <v/>
      </c>
      <c r="AT576" s="36">
        <f>AS576/V576</f>
        <v/>
      </c>
      <c r="AU576" s="14">
        <f>AL576</f>
        <v/>
      </c>
      <c r="AV576" s="39">
        <f>AS576-AL576</f>
        <v/>
      </c>
      <c r="AW576" s="9">
        <f>AS576/AL576-1</f>
        <v/>
      </c>
      <c r="AX576" s="14">
        <f>AS576/AJ576/12</f>
        <v/>
      </c>
      <c r="AY576" s="14">
        <f>AF576</f>
        <v/>
      </c>
      <c r="AZ576" s="39">
        <f>AX576-AF576</f>
        <v/>
      </c>
      <c r="BA576" s="14">
        <f>SUMIFS(Donnees_regimes!$S$3:$S$1118,Donnees_regimes!$A$3:$A$1118,C576,Donnees_regimes!$B$3:$B$1118,"&gt;="&amp;G576,Donnees_regimes!$B$3:$B$1118,"&lt;="&amp;N576)*L576/ROUNDUP(L576,0)*SUMIFS(Donnees_annuelles!$AH$3:$AH$188,Donnees_annuelles!$A$3:$A$188,AR576)*SUMIFS(Donnees_annuelles!$AA$3:$AA$188,Donnees_annuelles!$A$3:$A$188,AR576)</f>
        <v/>
      </c>
      <c r="BB576" s="39">
        <f>BA576-AL576</f>
        <v/>
      </c>
      <c r="BC576" s="7">
        <f>IF(M576+AJ576&gt;2026,IF(G576&gt;2026,"entièrement projeté","en partie projeté"),"observé")</f>
        <v/>
      </c>
    </row>
    <row r="577">
      <c r="A577" s="7" t="inlineStr">
        <is>
          <t>Génération Z</t>
        </is>
      </c>
      <c r="B577" s="84" t="inlineStr">
        <is>
          <t>IEG</t>
        </is>
      </c>
      <c r="C577" s="7">
        <f>IF(G577&gt;=SUMIFS(Regimes!$C$5:$C$10,Regimes!$A$5:$A$10,B577),"Privé",B577)</f>
        <v/>
      </c>
      <c r="D577" s="7">
        <f>INDEX(Regimes!$D$5:$D$10,MATCH(C577,Regimes!$A$5:$A$10,0))</f>
        <v/>
      </c>
      <c r="E577" s="88" t="n">
        <v>2012</v>
      </c>
      <c r="F577" s="8">
        <f>Donnees_generations!C100</f>
        <v/>
      </c>
      <c r="G577" s="77">
        <f>Donnees_generations!D100</f>
        <v/>
      </c>
      <c r="H577" s="8">
        <f>SUMIFS(Donnees_generations!$S$3:$S$113,Donnees_generations!$A$3:$A$113,MAX(1915,MIN(2025,E577)))</f>
        <v/>
      </c>
      <c r="I577" s="8">
        <f>SUMIFS(Donnees_generations!$T$3:$T$113,Donnees_generations!$A$3:$A$113,MAX(1915,MIN(2025,E577)))</f>
        <v/>
      </c>
      <c r="J577" s="8">
        <f>IF(G577&gt;=2000,MAX(I577,Parametres!$B$3),I577)</f>
        <v/>
      </c>
      <c r="K577" s="8">
        <f>IF(C577="Privé",J577,SUMIFS(Regles_regimes!$J$3:$J$2000,Regles_regimes!$A$3:$A$2000,C577,Regles_regimes!$B$3:$B$2000,D577,Regles_regimes!$C$3:$C$2000,MAX(1915,MIN(2025,E577))))</f>
        <v/>
      </c>
      <c r="L577" s="8">
        <f>IF(C577="Privé",H577,(K577-F577)*H577/(J577-F577))</f>
        <v/>
      </c>
      <c r="M577" s="77">
        <f>INT(E577+K577)</f>
        <v/>
      </c>
      <c r="N577" s="77">
        <f>G577+ROUNDUP(L577,0)-1</f>
        <v/>
      </c>
      <c r="O577" s="89">
        <f>SUMIFS(Regles_regimes!$K$3:$K$2000,Regles_regimes!$A$3:$A$2000,C577,Regles_regimes!$B$3:$B$2000,D577,Regles_regimes!$C$3:$C$2000,MAX(1915,MIN(2025,E577)))</f>
        <v/>
      </c>
      <c r="P577" s="13">
        <f>SUMIFS(Donnees_annuelles!$W$3:$W$188,Donnees_annuelles!$A$3:$A$188,"&gt;="&amp;G577,Donnees_annuelles!$A$3:$A$188,"&lt;="&amp;N577)*L577/ROUNDUP(L577,0)*O577</f>
        <v/>
      </c>
      <c r="Q577" s="13">
        <f>SUMIFS(Donnees_annuelles!$V$3:$V$188,Donnees_annuelles!$A$3:$A$188,"&gt;="&amp;G577,Donnees_annuelles!$A$3:$A$188,"&lt;="&amp;N577)*L577/ROUNDUP(L577,0)</f>
        <v/>
      </c>
      <c r="R577" s="13">
        <f>P577/L577</f>
        <v/>
      </c>
      <c r="S577" s="14">
        <f>SUMIFS(Donnees_annuelles!$D$3:$D$188,Donnees_annuelles!$A$3:$A$188,"&gt;="&amp;G577,Donnees_annuelles!$A$3:$A$188,"&lt;="&amp;N577)*L577/ROUNDUP(L577,0)</f>
        <v/>
      </c>
      <c r="T577" s="14">
        <f>SUMIFS(Donnees_regimes!$N$3:$N$1118,Donnees_regimes!$A$3:$A$1118,C577,Donnees_regimes!$B$3:$B$1118,"&gt;="&amp;G577,Donnees_regimes!$B$3:$B$1118,"&lt;="&amp;N577)*L577/ROUNDUP(L577,0)</f>
        <v/>
      </c>
      <c r="U577" s="14">
        <f>SUMIFS(Donnees_regimes!$O$3:$O$1118,Donnees_regimes!$A$3:$A$1118,C577,Donnees_regimes!$B$3:$B$1118,"&gt;="&amp;G577,Donnees_regimes!$B$3:$B$1118,"&lt;="&amp;N577)*L577/ROUNDUP(L577,0)</f>
        <v/>
      </c>
      <c r="V577" s="14">
        <f>T577+U577</f>
        <v/>
      </c>
      <c r="W577" s="33">
        <f>V577/S577</f>
        <v/>
      </c>
      <c r="X577" s="14">
        <f>S577+U577</f>
        <v/>
      </c>
      <c r="Y577" s="17">
        <f>V577/P577</f>
        <v/>
      </c>
      <c r="Z577" s="14">
        <f>SUMIFS(Donnees_regimes!$Q$3:$Q$1118,Donnees_regimes!$A$3:$A$1118,C577,Donnees_regimes!$B$3:$B$1118,"&gt;="&amp;G577,Donnees_regimes!$B$3:$B$1118,"&lt;="&amp;N577)*L577/ROUNDUP(L577,0)</f>
        <v/>
      </c>
      <c r="AA577" s="77">
        <f>SUMIFS(Regles_regimes!$F$3:$F$2000,Regles_regimes!$A$3:$A$2000,C577,Regles_regimes!$B$3:$B$2000,D577,Regles_regimes!$C$3:$C$2000,MAX(1915,MIN(2025,E577)))</f>
        <v/>
      </c>
      <c r="AB577" s="77">
        <f>IF(AND(SUMIFS(Regles_regimes!$L$3:$L$2000,Regles_regimes!$A$3:$A$2000,C577,Regles_regimes!$B$3:$B$2000,D577,Regles_regimes!$C$3:$C$2000,MAX(1915,MIN(2025,E577)))=1,G577&lt;2009,C577&lt;&gt;"Privé"),MIN(20,L577*4/5),0)</f>
        <v/>
      </c>
      <c r="AC577" s="89">
        <f>SUMIFS(Donnees_regimes!$M$3:$M$1118,Donnees_regimes!$A$3:$A$1118,C577,Donnees_regimes!$B$3:$B$1118,M577)</f>
        <v/>
      </c>
      <c r="AD577" s="14">
        <f>SUMIFS(Donnees_annuelles!$Y$3:$Y$188,Donnees_annuelles!$A$3:$A$188,M577)*SUMIFS(Donnees_generations!$I$3:$I$113,Donnees_generations!$A$3:$A$113,MAX(1915,MIN(2025,E577)))/H577</f>
        <v/>
      </c>
      <c r="AE577" s="14">
        <f>IF(C577="Privé",SUMIFS(Donnees_annuelles!$Y$3:$Y$188,Donnees_annuelles!$A$3:$A$188,M577)*MIN(L577,SUMIFS(Donnees_generations!$I$3:$I$113,Donnees_generations!$A$3:$A$113,MAX(1915,MIN(2025,E577))))/L577,AD577*AC577*MIN(IF(AB577&gt;0,0.8/0.75,1),(L577*4+AB577)/AA577))</f>
        <v/>
      </c>
      <c r="AF577" s="14">
        <f>AE577/12</f>
        <v/>
      </c>
      <c r="AG577" s="77">
        <f>MIN(68,MAX(56,2*INT(K577/2)))</f>
        <v/>
      </c>
      <c r="AH577" s="75">
        <f>(CHOOSE((AG577-56)/2+1,SUMIFS(Donnees_generations!$U$3:$U$113,Donnees_generations!$A$3:$A$113,MAX(1915,MIN(2025,E577))),SUMIFS(Donnees_generations!$V$3:$V$113,Donnees_generations!$A$3:$A$113,MAX(1915,MIN(2025,E577))),SUMIFS(Donnees_generations!$W$3:$W$113,Donnees_generations!$A$3:$A$113,MAX(1915,MIN(2025,E577))),SUMIFS(Donnees_generations!$X$3:$X$113,Donnees_generations!$A$3:$A$113,MAX(1915,MIN(2025,E577))),SUMIFS(Donnees_generations!$Y$3:$Y$113,Donnees_generations!$A$3:$A$113,MAX(1915,MIN(2025,E577))),SUMIFS(Donnees_generations!$Z$3:$Z$113,Donnees_generations!$A$3:$A$113,MAX(1915,MIN(2025,E577))),SUMIFS(Donnees_generations!$AA$3:$AA$113,Donnees_generations!$A$3:$A$113,MAX(1915,MIN(2025,E577))),SUMIFS(Donnees_generations!$AB$3:$AB$113,Donnees_generations!$A$3:$A$113,MAX(1915,MIN(2025,E577))))+CHOOSE((AG577-56)/2+1,SUMIFS(Donnees_generations!$AC$3:$AC$113,Donnees_generations!$A$3:$A$113,MAX(1915,MIN(2025,E577))),SUMIFS(Donnees_generations!$AD$3:$AD$113,Donnees_generations!$A$3:$A$113,MAX(1915,MIN(2025,E577))),SUMIFS(Donnees_generations!$AE$3:$AE$113,Donnees_generations!$A$3:$A$113,MAX(1915,MIN(2025,E577))),SUMIFS(Donnees_generations!$AF$3:$AF$113,Donnees_generations!$A$3:$A$113,MAX(1915,MIN(2025,E577))),SUMIFS(Donnees_generations!$AG$3:$AG$113,Donnees_generations!$A$3:$A$113,MAX(1915,MIN(2025,E577))),SUMIFS(Donnees_generations!$AH$3:$AH$113,Donnees_generations!$A$3:$A$113,MAX(1915,MIN(2025,E577))),SUMIFS(Donnees_generations!$AI$3:$AI$113,Donnees_generations!$A$3:$A$113,MAX(1915,MIN(2025,E577))),SUMIFS(Donnees_generations!$AJ$3:$AJ$113,Donnees_generations!$A$3:$A$113,MAX(1915,MIN(2025,E577)))))/2</f>
        <v/>
      </c>
      <c r="AI577" s="75">
        <f>(CHOOSE(((AG577+2)-56)/2+1,SUMIFS(Donnees_generations!$U$3:$U$113,Donnees_generations!$A$3:$A$113,MAX(1915,MIN(2025,E577))),SUMIFS(Donnees_generations!$V$3:$V$113,Donnees_generations!$A$3:$A$113,MAX(1915,MIN(2025,E577))),SUMIFS(Donnees_generations!$W$3:$W$113,Donnees_generations!$A$3:$A$113,MAX(1915,MIN(2025,E577))),SUMIFS(Donnees_generations!$X$3:$X$113,Donnees_generations!$A$3:$A$113,MAX(1915,MIN(2025,E577))),SUMIFS(Donnees_generations!$Y$3:$Y$113,Donnees_generations!$A$3:$A$113,MAX(1915,MIN(2025,E577))),SUMIFS(Donnees_generations!$Z$3:$Z$113,Donnees_generations!$A$3:$A$113,MAX(1915,MIN(2025,E577))),SUMIFS(Donnees_generations!$AA$3:$AA$113,Donnees_generations!$A$3:$A$113,MAX(1915,MIN(2025,E577))),SUMIFS(Donnees_generations!$AB$3:$AB$113,Donnees_generations!$A$3:$A$113,MAX(1915,MIN(2025,E577))))+CHOOSE(((AG577+2)-56)/2+1,SUMIFS(Donnees_generations!$AC$3:$AC$113,Donnees_generations!$A$3:$A$113,MAX(1915,MIN(2025,E577))),SUMIFS(Donnees_generations!$AD$3:$AD$113,Donnees_generations!$A$3:$A$113,MAX(1915,MIN(2025,E577))),SUMIFS(Donnees_generations!$AE$3:$AE$113,Donnees_generations!$A$3:$A$113,MAX(1915,MIN(2025,E577))),SUMIFS(Donnees_generations!$AF$3:$AF$113,Donnees_generations!$A$3:$A$113,MAX(1915,MIN(2025,E577))),SUMIFS(Donnees_generations!$AG$3:$AG$113,Donnees_generations!$A$3:$A$113,MAX(1915,MIN(2025,E577))),SUMIFS(Donnees_generations!$AH$3:$AH$113,Donnees_generations!$A$3:$A$113,MAX(1915,MIN(2025,E577))),SUMIFS(Donnees_generations!$AI$3:$AI$113,Donnees_generations!$A$3:$A$113,MAX(1915,MIN(2025,E577))),SUMIFS(Donnees_generations!$AJ$3:$AJ$113,Donnees_generations!$A$3:$A$113,MAX(1915,MIN(2025,E577)))))/2</f>
        <v/>
      </c>
      <c r="AJ577" s="8">
        <f>MAX(0,AH577+(AI577-AH577)*(K577-AG577)/2)</f>
        <v/>
      </c>
      <c r="AK577" s="8">
        <f>K577+AJ577</f>
        <v/>
      </c>
      <c r="AL577" s="14">
        <f>AE577*AJ577</f>
        <v/>
      </c>
      <c r="AM577" s="17">
        <f>V577/AL577</f>
        <v/>
      </c>
      <c r="AN577" s="17">
        <f>Z577/AL577</f>
        <v/>
      </c>
      <c r="AO577" s="33">
        <f>IF(V577+Z577=0,0,Z577/(V577+Z577))</f>
        <v/>
      </c>
      <c r="AP577" s="14">
        <f>AL577/V577*100</f>
        <v/>
      </c>
      <c r="AQ577" s="8">
        <f>P577/AL577*1000</f>
        <v/>
      </c>
      <c r="AR577" s="77">
        <f>MAX(N577,M577-1)</f>
        <v/>
      </c>
      <c r="AS577" s="14">
        <f>SUMIFS(Donnees_regimes!$R$3:$R$1118,Donnees_regimes!$A$3:$A$1118,C577,Donnees_regimes!$B$3:$B$1118,"&gt;="&amp;G577,Donnees_regimes!$B$3:$B$1118,"&lt;="&amp;N577)*L577/ROUNDUP(L577,0)*SUMIFS(Donnees_annuelles!$AG$3:$AG$188,Donnees_annuelles!$A$3:$A$188,AR577)*SUMIFS(Donnees_annuelles!$AA$3:$AA$188,Donnees_annuelles!$A$3:$A$188,AR577)</f>
        <v/>
      </c>
      <c r="AT577" s="36">
        <f>AS577/V577</f>
        <v/>
      </c>
      <c r="AU577" s="14">
        <f>AL577</f>
        <v/>
      </c>
      <c r="AV577" s="39">
        <f>AS577-AL577</f>
        <v/>
      </c>
      <c r="AW577" s="9">
        <f>AS577/AL577-1</f>
        <v/>
      </c>
      <c r="AX577" s="14">
        <f>AS577/AJ577/12</f>
        <v/>
      </c>
      <c r="AY577" s="14">
        <f>AF577</f>
        <v/>
      </c>
      <c r="AZ577" s="39">
        <f>AX577-AF577</f>
        <v/>
      </c>
      <c r="BA577" s="14">
        <f>SUMIFS(Donnees_regimes!$S$3:$S$1118,Donnees_regimes!$A$3:$A$1118,C577,Donnees_regimes!$B$3:$B$1118,"&gt;="&amp;G577,Donnees_regimes!$B$3:$B$1118,"&lt;="&amp;N577)*L577/ROUNDUP(L577,0)*SUMIFS(Donnees_annuelles!$AH$3:$AH$188,Donnees_annuelles!$A$3:$A$188,AR577)*SUMIFS(Donnees_annuelles!$AA$3:$AA$188,Donnees_annuelles!$A$3:$A$188,AR577)</f>
        <v/>
      </c>
      <c r="BB577" s="39">
        <f>BA577-AL577</f>
        <v/>
      </c>
      <c r="BC577" s="7">
        <f>IF(M577+AJ577&gt;2026,IF(G577&gt;2026,"entièrement projeté","en partie projeté"),"observé")</f>
        <v/>
      </c>
    </row>
    <row r="578">
      <c r="A578" s="7" t="inlineStr">
        <is>
          <t>Génération Alpha</t>
        </is>
      </c>
      <c r="B578" s="84" t="inlineStr">
        <is>
          <t>IEG</t>
        </is>
      </c>
      <c r="C578" s="7">
        <f>IF(G578&gt;=SUMIFS(Regimes!$C$5:$C$10,Regimes!$A$5:$A$10,B578),"Privé",B578)</f>
        <v/>
      </c>
      <c r="D578" s="7">
        <f>INDEX(Regimes!$D$5:$D$10,MATCH(C578,Regimes!$A$5:$A$10,0))</f>
        <v/>
      </c>
      <c r="E578" s="88" t="n">
        <v>2013</v>
      </c>
      <c r="F578" s="8">
        <f>Donnees_generations!C101</f>
        <v/>
      </c>
      <c r="G578" s="77">
        <f>Donnees_generations!D101</f>
        <v/>
      </c>
      <c r="H578" s="8">
        <f>SUMIFS(Donnees_generations!$S$3:$S$113,Donnees_generations!$A$3:$A$113,MAX(1915,MIN(2025,E578)))</f>
        <v/>
      </c>
      <c r="I578" s="8">
        <f>SUMIFS(Donnees_generations!$T$3:$T$113,Donnees_generations!$A$3:$A$113,MAX(1915,MIN(2025,E578)))</f>
        <v/>
      </c>
      <c r="J578" s="8">
        <f>IF(G578&gt;=2000,MAX(I578,Parametres!$B$3),I578)</f>
        <v/>
      </c>
      <c r="K578" s="8">
        <f>IF(C578="Privé",J578,SUMIFS(Regles_regimes!$J$3:$J$2000,Regles_regimes!$A$3:$A$2000,C578,Regles_regimes!$B$3:$B$2000,D578,Regles_regimes!$C$3:$C$2000,MAX(1915,MIN(2025,E578))))</f>
        <v/>
      </c>
      <c r="L578" s="8">
        <f>IF(C578="Privé",H578,(K578-F578)*H578/(J578-F578))</f>
        <v/>
      </c>
      <c r="M578" s="77">
        <f>INT(E578+K578)</f>
        <v/>
      </c>
      <c r="N578" s="77">
        <f>G578+ROUNDUP(L578,0)-1</f>
        <v/>
      </c>
      <c r="O578" s="89">
        <f>SUMIFS(Regles_regimes!$K$3:$K$2000,Regles_regimes!$A$3:$A$2000,C578,Regles_regimes!$B$3:$B$2000,D578,Regles_regimes!$C$3:$C$2000,MAX(1915,MIN(2025,E578)))</f>
        <v/>
      </c>
      <c r="P578" s="13">
        <f>SUMIFS(Donnees_annuelles!$W$3:$W$188,Donnees_annuelles!$A$3:$A$188,"&gt;="&amp;G578,Donnees_annuelles!$A$3:$A$188,"&lt;="&amp;N578)*L578/ROUNDUP(L578,0)*O578</f>
        <v/>
      </c>
      <c r="Q578" s="13">
        <f>SUMIFS(Donnees_annuelles!$V$3:$V$188,Donnees_annuelles!$A$3:$A$188,"&gt;="&amp;G578,Donnees_annuelles!$A$3:$A$188,"&lt;="&amp;N578)*L578/ROUNDUP(L578,0)</f>
        <v/>
      </c>
      <c r="R578" s="13">
        <f>P578/L578</f>
        <v/>
      </c>
      <c r="S578" s="14">
        <f>SUMIFS(Donnees_annuelles!$D$3:$D$188,Donnees_annuelles!$A$3:$A$188,"&gt;="&amp;G578,Donnees_annuelles!$A$3:$A$188,"&lt;="&amp;N578)*L578/ROUNDUP(L578,0)</f>
        <v/>
      </c>
      <c r="T578" s="14">
        <f>SUMIFS(Donnees_regimes!$N$3:$N$1118,Donnees_regimes!$A$3:$A$1118,C578,Donnees_regimes!$B$3:$B$1118,"&gt;="&amp;G578,Donnees_regimes!$B$3:$B$1118,"&lt;="&amp;N578)*L578/ROUNDUP(L578,0)</f>
        <v/>
      </c>
      <c r="U578" s="14">
        <f>SUMIFS(Donnees_regimes!$O$3:$O$1118,Donnees_regimes!$A$3:$A$1118,C578,Donnees_regimes!$B$3:$B$1118,"&gt;="&amp;G578,Donnees_regimes!$B$3:$B$1118,"&lt;="&amp;N578)*L578/ROUNDUP(L578,0)</f>
        <v/>
      </c>
      <c r="V578" s="14">
        <f>T578+U578</f>
        <v/>
      </c>
      <c r="W578" s="33">
        <f>V578/S578</f>
        <v/>
      </c>
      <c r="X578" s="14">
        <f>S578+U578</f>
        <v/>
      </c>
      <c r="Y578" s="17">
        <f>V578/P578</f>
        <v/>
      </c>
      <c r="Z578" s="14">
        <f>SUMIFS(Donnees_regimes!$Q$3:$Q$1118,Donnees_regimes!$A$3:$A$1118,C578,Donnees_regimes!$B$3:$B$1118,"&gt;="&amp;G578,Donnees_regimes!$B$3:$B$1118,"&lt;="&amp;N578)*L578/ROUNDUP(L578,0)</f>
        <v/>
      </c>
      <c r="AA578" s="77">
        <f>SUMIFS(Regles_regimes!$F$3:$F$2000,Regles_regimes!$A$3:$A$2000,C578,Regles_regimes!$B$3:$B$2000,D578,Regles_regimes!$C$3:$C$2000,MAX(1915,MIN(2025,E578)))</f>
        <v/>
      </c>
      <c r="AB578" s="77">
        <f>IF(AND(SUMIFS(Regles_regimes!$L$3:$L$2000,Regles_regimes!$A$3:$A$2000,C578,Regles_regimes!$B$3:$B$2000,D578,Regles_regimes!$C$3:$C$2000,MAX(1915,MIN(2025,E578)))=1,G578&lt;2009,C578&lt;&gt;"Privé"),MIN(20,L578*4/5),0)</f>
        <v/>
      </c>
      <c r="AC578" s="89">
        <f>SUMIFS(Donnees_regimes!$M$3:$M$1118,Donnees_regimes!$A$3:$A$1118,C578,Donnees_regimes!$B$3:$B$1118,M578)</f>
        <v/>
      </c>
      <c r="AD578" s="14">
        <f>SUMIFS(Donnees_annuelles!$Y$3:$Y$188,Donnees_annuelles!$A$3:$A$188,M578)*SUMIFS(Donnees_generations!$I$3:$I$113,Donnees_generations!$A$3:$A$113,MAX(1915,MIN(2025,E578)))/H578</f>
        <v/>
      </c>
      <c r="AE578" s="14">
        <f>IF(C578="Privé",SUMIFS(Donnees_annuelles!$Y$3:$Y$188,Donnees_annuelles!$A$3:$A$188,M578)*MIN(L578,SUMIFS(Donnees_generations!$I$3:$I$113,Donnees_generations!$A$3:$A$113,MAX(1915,MIN(2025,E578))))/L578,AD578*AC578*MIN(IF(AB578&gt;0,0.8/0.75,1),(L578*4+AB578)/AA578))</f>
        <v/>
      </c>
      <c r="AF578" s="14">
        <f>AE578/12</f>
        <v/>
      </c>
      <c r="AG578" s="77">
        <f>MIN(68,MAX(56,2*INT(K578/2)))</f>
        <v/>
      </c>
      <c r="AH578" s="75">
        <f>(CHOOSE((AG578-56)/2+1,SUMIFS(Donnees_generations!$U$3:$U$113,Donnees_generations!$A$3:$A$113,MAX(1915,MIN(2025,E578))),SUMIFS(Donnees_generations!$V$3:$V$113,Donnees_generations!$A$3:$A$113,MAX(1915,MIN(2025,E578))),SUMIFS(Donnees_generations!$W$3:$W$113,Donnees_generations!$A$3:$A$113,MAX(1915,MIN(2025,E578))),SUMIFS(Donnees_generations!$X$3:$X$113,Donnees_generations!$A$3:$A$113,MAX(1915,MIN(2025,E578))),SUMIFS(Donnees_generations!$Y$3:$Y$113,Donnees_generations!$A$3:$A$113,MAX(1915,MIN(2025,E578))),SUMIFS(Donnees_generations!$Z$3:$Z$113,Donnees_generations!$A$3:$A$113,MAX(1915,MIN(2025,E578))),SUMIFS(Donnees_generations!$AA$3:$AA$113,Donnees_generations!$A$3:$A$113,MAX(1915,MIN(2025,E578))),SUMIFS(Donnees_generations!$AB$3:$AB$113,Donnees_generations!$A$3:$A$113,MAX(1915,MIN(2025,E578))))+CHOOSE((AG578-56)/2+1,SUMIFS(Donnees_generations!$AC$3:$AC$113,Donnees_generations!$A$3:$A$113,MAX(1915,MIN(2025,E578))),SUMIFS(Donnees_generations!$AD$3:$AD$113,Donnees_generations!$A$3:$A$113,MAX(1915,MIN(2025,E578))),SUMIFS(Donnees_generations!$AE$3:$AE$113,Donnees_generations!$A$3:$A$113,MAX(1915,MIN(2025,E578))),SUMIFS(Donnees_generations!$AF$3:$AF$113,Donnees_generations!$A$3:$A$113,MAX(1915,MIN(2025,E578))),SUMIFS(Donnees_generations!$AG$3:$AG$113,Donnees_generations!$A$3:$A$113,MAX(1915,MIN(2025,E578))),SUMIFS(Donnees_generations!$AH$3:$AH$113,Donnees_generations!$A$3:$A$113,MAX(1915,MIN(2025,E578))),SUMIFS(Donnees_generations!$AI$3:$AI$113,Donnees_generations!$A$3:$A$113,MAX(1915,MIN(2025,E578))),SUMIFS(Donnees_generations!$AJ$3:$AJ$113,Donnees_generations!$A$3:$A$113,MAX(1915,MIN(2025,E578)))))/2</f>
        <v/>
      </c>
      <c r="AI578" s="75">
        <f>(CHOOSE(((AG578+2)-56)/2+1,SUMIFS(Donnees_generations!$U$3:$U$113,Donnees_generations!$A$3:$A$113,MAX(1915,MIN(2025,E578))),SUMIFS(Donnees_generations!$V$3:$V$113,Donnees_generations!$A$3:$A$113,MAX(1915,MIN(2025,E578))),SUMIFS(Donnees_generations!$W$3:$W$113,Donnees_generations!$A$3:$A$113,MAX(1915,MIN(2025,E578))),SUMIFS(Donnees_generations!$X$3:$X$113,Donnees_generations!$A$3:$A$113,MAX(1915,MIN(2025,E578))),SUMIFS(Donnees_generations!$Y$3:$Y$113,Donnees_generations!$A$3:$A$113,MAX(1915,MIN(2025,E578))),SUMIFS(Donnees_generations!$Z$3:$Z$113,Donnees_generations!$A$3:$A$113,MAX(1915,MIN(2025,E578))),SUMIFS(Donnees_generations!$AA$3:$AA$113,Donnees_generations!$A$3:$A$113,MAX(1915,MIN(2025,E578))),SUMIFS(Donnees_generations!$AB$3:$AB$113,Donnees_generations!$A$3:$A$113,MAX(1915,MIN(2025,E578))))+CHOOSE(((AG578+2)-56)/2+1,SUMIFS(Donnees_generations!$AC$3:$AC$113,Donnees_generations!$A$3:$A$113,MAX(1915,MIN(2025,E578))),SUMIFS(Donnees_generations!$AD$3:$AD$113,Donnees_generations!$A$3:$A$113,MAX(1915,MIN(2025,E578))),SUMIFS(Donnees_generations!$AE$3:$AE$113,Donnees_generations!$A$3:$A$113,MAX(1915,MIN(2025,E578))),SUMIFS(Donnees_generations!$AF$3:$AF$113,Donnees_generations!$A$3:$A$113,MAX(1915,MIN(2025,E578))),SUMIFS(Donnees_generations!$AG$3:$AG$113,Donnees_generations!$A$3:$A$113,MAX(1915,MIN(2025,E578))),SUMIFS(Donnees_generations!$AH$3:$AH$113,Donnees_generations!$A$3:$A$113,MAX(1915,MIN(2025,E578))),SUMIFS(Donnees_generations!$AI$3:$AI$113,Donnees_generations!$A$3:$A$113,MAX(1915,MIN(2025,E578))),SUMIFS(Donnees_generations!$AJ$3:$AJ$113,Donnees_generations!$A$3:$A$113,MAX(1915,MIN(2025,E578)))))/2</f>
        <v/>
      </c>
      <c r="AJ578" s="8">
        <f>MAX(0,AH578+(AI578-AH578)*(K578-AG578)/2)</f>
        <v/>
      </c>
      <c r="AK578" s="8">
        <f>K578+AJ578</f>
        <v/>
      </c>
      <c r="AL578" s="14">
        <f>AE578*AJ578</f>
        <v/>
      </c>
      <c r="AM578" s="17">
        <f>V578/AL578</f>
        <v/>
      </c>
      <c r="AN578" s="17">
        <f>Z578/AL578</f>
        <v/>
      </c>
      <c r="AO578" s="33">
        <f>IF(V578+Z578=0,0,Z578/(V578+Z578))</f>
        <v/>
      </c>
      <c r="AP578" s="14">
        <f>AL578/V578*100</f>
        <v/>
      </c>
      <c r="AQ578" s="8">
        <f>P578/AL578*1000</f>
        <v/>
      </c>
      <c r="AR578" s="77">
        <f>MAX(N578,M578-1)</f>
        <v/>
      </c>
      <c r="AS578" s="14">
        <f>SUMIFS(Donnees_regimes!$R$3:$R$1118,Donnees_regimes!$A$3:$A$1118,C578,Donnees_regimes!$B$3:$B$1118,"&gt;="&amp;G578,Donnees_regimes!$B$3:$B$1118,"&lt;="&amp;N578)*L578/ROUNDUP(L578,0)*SUMIFS(Donnees_annuelles!$AG$3:$AG$188,Donnees_annuelles!$A$3:$A$188,AR578)*SUMIFS(Donnees_annuelles!$AA$3:$AA$188,Donnees_annuelles!$A$3:$A$188,AR578)</f>
        <v/>
      </c>
      <c r="AT578" s="36">
        <f>AS578/V578</f>
        <v/>
      </c>
      <c r="AU578" s="14">
        <f>AL578</f>
        <v/>
      </c>
      <c r="AV578" s="39">
        <f>AS578-AL578</f>
        <v/>
      </c>
      <c r="AW578" s="9">
        <f>AS578/AL578-1</f>
        <v/>
      </c>
      <c r="AX578" s="14">
        <f>AS578/AJ578/12</f>
        <v/>
      </c>
      <c r="AY578" s="14">
        <f>AF578</f>
        <v/>
      </c>
      <c r="AZ578" s="39">
        <f>AX578-AF578</f>
        <v/>
      </c>
      <c r="BA578" s="14">
        <f>SUMIFS(Donnees_regimes!$S$3:$S$1118,Donnees_regimes!$A$3:$A$1118,C578,Donnees_regimes!$B$3:$B$1118,"&gt;="&amp;G578,Donnees_regimes!$B$3:$B$1118,"&lt;="&amp;N578)*L578/ROUNDUP(L578,0)*SUMIFS(Donnees_annuelles!$AH$3:$AH$188,Donnees_annuelles!$A$3:$A$188,AR578)*SUMIFS(Donnees_annuelles!$AA$3:$AA$188,Donnees_annuelles!$A$3:$A$188,AR578)</f>
        <v/>
      </c>
      <c r="BB578" s="39">
        <f>BA578-AL578</f>
        <v/>
      </c>
      <c r="BC578" s="7">
        <f>IF(M578+AJ578&gt;2026,IF(G578&gt;2026,"entièrement projeté","en partie projeté"),"observé")</f>
        <v/>
      </c>
    </row>
    <row r="579">
      <c r="A579" s="7" t="inlineStr">
        <is>
          <t>Génération Alpha</t>
        </is>
      </c>
      <c r="B579" s="84" t="inlineStr">
        <is>
          <t>IEG</t>
        </is>
      </c>
      <c r="C579" s="7">
        <f>IF(G579&gt;=SUMIFS(Regimes!$C$5:$C$10,Regimes!$A$5:$A$10,B579),"Privé",B579)</f>
        <v/>
      </c>
      <c r="D579" s="7">
        <f>INDEX(Regimes!$D$5:$D$10,MATCH(C579,Regimes!$A$5:$A$10,0))</f>
        <v/>
      </c>
      <c r="E579" s="88" t="n">
        <v>2014</v>
      </c>
      <c r="F579" s="8">
        <f>Donnees_generations!C102</f>
        <v/>
      </c>
      <c r="G579" s="77">
        <f>Donnees_generations!D102</f>
        <v/>
      </c>
      <c r="H579" s="8">
        <f>SUMIFS(Donnees_generations!$S$3:$S$113,Donnees_generations!$A$3:$A$113,MAX(1915,MIN(2025,E579)))</f>
        <v/>
      </c>
      <c r="I579" s="8">
        <f>SUMIFS(Donnees_generations!$T$3:$T$113,Donnees_generations!$A$3:$A$113,MAX(1915,MIN(2025,E579)))</f>
        <v/>
      </c>
      <c r="J579" s="8">
        <f>IF(G579&gt;=2000,MAX(I579,Parametres!$B$3),I579)</f>
        <v/>
      </c>
      <c r="K579" s="8">
        <f>IF(C579="Privé",J579,SUMIFS(Regles_regimes!$J$3:$J$2000,Regles_regimes!$A$3:$A$2000,C579,Regles_regimes!$B$3:$B$2000,D579,Regles_regimes!$C$3:$C$2000,MAX(1915,MIN(2025,E579))))</f>
        <v/>
      </c>
      <c r="L579" s="8">
        <f>IF(C579="Privé",H579,(K579-F579)*H579/(J579-F579))</f>
        <v/>
      </c>
      <c r="M579" s="77">
        <f>INT(E579+K579)</f>
        <v/>
      </c>
      <c r="N579" s="77">
        <f>G579+ROUNDUP(L579,0)-1</f>
        <v/>
      </c>
      <c r="O579" s="89">
        <f>SUMIFS(Regles_regimes!$K$3:$K$2000,Regles_regimes!$A$3:$A$2000,C579,Regles_regimes!$B$3:$B$2000,D579,Regles_regimes!$C$3:$C$2000,MAX(1915,MIN(2025,E579)))</f>
        <v/>
      </c>
      <c r="P579" s="13">
        <f>SUMIFS(Donnees_annuelles!$W$3:$W$188,Donnees_annuelles!$A$3:$A$188,"&gt;="&amp;G579,Donnees_annuelles!$A$3:$A$188,"&lt;="&amp;N579)*L579/ROUNDUP(L579,0)*O579</f>
        <v/>
      </c>
      <c r="Q579" s="13">
        <f>SUMIFS(Donnees_annuelles!$V$3:$V$188,Donnees_annuelles!$A$3:$A$188,"&gt;="&amp;G579,Donnees_annuelles!$A$3:$A$188,"&lt;="&amp;N579)*L579/ROUNDUP(L579,0)</f>
        <v/>
      </c>
      <c r="R579" s="13">
        <f>P579/L579</f>
        <v/>
      </c>
      <c r="S579" s="14">
        <f>SUMIFS(Donnees_annuelles!$D$3:$D$188,Donnees_annuelles!$A$3:$A$188,"&gt;="&amp;G579,Donnees_annuelles!$A$3:$A$188,"&lt;="&amp;N579)*L579/ROUNDUP(L579,0)</f>
        <v/>
      </c>
      <c r="T579" s="14">
        <f>SUMIFS(Donnees_regimes!$N$3:$N$1118,Donnees_regimes!$A$3:$A$1118,C579,Donnees_regimes!$B$3:$B$1118,"&gt;="&amp;G579,Donnees_regimes!$B$3:$B$1118,"&lt;="&amp;N579)*L579/ROUNDUP(L579,0)</f>
        <v/>
      </c>
      <c r="U579" s="14">
        <f>SUMIFS(Donnees_regimes!$O$3:$O$1118,Donnees_regimes!$A$3:$A$1118,C579,Donnees_regimes!$B$3:$B$1118,"&gt;="&amp;G579,Donnees_regimes!$B$3:$B$1118,"&lt;="&amp;N579)*L579/ROUNDUP(L579,0)</f>
        <v/>
      </c>
      <c r="V579" s="14">
        <f>T579+U579</f>
        <v/>
      </c>
      <c r="W579" s="33">
        <f>V579/S579</f>
        <v/>
      </c>
      <c r="X579" s="14">
        <f>S579+U579</f>
        <v/>
      </c>
      <c r="Y579" s="17">
        <f>V579/P579</f>
        <v/>
      </c>
      <c r="Z579" s="14">
        <f>SUMIFS(Donnees_regimes!$Q$3:$Q$1118,Donnees_regimes!$A$3:$A$1118,C579,Donnees_regimes!$B$3:$B$1118,"&gt;="&amp;G579,Donnees_regimes!$B$3:$B$1118,"&lt;="&amp;N579)*L579/ROUNDUP(L579,0)</f>
        <v/>
      </c>
      <c r="AA579" s="77">
        <f>SUMIFS(Regles_regimes!$F$3:$F$2000,Regles_regimes!$A$3:$A$2000,C579,Regles_regimes!$B$3:$B$2000,D579,Regles_regimes!$C$3:$C$2000,MAX(1915,MIN(2025,E579)))</f>
        <v/>
      </c>
      <c r="AB579" s="77">
        <f>IF(AND(SUMIFS(Regles_regimes!$L$3:$L$2000,Regles_regimes!$A$3:$A$2000,C579,Regles_regimes!$B$3:$B$2000,D579,Regles_regimes!$C$3:$C$2000,MAX(1915,MIN(2025,E579)))=1,G579&lt;2009,C579&lt;&gt;"Privé"),MIN(20,L579*4/5),0)</f>
        <v/>
      </c>
      <c r="AC579" s="89">
        <f>SUMIFS(Donnees_regimes!$M$3:$M$1118,Donnees_regimes!$A$3:$A$1118,C579,Donnees_regimes!$B$3:$B$1118,M579)</f>
        <v/>
      </c>
      <c r="AD579" s="14">
        <f>SUMIFS(Donnees_annuelles!$Y$3:$Y$188,Donnees_annuelles!$A$3:$A$188,M579)*SUMIFS(Donnees_generations!$I$3:$I$113,Donnees_generations!$A$3:$A$113,MAX(1915,MIN(2025,E579)))/H579</f>
        <v/>
      </c>
      <c r="AE579" s="14">
        <f>IF(C579="Privé",SUMIFS(Donnees_annuelles!$Y$3:$Y$188,Donnees_annuelles!$A$3:$A$188,M579)*MIN(L579,SUMIFS(Donnees_generations!$I$3:$I$113,Donnees_generations!$A$3:$A$113,MAX(1915,MIN(2025,E579))))/L579,AD579*AC579*MIN(IF(AB579&gt;0,0.8/0.75,1),(L579*4+AB579)/AA579))</f>
        <v/>
      </c>
      <c r="AF579" s="14">
        <f>AE579/12</f>
        <v/>
      </c>
      <c r="AG579" s="77">
        <f>MIN(68,MAX(56,2*INT(K579/2)))</f>
        <v/>
      </c>
      <c r="AH579" s="75">
        <f>(CHOOSE((AG579-56)/2+1,SUMIFS(Donnees_generations!$U$3:$U$113,Donnees_generations!$A$3:$A$113,MAX(1915,MIN(2025,E579))),SUMIFS(Donnees_generations!$V$3:$V$113,Donnees_generations!$A$3:$A$113,MAX(1915,MIN(2025,E579))),SUMIFS(Donnees_generations!$W$3:$W$113,Donnees_generations!$A$3:$A$113,MAX(1915,MIN(2025,E579))),SUMIFS(Donnees_generations!$X$3:$X$113,Donnees_generations!$A$3:$A$113,MAX(1915,MIN(2025,E579))),SUMIFS(Donnees_generations!$Y$3:$Y$113,Donnees_generations!$A$3:$A$113,MAX(1915,MIN(2025,E579))),SUMIFS(Donnees_generations!$Z$3:$Z$113,Donnees_generations!$A$3:$A$113,MAX(1915,MIN(2025,E579))),SUMIFS(Donnees_generations!$AA$3:$AA$113,Donnees_generations!$A$3:$A$113,MAX(1915,MIN(2025,E579))),SUMIFS(Donnees_generations!$AB$3:$AB$113,Donnees_generations!$A$3:$A$113,MAX(1915,MIN(2025,E579))))+CHOOSE((AG579-56)/2+1,SUMIFS(Donnees_generations!$AC$3:$AC$113,Donnees_generations!$A$3:$A$113,MAX(1915,MIN(2025,E579))),SUMIFS(Donnees_generations!$AD$3:$AD$113,Donnees_generations!$A$3:$A$113,MAX(1915,MIN(2025,E579))),SUMIFS(Donnees_generations!$AE$3:$AE$113,Donnees_generations!$A$3:$A$113,MAX(1915,MIN(2025,E579))),SUMIFS(Donnees_generations!$AF$3:$AF$113,Donnees_generations!$A$3:$A$113,MAX(1915,MIN(2025,E579))),SUMIFS(Donnees_generations!$AG$3:$AG$113,Donnees_generations!$A$3:$A$113,MAX(1915,MIN(2025,E579))),SUMIFS(Donnees_generations!$AH$3:$AH$113,Donnees_generations!$A$3:$A$113,MAX(1915,MIN(2025,E579))),SUMIFS(Donnees_generations!$AI$3:$AI$113,Donnees_generations!$A$3:$A$113,MAX(1915,MIN(2025,E579))),SUMIFS(Donnees_generations!$AJ$3:$AJ$113,Donnees_generations!$A$3:$A$113,MAX(1915,MIN(2025,E579)))))/2</f>
        <v/>
      </c>
      <c r="AI579" s="75">
        <f>(CHOOSE(((AG579+2)-56)/2+1,SUMIFS(Donnees_generations!$U$3:$U$113,Donnees_generations!$A$3:$A$113,MAX(1915,MIN(2025,E579))),SUMIFS(Donnees_generations!$V$3:$V$113,Donnees_generations!$A$3:$A$113,MAX(1915,MIN(2025,E579))),SUMIFS(Donnees_generations!$W$3:$W$113,Donnees_generations!$A$3:$A$113,MAX(1915,MIN(2025,E579))),SUMIFS(Donnees_generations!$X$3:$X$113,Donnees_generations!$A$3:$A$113,MAX(1915,MIN(2025,E579))),SUMIFS(Donnees_generations!$Y$3:$Y$113,Donnees_generations!$A$3:$A$113,MAX(1915,MIN(2025,E579))),SUMIFS(Donnees_generations!$Z$3:$Z$113,Donnees_generations!$A$3:$A$113,MAX(1915,MIN(2025,E579))),SUMIFS(Donnees_generations!$AA$3:$AA$113,Donnees_generations!$A$3:$A$113,MAX(1915,MIN(2025,E579))),SUMIFS(Donnees_generations!$AB$3:$AB$113,Donnees_generations!$A$3:$A$113,MAX(1915,MIN(2025,E579))))+CHOOSE(((AG579+2)-56)/2+1,SUMIFS(Donnees_generations!$AC$3:$AC$113,Donnees_generations!$A$3:$A$113,MAX(1915,MIN(2025,E579))),SUMIFS(Donnees_generations!$AD$3:$AD$113,Donnees_generations!$A$3:$A$113,MAX(1915,MIN(2025,E579))),SUMIFS(Donnees_generations!$AE$3:$AE$113,Donnees_generations!$A$3:$A$113,MAX(1915,MIN(2025,E579))),SUMIFS(Donnees_generations!$AF$3:$AF$113,Donnees_generations!$A$3:$A$113,MAX(1915,MIN(2025,E579))),SUMIFS(Donnees_generations!$AG$3:$AG$113,Donnees_generations!$A$3:$A$113,MAX(1915,MIN(2025,E579))),SUMIFS(Donnees_generations!$AH$3:$AH$113,Donnees_generations!$A$3:$A$113,MAX(1915,MIN(2025,E579))),SUMIFS(Donnees_generations!$AI$3:$AI$113,Donnees_generations!$A$3:$A$113,MAX(1915,MIN(2025,E579))),SUMIFS(Donnees_generations!$AJ$3:$AJ$113,Donnees_generations!$A$3:$A$113,MAX(1915,MIN(2025,E579)))))/2</f>
        <v/>
      </c>
      <c r="AJ579" s="8">
        <f>MAX(0,AH579+(AI579-AH579)*(K579-AG579)/2)</f>
        <v/>
      </c>
      <c r="AK579" s="8">
        <f>K579+AJ579</f>
        <v/>
      </c>
      <c r="AL579" s="14">
        <f>AE579*AJ579</f>
        <v/>
      </c>
      <c r="AM579" s="17">
        <f>V579/AL579</f>
        <v/>
      </c>
      <c r="AN579" s="17">
        <f>Z579/AL579</f>
        <v/>
      </c>
      <c r="AO579" s="33">
        <f>IF(V579+Z579=0,0,Z579/(V579+Z579))</f>
        <v/>
      </c>
      <c r="AP579" s="14">
        <f>AL579/V579*100</f>
        <v/>
      </c>
      <c r="AQ579" s="8">
        <f>P579/AL579*1000</f>
        <v/>
      </c>
      <c r="AR579" s="77">
        <f>MAX(N579,M579-1)</f>
        <v/>
      </c>
      <c r="AS579" s="14">
        <f>SUMIFS(Donnees_regimes!$R$3:$R$1118,Donnees_regimes!$A$3:$A$1118,C579,Donnees_regimes!$B$3:$B$1118,"&gt;="&amp;G579,Donnees_regimes!$B$3:$B$1118,"&lt;="&amp;N579)*L579/ROUNDUP(L579,0)*SUMIFS(Donnees_annuelles!$AG$3:$AG$188,Donnees_annuelles!$A$3:$A$188,AR579)*SUMIFS(Donnees_annuelles!$AA$3:$AA$188,Donnees_annuelles!$A$3:$A$188,AR579)</f>
        <v/>
      </c>
      <c r="AT579" s="36">
        <f>AS579/V579</f>
        <v/>
      </c>
      <c r="AU579" s="14">
        <f>AL579</f>
        <v/>
      </c>
      <c r="AV579" s="39">
        <f>AS579-AL579</f>
        <v/>
      </c>
      <c r="AW579" s="9">
        <f>AS579/AL579-1</f>
        <v/>
      </c>
      <c r="AX579" s="14">
        <f>AS579/AJ579/12</f>
        <v/>
      </c>
      <c r="AY579" s="14">
        <f>AF579</f>
        <v/>
      </c>
      <c r="AZ579" s="39">
        <f>AX579-AF579</f>
        <v/>
      </c>
      <c r="BA579" s="14">
        <f>SUMIFS(Donnees_regimes!$S$3:$S$1118,Donnees_regimes!$A$3:$A$1118,C579,Donnees_regimes!$B$3:$B$1118,"&gt;="&amp;G579,Donnees_regimes!$B$3:$B$1118,"&lt;="&amp;N579)*L579/ROUNDUP(L579,0)*SUMIFS(Donnees_annuelles!$AH$3:$AH$188,Donnees_annuelles!$A$3:$A$188,AR579)*SUMIFS(Donnees_annuelles!$AA$3:$AA$188,Donnees_annuelles!$A$3:$A$188,AR579)</f>
        <v/>
      </c>
      <c r="BB579" s="39">
        <f>BA579-AL579</f>
        <v/>
      </c>
      <c r="BC579" s="7">
        <f>IF(M579+AJ579&gt;2026,IF(G579&gt;2026,"entièrement projeté","en partie projeté"),"observé")</f>
        <v/>
      </c>
    </row>
    <row r="580">
      <c r="A580" s="7" t="inlineStr">
        <is>
          <t>Génération Alpha</t>
        </is>
      </c>
      <c r="B580" s="84" t="inlineStr">
        <is>
          <t>IEG</t>
        </is>
      </c>
      <c r="C580" s="7">
        <f>IF(G580&gt;=SUMIFS(Regimes!$C$5:$C$10,Regimes!$A$5:$A$10,B580),"Privé",B580)</f>
        <v/>
      </c>
      <c r="D580" s="7">
        <f>INDEX(Regimes!$D$5:$D$10,MATCH(C580,Regimes!$A$5:$A$10,0))</f>
        <v/>
      </c>
      <c r="E580" s="88" t="n">
        <v>2015</v>
      </c>
      <c r="F580" s="8">
        <f>Donnees_generations!C103</f>
        <v/>
      </c>
      <c r="G580" s="77">
        <f>Donnees_generations!D103</f>
        <v/>
      </c>
      <c r="H580" s="8">
        <f>SUMIFS(Donnees_generations!$S$3:$S$113,Donnees_generations!$A$3:$A$113,MAX(1915,MIN(2025,E580)))</f>
        <v/>
      </c>
      <c r="I580" s="8">
        <f>SUMIFS(Donnees_generations!$T$3:$T$113,Donnees_generations!$A$3:$A$113,MAX(1915,MIN(2025,E580)))</f>
        <v/>
      </c>
      <c r="J580" s="8">
        <f>IF(G580&gt;=2000,MAX(I580,Parametres!$B$3),I580)</f>
        <v/>
      </c>
      <c r="K580" s="8">
        <f>IF(C580="Privé",J580,SUMIFS(Regles_regimes!$J$3:$J$2000,Regles_regimes!$A$3:$A$2000,C580,Regles_regimes!$B$3:$B$2000,D580,Regles_regimes!$C$3:$C$2000,MAX(1915,MIN(2025,E580))))</f>
        <v/>
      </c>
      <c r="L580" s="8">
        <f>IF(C580="Privé",H580,(K580-F580)*H580/(J580-F580))</f>
        <v/>
      </c>
      <c r="M580" s="77">
        <f>INT(E580+K580)</f>
        <v/>
      </c>
      <c r="N580" s="77">
        <f>G580+ROUNDUP(L580,0)-1</f>
        <v/>
      </c>
      <c r="O580" s="89">
        <f>SUMIFS(Regles_regimes!$K$3:$K$2000,Regles_regimes!$A$3:$A$2000,C580,Regles_regimes!$B$3:$B$2000,D580,Regles_regimes!$C$3:$C$2000,MAX(1915,MIN(2025,E580)))</f>
        <v/>
      </c>
      <c r="P580" s="13">
        <f>SUMIFS(Donnees_annuelles!$W$3:$W$188,Donnees_annuelles!$A$3:$A$188,"&gt;="&amp;G580,Donnees_annuelles!$A$3:$A$188,"&lt;="&amp;N580)*L580/ROUNDUP(L580,0)*O580</f>
        <v/>
      </c>
      <c r="Q580" s="13">
        <f>SUMIFS(Donnees_annuelles!$V$3:$V$188,Donnees_annuelles!$A$3:$A$188,"&gt;="&amp;G580,Donnees_annuelles!$A$3:$A$188,"&lt;="&amp;N580)*L580/ROUNDUP(L580,0)</f>
        <v/>
      </c>
      <c r="R580" s="13">
        <f>P580/L580</f>
        <v/>
      </c>
      <c r="S580" s="14">
        <f>SUMIFS(Donnees_annuelles!$D$3:$D$188,Donnees_annuelles!$A$3:$A$188,"&gt;="&amp;G580,Donnees_annuelles!$A$3:$A$188,"&lt;="&amp;N580)*L580/ROUNDUP(L580,0)</f>
        <v/>
      </c>
      <c r="T580" s="14">
        <f>SUMIFS(Donnees_regimes!$N$3:$N$1118,Donnees_regimes!$A$3:$A$1118,C580,Donnees_regimes!$B$3:$B$1118,"&gt;="&amp;G580,Donnees_regimes!$B$3:$B$1118,"&lt;="&amp;N580)*L580/ROUNDUP(L580,0)</f>
        <v/>
      </c>
      <c r="U580" s="14">
        <f>SUMIFS(Donnees_regimes!$O$3:$O$1118,Donnees_regimes!$A$3:$A$1118,C580,Donnees_regimes!$B$3:$B$1118,"&gt;="&amp;G580,Donnees_regimes!$B$3:$B$1118,"&lt;="&amp;N580)*L580/ROUNDUP(L580,0)</f>
        <v/>
      </c>
      <c r="V580" s="14">
        <f>T580+U580</f>
        <v/>
      </c>
      <c r="W580" s="33">
        <f>V580/S580</f>
        <v/>
      </c>
      <c r="X580" s="14">
        <f>S580+U580</f>
        <v/>
      </c>
      <c r="Y580" s="17">
        <f>V580/P580</f>
        <v/>
      </c>
      <c r="Z580" s="14">
        <f>SUMIFS(Donnees_regimes!$Q$3:$Q$1118,Donnees_regimes!$A$3:$A$1118,C580,Donnees_regimes!$B$3:$B$1118,"&gt;="&amp;G580,Donnees_regimes!$B$3:$B$1118,"&lt;="&amp;N580)*L580/ROUNDUP(L580,0)</f>
        <v/>
      </c>
      <c r="AA580" s="77">
        <f>SUMIFS(Regles_regimes!$F$3:$F$2000,Regles_regimes!$A$3:$A$2000,C580,Regles_regimes!$B$3:$B$2000,D580,Regles_regimes!$C$3:$C$2000,MAX(1915,MIN(2025,E580)))</f>
        <v/>
      </c>
      <c r="AB580" s="77">
        <f>IF(AND(SUMIFS(Regles_regimes!$L$3:$L$2000,Regles_regimes!$A$3:$A$2000,C580,Regles_regimes!$B$3:$B$2000,D580,Regles_regimes!$C$3:$C$2000,MAX(1915,MIN(2025,E580)))=1,G580&lt;2009,C580&lt;&gt;"Privé"),MIN(20,L580*4/5),0)</f>
        <v/>
      </c>
      <c r="AC580" s="89">
        <f>SUMIFS(Donnees_regimes!$M$3:$M$1118,Donnees_regimes!$A$3:$A$1118,C580,Donnees_regimes!$B$3:$B$1118,M580)</f>
        <v/>
      </c>
      <c r="AD580" s="14">
        <f>SUMIFS(Donnees_annuelles!$Y$3:$Y$188,Donnees_annuelles!$A$3:$A$188,M580)*SUMIFS(Donnees_generations!$I$3:$I$113,Donnees_generations!$A$3:$A$113,MAX(1915,MIN(2025,E580)))/H580</f>
        <v/>
      </c>
      <c r="AE580" s="14">
        <f>IF(C580="Privé",SUMIFS(Donnees_annuelles!$Y$3:$Y$188,Donnees_annuelles!$A$3:$A$188,M580)*MIN(L580,SUMIFS(Donnees_generations!$I$3:$I$113,Donnees_generations!$A$3:$A$113,MAX(1915,MIN(2025,E580))))/L580,AD580*AC580*MIN(IF(AB580&gt;0,0.8/0.75,1),(L580*4+AB580)/AA580))</f>
        <v/>
      </c>
      <c r="AF580" s="14">
        <f>AE580/12</f>
        <v/>
      </c>
      <c r="AG580" s="77">
        <f>MIN(68,MAX(56,2*INT(K580/2)))</f>
        <v/>
      </c>
      <c r="AH580" s="75">
        <f>(CHOOSE((AG580-56)/2+1,SUMIFS(Donnees_generations!$U$3:$U$113,Donnees_generations!$A$3:$A$113,MAX(1915,MIN(2025,E580))),SUMIFS(Donnees_generations!$V$3:$V$113,Donnees_generations!$A$3:$A$113,MAX(1915,MIN(2025,E580))),SUMIFS(Donnees_generations!$W$3:$W$113,Donnees_generations!$A$3:$A$113,MAX(1915,MIN(2025,E580))),SUMIFS(Donnees_generations!$X$3:$X$113,Donnees_generations!$A$3:$A$113,MAX(1915,MIN(2025,E580))),SUMIFS(Donnees_generations!$Y$3:$Y$113,Donnees_generations!$A$3:$A$113,MAX(1915,MIN(2025,E580))),SUMIFS(Donnees_generations!$Z$3:$Z$113,Donnees_generations!$A$3:$A$113,MAX(1915,MIN(2025,E580))),SUMIFS(Donnees_generations!$AA$3:$AA$113,Donnees_generations!$A$3:$A$113,MAX(1915,MIN(2025,E580))),SUMIFS(Donnees_generations!$AB$3:$AB$113,Donnees_generations!$A$3:$A$113,MAX(1915,MIN(2025,E580))))+CHOOSE((AG580-56)/2+1,SUMIFS(Donnees_generations!$AC$3:$AC$113,Donnees_generations!$A$3:$A$113,MAX(1915,MIN(2025,E580))),SUMIFS(Donnees_generations!$AD$3:$AD$113,Donnees_generations!$A$3:$A$113,MAX(1915,MIN(2025,E580))),SUMIFS(Donnees_generations!$AE$3:$AE$113,Donnees_generations!$A$3:$A$113,MAX(1915,MIN(2025,E580))),SUMIFS(Donnees_generations!$AF$3:$AF$113,Donnees_generations!$A$3:$A$113,MAX(1915,MIN(2025,E580))),SUMIFS(Donnees_generations!$AG$3:$AG$113,Donnees_generations!$A$3:$A$113,MAX(1915,MIN(2025,E580))),SUMIFS(Donnees_generations!$AH$3:$AH$113,Donnees_generations!$A$3:$A$113,MAX(1915,MIN(2025,E580))),SUMIFS(Donnees_generations!$AI$3:$AI$113,Donnees_generations!$A$3:$A$113,MAX(1915,MIN(2025,E580))),SUMIFS(Donnees_generations!$AJ$3:$AJ$113,Donnees_generations!$A$3:$A$113,MAX(1915,MIN(2025,E580)))))/2</f>
        <v/>
      </c>
      <c r="AI580" s="75">
        <f>(CHOOSE(((AG580+2)-56)/2+1,SUMIFS(Donnees_generations!$U$3:$U$113,Donnees_generations!$A$3:$A$113,MAX(1915,MIN(2025,E580))),SUMIFS(Donnees_generations!$V$3:$V$113,Donnees_generations!$A$3:$A$113,MAX(1915,MIN(2025,E580))),SUMIFS(Donnees_generations!$W$3:$W$113,Donnees_generations!$A$3:$A$113,MAX(1915,MIN(2025,E580))),SUMIFS(Donnees_generations!$X$3:$X$113,Donnees_generations!$A$3:$A$113,MAX(1915,MIN(2025,E580))),SUMIFS(Donnees_generations!$Y$3:$Y$113,Donnees_generations!$A$3:$A$113,MAX(1915,MIN(2025,E580))),SUMIFS(Donnees_generations!$Z$3:$Z$113,Donnees_generations!$A$3:$A$113,MAX(1915,MIN(2025,E580))),SUMIFS(Donnees_generations!$AA$3:$AA$113,Donnees_generations!$A$3:$A$113,MAX(1915,MIN(2025,E580))),SUMIFS(Donnees_generations!$AB$3:$AB$113,Donnees_generations!$A$3:$A$113,MAX(1915,MIN(2025,E580))))+CHOOSE(((AG580+2)-56)/2+1,SUMIFS(Donnees_generations!$AC$3:$AC$113,Donnees_generations!$A$3:$A$113,MAX(1915,MIN(2025,E580))),SUMIFS(Donnees_generations!$AD$3:$AD$113,Donnees_generations!$A$3:$A$113,MAX(1915,MIN(2025,E580))),SUMIFS(Donnees_generations!$AE$3:$AE$113,Donnees_generations!$A$3:$A$113,MAX(1915,MIN(2025,E580))),SUMIFS(Donnees_generations!$AF$3:$AF$113,Donnees_generations!$A$3:$A$113,MAX(1915,MIN(2025,E580))),SUMIFS(Donnees_generations!$AG$3:$AG$113,Donnees_generations!$A$3:$A$113,MAX(1915,MIN(2025,E580))),SUMIFS(Donnees_generations!$AH$3:$AH$113,Donnees_generations!$A$3:$A$113,MAX(1915,MIN(2025,E580))),SUMIFS(Donnees_generations!$AI$3:$AI$113,Donnees_generations!$A$3:$A$113,MAX(1915,MIN(2025,E580))),SUMIFS(Donnees_generations!$AJ$3:$AJ$113,Donnees_generations!$A$3:$A$113,MAX(1915,MIN(2025,E580)))))/2</f>
        <v/>
      </c>
      <c r="AJ580" s="8">
        <f>MAX(0,AH580+(AI580-AH580)*(K580-AG580)/2)</f>
        <v/>
      </c>
      <c r="AK580" s="8">
        <f>K580+AJ580</f>
        <v/>
      </c>
      <c r="AL580" s="14">
        <f>AE580*AJ580</f>
        <v/>
      </c>
      <c r="AM580" s="17">
        <f>V580/AL580</f>
        <v/>
      </c>
      <c r="AN580" s="17">
        <f>Z580/AL580</f>
        <v/>
      </c>
      <c r="AO580" s="33">
        <f>IF(V580+Z580=0,0,Z580/(V580+Z580))</f>
        <v/>
      </c>
      <c r="AP580" s="14">
        <f>AL580/V580*100</f>
        <v/>
      </c>
      <c r="AQ580" s="8">
        <f>P580/AL580*1000</f>
        <v/>
      </c>
      <c r="AR580" s="77">
        <f>MAX(N580,M580-1)</f>
        <v/>
      </c>
      <c r="AS580" s="14">
        <f>SUMIFS(Donnees_regimes!$R$3:$R$1118,Donnees_regimes!$A$3:$A$1118,C580,Donnees_regimes!$B$3:$B$1118,"&gt;="&amp;G580,Donnees_regimes!$B$3:$B$1118,"&lt;="&amp;N580)*L580/ROUNDUP(L580,0)*SUMIFS(Donnees_annuelles!$AG$3:$AG$188,Donnees_annuelles!$A$3:$A$188,AR580)*SUMIFS(Donnees_annuelles!$AA$3:$AA$188,Donnees_annuelles!$A$3:$A$188,AR580)</f>
        <v/>
      </c>
      <c r="AT580" s="36">
        <f>AS580/V580</f>
        <v/>
      </c>
      <c r="AU580" s="14">
        <f>AL580</f>
        <v/>
      </c>
      <c r="AV580" s="39">
        <f>AS580-AL580</f>
        <v/>
      </c>
      <c r="AW580" s="9">
        <f>AS580/AL580-1</f>
        <v/>
      </c>
      <c r="AX580" s="14">
        <f>AS580/AJ580/12</f>
        <v/>
      </c>
      <c r="AY580" s="14">
        <f>AF580</f>
        <v/>
      </c>
      <c r="AZ580" s="39">
        <f>AX580-AF580</f>
        <v/>
      </c>
      <c r="BA580" s="14">
        <f>SUMIFS(Donnees_regimes!$S$3:$S$1118,Donnees_regimes!$A$3:$A$1118,C580,Donnees_regimes!$B$3:$B$1118,"&gt;="&amp;G580,Donnees_regimes!$B$3:$B$1118,"&lt;="&amp;N580)*L580/ROUNDUP(L580,0)*SUMIFS(Donnees_annuelles!$AH$3:$AH$188,Donnees_annuelles!$A$3:$A$188,AR580)*SUMIFS(Donnees_annuelles!$AA$3:$AA$188,Donnees_annuelles!$A$3:$A$188,AR580)</f>
        <v/>
      </c>
      <c r="BB580" s="39">
        <f>BA580-AL580</f>
        <v/>
      </c>
      <c r="BC580" s="7">
        <f>IF(M580+AJ580&gt;2026,IF(G580&gt;2026,"entièrement projeté","en partie projeté"),"observé")</f>
        <v/>
      </c>
    </row>
    <row r="581">
      <c r="A581" s="7" t="inlineStr">
        <is>
          <t>Génération Alpha</t>
        </is>
      </c>
      <c r="B581" s="84" t="inlineStr">
        <is>
          <t>IEG</t>
        </is>
      </c>
      <c r="C581" s="7">
        <f>IF(G581&gt;=SUMIFS(Regimes!$C$5:$C$10,Regimes!$A$5:$A$10,B581),"Privé",B581)</f>
        <v/>
      </c>
      <c r="D581" s="7">
        <f>INDEX(Regimes!$D$5:$D$10,MATCH(C581,Regimes!$A$5:$A$10,0))</f>
        <v/>
      </c>
      <c r="E581" s="88" t="n">
        <v>2016</v>
      </c>
      <c r="F581" s="8">
        <f>Donnees_generations!C104</f>
        <v/>
      </c>
      <c r="G581" s="77">
        <f>Donnees_generations!D104</f>
        <v/>
      </c>
      <c r="H581" s="8">
        <f>SUMIFS(Donnees_generations!$S$3:$S$113,Donnees_generations!$A$3:$A$113,MAX(1915,MIN(2025,E581)))</f>
        <v/>
      </c>
      <c r="I581" s="8">
        <f>SUMIFS(Donnees_generations!$T$3:$T$113,Donnees_generations!$A$3:$A$113,MAX(1915,MIN(2025,E581)))</f>
        <v/>
      </c>
      <c r="J581" s="8">
        <f>IF(G581&gt;=2000,MAX(I581,Parametres!$B$3),I581)</f>
        <v/>
      </c>
      <c r="K581" s="8">
        <f>IF(C581="Privé",J581,SUMIFS(Regles_regimes!$J$3:$J$2000,Regles_regimes!$A$3:$A$2000,C581,Regles_regimes!$B$3:$B$2000,D581,Regles_regimes!$C$3:$C$2000,MAX(1915,MIN(2025,E581))))</f>
        <v/>
      </c>
      <c r="L581" s="8">
        <f>IF(C581="Privé",H581,(K581-F581)*H581/(J581-F581))</f>
        <v/>
      </c>
      <c r="M581" s="77">
        <f>INT(E581+K581)</f>
        <v/>
      </c>
      <c r="N581" s="77">
        <f>G581+ROUNDUP(L581,0)-1</f>
        <v/>
      </c>
      <c r="O581" s="89">
        <f>SUMIFS(Regles_regimes!$K$3:$K$2000,Regles_regimes!$A$3:$A$2000,C581,Regles_regimes!$B$3:$B$2000,D581,Regles_regimes!$C$3:$C$2000,MAX(1915,MIN(2025,E581)))</f>
        <v/>
      </c>
      <c r="P581" s="13">
        <f>SUMIFS(Donnees_annuelles!$W$3:$W$188,Donnees_annuelles!$A$3:$A$188,"&gt;="&amp;G581,Donnees_annuelles!$A$3:$A$188,"&lt;="&amp;N581)*L581/ROUNDUP(L581,0)*O581</f>
        <v/>
      </c>
      <c r="Q581" s="13">
        <f>SUMIFS(Donnees_annuelles!$V$3:$V$188,Donnees_annuelles!$A$3:$A$188,"&gt;="&amp;G581,Donnees_annuelles!$A$3:$A$188,"&lt;="&amp;N581)*L581/ROUNDUP(L581,0)</f>
        <v/>
      </c>
      <c r="R581" s="13">
        <f>P581/L581</f>
        <v/>
      </c>
      <c r="S581" s="14">
        <f>SUMIFS(Donnees_annuelles!$D$3:$D$188,Donnees_annuelles!$A$3:$A$188,"&gt;="&amp;G581,Donnees_annuelles!$A$3:$A$188,"&lt;="&amp;N581)*L581/ROUNDUP(L581,0)</f>
        <v/>
      </c>
      <c r="T581" s="14">
        <f>SUMIFS(Donnees_regimes!$N$3:$N$1118,Donnees_regimes!$A$3:$A$1118,C581,Donnees_regimes!$B$3:$B$1118,"&gt;="&amp;G581,Donnees_regimes!$B$3:$B$1118,"&lt;="&amp;N581)*L581/ROUNDUP(L581,0)</f>
        <v/>
      </c>
      <c r="U581" s="14">
        <f>SUMIFS(Donnees_regimes!$O$3:$O$1118,Donnees_regimes!$A$3:$A$1118,C581,Donnees_regimes!$B$3:$B$1118,"&gt;="&amp;G581,Donnees_regimes!$B$3:$B$1118,"&lt;="&amp;N581)*L581/ROUNDUP(L581,0)</f>
        <v/>
      </c>
      <c r="V581" s="14">
        <f>T581+U581</f>
        <v/>
      </c>
      <c r="W581" s="33">
        <f>V581/S581</f>
        <v/>
      </c>
      <c r="X581" s="14">
        <f>S581+U581</f>
        <v/>
      </c>
      <c r="Y581" s="17">
        <f>V581/P581</f>
        <v/>
      </c>
      <c r="Z581" s="14">
        <f>SUMIFS(Donnees_regimes!$Q$3:$Q$1118,Donnees_regimes!$A$3:$A$1118,C581,Donnees_regimes!$B$3:$B$1118,"&gt;="&amp;G581,Donnees_regimes!$B$3:$B$1118,"&lt;="&amp;N581)*L581/ROUNDUP(L581,0)</f>
        <v/>
      </c>
      <c r="AA581" s="77">
        <f>SUMIFS(Regles_regimes!$F$3:$F$2000,Regles_regimes!$A$3:$A$2000,C581,Regles_regimes!$B$3:$B$2000,D581,Regles_regimes!$C$3:$C$2000,MAX(1915,MIN(2025,E581)))</f>
        <v/>
      </c>
      <c r="AB581" s="77">
        <f>IF(AND(SUMIFS(Regles_regimes!$L$3:$L$2000,Regles_regimes!$A$3:$A$2000,C581,Regles_regimes!$B$3:$B$2000,D581,Regles_regimes!$C$3:$C$2000,MAX(1915,MIN(2025,E581)))=1,G581&lt;2009,C581&lt;&gt;"Privé"),MIN(20,L581*4/5),0)</f>
        <v/>
      </c>
      <c r="AC581" s="89">
        <f>SUMIFS(Donnees_regimes!$M$3:$M$1118,Donnees_regimes!$A$3:$A$1118,C581,Donnees_regimes!$B$3:$B$1118,M581)</f>
        <v/>
      </c>
      <c r="AD581" s="14">
        <f>SUMIFS(Donnees_annuelles!$Y$3:$Y$188,Donnees_annuelles!$A$3:$A$188,M581)*SUMIFS(Donnees_generations!$I$3:$I$113,Donnees_generations!$A$3:$A$113,MAX(1915,MIN(2025,E581)))/H581</f>
        <v/>
      </c>
      <c r="AE581" s="14">
        <f>IF(C581="Privé",SUMIFS(Donnees_annuelles!$Y$3:$Y$188,Donnees_annuelles!$A$3:$A$188,M581)*MIN(L581,SUMIFS(Donnees_generations!$I$3:$I$113,Donnees_generations!$A$3:$A$113,MAX(1915,MIN(2025,E581))))/L581,AD581*AC581*MIN(IF(AB581&gt;0,0.8/0.75,1),(L581*4+AB581)/AA581))</f>
        <v/>
      </c>
      <c r="AF581" s="14">
        <f>AE581/12</f>
        <v/>
      </c>
      <c r="AG581" s="77">
        <f>MIN(68,MAX(56,2*INT(K581/2)))</f>
        <v/>
      </c>
      <c r="AH581" s="75">
        <f>(CHOOSE((AG581-56)/2+1,SUMIFS(Donnees_generations!$U$3:$U$113,Donnees_generations!$A$3:$A$113,MAX(1915,MIN(2025,E581))),SUMIFS(Donnees_generations!$V$3:$V$113,Donnees_generations!$A$3:$A$113,MAX(1915,MIN(2025,E581))),SUMIFS(Donnees_generations!$W$3:$W$113,Donnees_generations!$A$3:$A$113,MAX(1915,MIN(2025,E581))),SUMIFS(Donnees_generations!$X$3:$X$113,Donnees_generations!$A$3:$A$113,MAX(1915,MIN(2025,E581))),SUMIFS(Donnees_generations!$Y$3:$Y$113,Donnees_generations!$A$3:$A$113,MAX(1915,MIN(2025,E581))),SUMIFS(Donnees_generations!$Z$3:$Z$113,Donnees_generations!$A$3:$A$113,MAX(1915,MIN(2025,E581))),SUMIFS(Donnees_generations!$AA$3:$AA$113,Donnees_generations!$A$3:$A$113,MAX(1915,MIN(2025,E581))),SUMIFS(Donnees_generations!$AB$3:$AB$113,Donnees_generations!$A$3:$A$113,MAX(1915,MIN(2025,E581))))+CHOOSE((AG581-56)/2+1,SUMIFS(Donnees_generations!$AC$3:$AC$113,Donnees_generations!$A$3:$A$113,MAX(1915,MIN(2025,E581))),SUMIFS(Donnees_generations!$AD$3:$AD$113,Donnees_generations!$A$3:$A$113,MAX(1915,MIN(2025,E581))),SUMIFS(Donnees_generations!$AE$3:$AE$113,Donnees_generations!$A$3:$A$113,MAX(1915,MIN(2025,E581))),SUMIFS(Donnees_generations!$AF$3:$AF$113,Donnees_generations!$A$3:$A$113,MAX(1915,MIN(2025,E581))),SUMIFS(Donnees_generations!$AG$3:$AG$113,Donnees_generations!$A$3:$A$113,MAX(1915,MIN(2025,E581))),SUMIFS(Donnees_generations!$AH$3:$AH$113,Donnees_generations!$A$3:$A$113,MAX(1915,MIN(2025,E581))),SUMIFS(Donnees_generations!$AI$3:$AI$113,Donnees_generations!$A$3:$A$113,MAX(1915,MIN(2025,E581))),SUMIFS(Donnees_generations!$AJ$3:$AJ$113,Donnees_generations!$A$3:$A$113,MAX(1915,MIN(2025,E581)))))/2</f>
        <v/>
      </c>
      <c r="AI581" s="75">
        <f>(CHOOSE(((AG581+2)-56)/2+1,SUMIFS(Donnees_generations!$U$3:$U$113,Donnees_generations!$A$3:$A$113,MAX(1915,MIN(2025,E581))),SUMIFS(Donnees_generations!$V$3:$V$113,Donnees_generations!$A$3:$A$113,MAX(1915,MIN(2025,E581))),SUMIFS(Donnees_generations!$W$3:$W$113,Donnees_generations!$A$3:$A$113,MAX(1915,MIN(2025,E581))),SUMIFS(Donnees_generations!$X$3:$X$113,Donnees_generations!$A$3:$A$113,MAX(1915,MIN(2025,E581))),SUMIFS(Donnees_generations!$Y$3:$Y$113,Donnees_generations!$A$3:$A$113,MAX(1915,MIN(2025,E581))),SUMIFS(Donnees_generations!$Z$3:$Z$113,Donnees_generations!$A$3:$A$113,MAX(1915,MIN(2025,E581))),SUMIFS(Donnees_generations!$AA$3:$AA$113,Donnees_generations!$A$3:$A$113,MAX(1915,MIN(2025,E581))),SUMIFS(Donnees_generations!$AB$3:$AB$113,Donnees_generations!$A$3:$A$113,MAX(1915,MIN(2025,E581))))+CHOOSE(((AG581+2)-56)/2+1,SUMIFS(Donnees_generations!$AC$3:$AC$113,Donnees_generations!$A$3:$A$113,MAX(1915,MIN(2025,E581))),SUMIFS(Donnees_generations!$AD$3:$AD$113,Donnees_generations!$A$3:$A$113,MAX(1915,MIN(2025,E581))),SUMIFS(Donnees_generations!$AE$3:$AE$113,Donnees_generations!$A$3:$A$113,MAX(1915,MIN(2025,E581))),SUMIFS(Donnees_generations!$AF$3:$AF$113,Donnees_generations!$A$3:$A$113,MAX(1915,MIN(2025,E581))),SUMIFS(Donnees_generations!$AG$3:$AG$113,Donnees_generations!$A$3:$A$113,MAX(1915,MIN(2025,E581))),SUMIFS(Donnees_generations!$AH$3:$AH$113,Donnees_generations!$A$3:$A$113,MAX(1915,MIN(2025,E581))),SUMIFS(Donnees_generations!$AI$3:$AI$113,Donnees_generations!$A$3:$A$113,MAX(1915,MIN(2025,E581))),SUMIFS(Donnees_generations!$AJ$3:$AJ$113,Donnees_generations!$A$3:$A$113,MAX(1915,MIN(2025,E581)))))/2</f>
        <v/>
      </c>
      <c r="AJ581" s="8">
        <f>MAX(0,AH581+(AI581-AH581)*(K581-AG581)/2)</f>
        <v/>
      </c>
      <c r="AK581" s="8">
        <f>K581+AJ581</f>
        <v/>
      </c>
      <c r="AL581" s="14">
        <f>AE581*AJ581</f>
        <v/>
      </c>
      <c r="AM581" s="17">
        <f>V581/AL581</f>
        <v/>
      </c>
      <c r="AN581" s="17">
        <f>Z581/AL581</f>
        <v/>
      </c>
      <c r="AO581" s="33">
        <f>IF(V581+Z581=0,0,Z581/(V581+Z581))</f>
        <v/>
      </c>
      <c r="AP581" s="14">
        <f>AL581/V581*100</f>
        <v/>
      </c>
      <c r="AQ581" s="8">
        <f>P581/AL581*1000</f>
        <v/>
      </c>
      <c r="AR581" s="77">
        <f>MAX(N581,M581-1)</f>
        <v/>
      </c>
      <c r="AS581" s="14">
        <f>SUMIFS(Donnees_regimes!$R$3:$R$1118,Donnees_regimes!$A$3:$A$1118,C581,Donnees_regimes!$B$3:$B$1118,"&gt;="&amp;G581,Donnees_regimes!$B$3:$B$1118,"&lt;="&amp;N581)*L581/ROUNDUP(L581,0)*SUMIFS(Donnees_annuelles!$AG$3:$AG$188,Donnees_annuelles!$A$3:$A$188,AR581)*SUMIFS(Donnees_annuelles!$AA$3:$AA$188,Donnees_annuelles!$A$3:$A$188,AR581)</f>
        <v/>
      </c>
      <c r="AT581" s="36">
        <f>AS581/V581</f>
        <v/>
      </c>
      <c r="AU581" s="14">
        <f>AL581</f>
        <v/>
      </c>
      <c r="AV581" s="39">
        <f>AS581-AL581</f>
        <v/>
      </c>
      <c r="AW581" s="9">
        <f>AS581/AL581-1</f>
        <v/>
      </c>
      <c r="AX581" s="14">
        <f>AS581/AJ581/12</f>
        <v/>
      </c>
      <c r="AY581" s="14">
        <f>AF581</f>
        <v/>
      </c>
      <c r="AZ581" s="39">
        <f>AX581-AF581</f>
        <v/>
      </c>
      <c r="BA581" s="14">
        <f>SUMIFS(Donnees_regimes!$S$3:$S$1118,Donnees_regimes!$A$3:$A$1118,C581,Donnees_regimes!$B$3:$B$1118,"&gt;="&amp;G581,Donnees_regimes!$B$3:$B$1118,"&lt;="&amp;N581)*L581/ROUNDUP(L581,0)*SUMIFS(Donnees_annuelles!$AH$3:$AH$188,Donnees_annuelles!$A$3:$A$188,AR581)*SUMIFS(Donnees_annuelles!$AA$3:$AA$188,Donnees_annuelles!$A$3:$A$188,AR581)</f>
        <v/>
      </c>
      <c r="BB581" s="39">
        <f>BA581-AL581</f>
        <v/>
      </c>
      <c r="BC581" s="7">
        <f>IF(M581+AJ581&gt;2026,IF(G581&gt;2026,"entièrement projeté","en partie projeté"),"observé")</f>
        <v/>
      </c>
    </row>
    <row r="582">
      <c r="A582" s="7" t="inlineStr">
        <is>
          <t>Génération Alpha</t>
        </is>
      </c>
      <c r="B582" s="84" t="inlineStr">
        <is>
          <t>IEG</t>
        </is>
      </c>
      <c r="C582" s="7">
        <f>IF(G582&gt;=SUMIFS(Regimes!$C$5:$C$10,Regimes!$A$5:$A$10,B582),"Privé",B582)</f>
        <v/>
      </c>
      <c r="D582" s="7">
        <f>INDEX(Regimes!$D$5:$D$10,MATCH(C582,Regimes!$A$5:$A$10,0))</f>
        <v/>
      </c>
      <c r="E582" s="88" t="n">
        <v>2017</v>
      </c>
      <c r="F582" s="8">
        <f>Donnees_generations!C105</f>
        <v/>
      </c>
      <c r="G582" s="77">
        <f>Donnees_generations!D105</f>
        <v/>
      </c>
      <c r="H582" s="8">
        <f>SUMIFS(Donnees_generations!$S$3:$S$113,Donnees_generations!$A$3:$A$113,MAX(1915,MIN(2025,E582)))</f>
        <v/>
      </c>
      <c r="I582" s="8">
        <f>SUMIFS(Donnees_generations!$T$3:$T$113,Donnees_generations!$A$3:$A$113,MAX(1915,MIN(2025,E582)))</f>
        <v/>
      </c>
      <c r="J582" s="8">
        <f>IF(G582&gt;=2000,MAX(I582,Parametres!$B$3),I582)</f>
        <v/>
      </c>
      <c r="K582" s="8">
        <f>IF(C582="Privé",J582,SUMIFS(Regles_regimes!$J$3:$J$2000,Regles_regimes!$A$3:$A$2000,C582,Regles_regimes!$B$3:$B$2000,D582,Regles_regimes!$C$3:$C$2000,MAX(1915,MIN(2025,E582))))</f>
        <v/>
      </c>
      <c r="L582" s="8">
        <f>IF(C582="Privé",H582,(K582-F582)*H582/(J582-F582))</f>
        <v/>
      </c>
      <c r="M582" s="77">
        <f>INT(E582+K582)</f>
        <v/>
      </c>
      <c r="N582" s="77">
        <f>G582+ROUNDUP(L582,0)-1</f>
        <v/>
      </c>
      <c r="O582" s="89">
        <f>SUMIFS(Regles_regimes!$K$3:$K$2000,Regles_regimes!$A$3:$A$2000,C582,Regles_regimes!$B$3:$B$2000,D582,Regles_regimes!$C$3:$C$2000,MAX(1915,MIN(2025,E582)))</f>
        <v/>
      </c>
      <c r="P582" s="13">
        <f>SUMIFS(Donnees_annuelles!$W$3:$W$188,Donnees_annuelles!$A$3:$A$188,"&gt;="&amp;G582,Donnees_annuelles!$A$3:$A$188,"&lt;="&amp;N582)*L582/ROUNDUP(L582,0)*O582</f>
        <v/>
      </c>
      <c r="Q582" s="13">
        <f>SUMIFS(Donnees_annuelles!$V$3:$V$188,Donnees_annuelles!$A$3:$A$188,"&gt;="&amp;G582,Donnees_annuelles!$A$3:$A$188,"&lt;="&amp;N582)*L582/ROUNDUP(L582,0)</f>
        <v/>
      </c>
      <c r="R582" s="13">
        <f>P582/L582</f>
        <v/>
      </c>
      <c r="S582" s="14">
        <f>SUMIFS(Donnees_annuelles!$D$3:$D$188,Donnees_annuelles!$A$3:$A$188,"&gt;="&amp;G582,Donnees_annuelles!$A$3:$A$188,"&lt;="&amp;N582)*L582/ROUNDUP(L582,0)</f>
        <v/>
      </c>
      <c r="T582" s="14">
        <f>SUMIFS(Donnees_regimes!$N$3:$N$1118,Donnees_regimes!$A$3:$A$1118,C582,Donnees_regimes!$B$3:$B$1118,"&gt;="&amp;G582,Donnees_regimes!$B$3:$B$1118,"&lt;="&amp;N582)*L582/ROUNDUP(L582,0)</f>
        <v/>
      </c>
      <c r="U582" s="14">
        <f>SUMIFS(Donnees_regimes!$O$3:$O$1118,Donnees_regimes!$A$3:$A$1118,C582,Donnees_regimes!$B$3:$B$1118,"&gt;="&amp;G582,Donnees_regimes!$B$3:$B$1118,"&lt;="&amp;N582)*L582/ROUNDUP(L582,0)</f>
        <v/>
      </c>
      <c r="V582" s="14">
        <f>T582+U582</f>
        <v/>
      </c>
      <c r="W582" s="33">
        <f>V582/S582</f>
        <v/>
      </c>
      <c r="X582" s="14">
        <f>S582+U582</f>
        <v/>
      </c>
      <c r="Y582" s="17">
        <f>V582/P582</f>
        <v/>
      </c>
      <c r="Z582" s="14">
        <f>SUMIFS(Donnees_regimes!$Q$3:$Q$1118,Donnees_regimes!$A$3:$A$1118,C582,Donnees_regimes!$B$3:$B$1118,"&gt;="&amp;G582,Donnees_regimes!$B$3:$B$1118,"&lt;="&amp;N582)*L582/ROUNDUP(L582,0)</f>
        <v/>
      </c>
      <c r="AA582" s="77">
        <f>SUMIFS(Regles_regimes!$F$3:$F$2000,Regles_regimes!$A$3:$A$2000,C582,Regles_regimes!$B$3:$B$2000,D582,Regles_regimes!$C$3:$C$2000,MAX(1915,MIN(2025,E582)))</f>
        <v/>
      </c>
      <c r="AB582" s="77">
        <f>IF(AND(SUMIFS(Regles_regimes!$L$3:$L$2000,Regles_regimes!$A$3:$A$2000,C582,Regles_regimes!$B$3:$B$2000,D582,Regles_regimes!$C$3:$C$2000,MAX(1915,MIN(2025,E582)))=1,G582&lt;2009,C582&lt;&gt;"Privé"),MIN(20,L582*4/5),0)</f>
        <v/>
      </c>
      <c r="AC582" s="89">
        <f>SUMIFS(Donnees_regimes!$M$3:$M$1118,Donnees_regimes!$A$3:$A$1118,C582,Donnees_regimes!$B$3:$B$1118,M582)</f>
        <v/>
      </c>
      <c r="AD582" s="14">
        <f>SUMIFS(Donnees_annuelles!$Y$3:$Y$188,Donnees_annuelles!$A$3:$A$188,M582)*SUMIFS(Donnees_generations!$I$3:$I$113,Donnees_generations!$A$3:$A$113,MAX(1915,MIN(2025,E582)))/H582</f>
        <v/>
      </c>
      <c r="AE582" s="14">
        <f>IF(C582="Privé",SUMIFS(Donnees_annuelles!$Y$3:$Y$188,Donnees_annuelles!$A$3:$A$188,M582)*MIN(L582,SUMIFS(Donnees_generations!$I$3:$I$113,Donnees_generations!$A$3:$A$113,MAX(1915,MIN(2025,E582))))/L582,AD582*AC582*MIN(IF(AB582&gt;0,0.8/0.75,1),(L582*4+AB582)/AA582))</f>
        <v/>
      </c>
      <c r="AF582" s="14">
        <f>AE582/12</f>
        <v/>
      </c>
      <c r="AG582" s="77">
        <f>MIN(68,MAX(56,2*INT(K582/2)))</f>
        <v/>
      </c>
      <c r="AH582" s="75">
        <f>(CHOOSE((AG582-56)/2+1,SUMIFS(Donnees_generations!$U$3:$U$113,Donnees_generations!$A$3:$A$113,MAX(1915,MIN(2025,E582))),SUMIFS(Donnees_generations!$V$3:$V$113,Donnees_generations!$A$3:$A$113,MAX(1915,MIN(2025,E582))),SUMIFS(Donnees_generations!$W$3:$W$113,Donnees_generations!$A$3:$A$113,MAX(1915,MIN(2025,E582))),SUMIFS(Donnees_generations!$X$3:$X$113,Donnees_generations!$A$3:$A$113,MAX(1915,MIN(2025,E582))),SUMIFS(Donnees_generations!$Y$3:$Y$113,Donnees_generations!$A$3:$A$113,MAX(1915,MIN(2025,E582))),SUMIFS(Donnees_generations!$Z$3:$Z$113,Donnees_generations!$A$3:$A$113,MAX(1915,MIN(2025,E582))),SUMIFS(Donnees_generations!$AA$3:$AA$113,Donnees_generations!$A$3:$A$113,MAX(1915,MIN(2025,E582))),SUMIFS(Donnees_generations!$AB$3:$AB$113,Donnees_generations!$A$3:$A$113,MAX(1915,MIN(2025,E582))))+CHOOSE((AG582-56)/2+1,SUMIFS(Donnees_generations!$AC$3:$AC$113,Donnees_generations!$A$3:$A$113,MAX(1915,MIN(2025,E582))),SUMIFS(Donnees_generations!$AD$3:$AD$113,Donnees_generations!$A$3:$A$113,MAX(1915,MIN(2025,E582))),SUMIFS(Donnees_generations!$AE$3:$AE$113,Donnees_generations!$A$3:$A$113,MAX(1915,MIN(2025,E582))),SUMIFS(Donnees_generations!$AF$3:$AF$113,Donnees_generations!$A$3:$A$113,MAX(1915,MIN(2025,E582))),SUMIFS(Donnees_generations!$AG$3:$AG$113,Donnees_generations!$A$3:$A$113,MAX(1915,MIN(2025,E582))),SUMIFS(Donnees_generations!$AH$3:$AH$113,Donnees_generations!$A$3:$A$113,MAX(1915,MIN(2025,E582))),SUMIFS(Donnees_generations!$AI$3:$AI$113,Donnees_generations!$A$3:$A$113,MAX(1915,MIN(2025,E582))),SUMIFS(Donnees_generations!$AJ$3:$AJ$113,Donnees_generations!$A$3:$A$113,MAX(1915,MIN(2025,E582)))))/2</f>
        <v/>
      </c>
      <c r="AI582" s="75">
        <f>(CHOOSE(((AG582+2)-56)/2+1,SUMIFS(Donnees_generations!$U$3:$U$113,Donnees_generations!$A$3:$A$113,MAX(1915,MIN(2025,E582))),SUMIFS(Donnees_generations!$V$3:$V$113,Donnees_generations!$A$3:$A$113,MAX(1915,MIN(2025,E582))),SUMIFS(Donnees_generations!$W$3:$W$113,Donnees_generations!$A$3:$A$113,MAX(1915,MIN(2025,E582))),SUMIFS(Donnees_generations!$X$3:$X$113,Donnees_generations!$A$3:$A$113,MAX(1915,MIN(2025,E582))),SUMIFS(Donnees_generations!$Y$3:$Y$113,Donnees_generations!$A$3:$A$113,MAX(1915,MIN(2025,E582))),SUMIFS(Donnees_generations!$Z$3:$Z$113,Donnees_generations!$A$3:$A$113,MAX(1915,MIN(2025,E582))),SUMIFS(Donnees_generations!$AA$3:$AA$113,Donnees_generations!$A$3:$A$113,MAX(1915,MIN(2025,E582))),SUMIFS(Donnees_generations!$AB$3:$AB$113,Donnees_generations!$A$3:$A$113,MAX(1915,MIN(2025,E582))))+CHOOSE(((AG582+2)-56)/2+1,SUMIFS(Donnees_generations!$AC$3:$AC$113,Donnees_generations!$A$3:$A$113,MAX(1915,MIN(2025,E582))),SUMIFS(Donnees_generations!$AD$3:$AD$113,Donnees_generations!$A$3:$A$113,MAX(1915,MIN(2025,E582))),SUMIFS(Donnees_generations!$AE$3:$AE$113,Donnees_generations!$A$3:$A$113,MAX(1915,MIN(2025,E582))),SUMIFS(Donnees_generations!$AF$3:$AF$113,Donnees_generations!$A$3:$A$113,MAX(1915,MIN(2025,E582))),SUMIFS(Donnees_generations!$AG$3:$AG$113,Donnees_generations!$A$3:$A$113,MAX(1915,MIN(2025,E582))),SUMIFS(Donnees_generations!$AH$3:$AH$113,Donnees_generations!$A$3:$A$113,MAX(1915,MIN(2025,E582))),SUMIFS(Donnees_generations!$AI$3:$AI$113,Donnees_generations!$A$3:$A$113,MAX(1915,MIN(2025,E582))),SUMIFS(Donnees_generations!$AJ$3:$AJ$113,Donnees_generations!$A$3:$A$113,MAX(1915,MIN(2025,E582)))))/2</f>
        <v/>
      </c>
      <c r="AJ582" s="8">
        <f>MAX(0,AH582+(AI582-AH582)*(K582-AG582)/2)</f>
        <v/>
      </c>
      <c r="AK582" s="8">
        <f>K582+AJ582</f>
        <v/>
      </c>
      <c r="AL582" s="14">
        <f>AE582*AJ582</f>
        <v/>
      </c>
      <c r="AM582" s="17">
        <f>V582/AL582</f>
        <v/>
      </c>
      <c r="AN582" s="17">
        <f>Z582/AL582</f>
        <v/>
      </c>
      <c r="AO582" s="33">
        <f>IF(V582+Z582=0,0,Z582/(V582+Z582))</f>
        <v/>
      </c>
      <c r="AP582" s="14">
        <f>AL582/V582*100</f>
        <v/>
      </c>
      <c r="AQ582" s="8">
        <f>P582/AL582*1000</f>
        <v/>
      </c>
      <c r="AR582" s="77">
        <f>MAX(N582,M582-1)</f>
        <v/>
      </c>
      <c r="AS582" s="14">
        <f>SUMIFS(Donnees_regimes!$R$3:$R$1118,Donnees_regimes!$A$3:$A$1118,C582,Donnees_regimes!$B$3:$B$1118,"&gt;="&amp;G582,Donnees_regimes!$B$3:$B$1118,"&lt;="&amp;N582)*L582/ROUNDUP(L582,0)*SUMIFS(Donnees_annuelles!$AG$3:$AG$188,Donnees_annuelles!$A$3:$A$188,AR582)*SUMIFS(Donnees_annuelles!$AA$3:$AA$188,Donnees_annuelles!$A$3:$A$188,AR582)</f>
        <v/>
      </c>
      <c r="AT582" s="36">
        <f>AS582/V582</f>
        <v/>
      </c>
      <c r="AU582" s="14">
        <f>AL582</f>
        <v/>
      </c>
      <c r="AV582" s="39">
        <f>AS582-AL582</f>
        <v/>
      </c>
      <c r="AW582" s="9">
        <f>AS582/AL582-1</f>
        <v/>
      </c>
      <c r="AX582" s="14">
        <f>AS582/AJ582/12</f>
        <v/>
      </c>
      <c r="AY582" s="14">
        <f>AF582</f>
        <v/>
      </c>
      <c r="AZ582" s="39">
        <f>AX582-AF582</f>
        <v/>
      </c>
      <c r="BA582" s="14">
        <f>SUMIFS(Donnees_regimes!$S$3:$S$1118,Donnees_regimes!$A$3:$A$1118,C582,Donnees_regimes!$B$3:$B$1118,"&gt;="&amp;G582,Donnees_regimes!$B$3:$B$1118,"&lt;="&amp;N582)*L582/ROUNDUP(L582,0)*SUMIFS(Donnees_annuelles!$AH$3:$AH$188,Donnees_annuelles!$A$3:$A$188,AR582)*SUMIFS(Donnees_annuelles!$AA$3:$AA$188,Donnees_annuelles!$A$3:$A$188,AR582)</f>
        <v/>
      </c>
      <c r="BB582" s="39">
        <f>BA582-AL582</f>
        <v/>
      </c>
      <c r="BC582" s="7">
        <f>IF(M582+AJ582&gt;2026,IF(G582&gt;2026,"entièrement projeté","en partie projeté"),"observé")</f>
        <v/>
      </c>
    </row>
    <row r="583">
      <c r="A583" s="7" t="inlineStr">
        <is>
          <t>Génération Alpha</t>
        </is>
      </c>
      <c r="B583" s="84" t="inlineStr">
        <is>
          <t>IEG</t>
        </is>
      </c>
      <c r="C583" s="7">
        <f>IF(G583&gt;=SUMIFS(Regimes!$C$5:$C$10,Regimes!$A$5:$A$10,B583),"Privé",B583)</f>
        <v/>
      </c>
      <c r="D583" s="7">
        <f>INDEX(Regimes!$D$5:$D$10,MATCH(C583,Regimes!$A$5:$A$10,0))</f>
        <v/>
      </c>
      <c r="E583" s="88" t="n">
        <v>2018</v>
      </c>
      <c r="F583" s="8">
        <f>Donnees_generations!C106</f>
        <v/>
      </c>
      <c r="G583" s="77">
        <f>Donnees_generations!D106</f>
        <v/>
      </c>
      <c r="H583" s="8">
        <f>SUMIFS(Donnees_generations!$S$3:$S$113,Donnees_generations!$A$3:$A$113,MAX(1915,MIN(2025,E583)))</f>
        <v/>
      </c>
      <c r="I583" s="8">
        <f>SUMIFS(Donnees_generations!$T$3:$T$113,Donnees_generations!$A$3:$A$113,MAX(1915,MIN(2025,E583)))</f>
        <v/>
      </c>
      <c r="J583" s="8">
        <f>IF(G583&gt;=2000,MAX(I583,Parametres!$B$3),I583)</f>
        <v/>
      </c>
      <c r="K583" s="8">
        <f>IF(C583="Privé",J583,SUMIFS(Regles_regimes!$J$3:$J$2000,Regles_regimes!$A$3:$A$2000,C583,Regles_regimes!$B$3:$B$2000,D583,Regles_regimes!$C$3:$C$2000,MAX(1915,MIN(2025,E583))))</f>
        <v/>
      </c>
      <c r="L583" s="8">
        <f>IF(C583="Privé",H583,(K583-F583)*H583/(J583-F583))</f>
        <v/>
      </c>
      <c r="M583" s="77">
        <f>INT(E583+K583)</f>
        <v/>
      </c>
      <c r="N583" s="77">
        <f>G583+ROUNDUP(L583,0)-1</f>
        <v/>
      </c>
      <c r="O583" s="89">
        <f>SUMIFS(Regles_regimes!$K$3:$K$2000,Regles_regimes!$A$3:$A$2000,C583,Regles_regimes!$B$3:$B$2000,D583,Regles_regimes!$C$3:$C$2000,MAX(1915,MIN(2025,E583)))</f>
        <v/>
      </c>
      <c r="P583" s="13">
        <f>SUMIFS(Donnees_annuelles!$W$3:$W$188,Donnees_annuelles!$A$3:$A$188,"&gt;="&amp;G583,Donnees_annuelles!$A$3:$A$188,"&lt;="&amp;N583)*L583/ROUNDUP(L583,0)*O583</f>
        <v/>
      </c>
      <c r="Q583" s="13">
        <f>SUMIFS(Donnees_annuelles!$V$3:$V$188,Donnees_annuelles!$A$3:$A$188,"&gt;="&amp;G583,Donnees_annuelles!$A$3:$A$188,"&lt;="&amp;N583)*L583/ROUNDUP(L583,0)</f>
        <v/>
      </c>
      <c r="R583" s="13">
        <f>P583/L583</f>
        <v/>
      </c>
      <c r="S583" s="14">
        <f>SUMIFS(Donnees_annuelles!$D$3:$D$188,Donnees_annuelles!$A$3:$A$188,"&gt;="&amp;G583,Donnees_annuelles!$A$3:$A$188,"&lt;="&amp;N583)*L583/ROUNDUP(L583,0)</f>
        <v/>
      </c>
      <c r="T583" s="14">
        <f>SUMIFS(Donnees_regimes!$N$3:$N$1118,Donnees_regimes!$A$3:$A$1118,C583,Donnees_regimes!$B$3:$B$1118,"&gt;="&amp;G583,Donnees_regimes!$B$3:$B$1118,"&lt;="&amp;N583)*L583/ROUNDUP(L583,0)</f>
        <v/>
      </c>
      <c r="U583" s="14">
        <f>SUMIFS(Donnees_regimes!$O$3:$O$1118,Donnees_regimes!$A$3:$A$1118,C583,Donnees_regimes!$B$3:$B$1118,"&gt;="&amp;G583,Donnees_regimes!$B$3:$B$1118,"&lt;="&amp;N583)*L583/ROUNDUP(L583,0)</f>
        <v/>
      </c>
      <c r="V583" s="14">
        <f>T583+U583</f>
        <v/>
      </c>
      <c r="W583" s="33">
        <f>V583/S583</f>
        <v/>
      </c>
      <c r="X583" s="14">
        <f>S583+U583</f>
        <v/>
      </c>
      <c r="Y583" s="17">
        <f>V583/P583</f>
        <v/>
      </c>
      <c r="Z583" s="14">
        <f>SUMIFS(Donnees_regimes!$Q$3:$Q$1118,Donnees_regimes!$A$3:$A$1118,C583,Donnees_regimes!$B$3:$B$1118,"&gt;="&amp;G583,Donnees_regimes!$B$3:$B$1118,"&lt;="&amp;N583)*L583/ROUNDUP(L583,0)</f>
        <v/>
      </c>
      <c r="AA583" s="77">
        <f>SUMIFS(Regles_regimes!$F$3:$F$2000,Regles_regimes!$A$3:$A$2000,C583,Regles_regimes!$B$3:$B$2000,D583,Regles_regimes!$C$3:$C$2000,MAX(1915,MIN(2025,E583)))</f>
        <v/>
      </c>
      <c r="AB583" s="77">
        <f>IF(AND(SUMIFS(Regles_regimes!$L$3:$L$2000,Regles_regimes!$A$3:$A$2000,C583,Regles_regimes!$B$3:$B$2000,D583,Regles_regimes!$C$3:$C$2000,MAX(1915,MIN(2025,E583)))=1,G583&lt;2009,C583&lt;&gt;"Privé"),MIN(20,L583*4/5),0)</f>
        <v/>
      </c>
      <c r="AC583" s="89">
        <f>SUMIFS(Donnees_regimes!$M$3:$M$1118,Donnees_regimes!$A$3:$A$1118,C583,Donnees_regimes!$B$3:$B$1118,M583)</f>
        <v/>
      </c>
      <c r="AD583" s="14">
        <f>SUMIFS(Donnees_annuelles!$Y$3:$Y$188,Donnees_annuelles!$A$3:$A$188,M583)*SUMIFS(Donnees_generations!$I$3:$I$113,Donnees_generations!$A$3:$A$113,MAX(1915,MIN(2025,E583)))/H583</f>
        <v/>
      </c>
      <c r="AE583" s="14">
        <f>IF(C583="Privé",SUMIFS(Donnees_annuelles!$Y$3:$Y$188,Donnees_annuelles!$A$3:$A$188,M583)*MIN(L583,SUMIFS(Donnees_generations!$I$3:$I$113,Donnees_generations!$A$3:$A$113,MAX(1915,MIN(2025,E583))))/L583,AD583*AC583*MIN(IF(AB583&gt;0,0.8/0.75,1),(L583*4+AB583)/AA583))</f>
        <v/>
      </c>
      <c r="AF583" s="14">
        <f>AE583/12</f>
        <v/>
      </c>
      <c r="AG583" s="77">
        <f>MIN(68,MAX(56,2*INT(K583/2)))</f>
        <v/>
      </c>
      <c r="AH583" s="75">
        <f>(CHOOSE((AG583-56)/2+1,SUMIFS(Donnees_generations!$U$3:$U$113,Donnees_generations!$A$3:$A$113,MAX(1915,MIN(2025,E583))),SUMIFS(Donnees_generations!$V$3:$V$113,Donnees_generations!$A$3:$A$113,MAX(1915,MIN(2025,E583))),SUMIFS(Donnees_generations!$W$3:$W$113,Donnees_generations!$A$3:$A$113,MAX(1915,MIN(2025,E583))),SUMIFS(Donnees_generations!$X$3:$X$113,Donnees_generations!$A$3:$A$113,MAX(1915,MIN(2025,E583))),SUMIFS(Donnees_generations!$Y$3:$Y$113,Donnees_generations!$A$3:$A$113,MAX(1915,MIN(2025,E583))),SUMIFS(Donnees_generations!$Z$3:$Z$113,Donnees_generations!$A$3:$A$113,MAX(1915,MIN(2025,E583))),SUMIFS(Donnees_generations!$AA$3:$AA$113,Donnees_generations!$A$3:$A$113,MAX(1915,MIN(2025,E583))),SUMIFS(Donnees_generations!$AB$3:$AB$113,Donnees_generations!$A$3:$A$113,MAX(1915,MIN(2025,E583))))+CHOOSE((AG583-56)/2+1,SUMIFS(Donnees_generations!$AC$3:$AC$113,Donnees_generations!$A$3:$A$113,MAX(1915,MIN(2025,E583))),SUMIFS(Donnees_generations!$AD$3:$AD$113,Donnees_generations!$A$3:$A$113,MAX(1915,MIN(2025,E583))),SUMIFS(Donnees_generations!$AE$3:$AE$113,Donnees_generations!$A$3:$A$113,MAX(1915,MIN(2025,E583))),SUMIFS(Donnees_generations!$AF$3:$AF$113,Donnees_generations!$A$3:$A$113,MAX(1915,MIN(2025,E583))),SUMIFS(Donnees_generations!$AG$3:$AG$113,Donnees_generations!$A$3:$A$113,MAX(1915,MIN(2025,E583))),SUMIFS(Donnees_generations!$AH$3:$AH$113,Donnees_generations!$A$3:$A$113,MAX(1915,MIN(2025,E583))),SUMIFS(Donnees_generations!$AI$3:$AI$113,Donnees_generations!$A$3:$A$113,MAX(1915,MIN(2025,E583))),SUMIFS(Donnees_generations!$AJ$3:$AJ$113,Donnees_generations!$A$3:$A$113,MAX(1915,MIN(2025,E583)))))/2</f>
        <v/>
      </c>
      <c r="AI583" s="75">
        <f>(CHOOSE(((AG583+2)-56)/2+1,SUMIFS(Donnees_generations!$U$3:$U$113,Donnees_generations!$A$3:$A$113,MAX(1915,MIN(2025,E583))),SUMIFS(Donnees_generations!$V$3:$V$113,Donnees_generations!$A$3:$A$113,MAX(1915,MIN(2025,E583))),SUMIFS(Donnees_generations!$W$3:$W$113,Donnees_generations!$A$3:$A$113,MAX(1915,MIN(2025,E583))),SUMIFS(Donnees_generations!$X$3:$X$113,Donnees_generations!$A$3:$A$113,MAX(1915,MIN(2025,E583))),SUMIFS(Donnees_generations!$Y$3:$Y$113,Donnees_generations!$A$3:$A$113,MAX(1915,MIN(2025,E583))),SUMIFS(Donnees_generations!$Z$3:$Z$113,Donnees_generations!$A$3:$A$113,MAX(1915,MIN(2025,E583))),SUMIFS(Donnees_generations!$AA$3:$AA$113,Donnees_generations!$A$3:$A$113,MAX(1915,MIN(2025,E583))),SUMIFS(Donnees_generations!$AB$3:$AB$113,Donnees_generations!$A$3:$A$113,MAX(1915,MIN(2025,E583))))+CHOOSE(((AG583+2)-56)/2+1,SUMIFS(Donnees_generations!$AC$3:$AC$113,Donnees_generations!$A$3:$A$113,MAX(1915,MIN(2025,E583))),SUMIFS(Donnees_generations!$AD$3:$AD$113,Donnees_generations!$A$3:$A$113,MAX(1915,MIN(2025,E583))),SUMIFS(Donnees_generations!$AE$3:$AE$113,Donnees_generations!$A$3:$A$113,MAX(1915,MIN(2025,E583))),SUMIFS(Donnees_generations!$AF$3:$AF$113,Donnees_generations!$A$3:$A$113,MAX(1915,MIN(2025,E583))),SUMIFS(Donnees_generations!$AG$3:$AG$113,Donnees_generations!$A$3:$A$113,MAX(1915,MIN(2025,E583))),SUMIFS(Donnees_generations!$AH$3:$AH$113,Donnees_generations!$A$3:$A$113,MAX(1915,MIN(2025,E583))),SUMIFS(Donnees_generations!$AI$3:$AI$113,Donnees_generations!$A$3:$A$113,MAX(1915,MIN(2025,E583))),SUMIFS(Donnees_generations!$AJ$3:$AJ$113,Donnees_generations!$A$3:$A$113,MAX(1915,MIN(2025,E583)))))/2</f>
        <v/>
      </c>
      <c r="AJ583" s="8">
        <f>MAX(0,AH583+(AI583-AH583)*(K583-AG583)/2)</f>
        <v/>
      </c>
      <c r="AK583" s="8">
        <f>K583+AJ583</f>
        <v/>
      </c>
      <c r="AL583" s="14">
        <f>AE583*AJ583</f>
        <v/>
      </c>
      <c r="AM583" s="17">
        <f>V583/AL583</f>
        <v/>
      </c>
      <c r="AN583" s="17">
        <f>Z583/AL583</f>
        <v/>
      </c>
      <c r="AO583" s="33">
        <f>IF(V583+Z583=0,0,Z583/(V583+Z583))</f>
        <v/>
      </c>
      <c r="AP583" s="14">
        <f>AL583/V583*100</f>
        <v/>
      </c>
      <c r="AQ583" s="8">
        <f>P583/AL583*1000</f>
        <v/>
      </c>
      <c r="AR583" s="77">
        <f>MAX(N583,M583-1)</f>
        <v/>
      </c>
      <c r="AS583" s="14">
        <f>SUMIFS(Donnees_regimes!$R$3:$R$1118,Donnees_regimes!$A$3:$A$1118,C583,Donnees_regimes!$B$3:$B$1118,"&gt;="&amp;G583,Donnees_regimes!$B$3:$B$1118,"&lt;="&amp;N583)*L583/ROUNDUP(L583,0)*SUMIFS(Donnees_annuelles!$AG$3:$AG$188,Donnees_annuelles!$A$3:$A$188,AR583)*SUMIFS(Donnees_annuelles!$AA$3:$AA$188,Donnees_annuelles!$A$3:$A$188,AR583)</f>
        <v/>
      </c>
      <c r="AT583" s="36">
        <f>AS583/V583</f>
        <v/>
      </c>
      <c r="AU583" s="14">
        <f>AL583</f>
        <v/>
      </c>
      <c r="AV583" s="39">
        <f>AS583-AL583</f>
        <v/>
      </c>
      <c r="AW583" s="9">
        <f>AS583/AL583-1</f>
        <v/>
      </c>
      <c r="AX583" s="14">
        <f>AS583/AJ583/12</f>
        <v/>
      </c>
      <c r="AY583" s="14">
        <f>AF583</f>
        <v/>
      </c>
      <c r="AZ583" s="39">
        <f>AX583-AF583</f>
        <v/>
      </c>
      <c r="BA583" s="14">
        <f>SUMIFS(Donnees_regimes!$S$3:$S$1118,Donnees_regimes!$A$3:$A$1118,C583,Donnees_regimes!$B$3:$B$1118,"&gt;="&amp;G583,Donnees_regimes!$B$3:$B$1118,"&lt;="&amp;N583)*L583/ROUNDUP(L583,0)*SUMIFS(Donnees_annuelles!$AH$3:$AH$188,Donnees_annuelles!$A$3:$A$188,AR583)*SUMIFS(Donnees_annuelles!$AA$3:$AA$188,Donnees_annuelles!$A$3:$A$188,AR583)</f>
        <v/>
      </c>
      <c r="BB583" s="39">
        <f>BA583-AL583</f>
        <v/>
      </c>
      <c r="BC583" s="7">
        <f>IF(M583+AJ583&gt;2026,IF(G583&gt;2026,"entièrement projeté","en partie projeté"),"observé")</f>
        <v/>
      </c>
    </row>
    <row r="584">
      <c r="A584" s="7" t="inlineStr">
        <is>
          <t>Génération Alpha</t>
        </is>
      </c>
      <c r="B584" s="84" t="inlineStr">
        <is>
          <t>IEG</t>
        </is>
      </c>
      <c r="C584" s="7">
        <f>IF(G584&gt;=SUMIFS(Regimes!$C$5:$C$10,Regimes!$A$5:$A$10,B584),"Privé",B584)</f>
        <v/>
      </c>
      <c r="D584" s="7">
        <f>INDEX(Regimes!$D$5:$D$10,MATCH(C584,Regimes!$A$5:$A$10,0))</f>
        <v/>
      </c>
      <c r="E584" s="88" t="n">
        <v>2019</v>
      </c>
      <c r="F584" s="8">
        <f>Donnees_generations!C107</f>
        <v/>
      </c>
      <c r="G584" s="77">
        <f>Donnees_generations!D107</f>
        <v/>
      </c>
      <c r="H584" s="8">
        <f>SUMIFS(Donnees_generations!$S$3:$S$113,Donnees_generations!$A$3:$A$113,MAX(1915,MIN(2025,E584)))</f>
        <v/>
      </c>
      <c r="I584" s="8">
        <f>SUMIFS(Donnees_generations!$T$3:$T$113,Donnees_generations!$A$3:$A$113,MAX(1915,MIN(2025,E584)))</f>
        <v/>
      </c>
      <c r="J584" s="8">
        <f>IF(G584&gt;=2000,MAX(I584,Parametres!$B$3),I584)</f>
        <v/>
      </c>
      <c r="K584" s="8">
        <f>IF(C584="Privé",J584,SUMIFS(Regles_regimes!$J$3:$J$2000,Regles_regimes!$A$3:$A$2000,C584,Regles_regimes!$B$3:$B$2000,D584,Regles_regimes!$C$3:$C$2000,MAX(1915,MIN(2025,E584))))</f>
        <v/>
      </c>
      <c r="L584" s="8">
        <f>IF(C584="Privé",H584,(K584-F584)*H584/(J584-F584))</f>
        <v/>
      </c>
      <c r="M584" s="77">
        <f>INT(E584+K584)</f>
        <v/>
      </c>
      <c r="N584" s="77">
        <f>G584+ROUNDUP(L584,0)-1</f>
        <v/>
      </c>
      <c r="O584" s="89">
        <f>SUMIFS(Regles_regimes!$K$3:$K$2000,Regles_regimes!$A$3:$A$2000,C584,Regles_regimes!$B$3:$B$2000,D584,Regles_regimes!$C$3:$C$2000,MAX(1915,MIN(2025,E584)))</f>
        <v/>
      </c>
      <c r="P584" s="13">
        <f>SUMIFS(Donnees_annuelles!$W$3:$W$188,Donnees_annuelles!$A$3:$A$188,"&gt;="&amp;G584,Donnees_annuelles!$A$3:$A$188,"&lt;="&amp;N584)*L584/ROUNDUP(L584,0)*O584</f>
        <v/>
      </c>
      <c r="Q584" s="13">
        <f>SUMIFS(Donnees_annuelles!$V$3:$V$188,Donnees_annuelles!$A$3:$A$188,"&gt;="&amp;G584,Donnees_annuelles!$A$3:$A$188,"&lt;="&amp;N584)*L584/ROUNDUP(L584,0)</f>
        <v/>
      </c>
      <c r="R584" s="13">
        <f>P584/L584</f>
        <v/>
      </c>
      <c r="S584" s="14">
        <f>SUMIFS(Donnees_annuelles!$D$3:$D$188,Donnees_annuelles!$A$3:$A$188,"&gt;="&amp;G584,Donnees_annuelles!$A$3:$A$188,"&lt;="&amp;N584)*L584/ROUNDUP(L584,0)</f>
        <v/>
      </c>
      <c r="T584" s="14">
        <f>SUMIFS(Donnees_regimes!$N$3:$N$1118,Donnees_regimes!$A$3:$A$1118,C584,Donnees_regimes!$B$3:$B$1118,"&gt;="&amp;G584,Donnees_regimes!$B$3:$B$1118,"&lt;="&amp;N584)*L584/ROUNDUP(L584,0)</f>
        <v/>
      </c>
      <c r="U584" s="14">
        <f>SUMIFS(Donnees_regimes!$O$3:$O$1118,Donnees_regimes!$A$3:$A$1118,C584,Donnees_regimes!$B$3:$B$1118,"&gt;="&amp;G584,Donnees_regimes!$B$3:$B$1118,"&lt;="&amp;N584)*L584/ROUNDUP(L584,0)</f>
        <v/>
      </c>
      <c r="V584" s="14">
        <f>T584+U584</f>
        <v/>
      </c>
      <c r="W584" s="33">
        <f>V584/S584</f>
        <v/>
      </c>
      <c r="X584" s="14">
        <f>S584+U584</f>
        <v/>
      </c>
      <c r="Y584" s="17">
        <f>V584/P584</f>
        <v/>
      </c>
      <c r="Z584" s="14">
        <f>SUMIFS(Donnees_regimes!$Q$3:$Q$1118,Donnees_regimes!$A$3:$A$1118,C584,Donnees_regimes!$B$3:$B$1118,"&gt;="&amp;G584,Donnees_regimes!$B$3:$B$1118,"&lt;="&amp;N584)*L584/ROUNDUP(L584,0)</f>
        <v/>
      </c>
      <c r="AA584" s="77">
        <f>SUMIFS(Regles_regimes!$F$3:$F$2000,Regles_regimes!$A$3:$A$2000,C584,Regles_regimes!$B$3:$B$2000,D584,Regles_regimes!$C$3:$C$2000,MAX(1915,MIN(2025,E584)))</f>
        <v/>
      </c>
      <c r="AB584" s="77">
        <f>IF(AND(SUMIFS(Regles_regimes!$L$3:$L$2000,Regles_regimes!$A$3:$A$2000,C584,Regles_regimes!$B$3:$B$2000,D584,Regles_regimes!$C$3:$C$2000,MAX(1915,MIN(2025,E584)))=1,G584&lt;2009,C584&lt;&gt;"Privé"),MIN(20,L584*4/5),0)</f>
        <v/>
      </c>
      <c r="AC584" s="89">
        <f>SUMIFS(Donnees_regimes!$M$3:$M$1118,Donnees_regimes!$A$3:$A$1118,C584,Donnees_regimes!$B$3:$B$1118,M584)</f>
        <v/>
      </c>
      <c r="AD584" s="14">
        <f>SUMIFS(Donnees_annuelles!$Y$3:$Y$188,Donnees_annuelles!$A$3:$A$188,M584)*SUMIFS(Donnees_generations!$I$3:$I$113,Donnees_generations!$A$3:$A$113,MAX(1915,MIN(2025,E584)))/H584</f>
        <v/>
      </c>
      <c r="AE584" s="14">
        <f>IF(C584="Privé",SUMIFS(Donnees_annuelles!$Y$3:$Y$188,Donnees_annuelles!$A$3:$A$188,M584)*MIN(L584,SUMIFS(Donnees_generations!$I$3:$I$113,Donnees_generations!$A$3:$A$113,MAX(1915,MIN(2025,E584))))/L584,AD584*AC584*MIN(IF(AB584&gt;0,0.8/0.75,1),(L584*4+AB584)/AA584))</f>
        <v/>
      </c>
      <c r="AF584" s="14">
        <f>AE584/12</f>
        <v/>
      </c>
      <c r="AG584" s="77">
        <f>MIN(68,MAX(56,2*INT(K584/2)))</f>
        <v/>
      </c>
      <c r="AH584" s="75">
        <f>(CHOOSE((AG584-56)/2+1,SUMIFS(Donnees_generations!$U$3:$U$113,Donnees_generations!$A$3:$A$113,MAX(1915,MIN(2025,E584))),SUMIFS(Donnees_generations!$V$3:$V$113,Donnees_generations!$A$3:$A$113,MAX(1915,MIN(2025,E584))),SUMIFS(Donnees_generations!$W$3:$W$113,Donnees_generations!$A$3:$A$113,MAX(1915,MIN(2025,E584))),SUMIFS(Donnees_generations!$X$3:$X$113,Donnees_generations!$A$3:$A$113,MAX(1915,MIN(2025,E584))),SUMIFS(Donnees_generations!$Y$3:$Y$113,Donnees_generations!$A$3:$A$113,MAX(1915,MIN(2025,E584))),SUMIFS(Donnees_generations!$Z$3:$Z$113,Donnees_generations!$A$3:$A$113,MAX(1915,MIN(2025,E584))),SUMIFS(Donnees_generations!$AA$3:$AA$113,Donnees_generations!$A$3:$A$113,MAX(1915,MIN(2025,E584))),SUMIFS(Donnees_generations!$AB$3:$AB$113,Donnees_generations!$A$3:$A$113,MAX(1915,MIN(2025,E584))))+CHOOSE((AG584-56)/2+1,SUMIFS(Donnees_generations!$AC$3:$AC$113,Donnees_generations!$A$3:$A$113,MAX(1915,MIN(2025,E584))),SUMIFS(Donnees_generations!$AD$3:$AD$113,Donnees_generations!$A$3:$A$113,MAX(1915,MIN(2025,E584))),SUMIFS(Donnees_generations!$AE$3:$AE$113,Donnees_generations!$A$3:$A$113,MAX(1915,MIN(2025,E584))),SUMIFS(Donnees_generations!$AF$3:$AF$113,Donnees_generations!$A$3:$A$113,MAX(1915,MIN(2025,E584))),SUMIFS(Donnees_generations!$AG$3:$AG$113,Donnees_generations!$A$3:$A$113,MAX(1915,MIN(2025,E584))),SUMIFS(Donnees_generations!$AH$3:$AH$113,Donnees_generations!$A$3:$A$113,MAX(1915,MIN(2025,E584))),SUMIFS(Donnees_generations!$AI$3:$AI$113,Donnees_generations!$A$3:$A$113,MAX(1915,MIN(2025,E584))),SUMIFS(Donnees_generations!$AJ$3:$AJ$113,Donnees_generations!$A$3:$A$113,MAX(1915,MIN(2025,E584)))))/2</f>
        <v/>
      </c>
      <c r="AI584" s="75">
        <f>(CHOOSE(((AG584+2)-56)/2+1,SUMIFS(Donnees_generations!$U$3:$U$113,Donnees_generations!$A$3:$A$113,MAX(1915,MIN(2025,E584))),SUMIFS(Donnees_generations!$V$3:$V$113,Donnees_generations!$A$3:$A$113,MAX(1915,MIN(2025,E584))),SUMIFS(Donnees_generations!$W$3:$W$113,Donnees_generations!$A$3:$A$113,MAX(1915,MIN(2025,E584))),SUMIFS(Donnees_generations!$X$3:$X$113,Donnees_generations!$A$3:$A$113,MAX(1915,MIN(2025,E584))),SUMIFS(Donnees_generations!$Y$3:$Y$113,Donnees_generations!$A$3:$A$113,MAX(1915,MIN(2025,E584))),SUMIFS(Donnees_generations!$Z$3:$Z$113,Donnees_generations!$A$3:$A$113,MAX(1915,MIN(2025,E584))),SUMIFS(Donnees_generations!$AA$3:$AA$113,Donnees_generations!$A$3:$A$113,MAX(1915,MIN(2025,E584))),SUMIFS(Donnees_generations!$AB$3:$AB$113,Donnees_generations!$A$3:$A$113,MAX(1915,MIN(2025,E584))))+CHOOSE(((AG584+2)-56)/2+1,SUMIFS(Donnees_generations!$AC$3:$AC$113,Donnees_generations!$A$3:$A$113,MAX(1915,MIN(2025,E584))),SUMIFS(Donnees_generations!$AD$3:$AD$113,Donnees_generations!$A$3:$A$113,MAX(1915,MIN(2025,E584))),SUMIFS(Donnees_generations!$AE$3:$AE$113,Donnees_generations!$A$3:$A$113,MAX(1915,MIN(2025,E584))),SUMIFS(Donnees_generations!$AF$3:$AF$113,Donnees_generations!$A$3:$A$113,MAX(1915,MIN(2025,E584))),SUMIFS(Donnees_generations!$AG$3:$AG$113,Donnees_generations!$A$3:$A$113,MAX(1915,MIN(2025,E584))),SUMIFS(Donnees_generations!$AH$3:$AH$113,Donnees_generations!$A$3:$A$113,MAX(1915,MIN(2025,E584))),SUMIFS(Donnees_generations!$AI$3:$AI$113,Donnees_generations!$A$3:$A$113,MAX(1915,MIN(2025,E584))),SUMIFS(Donnees_generations!$AJ$3:$AJ$113,Donnees_generations!$A$3:$A$113,MAX(1915,MIN(2025,E584)))))/2</f>
        <v/>
      </c>
      <c r="AJ584" s="8">
        <f>MAX(0,AH584+(AI584-AH584)*(K584-AG584)/2)</f>
        <v/>
      </c>
      <c r="AK584" s="8">
        <f>K584+AJ584</f>
        <v/>
      </c>
      <c r="AL584" s="14">
        <f>AE584*AJ584</f>
        <v/>
      </c>
      <c r="AM584" s="17">
        <f>V584/AL584</f>
        <v/>
      </c>
      <c r="AN584" s="17">
        <f>Z584/AL584</f>
        <v/>
      </c>
      <c r="AO584" s="33">
        <f>IF(V584+Z584=0,0,Z584/(V584+Z584))</f>
        <v/>
      </c>
      <c r="AP584" s="14">
        <f>AL584/V584*100</f>
        <v/>
      </c>
      <c r="AQ584" s="8">
        <f>P584/AL584*1000</f>
        <v/>
      </c>
      <c r="AR584" s="77">
        <f>MAX(N584,M584-1)</f>
        <v/>
      </c>
      <c r="AS584" s="14">
        <f>SUMIFS(Donnees_regimes!$R$3:$R$1118,Donnees_regimes!$A$3:$A$1118,C584,Donnees_regimes!$B$3:$B$1118,"&gt;="&amp;G584,Donnees_regimes!$B$3:$B$1118,"&lt;="&amp;N584)*L584/ROUNDUP(L584,0)*SUMIFS(Donnees_annuelles!$AG$3:$AG$188,Donnees_annuelles!$A$3:$A$188,AR584)*SUMIFS(Donnees_annuelles!$AA$3:$AA$188,Donnees_annuelles!$A$3:$A$188,AR584)</f>
        <v/>
      </c>
      <c r="AT584" s="36">
        <f>AS584/V584</f>
        <v/>
      </c>
      <c r="AU584" s="14">
        <f>AL584</f>
        <v/>
      </c>
      <c r="AV584" s="39">
        <f>AS584-AL584</f>
        <v/>
      </c>
      <c r="AW584" s="9">
        <f>AS584/AL584-1</f>
        <v/>
      </c>
      <c r="AX584" s="14">
        <f>AS584/AJ584/12</f>
        <v/>
      </c>
      <c r="AY584" s="14">
        <f>AF584</f>
        <v/>
      </c>
      <c r="AZ584" s="39">
        <f>AX584-AF584</f>
        <v/>
      </c>
      <c r="BA584" s="14">
        <f>SUMIFS(Donnees_regimes!$S$3:$S$1118,Donnees_regimes!$A$3:$A$1118,C584,Donnees_regimes!$B$3:$B$1118,"&gt;="&amp;G584,Donnees_regimes!$B$3:$B$1118,"&lt;="&amp;N584)*L584/ROUNDUP(L584,0)*SUMIFS(Donnees_annuelles!$AH$3:$AH$188,Donnees_annuelles!$A$3:$A$188,AR584)*SUMIFS(Donnees_annuelles!$AA$3:$AA$188,Donnees_annuelles!$A$3:$A$188,AR584)</f>
        <v/>
      </c>
      <c r="BB584" s="39">
        <f>BA584-AL584</f>
        <v/>
      </c>
      <c r="BC584" s="7">
        <f>IF(M584+AJ584&gt;2026,IF(G584&gt;2026,"entièrement projeté","en partie projeté"),"observé")</f>
        <v/>
      </c>
    </row>
    <row r="585">
      <c r="A585" s="7" t="inlineStr">
        <is>
          <t>Génération Alpha</t>
        </is>
      </c>
      <c r="B585" s="84" t="inlineStr">
        <is>
          <t>IEG</t>
        </is>
      </c>
      <c r="C585" s="7">
        <f>IF(G585&gt;=SUMIFS(Regimes!$C$5:$C$10,Regimes!$A$5:$A$10,B585),"Privé",B585)</f>
        <v/>
      </c>
      <c r="D585" s="7">
        <f>INDEX(Regimes!$D$5:$D$10,MATCH(C585,Regimes!$A$5:$A$10,0))</f>
        <v/>
      </c>
      <c r="E585" s="88" t="n">
        <v>2020</v>
      </c>
      <c r="F585" s="8">
        <f>Donnees_generations!C108</f>
        <v/>
      </c>
      <c r="G585" s="77">
        <f>Donnees_generations!D108</f>
        <v/>
      </c>
      <c r="H585" s="8">
        <f>SUMIFS(Donnees_generations!$S$3:$S$113,Donnees_generations!$A$3:$A$113,MAX(1915,MIN(2025,E585)))</f>
        <v/>
      </c>
      <c r="I585" s="8">
        <f>SUMIFS(Donnees_generations!$T$3:$T$113,Donnees_generations!$A$3:$A$113,MAX(1915,MIN(2025,E585)))</f>
        <v/>
      </c>
      <c r="J585" s="8">
        <f>IF(G585&gt;=2000,MAX(I585,Parametres!$B$3),I585)</f>
        <v/>
      </c>
      <c r="K585" s="8">
        <f>IF(C585="Privé",J585,SUMIFS(Regles_regimes!$J$3:$J$2000,Regles_regimes!$A$3:$A$2000,C585,Regles_regimes!$B$3:$B$2000,D585,Regles_regimes!$C$3:$C$2000,MAX(1915,MIN(2025,E585))))</f>
        <v/>
      </c>
      <c r="L585" s="8">
        <f>IF(C585="Privé",H585,(K585-F585)*H585/(J585-F585))</f>
        <v/>
      </c>
      <c r="M585" s="77">
        <f>INT(E585+K585)</f>
        <v/>
      </c>
      <c r="N585" s="77">
        <f>G585+ROUNDUP(L585,0)-1</f>
        <v/>
      </c>
      <c r="O585" s="89">
        <f>SUMIFS(Regles_regimes!$K$3:$K$2000,Regles_regimes!$A$3:$A$2000,C585,Regles_regimes!$B$3:$B$2000,D585,Regles_regimes!$C$3:$C$2000,MAX(1915,MIN(2025,E585)))</f>
        <v/>
      </c>
      <c r="P585" s="13">
        <f>SUMIFS(Donnees_annuelles!$W$3:$W$188,Donnees_annuelles!$A$3:$A$188,"&gt;="&amp;G585,Donnees_annuelles!$A$3:$A$188,"&lt;="&amp;N585)*L585/ROUNDUP(L585,0)*O585</f>
        <v/>
      </c>
      <c r="Q585" s="13">
        <f>SUMIFS(Donnees_annuelles!$V$3:$V$188,Donnees_annuelles!$A$3:$A$188,"&gt;="&amp;G585,Donnees_annuelles!$A$3:$A$188,"&lt;="&amp;N585)*L585/ROUNDUP(L585,0)</f>
        <v/>
      </c>
      <c r="R585" s="13">
        <f>P585/L585</f>
        <v/>
      </c>
      <c r="S585" s="14">
        <f>SUMIFS(Donnees_annuelles!$D$3:$D$188,Donnees_annuelles!$A$3:$A$188,"&gt;="&amp;G585,Donnees_annuelles!$A$3:$A$188,"&lt;="&amp;N585)*L585/ROUNDUP(L585,0)</f>
        <v/>
      </c>
      <c r="T585" s="14">
        <f>SUMIFS(Donnees_regimes!$N$3:$N$1118,Donnees_regimes!$A$3:$A$1118,C585,Donnees_regimes!$B$3:$B$1118,"&gt;="&amp;G585,Donnees_regimes!$B$3:$B$1118,"&lt;="&amp;N585)*L585/ROUNDUP(L585,0)</f>
        <v/>
      </c>
      <c r="U585" s="14">
        <f>SUMIFS(Donnees_regimes!$O$3:$O$1118,Donnees_regimes!$A$3:$A$1118,C585,Donnees_regimes!$B$3:$B$1118,"&gt;="&amp;G585,Donnees_regimes!$B$3:$B$1118,"&lt;="&amp;N585)*L585/ROUNDUP(L585,0)</f>
        <v/>
      </c>
      <c r="V585" s="14">
        <f>T585+U585</f>
        <v/>
      </c>
      <c r="W585" s="33">
        <f>V585/S585</f>
        <v/>
      </c>
      <c r="X585" s="14">
        <f>S585+U585</f>
        <v/>
      </c>
      <c r="Y585" s="17">
        <f>V585/P585</f>
        <v/>
      </c>
      <c r="Z585" s="14">
        <f>SUMIFS(Donnees_regimes!$Q$3:$Q$1118,Donnees_regimes!$A$3:$A$1118,C585,Donnees_regimes!$B$3:$B$1118,"&gt;="&amp;G585,Donnees_regimes!$B$3:$B$1118,"&lt;="&amp;N585)*L585/ROUNDUP(L585,0)</f>
        <v/>
      </c>
      <c r="AA585" s="77">
        <f>SUMIFS(Regles_regimes!$F$3:$F$2000,Regles_regimes!$A$3:$A$2000,C585,Regles_regimes!$B$3:$B$2000,D585,Regles_regimes!$C$3:$C$2000,MAX(1915,MIN(2025,E585)))</f>
        <v/>
      </c>
      <c r="AB585" s="77">
        <f>IF(AND(SUMIFS(Regles_regimes!$L$3:$L$2000,Regles_regimes!$A$3:$A$2000,C585,Regles_regimes!$B$3:$B$2000,D585,Regles_regimes!$C$3:$C$2000,MAX(1915,MIN(2025,E585)))=1,G585&lt;2009,C585&lt;&gt;"Privé"),MIN(20,L585*4/5),0)</f>
        <v/>
      </c>
      <c r="AC585" s="89">
        <f>SUMIFS(Donnees_regimes!$M$3:$M$1118,Donnees_regimes!$A$3:$A$1118,C585,Donnees_regimes!$B$3:$B$1118,M585)</f>
        <v/>
      </c>
      <c r="AD585" s="14">
        <f>SUMIFS(Donnees_annuelles!$Y$3:$Y$188,Donnees_annuelles!$A$3:$A$188,M585)*SUMIFS(Donnees_generations!$I$3:$I$113,Donnees_generations!$A$3:$A$113,MAX(1915,MIN(2025,E585)))/H585</f>
        <v/>
      </c>
      <c r="AE585" s="14">
        <f>IF(C585="Privé",SUMIFS(Donnees_annuelles!$Y$3:$Y$188,Donnees_annuelles!$A$3:$A$188,M585)*MIN(L585,SUMIFS(Donnees_generations!$I$3:$I$113,Donnees_generations!$A$3:$A$113,MAX(1915,MIN(2025,E585))))/L585,AD585*AC585*MIN(IF(AB585&gt;0,0.8/0.75,1),(L585*4+AB585)/AA585))</f>
        <v/>
      </c>
      <c r="AF585" s="14">
        <f>AE585/12</f>
        <v/>
      </c>
      <c r="AG585" s="77">
        <f>MIN(68,MAX(56,2*INT(K585/2)))</f>
        <v/>
      </c>
      <c r="AH585" s="75">
        <f>(CHOOSE((AG585-56)/2+1,SUMIFS(Donnees_generations!$U$3:$U$113,Donnees_generations!$A$3:$A$113,MAX(1915,MIN(2025,E585))),SUMIFS(Donnees_generations!$V$3:$V$113,Donnees_generations!$A$3:$A$113,MAX(1915,MIN(2025,E585))),SUMIFS(Donnees_generations!$W$3:$W$113,Donnees_generations!$A$3:$A$113,MAX(1915,MIN(2025,E585))),SUMIFS(Donnees_generations!$X$3:$X$113,Donnees_generations!$A$3:$A$113,MAX(1915,MIN(2025,E585))),SUMIFS(Donnees_generations!$Y$3:$Y$113,Donnees_generations!$A$3:$A$113,MAX(1915,MIN(2025,E585))),SUMIFS(Donnees_generations!$Z$3:$Z$113,Donnees_generations!$A$3:$A$113,MAX(1915,MIN(2025,E585))),SUMIFS(Donnees_generations!$AA$3:$AA$113,Donnees_generations!$A$3:$A$113,MAX(1915,MIN(2025,E585))),SUMIFS(Donnees_generations!$AB$3:$AB$113,Donnees_generations!$A$3:$A$113,MAX(1915,MIN(2025,E585))))+CHOOSE((AG585-56)/2+1,SUMIFS(Donnees_generations!$AC$3:$AC$113,Donnees_generations!$A$3:$A$113,MAX(1915,MIN(2025,E585))),SUMIFS(Donnees_generations!$AD$3:$AD$113,Donnees_generations!$A$3:$A$113,MAX(1915,MIN(2025,E585))),SUMIFS(Donnees_generations!$AE$3:$AE$113,Donnees_generations!$A$3:$A$113,MAX(1915,MIN(2025,E585))),SUMIFS(Donnees_generations!$AF$3:$AF$113,Donnees_generations!$A$3:$A$113,MAX(1915,MIN(2025,E585))),SUMIFS(Donnees_generations!$AG$3:$AG$113,Donnees_generations!$A$3:$A$113,MAX(1915,MIN(2025,E585))),SUMIFS(Donnees_generations!$AH$3:$AH$113,Donnees_generations!$A$3:$A$113,MAX(1915,MIN(2025,E585))),SUMIFS(Donnees_generations!$AI$3:$AI$113,Donnees_generations!$A$3:$A$113,MAX(1915,MIN(2025,E585))),SUMIFS(Donnees_generations!$AJ$3:$AJ$113,Donnees_generations!$A$3:$A$113,MAX(1915,MIN(2025,E585)))))/2</f>
        <v/>
      </c>
      <c r="AI585" s="75">
        <f>(CHOOSE(((AG585+2)-56)/2+1,SUMIFS(Donnees_generations!$U$3:$U$113,Donnees_generations!$A$3:$A$113,MAX(1915,MIN(2025,E585))),SUMIFS(Donnees_generations!$V$3:$V$113,Donnees_generations!$A$3:$A$113,MAX(1915,MIN(2025,E585))),SUMIFS(Donnees_generations!$W$3:$W$113,Donnees_generations!$A$3:$A$113,MAX(1915,MIN(2025,E585))),SUMIFS(Donnees_generations!$X$3:$X$113,Donnees_generations!$A$3:$A$113,MAX(1915,MIN(2025,E585))),SUMIFS(Donnees_generations!$Y$3:$Y$113,Donnees_generations!$A$3:$A$113,MAX(1915,MIN(2025,E585))),SUMIFS(Donnees_generations!$Z$3:$Z$113,Donnees_generations!$A$3:$A$113,MAX(1915,MIN(2025,E585))),SUMIFS(Donnees_generations!$AA$3:$AA$113,Donnees_generations!$A$3:$A$113,MAX(1915,MIN(2025,E585))),SUMIFS(Donnees_generations!$AB$3:$AB$113,Donnees_generations!$A$3:$A$113,MAX(1915,MIN(2025,E585))))+CHOOSE(((AG585+2)-56)/2+1,SUMIFS(Donnees_generations!$AC$3:$AC$113,Donnees_generations!$A$3:$A$113,MAX(1915,MIN(2025,E585))),SUMIFS(Donnees_generations!$AD$3:$AD$113,Donnees_generations!$A$3:$A$113,MAX(1915,MIN(2025,E585))),SUMIFS(Donnees_generations!$AE$3:$AE$113,Donnees_generations!$A$3:$A$113,MAX(1915,MIN(2025,E585))),SUMIFS(Donnees_generations!$AF$3:$AF$113,Donnees_generations!$A$3:$A$113,MAX(1915,MIN(2025,E585))),SUMIFS(Donnees_generations!$AG$3:$AG$113,Donnees_generations!$A$3:$A$113,MAX(1915,MIN(2025,E585))),SUMIFS(Donnees_generations!$AH$3:$AH$113,Donnees_generations!$A$3:$A$113,MAX(1915,MIN(2025,E585))),SUMIFS(Donnees_generations!$AI$3:$AI$113,Donnees_generations!$A$3:$A$113,MAX(1915,MIN(2025,E585))),SUMIFS(Donnees_generations!$AJ$3:$AJ$113,Donnees_generations!$A$3:$A$113,MAX(1915,MIN(2025,E585)))))/2</f>
        <v/>
      </c>
      <c r="AJ585" s="8">
        <f>MAX(0,AH585+(AI585-AH585)*(K585-AG585)/2)</f>
        <v/>
      </c>
      <c r="AK585" s="8">
        <f>K585+AJ585</f>
        <v/>
      </c>
      <c r="AL585" s="14">
        <f>AE585*AJ585</f>
        <v/>
      </c>
      <c r="AM585" s="17">
        <f>V585/AL585</f>
        <v/>
      </c>
      <c r="AN585" s="17">
        <f>Z585/AL585</f>
        <v/>
      </c>
      <c r="AO585" s="33">
        <f>IF(V585+Z585=0,0,Z585/(V585+Z585))</f>
        <v/>
      </c>
      <c r="AP585" s="14">
        <f>AL585/V585*100</f>
        <v/>
      </c>
      <c r="AQ585" s="8">
        <f>P585/AL585*1000</f>
        <v/>
      </c>
      <c r="AR585" s="77">
        <f>MAX(N585,M585-1)</f>
        <v/>
      </c>
      <c r="AS585" s="14">
        <f>SUMIFS(Donnees_regimes!$R$3:$R$1118,Donnees_regimes!$A$3:$A$1118,C585,Donnees_regimes!$B$3:$B$1118,"&gt;="&amp;G585,Donnees_regimes!$B$3:$B$1118,"&lt;="&amp;N585)*L585/ROUNDUP(L585,0)*SUMIFS(Donnees_annuelles!$AG$3:$AG$188,Donnees_annuelles!$A$3:$A$188,AR585)*SUMIFS(Donnees_annuelles!$AA$3:$AA$188,Donnees_annuelles!$A$3:$A$188,AR585)</f>
        <v/>
      </c>
      <c r="AT585" s="36">
        <f>AS585/V585</f>
        <v/>
      </c>
      <c r="AU585" s="14">
        <f>AL585</f>
        <v/>
      </c>
      <c r="AV585" s="39">
        <f>AS585-AL585</f>
        <v/>
      </c>
      <c r="AW585" s="9">
        <f>AS585/AL585-1</f>
        <v/>
      </c>
      <c r="AX585" s="14">
        <f>AS585/AJ585/12</f>
        <v/>
      </c>
      <c r="AY585" s="14">
        <f>AF585</f>
        <v/>
      </c>
      <c r="AZ585" s="39">
        <f>AX585-AF585</f>
        <v/>
      </c>
      <c r="BA585" s="14">
        <f>SUMIFS(Donnees_regimes!$S$3:$S$1118,Donnees_regimes!$A$3:$A$1118,C585,Donnees_regimes!$B$3:$B$1118,"&gt;="&amp;G585,Donnees_regimes!$B$3:$B$1118,"&lt;="&amp;N585)*L585/ROUNDUP(L585,0)*SUMIFS(Donnees_annuelles!$AH$3:$AH$188,Donnees_annuelles!$A$3:$A$188,AR585)*SUMIFS(Donnees_annuelles!$AA$3:$AA$188,Donnees_annuelles!$A$3:$A$188,AR585)</f>
        <v/>
      </c>
      <c r="BB585" s="39">
        <f>BA585-AL585</f>
        <v/>
      </c>
      <c r="BC585" s="7">
        <f>IF(M585+AJ585&gt;2026,IF(G585&gt;2026,"entièrement projeté","en partie projeté"),"observé")</f>
        <v/>
      </c>
    </row>
    <row r="586">
      <c r="A586" s="7" t="inlineStr">
        <is>
          <t>Génération Alpha</t>
        </is>
      </c>
      <c r="B586" s="84" t="inlineStr">
        <is>
          <t>IEG</t>
        </is>
      </c>
      <c r="C586" s="7">
        <f>IF(G586&gt;=SUMIFS(Regimes!$C$5:$C$10,Regimes!$A$5:$A$10,B586),"Privé",B586)</f>
        <v/>
      </c>
      <c r="D586" s="7">
        <f>INDEX(Regimes!$D$5:$D$10,MATCH(C586,Regimes!$A$5:$A$10,0))</f>
        <v/>
      </c>
      <c r="E586" s="88" t="n">
        <v>2021</v>
      </c>
      <c r="F586" s="8">
        <f>Donnees_generations!C109</f>
        <v/>
      </c>
      <c r="G586" s="77">
        <f>Donnees_generations!D109</f>
        <v/>
      </c>
      <c r="H586" s="8">
        <f>SUMIFS(Donnees_generations!$S$3:$S$113,Donnees_generations!$A$3:$A$113,MAX(1915,MIN(2025,E586)))</f>
        <v/>
      </c>
      <c r="I586" s="8">
        <f>SUMIFS(Donnees_generations!$T$3:$T$113,Donnees_generations!$A$3:$A$113,MAX(1915,MIN(2025,E586)))</f>
        <v/>
      </c>
      <c r="J586" s="8">
        <f>IF(G586&gt;=2000,MAX(I586,Parametres!$B$3),I586)</f>
        <v/>
      </c>
      <c r="K586" s="8">
        <f>IF(C586="Privé",J586,SUMIFS(Regles_regimes!$J$3:$J$2000,Regles_regimes!$A$3:$A$2000,C586,Regles_regimes!$B$3:$B$2000,D586,Regles_regimes!$C$3:$C$2000,MAX(1915,MIN(2025,E586))))</f>
        <v/>
      </c>
      <c r="L586" s="8">
        <f>IF(C586="Privé",H586,(K586-F586)*H586/(J586-F586))</f>
        <v/>
      </c>
      <c r="M586" s="77">
        <f>INT(E586+K586)</f>
        <v/>
      </c>
      <c r="N586" s="77">
        <f>G586+ROUNDUP(L586,0)-1</f>
        <v/>
      </c>
      <c r="O586" s="89">
        <f>SUMIFS(Regles_regimes!$K$3:$K$2000,Regles_regimes!$A$3:$A$2000,C586,Regles_regimes!$B$3:$B$2000,D586,Regles_regimes!$C$3:$C$2000,MAX(1915,MIN(2025,E586)))</f>
        <v/>
      </c>
      <c r="P586" s="13">
        <f>SUMIFS(Donnees_annuelles!$W$3:$W$188,Donnees_annuelles!$A$3:$A$188,"&gt;="&amp;G586,Donnees_annuelles!$A$3:$A$188,"&lt;="&amp;N586)*L586/ROUNDUP(L586,0)*O586</f>
        <v/>
      </c>
      <c r="Q586" s="13">
        <f>SUMIFS(Donnees_annuelles!$V$3:$V$188,Donnees_annuelles!$A$3:$A$188,"&gt;="&amp;G586,Donnees_annuelles!$A$3:$A$188,"&lt;="&amp;N586)*L586/ROUNDUP(L586,0)</f>
        <v/>
      </c>
      <c r="R586" s="13">
        <f>P586/L586</f>
        <v/>
      </c>
      <c r="S586" s="14">
        <f>SUMIFS(Donnees_annuelles!$D$3:$D$188,Donnees_annuelles!$A$3:$A$188,"&gt;="&amp;G586,Donnees_annuelles!$A$3:$A$188,"&lt;="&amp;N586)*L586/ROUNDUP(L586,0)</f>
        <v/>
      </c>
      <c r="T586" s="14">
        <f>SUMIFS(Donnees_regimes!$N$3:$N$1118,Donnees_regimes!$A$3:$A$1118,C586,Donnees_regimes!$B$3:$B$1118,"&gt;="&amp;G586,Donnees_regimes!$B$3:$B$1118,"&lt;="&amp;N586)*L586/ROUNDUP(L586,0)</f>
        <v/>
      </c>
      <c r="U586" s="14">
        <f>SUMIFS(Donnees_regimes!$O$3:$O$1118,Donnees_regimes!$A$3:$A$1118,C586,Donnees_regimes!$B$3:$B$1118,"&gt;="&amp;G586,Donnees_regimes!$B$3:$B$1118,"&lt;="&amp;N586)*L586/ROUNDUP(L586,0)</f>
        <v/>
      </c>
      <c r="V586" s="14">
        <f>T586+U586</f>
        <v/>
      </c>
      <c r="W586" s="33">
        <f>V586/S586</f>
        <v/>
      </c>
      <c r="X586" s="14">
        <f>S586+U586</f>
        <v/>
      </c>
      <c r="Y586" s="17">
        <f>V586/P586</f>
        <v/>
      </c>
      <c r="Z586" s="14">
        <f>SUMIFS(Donnees_regimes!$Q$3:$Q$1118,Donnees_regimes!$A$3:$A$1118,C586,Donnees_regimes!$B$3:$B$1118,"&gt;="&amp;G586,Donnees_regimes!$B$3:$B$1118,"&lt;="&amp;N586)*L586/ROUNDUP(L586,0)</f>
        <v/>
      </c>
      <c r="AA586" s="77">
        <f>SUMIFS(Regles_regimes!$F$3:$F$2000,Regles_regimes!$A$3:$A$2000,C586,Regles_regimes!$B$3:$B$2000,D586,Regles_regimes!$C$3:$C$2000,MAX(1915,MIN(2025,E586)))</f>
        <v/>
      </c>
      <c r="AB586" s="77">
        <f>IF(AND(SUMIFS(Regles_regimes!$L$3:$L$2000,Regles_regimes!$A$3:$A$2000,C586,Regles_regimes!$B$3:$B$2000,D586,Regles_regimes!$C$3:$C$2000,MAX(1915,MIN(2025,E586)))=1,G586&lt;2009,C586&lt;&gt;"Privé"),MIN(20,L586*4/5),0)</f>
        <v/>
      </c>
      <c r="AC586" s="89">
        <f>SUMIFS(Donnees_regimes!$M$3:$M$1118,Donnees_regimes!$A$3:$A$1118,C586,Donnees_regimes!$B$3:$B$1118,M586)</f>
        <v/>
      </c>
      <c r="AD586" s="14">
        <f>SUMIFS(Donnees_annuelles!$Y$3:$Y$188,Donnees_annuelles!$A$3:$A$188,M586)*SUMIFS(Donnees_generations!$I$3:$I$113,Donnees_generations!$A$3:$A$113,MAX(1915,MIN(2025,E586)))/H586</f>
        <v/>
      </c>
      <c r="AE586" s="14">
        <f>IF(C586="Privé",SUMIFS(Donnees_annuelles!$Y$3:$Y$188,Donnees_annuelles!$A$3:$A$188,M586)*MIN(L586,SUMIFS(Donnees_generations!$I$3:$I$113,Donnees_generations!$A$3:$A$113,MAX(1915,MIN(2025,E586))))/L586,AD586*AC586*MIN(IF(AB586&gt;0,0.8/0.75,1),(L586*4+AB586)/AA586))</f>
        <v/>
      </c>
      <c r="AF586" s="14">
        <f>AE586/12</f>
        <v/>
      </c>
      <c r="AG586" s="77">
        <f>MIN(68,MAX(56,2*INT(K586/2)))</f>
        <v/>
      </c>
      <c r="AH586" s="75">
        <f>(CHOOSE((AG586-56)/2+1,SUMIFS(Donnees_generations!$U$3:$U$113,Donnees_generations!$A$3:$A$113,MAX(1915,MIN(2025,E586))),SUMIFS(Donnees_generations!$V$3:$V$113,Donnees_generations!$A$3:$A$113,MAX(1915,MIN(2025,E586))),SUMIFS(Donnees_generations!$W$3:$W$113,Donnees_generations!$A$3:$A$113,MAX(1915,MIN(2025,E586))),SUMIFS(Donnees_generations!$X$3:$X$113,Donnees_generations!$A$3:$A$113,MAX(1915,MIN(2025,E586))),SUMIFS(Donnees_generations!$Y$3:$Y$113,Donnees_generations!$A$3:$A$113,MAX(1915,MIN(2025,E586))),SUMIFS(Donnees_generations!$Z$3:$Z$113,Donnees_generations!$A$3:$A$113,MAX(1915,MIN(2025,E586))),SUMIFS(Donnees_generations!$AA$3:$AA$113,Donnees_generations!$A$3:$A$113,MAX(1915,MIN(2025,E586))),SUMIFS(Donnees_generations!$AB$3:$AB$113,Donnees_generations!$A$3:$A$113,MAX(1915,MIN(2025,E586))))+CHOOSE((AG586-56)/2+1,SUMIFS(Donnees_generations!$AC$3:$AC$113,Donnees_generations!$A$3:$A$113,MAX(1915,MIN(2025,E586))),SUMIFS(Donnees_generations!$AD$3:$AD$113,Donnees_generations!$A$3:$A$113,MAX(1915,MIN(2025,E586))),SUMIFS(Donnees_generations!$AE$3:$AE$113,Donnees_generations!$A$3:$A$113,MAX(1915,MIN(2025,E586))),SUMIFS(Donnees_generations!$AF$3:$AF$113,Donnees_generations!$A$3:$A$113,MAX(1915,MIN(2025,E586))),SUMIFS(Donnees_generations!$AG$3:$AG$113,Donnees_generations!$A$3:$A$113,MAX(1915,MIN(2025,E586))),SUMIFS(Donnees_generations!$AH$3:$AH$113,Donnees_generations!$A$3:$A$113,MAX(1915,MIN(2025,E586))),SUMIFS(Donnees_generations!$AI$3:$AI$113,Donnees_generations!$A$3:$A$113,MAX(1915,MIN(2025,E586))),SUMIFS(Donnees_generations!$AJ$3:$AJ$113,Donnees_generations!$A$3:$A$113,MAX(1915,MIN(2025,E586)))))/2</f>
        <v/>
      </c>
      <c r="AI586" s="75">
        <f>(CHOOSE(((AG586+2)-56)/2+1,SUMIFS(Donnees_generations!$U$3:$U$113,Donnees_generations!$A$3:$A$113,MAX(1915,MIN(2025,E586))),SUMIFS(Donnees_generations!$V$3:$V$113,Donnees_generations!$A$3:$A$113,MAX(1915,MIN(2025,E586))),SUMIFS(Donnees_generations!$W$3:$W$113,Donnees_generations!$A$3:$A$113,MAX(1915,MIN(2025,E586))),SUMIFS(Donnees_generations!$X$3:$X$113,Donnees_generations!$A$3:$A$113,MAX(1915,MIN(2025,E586))),SUMIFS(Donnees_generations!$Y$3:$Y$113,Donnees_generations!$A$3:$A$113,MAX(1915,MIN(2025,E586))),SUMIFS(Donnees_generations!$Z$3:$Z$113,Donnees_generations!$A$3:$A$113,MAX(1915,MIN(2025,E586))),SUMIFS(Donnees_generations!$AA$3:$AA$113,Donnees_generations!$A$3:$A$113,MAX(1915,MIN(2025,E586))),SUMIFS(Donnees_generations!$AB$3:$AB$113,Donnees_generations!$A$3:$A$113,MAX(1915,MIN(2025,E586))))+CHOOSE(((AG586+2)-56)/2+1,SUMIFS(Donnees_generations!$AC$3:$AC$113,Donnees_generations!$A$3:$A$113,MAX(1915,MIN(2025,E586))),SUMIFS(Donnees_generations!$AD$3:$AD$113,Donnees_generations!$A$3:$A$113,MAX(1915,MIN(2025,E586))),SUMIFS(Donnees_generations!$AE$3:$AE$113,Donnees_generations!$A$3:$A$113,MAX(1915,MIN(2025,E586))),SUMIFS(Donnees_generations!$AF$3:$AF$113,Donnees_generations!$A$3:$A$113,MAX(1915,MIN(2025,E586))),SUMIFS(Donnees_generations!$AG$3:$AG$113,Donnees_generations!$A$3:$A$113,MAX(1915,MIN(2025,E586))),SUMIFS(Donnees_generations!$AH$3:$AH$113,Donnees_generations!$A$3:$A$113,MAX(1915,MIN(2025,E586))),SUMIFS(Donnees_generations!$AI$3:$AI$113,Donnees_generations!$A$3:$A$113,MAX(1915,MIN(2025,E586))),SUMIFS(Donnees_generations!$AJ$3:$AJ$113,Donnees_generations!$A$3:$A$113,MAX(1915,MIN(2025,E586)))))/2</f>
        <v/>
      </c>
      <c r="AJ586" s="8">
        <f>MAX(0,AH586+(AI586-AH586)*(K586-AG586)/2)</f>
        <v/>
      </c>
      <c r="AK586" s="8">
        <f>K586+AJ586</f>
        <v/>
      </c>
      <c r="AL586" s="14">
        <f>AE586*AJ586</f>
        <v/>
      </c>
      <c r="AM586" s="17">
        <f>V586/AL586</f>
        <v/>
      </c>
      <c r="AN586" s="17">
        <f>Z586/AL586</f>
        <v/>
      </c>
      <c r="AO586" s="33">
        <f>IF(V586+Z586=0,0,Z586/(V586+Z586))</f>
        <v/>
      </c>
      <c r="AP586" s="14">
        <f>AL586/V586*100</f>
        <v/>
      </c>
      <c r="AQ586" s="8">
        <f>P586/AL586*1000</f>
        <v/>
      </c>
      <c r="AR586" s="77">
        <f>MAX(N586,M586-1)</f>
        <v/>
      </c>
      <c r="AS586" s="14">
        <f>SUMIFS(Donnees_regimes!$R$3:$R$1118,Donnees_regimes!$A$3:$A$1118,C586,Donnees_regimes!$B$3:$B$1118,"&gt;="&amp;G586,Donnees_regimes!$B$3:$B$1118,"&lt;="&amp;N586)*L586/ROUNDUP(L586,0)*SUMIFS(Donnees_annuelles!$AG$3:$AG$188,Donnees_annuelles!$A$3:$A$188,AR586)*SUMIFS(Donnees_annuelles!$AA$3:$AA$188,Donnees_annuelles!$A$3:$A$188,AR586)</f>
        <v/>
      </c>
      <c r="AT586" s="36">
        <f>AS586/V586</f>
        <v/>
      </c>
      <c r="AU586" s="14">
        <f>AL586</f>
        <v/>
      </c>
      <c r="AV586" s="39">
        <f>AS586-AL586</f>
        <v/>
      </c>
      <c r="AW586" s="9">
        <f>AS586/AL586-1</f>
        <v/>
      </c>
      <c r="AX586" s="14">
        <f>AS586/AJ586/12</f>
        <v/>
      </c>
      <c r="AY586" s="14">
        <f>AF586</f>
        <v/>
      </c>
      <c r="AZ586" s="39">
        <f>AX586-AF586</f>
        <v/>
      </c>
      <c r="BA586" s="14">
        <f>SUMIFS(Donnees_regimes!$S$3:$S$1118,Donnees_regimes!$A$3:$A$1118,C586,Donnees_regimes!$B$3:$B$1118,"&gt;="&amp;G586,Donnees_regimes!$B$3:$B$1118,"&lt;="&amp;N586)*L586/ROUNDUP(L586,0)*SUMIFS(Donnees_annuelles!$AH$3:$AH$188,Donnees_annuelles!$A$3:$A$188,AR586)*SUMIFS(Donnees_annuelles!$AA$3:$AA$188,Donnees_annuelles!$A$3:$A$188,AR586)</f>
        <v/>
      </c>
      <c r="BB586" s="39">
        <f>BA586-AL586</f>
        <v/>
      </c>
      <c r="BC586" s="7">
        <f>IF(M586+AJ586&gt;2026,IF(G586&gt;2026,"entièrement projeté","en partie projeté"),"observé")</f>
        <v/>
      </c>
    </row>
    <row r="587">
      <c r="A587" s="7" t="inlineStr">
        <is>
          <t>Génération Alpha</t>
        </is>
      </c>
      <c r="B587" s="84" t="inlineStr">
        <is>
          <t>IEG</t>
        </is>
      </c>
      <c r="C587" s="7">
        <f>IF(G587&gt;=SUMIFS(Regimes!$C$5:$C$10,Regimes!$A$5:$A$10,B587),"Privé",B587)</f>
        <v/>
      </c>
      <c r="D587" s="7">
        <f>INDEX(Regimes!$D$5:$D$10,MATCH(C587,Regimes!$A$5:$A$10,0))</f>
        <v/>
      </c>
      <c r="E587" s="88" t="n">
        <v>2022</v>
      </c>
      <c r="F587" s="8">
        <f>Donnees_generations!C110</f>
        <v/>
      </c>
      <c r="G587" s="77">
        <f>Donnees_generations!D110</f>
        <v/>
      </c>
      <c r="H587" s="8">
        <f>SUMIFS(Donnees_generations!$S$3:$S$113,Donnees_generations!$A$3:$A$113,MAX(1915,MIN(2025,E587)))</f>
        <v/>
      </c>
      <c r="I587" s="8">
        <f>SUMIFS(Donnees_generations!$T$3:$T$113,Donnees_generations!$A$3:$A$113,MAX(1915,MIN(2025,E587)))</f>
        <v/>
      </c>
      <c r="J587" s="8">
        <f>IF(G587&gt;=2000,MAX(I587,Parametres!$B$3),I587)</f>
        <v/>
      </c>
      <c r="K587" s="8">
        <f>IF(C587="Privé",J587,SUMIFS(Regles_regimes!$J$3:$J$2000,Regles_regimes!$A$3:$A$2000,C587,Regles_regimes!$B$3:$B$2000,D587,Regles_regimes!$C$3:$C$2000,MAX(1915,MIN(2025,E587))))</f>
        <v/>
      </c>
      <c r="L587" s="8">
        <f>IF(C587="Privé",H587,(K587-F587)*H587/(J587-F587))</f>
        <v/>
      </c>
      <c r="M587" s="77">
        <f>INT(E587+K587)</f>
        <v/>
      </c>
      <c r="N587" s="77">
        <f>G587+ROUNDUP(L587,0)-1</f>
        <v/>
      </c>
      <c r="O587" s="89">
        <f>SUMIFS(Regles_regimes!$K$3:$K$2000,Regles_regimes!$A$3:$A$2000,C587,Regles_regimes!$B$3:$B$2000,D587,Regles_regimes!$C$3:$C$2000,MAX(1915,MIN(2025,E587)))</f>
        <v/>
      </c>
      <c r="P587" s="13">
        <f>SUMIFS(Donnees_annuelles!$W$3:$W$188,Donnees_annuelles!$A$3:$A$188,"&gt;="&amp;G587,Donnees_annuelles!$A$3:$A$188,"&lt;="&amp;N587)*L587/ROUNDUP(L587,0)*O587</f>
        <v/>
      </c>
      <c r="Q587" s="13">
        <f>SUMIFS(Donnees_annuelles!$V$3:$V$188,Donnees_annuelles!$A$3:$A$188,"&gt;="&amp;G587,Donnees_annuelles!$A$3:$A$188,"&lt;="&amp;N587)*L587/ROUNDUP(L587,0)</f>
        <v/>
      </c>
      <c r="R587" s="13">
        <f>P587/L587</f>
        <v/>
      </c>
      <c r="S587" s="14">
        <f>SUMIFS(Donnees_annuelles!$D$3:$D$188,Donnees_annuelles!$A$3:$A$188,"&gt;="&amp;G587,Donnees_annuelles!$A$3:$A$188,"&lt;="&amp;N587)*L587/ROUNDUP(L587,0)</f>
        <v/>
      </c>
      <c r="T587" s="14">
        <f>SUMIFS(Donnees_regimes!$N$3:$N$1118,Donnees_regimes!$A$3:$A$1118,C587,Donnees_regimes!$B$3:$B$1118,"&gt;="&amp;G587,Donnees_regimes!$B$3:$B$1118,"&lt;="&amp;N587)*L587/ROUNDUP(L587,0)</f>
        <v/>
      </c>
      <c r="U587" s="14">
        <f>SUMIFS(Donnees_regimes!$O$3:$O$1118,Donnees_regimes!$A$3:$A$1118,C587,Donnees_regimes!$B$3:$B$1118,"&gt;="&amp;G587,Donnees_regimes!$B$3:$B$1118,"&lt;="&amp;N587)*L587/ROUNDUP(L587,0)</f>
        <v/>
      </c>
      <c r="V587" s="14">
        <f>T587+U587</f>
        <v/>
      </c>
      <c r="W587" s="33">
        <f>V587/S587</f>
        <v/>
      </c>
      <c r="X587" s="14">
        <f>S587+U587</f>
        <v/>
      </c>
      <c r="Y587" s="17">
        <f>V587/P587</f>
        <v/>
      </c>
      <c r="Z587" s="14">
        <f>SUMIFS(Donnees_regimes!$Q$3:$Q$1118,Donnees_regimes!$A$3:$A$1118,C587,Donnees_regimes!$B$3:$B$1118,"&gt;="&amp;G587,Donnees_regimes!$B$3:$B$1118,"&lt;="&amp;N587)*L587/ROUNDUP(L587,0)</f>
        <v/>
      </c>
      <c r="AA587" s="77">
        <f>SUMIFS(Regles_regimes!$F$3:$F$2000,Regles_regimes!$A$3:$A$2000,C587,Regles_regimes!$B$3:$B$2000,D587,Regles_regimes!$C$3:$C$2000,MAX(1915,MIN(2025,E587)))</f>
        <v/>
      </c>
      <c r="AB587" s="77">
        <f>IF(AND(SUMIFS(Regles_regimes!$L$3:$L$2000,Regles_regimes!$A$3:$A$2000,C587,Regles_regimes!$B$3:$B$2000,D587,Regles_regimes!$C$3:$C$2000,MAX(1915,MIN(2025,E587)))=1,G587&lt;2009,C587&lt;&gt;"Privé"),MIN(20,L587*4/5),0)</f>
        <v/>
      </c>
      <c r="AC587" s="89">
        <f>SUMIFS(Donnees_regimes!$M$3:$M$1118,Donnees_regimes!$A$3:$A$1118,C587,Donnees_regimes!$B$3:$B$1118,M587)</f>
        <v/>
      </c>
      <c r="AD587" s="14">
        <f>SUMIFS(Donnees_annuelles!$Y$3:$Y$188,Donnees_annuelles!$A$3:$A$188,M587)*SUMIFS(Donnees_generations!$I$3:$I$113,Donnees_generations!$A$3:$A$113,MAX(1915,MIN(2025,E587)))/H587</f>
        <v/>
      </c>
      <c r="AE587" s="14">
        <f>IF(C587="Privé",SUMIFS(Donnees_annuelles!$Y$3:$Y$188,Donnees_annuelles!$A$3:$A$188,M587)*MIN(L587,SUMIFS(Donnees_generations!$I$3:$I$113,Donnees_generations!$A$3:$A$113,MAX(1915,MIN(2025,E587))))/L587,AD587*AC587*MIN(IF(AB587&gt;0,0.8/0.75,1),(L587*4+AB587)/AA587))</f>
        <v/>
      </c>
      <c r="AF587" s="14">
        <f>AE587/12</f>
        <v/>
      </c>
      <c r="AG587" s="77">
        <f>MIN(68,MAX(56,2*INT(K587/2)))</f>
        <v/>
      </c>
      <c r="AH587" s="75">
        <f>(CHOOSE((AG587-56)/2+1,SUMIFS(Donnees_generations!$U$3:$U$113,Donnees_generations!$A$3:$A$113,MAX(1915,MIN(2025,E587))),SUMIFS(Donnees_generations!$V$3:$V$113,Donnees_generations!$A$3:$A$113,MAX(1915,MIN(2025,E587))),SUMIFS(Donnees_generations!$W$3:$W$113,Donnees_generations!$A$3:$A$113,MAX(1915,MIN(2025,E587))),SUMIFS(Donnees_generations!$X$3:$X$113,Donnees_generations!$A$3:$A$113,MAX(1915,MIN(2025,E587))),SUMIFS(Donnees_generations!$Y$3:$Y$113,Donnees_generations!$A$3:$A$113,MAX(1915,MIN(2025,E587))),SUMIFS(Donnees_generations!$Z$3:$Z$113,Donnees_generations!$A$3:$A$113,MAX(1915,MIN(2025,E587))),SUMIFS(Donnees_generations!$AA$3:$AA$113,Donnees_generations!$A$3:$A$113,MAX(1915,MIN(2025,E587))),SUMIFS(Donnees_generations!$AB$3:$AB$113,Donnees_generations!$A$3:$A$113,MAX(1915,MIN(2025,E587))))+CHOOSE((AG587-56)/2+1,SUMIFS(Donnees_generations!$AC$3:$AC$113,Donnees_generations!$A$3:$A$113,MAX(1915,MIN(2025,E587))),SUMIFS(Donnees_generations!$AD$3:$AD$113,Donnees_generations!$A$3:$A$113,MAX(1915,MIN(2025,E587))),SUMIFS(Donnees_generations!$AE$3:$AE$113,Donnees_generations!$A$3:$A$113,MAX(1915,MIN(2025,E587))),SUMIFS(Donnees_generations!$AF$3:$AF$113,Donnees_generations!$A$3:$A$113,MAX(1915,MIN(2025,E587))),SUMIFS(Donnees_generations!$AG$3:$AG$113,Donnees_generations!$A$3:$A$113,MAX(1915,MIN(2025,E587))),SUMIFS(Donnees_generations!$AH$3:$AH$113,Donnees_generations!$A$3:$A$113,MAX(1915,MIN(2025,E587))),SUMIFS(Donnees_generations!$AI$3:$AI$113,Donnees_generations!$A$3:$A$113,MAX(1915,MIN(2025,E587))),SUMIFS(Donnees_generations!$AJ$3:$AJ$113,Donnees_generations!$A$3:$A$113,MAX(1915,MIN(2025,E587)))))/2</f>
        <v/>
      </c>
      <c r="AI587" s="75">
        <f>(CHOOSE(((AG587+2)-56)/2+1,SUMIFS(Donnees_generations!$U$3:$U$113,Donnees_generations!$A$3:$A$113,MAX(1915,MIN(2025,E587))),SUMIFS(Donnees_generations!$V$3:$V$113,Donnees_generations!$A$3:$A$113,MAX(1915,MIN(2025,E587))),SUMIFS(Donnees_generations!$W$3:$W$113,Donnees_generations!$A$3:$A$113,MAX(1915,MIN(2025,E587))),SUMIFS(Donnees_generations!$X$3:$X$113,Donnees_generations!$A$3:$A$113,MAX(1915,MIN(2025,E587))),SUMIFS(Donnees_generations!$Y$3:$Y$113,Donnees_generations!$A$3:$A$113,MAX(1915,MIN(2025,E587))),SUMIFS(Donnees_generations!$Z$3:$Z$113,Donnees_generations!$A$3:$A$113,MAX(1915,MIN(2025,E587))),SUMIFS(Donnees_generations!$AA$3:$AA$113,Donnees_generations!$A$3:$A$113,MAX(1915,MIN(2025,E587))),SUMIFS(Donnees_generations!$AB$3:$AB$113,Donnees_generations!$A$3:$A$113,MAX(1915,MIN(2025,E587))))+CHOOSE(((AG587+2)-56)/2+1,SUMIFS(Donnees_generations!$AC$3:$AC$113,Donnees_generations!$A$3:$A$113,MAX(1915,MIN(2025,E587))),SUMIFS(Donnees_generations!$AD$3:$AD$113,Donnees_generations!$A$3:$A$113,MAX(1915,MIN(2025,E587))),SUMIFS(Donnees_generations!$AE$3:$AE$113,Donnees_generations!$A$3:$A$113,MAX(1915,MIN(2025,E587))),SUMIFS(Donnees_generations!$AF$3:$AF$113,Donnees_generations!$A$3:$A$113,MAX(1915,MIN(2025,E587))),SUMIFS(Donnees_generations!$AG$3:$AG$113,Donnees_generations!$A$3:$A$113,MAX(1915,MIN(2025,E587))),SUMIFS(Donnees_generations!$AH$3:$AH$113,Donnees_generations!$A$3:$A$113,MAX(1915,MIN(2025,E587))),SUMIFS(Donnees_generations!$AI$3:$AI$113,Donnees_generations!$A$3:$A$113,MAX(1915,MIN(2025,E587))),SUMIFS(Donnees_generations!$AJ$3:$AJ$113,Donnees_generations!$A$3:$A$113,MAX(1915,MIN(2025,E587)))))/2</f>
        <v/>
      </c>
      <c r="AJ587" s="8">
        <f>MAX(0,AH587+(AI587-AH587)*(K587-AG587)/2)</f>
        <v/>
      </c>
      <c r="AK587" s="8">
        <f>K587+AJ587</f>
        <v/>
      </c>
      <c r="AL587" s="14">
        <f>AE587*AJ587</f>
        <v/>
      </c>
      <c r="AM587" s="17">
        <f>V587/AL587</f>
        <v/>
      </c>
      <c r="AN587" s="17">
        <f>Z587/AL587</f>
        <v/>
      </c>
      <c r="AO587" s="33">
        <f>IF(V587+Z587=0,0,Z587/(V587+Z587))</f>
        <v/>
      </c>
      <c r="AP587" s="14">
        <f>AL587/V587*100</f>
        <v/>
      </c>
      <c r="AQ587" s="8">
        <f>P587/AL587*1000</f>
        <v/>
      </c>
      <c r="AR587" s="77">
        <f>MAX(N587,M587-1)</f>
        <v/>
      </c>
      <c r="AS587" s="14">
        <f>SUMIFS(Donnees_regimes!$R$3:$R$1118,Donnees_regimes!$A$3:$A$1118,C587,Donnees_regimes!$B$3:$B$1118,"&gt;="&amp;G587,Donnees_regimes!$B$3:$B$1118,"&lt;="&amp;N587)*L587/ROUNDUP(L587,0)*SUMIFS(Donnees_annuelles!$AG$3:$AG$188,Donnees_annuelles!$A$3:$A$188,AR587)*SUMIFS(Donnees_annuelles!$AA$3:$AA$188,Donnees_annuelles!$A$3:$A$188,AR587)</f>
        <v/>
      </c>
      <c r="AT587" s="36">
        <f>AS587/V587</f>
        <v/>
      </c>
      <c r="AU587" s="14">
        <f>AL587</f>
        <v/>
      </c>
      <c r="AV587" s="39">
        <f>AS587-AL587</f>
        <v/>
      </c>
      <c r="AW587" s="9">
        <f>AS587/AL587-1</f>
        <v/>
      </c>
      <c r="AX587" s="14">
        <f>AS587/AJ587/12</f>
        <v/>
      </c>
      <c r="AY587" s="14">
        <f>AF587</f>
        <v/>
      </c>
      <c r="AZ587" s="39">
        <f>AX587-AF587</f>
        <v/>
      </c>
      <c r="BA587" s="14">
        <f>SUMIFS(Donnees_regimes!$S$3:$S$1118,Donnees_regimes!$A$3:$A$1118,C587,Donnees_regimes!$B$3:$B$1118,"&gt;="&amp;G587,Donnees_regimes!$B$3:$B$1118,"&lt;="&amp;N587)*L587/ROUNDUP(L587,0)*SUMIFS(Donnees_annuelles!$AH$3:$AH$188,Donnees_annuelles!$A$3:$A$188,AR587)*SUMIFS(Donnees_annuelles!$AA$3:$AA$188,Donnees_annuelles!$A$3:$A$188,AR587)</f>
        <v/>
      </c>
      <c r="BB587" s="39">
        <f>BA587-AL587</f>
        <v/>
      </c>
      <c r="BC587" s="7">
        <f>IF(M587+AJ587&gt;2026,IF(G587&gt;2026,"entièrement projeté","en partie projeté"),"observé")</f>
        <v/>
      </c>
    </row>
    <row r="588">
      <c r="A588" s="7" t="inlineStr">
        <is>
          <t>Génération Alpha</t>
        </is>
      </c>
      <c r="B588" s="84" t="inlineStr">
        <is>
          <t>IEG</t>
        </is>
      </c>
      <c r="C588" s="7">
        <f>IF(G588&gt;=SUMIFS(Regimes!$C$5:$C$10,Regimes!$A$5:$A$10,B588),"Privé",B588)</f>
        <v/>
      </c>
      <c r="D588" s="7">
        <f>INDEX(Regimes!$D$5:$D$10,MATCH(C588,Regimes!$A$5:$A$10,0))</f>
        <v/>
      </c>
      <c r="E588" s="88" t="n">
        <v>2023</v>
      </c>
      <c r="F588" s="8">
        <f>Donnees_generations!C111</f>
        <v/>
      </c>
      <c r="G588" s="77">
        <f>Donnees_generations!D111</f>
        <v/>
      </c>
      <c r="H588" s="8">
        <f>SUMIFS(Donnees_generations!$S$3:$S$113,Donnees_generations!$A$3:$A$113,MAX(1915,MIN(2025,E588)))</f>
        <v/>
      </c>
      <c r="I588" s="8">
        <f>SUMIFS(Donnees_generations!$T$3:$T$113,Donnees_generations!$A$3:$A$113,MAX(1915,MIN(2025,E588)))</f>
        <v/>
      </c>
      <c r="J588" s="8">
        <f>IF(G588&gt;=2000,MAX(I588,Parametres!$B$3),I588)</f>
        <v/>
      </c>
      <c r="K588" s="8">
        <f>IF(C588="Privé",J588,SUMIFS(Regles_regimes!$J$3:$J$2000,Regles_regimes!$A$3:$A$2000,C588,Regles_regimes!$B$3:$B$2000,D588,Regles_regimes!$C$3:$C$2000,MAX(1915,MIN(2025,E588))))</f>
        <v/>
      </c>
      <c r="L588" s="8">
        <f>IF(C588="Privé",H588,(K588-F588)*H588/(J588-F588))</f>
        <v/>
      </c>
      <c r="M588" s="77">
        <f>INT(E588+K588)</f>
        <v/>
      </c>
      <c r="N588" s="77">
        <f>G588+ROUNDUP(L588,0)-1</f>
        <v/>
      </c>
      <c r="O588" s="89">
        <f>SUMIFS(Regles_regimes!$K$3:$K$2000,Regles_regimes!$A$3:$A$2000,C588,Regles_regimes!$B$3:$B$2000,D588,Regles_regimes!$C$3:$C$2000,MAX(1915,MIN(2025,E588)))</f>
        <v/>
      </c>
      <c r="P588" s="13">
        <f>SUMIFS(Donnees_annuelles!$W$3:$W$188,Donnees_annuelles!$A$3:$A$188,"&gt;="&amp;G588,Donnees_annuelles!$A$3:$A$188,"&lt;="&amp;N588)*L588/ROUNDUP(L588,0)*O588</f>
        <v/>
      </c>
      <c r="Q588" s="13">
        <f>SUMIFS(Donnees_annuelles!$V$3:$V$188,Donnees_annuelles!$A$3:$A$188,"&gt;="&amp;G588,Donnees_annuelles!$A$3:$A$188,"&lt;="&amp;N588)*L588/ROUNDUP(L588,0)</f>
        <v/>
      </c>
      <c r="R588" s="13">
        <f>P588/L588</f>
        <v/>
      </c>
      <c r="S588" s="14">
        <f>SUMIFS(Donnees_annuelles!$D$3:$D$188,Donnees_annuelles!$A$3:$A$188,"&gt;="&amp;G588,Donnees_annuelles!$A$3:$A$188,"&lt;="&amp;N588)*L588/ROUNDUP(L588,0)</f>
        <v/>
      </c>
      <c r="T588" s="14">
        <f>SUMIFS(Donnees_regimes!$N$3:$N$1118,Donnees_regimes!$A$3:$A$1118,C588,Donnees_regimes!$B$3:$B$1118,"&gt;="&amp;G588,Donnees_regimes!$B$3:$B$1118,"&lt;="&amp;N588)*L588/ROUNDUP(L588,0)</f>
        <v/>
      </c>
      <c r="U588" s="14">
        <f>SUMIFS(Donnees_regimes!$O$3:$O$1118,Donnees_regimes!$A$3:$A$1118,C588,Donnees_regimes!$B$3:$B$1118,"&gt;="&amp;G588,Donnees_regimes!$B$3:$B$1118,"&lt;="&amp;N588)*L588/ROUNDUP(L588,0)</f>
        <v/>
      </c>
      <c r="V588" s="14">
        <f>T588+U588</f>
        <v/>
      </c>
      <c r="W588" s="33">
        <f>V588/S588</f>
        <v/>
      </c>
      <c r="X588" s="14">
        <f>S588+U588</f>
        <v/>
      </c>
      <c r="Y588" s="17">
        <f>V588/P588</f>
        <v/>
      </c>
      <c r="Z588" s="14">
        <f>SUMIFS(Donnees_regimes!$Q$3:$Q$1118,Donnees_regimes!$A$3:$A$1118,C588,Donnees_regimes!$B$3:$B$1118,"&gt;="&amp;G588,Donnees_regimes!$B$3:$B$1118,"&lt;="&amp;N588)*L588/ROUNDUP(L588,0)</f>
        <v/>
      </c>
      <c r="AA588" s="77">
        <f>SUMIFS(Regles_regimes!$F$3:$F$2000,Regles_regimes!$A$3:$A$2000,C588,Regles_regimes!$B$3:$B$2000,D588,Regles_regimes!$C$3:$C$2000,MAX(1915,MIN(2025,E588)))</f>
        <v/>
      </c>
      <c r="AB588" s="77">
        <f>IF(AND(SUMIFS(Regles_regimes!$L$3:$L$2000,Regles_regimes!$A$3:$A$2000,C588,Regles_regimes!$B$3:$B$2000,D588,Regles_regimes!$C$3:$C$2000,MAX(1915,MIN(2025,E588)))=1,G588&lt;2009,C588&lt;&gt;"Privé"),MIN(20,L588*4/5),0)</f>
        <v/>
      </c>
      <c r="AC588" s="89">
        <f>SUMIFS(Donnees_regimes!$M$3:$M$1118,Donnees_regimes!$A$3:$A$1118,C588,Donnees_regimes!$B$3:$B$1118,M588)</f>
        <v/>
      </c>
      <c r="AD588" s="14">
        <f>SUMIFS(Donnees_annuelles!$Y$3:$Y$188,Donnees_annuelles!$A$3:$A$188,M588)*SUMIFS(Donnees_generations!$I$3:$I$113,Donnees_generations!$A$3:$A$113,MAX(1915,MIN(2025,E588)))/H588</f>
        <v/>
      </c>
      <c r="AE588" s="14">
        <f>IF(C588="Privé",SUMIFS(Donnees_annuelles!$Y$3:$Y$188,Donnees_annuelles!$A$3:$A$188,M588)*MIN(L588,SUMIFS(Donnees_generations!$I$3:$I$113,Donnees_generations!$A$3:$A$113,MAX(1915,MIN(2025,E588))))/L588,AD588*AC588*MIN(IF(AB588&gt;0,0.8/0.75,1),(L588*4+AB588)/AA588))</f>
        <v/>
      </c>
      <c r="AF588" s="14">
        <f>AE588/12</f>
        <v/>
      </c>
      <c r="AG588" s="77">
        <f>MIN(68,MAX(56,2*INT(K588/2)))</f>
        <v/>
      </c>
      <c r="AH588" s="75">
        <f>(CHOOSE((AG588-56)/2+1,SUMIFS(Donnees_generations!$U$3:$U$113,Donnees_generations!$A$3:$A$113,MAX(1915,MIN(2025,E588))),SUMIFS(Donnees_generations!$V$3:$V$113,Donnees_generations!$A$3:$A$113,MAX(1915,MIN(2025,E588))),SUMIFS(Donnees_generations!$W$3:$W$113,Donnees_generations!$A$3:$A$113,MAX(1915,MIN(2025,E588))),SUMIFS(Donnees_generations!$X$3:$X$113,Donnees_generations!$A$3:$A$113,MAX(1915,MIN(2025,E588))),SUMIFS(Donnees_generations!$Y$3:$Y$113,Donnees_generations!$A$3:$A$113,MAX(1915,MIN(2025,E588))),SUMIFS(Donnees_generations!$Z$3:$Z$113,Donnees_generations!$A$3:$A$113,MAX(1915,MIN(2025,E588))),SUMIFS(Donnees_generations!$AA$3:$AA$113,Donnees_generations!$A$3:$A$113,MAX(1915,MIN(2025,E588))),SUMIFS(Donnees_generations!$AB$3:$AB$113,Donnees_generations!$A$3:$A$113,MAX(1915,MIN(2025,E588))))+CHOOSE((AG588-56)/2+1,SUMIFS(Donnees_generations!$AC$3:$AC$113,Donnees_generations!$A$3:$A$113,MAX(1915,MIN(2025,E588))),SUMIFS(Donnees_generations!$AD$3:$AD$113,Donnees_generations!$A$3:$A$113,MAX(1915,MIN(2025,E588))),SUMIFS(Donnees_generations!$AE$3:$AE$113,Donnees_generations!$A$3:$A$113,MAX(1915,MIN(2025,E588))),SUMIFS(Donnees_generations!$AF$3:$AF$113,Donnees_generations!$A$3:$A$113,MAX(1915,MIN(2025,E588))),SUMIFS(Donnees_generations!$AG$3:$AG$113,Donnees_generations!$A$3:$A$113,MAX(1915,MIN(2025,E588))),SUMIFS(Donnees_generations!$AH$3:$AH$113,Donnees_generations!$A$3:$A$113,MAX(1915,MIN(2025,E588))),SUMIFS(Donnees_generations!$AI$3:$AI$113,Donnees_generations!$A$3:$A$113,MAX(1915,MIN(2025,E588))),SUMIFS(Donnees_generations!$AJ$3:$AJ$113,Donnees_generations!$A$3:$A$113,MAX(1915,MIN(2025,E588)))))/2</f>
        <v/>
      </c>
      <c r="AI588" s="75">
        <f>(CHOOSE(((AG588+2)-56)/2+1,SUMIFS(Donnees_generations!$U$3:$U$113,Donnees_generations!$A$3:$A$113,MAX(1915,MIN(2025,E588))),SUMIFS(Donnees_generations!$V$3:$V$113,Donnees_generations!$A$3:$A$113,MAX(1915,MIN(2025,E588))),SUMIFS(Donnees_generations!$W$3:$W$113,Donnees_generations!$A$3:$A$113,MAX(1915,MIN(2025,E588))),SUMIFS(Donnees_generations!$X$3:$X$113,Donnees_generations!$A$3:$A$113,MAX(1915,MIN(2025,E588))),SUMIFS(Donnees_generations!$Y$3:$Y$113,Donnees_generations!$A$3:$A$113,MAX(1915,MIN(2025,E588))),SUMIFS(Donnees_generations!$Z$3:$Z$113,Donnees_generations!$A$3:$A$113,MAX(1915,MIN(2025,E588))),SUMIFS(Donnees_generations!$AA$3:$AA$113,Donnees_generations!$A$3:$A$113,MAX(1915,MIN(2025,E588))),SUMIFS(Donnees_generations!$AB$3:$AB$113,Donnees_generations!$A$3:$A$113,MAX(1915,MIN(2025,E588))))+CHOOSE(((AG588+2)-56)/2+1,SUMIFS(Donnees_generations!$AC$3:$AC$113,Donnees_generations!$A$3:$A$113,MAX(1915,MIN(2025,E588))),SUMIFS(Donnees_generations!$AD$3:$AD$113,Donnees_generations!$A$3:$A$113,MAX(1915,MIN(2025,E588))),SUMIFS(Donnees_generations!$AE$3:$AE$113,Donnees_generations!$A$3:$A$113,MAX(1915,MIN(2025,E588))),SUMIFS(Donnees_generations!$AF$3:$AF$113,Donnees_generations!$A$3:$A$113,MAX(1915,MIN(2025,E588))),SUMIFS(Donnees_generations!$AG$3:$AG$113,Donnees_generations!$A$3:$A$113,MAX(1915,MIN(2025,E588))),SUMIFS(Donnees_generations!$AH$3:$AH$113,Donnees_generations!$A$3:$A$113,MAX(1915,MIN(2025,E588))),SUMIFS(Donnees_generations!$AI$3:$AI$113,Donnees_generations!$A$3:$A$113,MAX(1915,MIN(2025,E588))),SUMIFS(Donnees_generations!$AJ$3:$AJ$113,Donnees_generations!$A$3:$A$113,MAX(1915,MIN(2025,E588)))))/2</f>
        <v/>
      </c>
      <c r="AJ588" s="8">
        <f>MAX(0,AH588+(AI588-AH588)*(K588-AG588)/2)</f>
        <v/>
      </c>
      <c r="AK588" s="8">
        <f>K588+AJ588</f>
        <v/>
      </c>
      <c r="AL588" s="14">
        <f>AE588*AJ588</f>
        <v/>
      </c>
      <c r="AM588" s="17">
        <f>V588/AL588</f>
        <v/>
      </c>
      <c r="AN588" s="17">
        <f>Z588/AL588</f>
        <v/>
      </c>
      <c r="AO588" s="33">
        <f>IF(V588+Z588=0,0,Z588/(V588+Z588))</f>
        <v/>
      </c>
      <c r="AP588" s="14">
        <f>AL588/V588*100</f>
        <v/>
      </c>
      <c r="AQ588" s="8">
        <f>P588/AL588*1000</f>
        <v/>
      </c>
      <c r="AR588" s="77">
        <f>MAX(N588,M588-1)</f>
        <v/>
      </c>
      <c r="AS588" s="14">
        <f>SUMIFS(Donnees_regimes!$R$3:$R$1118,Donnees_regimes!$A$3:$A$1118,C588,Donnees_regimes!$B$3:$B$1118,"&gt;="&amp;G588,Donnees_regimes!$B$3:$B$1118,"&lt;="&amp;N588)*L588/ROUNDUP(L588,0)*SUMIFS(Donnees_annuelles!$AG$3:$AG$188,Donnees_annuelles!$A$3:$A$188,AR588)*SUMIFS(Donnees_annuelles!$AA$3:$AA$188,Donnees_annuelles!$A$3:$A$188,AR588)</f>
        <v/>
      </c>
      <c r="AT588" s="36">
        <f>AS588/V588</f>
        <v/>
      </c>
      <c r="AU588" s="14">
        <f>AL588</f>
        <v/>
      </c>
      <c r="AV588" s="39">
        <f>AS588-AL588</f>
        <v/>
      </c>
      <c r="AW588" s="9">
        <f>AS588/AL588-1</f>
        <v/>
      </c>
      <c r="AX588" s="14">
        <f>AS588/AJ588/12</f>
        <v/>
      </c>
      <c r="AY588" s="14">
        <f>AF588</f>
        <v/>
      </c>
      <c r="AZ588" s="39">
        <f>AX588-AF588</f>
        <v/>
      </c>
      <c r="BA588" s="14">
        <f>SUMIFS(Donnees_regimes!$S$3:$S$1118,Donnees_regimes!$A$3:$A$1118,C588,Donnees_regimes!$B$3:$B$1118,"&gt;="&amp;G588,Donnees_regimes!$B$3:$B$1118,"&lt;="&amp;N588)*L588/ROUNDUP(L588,0)*SUMIFS(Donnees_annuelles!$AH$3:$AH$188,Donnees_annuelles!$A$3:$A$188,AR588)*SUMIFS(Donnees_annuelles!$AA$3:$AA$188,Donnees_annuelles!$A$3:$A$188,AR588)</f>
        <v/>
      </c>
      <c r="BB588" s="39">
        <f>BA588-AL588</f>
        <v/>
      </c>
      <c r="BC588" s="7">
        <f>IF(M588+AJ588&gt;2026,IF(G588&gt;2026,"entièrement projeté","en partie projeté"),"observé")</f>
        <v/>
      </c>
    </row>
    <row r="589">
      <c r="A589" s="7" t="inlineStr">
        <is>
          <t>Génération Alpha</t>
        </is>
      </c>
      <c r="B589" s="84" t="inlineStr">
        <is>
          <t>IEG</t>
        </is>
      </c>
      <c r="C589" s="7">
        <f>IF(G589&gt;=SUMIFS(Regimes!$C$5:$C$10,Regimes!$A$5:$A$10,B589),"Privé",B589)</f>
        <v/>
      </c>
      <c r="D589" s="7">
        <f>INDEX(Regimes!$D$5:$D$10,MATCH(C589,Regimes!$A$5:$A$10,0))</f>
        <v/>
      </c>
      <c r="E589" s="88" t="n">
        <v>2024</v>
      </c>
      <c r="F589" s="8">
        <f>Donnees_generations!C112</f>
        <v/>
      </c>
      <c r="G589" s="77">
        <f>Donnees_generations!D112</f>
        <v/>
      </c>
      <c r="H589" s="8">
        <f>SUMIFS(Donnees_generations!$S$3:$S$113,Donnees_generations!$A$3:$A$113,MAX(1915,MIN(2025,E589)))</f>
        <v/>
      </c>
      <c r="I589" s="8">
        <f>SUMIFS(Donnees_generations!$T$3:$T$113,Donnees_generations!$A$3:$A$113,MAX(1915,MIN(2025,E589)))</f>
        <v/>
      </c>
      <c r="J589" s="8">
        <f>IF(G589&gt;=2000,MAX(I589,Parametres!$B$3),I589)</f>
        <v/>
      </c>
      <c r="K589" s="8">
        <f>IF(C589="Privé",J589,SUMIFS(Regles_regimes!$J$3:$J$2000,Regles_regimes!$A$3:$A$2000,C589,Regles_regimes!$B$3:$B$2000,D589,Regles_regimes!$C$3:$C$2000,MAX(1915,MIN(2025,E589))))</f>
        <v/>
      </c>
      <c r="L589" s="8">
        <f>IF(C589="Privé",H589,(K589-F589)*H589/(J589-F589))</f>
        <v/>
      </c>
      <c r="M589" s="77">
        <f>INT(E589+K589)</f>
        <v/>
      </c>
      <c r="N589" s="77">
        <f>G589+ROUNDUP(L589,0)-1</f>
        <v/>
      </c>
      <c r="O589" s="89">
        <f>SUMIFS(Regles_regimes!$K$3:$K$2000,Regles_regimes!$A$3:$A$2000,C589,Regles_regimes!$B$3:$B$2000,D589,Regles_regimes!$C$3:$C$2000,MAX(1915,MIN(2025,E589)))</f>
        <v/>
      </c>
      <c r="P589" s="13">
        <f>SUMIFS(Donnees_annuelles!$W$3:$W$188,Donnees_annuelles!$A$3:$A$188,"&gt;="&amp;G589,Donnees_annuelles!$A$3:$A$188,"&lt;="&amp;N589)*L589/ROUNDUP(L589,0)*O589</f>
        <v/>
      </c>
      <c r="Q589" s="13">
        <f>SUMIFS(Donnees_annuelles!$V$3:$V$188,Donnees_annuelles!$A$3:$A$188,"&gt;="&amp;G589,Donnees_annuelles!$A$3:$A$188,"&lt;="&amp;N589)*L589/ROUNDUP(L589,0)</f>
        <v/>
      </c>
      <c r="R589" s="13">
        <f>P589/L589</f>
        <v/>
      </c>
      <c r="S589" s="14">
        <f>SUMIFS(Donnees_annuelles!$D$3:$D$188,Donnees_annuelles!$A$3:$A$188,"&gt;="&amp;G589,Donnees_annuelles!$A$3:$A$188,"&lt;="&amp;N589)*L589/ROUNDUP(L589,0)</f>
        <v/>
      </c>
      <c r="T589" s="14">
        <f>SUMIFS(Donnees_regimes!$N$3:$N$1118,Donnees_regimes!$A$3:$A$1118,C589,Donnees_regimes!$B$3:$B$1118,"&gt;="&amp;G589,Donnees_regimes!$B$3:$B$1118,"&lt;="&amp;N589)*L589/ROUNDUP(L589,0)</f>
        <v/>
      </c>
      <c r="U589" s="14">
        <f>SUMIFS(Donnees_regimes!$O$3:$O$1118,Donnees_regimes!$A$3:$A$1118,C589,Donnees_regimes!$B$3:$B$1118,"&gt;="&amp;G589,Donnees_regimes!$B$3:$B$1118,"&lt;="&amp;N589)*L589/ROUNDUP(L589,0)</f>
        <v/>
      </c>
      <c r="V589" s="14">
        <f>T589+U589</f>
        <v/>
      </c>
      <c r="W589" s="33">
        <f>V589/S589</f>
        <v/>
      </c>
      <c r="X589" s="14">
        <f>S589+U589</f>
        <v/>
      </c>
      <c r="Y589" s="17">
        <f>V589/P589</f>
        <v/>
      </c>
      <c r="Z589" s="14">
        <f>SUMIFS(Donnees_regimes!$Q$3:$Q$1118,Donnees_regimes!$A$3:$A$1118,C589,Donnees_regimes!$B$3:$B$1118,"&gt;="&amp;G589,Donnees_regimes!$B$3:$B$1118,"&lt;="&amp;N589)*L589/ROUNDUP(L589,0)</f>
        <v/>
      </c>
      <c r="AA589" s="77">
        <f>SUMIFS(Regles_regimes!$F$3:$F$2000,Regles_regimes!$A$3:$A$2000,C589,Regles_regimes!$B$3:$B$2000,D589,Regles_regimes!$C$3:$C$2000,MAX(1915,MIN(2025,E589)))</f>
        <v/>
      </c>
      <c r="AB589" s="77">
        <f>IF(AND(SUMIFS(Regles_regimes!$L$3:$L$2000,Regles_regimes!$A$3:$A$2000,C589,Regles_regimes!$B$3:$B$2000,D589,Regles_regimes!$C$3:$C$2000,MAX(1915,MIN(2025,E589)))=1,G589&lt;2009,C589&lt;&gt;"Privé"),MIN(20,L589*4/5),0)</f>
        <v/>
      </c>
      <c r="AC589" s="89">
        <f>SUMIFS(Donnees_regimes!$M$3:$M$1118,Donnees_regimes!$A$3:$A$1118,C589,Donnees_regimes!$B$3:$B$1118,M589)</f>
        <v/>
      </c>
      <c r="AD589" s="14">
        <f>SUMIFS(Donnees_annuelles!$Y$3:$Y$188,Donnees_annuelles!$A$3:$A$188,M589)*SUMIFS(Donnees_generations!$I$3:$I$113,Donnees_generations!$A$3:$A$113,MAX(1915,MIN(2025,E589)))/H589</f>
        <v/>
      </c>
      <c r="AE589" s="14">
        <f>IF(C589="Privé",SUMIFS(Donnees_annuelles!$Y$3:$Y$188,Donnees_annuelles!$A$3:$A$188,M589)*MIN(L589,SUMIFS(Donnees_generations!$I$3:$I$113,Donnees_generations!$A$3:$A$113,MAX(1915,MIN(2025,E589))))/L589,AD589*AC589*MIN(IF(AB589&gt;0,0.8/0.75,1),(L589*4+AB589)/AA589))</f>
        <v/>
      </c>
      <c r="AF589" s="14">
        <f>AE589/12</f>
        <v/>
      </c>
      <c r="AG589" s="77">
        <f>MIN(68,MAX(56,2*INT(K589/2)))</f>
        <v/>
      </c>
      <c r="AH589" s="75">
        <f>(CHOOSE((AG589-56)/2+1,SUMIFS(Donnees_generations!$U$3:$U$113,Donnees_generations!$A$3:$A$113,MAX(1915,MIN(2025,E589))),SUMIFS(Donnees_generations!$V$3:$V$113,Donnees_generations!$A$3:$A$113,MAX(1915,MIN(2025,E589))),SUMIFS(Donnees_generations!$W$3:$W$113,Donnees_generations!$A$3:$A$113,MAX(1915,MIN(2025,E589))),SUMIFS(Donnees_generations!$X$3:$X$113,Donnees_generations!$A$3:$A$113,MAX(1915,MIN(2025,E589))),SUMIFS(Donnees_generations!$Y$3:$Y$113,Donnees_generations!$A$3:$A$113,MAX(1915,MIN(2025,E589))),SUMIFS(Donnees_generations!$Z$3:$Z$113,Donnees_generations!$A$3:$A$113,MAX(1915,MIN(2025,E589))),SUMIFS(Donnees_generations!$AA$3:$AA$113,Donnees_generations!$A$3:$A$113,MAX(1915,MIN(2025,E589))),SUMIFS(Donnees_generations!$AB$3:$AB$113,Donnees_generations!$A$3:$A$113,MAX(1915,MIN(2025,E589))))+CHOOSE((AG589-56)/2+1,SUMIFS(Donnees_generations!$AC$3:$AC$113,Donnees_generations!$A$3:$A$113,MAX(1915,MIN(2025,E589))),SUMIFS(Donnees_generations!$AD$3:$AD$113,Donnees_generations!$A$3:$A$113,MAX(1915,MIN(2025,E589))),SUMIFS(Donnees_generations!$AE$3:$AE$113,Donnees_generations!$A$3:$A$113,MAX(1915,MIN(2025,E589))),SUMIFS(Donnees_generations!$AF$3:$AF$113,Donnees_generations!$A$3:$A$113,MAX(1915,MIN(2025,E589))),SUMIFS(Donnees_generations!$AG$3:$AG$113,Donnees_generations!$A$3:$A$113,MAX(1915,MIN(2025,E589))),SUMIFS(Donnees_generations!$AH$3:$AH$113,Donnees_generations!$A$3:$A$113,MAX(1915,MIN(2025,E589))),SUMIFS(Donnees_generations!$AI$3:$AI$113,Donnees_generations!$A$3:$A$113,MAX(1915,MIN(2025,E589))),SUMIFS(Donnees_generations!$AJ$3:$AJ$113,Donnees_generations!$A$3:$A$113,MAX(1915,MIN(2025,E589)))))/2</f>
        <v/>
      </c>
      <c r="AI589" s="75">
        <f>(CHOOSE(((AG589+2)-56)/2+1,SUMIFS(Donnees_generations!$U$3:$U$113,Donnees_generations!$A$3:$A$113,MAX(1915,MIN(2025,E589))),SUMIFS(Donnees_generations!$V$3:$V$113,Donnees_generations!$A$3:$A$113,MAX(1915,MIN(2025,E589))),SUMIFS(Donnees_generations!$W$3:$W$113,Donnees_generations!$A$3:$A$113,MAX(1915,MIN(2025,E589))),SUMIFS(Donnees_generations!$X$3:$X$113,Donnees_generations!$A$3:$A$113,MAX(1915,MIN(2025,E589))),SUMIFS(Donnees_generations!$Y$3:$Y$113,Donnees_generations!$A$3:$A$113,MAX(1915,MIN(2025,E589))),SUMIFS(Donnees_generations!$Z$3:$Z$113,Donnees_generations!$A$3:$A$113,MAX(1915,MIN(2025,E589))),SUMIFS(Donnees_generations!$AA$3:$AA$113,Donnees_generations!$A$3:$A$113,MAX(1915,MIN(2025,E589))),SUMIFS(Donnees_generations!$AB$3:$AB$113,Donnees_generations!$A$3:$A$113,MAX(1915,MIN(2025,E589))))+CHOOSE(((AG589+2)-56)/2+1,SUMIFS(Donnees_generations!$AC$3:$AC$113,Donnees_generations!$A$3:$A$113,MAX(1915,MIN(2025,E589))),SUMIFS(Donnees_generations!$AD$3:$AD$113,Donnees_generations!$A$3:$A$113,MAX(1915,MIN(2025,E589))),SUMIFS(Donnees_generations!$AE$3:$AE$113,Donnees_generations!$A$3:$A$113,MAX(1915,MIN(2025,E589))),SUMIFS(Donnees_generations!$AF$3:$AF$113,Donnees_generations!$A$3:$A$113,MAX(1915,MIN(2025,E589))),SUMIFS(Donnees_generations!$AG$3:$AG$113,Donnees_generations!$A$3:$A$113,MAX(1915,MIN(2025,E589))),SUMIFS(Donnees_generations!$AH$3:$AH$113,Donnees_generations!$A$3:$A$113,MAX(1915,MIN(2025,E589))),SUMIFS(Donnees_generations!$AI$3:$AI$113,Donnees_generations!$A$3:$A$113,MAX(1915,MIN(2025,E589))),SUMIFS(Donnees_generations!$AJ$3:$AJ$113,Donnees_generations!$A$3:$A$113,MAX(1915,MIN(2025,E589)))))/2</f>
        <v/>
      </c>
      <c r="AJ589" s="8">
        <f>MAX(0,AH589+(AI589-AH589)*(K589-AG589)/2)</f>
        <v/>
      </c>
      <c r="AK589" s="8">
        <f>K589+AJ589</f>
        <v/>
      </c>
      <c r="AL589" s="14">
        <f>AE589*AJ589</f>
        <v/>
      </c>
      <c r="AM589" s="17">
        <f>V589/AL589</f>
        <v/>
      </c>
      <c r="AN589" s="17">
        <f>Z589/AL589</f>
        <v/>
      </c>
      <c r="AO589" s="33">
        <f>IF(V589+Z589=0,0,Z589/(V589+Z589))</f>
        <v/>
      </c>
      <c r="AP589" s="14">
        <f>AL589/V589*100</f>
        <v/>
      </c>
      <c r="AQ589" s="8">
        <f>P589/AL589*1000</f>
        <v/>
      </c>
      <c r="AR589" s="77">
        <f>MAX(N589,M589-1)</f>
        <v/>
      </c>
      <c r="AS589" s="14">
        <f>SUMIFS(Donnees_regimes!$R$3:$R$1118,Donnees_regimes!$A$3:$A$1118,C589,Donnees_regimes!$B$3:$B$1118,"&gt;="&amp;G589,Donnees_regimes!$B$3:$B$1118,"&lt;="&amp;N589)*L589/ROUNDUP(L589,0)*SUMIFS(Donnees_annuelles!$AG$3:$AG$188,Donnees_annuelles!$A$3:$A$188,AR589)*SUMIFS(Donnees_annuelles!$AA$3:$AA$188,Donnees_annuelles!$A$3:$A$188,AR589)</f>
        <v/>
      </c>
      <c r="AT589" s="36">
        <f>AS589/V589</f>
        <v/>
      </c>
      <c r="AU589" s="14">
        <f>AL589</f>
        <v/>
      </c>
      <c r="AV589" s="39">
        <f>AS589-AL589</f>
        <v/>
      </c>
      <c r="AW589" s="9">
        <f>AS589/AL589-1</f>
        <v/>
      </c>
      <c r="AX589" s="14">
        <f>AS589/AJ589/12</f>
        <v/>
      </c>
      <c r="AY589" s="14">
        <f>AF589</f>
        <v/>
      </c>
      <c r="AZ589" s="39">
        <f>AX589-AF589</f>
        <v/>
      </c>
      <c r="BA589" s="14">
        <f>SUMIFS(Donnees_regimes!$S$3:$S$1118,Donnees_regimes!$A$3:$A$1118,C589,Donnees_regimes!$B$3:$B$1118,"&gt;="&amp;G589,Donnees_regimes!$B$3:$B$1118,"&lt;="&amp;N589)*L589/ROUNDUP(L589,0)*SUMIFS(Donnees_annuelles!$AH$3:$AH$188,Donnees_annuelles!$A$3:$A$188,AR589)*SUMIFS(Donnees_annuelles!$AA$3:$AA$188,Donnees_annuelles!$A$3:$A$188,AR589)</f>
        <v/>
      </c>
      <c r="BB589" s="39">
        <f>BA589-AL589</f>
        <v/>
      </c>
      <c r="BC589" s="7">
        <f>IF(M589+AJ589&gt;2026,IF(G589&gt;2026,"entièrement projeté","en partie projeté"),"observé")</f>
        <v/>
      </c>
    </row>
    <row r="590">
      <c r="A590" s="7" t="inlineStr">
        <is>
          <t>Génération Alpha</t>
        </is>
      </c>
      <c r="B590" s="84" t="inlineStr">
        <is>
          <t>IEG</t>
        </is>
      </c>
      <c r="C590" s="7">
        <f>IF(G590&gt;=SUMIFS(Regimes!$C$5:$C$10,Regimes!$A$5:$A$10,B590),"Privé",B590)</f>
        <v/>
      </c>
      <c r="D590" s="7">
        <f>INDEX(Regimes!$D$5:$D$10,MATCH(C590,Regimes!$A$5:$A$10,0))</f>
        <v/>
      </c>
      <c r="E590" s="88" t="n">
        <v>2025</v>
      </c>
      <c r="F590" s="8">
        <f>Donnees_generations!C113</f>
        <v/>
      </c>
      <c r="G590" s="77">
        <f>Donnees_generations!D113</f>
        <v/>
      </c>
      <c r="H590" s="8">
        <f>SUMIFS(Donnees_generations!$S$3:$S$113,Donnees_generations!$A$3:$A$113,MAX(1915,MIN(2025,E590)))</f>
        <v/>
      </c>
      <c r="I590" s="8">
        <f>SUMIFS(Donnees_generations!$T$3:$T$113,Donnees_generations!$A$3:$A$113,MAX(1915,MIN(2025,E590)))</f>
        <v/>
      </c>
      <c r="J590" s="8">
        <f>IF(G590&gt;=2000,MAX(I590,Parametres!$B$3),I590)</f>
        <v/>
      </c>
      <c r="K590" s="8">
        <f>IF(C590="Privé",J590,SUMIFS(Regles_regimes!$J$3:$J$2000,Regles_regimes!$A$3:$A$2000,C590,Regles_regimes!$B$3:$B$2000,D590,Regles_regimes!$C$3:$C$2000,MAX(1915,MIN(2025,E590))))</f>
        <v/>
      </c>
      <c r="L590" s="8">
        <f>IF(C590="Privé",H590,(K590-F590)*H590/(J590-F590))</f>
        <v/>
      </c>
      <c r="M590" s="77">
        <f>INT(E590+K590)</f>
        <v/>
      </c>
      <c r="N590" s="77">
        <f>G590+ROUNDUP(L590,0)-1</f>
        <v/>
      </c>
      <c r="O590" s="89">
        <f>SUMIFS(Regles_regimes!$K$3:$K$2000,Regles_regimes!$A$3:$A$2000,C590,Regles_regimes!$B$3:$B$2000,D590,Regles_regimes!$C$3:$C$2000,MAX(1915,MIN(2025,E590)))</f>
        <v/>
      </c>
      <c r="P590" s="13">
        <f>SUMIFS(Donnees_annuelles!$W$3:$W$188,Donnees_annuelles!$A$3:$A$188,"&gt;="&amp;G590,Donnees_annuelles!$A$3:$A$188,"&lt;="&amp;N590)*L590/ROUNDUP(L590,0)*O590</f>
        <v/>
      </c>
      <c r="Q590" s="13">
        <f>SUMIFS(Donnees_annuelles!$V$3:$V$188,Donnees_annuelles!$A$3:$A$188,"&gt;="&amp;G590,Donnees_annuelles!$A$3:$A$188,"&lt;="&amp;N590)*L590/ROUNDUP(L590,0)</f>
        <v/>
      </c>
      <c r="R590" s="13">
        <f>P590/L590</f>
        <v/>
      </c>
      <c r="S590" s="14">
        <f>SUMIFS(Donnees_annuelles!$D$3:$D$188,Donnees_annuelles!$A$3:$A$188,"&gt;="&amp;G590,Donnees_annuelles!$A$3:$A$188,"&lt;="&amp;N590)*L590/ROUNDUP(L590,0)</f>
        <v/>
      </c>
      <c r="T590" s="14">
        <f>SUMIFS(Donnees_regimes!$N$3:$N$1118,Donnees_regimes!$A$3:$A$1118,C590,Donnees_regimes!$B$3:$B$1118,"&gt;="&amp;G590,Donnees_regimes!$B$3:$B$1118,"&lt;="&amp;N590)*L590/ROUNDUP(L590,0)</f>
        <v/>
      </c>
      <c r="U590" s="14">
        <f>SUMIFS(Donnees_regimes!$O$3:$O$1118,Donnees_regimes!$A$3:$A$1118,C590,Donnees_regimes!$B$3:$B$1118,"&gt;="&amp;G590,Donnees_regimes!$B$3:$B$1118,"&lt;="&amp;N590)*L590/ROUNDUP(L590,0)</f>
        <v/>
      </c>
      <c r="V590" s="14">
        <f>T590+U590</f>
        <v/>
      </c>
      <c r="W590" s="33">
        <f>V590/S590</f>
        <v/>
      </c>
      <c r="X590" s="14">
        <f>S590+U590</f>
        <v/>
      </c>
      <c r="Y590" s="17">
        <f>V590/P590</f>
        <v/>
      </c>
      <c r="Z590" s="14">
        <f>SUMIFS(Donnees_regimes!$Q$3:$Q$1118,Donnees_regimes!$A$3:$A$1118,C590,Donnees_regimes!$B$3:$B$1118,"&gt;="&amp;G590,Donnees_regimes!$B$3:$B$1118,"&lt;="&amp;N590)*L590/ROUNDUP(L590,0)</f>
        <v/>
      </c>
      <c r="AA590" s="77">
        <f>SUMIFS(Regles_regimes!$F$3:$F$2000,Regles_regimes!$A$3:$A$2000,C590,Regles_regimes!$B$3:$B$2000,D590,Regles_regimes!$C$3:$C$2000,MAX(1915,MIN(2025,E590)))</f>
        <v/>
      </c>
      <c r="AB590" s="77">
        <f>IF(AND(SUMIFS(Regles_regimes!$L$3:$L$2000,Regles_regimes!$A$3:$A$2000,C590,Regles_regimes!$B$3:$B$2000,D590,Regles_regimes!$C$3:$C$2000,MAX(1915,MIN(2025,E590)))=1,G590&lt;2009,C590&lt;&gt;"Privé"),MIN(20,L590*4/5),0)</f>
        <v/>
      </c>
      <c r="AC590" s="89">
        <f>SUMIFS(Donnees_regimes!$M$3:$M$1118,Donnees_regimes!$A$3:$A$1118,C590,Donnees_regimes!$B$3:$B$1118,M590)</f>
        <v/>
      </c>
      <c r="AD590" s="14">
        <f>SUMIFS(Donnees_annuelles!$Y$3:$Y$188,Donnees_annuelles!$A$3:$A$188,M590)*SUMIFS(Donnees_generations!$I$3:$I$113,Donnees_generations!$A$3:$A$113,MAX(1915,MIN(2025,E590)))/H590</f>
        <v/>
      </c>
      <c r="AE590" s="14">
        <f>IF(C590="Privé",SUMIFS(Donnees_annuelles!$Y$3:$Y$188,Donnees_annuelles!$A$3:$A$188,M590)*MIN(L590,SUMIFS(Donnees_generations!$I$3:$I$113,Donnees_generations!$A$3:$A$113,MAX(1915,MIN(2025,E590))))/L590,AD590*AC590*MIN(IF(AB590&gt;0,0.8/0.75,1),(L590*4+AB590)/AA590))</f>
        <v/>
      </c>
      <c r="AF590" s="14">
        <f>AE590/12</f>
        <v/>
      </c>
      <c r="AG590" s="77">
        <f>MIN(68,MAX(56,2*INT(K590/2)))</f>
        <v/>
      </c>
      <c r="AH590" s="75">
        <f>(CHOOSE((AG590-56)/2+1,SUMIFS(Donnees_generations!$U$3:$U$113,Donnees_generations!$A$3:$A$113,MAX(1915,MIN(2025,E590))),SUMIFS(Donnees_generations!$V$3:$V$113,Donnees_generations!$A$3:$A$113,MAX(1915,MIN(2025,E590))),SUMIFS(Donnees_generations!$W$3:$W$113,Donnees_generations!$A$3:$A$113,MAX(1915,MIN(2025,E590))),SUMIFS(Donnees_generations!$X$3:$X$113,Donnees_generations!$A$3:$A$113,MAX(1915,MIN(2025,E590))),SUMIFS(Donnees_generations!$Y$3:$Y$113,Donnees_generations!$A$3:$A$113,MAX(1915,MIN(2025,E590))),SUMIFS(Donnees_generations!$Z$3:$Z$113,Donnees_generations!$A$3:$A$113,MAX(1915,MIN(2025,E590))),SUMIFS(Donnees_generations!$AA$3:$AA$113,Donnees_generations!$A$3:$A$113,MAX(1915,MIN(2025,E590))),SUMIFS(Donnees_generations!$AB$3:$AB$113,Donnees_generations!$A$3:$A$113,MAX(1915,MIN(2025,E590))))+CHOOSE((AG590-56)/2+1,SUMIFS(Donnees_generations!$AC$3:$AC$113,Donnees_generations!$A$3:$A$113,MAX(1915,MIN(2025,E590))),SUMIFS(Donnees_generations!$AD$3:$AD$113,Donnees_generations!$A$3:$A$113,MAX(1915,MIN(2025,E590))),SUMIFS(Donnees_generations!$AE$3:$AE$113,Donnees_generations!$A$3:$A$113,MAX(1915,MIN(2025,E590))),SUMIFS(Donnees_generations!$AF$3:$AF$113,Donnees_generations!$A$3:$A$113,MAX(1915,MIN(2025,E590))),SUMIFS(Donnees_generations!$AG$3:$AG$113,Donnees_generations!$A$3:$A$113,MAX(1915,MIN(2025,E590))),SUMIFS(Donnees_generations!$AH$3:$AH$113,Donnees_generations!$A$3:$A$113,MAX(1915,MIN(2025,E590))),SUMIFS(Donnees_generations!$AI$3:$AI$113,Donnees_generations!$A$3:$A$113,MAX(1915,MIN(2025,E590))),SUMIFS(Donnees_generations!$AJ$3:$AJ$113,Donnees_generations!$A$3:$A$113,MAX(1915,MIN(2025,E590)))))/2</f>
        <v/>
      </c>
      <c r="AI590" s="75">
        <f>(CHOOSE(((AG590+2)-56)/2+1,SUMIFS(Donnees_generations!$U$3:$U$113,Donnees_generations!$A$3:$A$113,MAX(1915,MIN(2025,E590))),SUMIFS(Donnees_generations!$V$3:$V$113,Donnees_generations!$A$3:$A$113,MAX(1915,MIN(2025,E590))),SUMIFS(Donnees_generations!$W$3:$W$113,Donnees_generations!$A$3:$A$113,MAX(1915,MIN(2025,E590))),SUMIFS(Donnees_generations!$X$3:$X$113,Donnees_generations!$A$3:$A$113,MAX(1915,MIN(2025,E590))),SUMIFS(Donnees_generations!$Y$3:$Y$113,Donnees_generations!$A$3:$A$113,MAX(1915,MIN(2025,E590))),SUMIFS(Donnees_generations!$Z$3:$Z$113,Donnees_generations!$A$3:$A$113,MAX(1915,MIN(2025,E590))),SUMIFS(Donnees_generations!$AA$3:$AA$113,Donnees_generations!$A$3:$A$113,MAX(1915,MIN(2025,E590))),SUMIFS(Donnees_generations!$AB$3:$AB$113,Donnees_generations!$A$3:$A$113,MAX(1915,MIN(2025,E590))))+CHOOSE(((AG590+2)-56)/2+1,SUMIFS(Donnees_generations!$AC$3:$AC$113,Donnees_generations!$A$3:$A$113,MAX(1915,MIN(2025,E590))),SUMIFS(Donnees_generations!$AD$3:$AD$113,Donnees_generations!$A$3:$A$113,MAX(1915,MIN(2025,E590))),SUMIFS(Donnees_generations!$AE$3:$AE$113,Donnees_generations!$A$3:$A$113,MAX(1915,MIN(2025,E590))),SUMIFS(Donnees_generations!$AF$3:$AF$113,Donnees_generations!$A$3:$A$113,MAX(1915,MIN(2025,E590))),SUMIFS(Donnees_generations!$AG$3:$AG$113,Donnees_generations!$A$3:$A$113,MAX(1915,MIN(2025,E590))),SUMIFS(Donnees_generations!$AH$3:$AH$113,Donnees_generations!$A$3:$A$113,MAX(1915,MIN(2025,E590))),SUMIFS(Donnees_generations!$AI$3:$AI$113,Donnees_generations!$A$3:$A$113,MAX(1915,MIN(2025,E590))),SUMIFS(Donnees_generations!$AJ$3:$AJ$113,Donnees_generations!$A$3:$A$113,MAX(1915,MIN(2025,E590)))))/2</f>
        <v/>
      </c>
      <c r="AJ590" s="8">
        <f>MAX(0,AH590+(AI590-AH590)*(K590-AG590)/2)</f>
        <v/>
      </c>
      <c r="AK590" s="8">
        <f>K590+AJ590</f>
        <v/>
      </c>
      <c r="AL590" s="14">
        <f>AE590*AJ590</f>
        <v/>
      </c>
      <c r="AM590" s="17">
        <f>V590/AL590</f>
        <v/>
      </c>
      <c r="AN590" s="17">
        <f>Z590/AL590</f>
        <v/>
      </c>
      <c r="AO590" s="33">
        <f>IF(V590+Z590=0,0,Z590/(V590+Z590))</f>
        <v/>
      </c>
      <c r="AP590" s="14">
        <f>AL590/V590*100</f>
        <v/>
      </c>
      <c r="AQ590" s="8">
        <f>P590/AL590*1000</f>
        <v/>
      </c>
      <c r="AR590" s="77">
        <f>MAX(N590,M590-1)</f>
        <v/>
      </c>
      <c r="AS590" s="14">
        <f>SUMIFS(Donnees_regimes!$R$3:$R$1118,Donnees_regimes!$A$3:$A$1118,C590,Donnees_regimes!$B$3:$B$1118,"&gt;="&amp;G590,Donnees_regimes!$B$3:$B$1118,"&lt;="&amp;N590)*L590/ROUNDUP(L590,0)*SUMIFS(Donnees_annuelles!$AG$3:$AG$188,Donnees_annuelles!$A$3:$A$188,AR590)*SUMIFS(Donnees_annuelles!$AA$3:$AA$188,Donnees_annuelles!$A$3:$A$188,AR590)</f>
        <v/>
      </c>
      <c r="AT590" s="36">
        <f>AS590/V590</f>
        <v/>
      </c>
      <c r="AU590" s="14">
        <f>AL590</f>
        <v/>
      </c>
      <c r="AV590" s="39">
        <f>AS590-AL590</f>
        <v/>
      </c>
      <c r="AW590" s="9">
        <f>AS590/AL590-1</f>
        <v/>
      </c>
      <c r="AX590" s="14">
        <f>AS590/AJ590/12</f>
        <v/>
      </c>
      <c r="AY590" s="14">
        <f>AF590</f>
        <v/>
      </c>
      <c r="AZ590" s="39">
        <f>AX590-AF590</f>
        <v/>
      </c>
      <c r="BA590" s="14">
        <f>SUMIFS(Donnees_regimes!$S$3:$S$1118,Donnees_regimes!$A$3:$A$1118,C590,Donnees_regimes!$B$3:$B$1118,"&gt;="&amp;G590,Donnees_regimes!$B$3:$B$1118,"&lt;="&amp;N590)*L590/ROUNDUP(L590,0)*SUMIFS(Donnees_annuelles!$AH$3:$AH$188,Donnees_annuelles!$A$3:$A$188,AR590)*SUMIFS(Donnees_annuelles!$AA$3:$AA$188,Donnees_annuelles!$A$3:$A$188,AR590)</f>
        <v/>
      </c>
      <c r="BB590" s="39">
        <f>BA590-AL590</f>
        <v/>
      </c>
      <c r="BC590" s="7">
        <f>IF(M590+AJ590&gt;2026,IF(G590&gt;2026,"entièrement projeté","en partie projeté"),"observé")</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V188"/>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5" customWidth="1" min="1" max="1"/>
    <col width="24" customWidth="1" min="2" max="2"/>
    <col width="15"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 width="15" customWidth="1" min="31" max="31"/>
    <col width="15" customWidth="1" min="32" max="32"/>
    <col width="15" customWidth="1" min="33" max="33"/>
    <col width="15" customWidth="1" min="34" max="34"/>
    <col width="15" customWidth="1" min="35" max="35"/>
    <col width="15" customWidth="1" min="36" max="36"/>
    <col width="15" customWidth="1" min="37" max="37"/>
    <col width="15" customWidth="1" min="38" max="38"/>
    <col width="15" customWidth="1" min="39" max="39"/>
    <col width="15" customWidth="1" min="40" max="40"/>
    <col width="15" customWidth="1" min="41" max="41"/>
    <col width="15" customWidth="1" min="42" max="42"/>
    <col width="15" customWidth="1" min="43" max="43"/>
    <col width="15" customWidth="1" min="44" max="44"/>
    <col width="15" customWidth="1" min="45" max="45"/>
    <col width="15" customWidth="1" min="46" max="46"/>
    <col width="15" customWidth="1" min="47" max="47"/>
    <col width="15" customWidth="1" min="48" max="48"/>
  </cols>
  <sheetData>
    <row r="1" ht="75" customHeight="1">
      <c r="A1" s="5" t="inlineStr">
        <is>
          <t>Année</t>
        </is>
      </c>
      <c r="B1" s="5" t="inlineStr">
        <is>
          <t>Nature des données</t>
        </is>
      </c>
      <c r="C1" s="5" t="inlineStr">
        <is>
          <t>Coefficient vers euros 2026</t>
        </is>
      </c>
      <c r="D1" s="5" t="inlineStr">
        <is>
          <t>Salaire brut annuel moyen (€ 2026)</t>
        </is>
      </c>
      <c r="E1" s="5" t="inlineStr">
        <is>
          <t>Plafond de la Sécurité sociale (€ 2026)</t>
        </is>
      </c>
      <c r="F1" s="5" t="inlineStr">
        <is>
          <t>Taux vieillesse salarial ≤ PSS, non-cadre</t>
        </is>
      </c>
      <c r="G1" s="5" t="inlineStr">
        <is>
          <t>Taux vieillesse patronal ≤ PSS, non-cadre</t>
        </is>
      </c>
      <c r="H1" s="5" t="inlineStr">
        <is>
          <t>Taux vieillesse salarial &gt; PSS, non-cadre</t>
        </is>
      </c>
      <c r="I1" s="5" t="inlineStr">
        <is>
          <t>Taux vieillesse patronal &gt; PSS, non-cadre</t>
        </is>
      </c>
      <c r="J1" s="5" t="inlineStr">
        <is>
          <t>Taux vieillesse salarial ≤ PSS, cadre</t>
        </is>
      </c>
      <c r="K1" s="5" t="inlineStr">
        <is>
          <t>Taux vieillesse patronal ≤ PSS, cadre</t>
        </is>
      </c>
      <c r="L1" s="5" t="inlineStr">
        <is>
          <t>Taux vieillesse salarial &gt; PSS, cadre</t>
        </is>
      </c>
      <c r="M1" s="5" t="inlineStr">
        <is>
          <t>Taux vieillesse patronal &gt; PSS, cadre</t>
        </is>
      </c>
      <c r="N1" s="5" t="inlineStr">
        <is>
          <t>Privé : cotisations vieillesse salariales au salaire moyen (€ 2026)</t>
        </is>
      </c>
      <c r="O1" s="5" t="inlineStr">
        <is>
          <t>Privé : cotisations vieillesse patronales au salaire moyen (€ 2026)</t>
        </is>
      </c>
      <c r="P1" s="5" t="inlineStr">
        <is>
          <t>Privé : cotisations vieillesse totales au salaire moyen (€ 2026)</t>
        </is>
      </c>
      <c r="Q1" s="5" t="inlineStr">
        <is>
          <t>Privé : taux vieillesse total au salaire moyen</t>
        </is>
      </c>
      <c r="R1" s="5" t="inlineStr">
        <is>
          <t>Privé : coût employeur retraite au salaire moyen (€ 2026)</t>
        </is>
      </c>
      <c r="S1" s="5" t="inlineStr">
        <is>
          <t>Durée légale hebdomadaire</t>
        </is>
      </c>
      <c r="T1" s="5" t="inlineStr">
        <is>
          <t>Durée réellement effectuée hebdomadaire (temps complet, privé)</t>
        </is>
      </c>
      <c r="U1" s="5" t="inlineStr">
        <is>
          <t>Jours travaillés dans l'année</t>
        </is>
      </c>
      <c r="V1" s="5" t="inlineStr">
        <is>
          <t>Heures annuelles selon la durée légale</t>
        </is>
      </c>
      <c r="W1" s="5" t="inlineStr">
        <is>
          <t>Heures annuelles réellement effectuées (privé)</t>
        </is>
      </c>
      <c r="X1" s="5" t="inlineStr">
        <is>
          <t>Pension moyenne de droit direct, ensemble des retraités (€ 2026)</t>
        </is>
      </c>
      <c r="Y1" s="5" t="inlineStr">
        <is>
          <t>Pension moyenne des nouveaux retraités de l'année (€ 2026)</t>
        </is>
      </c>
      <c r="Z1" s="5" t="inlineStr">
        <is>
          <t>Âge moyen de début pour une carrière commençant cette année</t>
        </is>
      </c>
      <c r="AA1" s="5" t="inlineStr">
        <is>
          <t>Coefficient euros courants → euros 2026 (toutes années)</t>
        </is>
      </c>
      <c r="AB1" s="5" t="inlineStr">
        <is>
          <t>Salaire brut annuel moyen en euros courants de l'année</t>
        </is>
      </c>
      <c r="AC1" s="5" t="inlineStr">
        <is>
          <t>Rendement annuel des actions françaises, dividendes réinvestis (observé)</t>
        </is>
      </c>
      <c r="AD1" s="5" t="inlineStr">
        <is>
          <t>Rendement annuel du cours seul (observé)</t>
        </is>
      </c>
      <c r="AE1" s="5" t="inlineStr">
        <is>
          <t>Rendement retenu, dividendes réinvestis</t>
        </is>
      </c>
      <c r="AF1" s="5" t="inlineStr">
        <is>
          <t>Rendement retenu, cours seul</t>
        </is>
      </c>
      <c r="AG1" s="5" t="inlineStr">
        <is>
          <t>Indice actions dividendes réinvestis, fin d'année (1944 = 1)</t>
        </is>
      </c>
      <c r="AH1" s="5" t="inlineStr">
        <is>
          <t>Indice actions cours seul, fin d'année (1944 = 1)</t>
        </is>
      </c>
      <c r="AI1" s="5" t="inlineStr">
        <is>
          <t>Valeur en fin d'année d'1 € versé par douzièmes en fin de mois</t>
        </is>
      </c>
      <c r="AJ1" s="5" t="inlineStr">
        <is>
          <t>Idem, cours seul</t>
        </is>
      </c>
      <c r="AK1" s="5" t="inlineStr">
        <is>
          <t>Page 3 : salaire brut de la personne A (€ 2026)</t>
        </is>
      </c>
      <c r="AL1" s="5" t="inlineStr">
        <is>
          <t>Page 3 : cotisations salariales de la personne A (€ 2026)</t>
        </is>
      </c>
      <c r="AM1" s="5" t="inlineStr">
        <is>
          <t>Page 3 : cotisations patronales de la personne A (€ 2026)</t>
        </is>
      </c>
      <c r="AN1" s="5" t="inlineStr">
        <is>
          <t>Page 3 : subvention d'équilibre rattachée à la personne A (€ 2026)</t>
        </is>
      </c>
      <c r="AO1" s="5" t="inlineStr">
        <is>
          <t>Page 3 : capitalisation, contribution de l'année (personne A)</t>
        </is>
      </c>
      <c r="AP1" s="5" t="inlineStr">
        <is>
          <t>Page 3 : capitalisation cours seul (personne A)</t>
        </is>
      </c>
      <c r="AQ1" s="5" t="inlineStr">
        <is>
          <t>Page 3 : salaire brut de la personne B (€ 2026)</t>
        </is>
      </c>
      <c r="AR1" s="5" t="inlineStr">
        <is>
          <t>Page 3 : cotisations salariales de la personne B (€ 2026)</t>
        </is>
      </c>
      <c r="AS1" s="5" t="inlineStr">
        <is>
          <t>Page 3 : cotisations patronales de la personne B (€ 2026)</t>
        </is>
      </c>
      <c r="AT1" s="5" t="inlineStr">
        <is>
          <t>Page 3 : subvention d'équilibre rattachée à la personne B (€ 2026)</t>
        </is>
      </c>
      <c r="AU1" s="5" t="inlineStr">
        <is>
          <t>Page 3 : capitalisation, contribution de l'année (personne B)</t>
        </is>
      </c>
      <c r="AV1" s="5" t="inlineStr">
        <is>
          <t>Page 3 : capitalisation cours seul (personne B)</t>
        </is>
      </c>
    </row>
    <row r="2" ht="30" customHeight="1">
      <c r="A2" s="83" t="inlineStr">
        <is>
          <t>annee</t>
        </is>
      </c>
      <c r="B2" s="83" t="inlineStr">
        <is>
          <t>nature</t>
        </is>
      </c>
      <c r="C2" s="83" t="inlineStr">
        <is>
          <t>coef_euro_2026</t>
        </is>
      </c>
      <c r="D2" s="83" t="inlineStr">
        <is>
          <t>salaire_brut_moyen</t>
        </is>
      </c>
      <c r="E2" s="83" t="inlineStr">
        <is>
          <t>plafond_secu</t>
        </is>
      </c>
      <c r="F2" s="83" t="inlineStr">
        <is>
          <t>taux_sal_sous_pss_noncadre</t>
        </is>
      </c>
      <c r="G2" s="83" t="inlineStr">
        <is>
          <t>taux_pat_sous_pss_noncadre</t>
        </is>
      </c>
      <c r="H2" s="83" t="inlineStr">
        <is>
          <t>taux_sal_sur_pss_noncadre</t>
        </is>
      </c>
      <c r="I2" s="83" t="inlineStr">
        <is>
          <t>taux_pat_sur_pss_noncadre</t>
        </is>
      </c>
      <c r="J2" s="83" t="inlineStr">
        <is>
          <t>taux_sal_sous_pss_cadre</t>
        </is>
      </c>
      <c r="K2" s="83" t="inlineStr">
        <is>
          <t>taux_pat_sous_pss_cadre</t>
        </is>
      </c>
      <c r="L2" s="83" t="inlineStr">
        <is>
          <t>taux_sal_sur_pss_cadre</t>
        </is>
      </c>
      <c r="M2" s="83" t="inlineStr">
        <is>
          <t>taux_pat_sur_pss_cadre</t>
        </is>
      </c>
      <c r="N2" s="83" t="inlineStr">
        <is>
          <t>cotis_sal_salaire_moyen</t>
        </is>
      </c>
      <c r="O2" s="83" t="inlineStr">
        <is>
          <t>cotis_pat_salaire_moyen</t>
        </is>
      </c>
      <c r="P2" s="83" t="inlineStr">
        <is>
          <t>cotis_total_salaire_moyen</t>
        </is>
      </c>
      <c r="Q2" s="83" t="inlineStr">
        <is>
          <t>taux_vieillesse_total_salaire_moyen</t>
        </is>
      </c>
      <c r="R2" s="83" t="inlineStr">
        <is>
          <t>cout_employeur_salaire_moyen</t>
        </is>
      </c>
      <c r="S2" s="83" t="inlineStr">
        <is>
          <t>duree_legale_hebdo</t>
        </is>
      </c>
      <c r="T2" s="83" t="inlineStr">
        <is>
          <t>duree_reelle_hebdo</t>
        </is>
      </c>
      <c r="U2" s="83" t="inlineStr">
        <is>
          <t>jours_travailles</t>
        </is>
      </c>
      <c r="V2" s="83" t="inlineStr">
        <is>
          <t>heures_legales_an</t>
        </is>
      </c>
      <c r="W2" s="83" t="inlineStr">
        <is>
          <t>heures_reelles_an</t>
        </is>
      </c>
      <c r="X2" s="83" t="inlineStr">
        <is>
          <t>pension_moyenne_ensemble</t>
        </is>
      </c>
      <c r="Y2" s="83" t="inlineStr">
        <is>
          <t>pension_moyenne_nouveaux_retraites</t>
        </is>
      </c>
      <c r="Z2" s="83" t="inlineStr">
        <is>
          <t>age_moyen_debut_carriere</t>
        </is>
      </c>
      <c r="AA2" s="83" t="inlineStr">
        <is>
          <t>coef_nominal</t>
        </is>
      </c>
      <c r="AB2" s="83" t="inlineStr">
        <is>
          <t>salaire_brut_nominal</t>
        </is>
      </c>
      <c r="AC2" s="83" t="inlineStr">
        <is>
          <t>rendement_actions_dividendes_observe</t>
        </is>
      </c>
      <c r="AD2" s="83" t="inlineStr">
        <is>
          <t>rendement_actions_cours_observe</t>
        </is>
      </c>
      <c r="AE2" s="83" t="inlineStr">
        <is>
          <t>rendement_actions_dividendes</t>
        </is>
      </c>
      <c r="AF2" s="83" t="inlineStr">
        <is>
          <t>rendement_actions_cours</t>
        </is>
      </c>
      <c r="AG2" s="83" t="inlineStr">
        <is>
          <t>indice_dividendes_fin_annee</t>
        </is>
      </c>
      <c r="AH2" s="83" t="inlineStr">
        <is>
          <t>indice_cours_fin_annee</t>
        </is>
      </c>
      <c r="AI2" s="83" t="inlineStr">
        <is>
          <t>facteur_mensuel_dividendes</t>
        </is>
      </c>
      <c r="AJ2" s="83" t="inlineStr">
        <is>
          <t>facteur_mensuel_cours</t>
        </is>
      </c>
      <c r="AK2" s="83" t="inlineStr">
        <is>
          <t>page3_salaire_profil_A</t>
        </is>
      </c>
      <c r="AL2" s="83" t="inlineStr">
        <is>
          <t>page3_cotis_sal_profil_A</t>
        </is>
      </c>
      <c r="AM2" s="83" t="inlineStr">
        <is>
          <t>page3_cotis_pat_profil_A</t>
        </is>
      </c>
      <c r="AN2" s="83" t="inlineStr">
        <is>
          <t>page3_subvention_profil_A</t>
        </is>
      </c>
      <c r="AO2" s="83" t="inlineStr">
        <is>
          <t>page3_cap_dividendes_profil_A</t>
        </is>
      </c>
      <c r="AP2" s="83" t="inlineStr">
        <is>
          <t>page3_cap_cours_profil_A</t>
        </is>
      </c>
      <c r="AQ2" s="83" t="inlineStr">
        <is>
          <t>page3_salaire_profil_B</t>
        </is>
      </c>
      <c r="AR2" s="83" t="inlineStr">
        <is>
          <t>page3_cotis_sal_profil_B</t>
        </is>
      </c>
      <c r="AS2" s="83" t="inlineStr">
        <is>
          <t>page3_cotis_pat_profil_B</t>
        </is>
      </c>
      <c r="AT2" s="83" t="inlineStr">
        <is>
          <t>page3_subvention_profil_B</t>
        </is>
      </c>
      <c r="AU2" s="83" t="inlineStr">
        <is>
          <t>page3_cap_dividendes_profil_B</t>
        </is>
      </c>
      <c r="AV2" s="83" t="inlineStr">
        <is>
          <t>page3_cap_cours_profil_B</t>
        </is>
      </c>
    </row>
    <row r="3">
      <c r="A3" s="88" t="n">
        <v>1945</v>
      </c>
      <c r="B3" s="90" t="inlineStr">
        <is>
          <t>Estimation (salaire 1945-1949)</t>
        </is>
      </c>
      <c r="C3" s="91" t="n">
        <v>101.8</v>
      </c>
      <c r="D3" s="92" t="n">
        <v>9822.620000000001</v>
      </c>
      <c r="E3" s="92" t="n">
        <v>16326.68</v>
      </c>
      <c r="F3" s="93" t="n">
        <v>0.03</v>
      </c>
      <c r="G3" s="93" t="n">
        <v>0.022</v>
      </c>
      <c r="H3" s="93" t="n">
        <v>0</v>
      </c>
      <c r="I3" s="93" t="n">
        <v>0</v>
      </c>
      <c r="J3" s="93" t="n">
        <v>0.03</v>
      </c>
      <c r="K3" s="93" t="n">
        <v>0.022</v>
      </c>
      <c r="L3" s="93" t="n">
        <v>0</v>
      </c>
      <c r="M3" s="93" t="n">
        <v>0</v>
      </c>
      <c r="N3" s="14">
        <f>MIN(D3,E3)*F3+MAX(0,D3-E3)*H3</f>
        <v/>
      </c>
      <c r="O3" s="14">
        <f>MIN(D3,E3)*G3+MAX(0,D3-E3)*I3</f>
        <v/>
      </c>
      <c r="P3" s="14">
        <f>N3+O3</f>
        <v/>
      </c>
      <c r="Q3" s="94">
        <f>P3/D3</f>
        <v/>
      </c>
      <c r="R3" s="14">
        <f>D3+O3</f>
        <v/>
      </c>
      <c r="S3" s="95" t="n">
        <v>40</v>
      </c>
      <c r="T3" s="95" t="n">
        <v>45</v>
      </c>
      <c r="U3" s="85" t="n">
        <v>243</v>
      </c>
      <c r="V3" s="96" t="n">
        <v>1944</v>
      </c>
      <c r="W3" s="96" t="n">
        <v>2187</v>
      </c>
      <c r="X3" s="92" t="n">
        <v>4562.76</v>
      </c>
      <c r="Y3" s="92" t="n">
        <v>4870.58</v>
      </c>
      <c r="Z3" s="95" t="n">
        <v>16</v>
      </c>
      <c r="AA3" s="97">
        <f>C3</f>
        <v/>
      </c>
      <c r="AB3" s="98">
        <f>D3/AA3</f>
        <v/>
      </c>
      <c r="AC3" s="93" t="n">
        <v>-0.200522</v>
      </c>
      <c r="AD3" s="93" t="n">
        <v>-0.204314</v>
      </c>
      <c r="AE3" s="94">
        <f>AC3</f>
        <v/>
      </c>
      <c r="AF3" s="94">
        <f>AD3</f>
        <v/>
      </c>
      <c r="AG3" s="97">
        <f>1+AE3</f>
        <v/>
      </c>
      <c r="AH3" s="97">
        <f>1+AF3</f>
        <v/>
      </c>
      <c r="AI3" s="97">
        <f>IF(AE3=0,1,AE3/(12*((1+AE3)^(1/12)-1)))</f>
        <v/>
      </c>
      <c r="AJ3" s="97">
        <f>IF(AF3=0,1,AF3/(12*((1+AF3)^(1/12)-1)))</f>
        <v/>
      </c>
      <c r="AK3" s="99">
        <f>D3*'3_Comparateur_detaille'!$B$16</f>
        <v/>
      </c>
      <c r="AL3" s="99">
        <f>IF('3_Comparateur_detaille'!$B$20="Privé",MIN(AK3,E3)*IF('3_Comparateur_detaille'!$B$15="cadre",J3,F3)+MAX(0,AK3-E3)*IF('3_Comparateur_detaille'!$B$15="cadre",L3,H3),AK3*SUMIFS(Donnees_regimes!$J$3:$J$1118,Donnees_regimes!$A$3:$A$1118,'3_Comparateur_detaille'!$B$20,Donnees_regimes!$B$3:$B$1118,A3))</f>
        <v/>
      </c>
      <c r="AM3" s="99">
        <f>IF('3_Comparateur_detaille'!$B$20="Privé",MIN(AK3,E3)*IF('3_Comparateur_detaille'!$B$15="cadre",K3,G3)+MAX(0,AK3-E3)*IF('3_Comparateur_detaille'!$B$15="cadre",M3,I3),AK3*SUMIFS(Donnees_regimes!$K$3:$K$1118,Donnees_regimes!$A$3:$A$1118,'3_Comparateur_detaille'!$B$20,Donnees_regimes!$B$3:$B$1118,A3))</f>
        <v/>
      </c>
      <c r="AN3" s="99">
        <f>IF('3_Comparateur_detaille'!$B$20="Privé",0,AK3*SUMIFS(Donnees_regimes!$L$3:$L$1118,Donnees_regimes!$A$3:$A$1118,'3_Comparateur_detaille'!$B$20,Donnees_regimes!$B$3:$B$1118,A3))</f>
        <v/>
      </c>
      <c r="AO3" s="100">
        <f>(AL3+AM3)/AA3*AI3/AG3</f>
        <v/>
      </c>
      <c r="AP3" s="100">
        <f>(AL3+AM3)/AA3*AJ3/AH3</f>
        <v/>
      </c>
      <c r="AQ3" s="99">
        <f>D3*'3_Comparateur_detaille'!$C$16</f>
        <v/>
      </c>
      <c r="AR3" s="99">
        <f>IF('3_Comparateur_detaille'!$C$20="Privé",MIN(AQ3,E3)*IF('3_Comparateur_detaille'!$C$15="cadre",J3,F3)+MAX(0,AQ3-E3)*IF('3_Comparateur_detaille'!$C$15="cadre",L3,H3),AQ3*SUMIFS(Donnees_regimes!$J$3:$J$1118,Donnees_regimes!$A$3:$A$1118,'3_Comparateur_detaille'!$C$20,Donnees_regimes!$B$3:$B$1118,A3))</f>
        <v/>
      </c>
      <c r="AS3" s="99">
        <f>IF('3_Comparateur_detaille'!$C$20="Privé",MIN(AQ3,E3)*IF('3_Comparateur_detaille'!$C$15="cadre",K3,G3)+MAX(0,AQ3-E3)*IF('3_Comparateur_detaille'!$C$15="cadre",M3,I3),AQ3*SUMIFS(Donnees_regimes!$K$3:$K$1118,Donnees_regimes!$A$3:$A$1118,'3_Comparateur_detaille'!$C$20,Donnees_regimes!$B$3:$B$1118,A3))</f>
        <v/>
      </c>
      <c r="AT3" s="99">
        <f>IF('3_Comparateur_detaille'!$C$20="Privé",0,AQ3*SUMIFS(Donnees_regimes!$L$3:$L$1118,Donnees_regimes!$A$3:$A$1118,'3_Comparateur_detaille'!$C$20,Donnees_regimes!$B$3:$B$1118,A3))</f>
        <v/>
      </c>
      <c r="AU3" s="100">
        <f>(AR3+AS3)/AA3*AI3/AG3</f>
        <v/>
      </c>
      <c r="AV3" s="100">
        <f>(AR3+AS3)/AA3*AJ3/AH3</f>
        <v/>
      </c>
    </row>
    <row r="4">
      <c r="A4" s="88" t="n">
        <v>1946</v>
      </c>
      <c r="B4" s="90" t="inlineStr">
        <is>
          <t>Estimation (salaire 1945-1949)</t>
        </is>
      </c>
      <c r="C4" s="91" t="n">
        <v>66.53595</v>
      </c>
      <c r="D4" s="92" t="n">
        <v>9824.67</v>
      </c>
      <c r="E4" s="92" t="n">
        <v>12939.25</v>
      </c>
      <c r="F4" s="93" t="n">
        <v>0.03</v>
      </c>
      <c r="G4" s="93" t="n">
        <v>0.022</v>
      </c>
      <c r="H4" s="93" t="n">
        <v>0</v>
      </c>
      <c r="I4" s="93" t="n">
        <v>0</v>
      </c>
      <c r="J4" s="93" t="n">
        <v>0.03</v>
      </c>
      <c r="K4" s="93" t="n">
        <v>0.022</v>
      </c>
      <c r="L4" s="93" t="n">
        <v>0</v>
      </c>
      <c r="M4" s="93" t="n">
        <v>0</v>
      </c>
      <c r="N4" s="14">
        <f>MIN(D4,E4)*F4+MAX(0,D4-E4)*H4</f>
        <v/>
      </c>
      <c r="O4" s="14">
        <f>MIN(D4,E4)*G4+MAX(0,D4-E4)*I4</f>
        <v/>
      </c>
      <c r="P4" s="14">
        <f>N4+O4</f>
        <v/>
      </c>
      <c r="Q4" s="94">
        <f>P4/D4</f>
        <v/>
      </c>
      <c r="R4" s="14">
        <f>D4+O4</f>
        <v/>
      </c>
      <c r="S4" s="95" t="n">
        <v>40</v>
      </c>
      <c r="T4" s="95" t="n">
        <v>45</v>
      </c>
      <c r="U4" s="85" t="n">
        <v>242</v>
      </c>
      <c r="V4" s="96" t="n">
        <v>1936</v>
      </c>
      <c r="W4" s="96" t="n">
        <v>2178</v>
      </c>
      <c r="X4" s="92" t="n">
        <v>4563.71</v>
      </c>
      <c r="Y4" s="92" t="n">
        <v>4871.6</v>
      </c>
      <c r="Z4" s="95" t="n">
        <v>16</v>
      </c>
      <c r="AA4" s="97">
        <f>C4</f>
        <v/>
      </c>
      <c r="AB4" s="98">
        <f>D4/AA4</f>
        <v/>
      </c>
      <c r="AC4" s="93" t="n">
        <v>0.273203</v>
      </c>
      <c r="AD4" s="93" t="n">
        <v>0.264395</v>
      </c>
      <c r="AE4" s="94">
        <f>AC4</f>
        <v/>
      </c>
      <c r="AF4" s="94">
        <f>AD4</f>
        <v/>
      </c>
      <c r="AG4" s="97">
        <f>AG3*(1+AE4)</f>
        <v/>
      </c>
      <c r="AH4" s="97">
        <f>AH3*(1+AF4)</f>
        <v/>
      </c>
      <c r="AI4" s="97">
        <f>IF(AE4=0,1,AE4/(12*((1+AE4)^(1/12)-1)))</f>
        <v/>
      </c>
      <c r="AJ4" s="97">
        <f>IF(AF4=0,1,AF4/(12*((1+AF4)^(1/12)-1)))</f>
        <v/>
      </c>
      <c r="AK4" s="99">
        <f>D4*'3_Comparateur_detaille'!$B$16</f>
        <v/>
      </c>
      <c r="AL4" s="99">
        <f>IF('3_Comparateur_detaille'!$B$20="Privé",MIN(AK4,E4)*IF('3_Comparateur_detaille'!$B$15="cadre",J4,F4)+MAX(0,AK4-E4)*IF('3_Comparateur_detaille'!$B$15="cadre",L4,H4),AK4*SUMIFS(Donnees_regimes!$J$3:$J$1118,Donnees_regimes!$A$3:$A$1118,'3_Comparateur_detaille'!$B$20,Donnees_regimes!$B$3:$B$1118,A4))</f>
        <v/>
      </c>
      <c r="AM4" s="99">
        <f>IF('3_Comparateur_detaille'!$B$20="Privé",MIN(AK4,E4)*IF('3_Comparateur_detaille'!$B$15="cadre",K4,G4)+MAX(0,AK4-E4)*IF('3_Comparateur_detaille'!$B$15="cadre",M4,I4),AK4*SUMIFS(Donnees_regimes!$K$3:$K$1118,Donnees_regimes!$A$3:$A$1118,'3_Comparateur_detaille'!$B$20,Donnees_regimes!$B$3:$B$1118,A4))</f>
        <v/>
      </c>
      <c r="AN4" s="99">
        <f>IF('3_Comparateur_detaille'!$B$20="Privé",0,AK4*SUMIFS(Donnees_regimes!$L$3:$L$1118,Donnees_regimes!$A$3:$A$1118,'3_Comparateur_detaille'!$B$20,Donnees_regimes!$B$3:$B$1118,A4))</f>
        <v/>
      </c>
      <c r="AO4" s="100">
        <f>(AL4+AM4)/AA4*AI4/AG4</f>
        <v/>
      </c>
      <c r="AP4" s="100">
        <f>(AL4+AM4)/AA4*AJ4/AH4</f>
        <v/>
      </c>
      <c r="AQ4" s="99">
        <f>D4*'3_Comparateur_detaille'!$C$16</f>
        <v/>
      </c>
      <c r="AR4" s="99">
        <f>IF('3_Comparateur_detaille'!$C$20="Privé",MIN(AQ4,E4)*IF('3_Comparateur_detaille'!$C$15="cadre",J4,F4)+MAX(0,AQ4-E4)*IF('3_Comparateur_detaille'!$C$15="cadre",L4,H4),AQ4*SUMIFS(Donnees_regimes!$J$3:$J$1118,Donnees_regimes!$A$3:$A$1118,'3_Comparateur_detaille'!$C$20,Donnees_regimes!$B$3:$B$1118,A4))</f>
        <v/>
      </c>
      <c r="AS4" s="99">
        <f>IF('3_Comparateur_detaille'!$C$20="Privé",MIN(AQ4,E4)*IF('3_Comparateur_detaille'!$C$15="cadre",K4,G4)+MAX(0,AQ4-E4)*IF('3_Comparateur_detaille'!$C$15="cadre",M4,I4),AQ4*SUMIFS(Donnees_regimes!$K$3:$K$1118,Donnees_regimes!$A$3:$A$1118,'3_Comparateur_detaille'!$C$20,Donnees_regimes!$B$3:$B$1118,A4))</f>
        <v/>
      </c>
      <c r="AT4" s="99">
        <f>IF('3_Comparateur_detaille'!$C$20="Privé",0,AQ4*SUMIFS(Donnees_regimes!$L$3:$L$1118,Donnees_regimes!$A$3:$A$1118,'3_Comparateur_detaille'!$C$20,Donnees_regimes!$B$3:$B$1118,A4))</f>
        <v/>
      </c>
      <c r="AU4" s="100">
        <f>(AR4+AS4)/AA4*AI4/AG4</f>
        <v/>
      </c>
      <c r="AV4" s="100">
        <f>(AR4+AS4)/AA4*AJ4/AH4</f>
        <v/>
      </c>
    </row>
    <row r="5">
      <c r="A5" s="88" t="n">
        <v>1947</v>
      </c>
      <c r="B5" s="90" t="inlineStr">
        <is>
          <t>Estimation (salaire 1945-1949)</t>
        </is>
      </c>
      <c r="C5" s="91" t="n">
        <v>44.45415</v>
      </c>
      <c r="D5" s="92" t="n">
        <v>9822.48</v>
      </c>
      <c r="E5" s="92" t="n">
        <v>11087.75</v>
      </c>
      <c r="F5" s="93" t="n">
        <v>0.03</v>
      </c>
      <c r="G5" s="93" t="n">
        <v>0.036667</v>
      </c>
      <c r="H5" s="93" t="n">
        <v>0</v>
      </c>
      <c r="I5" s="93" t="n">
        <v>0</v>
      </c>
      <c r="J5" s="93" t="n">
        <v>0.03</v>
      </c>
      <c r="K5" s="93" t="n">
        <v>0.036667</v>
      </c>
      <c r="L5" s="93" t="n">
        <v>0</v>
      </c>
      <c r="M5" s="93" t="n">
        <v>0</v>
      </c>
      <c r="N5" s="14">
        <f>MIN(D5,E5)*F5+MAX(0,D5-E5)*H5</f>
        <v/>
      </c>
      <c r="O5" s="14">
        <f>MIN(D5,E5)*G5+MAX(0,D5-E5)*I5</f>
        <v/>
      </c>
      <c r="P5" s="14">
        <f>N5+O5</f>
        <v/>
      </c>
      <c r="Q5" s="94">
        <f>P5/D5</f>
        <v/>
      </c>
      <c r="R5" s="14">
        <f>D5+O5</f>
        <v/>
      </c>
      <c r="S5" s="95" t="n">
        <v>40</v>
      </c>
      <c r="T5" s="95" t="n">
        <v>45</v>
      </c>
      <c r="U5" s="85" t="n">
        <v>242</v>
      </c>
      <c r="V5" s="96" t="n">
        <v>1936</v>
      </c>
      <c r="W5" s="96" t="n">
        <v>2178</v>
      </c>
      <c r="X5" s="92" t="n">
        <v>4562.69</v>
      </c>
      <c r="Y5" s="92" t="n">
        <v>4870.51</v>
      </c>
      <c r="Z5" s="95" t="n">
        <v>16</v>
      </c>
      <c r="AA5" s="97">
        <f>C5</f>
        <v/>
      </c>
      <c r="AB5" s="98">
        <f>D5/AA5</f>
        <v/>
      </c>
      <c r="AC5" s="93" t="n">
        <v>-0.184583</v>
      </c>
      <c r="AD5" s="93" t="n">
        <v>-0.195211</v>
      </c>
      <c r="AE5" s="94">
        <f>AC5</f>
        <v/>
      </c>
      <c r="AF5" s="94">
        <f>AD5</f>
        <v/>
      </c>
      <c r="AG5" s="97">
        <f>AG4*(1+AE5)</f>
        <v/>
      </c>
      <c r="AH5" s="97">
        <f>AH4*(1+AF5)</f>
        <v/>
      </c>
      <c r="AI5" s="97">
        <f>IF(AE5=0,1,AE5/(12*((1+AE5)^(1/12)-1)))</f>
        <v/>
      </c>
      <c r="AJ5" s="97">
        <f>IF(AF5=0,1,AF5/(12*((1+AF5)^(1/12)-1)))</f>
        <v/>
      </c>
      <c r="AK5" s="99">
        <f>D5*'3_Comparateur_detaille'!$B$16</f>
        <v/>
      </c>
      <c r="AL5" s="99">
        <f>IF('3_Comparateur_detaille'!$B$20="Privé",MIN(AK5,E5)*IF('3_Comparateur_detaille'!$B$15="cadre",J5,F5)+MAX(0,AK5-E5)*IF('3_Comparateur_detaille'!$B$15="cadre",L5,H5),AK5*SUMIFS(Donnees_regimes!$J$3:$J$1118,Donnees_regimes!$A$3:$A$1118,'3_Comparateur_detaille'!$B$20,Donnees_regimes!$B$3:$B$1118,A5))</f>
        <v/>
      </c>
      <c r="AM5" s="99">
        <f>IF('3_Comparateur_detaille'!$B$20="Privé",MIN(AK5,E5)*IF('3_Comparateur_detaille'!$B$15="cadre",K5,G5)+MAX(0,AK5-E5)*IF('3_Comparateur_detaille'!$B$15="cadre",M5,I5),AK5*SUMIFS(Donnees_regimes!$K$3:$K$1118,Donnees_regimes!$A$3:$A$1118,'3_Comparateur_detaille'!$B$20,Donnees_regimes!$B$3:$B$1118,A5))</f>
        <v/>
      </c>
      <c r="AN5" s="99">
        <f>IF('3_Comparateur_detaille'!$B$20="Privé",0,AK5*SUMIFS(Donnees_regimes!$L$3:$L$1118,Donnees_regimes!$A$3:$A$1118,'3_Comparateur_detaille'!$B$20,Donnees_regimes!$B$3:$B$1118,A5))</f>
        <v/>
      </c>
      <c r="AO5" s="100">
        <f>(AL5+AM5)/AA5*AI5/AG5</f>
        <v/>
      </c>
      <c r="AP5" s="100">
        <f>(AL5+AM5)/AA5*AJ5/AH5</f>
        <v/>
      </c>
      <c r="AQ5" s="99">
        <f>D5*'3_Comparateur_detaille'!$C$16</f>
        <v/>
      </c>
      <c r="AR5" s="99">
        <f>IF('3_Comparateur_detaille'!$C$20="Privé",MIN(AQ5,E5)*IF('3_Comparateur_detaille'!$C$15="cadre",J5,F5)+MAX(0,AQ5-E5)*IF('3_Comparateur_detaille'!$C$15="cadre",L5,H5),AQ5*SUMIFS(Donnees_regimes!$J$3:$J$1118,Donnees_regimes!$A$3:$A$1118,'3_Comparateur_detaille'!$C$20,Donnees_regimes!$B$3:$B$1118,A5))</f>
        <v/>
      </c>
      <c r="AS5" s="99">
        <f>IF('3_Comparateur_detaille'!$C$20="Privé",MIN(AQ5,E5)*IF('3_Comparateur_detaille'!$C$15="cadre",K5,G5)+MAX(0,AQ5-E5)*IF('3_Comparateur_detaille'!$C$15="cadre",M5,I5),AQ5*SUMIFS(Donnees_regimes!$K$3:$K$1118,Donnees_regimes!$A$3:$A$1118,'3_Comparateur_detaille'!$C$20,Donnees_regimes!$B$3:$B$1118,A5))</f>
        <v/>
      </c>
      <c r="AT5" s="99">
        <f>IF('3_Comparateur_detaille'!$C$20="Privé",0,AQ5*SUMIFS(Donnees_regimes!$L$3:$L$1118,Donnees_regimes!$A$3:$A$1118,'3_Comparateur_detaille'!$C$20,Donnees_regimes!$B$3:$B$1118,A5))</f>
        <v/>
      </c>
      <c r="AU5" s="100">
        <f>(AR5+AS5)/AA5*AI5/AG5</f>
        <v/>
      </c>
      <c r="AV5" s="100">
        <f>(AR5+AS5)/AA5*AJ5/AH5</f>
        <v/>
      </c>
    </row>
    <row r="6">
      <c r="A6" s="88" t="n">
        <v>1948</v>
      </c>
      <c r="B6" s="90" t="inlineStr">
        <is>
          <t>Estimation (salaire 1945-1949)</t>
        </is>
      </c>
      <c r="C6" s="91" t="n">
        <v>28.04408</v>
      </c>
      <c r="D6" s="92" t="n">
        <v>9824.379999999999</v>
      </c>
      <c r="E6" s="92" t="n">
        <v>9579.58</v>
      </c>
      <c r="F6" s="93" t="n">
        <v>0.03</v>
      </c>
      <c r="G6" s="93" t="n">
        <v>0.036667</v>
      </c>
      <c r="H6" s="93" t="n">
        <v>0</v>
      </c>
      <c r="I6" s="93" t="n">
        <v>0</v>
      </c>
      <c r="J6" s="93" t="n">
        <v>0.03</v>
      </c>
      <c r="K6" s="93" t="n">
        <v>0.036667</v>
      </c>
      <c r="L6" s="93" t="n">
        <v>0.02</v>
      </c>
      <c r="M6" s="93" t="n">
        <v>0.06</v>
      </c>
      <c r="N6" s="14">
        <f>MIN(D6,E6)*F6+MAX(0,D6-E6)*H6</f>
        <v/>
      </c>
      <c r="O6" s="14">
        <f>MIN(D6,E6)*G6+MAX(0,D6-E6)*I6</f>
        <v/>
      </c>
      <c r="P6" s="14">
        <f>N6+O6</f>
        <v/>
      </c>
      <c r="Q6" s="94">
        <f>P6/D6</f>
        <v/>
      </c>
      <c r="R6" s="14">
        <f>D6+O6</f>
        <v/>
      </c>
      <c r="S6" s="95" t="n">
        <v>40</v>
      </c>
      <c r="T6" s="95" t="n">
        <v>45</v>
      </c>
      <c r="U6" s="85" t="n">
        <v>245</v>
      </c>
      <c r="V6" s="96" t="n">
        <v>1960</v>
      </c>
      <c r="W6" s="96" t="n">
        <v>2205</v>
      </c>
      <c r="X6" s="92" t="n">
        <v>4563.58</v>
      </c>
      <c r="Y6" s="92" t="n">
        <v>4871.45</v>
      </c>
      <c r="Z6" s="95" t="n">
        <v>16</v>
      </c>
      <c r="AA6" s="97">
        <f>C6</f>
        <v/>
      </c>
      <c r="AB6" s="98">
        <f>D6/AA6</f>
        <v/>
      </c>
      <c r="AC6" s="93" t="n">
        <v>-0.107391</v>
      </c>
      <c r="AD6" s="93" t="n">
        <v>-0.123962</v>
      </c>
      <c r="AE6" s="94">
        <f>AC6</f>
        <v/>
      </c>
      <c r="AF6" s="94">
        <f>AD6</f>
        <v/>
      </c>
      <c r="AG6" s="97">
        <f>AG5*(1+AE6)</f>
        <v/>
      </c>
      <c r="AH6" s="97">
        <f>AH5*(1+AF6)</f>
        <v/>
      </c>
      <c r="AI6" s="97">
        <f>IF(AE6=0,1,AE6/(12*((1+AE6)^(1/12)-1)))</f>
        <v/>
      </c>
      <c r="AJ6" s="97">
        <f>IF(AF6=0,1,AF6/(12*((1+AF6)^(1/12)-1)))</f>
        <v/>
      </c>
      <c r="AK6" s="99">
        <f>D6*'3_Comparateur_detaille'!$B$16</f>
        <v/>
      </c>
      <c r="AL6" s="99">
        <f>IF('3_Comparateur_detaille'!$B$20="Privé",MIN(AK6,E6)*IF('3_Comparateur_detaille'!$B$15="cadre",J6,F6)+MAX(0,AK6-E6)*IF('3_Comparateur_detaille'!$B$15="cadre",L6,H6),AK6*SUMIFS(Donnees_regimes!$J$3:$J$1118,Donnees_regimes!$A$3:$A$1118,'3_Comparateur_detaille'!$B$20,Donnees_regimes!$B$3:$B$1118,A6))</f>
        <v/>
      </c>
      <c r="AM6" s="99">
        <f>IF('3_Comparateur_detaille'!$B$20="Privé",MIN(AK6,E6)*IF('3_Comparateur_detaille'!$B$15="cadre",K6,G6)+MAX(0,AK6-E6)*IF('3_Comparateur_detaille'!$B$15="cadre",M6,I6),AK6*SUMIFS(Donnees_regimes!$K$3:$K$1118,Donnees_regimes!$A$3:$A$1118,'3_Comparateur_detaille'!$B$20,Donnees_regimes!$B$3:$B$1118,A6))</f>
        <v/>
      </c>
      <c r="AN6" s="99">
        <f>IF('3_Comparateur_detaille'!$B$20="Privé",0,AK6*SUMIFS(Donnees_regimes!$L$3:$L$1118,Donnees_regimes!$A$3:$A$1118,'3_Comparateur_detaille'!$B$20,Donnees_regimes!$B$3:$B$1118,A6))</f>
        <v/>
      </c>
      <c r="AO6" s="100">
        <f>(AL6+AM6)/AA6*AI6/AG6</f>
        <v/>
      </c>
      <c r="AP6" s="100">
        <f>(AL6+AM6)/AA6*AJ6/AH6</f>
        <v/>
      </c>
      <c r="AQ6" s="99">
        <f>D6*'3_Comparateur_detaille'!$C$16</f>
        <v/>
      </c>
      <c r="AR6" s="99">
        <f>IF('3_Comparateur_detaille'!$C$20="Privé",MIN(AQ6,E6)*IF('3_Comparateur_detaille'!$C$15="cadre",J6,F6)+MAX(0,AQ6-E6)*IF('3_Comparateur_detaille'!$C$15="cadre",L6,H6),AQ6*SUMIFS(Donnees_regimes!$J$3:$J$1118,Donnees_regimes!$A$3:$A$1118,'3_Comparateur_detaille'!$C$20,Donnees_regimes!$B$3:$B$1118,A6))</f>
        <v/>
      </c>
      <c r="AS6" s="99">
        <f>IF('3_Comparateur_detaille'!$C$20="Privé",MIN(AQ6,E6)*IF('3_Comparateur_detaille'!$C$15="cadre",K6,G6)+MAX(0,AQ6-E6)*IF('3_Comparateur_detaille'!$C$15="cadre",M6,I6),AQ6*SUMIFS(Donnees_regimes!$K$3:$K$1118,Donnees_regimes!$A$3:$A$1118,'3_Comparateur_detaille'!$C$20,Donnees_regimes!$B$3:$B$1118,A6))</f>
        <v/>
      </c>
      <c r="AT6" s="99">
        <f>IF('3_Comparateur_detaille'!$C$20="Privé",0,AQ6*SUMIFS(Donnees_regimes!$L$3:$L$1118,Donnees_regimes!$A$3:$A$1118,'3_Comparateur_detaille'!$C$20,Donnees_regimes!$B$3:$B$1118,A6))</f>
        <v/>
      </c>
      <c r="AU6" s="100">
        <f>(AR6+AS6)/AA6*AI6/AG6</f>
        <v/>
      </c>
      <c r="AV6" s="100">
        <f>(AR6+AS6)/AA6*AJ6/AH6</f>
        <v/>
      </c>
    </row>
    <row r="7">
      <c r="A7" s="88" t="n">
        <v>1949</v>
      </c>
      <c r="B7" s="90" t="inlineStr">
        <is>
          <t>Estimation (salaire 1945-1949)</t>
        </is>
      </c>
      <c r="C7" s="91" t="n">
        <v>24.76886</v>
      </c>
      <c r="D7" s="92" t="n">
        <v>9823.219999999999</v>
      </c>
      <c r="E7" s="92" t="n">
        <v>9748.77</v>
      </c>
      <c r="F7" s="93" t="n">
        <v>0.03</v>
      </c>
      <c r="G7" s="93" t="n">
        <v>0.036667</v>
      </c>
      <c r="H7" s="93" t="n">
        <v>0</v>
      </c>
      <c r="I7" s="93" t="n">
        <v>0</v>
      </c>
      <c r="J7" s="93" t="n">
        <v>0.03</v>
      </c>
      <c r="K7" s="93" t="n">
        <v>0.036667</v>
      </c>
      <c r="L7" s="93" t="n">
        <v>0.02</v>
      </c>
      <c r="M7" s="93" t="n">
        <v>0.06</v>
      </c>
      <c r="N7" s="14">
        <f>MIN(D7,E7)*F7+MAX(0,D7-E7)*H7</f>
        <v/>
      </c>
      <c r="O7" s="14">
        <f>MIN(D7,E7)*G7+MAX(0,D7-E7)*I7</f>
        <v/>
      </c>
      <c r="P7" s="14">
        <f>N7+O7</f>
        <v/>
      </c>
      <c r="Q7" s="94">
        <f>P7/D7</f>
        <v/>
      </c>
      <c r="R7" s="14">
        <f>D7+O7</f>
        <v/>
      </c>
      <c r="S7" s="95" t="n">
        <v>40</v>
      </c>
      <c r="T7" s="95" t="n">
        <v>45</v>
      </c>
      <c r="U7" s="85" t="n">
        <v>243</v>
      </c>
      <c r="V7" s="96" t="n">
        <v>1944</v>
      </c>
      <c r="W7" s="96" t="n">
        <v>2187</v>
      </c>
      <c r="X7" s="92" t="n">
        <v>4563.04</v>
      </c>
      <c r="Y7" s="92" t="n">
        <v>4870.88</v>
      </c>
      <c r="Z7" s="95" t="n">
        <v>16</v>
      </c>
      <c r="AA7" s="97">
        <f>C7</f>
        <v/>
      </c>
      <c r="AB7" s="98">
        <f>D7/AA7</f>
        <v/>
      </c>
      <c r="AC7" s="93" t="n">
        <v>-0.157851</v>
      </c>
      <c r="AD7" s="93" t="n">
        <v>-0.17904</v>
      </c>
      <c r="AE7" s="94">
        <f>AC7</f>
        <v/>
      </c>
      <c r="AF7" s="94">
        <f>AD7</f>
        <v/>
      </c>
      <c r="AG7" s="97">
        <f>AG6*(1+AE7)</f>
        <v/>
      </c>
      <c r="AH7" s="97">
        <f>AH6*(1+AF7)</f>
        <v/>
      </c>
      <c r="AI7" s="97">
        <f>IF(AE7=0,1,AE7/(12*((1+AE7)^(1/12)-1)))</f>
        <v/>
      </c>
      <c r="AJ7" s="97">
        <f>IF(AF7=0,1,AF7/(12*((1+AF7)^(1/12)-1)))</f>
        <v/>
      </c>
      <c r="AK7" s="99">
        <f>D7*'3_Comparateur_detaille'!$B$16</f>
        <v/>
      </c>
      <c r="AL7" s="99">
        <f>IF('3_Comparateur_detaille'!$B$20="Privé",MIN(AK7,E7)*IF('3_Comparateur_detaille'!$B$15="cadre",J7,F7)+MAX(0,AK7-E7)*IF('3_Comparateur_detaille'!$B$15="cadre",L7,H7),AK7*SUMIFS(Donnees_regimes!$J$3:$J$1118,Donnees_regimes!$A$3:$A$1118,'3_Comparateur_detaille'!$B$20,Donnees_regimes!$B$3:$B$1118,A7))</f>
        <v/>
      </c>
      <c r="AM7" s="99">
        <f>IF('3_Comparateur_detaille'!$B$20="Privé",MIN(AK7,E7)*IF('3_Comparateur_detaille'!$B$15="cadre",K7,G7)+MAX(0,AK7-E7)*IF('3_Comparateur_detaille'!$B$15="cadre",M7,I7),AK7*SUMIFS(Donnees_regimes!$K$3:$K$1118,Donnees_regimes!$A$3:$A$1118,'3_Comparateur_detaille'!$B$20,Donnees_regimes!$B$3:$B$1118,A7))</f>
        <v/>
      </c>
      <c r="AN7" s="99">
        <f>IF('3_Comparateur_detaille'!$B$20="Privé",0,AK7*SUMIFS(Donnees_regimes!$L$3:$L$1118,Donnees_regimes!$A$3:$A$1118,'3_Comparateur_detaille'!$B$20,Donnees_regimes!$B$3:$B$1118,A7))</f>
        <v/>
      </c>
      <c r="AO7" s="100">
        <f>(AL7+AM7)/AA7*AI7/AG7</f>
        <v/>
      </c>
      <c r="AP7" s="100">
        <f>(AL7+AM7)/AA7*AJ7/AH7</f>
        <v/>
      </c>
      <c r="AQ7" s="99">
        <f>D7*'3_Comparateur_detaille'!$C$16</f>
        <v/>
      </c>
      <c r="AR7" s="99">
        <f>IF('3_Comparateur_detaille'!$C$20="Privé",MIN(AQ7,E7)*IF('3_Comparateur_detaille'!$C$15="cadre",J7,F7)+MAX(0,AQ7-E7)*IF('3_Comparateur_detaille'!$C$15="cadre",L7,H7),AQ7*SUMIFS(Donnees_regimes!$J$3:$J$1118,Donnees_regimes!$A$3:$A$1118,'3_Comparateur_detaille'!$C$20,Donnees_regimes!$B$3:$B$1118,A7))</f>
        <v/>
      </c>
      <c r="AS7" s="99">
        <f>IF('3_Comparateur_detaille'!$C$20="Privé",MIN(AQ7,E7)*IF('3_Comparateur_detaille'!$C$15="cadre",K7,G7)+MAX(0,AQ7-E7)*IF('3_Comparateur_detaille'!$C$15="cadre",M7,I7),AQ7*SUMIFS(Donnees_regimes!$K$3:$K$1118,Donnees_regimes!$A$3:$A$1118,'3_Comparateur_detaille'!$C$20,Donnees_regimes!$B$3:$B$1118,A7))</f>
        <v/>
      </c>
      <c r="AT7" s="99">
        <f>IF('3_Comparateur_detaille'!$C$20="Privé",0,AQ7*SUMIFS(Donnees_regimes!$L$3:$L$1118,Donnees_regimes!$A$3:$A$1118,'3_Comparateur_detaille'!$C$20,Donnees_regimes!$B$3:$B$1118,A7))</f>
        <v/>
      </c>
      <c r="AU7" s="100">
        <f>(AR7+AS7)/AA7*AI7/AG7</f>
        <v/>
      </c>
      <c r="AV7" s="100">
        <f>(AR7+AS7)/AA7*AJ7/AH7</f>
        <v/>
      </c>
    </row>
    <row r="8">
      <c r="A8" s="88" t="n">
        <v>1950</v>
      </c>
      <c r="B8" s="90" t="inlineStr">
        <is>
          <t>Observé</t>
        </is>
      </c>
      <c r="C8" s="91" t="n">
        <v>22.52212</v>
      </c>
      <c r="D8" s="92" t="n">
        <v>9823.48</v>
      </c>
      <c r="E8" s="92" t="n">
        <v>9064.48</v>
      </c>
      <c r="F8" s="93" t="n">
        <v>0.03</v>
      </c>
      <c r="G8" s="93" t="n">
        <v>0.036667</v>
      </c>
      <c r="H8" s="93" t="n">
        <v>0</v>
      </c>
      <c r="I8" s="93" t="n">
        <v>0</v>
      </c>
      <c r="J8" s="93" t="n">
        <v>0.03</v>
      </c>
      <c r="K8" s="93" t="n">
        <v>0.036667</v>
      </c>
      <c r="L8" s="93" t="n">
        <v>0.02</v>
      </c>
      <c r="M8" s="93" t="n">
        <v>0.06</v>
      </c>
      <c r="N8" s="14">
        <f>MIN(D8,E8)*F8+MAX(0,D8-E8)*H8</f>
        <v/>
      </c>
      <c r="O8" s="14">
        <f>MIN(D8,E8)*G8+MAX(0,D8-E8)*I8</f>
        <v/>
      </c>
      <c r="P8" s="14">
        <f>N8+O8</f>
        <v/>
      </c>
      <c r="Q8" s="94">
        <f>P8/D8</f>
        <v/>
      </c>
      <c r="R8" s="14">
        <f>D8+O8</f>
        <v/>
      </c>
      <c r="S8" s="95" t="n">
        <v>40</v>
      </c>
      <c r="T8" s="95" t="n">
        <v>45</v>
      </c>
      <c r="U8" s="85" t="n">
        <v>242</v>
      </c>
      <c r="V8" s="96" t="n">
        <v>1936</v>
      </c>
      <c r="W8" s="96" t="n">
        <v>2178</v>
      </c>
      <c r="X8" s="92" t="n">
        <v>4563.16</v>
      </c>
      <c r="Y8" s="92" t="n">
        <v>4871</v>
      </c>
      <c r="Z8" s="95" t="n">
        <v>16</v>
      </c>
      <c r="AA8" s="97">
        <f>C8</f>
        <v/>
      </c>
      <c r="AB8" s="98">
        <f>D8/AA8</f>
        <v/>
      </c>
      <c r="AC8" s="93" t="n">
        <v>-0.150761</v>
      </c>
      <c r="AD8" s="93" t="n">
        <v>-0.184711</v>
      </c>
      <c r="AE8" s="94">
        <f>AC8</f>
        <v/>
      </c>
      <c r="AF8" s="94">
        <f>AD8</f>
        <v/>
      </c>
      <c r="AG8" s="97">
        <f>AG7*(1+AE8)</f>
        <v/>
      </c>
      <c r="AH8" s="97">
        <f>AH7*(1+AF8)</f>
        <v/>
      </c>
      <c r="AI8" s="97">
        <f>IF(AE8=0,1,AE8/(12*((1+AE8)^(1/12)-1)))</f>
        <v/>
      </c>
      <c r="AJ8" s="97">
        <f>IF(AF8=0,1,AF8/(12*((1+AF8)^(1/12)-1)))</f>
        <v/>
      </c>
      <c r="AK8" s="99">
        <f>D8*'3_Comparateur_detaille'!$B$16</f>
        <v/>
      </c>
      <c r="AL8" s="99">
        <f>IF('3_Comparateur_detaille'!$B$20="Privé",MIN(AK8,E8)*IF('3_Comparateur_detaille'!$B$15="cadre",J8,F8)+MAX(0,AK8-E8)*IF('3_Comparateur_detaille'!$B$15="cadre",L8,H8),AK8*SUMIFS(Donnees_regimes!$J$3:$J$1118,Donnees_regimes!$A$3:$A$1118,'3_Comparateur_detaille'!$B$20,Donnees_regimes!$B$3:$B$1118,A8))</f>
        <v/>
      </c>
      <c r="AM8" s="99">
        <f>IF('3_Comparateur_detaille'!$B$20="Privé",MIN(AK8,E8)*IF('3_Comparateur_detaille'!$B$15="cadre",K8,G8)+MAX(0,AK8-E8)*IF('3_Comparateur_detaille'!$B$15="cadre",M8,I8),AK8*SUMIFS(Donnees_regimes!$K$3:$K$1118,Donnees_regimes!$A$3:$A$1118,'3_Comparateur_detaille'!$B$20,Donnees_regimes!$B$3:$B$1118,A8))</f>
        <v/>
      </c>
      <c r="AN8" s="99">
        <f>IF('3_Comparateur_detaille'!$B$20="Privé",0,AK8*SUMIFS(Donnees_regimes!$L$3:$L$1118,Donnees_regimes!$A$3:$A$1118,'3_Comparateur_detaille'!$B$20,Donnees_regimes!$B$3:$B$1118,A8))</f>
        <v/>
      </c>
      <c r="AO8" s="100">
        <f>(AL8+AM8)/AA8*AI8/AG8</f>
        <v/>
      </c>
      <c r="AP8" s="100">
        <f>(AL8+AM8)/AA8*AJ8/AH8</f>
        <v/>
      </c>
      <c r="AQ8" s="99">
        <f>D8*'3_Comparateur_detaille'!$C$16</f>
        <v/>
      </c>
      <c r="AR8" s="99">
        <f>IF('3_Comparateur_detaille'!$C$20="Privé",MIN(AQ8,E8)*IF('3_Comparateur_detaille'!$C$15="cadre",J8,F8)+MAX(0,AQ8-E8)*IF('3_Comparateur_detaille'!$C$15="cadre",L8,H8),AQ8*SUMIFS(Donnees_regimes!$J$3:$J$1118,Donnees_regimes!$A$3:$A$1118,'3_Comparateur_detaille'!$C$20,Donnees_regimes!$B$3:$B$1118,A8))</f>
        <v/>
      </c>
      <c r="AS8" s="99">
        <f>IF('3_Comparateur_detaille'!$C$20="Privé",MIN(AQ8,E8)*IF('3_Comparateur_detaille'!$C$15="cadre",K8,G8)+MAX(0,AQ8-E8)*IF('3_Comparateur_detaille'!$C$15="cadre",M8,I8),AQ8*SUMIFS(Donnees_regimes!$K$3:$K$1118,Donnees_regimes!$A$3:$A$1118,'3_Comparateur_detaille'!$C$20,Donnees_regimes!$B$3:$B$1118,A8))</f>
        <v/>
      </c>
      <c r="AT8" s="99">
        <f>IF('3_Comparateur_detaille'!$C$20="Privé",0,AQ8*SUMIFS(Donnees_regimes!$L$3:$L$1118,Donnees_regimes!$A$3:$A$1118,'3_Comparateur_detaille'!$C$20,Donnees_regimes!$B$3:$B$1118,A8))</f>
        <v/>
      </c>
      <c r="AU8" s="100">
        <f>(AR8+AS8)/AA8*AI8/AG8</f>
        <v/>
      </c>
      <c r="AV8" s="100">
        <f>(AR8+AS8)/AA8*AJ8/AH8</f>
        <v/>
      </c>
    </row>
    <row r="9">
      <c r="A9" s="88" t="n">
        <v>1951</v>
      </c>
      <c r="B9" s="90" t="inlineStr">
        <is>
          <t>Observé</t>
        </is>
      </c>
      <c r="C9" s="91" t="n">
        <v>19.39048</v>
      </c>
      <c r="D9" s="92" t="n">
        <v>9757.120000000001</v>
      </c>
      <c r="E9" s="92" t="n">
        <v>10203.46</v>
      </c>
      <c r="F9" s="93" t="n">
        <v>0.03</v>
      </c>
      <c r="G9" s="93" t="n">
        <v>0.036667</v>
      </c>
      <c r="H9" s="93" t="n">
        <v>0</v>
      </c>
      <c r="I9" s="93" t="n">
        <v>0</v>
      </c>
      <c r="J9" s="93" t="n">
        <v>0.03</v>
      </c>
      <c r="K9" s="93" t="n">
        <v>0.036667</v>
      </c>
      <c r="L9" s="93" t="n">
        <v>0.02</v>
      </c>
      <c r="M9" s="93" t="n">
        <v>0.06</v>
      </c>
      <c r="N9" s="14">
        <f>MIN(D9,E9)*F9+MAX(0,D9-E9)*H9</f>
        <v/>
      </c>
      <c r="O9" s="14">
        <f>MIN(D9,E9)*G9+MAX(0,D9-E9)*I9</f>
        <v/>
      </c>
      <c r="P9" s="14">
        <f>N9+O9</f>
        <v/>
      </c>
      <c r="Q9" s="94">
        <f>P9/D9</f>
        <v/>
      </c>
      <c r="R9" s="14">
        <f>D9+O9</f>
        <v/>
      </c>
      <c r="S9" s="95" t="n">
        <v>40</v>
      </c>
      <c r="T9" s="95" t="n">
        <v>45</v>
      </c>
      <c r="U9" s="85" t="n">
        <v>243</v>
      </c>
      <c r="V9" s="96" t="n">
        <v>1944</v>
      </c>
      <c r="W9" s="96" t="n">
        <v>2187</v>
      </c>
      <c r="X9" s="92" t="n">
        <v>4532.34</v>
      </c>
      <c r="Y9" s="92" t="n">
        <v>4838.1</v>
      </c>
      <c r="Z9" s="95" t="n">
        <v>16</v>
      </c>
      <c r="AA9" s="97">
        <f>C9</f>
        <v/>
      </c>
      <c r="AB9" s="98">
        <f>D9/AA9</f>
        <v/>
      </c>
      <c r="AC9" s="93" t="n">
        <v>0.442947</v>
      </c>
      <c r="AD9" s="93" t="n">
        <v>0.394732</v>
      </c>
      <c r="AE9" s="94">
        <f>AC9</f>
        <v/>
      </c>
      <c r="AF9" s="94">
        <f>AD9</f>
        <v/>
      </c>
      <c r="AG9" s="97">
        <f>AG8*(1+AE9)</f>
        <v/>
      </c>
      <c r="AH9" s="97">
        <f>AH8*(1+AF9)</f>
        <v/>
      </c>
      <c r="AI9" s="97">
        <f>IF(AE9=0,1,AE9/(12*((1+AE9)^(1/12)-1)))</f>
        <v/>
      </c>
      <c r="AJ9" s="97">
        <f>IF(AF9=0,1,AF9/(12*((1+AF9)^(1/12)-1)))</f>
        <v/>
      </c>
      <c r="AK9" s="99">
        <f>D9*'3_Comparateur_detaille'!$B$16</f>
        <v/>
      </c>
      <c r="AL9" s="99">
        <f>IF('3_Comparateur_detaille'!$B$20="Privé",MIN(AK9,E9)*IF('3_Comparateur_detaille'!$B$15="cadre",J9,F9)+MAX(0,AK9-E9)*IF('3_Comparateur_detaille'!$B$15="cadre",L9,H9),AK9*SUMIFS(Donnees_regimes!$J$3:$J$1118,Donnees_regimes!$A$3:$A$1118,'3_Comparateur_detaille'!$B$20,Donnees_regimes!$B$3:$B$1118,A9))</f>
        <v/>
      </c>
      <c r="AM9" s="99">
        <f>IF('3_Comparateur_detaille'!$B$20="Privé",MIN(AK9,E9)*IF('3_Comparateur_detaille'!$B$15="cadre",K9,G9)+MAX(0,AK9-E9)*IF('3_Comparateur_detaille'!$B$15="cadre",M9,I9),AK9*SUMIFS(Donnees_regimes!$K$3:$K$1118,Donnees_regimes!$A$3:$A$1118,'3_Comparateur_detaille'!$B$20,Donnees_regimes!$B$3:$B$1118,A9))</f>
        <v/>
      </c>
      <c r="AN9" s="99">
        <f>IF('3_Comparateur_detaille'!$B$20="Privé",0,AK9*SUMIFS(Donnees_regimes!$L$3:$L$1118,Donnees_regimes!$A$3:$A$1118,'3_Comparateur_detaille'!$B$20,Donnees_regimes!$B$3:$B$1118,A9))</f>
        <v/>
      </c>
      <c r="AO9" s="100">
        <f>(AL9+AM9)/AA9*AI9/AG9</f>
        <v/>
      </c>
      <c r="AP9" s="100">
        <f>(AL9+AM9)/AA9*AJ9/AH9</f>
        <v/>
      </c>
      <c r="AQ9" s="99">
        <f>D9*'3_Comparateur_detaille'!$C$16</f>
        <v/>
      </c>
      <c r="AR9" s="99">
        <f>IF('3_Comparateur_detaille'!$C$20="Privé",MIN(AQ9,E9)*IF('3_Comparateur_detaille'!$C$15="cadre",J9,F9)+MAX(0,AQ9-E9)*IF('3_Comparateur_detaille'!$C$15="cadre",L9,H9),AQ9*SUMIFS(Donnees_regimes!$J$3:$J$1118,Donnees_regimes!$A$3:$A$1118,'3_Comparateur_detaille'!$C$20,Donnees_regimes!$B$3:$B$1118,A9))</f>
        <v/>
      </c>
      <c r="AS9" s="99">
        <f>IF('3_Comparateur_detaille'!$C$20="Privé",MIN(AQ9,E9)*IF('3_Comparateur_detaille'!$C$15="cadre",K9,G9)+MAX(0,AQ9-E9)*IF('3_Comparateur_detaille'!$C$15="cadre",M9,I9),AQ9*SUMIFS(Donnees_regimes!$K$3:$K$1118,Donnees_regimes!$A$3:$A$1118,'3_Comparateur_detaille'!$C$20,Donnees_regimes!$B$3:$B$1118,A9))</f>
        <v/>
      </c>
      <c r="AT9" s="99">
        <f>IF('3_Comparateur_detaille'!$C$20="Privé",0,AQ9*SUMIFS(Donnees_regimes!$L$3:$L$1118,Donnees_regimes!$A$3:$A$1118,'3_Comparateur_detaille'!$C$20,Donnees_regimes!$B$3:$B$1118,A9))</f>
        <v/>
      </c>
      <c r="AU9" s="100">
        <f>(AR9+AS9)/AA9*AI9/AG9</f>
        <v/>
      </c>
      <c r="AV9" s="100">
        <f>(AR9+AS9)/AA9*AJ9/AH9</f>
        <v/>
      </c>
    </row>
    <row r="10">
      <c r="A10" s="88" t="n">
        <v>1952</v>
      </c>
      <c r="B10" s="90" t="inlineStr">
        <is>
          <t>Observé</t>
        </is>
      </c>
      <c r="C10" s="91" t="n">
        <v>17.31293</v>
      </c>
      <c r="D10" s="92" t="n">
        <v>10277.25</v>
      </c>
      <c r="E10" s="92" t="n">
        <v>11720.33</v>
      </c>
      <c r="F10" s="93" t="n">
        <v>0.03</v>
      </c>
      <c r="G10" s="93" t="n">
        <v>0.036667</v>
      </c>
      <c r="H10" s="93" t="n">
        <v>0</v>
      </c>
      <c r="I10" s="93" t="n">
        <v>0</v>
      </c>
      <c r="J10" s="93" t="n">
        <v>0.03</v>
      </c>
      <c r="K10" s="93" t="n">
        <v>0.036667</v>
      </c>
      <c r="L10" s="93" t="n">
        <v>0.0156</v>
      </c>
      <c r="M10" s="93" t="n">
        <v>0.0468</v>
      </c>
      <c r="N10" s="14">
        <f>MIN(D10,E10)*F10+MAX(0,D10-E10)*H10</f>
        <v/>
      </c>
      <c r="O10" s="14">
        <f>MIN(D10,E10)*G10+MAX(0,D10-E10)*I10</f>
        <v/>
      </c>
      <c r="P10" s="14">
        <f>N10+O10</f>
        <v/>
      </c>
      <c r="Q10" s="94">
        <f>P10/D10</f>
        <v/>
      </c>
      <c r="R10" s="14">
        <f>D10+O10</f>
        <v/>
      </c>
      <c r="S10" s="95" t="n">
        <v>40</v>
      </c>
      <c r="T10" s="95" t="n">
        <v>45</v>
      </c>
      <c r="U10" s="85" t="n">
        <v>243</v>
      </c>
      <c r="V10" s="96" t="n">
        <v>1944</v>
      </c>
      <c r="W10" s="96" t="n">
        <v>2187</v>
      </c>
      <c r="X10" s="92" t="n">
        <v>4773.94</v>
      </c>
      <c r="Y10" s="92" t="n">
        <v>5096.01</v>
      </c>
      <c r="Z10" s="95" t="n">
        <v>16</v>
      </c>
      <c r="AA10" s="97">
        <f>C10</f>
        <v/>
      </c>
      <c r="AB10" s="98">
        <f>D10/AA10</f>
        <v/>
      </c>
      <c r="AC10" s="93" t="n">
        <v>0.139452</v>
      </c>
      <c r="AD10" s="93" t="n">
        <v>0.094531</v>
      </c>
      <c r="AE10" s="94">
        <f>AC10</f>
        <v/>
      </c>
      <c r="AF10" s="94">
        <f>AD10</f>
        <v/>
      </c>
      <c r="AG10" s="97">
        <f>AG9*(1+AE10)</f>
        <v/>
      </c>
      <c r="AH10" s="97">
        <f>AH9*(1+AF10)</f>
        <v/>
      </c>
      <c r="AI10" s="97">
        <f>IF(AE10=0,1,AE10/(12*((1+AE10)^(1/12)-1)))</f>
        <v/>
      </c>
      <c r="AJ10" s="97">
        <f>IF(AF10=0,1,AF10/(12*((1+AF10)^(1/12)-1)))</f>
        <v/>
      </c>
      <c r="AK10" s="99">
        <f>D10*'3_Comparateur_detaille'!$B$16</f>
        <v/>
      </c>
      <c r="AL10" s="99">
        <f>IF('3_Comparateur_detaille'!$B$20="Privé",MIN(AK10,E10)*IF('3_Comparateur_detaille'!$B$15="cadre",J10,F10)+MAX(0,AK10-E10)*IF('3_Comparateur_detaille'!$B$15="cadre",L10,H10),AK10*SUMIFS(Donnees_regimes!$J$3:$J$1118,Donnees_regimes!$A$3:$A$1118,'3_Comparateur_detaille'!$B$20,Donnees_regimes!$B$3:$B$1118,A10))</f>
        <v/>
      </c>
      <c r="AM10" s="99">
        <f>IF('3_Comparateur_detaille'!$B$20="Privé",MIN(AK10,E10)*IF('3_Comparateur_detaille'!$B$15="cadre",K10,G10)+MAX(0,AK10-E10)*IF('3_Comparateur_detaille'!$B$15="cadre",M10,I10),AK10*SUMIFS(Donnees_regimes!$K$3:$K$1118,Donnees_regimes!$A$3:$A$1118,'3_Comparateur_detaille'!$B$20,Donnees_regimes!$B$3:$B$1118,A10))</f>
        <v/>
      </c>
      <c r="AN10" s="99">
        <f>IF('3_Comparateur_detaille'!$B$20="Privé",0,AK10*SUMIFS(Donnees_regimes!$L$3:$L$1118,Donnees_regimes!$A$3:$A$1118,'3_Comparateur_detaille'!$B$20,Donnees_regimes!$B$3:$B$1118,A10))</f>
        <v/>
      </c>
      <c r="AO10" s="100">
        <f>(AL10+AM10)/AA10*AI10/AG10</f>
        <v/>
      </c>
      <c r="AP10" s="100">
        <f>(AL10+AM10)/AA10*AJ10/AH10</f>
        <v/>
      </c>
      <c r="AQ10" s="99">
        <f>D10*'3_Comparateur_detaille'!$C$16</f>
        <v/>
      </c>
      <c r="AR10" s="99">
        <f>IF('3_Comparateur_detaille'!$C$20="Privé",MIN(AQ10,E10)*IF('3_Comparateur_detaille'!$C$15="cadre",J10,F10)+MAX(0,AQ10-E10)*IF('3_Comparateur_detaille'!$C$15="cadre",L10,H10),AQ10*SUMIFS(Donnees_regimes!$J$3:$J$1118,Donnees_regimes!$A$3:$A$1118,'3_Comparateur_detaille'!$C$20,Donnees_regimes!$B$3:$B$1118,A10))</f>
        <v/>
      </c>
      <c r="AS10" s="99">
        <f>IF('3_Comparateur_detaille'!$C$20="Privé",MIN(AQ10,E10)*IF('3_Comparateur_detaille'!$C$15="cadre",K10,G10)+MAX(0,AQ10-E10)*IF('3_Comparateur_detaille'!$C$15="cadre",M10,I10),AQ10*SUMIFS(Donnees_regimes!$K$3:$K$1118,Donnees_regimes!$A$3:$A$1118,'3_Comparateur_detaille'!$C$20,Donnees_regimes!$B$3:$B$1118,A10))</f>
        <v/>
      </c>
      <c r="AT10" s="99">
        <f>IF('3_Comparateur_detaille'!$C$20="Privé",0,AQ10*SUMIFS(Donnees_regimes!$L$3:$L$1118,Donnees_regimes!$A$3:$A$1118,'3_Comparateur_detaille'!$C$20,Donnees_regimes!$B$3:$B$1118,A10))</f>
        <v/>
      </c>
      <c r="AU10" s="100">
        <f>(AR10+AS10)/AA10*AI10/AG10</f>
        <v/>
      </c>
      <c r="AV10" s="100">
        <f>(AR10+AS10)/AA10*AJ10/AH10</f>
        <v/>
      </c>
    </row>
    <row r="11">
      <c r="A11" s="88" t="n">
        <v>1953</v>
      </c>
      <c r="B11" s="90" t="inlineStr">
        <is>
          <t>Observé</t>
        </is>
      </c>
      <c r="C11" s="91" t="n">
        <v>17.61246</v>
      </c>
      <c r="D11" s="92" t="n">
        <v>10717.37</v>
      </c>
      <c r="E11" s="92" t="n">
        <v>12243.65</v>
      </c>
      <c r="F11" s="93" t="n">
        <v>0.03</v>
      </c>
      <c r="G11" s="93" t="n">
        <v>0.036667</v>
      </c>
      <c r="H11" s="93" t="n">
        <v>0</v>
      </c>
      <c r="I11" s="93" t="n">
        <v>0</v>
      </c>
      <c r="J11" s="93" t="n">
        <v>0.03</v>
      </c>
      <c r="K11" s="93" t="n">
        <v>0.036667</v>
      </c>
      <c r="L11" s="93" t="n">
        <v>0.0156</v>
      </c>
      <c r="M11" s="93" t="n">
        <v>0.048</v>
      </c>
      <c r="N11" s="14">
        <f>MIN(D11,E11)*F11+MAX(0,D11-E11)*H11</f>
        <v/>
      </c>
      <c r="O11" s="14">
        <f>MIN(D11,E11)*G11+MAX(0,D11-E11)*I11</f>
        <v/>
      </c>
      <c r="P11" s="14">
        <f>N11+O11</f>
        <v/>
      </c>
      <c r="Q11" s="94">
        <f>P11/D11</f>
        <v/>
      </c>
      <c r="R11" s="14">
        <f>D11+O11</f>
        <v/>
      </c>
      <c r="S11" s="95" t="n">
        <v>40</v>
      </c>
      <c r="T11" s="95" t="n">
        <v>45</v>
      </c>
      <c r="U11" s="85" t="n">
        <v>242</v>
      </c>
      <c r="V11" s="96" t="n">
        <v>1936</v>
      </c>
      <c r="W11" s="96" t="n">
        <v>2178</v>
      </c>
      <c r="X11" s="92" t="n">
        <v>4978.38</v>
      </c>
      <c r="Y11" s="92" t="n">
        <v>5314.24</v>
      </c>
      <c r="Z11" s="95" t="n">
        <v>16</v>
      </c>
      <c r="AA11" s="97">
        <f>C11</f>
        <v/>
      </c>
      <c r="AB11" s="98">
        <f>D11/AA11</f>
        <v/>
      </c>
      <c r="AC11" s="93" t="n">
        <v>0.231602</v>
      </c>
      <c r="AD11" s="93" t="n">
        <v>0.183278</v>
      </c>
      <c r="AE11" s="94">
        <f>AC11</f>
        <v/>
      </c>
      <c r="AF11" s="94">
        <f>AD11</f>
        <v/>
      </c>
      <c r="AG11" s="97">
        <f>AG10*(1+AE11)</f>
        <v/>
      </c>
      <c r="AH11" s="97">
        <f>AH10*(1+AF11)</f>
        <v/>
      </c>
      <c r="AI11" s="97">
        <f>IF(AE11=0,1,AE11/(12*((1+AE11)^(1/12)-1)))</f>
        <v/>
      </c>
      <c r="AJ11" s="97">
        <f>IF(AF11=0,1,AF11/(12*((1+AF11)^(1/12)-1)))</f>
        <v/>
      </c>
      <c r="AK11" s="99">
        <f>D11*'3_Comparateur_detaille'!$B$16</f>
        <v/>
      </c>
      <c r="AL11" s="99">
        <f>IF('3_Comparateur_detaille'!$B$20="Privé",MIN(AK11,E11)*IF('3_Comparateur_detaille'!$B$15="cadre",J11,F11)+MAX(0,AK11-E11)*IF('3_Comparateur_detaille'!$B$15="cadre",L11,H11),AK11*SUMIFS(Donnees_regimes!$J$3:$J$1118,Donnees_regimes!$A$3:$A$1118,'3_Comparateur_detaille'!$B$20,Donnees_regimes!$B$3:$B$1118,A11))</f>
        <v/>
      </c>
      <c r="AM11" s="99">
        <f>IF('3_Comparateur_detaille'!$B$20="Privé",MIN(AK11,E11)*IF('3_Comparateur_detaille'!$B$15="cadre",K11,G11)+MAX(0,AK11-E11)*IF('3_Comparateur_detaille'!$B$15="cadre",M11,I11),AK11*SUMIFS(Donnees_regimes!$K$3:$K$1118,Donnees_regimes!$A$3:$A$1118,'3_Comparateur_detaille'!$B$20,Donnees_regimes!$B$3:$B$1118,A11))</f>
        <v/>
      </c>
      <c r="AN11" s="99">
        <f>IF('3_Comparateur_detaille'!$B$20="Privé",0,AK11*SUMIFS(Donnees_regimes!$L$3:$L$1118,Donnees_regimes!$A$3:$A$1118,'3_Comparateur_detaille'!$B$20,Donnees_regimes!$B$3:$B$1118,A11))</f>
        <v/>
      </c>
      <c r="AO11" s="100">
        <f>(AL11+AM11)/AA11*AI11/AG11</f>
        <v/>
      </c>
      <c r="AP11" s="100">
        <f>(AL11+AM11)/AA11*AJ11/AH11</f>
        <v/>
      </c>
      <c r="AQ11" s="99">
        <f>D11*'3_Comparateur_detaille'!$C$16</f>
        <v/>
      </c>
      <c r="AR11" s="99">
        <f>IF('3_Comparateur_detaille'!$C$20="Privé",MIN(AQ11,E11)*IF('3_Comparateur_detaille'!$C$15="cadre",J11,F11)+MAX(0,AQ11-E11)*IF('3_Comparateur_detaille'!$C$15="cadre",L11,H11),AQ11*SUMIFS(Donnees_regimes!$J$3:$J$1118,Donnees_regimes!$A$3:$A$1118,'3_Comparateur_detaille'!$C$20,Donnees_regimes!$B$3:$B$1118,A11))</f>
        <v/>
      </c>
      <c r="AS11" s="99">
        <f>IF('3_Comparateur_detaille'!$C$20="Privé",MIN(AQ11,E11)*IF('3_Comparateur_detaille'!$C$15="cadre",K11,G11)+MAX(0,AQ11-E11)*IF('3_Comparateur_detaille'!$C$15="cadre",M11,I11),AQ11*SUMIFS(Donnees_regimes!$K$3:$K$1118,Donnees_regimes!$A$3:$A$1118,'3_Comparateur_detaille'!$C$20,Donnees_regimes!$B$3:$B$1118,A11))</f>
        <v/>
      </c>
      <c r="AT11" s="99">
        <f>IF('3_Comparateur_detaille'!$C$20="Privé",0,AQ11*SUMIFS(Donnees_regimes!$L$3:$L$1118,Donnees_regimes!$A$3:$A$1118,'3_Comparateur_detaille'!$C$20,Donnees_regimes!$B$3:$B$1118,A11))</f>
        <v/>
      </c>
      <c r="AU11" s="100">
        <f>(AR11+AS11)/AA11*AI11/AG11</f>
        <v/>
      </c>
      <c r="AV11" s="100">
        <f>(AR11+AS11)/AA11*AJ11/AH11</f>
        <v/>
      </c>
    </row>
    <row r="12">
      <c r="A12" s="88" t="n">
        <v>1954</v>
      </c>
      <c r="B12" s="90" t="inlineStr">
        <is>
          <t>Observé</t>
        </is>
      </c>
      <c r="C12" s="91" t="n">
        <v>17.55172</v>
      </c>
      <c r="D12" s="92" t="n">
        <v>11670.03</v>
      </c>
      <c r="E12" s="92" t="n">
        <v>12201.43</v>
      </c>
      <c r="F12" s="93" t="n">
        <v>0.03</v>
      </c>
      <c r="G12" s="93" t="n">
        <v>0.036667</v>
      </c>
      <c r="H12" s="93" t="n">
        <v>0</v>
      </c>
      <c r="I12" s="93" t="n">
        <v>0</v>
      </c>
      <c r="J12" s="93" t="n">
        <v>0.03</v>
      </c>
      <c r="K12" s="93" t="n">
        <v>0.036667</v>
      </c>
      <c r="L12" s="93" t="n">
        <v>0.0156</v>
      </c>
      <c r="M12" s="93" t="n">
        <v>0.048</v>
      </c>
      <c r="N12" s="14">
        <f>MIN(D12,E12)*F12+MAX(0,D12-E12)*H12</f>
        <v/>
      </c>
      <c r="O12" s="14">
        <f>MIN(D12,E12)*G12+MAX(0,D12-E12)*I12</f>
        <v/>
      </c>
      <c r="P12" s="14">
        <f>N12+O12</f>
        <v/>
      </c>
      <c r="Q12" s="94">
        <f>P12/D12</f>
        <v/>
      </c>
      <c r="R12" s="14">
        <f>D12+O12</f>
        <v/>
      </c>
      <c r="S12" s="95" t="n">
        <v>40</v>
      </c>
      <c r="T12" s="95" t="n">
        <v>45</v>
      </c>
      <c r="U12" s="85" t="n">
        <v>244</v>
      </c>
      <c r="V12" s="96" t="n">
        <v>1952</v>
      </c>
      <c r="W12" s="96" t="n">
        <v>2196</v>
      </c>
      <c r="X12" s="92" t="n">
        <v>5420.91</v>
      </c>
      <c r="Y12" s="92" t="n">
        <v>5786.62</v>
      </c>
      <c r="Z12" s="95" t="n">
        <v>16</v>
      </c>
      <c r="AA12" s="97">
        <f>C12</f>
        <v/>
      </c>
      <c r="AB12" s="98">
        <f>D12/AA12</f>
        <v/>
      </c>
      <c r="AC12" s="93" t="n">
        <v>1.158557</v>
      </c>
      <c r="AD12" s="93" t="n">
        <v>1.119145</v>
      </c>
      <c r="AE12" s="94">
        <f>AC12</f>
        <v/>
      </c>
      <c r="AF12" s="94">
        <f>AD12</f>
        <v/>
      </c>
      <c r="AG12" s="97">
        <f>AG11*(1+AE12)</f>
        <v/>
      </c>
      <c r="AH12" s="97">
        <f>AH11*(1+AF12)</f>
        <v/>
      </c>
      <c r="AI12" s="97">
        <f>IF(AE12=0,1,AE12/(12*((1+AE12)^(1/12)-1)))</f>
        <v/>
      </c>
      <c r="AJ12" s="97">
        <f>IF(AF12=0,1,AF12/(12*((1+AF12)^(1/12)-1)))</f>
        <v/>
      </c>
      <c r="AK12" s="99">
        <f>D12*'3_Comparateur_detaille'!$B$16</f>
        <v/>
      </c>
      <c r="AL12" s="99">
        <f>IF('3_Comparateur_detaille'!$B$20="Privé",MIN(AK12,E12)*IF('3_Comparateur_detaille'!$B$15="cadre",J12,F12)+MAX(0,AK12-E12)*IF('3_Comparateur_detaille'!$B$15="cadre",L12,H12),AK12*SUMIFS(Donnees_regimes!$J$3:$J$1118,Donnees_regimes!$A$3:$A$1118,'3_Comparateur_detaille'!$B$20,Donnees_regimes!$B$3:$B$1118,A12))</f>
        <v/>
      </c>
      <c r="AM12" s="99">
        <f>IF('3_Comparateur_detaille'!$B$20="Privé",MIN(AK12,E12)*IF('3_Comparateur_detaille'!$B$15="cadre",K12,G12)+MAX(0,AK12-E12)*IF('3_Comparateur_detaille'!$B$15="cadre",M12,I12),AK12*SUMIFS(Donnees_regimes!$K$3:$K$1118,Donnees_regimes!$A$3:$A$1118,'3_Comparateur_detaille'!$B$20,Donnees_regimes!$B$3:$B$1118,A12))</f>
        <v/>
      </c>
      <c r="AN12" s="99">
        <f>IF('3_Comparateur_detaille'!$B$20="Privé",0,AK12*SUMIFS(Donnees_regimes!$L$3:$L$1118,Donnees_regimes!$A$3:$A$1118,'3_Comparateur_detaille'!$B$20,Donnees_regimes!$B$3:$B$1118,A12))</f>
        <v/>
      </c>
      <c r="AO12" s="100">
        <f>(AL12+AM12)/AA12*AI12/AG12</f>
        <v/>
      </c>
      <c r="AP12" s="100">
        <f>(AL12+AM12)/AA12*AJ12/AH12</f>
        <v/>
      </c>
      <c r="AQ12" s="99">
        <f>D12*'3_Comparateur_detaille'!$C$16</f>
        <v/>
      </c>
      <c r="AR12" s="99">
        <f>IF('3_Comparateur_detaille'!$C$20="Privé",MIN(AQ12,E12)*IF('3_Comparateur_detaille'!$C$15="cadre",J12,F12)+MAX(0,AQ12-E12)*IF('3_Comparateur_detaille'!$C$15="cadre",L12,H12),AQ12*SUMIFS(Donnees_regimes!$J$3:$J$1118,Donnees_regimes!$A$3:$A$1118,'3_Comparateur_detaille'!$C$20,Donnees_regimes!$B$3:$B$1118,A12))</f>
        <v/>
      </c>
      <c r="AS12" s="99">
        <f>IF('3_Comparateur_detaille'!$C$20="Privé",MIN(AQ12,E12)*IF('3_Comparateur_detaille'!$C$15="cadre",K12,G12)+MAX(0,AQ12-E12)*IF('3_Comparateur_detaille'!$C$15="cadre",M12,I12),AQ12*SUMIFS(Donnees_regimes!$K$3:$K$1118,Donnees_regimes!$A$3:$A$1118,'3_Comparateur_detaille'!$C$20,Donnees_regimes!$B$3:$B$1118,A12))</f>
        <v/>
      </c>
      <c r="AT12" s="99">
        <f>IF('3_Comparateur_detaille'!$C$20="Privé",0,AQ12*SUMIFS(Donnees_regimes!$L$3:$L$1118,Donnees_regimes!$A$3:$A$1118,'3_Comparateur_detaille'!$C$20,Donnees_regimes!$B$3:$B$1118,A12))</f>
        <v/>
      </c>
      <c r="AU12" s="100">
        <f>(AR12+AS12)/AA12*AI12/AG12</f>
        <v/>
      </c>
      <c r="AV12" s="100">
        <f>(AR12+AS12)/AA12*AJ12/AH12</f>
        <v/>
      </c>
    </row>
    <row r="13">
      <c r="A13" s="88" t="n">
        <v>1955</v>
      </c>
      <c r="B13" s="90" t="inlineStr">
        <is>
          <t>Observé</t>
        </is>
      </c>
      <c r="C13" s="91" t="n">
        <v>17.37201</v>
      </c>
      <c r="D13" s="92" t="n">
        <v>12751.8</v>
      </c>
      <c r="E13" s="92" t="n">
        <v>12557.01</v>
      </c>
      <c r="F13" s="93" t="n">
        <v>0.03</v>
      </c>
      <c r="G13" s="93" t="n">
        <v>0.036667</v>
      </c>
      <c r="H13" s="93" t="n">
        <v>0</v>
      </c>
      <c r="I13" s="93" t="n">
        <v>0</v>
      </c>
      <c r="J13" s="93" t="n">
        <v>0.03</v>
      </c>
      <c r="K13" s="93" t="n">
        <v>0.036667</v>
      </c>
      <c r="L13" s="93" t="n">
        <v>0.017</v>
      </c>
      <c r="M13" s="93" t="n">
        <v>0.051</v>
      </c>
      <c r="N13" s="14">
        <f>MIN(D13,E13)*F13+MAX(0,D13-E13)*H13</f>
        <v/>
      </c>
      <c r="O13" s="14">
        <f>MIN(D13,E13)*G13+MAX(0,D13-E13)*I13</f>
        <v/>
      </c>
      <c r="P13" s="14">
        <f>N13+O13</f>
        <v/>
      </c>
      <c r="Q13" s="94">
        <f>P13/D13</f>
        <v/>
      </c>
      <c r="R13" s="14">
        <f>D13+O13</f>
        <v/>
      </c>
      <c r="S13" s="95" t="n">
        <v>40</v>
      </c>
      <c r="T13" s="95" t="n">
        <v>45</v>
      </c>
      <c r="U13" s="85" t="n">
        <v>243</v>
      </c>
      <c r="V13" s="96" t="n">
        <v>1944</v>
      </c>
      <c r="W13" s="96" t="n">
        <v>2187</v>
      </c>
      <c r="X13" s="92" t="n">
        <v>5923.41</v>
      </c>
      <c r="Y13" s="92" t="n">
        <v>6323.02</v>
      </c>
      <c r="Z13" s="95" t="n">
        <v>16</v>
      </c>
      <c r="AA13" s="97">
        <f>C13</f>
        <v/>
      </c>
      <c r="AB13" s="98">
        <f>D13/AA13</f>
        <v/>
      </c>
      <c r="AC13" s="93" t="n">
        <v>-0.036632</v>
      </c>
      <c r="AD13" s="93" t="n">
        <v>-0.056672</v>
      </c>
      <c r="AE13" s="94">
        <f>AC13</f>
        <v/>
      </c>
      <c r="AF13" s="94">
        <f>AD13</f>
        <v/>
      </c>
      <c r="AG13" s="97">
        <f>AG12*(1+AE13)</f>
        <v/>
      </c>
      <c r="AH13" s="97">
        <f>AH12*(1+AF13)</f>
        <v/>
      </c>
      <c r="AI13" s="97">
        <f>IF(AE13=0,1,AE13/(12*((1+AE13)^(1/12)-1)))</f>
        <v/>
      </c>
      <c r="AJ13" s="97">
        <f>IF(AF13=0,1,AF13/(12*((1+AF13)^(1/12)-1)))</f>
        <v/>
      </c>
      <c r="AK13" s="99">
        <f>D13*'3_Comparateur_detaille'!$B$16</f>
        <v/>
      </c>
      <c r="AL13" s="99">
        <f>IF('3_Comparateur_detaille'!$B$20="Privé",MIN(AK13,E13)*IF('3_Comparateur_detaille'!$B$15="cadre",J13,F13)+MAX(0,AK13-E13)*IF('3_Comparateur_detaille'!$B$15="cadre",L13,H13),AK13*SUMIFS(Donnees_regimes!$J$3:$J$1118,Donnees_regimes!$A$3:$A$1118,'3_Comparateur_detaille'!$B$20,Donnees_regimes!$B$3:$B$1118,A13))</f>
        <v/>
      </c>
      <c r="AM13" s="99">
        <f>IF('3_Comparateur_detaille'!$B$20="Privé",MIN(AK13,E13)*IF('3_Comparateur_detaille'!$B$15="cadre",K13,G13)+MAX(0,AK13-E13)*IF('3_Comparateur_detaille'!$B$15="cadre",M13,I13),AK13*SUMIFS(Donnees_regimes!$K$3:$K$1118,Donnees_regimes!$A$3:$A$1118,'3_Comparateur_detaille'!$B$20,Donnees_regimes!$B$3:$B$1118,A13))</f>
        <v/>
      </c>
      <c r="AN13" s="99">
        <f>IF('3_Comparateur_detaille'!$B$20="Privé",0,AK13*SUMIFS(Donnees_regimes!$L$3:$L$1118,Donnees_regimes!$A$3:$A$1118,'3_Comparateur_detaille'!$B$20,Donnees_regimes!$B$3:$B$1118,A13))</f>
        <v/>
      </c>
      <c r="AO13" s="100">
        <f>(AL13+AM13)/AA13*AI13/AG13</f>
        <v/>
      </c>
      <c r="AP13" s="100">
        <f>(AL13+AM13)/AA13*AJ13/AH13</f>
        <v/>
      </c>
      <c r="AQ13" s="99">
        <f>D13*'3_Comparateur_detaille'!$C$16</f>
        <v/>
      </c>
      <c r="AR13" s="99">
        <f>IF('3_Comparateur_detaille'!$C$20="Privé",MIN(AQ13,E13)*IF('3_Comparateur_detaille'!$C$15="cadre",J13,F13)+MAX(0,AQ13-E13)*IF('3_Comparateur_detaille'!$C$15="cadre",L13,H13),AQ13*SUMIFS(Donnees_regimes!$J$3:$J$1118,Donnees_regimes!$A$3:$A$1118,'3_Comparateur_detaille'!$C$20,Donnees_regimes!$B$3:$B$1118,A13))</f>
        <v/>
      </c>
      <c r="AS13" s="99">
        <f>IF('3_Comparateur_detaille'!$C$20="Privé",MIN(AQ13,E13)*IF('3_Comparateur_detaille'!$C$15="cadre",K13,G13)+MAX(0,AQ13-E13)*IF('3_Comparateur_detaille'!$C$15="cadre",M13,I13),AQ13*SUMIFS(Donnees_regimes!$K$3:$K$1118,Donnees_regimes!$A$3:$A$1118,'3_Comparateur_detaille'!$C$20,Donnees_regimes!$B$3:$B$1118,A13))</f>
        <v/>
      </c>
      <c r="AT13" s="99">
        <f>IF('3_Comparateur_detaille'!$C$20="Privé",0,AQ13*SUMIFS(Donnees_regimes!$L$3:$L$1118,Donnees_regimes!$A$3:$A$1118,'3_Comparateur_detaille'!$C$20,Donnees_regimes!$B$3:$B$1118,A13))</f>
        <v/>
      </c>
      <c r="AU13" s="100">
        <f>(AR13+AS13)/AA13*AI13/AG13</f>
        <v/>
      </c>
      <c r="AV13" s="100">
        <f>(AR13+AS13)/AA13*AJ13/AH13</f>
        <v/>
      </c>
    </row>
    <row r="14">
      <c r="A14" s="88" t="n">
        <v>1956</v>
      </c>
      <c r="B14" s="90" t="inlineStr">
        <is>
          <t>Observé</t>
        </is>
      </c>
      <c r="C14" s="91" t="n">
        <v>16.68852</v>
      </c>
      <c r="D14" s="92" t="n">
        <v>13546.11</v>
      </c>
      <c r="E14" s="92" t="n">
        <v>13433.09</v>
      </c>
      <c r="F14" s="93" t="n">
        <v>0.03</v>
      </c>
      <c r="G14" s="93" t="n">
        <v>0.036667</v>
      </c>
      <c r="H14" s="93" t="n">
        <v>0</v>
      </c>
      <c r="I14" s="93" t="n">
        <v>0</v>
      </c>
      <c r="J14" s="93" t="n">
        <v>0.03</v>
      </c>
      <c r="K14" s="93" t="n">
        <v>0.036667</v>
      </c>
      <c r="L14" s="93" t="n">
        <v>0.017</v>
      </c>
      <c r="M14" s="93" t="n">
        <v>0.051</v>
      </c>
      <c r="N14" s="14">
        <f>MIN(D14,E14)*F14+MAX(0,D14-E14)*H14</f>
        <v/>
      </c>
      <c r="O14" s="14">
        <f>MIN(D14,E14)*G14+MAX(0,D14-E14)*I14</f>
        <v/>
      </c>
      <c r="P14" s="14">
        <f>N14+O14</f>
        <v/>
      </c>
      <c r="Q14" s="94">
        <f>P14/D14</f>
        <v/>
      </c>
      <c r="R14" s="14">
        <f>D14+O14</f>
        <v/>
      </c>
      <c r="S14" s="95" t="n">
        <v>40</v>
      </c>
      <c r="T14" s="95" t="n">
        <v>45.8</v>
      </c>
      <c r="U14" s="85" t="n">
        <v>238</v>
      </c>
      <c r="V14" s="96" t="n">
        <v>1904</v>
      </c>
      <c r="W14" s="96" t="n">
        <v>2180.1</v>
      </c>
      <c r="X14" s="92" t="n">
        <v>6292.38</v>
      </c>
      <c r="Y14" s="92" t="n">
        <v>6716.88</v>
      </c>
      <c r="Z14" s="95" t="n">
        <v>16</v>
      </c>
      <c r="AA14" s="97">
        <f>C14</f>
        <v/>
      </c>
      <c r="AB14" s="98">
        <f>D14/AA14</f>
        <v/>
      </c>
      <c r="AC14" s="93" t="n">
        <v>0.031505</v>
      </c>
      <c r="AD14" s="93" t="n">
        <v>0.010729</v>
      </c>
      <c r="AE14" s="94">
        <f>AC14</f>
        <v/>
      </c>
      <c r="AF14" s="94">
        <f>AD14</f>
        <v/>
      </c>
      <c r="AG14" s="97">
        <f>AG13*(1+AE14)</f>
        <v/>
      </c>
      <c r="AH14" s="97">
        <f>AH13*(1+AF14)</f>
        <v/>
      </c>
      <c r="AI14" s="97">
        <f>IF(AE14=0,1,AE14/(12*((1+AE14)^(1/12)-1)))</f>
        <v/>
      </c>
      <c r="AJ14" s="97">
        <f>IF(AF14=0,1,AF14/(12*((1+AF14)^(1/12)-1)))</f>
        <v/>
      </c>
      <c r="AK14" s="99">
        <f>D14*'3_Comparateur_detaille'!$B$16</f>
        <v/>
      </c>
      <c r="AL14" s="99">
        <f>IF('3_Comparateur_detaille'!$B$20="Privé",MIN(AK14,E14)*IF('3_Comparateur_detaille'!$B$15="cadre",J14,F14)+MAX(0,AK14-E14)*IF('3_Comparateur_detaille'!$B$15="cadre",L14,H14),AK14*SUMIFS(Donnees_regimes!$J$3:$J$1118,Donnees_regimes!$A$3:$A$1118,'3_Comparateur_detaille'!$B$20,Donnees_regimes!$B$3:$B$1118,A14))</f>
        <v/>
      </c>
      <c r="AM14" s="99">
        <f>IF('3_Comparateur_detaille'!$B$20="Privé",MIN(AK14,E14)*IF('3_Comparateur_detaille'!$B$15="cadre",K14,G14)+MAX(0,AK14-E14)*IF('3_Comparateur_detaille'!$B$15="cadre",M14,I14),AK14*SUMIFS(Donnees_regimes!$K$3:$K$1118,Donnees_regimes!$A$3:$A$1118,'3_Comparateur_detaille'!$B$20,Donnees_regimes!$B$3:$B$1118,A14))</f>
        <v/>
      </c>
      <c r="AN14" s="99">
        <f>IF('3_Comparateur_detaille'!$B$20="Privé",0,AK14*SUMIFS(Donnees_regimes!$L$3:$L$1118,Donnees_regimes!$A$3:$A$1118,'3_Comparateur_detaille'!$B$20,Donnees_regimes!$B$3:$B$1118,A14))</f>
        <v/>
      </c>
      <c r="AO14" s="100">
        <f>(AL14+AM14)/AA14*AI14/AG14</f>
        <v/>
      </c>
      <c r="AP14" s="100">
        <f>(AL14+AM14)/AA14*AJ14/AH14</f>
        <v/>
      </c>
      <c r="AQ14" s="99">
        <f>D14*'3_Comparateur_detaille'!$C$16</f>
        <v/>
      </c>
      <c r="AR14" s="99">
        <f>IF('3_Comparateur_detaille'!$C$20="Privé",MIN(AQ14,E14)*IF('3_Comparateur_detaille'!$C$15="cadre",J14,F14)+MAX(0,AQ14-E14)*IF('3_Comparateur_detaille'!$C$15="cadre",L14,H14),AQ14*SUMIFS(Donnees_regimes!$J$3:$J$1118,Donnees_regimes!$A$3:$A$1118,'3_Comparateur_detaille'!$C$20,Donnees_regimes!$B$3:$B$1118,A14))</f>
        <v/>
      </c>
      <c r="AS14" s="99">
        <f>IF('3_Comparateur_detaille'!$C$20="Privé",MIN(AQ14,E14)*IF('3_Comparateur_detaille'!$C$15="cadre",K14,G14)+MAX(0,AQ14-E14)*IF('3_Comparateur_detaille'!$C$15="cadre",M14,I14),AQ14*SUMIFS(Donnees_regimes!$K$3:$K$1118,Donnees_regimes!$A$3:$A$1118,'3_Comparateur_detaille'!$C$20,Donnees_regimes!$B$3:$B$1118,A14))</f>
        <v/>
      </c>
      <c r="AT14" s="99">
        <f>IF('3_Comparateur_detaille'!$C$20="Privé",0,AQ14*SUMIFS(Donnees_regimes!$L$3:$L$1118,Donnees_regimes!$A$3:$A$1118,'3_Comparateur_detaille'!$C$20,Donnees_regimes!$B$3:$B$1118,A14))</f>
        <v/>
      </c>
      <c r="AU14" s="100">
        <f>(AR14+AS14)/AA14*AI14/AG14</f>
        <v/>
      </c>
      <c r="AV14" s="100">
        <f>(AR14+AS14)/AA14*AJ14/AH14</f>
        <v/>
      </c>
    </row>
    <row r="15">
      <c r="A15" s="88" t="n">
        <v>1957</v>
      </c>
      <c r="B15" s="90" t="inlineStr">
        <is>
          <t>Observé</t>
        </is>
      </c>
      <c r="C15" s="91" t="n">
        <v>16.18442</v>
      </c>
      <c r="D15" s="92" t="n">
        <v>14514.33</v>
      </c>
      <c r="E15" s="92" t="n">
        <v>13027.32</v>
      </c>
      <c r="F15" s="93" t="n">
        <v>0.03</v>
      </c>
      <c r="G15" s="93" t="n">
        <v>0.036667</v>
      </c>
      <c r="H15" s="93" t="n">
        <v>0</v>
      </c>
      <c r="I15" s="93" t="n">
        <v>0</v>
      </c>
      <c r="J15" s="93" t="n">
        <v>0.03</v>
      </c>
      <c r="K15" s="93" t="n">
        <v>0.036667</v>
      </c>
      <c r="L15" s="93" t="n">
        <v>0.017</v>
      </c>
      <c r="M15" s="93" t="n">
        <v>0.051</v>
      </c>
      <c r="N15" s="14">
        <f>MIN(D15,E15)*F15+MAX(0,D15-E15)*H15</f>
        <v/>
      </c>
      <c r="O15" s="14">
        <f>MIN(D15,E15)*G15+MAX(0,D15-E15)*I15</f>
        <v/>
      </c>
      <c r="P15" s="14">
        <f>N15+O15</f>
        <v/>
      </c>
      <c r="Q15" s="94">
        <f>P15/D15</f>
        <v/>
      </c>
      <c r="R15" s="14">
        <f>D15+O15</f>
        <v/>
      </c>
      <c r="S15" s="95" t="n">
        <v>40</v>
      </c>
      <c r="T15" s="95" t="n">
        <v>45.8</v>
      </c>
      <c r="U15" s="85" t="n">
        <v>236</v>
      </c>
      <c r="V15" s="96" t="n">
        <v>1888</v>
      </c>
      <c r="W15" s="96" t="n">
        <v>2161.8</v>
      </c>
      <c r="X15" s="92" t="n">
        <v>6742.13</v>
      </c>
      <c r="Y15" s="92" t="n">
        <v>7196.98</v>
      </c>
      <c r="Z15" s="95" t="n">
        <v>16</v>
      </c>
      <c r="AA15" s="97">
        <f>C15</f>
        <v/>
      </c>
      <c r="AB15" s="98">
        <f>D15/AA15</f>
        <v/>
      </c>
      <c r="AC15" s="93" t="n">
        <v>0.142936</v>
      </c>
      <c r="AD15" s="93" t="n">
        <v>0.126085</v>
      </c>
      <c r="AE15" s="94">
        <f>AC15</f>
        <v/>
      </c>
      <c r="AF15" s="94">
        <f>AD15</f>
        <v/>
      </c>
      <c r="AG15" s="97">
        <f>AG14*(1+AE15)</f>
        <v/>
      </c>
      <c r="AH15" s="97">
        <f>AH14*(1+AF15)</f>
        <v/>
      </c>
      <c r="AI15" s="97">
        <f>IF(AE15=0,1,AE15/(12*((1+AE15)^(1/12)-1)))</f>
        <v/>
      </c>
      <c r="AJ15" s="97">
        <f>IF(AF15=0,1,AF15/(12*((1+AF15)^(1/12)-1)))</f>
        <v/>
      </c>
      <c r="AK15" s="99">
        <f>D15*'3_Comparateur_detaille'!$B$16</f>
        <v/>
      </c>
      <c r="AL15" s="99">
        <f>IF('3_Comparateur_detaille'!$B$20="Privé",MIN(AK15,E15)*IF('3_Comparateur_detaille'!$B$15="cadre",J15,F15)+MAX(0,AK15-E15)*IF('3_Comparateur_detaille'!$B$15="cadre",L15,H15),AK15*SUMIFS(Donnees_regimes!$J$3:$J$1118,Donnees_regimes!$A$3:$A$1118,'3_Comparateur_detaille'!$B$20,Donnees_regimes!$B$3:$B$1118,A15))</f>
        <v/>
      </c>
      <c r="AM15" s="99">
        <f>IF('3_Comparateur_detaille'!$B$20="Privé",MIN(AK15,E15)*IF('3_Comparateur_detaille'!$B$15="cadre",K15,G15)+MAX(0,AK15-E15)*IF('3_Comparateur_detaille'!$B$15="cadre",M15,I15),AK15*SUMIFS(Donnees_regimes!$K$3:$K$1118,Donnees_regimes!$A$3:$A$1118,'3_Comparateur_detaille'!$B$20,Donnees_regimes!$B$3:$B$1118,A15))</f>
        <v/>
      </c>
      <c r="AN15" s="99">
        <f>IF('3_Comparateur_detaille'!$B$20="Privé",0,AK15*SUMIFS(Donnees_regimes!$L$3:$L$1118,Donnees_regimes!$A$3:$A$1118,'3_Comparateur_detaille'!$B$20,Donnees_regimes!$B$3:$B$1118,A15))</f>
        <v/>
      </c>
      <c r="AO15" s="100">
        <f>(AL15+AM15)/AA15*AI15/AG15</f>
        <v/>
      </c>
      <c r="AP15" s="100">
        <f>(AL15+AM15)/AA15*AJ15/AH15</f>
        <v/>
      </c>
      <c r="AQ15" s="99">
        <f>D15*'3_Comparateur_detaille'!$C$16</f>
        <v/>
      </c>
      <c r="AR15" s="99">
        <f>IF('3_Comparateur_detaille'!$C$20="Privé",MIN(AQ15,E15)*IF('3_Comparateur_detaille'!$C$15="cadre",J15,F15)+MAX(0,AQ15-E15)*IF('3_Comparateur_detaille'!$C$15="cadre",L15,H15),AQ15*SUMIFS(Donnees_regimes!$J$3:$J$1118,Donnees_regimes!$A$3:$A$1118,'3_Comparateur_detaille'!$C$20,Donnees_regimes!$B$3:$B$1118,A15))</f>
        <v/>
      </c>
      <c r="AS15" s="99">
        <f>IF('3_Comparateur_detaille'!$C$20="Privé",MIN(AQ15,E15)*IF('3_Comparateur_detaille'!$C$15="cadre",K15,G15)+MAX(0,AQ15-E15)*IF('3_Comparateur_detaille'!$C$15="cadre",M15,I15),AQ15*SUMIFS(Donnees_regimes!$K$3:$K$1118,Donnees_regimes!$A$3:$A$1118,'3_Comparateur_detaille'!$C$20,Donnees_regimes!$B$3:$B$1118,A15))</f>
        <v/>
      </c>
      <c r="AT15" s="99">
        <f>IF('3_Comparateur_detaille'!$C$20="Privé",0,AQ15*SUMIFS(Donnees_regimes!$L$3:$L$1118,Donnees_regimes!$A$3:$A$1118,'3_Comparateur_detaille'!$C$20,Donnees_regimes!$B$3:$B$1118,A15))</f>
        <v/>
      </c>
      <c r="AU15" s="100">
        <f>(AR15+AS15)/AA15*AI15/AG15</f>
        <v/>
      </c>
      <c r="AV15" s="100">
        <f>(AR15+AS15)/AA15*AJ15/AH15</f>
        <v/>
      </c>
    </row>
    <row r="16">
      <c r="A16" s="88" t="n">
        <v>1958</v>
      </c>
      <c r="B16" s="90" t="inlineStr">
        <is>
          <t>Observé</t>
        </is>
      </c>
      <c r="C16" s="91" t="n">
        <v>14.08022</v>
      </c>
      <c r="D16" s="92" t="n">
        <v>14050.26</v>
      </c>
      <c r="E16" s="92" t="n">
        <v>12879.04</v>
      </c>
      <c r="F16" s="93" t="n">
        <v>0.03</v>
      </c>
      <c r="G16" s="93" t="n">
        <v>0.036667</v>
      </c>
      <c r="H16" s="93" t="n">
        <v>0</v>
      </c>
      <c r="I16" s="93" t="n">
        <v>0</v>
      </c>
      <c r="J16" s="93" t="n">
        <v>0.03</v>
      </c>
      <c r="K16" s="93" t="n">
        <v>0.036667</v>
      </c>
      <c r="L16" s="93" t="n">
        <v>0.017</v>
      </c>
      <c r="M16" s="93" t="n">
        <v>0.051</v>
      </c>
      <c r="N16" s="14">
        <f>MIN(D16,E16)*F16+MAX(0,D16-E16)*H16</f>
        <v/>
      </c>
      <c r="O16" s="14">
        <f>MIN(D16,E16)*G16+MAX(0,D16-E16)*I16</f>
        <v/>
      </c>
      <c r="P16" s="14">
        <f>N16+O16</f>
        <v/>
      </c>
      <c r="Q16" s="94">
        <f>P16/D16</f>
        <v/>
      </c>
      <c r="R16" s="14">
        <f>D16+O16</f>
        <v/>
      </c>
      <c r="S16" s="95" t="n">
        <v>40</v>
      </c>
      <c r="T16" s="95" t="n">
        <v>45.8</v>
      </c>
      <c r="U16" s="85" t="n">
        <v>236</v>
      </c>
      <c r="V16" s="96" t="n">
        <v>1888</v>
      </c>
      <c r="W16" s="96" t="n">
        <v>2161.8</v>
      </c>
      <c r="X16" s="92" t="n">
        <v>6526.57</v>
      </c>
      <c r="Y16" s="92" t="n">
        <v>6966.87</v>
      </c>
      <c r="Z16" s="95" t="n">
        <v>16</v>
      </c>
      <c r="AA16" s="97">
        <f>C16</f>
        <v/>
      </c>
      <c r="AB16" s="98">
        <f>D16/AA16</f>
        <v/>
      </c>
      <c r="AC16" s="93" t="n">
        <v>-0.08519500000000001</v>
      </c>
      <c r="AD16" s="93" t="n">
        <v>-0.099408</v>
      </c>
      <c r="AE16" s="94">
        <f>AC16</f>
        <v/>
      </c>
      <c r="AF16" s="94">
        <f>AD16</f>
        <v/>
      </c>
      <c r="AG16" s="97">
        <f>AG15*(1+AE16)</f>
        <v/>
      </c>
      <c r="AH16" s="97">
        <f>AH15*(1+AF16)</f>
        <v/>
      </c>
      <c r="AI16" s="97">
        <f>IF(AE16=0,1,AE16/(12*((1+AE16)^(1/12)-1)))</f>
        <v/>
      </c>
      <c r="AJ16" s="97">
        <f>IF(AF16=0,1,AF16/(12*((1+AF16)^(1/12)-1)))</f>
        <v/>
      </c>
      <c r="AK16" s="99">
        <f>D16*'3_Comparateur_detaille'!$B$16</f>
        <v/>
      </c>
      <c r="AL16" s="99">
        <f>IF('3_Comparateur_detaille'!$B$20="Privé",MIN(AK16,E16)*IF('3_Comparateur_detaille'!$B$15="cadre",J16,F16)+MAX(0,AK16-E16)*IF('3_Comparateur_detaille'!$B$15="cadre",L16,H16),AK16*SUMIFS(Donnees_regimes!$J$3:$J$1118,Donnees_regimes!$A$3:$A$1118,'3_Comparateur_detaille'!$B$20,Donnees_regimes!$B$3:$B$1118,A16))</f>
        <v/>
      </c>
      <c r="AM16" s="99">
        <f>IF('3_Comparateur_detaille'!$B$20="Privé",MIN(AK16,E16)*IF('3_Comparateur_detaille'!$B$15="cadre",K16,G16)+MAX(0,AK16-E16)*IF('3_Comparateur_detaille'!$B$15="cadre",M16,I16),AK16*SUMIFS(Donnees_regimes!$K$3:$K$1118,Donnees_regimes!$A$3:$A$1118,'3_Comparateur_detaille'!$B$20,Donnees_regimes!$B$3:$B$1118,A16))</f>
        <v/>
      </c>
      <c r="AN16" s="99">
        <f>IF('3_Comparateur_detaille'!$B$20="Privé",0,AK16*SUMIFS(Donnees_regimes!$L$3:$L$1118,Donnees_regimes!$A$3:$A$1118,'3_Comparateur_detaille'!$B$20,Donnees_regimes!$B$3:$B$1118,A16))</f>
        <v/>
      </c>
      <c r="AO16" s="100">
        <f>(AL16+AM16)/AA16*AI16/AG16</f>
        <v/>
      </c>
      <c r="AP16" s="100">
        <f>(AL16+AM16)/AA16*AJ16/AH16</f>
        <v/>
      </c>
      <c r="AQ16" s="99">
        <f>D16*'3_Comparateur_detaille'!$C$16</f>
        <v/>
      </c>
      <c r="AR16" s="99">
        <f>IF('3_Comparateur_detaille'!$C$20="Privé",MIN(AQ16,E16)*IF('3_Comparateur_detaille'!$C$15="cadre",J16,F16)+MAX(0,AQ16-E16)*IF('3_Comparateur_detaille'!$C$15="cadre",L16,H16),AQ16*SUMIFS(Donnees_regimes!$J$3:$J$1118,Donnees_regimes!$A$3:$A$1118,'3_Comparateur_detaille'!$C$20,Donnees_regimes!$B$3:$B$1118,A16))</f>
        <v/>
      </c>
      <c r="AS16" s="99">
        <f>IF('3_Comparateur_detaille'!$C$20="Privé",MIN(AQ16,E16)*IF('3_Comparateur_detaille'!$C$15="cadre",K16,G16)+MAX(0,AQ16-E16)*IF('3_Comparateur_detaille'!$C$15="cadre",M16,I16),AQ16*SUMIFS(Donnees_regimes!$K$3:$K$1118,Donnees_regimes!$A$3:$A$1118,'3_Comparateur_detaille'!$C$20,Donnees_regimes!$B$3:$B$1118,A16))</f>
        <v/>
      </c>
      <c r="AT16" s="99">
        <f>IF('3_Comparateur_detaille'!$C$20="Privé",0,AQ16*SUMIFS(Donnees_regimes!$L$3:$L$1118,Donnees_regimes!$A$3:$A$1118,'3_Comparateur_detaille'!$C$20,Donnees_regimes!$B$3:$B$1118,A16))</f>
        <v/>
      </c>
      <c r="AU16" s="100">
        <f>(AR16+AS16)/AA16*AI16/AG16</f>
        <v/>
      </c>
      <c r="AV16" s="100">
        <f>(AR16+AS16)/AA16*AJ16/AH16</f>
        <v/>
      </c>
    </row>
    <row r="17">
      <c r="A17" s="88" t="n">
        <v>1959</v>
      </c>
      <c r="B17" s="90" t="inlineStr">
        <is>
          <t>Observé</t>
        </is>
      </c>
      <c r="C17" s="91" t="n">
        <v>13.25521</v>
      </c>
      <c r="D17" s="92" t="n">
        <v>14103.09</v>
      </c>
      <c r="E17" s="92" t="n">
        <v>13336.86</v>
      </c>
      <c r="F17" s="93" t="n">
        <v>0.03</v>
      </c>
      <c r="G17" s="93" t="n">
        <v>0.045833</v>
      </c>
      <c r="H17" s="93" t="n">
        <v>0</v>
      </c>
      <c r="I17" s="93" t="n">
        <v>0</v>
      </c>
      <c r="J17" s="93" t="n">
        <v>0.03</v>
      </c>
      <c r="K17" s="93" t="n">
        <v>0.045833</v>
      </c>
      <c r="L17" s="93" t="n">
        <v>0.017</v>
      </c>
      <c r="M17" s="93" t="n">
        <v>0.051</v>
      </c>
      <c r="N17" s="14">
        <f>MIN(D17,E17)*F17+MAX(0,D17-E17)*H17</f>
        <v/>
      </c>
      <c r="O17" s="14">
        <f>MIN(D17,E17)*G17+MAX(0,D17-E17)*I17</f>
        <v/>
      </c>
      <c r="P17" s="14">
        <f>N17+O17</f>
        <v/>
      </c>
      <c r="Q17" s="94">
        <f>P17/D17</f>
        <v/>
      </c>
      <c r="R17" s="14">
        <f>D17+O17</f>
        <v/>
      </c>
      <c r="S17" s="95" t="n">
        <v>40</v>
      </c>
      <c r="T17" s="95" t="n">
        <v>45.8</v>
      </c>
      <c r="U17" s="85" t="n">
        <v>238</v>
      </c>
      <c r="V17" s="96" t="n">
        <v>1904</v>
      </c>
      <c r="W17" s="96" t="n">
        <v>2180.1</v>
      </c>
      <c r="X17" s="92" t="n">
        <v>6551.1</v>
      </c>
      <c r="Y17" s="92" t="n">
        <v>6993.06</v>
      </c>
      <c r="Z17" s="95" t="n">
        <v>16</v>
      </c>
      <c r="AA17" s="97">
        <f>C17</f>
        <v/>
      </c>
      <c r="AB17" s="98">
        <f>D17/AA17</f>
        <v/>
      </c>
      <c r="AC17" s="93" t="n">
        <v>0.267386</v>
      </c>
      <c r="AD17" s="93" t="n">
        <v>0.252449</v>
      </c>
      <c r="AE17" s="94">
        <f>AC17</f>
        <v/>
      </c>
      <c r="AF17" s="94">
        <f>AD17</f>
        <v/>
      </c>
      <c r="AG17" s="97">
        <f>AG16*(1+AE17)</f>
        <v/>
      </c>
      <c r="AH17" s="97">
        <f>AH16*(1+AF17)</f>
        <v/>
      </c>
      <c r="AI17" s="97">
        <f>IF(AE17=0,1,AE17/(12*((1+AE17)^(1/12)-1)))</f>
        <v/>
      </c>
      <c r="AJ17" s="97">
        <f>IF(AF17=0,1,AF17/(12*((1+AF17)^(1/12)-1)))</f>
        <v/>
      </c>
      <c r="AK17" s="99">
        <f>D17*'3_Comparateur_detaille'!$B$16</f>
        <v/>
      </c>
      <c r="AL17" s="99">
        <f>IF('3_Comparateur_detaille'!$B$20="Privé",MIN(AK17,E17)*IF('3_Comparateur_detaille'!$B$15="cadre",J17,F17)+MAX(0,AK17-E17)*IF('3_Comparateur_detaille'!$B$15="cadre",L17,H17),AK17*SUMIFS(Donnees_regimes!$J$3:$J$1118,Donnees_regimes!$A$3:$A$1118,'3_Comparateur_detaille'!$B$20,Donnees_regimes!$B$3:$B$1118,A17))</f>
        <v/>
      </c>
      <c r="AM17" s="99">
        <f>IF('3_Comparateur_detaille'!$B$20="Privé",MIN(AK17,E17)*IF('3_Comparateur_detaille'!$B$15="cadre",K17,G17)+MAX(0,AK17-E17)*IF('3_Comparateur_detaille'!$B$15="cadre",M17,I17),AK17*SUMIFS(Donnees_regimes!$K$3:$K$1118,Donnees_regimes!$A$3:$A$1118,'3_Comparateur_detaille'!$B$20,Donnees_regimes!$B$3:$B$1118,A17))</f>
        <v/>
      </c>
      <c r="AN17" s="99">
        <f>IF('3_Comparateur_detaille'!$B$20="Privé",0,AK17*SUMIFS(Donnees_regimes!$L$3:$L$1118,Donnees_regimes!$A$3:$A$1118,'3_Comparateur_detaille'!$B$20,Donnees_regimes!$B$3:$B$1118,A17))</f>
        <v/>
      </c>
      <c r="AO17" s="100">
        <f>(AL17+AM17)/AA17*AI17/AG17</f>
        <v/>
      </c>
      <c r="AP17" s="100">
        <f>(AL17+AM17)/AA17*AJ17/AH17</f>
        <v/>
      </c>
      <c r="AQ17" s="99">
        <f>D17*'3_Comparateur_detaille'!$C$16</f>
        <v/>
      </c>
      <c r="AR17" s="99">
        <f>IF('3_Comparateur_detaille'!$C$20="Privé",MIN(AQ17,E17)*IF('3_Comparateur_detaille'!$C$15="cadre",J17,F17)+MAX(0,AQ17-E17)*IF('3_Comparateur_detaille'!$C$15="cadre",L17,H17),AQ17*SUMIFS(Donnees_regimes!$J$3:$J$1118,Donnees_regimes!$A$3:$A$1118,'3_Comparateur_detaille'!$C$20,Donnees_regimes!$B$3:$B$1118,A17))</f>
        <v/>
      </c>
      <c r="AS17" s="99">
        <f>IF('3_Comparateur_detaille'!$C$20="Privé",MIN(AQ17,E17)*IF('3_Comparateur_detaille'!$C$15="cadre",K17,G17)+MAX(0,AQ17-E17)*IF('3_Comparateur_detaille'!$C$15="cadre",M17,I17),AQ17*SUMIFS(Donnees_regimes!$K$3:$K$1118,Donnees_regimes!$A$3:$A$1118,'3_Comparateur_detaille'!$C$20,Donnees_regimes!$B$3:$B$1118,A17))</f>
        <v/>
      </c>
      <c r="AT17" s="99">
        <f>IF('3_Comparateur_detaille'!$C$20="Privé",0,AQ17*SUMIFS(Donnees_regimes!$L$3:$L$1118,Donnees_regimes!$A$3:$A$1118,'3_Comparateur_detaille'!$C$20,Donnees_regimes!$B$3:$B$1118,A17))</f>
        <v/>
      </c>
      <c r="AU17" s="100">
        <f>(AR17+AS17)/AA17*AI17/AG17</f>
        <v/>
      </c>
      <c r="AV17" s="100">
        <f>(AR17+AS17)/AA17*AJ17/AH17</f>
        <v/>
      </c>
    </row>
    <row r="18">
      <c r="A18" s="88" t="n">
        <v>1960</v>
      </c>
      <c r="B18" s="90" t="inlineStr">
        <is>
          <t>Observé</t>
        </is>
      </c>
      <c r="C18" s="91" t="n">
        <v>12.78894</v>
      </c>
      <c r="D18" s="92" t="n">
        <v>14970.43</v>
      </c>
      <c r="E18" s="92" t="n">
        <v>13338.23</v>
      </c>
      <c r="F18" s="93" t="n">
        <v>0.03</v>
      </c>
      <c r="G18" s="93" t="n">
        <v>0.045833</v>
      </c>
      <c r="H18" s="93" t="n">
        <v>0</v>
      </c>
      <c r="I18" s="93" t="n">
        <v>0</v>
      </c>
      <c r="J18" s="93" t="n">
        <v>0.03</v>
      </c>
      <c r="K18" s="93" t="n">
        <v>0.045833</v>
      </c>
      <c r="L18" s="93" t="n">
        <v>0.017</v>
      </c>
      <c r="M18" s="93" t="n">
        <v>0.051</v>
      </c>
      <c r="N18" s="14">
        <f>MIN(D18,E18)*F18+MAX(0,D18-E18)*H18</f>
        <v/>
      </c>
      <c r="O18" s="14">
        <f>MIN(D18,E18)*G18+MAX(0,D18-E18)*I18</f>
        <v/>
      </c>
      <c r="P18" s="14">
        <f>N18+O18</f>
        <v/>
      </c>
      <c r="Q18" s="94">
        <f>P18/D18</f>
        <v/>
      </c>
      <c r="R18" s="14">
        <f>D18+O18</f>
        <v/>
      </c>
      <c r="S18" s="95" t="n">
        <v>40</v>
      </c>
      <c r="T18" s="95" t="n">
        <v>45.8</v>
      </c>
      <c r="U18" s="85" t="n">
        <v>238</v>
      </c>
      <c r="V18" s="96" t="n">
        <v>1904</v>
      </c>
      <c r="W18" s="96" t="n">
        <v>2180.1</v>
      </c>
      <c r="X18" s="92" t="n">
        <v>6954</v>
      </c>
      <c r="Y18" s="92" t="n">
        <v>7423.14</v>
      </c>
      <c r="Z18" s="95" t="n">
        <v>16</v>
      </c>
      <c r="AA18" s="97">
        <f>C18</f>
        <v/>
      </c>
      <c r="AB18" s="98">
        <f>D18/AA18</f>
        <v/>
      </c>
      <c r="AC18" s="93" t="n">
        <v>-0.07177699999999999</v>
      </c>
      <c r="AD18" s="93" t="n">
        <v>-0.086254</v>
      </c>
      <c r="AE18" s="94">
        <f>AC18</f>
        <v/>
      </c>
      <c r="AF18" s="94">
        <f>AD18</f>
        <v/>
      </c>
      <c r="AG18" s="97">
        <f>AG17*(1+AE18)</f>
        <v/>
      </c>
      <c r="AH18" s="97">
        <f>AH17*(1+AF18)</f>
        <v/>
      </c>
      <c r="AI18" s="97">
        <f>IF(AE18=0,1,AE18/(12*((1+AE18)^(1/12)-1)))</f>
        <v/>
      </c>
      <c r="AJ18" s="97">
        <f>IF(AF18=0,1,AF18/(12*((1+AF18)^(1/12)-1)))</f>
        <v/>
      </c>
      <c r="AK18" s="99">
        <f>D18*'3_Comparateur_detaille'!$B$16</f>
        <v/>
      </c>
      <c r="AL18" s="99">
        <f>IF('3_Comparateur_detaille'!$B$20="Privé",MIN(AK18,E18)*IF('3_Comparateur_detaille'!$B$15="cadre",J18,F18)+MAX(0,AK18-E18)*IF('3_Comparateur_detaille'!$B$15="cadre",L18,H18),AK18*SUMIFS(Donnees_regimes!$J$3:$J$1118,Donnees_regimes!$A$3:$A$1118,'3_Comparateur_detaille'!$B$20,Donnees_regimes!$B$3:$B$1118,A18))</f>
        <v/>
      </c>
      <c r="AM18" s="99">
        <f>IF('3_Comparateur_detaille'!$B$20="Privé",MIN(AK18,E18)*IF('3_Comparateur_detaille'!$B$15="cadre",K18,G18)+MAX(0,AK18-E18)*IF('3_Comparateur_detaille'!$B$15="cadre",M18,I18),AK18*SUMIFS(Donnees_regimes!$K$3:$K$1118,Donnees_regimes!$A$3:$A$1118,'3_Comparateur_detaille'!$B$20,Donnees_regimes!$B$3:$B$1118,A18))</f>
        <v/>
      </c>
      <c r="AN18" s="99">
        <f>IF('3_Comparateur_detaille'!$B$20="Privé",0,AK18*SUMIFS(Donnees_regimes!$L$3:$L$1118,Donnees_regimes!$A$3:$A$1118,'3_Comparateur_detaille'!$B$20,Donnees_regimes!$B$3:$B$1118,A18))</f>
        <v/>
      </c>
      <c r="AO18" s="100">
        <f>(AL18+AM18)/AA18*AI18/AG18</f>
        <v/>
      </c>
      <c r="AP18" s="100">
        <f>(AL18+AM18)/AA18*AJ18/AH18</f>
        <v/>
      </c>
      <c r="AQ18" s="99">
        <f>D18*'3_Comparateur_detaille'!$C$16</f>
        <v/>
      </c>
      <c r="AR18" s="99">
        <f>IF('3_Comparateur_detaille'!$C$20="Privé",MIN(AQ18,E18)*IF('3_Comparateur_detaille'!$C$15="cadre",J18,F18)+MAX(0,AQ18-E18)*IF('3_Comparateur_detaille'!$C$15="cadre",L18,H18),AQ18*SUMIFS(Donnees_regimes!$J$3:$J$1118,Donnees_regimes!$A$3:$A$1118,'3_Comparateur_detaille'!$C$20,Donnees_regimes!$B$3:$B$1118,A18))</f>
        <v/>
      </c>
      <c r="AS18" s="99">
        <f>IF('3_Comparateur_detaille'!$C$20="Privé",MIN(AQ18,E18)*IF('3_Comparateur_detaille'!$C$15="cadre",K18,G18)+MAX(0,AQ18-E18)*IF('3_Comparateur_detaille'!$C$15="cadre",M18,I18),AQ18*SUMIFS(Donnees_regimes!$K$3:$K$1118,Donnees_regimes!$A$3:$A$1118,'3_Comparateur_detaille'!$C$20,Donnees_regimes!$B$3:$B$1118,A18))</f>
        <v/>
      </c>
      <c r="AT18" s="99">
        <f>IF('3_Comparateur_detaille'!$C$20="Privé",0,AQ18*SUMIFS(Donnees_regimes!$L$3:$L$1118,Donnees_regimes!$A$3:$A$1118,'3_Comparateur_detaille'!$C$20,Donnees_regimes!$B$3:$B$1118,A18))</f>
        <v/>
      </c>
      <c r="AU18" s="100">
        <f>(AR18+AS18)/AA18*AI18/AG18</f>
        <v/>
      </c>
      <c r="AV18" s="100">
        <f>(AR18+AS18)/AA18*AJ18/AH18</f>
        <v/>
      </c>
    </row>
    <row r="19">
      <c r="A19" s="88" t="n">
        <v>1961</v>
      </c>
      <c r="B19" s="90" t="inlineStr">
        <is>
          <t>Observé</t>
        </is>
      </c>
      <c r="C19" s="91" t="n">
        <v>12.36938</v>
      </c>
      <c r="D19" s="92" t="n">
        <v>15639.75</v>
      </c>
      <c r="E19" s="92" t="n">
        <v>15281.87</v>
      </c>
      <c r="F19" s="93" t="n">
        <v>0.03</v>
      </c>
      <c r="G19" s="93" t="n">
        <v>0.0495</v>
      </c>
      <c r="H19" s="93" t="n">
        <v>0</v>
      </c>
      <c r="I19" s="93" t="n">
        <v>0</v>
      </c>
      <c r="J19" s="93" t="n">
        <v>0.03</v>
      </c>
      <c r="K19" s="93" t="n">
        <v>0.0495</v>
      </c>
      <c r="L19" s="93" t="n">
        <v>0.018</v>
      </c>
      <c r="M19" s="93" t="n">
        <v>0.054</v>
      </c>
      <c r="N19" s="14">
        <f>MIN(D19,E19)*F19+MAX(0,D19-E19)*H19</f>
        <v/>
      </c>
      <c r="O19" s="14">
        <f>MIN(D19,E19)*G19+MAX(0,D19-E19)*I19</f>
        <v/>
      </c>
      <c r="P19" s="14">
        <f>N19+O19</f>
        <v/>
      </c>
      <c r="Q19" s="94">
        <f>P19/D19</f>
        <v/>
      </c>
      <c r="R19" s="14">
        <f>D19+O19</f>
        <v/>
      </c>
      <c r="S19" s="95" t="n">
        <v>40</v>
      </c>
      <c r="T19" s="95" t="n">
        <v>45.8</v>
      </c>
      <c r="U19" s="85" t="n">
        <v>237</v>
      </c>
      <c r="V19" s="96" t="n">
        <v>1896</v>
      </c>
      <c r="W19" s="96" t="n">
        <v>2170.9</v>
      </c>
      <c r="X19" s="92" t="n">
        <v>7264.91</v>
      </c>
      <c r="Y19" s="92" t="n">
        <v>7755.02</v>
      </c>
      <c r="Z19" s="95" t="n">
        <v>16.1</v>
      </c>
      <c r="AA19" s="97">
        <f>C19</f>
        <v/>
      </c>
      <c r="AB19" s="98">
        <f>D19/AA19</f>
        <v/>
      </c>
      <c r="AC19" s="93" t="n">
        <v>0.049008</v>
      </c>
      <c r="AD19" s="93" t="n">
        <v>0.032421</v>
      </c>
      <c r="AE19" s="94">
        <f>AC19</f>
        <v/>
      </c>
      <c r="AF19" s="94">
        <f>AD19</f>
        <v/>
      </c>
      <c r="AG19" s="97">
        <f>AG18*(1+AE19)</f>
        <v/>
      </c>
      <c r="AH19" s="97">
        <f>AH18*(1+AF19)</f>
        <v/>
      </c>
      <c r="AI19" s="97">
        <f>IF(AE19=0,1,AE19/(12*((1+AE19)^(1/12)-1)))</f>
        <v/>
      </c>
      <c r="AJ19" s="97">
        <f>IF(AF19=0,1,AF19/(12*((1+AF19)^(1/12)-1)))</f>
        <v/>
      </c>
      <c r="AK19" s="99">
        <f>D19*'3_Comparateur_detaille'!$B$16</f>
        <v/>
      </c>
      <c r="AL19" s="99">
        <f>IF('3_Comparateur_detaille'!$B$20="Privé",MIN(AK19,E19)*IF('3_Comparateur_detaille'!$B$15="cadre",J19,F19)+MAX(0,AK19-E19)*IF('3_Comparateur_detaille'!$B$15="cadre",L19,H19),AK19*SUMIFS(Donnees_regimes!$J$3:$J$1118,Donnees_regimes!$A$3:$A$1118,'3_Comparateur_detaille'!$B$20,Donnees_regimes!$B$3:$B$1118,A19))</f>
        <v/>
      </c>
      <c r="AM19" s="99">
        <f>IF('3_Comparateur_detaille'!$B$20="Privé",MIN(AK19,E19)*IF('3_Comparateur_detaille'!$B$15="cadre",K19,G19)+MAX(0,AK19-E19)*IF('3_Comparateur_detaille'!$B$15="cadre",M19,I19),AK19*SUMIFS(Donnees_regimes!$K$3:$K$1118,Donnees_regimes!$A$3:$A$1118,'3_Comparateur_detaille'!$B$20,Donnees_regimes!$B$3:$B$1118,A19))</f>
        <v/>
      </c>
      <c r="AN19" s="99">
        <f>IF('3_Comparateur_detaille'!$B$20="Privé",0,AK19*SUMIFS(Donnees_regimes!$L$3:$L$1118,Donnees_regimes!$A$3:$A$1118,'3_Comparateur_detaille'!$B$20,Donnees_regimes!$B$3:$B$1118,A19))</f>
        <v/>
      </c>
      <c r="AO19" s="100">
        <f>(AL19+AM19)/AA19*AI19/AG19</f>
        <v/>
      </c>
      <c r="AP19" s="100">
        <f>(AL19+AM19)/AA19*AJ19/AH19</f>
        <v/>
      </c>
      <c r="AQ19" s="99">
        <f>D19*'3_Comparateur_detaille'!$C$16</f>
        <v/>
      </c>
      <c r="AR19" s="99">
        <f>IF('3_Comparateur_detaille'!$C$20="Privé",MIN(AQ19,E19)*IF('3_Comparateur_detaille'!$C$15="cadre",J19,F19)+MAX(0,AQ19-E19)*IF('3_Comparateur_detaille'!$C$15="cadre",L19,H19),AQ19*SUMIFS(Donnees_regimes!$J$3:$J$1118,Donnees_regimes!$A$3:$A$1118,'3_Comparateur_detaille'!$C$20,Donnees_regimes!$B$3:$B$1118,A19))</f>
        <v/>
      </c>
      <c r="AS19" s="99">
        <f>IF('3_Comparateur_detaille'!$C$20="Privé",MIN(AQ19,E19)*IF('3_Comparateur_detaille'!$C$15="cadre",K19,G19)+MAX(0,AQ19-E19)*IF('3_Comparateur_detaille'!$C$15="cadre",M19,I19),AQ19*SUMIFS(Donnees_regimes!$K$3:$K$1118,Donnees_regimes!$A$3:$A$1118,'3_Comparateur_detaille'!$C$20,Donnees_regimes!$B$3:$B$1118,A19))</f>
        <v/>
      </c>
      <c r="AT19" s="99">
        <f>IF('3_Comparateur_detaille'!$C$20="Privé",0,AQ19*SUMIFS(Donnees_regimes!$L$3:$L$1118,Donnees_regimes!$A$3:$A$1118,'3_Comparateur_detaille'!$C$20,Donnees_regimes!$B$3:$B$1118,A19))</f>
        <v/>
      </c>
      <c r="AU19" s="100">
        <f>(AR19+AS19)/AA19*AI19/AG19</f>
        <v/>
      </c>
      <c r="AV19" s="100">
        <f>(AR19+AS19)/AA19*AJ19/AH19</f>
        <v/>
      </c>
    </row>
    <row r="20">
      <c r="A20" s="88" t="n">
        <v>1962</v>
      </c>
      <c r="B20" s="90" t="inlineStr">
        <is>
          <t>Observé</t>
        </is>
      </c>
      <c r="C20" s="91" t="n">
        <v>11.80974</v>
      </c>
      <c r="D20" s="92" t="n">
        <v>16542.54</v>
      </c>
      <c r="E20" s="92" t="n">
        <v>17283.68</v>
      </c>
      <c r="F20" s="93" t="n">
        <v>0.04</v>
      </c>
      <c r="G20" s="93" t="n">
        <v>0.06725</v>
      </c>
      <c r="H20" s="93" t="n">
        <v>0.01</v>
      </c>
      <c r="I20" s="93" t="n">
        <v>0.015</v>
      </c>
      <c r="J20" s="93" t="n">
        <v>0.04</v>
      </c>
      <c r="K20" s="93" t="n">
        <v>0.06725</v>
      </c>
      <c r="L20" s="93" t="n">
        <v>0.018</v>
      </c>
      <c r="M20" s="93" t="n">
        <v>0.054</v>
      </c>
      <c r="N20" s="14">
        <f>MIN(D20,E20)*F20+MAX(0,D20-E20)*H20</f>
        <v/>
      </c>
      <c r="O20" s="14">
        <f>MIN(D20,E20)*G20+MAX(0,D20-E20)*I20</f>
        <v/>
      </c>
      <c r="P20" s="14">
        <f>N20+O20</f>
        <v/>
      </c>
      <c r="Q20" s="94">
        <f>P20/D20</f>
        <v/>
      </c>
      <c r="R20" s="14">
        <f>D20+O20</f>
        <v/>
      </c>
      <c r="S20" s="95" t="n">
        <v>40</v>
      </c>
      <c r="T20" s="95" t="n">
        <v>45.8</v>
      </c>
      <c r="U20" s="85" t="n">
        <v>238</v>
      </c>
      <c r="V20" s="96" t="n">
        <v>1904</v>
      </c>
      <c r="W20" s="96" t="n">
        <v>2180.1</v>
      </c>
      <c r="X20" s="92" t="n">
        <v>7684.27</v>
      </c>
      <c r="Y20" s="92" t="n">
        <v>8202.67</v>
      </c>
      <c r="Z20" s="95" t="n">
        <v>16.2</v>
      </c>
      <c r="AA20" s="97">
        <f>C20</f>
        <v/>
      </c>
      <c r="AB20" s="98">
        <f>D20/AA20</f>
        <v/>
      </c>
      <c r="AC20" s="93" t="n">
        <v>-0.105879</v>
      </c>
      <c r="AD20" s="93" t="n">
        <v>-0.121061</v>
      </c>
      <c r="AE20" s="94">
        <f>AC20</f>
        <v/>
      </c>
      <c r="AF20" s="94">
        <f>AD20</f>
        <v/>
      </c>
      <c r="AG20" s="97">
        <f>AG19*(1+AE20)</f>
        <v/>
      </c>
      <c r="AH20" s="97">
        <f>AH19*(1+AF20)</f>
        <v/>
      </c>
      <c r="AI20" s="97">
        <f>IF(AE20=0,1,AE20/(12*((1+AE20)^(1/12)-1)))</f>
        <v/>
      </c>
      <c r="AJ20" s="97">
        <f>IF(AF20=0,1,AF20/(12*((1+AF20)^(1/12)-1)))</f>
        <v/>
      </c>
      <c r="AK20" s="99">
        <f>D20*'3_Comparateur_detaille'!$B$16</f>
        <v/>
      </c>
      <c r="AL20" s="99">
        <f>IF('3_Comparateur_detaille'!$B$20="Privé",MIN(AK20,E20)*IF('3_Comparateur_detaille'!$B$15="cadre",J20,F20)+MAX(0,AK20-E20)*IF('3_Comparateur_detaille'!$B$15="cadre",L20,H20),AK20*SUMIFS(Donnees_regimes!$J$3:$J$1118,Donnees_regimes!$A$3:$A$1118,'3_Comparateur_detaille'!$B$20,Donnees_regimes!$B$3:$B$1118,A20))</f>
        <v/>
      </c>
      <c r="AM20" s="99">
        <f>IF('3_Comparateur_detaille'!$B$20="Privé",MIN(AK20,E20)*IF('3_Comparateur_detaille'!$B$15="cadre",K20,G20)+MAX(0,AK20-E20)*IF('3_Comparateur_detaille'!$B$15="cadre",M20,I20),AK20*SUMIFS(Donnees_regimes!$K$3:$K$1118,Donnees_regimes!$A$3:$A$1118,'3_Comparateur_detaille'!$B$20,Donnees_regimes!$B$3:$B$1118,A20))</f>
        <v/>
      </c>
      <c r="AN20" s="99">
        <f>IF('3_Comparateur_detaille'!$B$20="Privé",0,AK20*SUMIFS(Donnees_regimes!$L$3:$L$1118,Donnees_regimes!$A$3:$A$1118,'3_Comparateur_detaille'!$B$20,Donnees_regimes!$B$3:$B$1118,A20))</f>
        <v/>
      </c>
      <c r="AO20" s="100">
        <f>(AL20+AM20)/AA20*AI20/AG20</f>
        <v/>
      </c>
      <c r="AP20" s="100">
        <f>(AL20+AM20)/AA20*AJ20/AH20</f>
        <v/>
      </c>
      <c r="AQ20" s="99">
        <f>D20*'3_Comparateur_detaille'!$C$16</f>
        <v/>
      </c>
      <c r="AR20" s="99">
        <f>IF('3_Comparateur_detaille'!$C$20="Privé",MIN(AQ20,E20)*IF('3_Comparateur_detaille'!$C$15="cadre",J20,F20)+MAX(0,AQ20-E20)*IF('3_Comparateur_detaille'!$C$15="cadre",L20,H20),AQ20*SUMIFS(Donnees_regimes!$J$3:$J$1118,Donnees_regimes!$A$3:$A$1118,'3_Comparateur_detaille'!$C$20,Donnees_regimes!$B$3:$B$1118,A20))</f>
        <v/>
      </c>
      <c r="AS20" s="99">
        <f>IF('3_Comparateur_detaille'!$C$20="Privé",MIN(AQ20,E20)*IF('3_Comparateur_detaille'!$C$15="cadre",K20,G20)+MAX(0,AQ20-E20)*IF('3_Comparateur_detaille'!$C$15="cadre",M20,I20),AQ20*SUMIFS(Donnees_regimes!$K$3:$K$1118,Donnees_regimes!$A$3:$A$1118,'3_Comparateur_detaille'!$C$20,Donnees_regimes!$B$3:$B$1118,A20))</f>
        <v/>
      </c>
      <c r="AT20" s="99">
        <f>IF('3_Comparateur_detaille'!$C$20="Privé",0,AQ20*SUMIFS(Donnees_regimes!$L$3:$L$1118,Donnees_regimes!$A$3:$A$1118,'3_Comparateur_detaille'!$C$20,Donnees_regimes!$B$3:$B$1118,A20))</f>
        <v/>
      </c>
      <c r="AU20" s="100">
        <f>(AR20+AS20)/AA20*AI20/AG20</f>
        <v/>
      </c>
      <c r="AV20" s="100">
        <f>(AR20+AS20)/AA20*AJ20/AH20</f>
        <v/>
      </c>
    </row>
    <row r="21">
      <c r="A21" s="88" t="n">
        <v>1963</v>
      </c>
      <c r="B21" s="90" t="inlineStr">
        <is>
          <t>Observé</t>
        </is>
      </c>
      <c r="C21" s="91" t="n">
        <v>11.27353</v>
      </c>
      <c r="D21" s="92" t="n">
        <v>17356.03</v>
      </c>
      <c r="E21" s="92" t="n">
        <v>17942.62</v>
      </c>
      <c r="F21" s="93" t="n">
        <v>0.04</v>
      </c>
      <c r="G21" s="93" t="n">
        <v>0.06725</v>
      </c>
      <c r="H21" s="93" t="n">
        <v>0.01</v>
      </c>
      <c r="I21" s="93" t="n">
        <v>0.015</v>
      </c>
      <c r="J21" s="93" t="n">
        <v>0.04</v>
      </c>
      <c r="K21" s="93" t="n">
        <v>0.06725</v>
      </c>
      <c r="L21" s="93" t="n">
        <v>0.018</v>
      </c>
      <c r="M21" s="93" t="n">
        <v>0.054</v>
      </c>
      <c r="N21" s="14">
        <f>MIN(D21,E21)*F21+MAX(0,D21-E21)*H21</f>
        <v/>
      </c>
      <c r="O21" s="14">
        <f>MIN(D21,E21)*G21+MAX(0,D21-E21)*I21</f>
        <v/>
      </c>
      <c r="P21" s="14">
        <f>N21+O21</f>
        <v/>
      </c>
      <c r="Q21" s="94">
        <f>P21/D21</f>
        <v/>
      </c>
      <c r="R21" s="14">
        <f>D21+O21</f>
        <v/>
      </c>
      <c r="S21" s="95" t="n">
        <v>40</v>
      </c>
      <c r="T21" s="95" t="n">
        <v>45.8</v>
      </c>
      <c r="U21" s="85" t="n">
        <v>237</v>
      </c>
      <c r="V21" s="96" t="n">
        <v>1896</v>
      </c>
      <c r="W21" s="96" t="n">
        <v>2170.9</v>
      </c>
      <c r="X21" s="92" t="n">
        <v>8062.14</v>
      </c>
      <c r="Y21" s="92" t="n">
        <v>8606.040000000001</v>
      </c>
      <c r="Z21" s="95" t="n">
        <v>16.3</v>
      </c>
      <c r="AA21" s="97">
        <f>C21</f>
        <v/>
      </c>
      <c r="AB21" s="98">
        <f>D21/AA21</f>
        <v/>
      </c>
      <c r="AC21" s="93" t="n">
        <v>-0.182572</v>
      </c>
      <c r="AD21" s="93" t="n">
        <v>-0.200731</v>
      </c>
      <c r="AE21" s="94">
        <f>AC21</f>
        <v/>
      </c>
      <c r="AF21" s="94">
        <f>AD21</f>
        <v/>
      </c>
      <c r="AG21" s="97">
        <f>AG20*(1+AE21)</f>
        <v/>
      </c>
      <c r="AH21" s="97">
        <f>AH20*(1+AF21)</f>
        <v/>
      </c>
      <c r="AI21" s="97">
        <f>IF(AE21=0,1,AE21/(12*((1+AE21)^(1/12)-1)))</f>
        <v/>
      </c>
      <c r="AJ21" s="97">
        <f>IF(AF21=0,1,AF21/(12*((1+AF21)^(1/12)-1)))</f>
        <v/>
      </c>
      <c r="AK21" s="99">
        <f>D21*'3_Comparateur_detaille'!$B$16</f>
        <v/>
      </c>
      <c r="AL21" s="99">
        <f>IF('3_Comparateur_detaille'!$B$20="Privé",MIN(AK21,E21)*IF('3_Comparateur_detaille'!$B$15="cadre",J21,F21)+MAX(0,AK21-E21)*IF('3_Comparateur_detaille'!$B$15="cadre",L21,H21),AK21*SUMIFS(Donnees_regimes!$J$3:$J$1118,Donnees_regimes!$A$3:$A$1118,'3_Comparateur_detaille'!$B$20,Donnees_regimes!$B$3:$B$1118,A21))</f>
        <v/>
      </c>
      <c r="AM21" s="99">
        <f>IF('3_Comparateur_detaille'!$B$20="Privé",MIN(AK21,E21)*IF('3_Comparateur_detaille'!$B$15="cadre",K21,G21)+MAX(0,AK21-E21)*IF('3_Comparateur_detaille'!$B$15="cadre",M21,I21),AK21*SUMIFS(Donnees_regimes!$K$3:$K$1118,Donnees_regimes!$A$3:$A$1118,'3_Comparateur_detaille'!$B$20,Donnees_regimes!$B$3:$B$1118,A21))</f>
        <v/>
      </c>
      <c r="AN21" s="99">
        <f>IF('3_Comparateur_detaille'!$B$20="Privé",0,AK21*SUMIFS(Donnees_regimes!$L$3:$L$1118,Donnees_regimes!$A$3:$A$1118,'3_Comparateur_detaille'!$B$20,Donnees_regimes!$B$3:$B$1118,A21))</f>
        <v/>
      </c>
      <c r="AO21" s="100">
        <f>(AL21+AM21)/AA21*AI21/AG21</f>
        <v/>
      </c>
      <c r="AP21" s="100">
        <f>(AL21+AM21)/AA21*AJ21/AH21</f>
        <v/>
      </c>
      <c r="AQ21" s="99">
        <f>D21*'3_Comparateur_detaille'!$C$16</f>
        <v/>
      </c>
      <c r="AR21" s="99">
        <f>IF('3_Comparateur_detaille'!$C$20="Privé",MIN(AQ21,E21)*IF('3_Comparateur_detaille'!$C$15="cadre",J21,F21)+MAX(0,AQ21-E21)*IF('3_Comparateur_detaille'!$C$15="cadre",L21,H21),AQ21*SUMIFS(Donnees_regimes!$J$3:$J$1118,Donnees_regimes!$A$3:$A$1118,'3_Comparateur_detaille'!$C$20,Donnees_regimes!$B$3:$B$1118,A21))</f>
        <v/>
      </c>
      <c r="AS21" s="99">
        <f>IF('3_Comparateur_detaille'!$C$20="Privé",MIN(AQ21,E21)*IF('3_Comparateur_detaille'!$C$15="cadre",K21,G21)+MAX(0,AQ21-E21)*IF('3_Comparateur_detaille'!$C$15="cadre",M21,I21),AQ21*SUMIFS(Donnees_regimes!$K$3:$K$1118,Donnees_regimes!$A$3:$A$1118,'3_Comparateur_detaille'!$C$20,Donnees_regimes!$B$3:$B$1118,A21))</f>
        <v/>
      </c>
      <c r="AT21" s="99">
        <f>IF('3_Comparateur_detaille'!$C$20="Privé",0,AQ21*SUMIFS(Donnees_regimes!$L$3:$L$1118,Donnees_regimes!$A$3:$A$1118,'3_Comparateur_detaille'!$C$20,Donnees_regimes!$B$3:$B$1118,A21))</f>
        <v/>
      </c>
      <c r="AU21" s="100">
        <f>(AR21+AS21)/AA21*AI21/AG21</f>
        <v/>
      </c>
      <c r="AV21" s="100">
        <f>(AR21+AS21)/AA21*AJ21/AH21</f>
        <v/>
      </c>
    </row>
    <row r="22">
      <c r="A22" s="88" t="n">
        <v>1964</v>
      </c>
      <c r="B22" s="90" t="inlineStr">
        <is>
          <t>Observé</t>
        </is>
      </c>
      <c r="C22" s="91" t="n">
        <v>10.89936</v>
      </c>
      <c r="D22" s="92" t="n">
        <v>17858.76</v>
      </c>
      <c r="E22" s="92" t="n">
        <v>18942.21</v>
      </c>
      <c r="F22" s="93" t="n">
        <v>0.04</v>
      </c>
      <c r="G22" s="93" t="n">
        <v>0.06725</v>
      </c>
      <c r="H22" s="93" t="n">
        <v>0.01</v>
      </c>
      <c r="I22" s="93" t="n">
        <v>0.015</v>
      </c>
      <c r="J22" s="93" t="n">
        <v>0.04</v>
      </c>
      <c r="K22" s="93" t="n">
        <v>0.06725</v>
      </c>
      <c r="L22" s="93" t="n">
        <v>0.018</v>
      </c>
      <c r="M22" s="93" t="n">
        <v>0.054</v>
      </c>
      <c r="N22" s="14">
        <f>MIN(D22,E22)*F22+MAX(0,D22-E22)*H22</f>
        <v/>
      </c>
      <c r="O22" s="14">
        <f>MIN(D22,E22)*G22+MAX(0,D22-E22)*I22</f>
        <v/>
      </c>
      <c r="P22" s="14">
        <f>N22+O22</f>
        <v/>
      </c>
      <c r="Q22" s="94">
        <f>P22/D22</f>
        <v/>
      </c>
      <c r="R22" s="14">
        <f>D22+O22</f>
        <v/>
      </c>
      <c r="S22" s="95" t="n">
        <v>40</v>
      </c>
      <c r="T22" s="95" t="n">
        <v>45.8</v>
      </c>
      <c r="U22" s="85" t="n">
        <v>239</v>
      </c>
      <c r="V22" s="96" t="n">
        <v>1912</v>
      </c>
      <c r="W22" s="96" t="n">
        <v>2189.2</v>
      </c>
      <c r="X22" s="92" t="n">
        <v>8295.67</v>
      </c>
      <c r="Y22" s="92" t="n">
        <v>8855.33</v>
      </c>
      <c r="Z22" s="95" t="n">
        <v>16.4</v>
      </c>
      <c r="AA22" s="97">
        <f>C22</f>
        <v/>
      </c>
      <c r="AB22" s="98">
        <f>D22/AA22</f>
        <v/>
      </c>
      <c r="AC22" s="93" t="n">
        <v>-0.079806</v>
      </c>
      <c r="AD22" s="93" t="n">
        <v>-0.102679</v>
      </c>
      <c r="AE22" s="94">
        <f>AC22</f>
        <v/>
      </c>
      <c r="AF22" s="94">
        <f>AD22</f>
        <v/>
      </c>
      <c r="AG22" s="97">
        <f>AG21*(1+AE22)</f>
        <v/>
      </c>
      <c r="AH22" s="97">
        <f>AH21*(1+AF22)</f>
        <v/>
      </c>
      <c r="AI22" s="97">
        <f>IF(AE22=0,1,AE22/(12*((1+AE22)^(1/12)-1)))</f>
        <v/>
      </c>
      <c r="AJ22" s="97">
        <f>IF(AF22=0,1,AF22/(12*((1+AF22)^(1/12)-1)))</f>
        <v/>
      </c>
      <c r="AK22" s="99">
        <f>D22*'3_Comparateur_detaille'!$B$16</f>
        <v/>
      </c>
      <c r="AL22" s="99">
        <f>IF('3_Comparateur_detaille'!$B$20="Privé",MIN(AK22,E22)*IF('3_Comparateur_detaille'!$B$15="cadre",J22,F22)+MAX(0,AK22-E22)*IF('3_Comparateur_detaille'!$B$15="cadre",L22,H22),AK22*SUMIFS(Donnees_regimes!$J$3:$J$1118,Donnees_regimes!$A$3:$A$1118,'3_Comparateur_detaille'!$B$20,Donnees_regimes!$B$3:$B$1118,A22))</f>
        <v/>
      </c>
      <c r="AM22" s="99">
        <f>IF('3_Comparateur_detaille'!$B$20="Privé",MIN(AK22,E22)*IF('3_Comparateur_detaille'!$B$15="cadre",K22,G22)+MAX(0,AK22-E22)*IF('3_Comparateur_detaille'!$B$15="cadre",M22,I22),AK22*SUMIFS(Donnees_regimes!$K$3:$K$1118,Donnees_regimes!$A$3:$A$1118,'3_Comparateur_detaille'!$B$20,Donnees_regimes!$B$3:$B$1118,A22))</f>
        <v/>
      </c>
      <c r="AN22" s="99">
        <f>IF('3_Comparateur_detaille'!$B$20="Privé",0,AK22*SUMIFS(Donnees_regimes!$L$3:$L$1118,Donnees_regimes!$A$3:$A$1118,'3_Comparateur_detaille'!$B$20,Donnees_regimes!$B$3:$B$1118,A22))</f>
        <v/>
      </c>
      <c r="AO22" s="100">
        <f>(AL22+AM22)/AA22*AI22/AG22</f>
        <v/>
      </c>
      <c r="AP22" s="100">
        <f>(AL22+AM22)/AA22*AJ22/AH22</f>
        <v/>
      </c>
      <c r="AQ22" s="99">
        <f>D22*'3_Comparateur_detaille'!$C$16</f>
        <v/>
      </c>
      <c r="AR22" s="99">
        <f>IF('3_Comparateur_detaille'!$C$20="Privé",MIN(AQ22,E22)*IF('3_Comparateur_detaille'!$C$15="cadre",J22,F22)+MAX(0,AQ22-E22)*IF('3_Comparateur_detaille'!$C$15="cadre",L22,H22),AQ22*SUMIFS(Donnees_regimes!$J$3:$J$1118,Donnees_regimes!$A$3:$A$1118,'3_Comparateur_detaille'!$C$20,Donnees_regimes!$B$3:$B$1118,A22))</f>
        <v/>
      </c>
      <c r="AS22" s="99">
        <f>IF('3_Comparateur_detaille'!$C$20="Privé",MIN(AQ22,E22)*IF('3_Comparateur_detaille'!$C$15="cadre",K22,G22)+MAX(0,AQ22-E22)*IF('3_Comparateur_detaille'!$C$15="cadre",M22,I22),AQ22*SUMIFS(Donnees_regimes!$K$3:$K$1118,Donnees_regimes!$A$3:$A$1118,'3_Comparateur_detaille'!$C$20,Donnees_regimes!$B$3:$B$1118,A22))</f>
        <v/>
      </c>
      <c r="AT22" s="99">
        <f>IF('3_Comparateur_detaille'!$C$20="Privé",0,AQ22*SUMIFS(Donnees_regimes!$L$3:$L$1118,Donnees_regimes!$A$3:$A$1118,'3_Comparateur_detaille'!$C$20,Donnees_regimes!$B$3:$B$1118,A22))</f>
        <v/>
      </c>
      <c r="AU22" s="100">
        <f>(AR22+AS22)/AA22*AI22/AG22</f>
        <v/>
      </c>
      <c r="AV22" s="100">
        <f>(AR22+AS22)/AA22*AJ22/AH22</f>
        <v/>
      </c>
    </row>
    <row r="23">
      <c r="A23" s="88" t="n">
        <v>1965</v>
      </c>
      <c r="B23" s="90" t="inlineStr">
        <is>
          <t>Observé</t>
        </is>
      </c>
      <c r="C23" s="91" t="n">
        <v>10.63741</v>
      </c>
      <c r="D23" s="92" t="n">
        <v>18470.98</v>
      </c>
      <c r="E23" s="92" t="n">
        <v>19849.19</v>
      </c>
      <c r="F23" s="93" t="n">
        <v>0.04</v>
      </c>
      <c r="G23" s="93" t="n">
        <v>0.06725</v>
      </c>
      <c r="H23" s="93" t="n">
        <v>0.01</v>
      </c>
      <c r="I23" s="93" t="n">
        <v>0.015</v>
      </c>
      <c r="J23" s="93" t="n">
        <v>0.04</v>
      </c>
      <c r="K23" s="93" t="n">
        <v>0.06725</v>
      </c>
      <c r="L23" s="93" t="n">
        <v>0.019</v>
      </c>
      <c r="M23" s="93" t="n">
        <v>0.057</v>
      </c>
      <c r="N23" s="14">
        <f>MIN(D23,E23)*F23+MAX(0,D23-E23)*H23</f>
        <v/>
      </c>
      <c r="O23" s="14">
        <f>MIN(D23,E23)*G23+MAX(0,D23-E23)*I23</f>
        <v/>
      </c>
      <c r="P23" s="14">
        <f>N23+O23</f>
        <v/>
      </c>
      <c r="Q23" s="94">
        <f>P23/D23</f>
        <v/>
      </c>
      <c r="R23" s="14">
        <f>D23+O23</f>
        <v/>
      </c>
      <c r="S23" s="95" t="n">
        <v>40</v>
      </c>
      <c r="T23" s="95" t="n">
        <v>45.8</v>
      </c>
      <c r="U23" s="85" t="n">
        <v>239</v>
      </c>
      <c r="V23" s="96" t="n">
        <v>1912</v>
      </c>
      <c r="W23" s="96" t="n">
        <v>2189.2</v>
      </c>
      <c r="X23" s="92" t="n">
        <v>8580.059999999999</v>
      </c>
      <c r="Y23" s="92" t="n">
        <v>9158.9</v>
      </c>
      <c r="Z23" s="95" t="n">
        <v>16.5</v>
      </c>
      <c r="AA23" s="97">
        <f>C23</f>
        <v/>
      </c>
      <c r="AB23" s="98">
        <f>D23/AA23</f>
        <v/>
      </c>
      <c r="AC23" s="93" t="n">
        <v>-0.047821</v>
      </c>
      <c r="AD23" s="93" t="n">
        <v>-0.07453899999999999</v>
      </c>
      <c r="AE23" s="94">
        <f>AC23</f>
        <v/>
      </c>
      <c r="AF23" s="94">
        <f>AD23</f>
        <v/>
      </c>
      <c r="AG23" s="97">
        <f>AG22*(1+AE23)</f>
        <v/>
      </c>
      <c r="AH23" s="97">
        <f>AH22*(1+AF23)</f>
        <v/>
      </c>
      <c r="AI23" s="97">
        <f>IF(AE23=0,1,AE23/(12*((1+AE23)^(1/12)-1)))</f>
        <v/>
      </c>
      <c r="AJ23" s="97">
        <f>IF(AF23=0,1,AF23/(12*((1+AF23)^(1/12)-1)))</f>
        <v/>
      </c>
      <c r="AK23" s="99">
        <f>D23*'3_Comparateur_detaille'!$B$16</f>
        <v/>
      </c>
      <c r="AL23" s="99">
        <f>IF('3_Comparateur_detaille'!$B$20="Privé",MIN(AK23,E23)*IF('3_Comparateur_detaille'!$B$15="cadre",J23,F23)+MAX(0,AK23-E23)*IF('3_Comparateur_detaille'!$B$15="cadre",L23,H23),AK23*SUMIFS(Donnees_regimes!$J$3:$J$1118,Donnees_regimes!$A$3:$A$1118,'3_Comparateur_detaille'!$B$20,Donnees_regimes!$B$3:$B$1118,A23))</f>
        <v/>
      </c>
      <c r="AM23" s="99">
        <f>IF('3_Comparateur_detaille'!$B$20="Privé",MIN(AK23,E23)*IF('3_Comparateur_detaille'!$B$15="cadre",K23,G23)+MAX(0,AK23-E23)*IF('3_Comparateur_detaille'!$B$15="cadre",M23,I23),AK23*SUMIFS(Donnees_regimes!$K$3:$K$1118,Donnees_regimes!$A$3:$A$1118,'3_Comparateur_detaille'!$B$20,Donnees_regimes!$B$3:$B$1118,A23))</f>
        <v/>
      </c>
      <c r="AN23" s="99">
        <f>IF('3_Comparateur_detaille'!$B$20="Privé",0,AK23*SUMIFS(Donnees_regimes!$L$3:$L$1118,Donnees_regimes!$A$3:$A$1118,'3_Comparateur_detaille'!$B$20,Donnees_regimes!$B$3:$B$1118,A23))</f>
        <v/>
      </c>
      <c r="AO23" s="100">
        <f>(AL23+AM23)/AA23*AI23/AG23</f>
        <v/>
      </c>
      <c r="AP23" s="100">
        <f>(AL23+AM23)/AA23*AJ23/AH23</f>
        <v/>
      </c>
      <c r="AQ23" s="99">
        <f>D23*'3_Comparateur_detaille'!$C$16</f>
        <v/>
      </c>
      <c r="AR23" s="99">
        <f>IF('3_Comparateur_detaille'!$C$20="Privé",MIN(AQ23,E23)*IF('3_Comparateur_detaille'!$C$15="cadre",J23,F23)+MAX(0,AQ23-E23)*IF('3_Comparateur_detaille'!$C$15="cadre",L23,H23),AQ23*SUMIFS(Donnees_regimes!$J$3:$J$1118,Donnees_regimes!$A$3:$A$1118,'3_Comparateur_detaille'!$C$20,Donnees_regimes!$B$3:$B$1118,A23))</f>
        <v/>
      </c>
      <c r="AS23" s="99">
        <f>IF('3_Comparateur_detaille'!$C$20="Privé",MIN(AQ23,E23)*IF('3_Comparateur_detaille'!$C$15="cadre",K23,G23)+MAX(0,AQ23-E23)*IF('3_Comparateur_detaille'!$C$15="cadre",M23,I23),AQ23*SUMIFS(Donnees_regimes!$K$3:$K$1118,Donnees_regimes!$A$3:$A$1118,'3_Comparateur_detaille'!$C$20,Donnees_regimes!$B$3:$B$1118,A23))</f>
        <v/>
      </c>
      <c r="AT23" s="99">
        <f>IF('3_Comparateur_detaille'!$C$20="Privé",0,AQ23*SUMIFS(Donnees_regimes!$L$3:$L$1118,Donnees_regimes!$A$3:$A$1118,'3_Comparateur_detaille'!$C$20,Donnees_regimes!$B$3:$B$1118,A23))</f>
        <v/>
      </c>
      <c r="AU23" s="100">
        <f>(AR23+AS23)/AA23*AI23/AG23</f>
        <v/>
      </c>
      <c r="AV23" s="100">
        <f>(AR23+AS23)/AA23*AJ23/AH23</f>
        <v/>
      </c>
    </row>
    <row r="24">
      <c r="A24" s="88" t="n">
        <v>1966</v>
      </c>
      <c r="B24" s="90" t="inlineStr">
        <is>
          <t>Observé</t>
        </is>
      </c>
      <c r="C24" s="91" t="n">
        <v>10.35605</v>
      </c>
      <c r="D24" s="92" t="n">
        <v>19118.87</v>
      </c>
      <c r="E24" s="92" t="n">
        <v>20460.87</v>
      </c>
      <c r="F24" s="93" t="n">
        <v>0.04</v>
      </c>
      <c r="G24" s="93" t="n">
        <v>0.06816899999999999</v>
      </c>
      <c r="H24" s="93" t="n">
        <v>0.01</v>
      </c>
      <c r="I24" s="93" t="n">
        <v>0.015</v>
      </c>
      <c r="J24" s="93" t="n">
        <v>0.04</v>
      </c>
      <c r="K24" s="93" t="n">
        <v>0.06816899999999999</v>
      </c>
      <c r="L24" s="93" t="n">
        <v>0.02</v>
      </c>
      <c r="M24" s="93" t="n">
        <v>0.06</v>
      </c>
      <c r="N24" s="14">
        <f>MIN(D24,E24)*F24+MAX(0,D24-E24)*H24</f>
        <v/>
      </c>
      <c r="O24" s="14">
        <f>MIN(D24,E24)*G24+MAX(0,D24-E24)*I24</f>
        <v/>
      </c>
      <c r="P24" s="14">
        <f>N24+O24</f>
        <v/>
      </c>
      <c r="Q24" s="94">
        <f>P24/D24</f>
        <v/>
      </c>
      <c r="R24" s="14">
        <f>D24+O24</f>
        <v/>
      </c>
      <c r="S24" s="95" t="n">
        <v>40</v>
      </c>
      <c r="T24" s="95" t="n">
        <v>45.5</v>
      </c>
      <c r="U24" s="85" t="n">
        <v>238</v>
      </c>
      <c r="V24" s="96" t="n">
        <v>1904</v>
      </c>
      <c r="W24" s="96" t="n">
        <v>2165.8</v>
      </c>
      <c r="X24" s="92" t="n">
        <v>8881.01</v>
      </c>
      <c r="Y24" s="92" t="n">
        <v>9480.15</v>
      </c>
      <c r="Z24" s="95" t="n">
        <v>16.6</v>
      </c>
      <c r="AA24" s="97">
        <f>C24</f>
        <v/>
      </c>
      <c r="AB24" s="98">
        <f>D24/AA24</f>
        <v/>
      </c>
      <c r="AC24" s="93" t="n">
        <v>-0.171618</v>
      </c>
      <c r="AD24" s="93" t="n">
        <v>-0.197204</v>
      </c>
      <c r="AE24" s="94">
        <f>AC24</f>
        <v/>
      </c>
      <c r="AF24" s="94">
        <f>AD24</f>
        <v/>
      </c>
      <c r="AG24" s="97">
        <f>AG23*(1+AE24)</f>
        <v/>
      </c>
      <c r="AH24" s="97">
        <f>AH23*(1+AF24)</f>
        <v/>
      </c>
      <c r="AI24" s="97">
        <f>IF(AE24=0,1,AE24/(12*((1+AE24)^(1/12)-1)))</f>
        <v/>
      </c>
      <c r="AJ24" s="97">
        <f>IF(AF24=0,1,AF24/(12*((1+AF24)^(1/12)-1)))</f>
        <v/>
      </c>
      <c r="AK24" s="99">
        <f>D24*'3_Comparateur_detaille'!$B$16</f>
        <v/>
      </c>
      <c r="AL24" s="99">
        <f>IF('3_Comparateur_detaille'!$B$20="Privé",MIN(AK24,E24)*IF('3_Comparateur_detaille'!$B$15="cadre",J24,F24)+MAX(0,AK24-E24)*IF('3_Comparateur_detaille'!$B$15="cadre",L24,H24),AK24*SUMIFS(Donnees_regimes!$J$3:$J$1118,Donnees_regimes!$A$3:$A$1118,'3_Comparateur_detaille'!$B$20,Donnees_regimes!$B$3:$B$1118,A24))</f>
        <v/>
      </c>
      <c r="AM24" s="99">
        <f>IF('3_Comparateur_detaille'!$B$20="Privé",MIN(AK24,E24)*IF('3_Comparateur_detaille'!$B$15="cadre",K24,G24)+MAX(0,AK24-E24)*IF('3_Comparateur_detaille'!$B$15="cadre",M24,I24),AK24*SUMIFS(Donnees_regimes!$K$3:$K$1118,Donnees_regimes!$A$3:$A$1118,'3_Comparateur_detaille'!$B$20,Donnees_regimes!$B$3:$B$1118,A24))</f>
        <v/>
      </c>
      <c r="AN24" s="99">
        <f>IF('3_Comparateur_detaille'!$B$20="Privé",0,AK24*SUMIFS(Donnees_regimes!$L$3:$L$1118,Donnees_regimes!$A$3:$A$1118,'3_Comparateur_detaille'!$B$20,Donnees_regimes!$B$3:$B$1118,A24))</f>
        <v/>
      </c>
      <c r="AO24" s="100">
        <f>(AL24+AM24)/AA24*AI24/AG24</f>
        <v/>
      </c>
      <c r="AP24" s="100">
        <f>(AL24+AM24)/AA24*AJ24/AH24</f>
        <v/>
      </c>
      <c r="AQ24" s="99">
        <f>D24*'3_Comparateur_detaille'!$C$16</f>
        <v/>
      </c>
      <c r="AR24" s="99">
        <f>IF('3_Comparateur_detaille'!$C$20="Privé",MIN(AQ24,E24)*IF('3_Comparateur_detaille'!$C$15="cadre",J24,F24)+MAX(0,AQ24-E24)*IF('3_Comparateur_detaille'!$C$15="cadre",L24,H24),AQ24*SUMIFS(Donnees_regimes!$J$3:$J$1118,Donnees_regimes!$A$3:$A$1118,'3_Comparateur_detaille'!$C$20,Donnees_regimes!$B$3:$B$1118,A24))</f>
        <v/>
      </c>
      <c r="AS24" s="99">
        <f>IF('3_Comparateur_detaille'!$C$20="Privé",MIN(AQ24,E24)*IF('3_Comparateur_detaille'!$C$15="cadre",K24,G24)+MAX(0,AQ24-E24)*IF('3_Comparateur_detaille'!$C$15="cadre",M24,I24),AQ24*SUMIFS(Donnees_regimes!$K$3:$K$1118,Donnees_regimes!$A$3:$A$1118,'3_Comparateur_detaille'!$C$20,Donnees_regimes!$B$3:$B$1118,A24))</f>
        <v/>
      </c>
      <c r="AT24" s="99">
        <f>IF('3_Comparateur_detaille'!$C$20="Privé",0,AQ24*SUMIFS(Donnees_regimes!$L$3:$L$1118,Donnees_regimes!$A$3:$A$1118,'3_Comparateur_detaille'!$C$20,Donnees_regimes!$B$3:$B$1118,A24))</f>
        <v/>
      </c>
      <c r="AU24" s="100">
        <f>(AR24+AS24)/AA24*AI24/AG24</f>
        <v/>
      </c>
      <c r="AV24" s="100">
        <f>(AR24+AS24)/AA24*AJ24/AH24</f>
        <v/>
      </c>
    </row>
    <row r="25">
      <c r="A25" s="88" t="n">
        <v>1967</v>
      </c>
      <c r="B25" s="90" t="inlineStr">
        <is>
          <t>Observé</t>
        </is>
      </c>
      <c r="C25" s="91" t="n">
        <v>10.07921</v>
      </c>
      <c r="D25" s="92" t="n">
        <v>19643.76</v>
      </c>
      <c r="E25" s="92" t="n">
        <v>21020.19</v>
      </c>
      <c r="F25" s="93" t="n">
        <v>0.043534</v>
      </c>
      <c r="G25" s="93" t="n">
        <v>0.074479</v>
      </c>
      <c r="H25" s="93" t="n">
        <v>0.016</v>
      </c>
      <c r="I25" s="93" t="n">
        <v>0.024</v>
      </c>
      <c r="J25" s="93" t="n">
        <v>0.043534</v>
      </c>
      <c r="K25" s="93" t="n">
        <v>0.074479</v>
      </c>
      <c r="L25" s="93" t="n">
        <v>0.02</v>
      </c>
      <c r="M25" s="93" t="n">
        <v>0.06</v>
      </c>
      <c r="N25" s="14">
        <f>MIN(D25,E25)*F25+MAX(0,D25-E25)*H25</f>
        <v/>
      </c>
      <c r="O25" s="14">
        <f>MIN(D25,E25)*G25+MAX(0,D25-E25)*I25</f>
        <v/>
      </c>
      <c r="P25" s="14">
        <f>N25+O25</f>
        <v/>
      </c>
      <c r="Q25" s="94">
        <f>P25/D25</f>
        <v/>
      </c>
      <c r="R25" s="14">
        <f>D25+O25</f>
        <v/>
      </c>
      <c r="S25" s="95" t="n">
        <v>40</v>
      </c>
      <c r="T25" s="95" t="n">
        <v>45.18</v>
      </c>
      <c r="U25" s="85" t="n">
        <v>237</v>
      </c>
      <c r="V25" s="96" t="n">
        <v>1896</v>
      </c>
      <c r="W25" s="96" t="n">
        <v>2141.5</v>
      </c>
      <c r="X25" s="92" t="n">
        <v>9124.83</v>
      </c>
      <c r="Y25" s="92" t="n">
        <v>9740.42</v>
      </c>
      <c r="Z25" s="95" t="n">
        <v>16.7</v>
      </c>
      <c r="AA25" s="97">
        <f>C25</f>
        <v/>
      </c>
      <c r="AB25" s="98">
        <f>D25/AA25</f>
        <v/>
      </c>
      <c r="AC25" s="93" t="n">
        <v>-0.021921</v>
      </c>
      <c r="AD25" s="93" t="n">
        <v>-0.057406</v>
      </c>
      <c r="AE25" s="94">
        <f>AC25</f>
        <v/>
      </c>
      <c r="AF25" s="94">
        <f>AD25</f>
        <v/>
      </c>
      <c r="AG25" s="97">
        <f>AG24*(1+AE25)</f>
        <v/>
      </c>
      <c r="AH25" s="97">
        <f>AH24*(1+AF25)</f>
        <v/>
      </c>
      <c r="AI25" s="97">
        <f>IF(AE25=0,1,AE25/(12*((1+AE25)^(1/12)-1)))</f>
        <v/>
      </c>
      <c r="AJ25" s="97">
        <f>IF(AF25=0,1,AF25/(12*((1+AF25)^(1/12)-1)))</f>
        <v/>
      </c>
      <c r="AK25" s="99">
        <f>D25*'3_Comparateur_detaille'!$B$16</f>
        <v/>
      </c>
      <c r="AL25" s="99">
        <f>IF('3_Comparateur_detaille'!$B$20="Privé",MIN(AK25,E25)*IF('3_Comparateur_detaille'!$B$15="cadre",J25,F25)+MAX(0,AK25-E25)*IF('3_Comparateur_detaille'!$B$15="cadre",L25,H25),AK25*SUMIFS(Donnees_regimes!$J$3:$J$1118,Donnees_regimes!$A$3:$A$1118,'3_Comparateur_detaille'!$B$20,Donnees_regimes!$B$3:$B$1118,A25))</f>
        <v/>
      </c>
      <c r="AM25" s="99">
        <f>IF('3_Comparateur_detaille'!$B$20="Privé",MIN(AK25,E25)*IF('3_Comparateur_detaille'!$B$15="cadre",K25,G25)+MAX(0,AK25-E25)*IF('3_Comparateur_detaille'!$B$15="cadre",M25,I25),AK25*SUMIFS(Donnees_regimes!$K$3:$K$1118,Donnees_regimes!$A$3:$A$1118,'3_Comparateur_detaille'!$B$20,Donnees_regimes!$B$3:$B$1118,A25))</f>
        <v/>
      </c>
      <c r="AN25" s="99">
        <f>IF('3_Comparateur_detaille'!$B$20="Privé",0,AK25*SUMIFS(Donnees_regimes!$L$3:$L$1118,Donnees_regimes!$A$3:$A$1118,'3_Comparateur_detaille'!$B$20,Donnees_regimes!$B$3:$B$1118,A25))</f>
        <v/>
      </c>
      <c r="AO25" s="100">
        <f>(AL25+AM25)/AA25*AI25/AG25</f>
        <v/>
      </c>
      <c r="AP25" s="100">
        <f>(AL25+AM25)/AA25*AJ25/AH25</f>
        <v/>
      </c>
      <c r="AQ25" s="99">
        <f>D25*'3_Comparateur_detaille'!$C$16</f>
        <v/>
      </c>
      <c r="AR25" s="99">
        <f>IF('3_Comparateur_detaille'!$C$20="Privé",MIN(AQ25,E25)*IF('3_Comparateur_detaille'!$C$15="cadre",J25,F25)+MAX(0,AQ25-E25)*IF('3_Comparateur_detaille'!$C$15="cadre",L25,H25),AQ25*SUMIFS(Donnees_regimes!$J$3:$J$1118,Donnees_regimes!$A$3:$A$1118,'3_Comparateur_detaille'!$C$20,Donnees_regimes!$B$3:$B$1118,A25))</f>
        <v/>
      </c>
      <c r="AS25" s="99">
        <f>IF('3_Comparateur_detaille'!$C$20="Privé",MIN(AQ25,E25)*IF('3_Comparateur_detaille'!$C$15="cadre",K25,G25)+MAX(0,AQ25-E25)*IF('3_Comparateur_detaille'!$C$15="cadre",M25,I25),AQ25*SUMIFS(Donnees_regimes!$K$3:$K$1118,Donnees_regimes!$A$3:$A$1118,'3_Comparateur_detaille'!$C$20,Donnees_regimes!$B$3:$B$1118,A25))</f>
        <v/>
      </c>
      <c r="AT25" s="99">
        <f>IF('3_Comparateur_detaille'!$C$20="Privé",0,AQ25*SUMIFS(Donnees_regimes!$L$3:$L$1118,Donnees_regimes!$A$3:$A$1118,'3_Comparateur_detaille'!$C$20,Donnees_regimes!$B$3:$B$1118,A25))</f>
        <v/>
      </c>
      <c r="AU25" s="100">
        <f>(AR25+AS25)/AA25*AI25/AG25</f>
        <v/>
      </c>
      <c r="AV25" s="100">
        <f>(AR25+AS25)/AA25*AJ25/AH25</f>
        <v/>
      </c>
    </row>
    <row r="26">
      <c r="A26" s="88" t="n">
        <v>1968</v>
      </c>
      <c r="B26" s="90" t="inlineStr">
        <is>
          <t>Observé</t>
        </is>
      </c>
      <c r="C26" s="91" t="n">
        <v>9.64015</v>
      </c>
      <c r="D26" s="92" t="n">
        <v>20890.67</v>
      </c>
      <c r="E26" s="92" t="n">
        <v>21162.74</v>
      </c>
      <c r="F26" s="93" t="n">
        <v>0.046</v>
      </c>
      <c r="G26" s="93" t="n">
        <v>0.079</v>
      </c>
      <c r="H26" s="93" t="n">
        <v>0.016</v>
      </c>
      <c r="I26" s="93" t="n">
        <v>0.024</v>
      </c>
      <c r="J26" s="93" t="n">
        <v>0.046</v>
      </c>
      <c r="K26" s="93" t="n">
        <v>0.079</v>
      </c>
      <c r="L26" s="93" t="n">
        <v>0.02</v>
      </c>
      <c r="M26" s="93" t="n">
        <v>0.06</v>
      </c>
      <c r="N26" s="14">
        <f>MIN(D26,E26)*F26+MAX(0,D26-E26)*H26</f>
        <v/>
      </c>
      <c r="O26" s="14">
        <f>MIN(D26,E26)*G26+MAX(0,D26-E26)*I26</f>
        <v/>
      </c>
      <c r="P26" s="14">
        <f>N26+O26</f>
        <v/>
      </c>
      <c r="Q26" s="94">
        <f>P26/D26</f>
        <v/>
      </c>
      <c r="R26" s="14">
        <f>D26+O26</f>
        <v/>
      </c>
      <c r="S26" s="95" t="n">
        <v>40</v>
      </c>
      <c r="T26" s="95" t="n">
        <v>44.86</v>
      </c>
      <c r="U26" s="85" t="n">
        <v>238</v>
      </c>
      <c r="V26" s="96" t="n">
        <v>1904</v>
      </c>
      <c r="W26" s="96" t="n">
        <v>2135.3</v>
      </c>
      <c r="X26" s="92" t="n">
        <v>9704.040000000001</v>
      </c>
      <c r="Y26" s="92" t="n">
        <v>10358.71</v>
      </c>
      <c r="Z26" s="95" t="n">
        <v>16.8</v>
      </c>
      <c r="AA26" s="97">
        <f>C26</f>
        <v/>
      </c>
      <c r="AB26" s="98">
        <f>D26/AA26</f>
        <v/>
      </c>
      <c r="AC26" s="93" t="n">
        <v>0.17395</v>
      </c>
      <c r="AD26" s="93" t="n">
        <v>0.131431</v>
      </c>
      <c r="AE26" s="94">
        <f>AC26</f>
        <v/>
      </c>
      <c r="AF26" s="94">
        <f>AD26</f>
        <v/>
      </c>
      <c r="AG26" s="97">
        <f>AG25*(1+AE26)</f>
        <v/>
      </c>
      <c r="AH26" s="97">
        <f>AH25*(1+AF26)</f>
        <v/>
      </c>
      <c r="AI26" s="97">
        <f>IF(AE26=0,1,AE26/(12*((1+AE26)^(1/12)-1)))</f>
        <v/>
      </c>
      <c r="AJ26" s="97">
        <f>IF(AF26=0,1,AF26/(12*((1+AF26)^(1/12)-1)))</f>
        <v/>
      </c>
      <c r="AK26" s="99">
        <f>D26*'3_Comparateur_detaille'!$B$16</f>
        <v/>
      </c>
      <c r="AL26" s="99">
        <f>IF('3_Comparateur_detaille'!$B$20="Privé",MIN(AK26,E26)*IF('3_Comparateur_detaille'!$B$15="cadre",J26,F26)+MAX(0,AK26-E26)*IF('3_Comparateur_detaille'!$B$15="cadre",L26,H26),AK26*SUMIFS(Donnees_regimes!$J$3:$J$1118,Donnees_regimes!$A$3:$A$1118,'3_Comparateur_detaille'!$B$20,Donnees_regimes!$B$3:$B$1118,A26))</f>
        <v/>
      </c>
      <c r="AM26" s="99">
        <f>IF('3_Comparateur_detaille'!$B$20="Privé",MIN(AK26,E26)*IF('3_Comparateur_detaille'!$B$15="cadre",K26,G26)+MAX(0,AK26-E26)*IF('3_Comparateur_detaille'!$B$15="cadre",M26,I26),AK26*SUMIFS(Donnees_regimes!$K$3:$K$1118,Donnees_regimes!$A$3:$A$1118,'3_Comparateur_detaille'!$B$20,Donnees_regimes!$B$3:$B$1118,A26))</f>
        <v/>
      </c>
      <c r="AN26" s="99">
        <f>IF('3_Comparateur_detaille'!$B$20="Privé",0,AK26*SUMIFS(Donnees_regimes!$L$3:$L$1118,Donnees_regimes!$A$3:$A$1118,'3_Comparateur_detaille'!$B$20,Donnees_regimes!$B$3:$B$1118,A26))</f>
        <v/>
      </c>
      <c r="AO26" s="100">
        <f>(AL26+AM26)/AA26*AI26/AG26</f>
        <v/>
      </c>
      <c r="AP26" s="100">
        <f>(AL26+AM26)/AA26*AJ26/AH26</f>
        <v/>
      </c>
      <c r="AQ26" s="99">
        <f>D26*'3_Comparateur_detaille'!$C$16</f>
        <v/>
      </c>
      <c r="AR26" s="99">
        <f>IF('3_Comparateur_detaille'!$C$20="Privé",MIN(AQ26,E26)*IF('3_Comparateur_detaille'!$C$15="cadre",J26,F26)+MAX(0,AQ26-E26)*IF('3_Comparateur_detaille'!$C$15="cadre",L26,H26),AQ26*SUMIFS(Donnees_regimes!$J$3:$J$1118,Donnees_regimes!$A$3:$A$1118,'3_Comparateur_detaille'!$C$20,Donnees_regimes!$B$3:$B$1118,A26))</f>
        <v/>
      </c>
      <c r="AS26" s="99">
        <f>IF('3_Comparateur_detaille'!$C$20="Privé",MIN(AQ26,E26)*IF('3_Comparateur_detaille'!$C$15="cadre",K26,G26)+MAX(0,AQ26-E26)*IF('3_Comparateur_detaille'!$C$15="cadre",M26,I26),AQ26*SUMIFS(Donnees_regimes!$K$3:$K$1118,Donnees_regimes!$A$3:$A$1118,'3_Comparateur_detaille'!$C$20,Donnees_regimes!$B$3:$B$1118,A26))</f>
        <v/>
      </c>
      <c r="AT26" s="99">
        <f>IF('3_Comparateur_detaille'!$C$20="Privé",0,AQ26*SUMIFS(Donnees_regimes!$L$3:$L$1118,Donnees_regimes!$A$3:$A$1118,'3_Comparateur_detaille'!$C$20,Donnees_regimes!$B$3:$B$1118,A26))</f>
        <v/>
      </c>
      <c r="AU26" s="100">
        <f>(AR26+AS26)/AA26*AI26/AG26</f>
        <v/>
      </c>
      <c r="AV26" s="100">
        <f>(AR26+AS26)/AA26*AJ26/AH26</f>
        <v/>
      </c>
    </row>
    <row r="27">
      <c r="A27" s="88" t="n">
        <v>1969</v>
      </c>
      <c r="B27" s="90" t="inlineStr">
        <is>
          <t>Observé</t>
        </is>
      </c>
      <c r="C27" s="91" t="n">
        <v>9.056940000000001</v>
      </c>
      <c r="D27" s="92" t="n">
        <v>21739.81</v>
      </c>
      <c r="E27" s="92" t="n">
        <v>22533.39</v>
      </c>
      <c r="F27" s="93" t="n">
        <v>0.046</v>
      </c>
      <c r="G27" s="93" t="n">
        <v>0.079</v>
      </c>
      <c r="H27" s="93" t="n">
        <v>0.016</v>
      </c>
      <c r="I27" s="93" t="n">
        <v>0.024</v>
      </c>
      <c r="J27" s="93" t="n">
        <v>0.046</v>
      </c>
      <c r="K27" s="93" t="n">
        <v>0.079</v>
      </c>
      <c r="L27" s="93" t="n">
        <v>0.02</v>
      </c>
      <c r="M27" s="93" t="n">
        <v>0.06</v>
      </c>
      <c r="N27" s="14">
        <f>MIN(D27,E27)*F27+MAX(0,D27-E27)*H27</f>
        <v/>
      </c>
      <c r="O27" s="14">
        <f>MIN(D27,E27)*G27+MAX(0,D27-E27)*I27</f>
        <v/>
      </c>
      <c r="P27" s="14">
        <f>N27+O27</f>
        <v/>
      </c>
      <c r="Q27" s="94">
        <f>P27/D27</f>
        <v/>
      </c>
      <c r="R27" s="14">
        <f>D27+O27</f>
        <v/>
      </c>
      <c r="S27" s="95" t="n">
        <v>40</v>
      </c>
      <c r="T27" s="95" t="n">
        <v>44.54</v>
      </c>
      <c r="U27" s="85" t="n">
        <v>232</v>
      </c>
      <c r="V27" s="96" t="n">
        <v>1856</v>
      </c>
      <c r="W27" s="96" t="n">
        <v>2066.7</v>
      </c>
      <c r="X27" s="92" t="n">
        <v>10098.48</v>
      </c>
      <c r="Y27" s="92" t="n">
        <v>10779.76</v>
      </c>
      <c r="Z27" s="95" t="n">
        <v>16.9</v>
      </c>
      <c r="AA27" s="97">
        <f>C27</f>
        <v/>
      </c>
      <c r="AB27" s="98">
        <f>D27/AA27</f>
        <v/>
      </c>
      <c r="AC27" s="93" t="n">
        <v>0.236621</v>
      </c>
      <c r="AD27" s="93" t="n">
        <v>0.199065</v>
      </c>
      <c r="AE27" s="94">
        <f>AC27</f>
        <v/>
      </c>
      <c r="AF27" s="94">
        <f>AD27</f>
        <v/>
      </c>
      <c r="AG27" s="97">
        <f>AG26*(1+AE27)</f>
        <v/>
      </c>
      <c r="AH27" s="97">
        <f>AH26*(1+AF27)</f>
        <v/>
      </c>
      <c r="AI27" s="97">
        <f>IF(AE27=0,1,AE27/(12*((1+AE27)^(1/12)-1)))</f>
        <v/>
      </c>
      <c r="AJ27" s="97">
        <f>IF(AF27=0,1,AF27/(12*((1+AF27)^(1/12)-1)))</f>
        <v/>
      </c>
      <c r="AK27" s="99">
        <f>D27*'3_Comparateur_detaille'!$B$16</f>
        <v/>
      </c>
      <c r="AL27" s="99">
        <f>IF('3_Comparateur_detaille'!$B$20="Privé",MIN(AK27,E27)*IF('3_Comparateur_detaille'!$B$15="cadre",J27,F27)+MAX(0,AK27-E27)*IF('3_Comparateur_detaille'!$B$15="cadre",L27,H27),AK27*SUMIFS(Donnees_regimes!$J$3:$J$1118,Donnees_regimes!$A$3:$A$1118,'3_Comparateur_detaille'!$B$20,Donnees_regimes!$B$3:$B$1118,A27))</f>
        <v/>
      </c>
      <c r="AM27" s="99">
        <f>IF('3_Comparateur_detaille'!$B$20="Privé",MIN(AK27,E27)*IF('3_Comparateur_detaille'!$B$15="cadre",K27,G27)+MAX(0,AK27-E27)*IF('3_Comparateur_detaille'!$B$15="cadre",M27,I27),AK27*SUMIFS(Donnees_regimes!$K$3:$K$1118,Donnees_regimes!$A$3:$A$1118,'3_Comparateur_detaille'!$B$20,Donnees_regimes!$B$3:$B$1118,A27))</f>
        <v/>
      </c>
      <c r="AN27" s="99">
        <f>IF('3_Comparateur_detaille'!$B$20="Privé",0,AK27*SUMIFS(Donnees_regimes!$L$3:$L$1118,Donnees_regimes!$A$3:$A$1118,'3_Comparateur_detaille'!$B$20,Donnees_regimes!$B$3:$B$1118,A27))</f>
        <v/>
      </c>
      <c r="AO27" s="100">
        <f>(AL27+AM27)/AA27*AI27/AG27</f>
        <v/>
      </c>
      <c r="AP27" s="100">
        <f>(AL27+AM27)/AA27*AJ27/AH27</f>
        <v/>
      </c>
      <c r="AQ27" s="99">
        <f>D27*'3_Comparateur_detaille'!$C$16</f>
        <v/>
      </c>
      <c r="AR27" s="99">
        <f>IF('3_Comparateur_detaille'!$C$20="Privé",MIN(AQ27,E27)*IF('3_Comparateur_detaille'!$C$15="cadre",J27,F27)+MAX(0,AQ27-E27)*IF('3_Comparateur_detaille'!$C$15="cadre",L27,H27),AQ27*SUMIFS(Donnees_regimes!$J$3:$J$1118,Donnees_regimes!$A$3:$A$1118,'3_Comparateur_detaille'!$C$20,Donnees_regimes!$B$3:$B$1118,A27))</f>
        <v/>
      </c>
      <c r="AS27" s="99">
        <f>IF('3_Comparateur_detaille'!$C$20="Privé",MIN(AQ27,E27)*IF('3_Comparateur_detaille'!$C$15="cadre",K27,G27)+MAX(0,AQ27-E27)*IF('3_Comparateur_detaille'!$C$15="cadre",M27,I27),AQ27*SUMIFS(Donnees_regimes!$K$3:$K$1118,Donnees_regimes!$A$3:$A$1118,'3_Comparateur_detaille'!$C$20,Donnees_regimes!$B$3:$B$1118,A27))</f>
        <v/>
      </c>
      <c r="AT27" s="99">
        <f>IF('3_Comparateur_detaille'!$C$20="Privé",0,AQ27*SUMIFS(Donnees_regimes!$L$3:$L$1118,Donnees_regimes!$A$3:$A$1118,'3_Comparateur_detaille'!$C$20,Donnees_regimes!$B$3:$B$1118,A27))</f>
        <v/>
      </c>
      <c r="AU27" s="100">
        <f>(AR27+AS27)/AA27*AI27/AG27</f>
        <v/>
      </c>
      <c r="AV27" s="100">
        <f>(AR27+AS27)/AA27*AJ27/AH27</f>
        <v/>
      </c>
    </row>
    <row r="28">
      <c r="A28" s="88" t="n">
        <v>1970</v>
      </c>
      <c r="B28" s="90" t="inlineStr">
        <is>
          <t>Observé</t>
        </is>
      </c>
      <c r="C28" s="91" t="n">
        <v>8.61252</v>
      </c>
      <c r="D28" s="92" t="n">
        <v>22614.67</v>
      </c>
      <c r="E28" s="92" t="n">
        <v>23633.45</v>
      </c>
      <c r="F28" s="93" t="n">
        <v>0.046</v>
      </c>
      <c r="G28" s="93" t="n">
        <v>0.08004799999999999</v>
      </c>
      <c r="H28" s="93" t="n">
        <v>0.016</v>
      </c>
      <c r="I28" s="93" t="n">
        <v>0.024</v>
      </c>
      <c r="J28" s="93" t="n">
        <v>0.046</v>
      </c>
      <c r="K28" s="93" t="n">
        <v>0.08004799999999999</v>
      </c>
      <c r="L28" s="93" t="n">
        <v>0.02</v>
      </c>
      <c r="M28" s="93" t="n">
        <v>0.06</v>
      </c>
      <c r="N28" s="14">
        <f>MIN(D28,E28)*F28+MAX(0,D28-E28)*H28</f>
        <v/>
      </c>
      <c r="O28" s="14">
        <f>MIN(D28,E28)*G28+MAX(0,D28-E28)*I28</f>
        <v/>
      </c>
      <c r="P28" s="14">
        <f>N28+O28</f>
        <v/>
      </c>
      <c r="Q28" s="94">
        <f>P28/D28</f>
        <v/>
      </c>
      <c r="R28" s="14">
        <f>D28+O28</f>
        <v/>
      </c>
      <c r="S28" s="95" t="n">
        <v>40</v>
      </c>
      <c r="T28" s="95" t="n">
        <v>44.22</v>
      </c>
      <c r="U28" s="85" t="n">
        <v>233</v>
      </c>
      <c r="V28" s="96" t="n">
        <v>1864</v>
      </c>
      <c r="W28" s="96" t="n">
        <v>2060.7</v>
      </c>
      <c r="X28" s="92" t="n">
        <v>10504.87</v>
      </c>
      <c r="Y28" s="92" t="n">
        <v>11213.56</v>
      </c>
      <c r="Z28" s="95" t="n">
        <v>17</v>
      </c>
      <c r="AA28" s="97">
        <f>C28</f>
        <v/>
      </c>
      <c r="AB28" s="98">
        <f>D28/AA28</f>
        <v/>
      </c>
      <c r="AC28" s="93" t="n">
        <v>-0.08762300000000001</v>
      </c>
      <c r="AD28" s="93" t="n">
        <v>-0.122676</v>
      </c>
      <c r="AE28" s="94">
        <f>AC28</f>
        <v/>
      </c>
      <c r="AF28" s="94">
        <f>AD28</f>
        <v/>
      </c>
      <c r="AG28" s="97">
        <f>AG27*(1+AE28)</f>
        <v/>
      </c>
      <c r="AH28" s="97">
        <f>AH27*(1+AF28)</f>
        <v/>
      </c>
      <c r="AI28" s="97">
        <f>IF(AE28=0,1,AE28/(12*((1+AE28)^(1/12)-1)))</f>
        <v/>
      </c>
      <c r="AJ28" s="97">
        <f>IF(AF28=0,1,AF28/(12*((1+AF28)^(1/12)-1)))</f>
        <v/>
      </c>
      <c r="AK28" s="99">
        <f>D28*'3_Comparateur_detaille'!$B$16</f>
        <v/>
      </c>
      <c r="AL28" s="99">
        <f>IF('3_Comparateur_detaille'!$B$20="Privé",MIN(AK28,E28)*IF('3_Comparateur_detaille'!$B$15="cadre",J28,F28)+MAX(0,AK28-E28)*IF('3_Comparateur_detaille'!$B$15="cadre",L28,H28),AK28*SUMIFS(Donnees_regimes!$J$3:$J$1118,Donnees_regimes!$A$3:$A$1118,'3_Comparateur_detaille'!$B$20,Donnees_regimes!$B$3:$B$1118,A28))</f>
        <v/>
      </c>
      <c r="AM28" s="99">
        <f>IF('3_Comparateur_detaille'!$B$20="Privé",MIN(AK28,E28)*IF('3_Comparateur_detaille'!$B$15="cadre",K28,G28)+MAX(0,AK28-E28)*IF('3_Comparateur_detaille'!$B$15="cadre",M28,I28),AK28*SUMIFS(Donnees_regimes!$K$3:$K$1118,Donnees_regimes!$A$3:$A$1118,'3_Comparateur_detaille'!$B$20,Donnees_regimes!$B$3:$B$1118,A28))</f>
        <v/>
      </c>
      <c r="AN28" s="99">
        <f>IF('3_Comparateur_detaille'!$B$20="Privé",0,AK28*SUMIFS(Donnees_regimes!$L$3:$L$1118,Donnees_regimes!$A$3:$A$1118,'3_Comparateur_detaille'!$B$20,Donnees_regimes!$B$3:$B$1118,A28))</f>
        <v/>
      </c>
      <c r="AO28" s="100">
        <f>(AL28+AM28)/AA28*AI28/AG28</f>
        <v/>
      </c>
      <c r="AP28" s="100">
        <f>(AL28+AM28)/AA28*AJ28/AH28</f>
        <v/>
      </c>
      <c r="AQ28" s="99">
        <f>D28*'3_Comparateur_detaille'!$C$16</f>
        <v/>
      </c>
      <c r="AR28" s="99">
        <f>IF('3_Comparateur_detaille'!$C$20="Privé",MIN(AQ28,E28)*IF('3_Comparateur_detaille'!$C$15="cadre",J28,F28)+MAX(0,AQ28-E28)*IF('3_Comparateur_detaille'!$C$15="cadre",L28,H28),AQ28*SUMIFS(Donnees_regimes!$J$3:$J$1118,Donnees_regimes!$A$3:$A$1118,'3_Comparateur_detaille'!$C$20,Donnees_regimes!$B$3:$B$1118,A28))</f>
        <v/>
      </c>
      <c r="AS28" s="99">
        <f>IF('3_Comparateur_detaille'!$C$20="Privé",MIN(AQ28,E28)*IF('3_Comparateur_detaille'!$C$15="cadre",K28,G28)+MAX(0,AQ28-E28)*IF('3_Comparateur_detaille'!$C$15="cadre",M28,I28),AQ28*SUMIFS(Donnees_regimes!$K$3:$K$1118,Donnees_regimes!$A$3:$A$1118,'3_Comparateur_detaille'!$C$20,Donnees_regimes!$B$3:$B$1118,A28))</f>
        <v/>
      </c>
      <c r="AT28" s="99">
        <f>IF('3_Comparateur_detaille'!$C$20="Privé",0,AQ28*SUMIFS(Donnees_regimes!$L$3:$L$1118,Donnees_regimes!$A$3:$A$1118,'3_Comparateur_detaille'!$C$20,Donnees_regimes!$B$3:$B$1118,A28))</f>
        <v/>
      </c>
      <c r="AU28" s="100">
        <f>(AR28+AS28)/AA28*AI28/AG28</f>
        <v/>
      </c>
      <c r="AV28" s="100">
        <f>(AR28+AS28)/AA28*AJ28/AH28</f>
        <v/>
      </c>
    </row>
    <row r="29">
      <c r="A29" s="88" t="n">
        <v>1971</v>
      </c>
      <c r="B29" s="90" t="inlineStr">
        <is>
          <t>Observé</t>
        </is>
      </c>
      <c r="C29" s="91" t="n">
        <v>8.15052</v>
      </c>
      <c r="D29" s="92" t="n">
        <v>23728.69</v>
      </c>
      <c r="E29" s="92" t="n">
        <v>24602.26</v>
      </c>
      <c r="F29" s="93" t="n">
        <v>0.0464</v>
      </c>
      <c r="G29" s="93" t="n">
        <v>0.08210000000000001</v>
      </c>
      <c r="H29" s="93" t="n">
        <v>0.0164</v>
      </c>
      <c r="I29" s="93" t="n">
        <v>0.0246</v>
      </c>
      <c r="J29" s="93" t="n">
        <v>0.0464</v>
      </c>
      <c r="K29" s="93" t="n">
        <v>0.08210000000000001</v>
      </c>
      <c r="L29" s="93" t="n">
        <v>0.02</v>
      </c>
      <c r="M29" s="93" t="n">
        <v>0.06</v>
      </c>
      <c r="N29" s="14">
        <f>MIN(D29,E29)*F29+MAX(0,D29-E29)*H29</f>
        <v/>
      </c>
      <c r="O29" s="14">
        <f>MIN(D29,E29)*G29+MAX(0,D29-E29)*I29</f>
        <v/>
      </c>
      <c r="P29" s="14">
        <f>N29+O29</f>
        <v/>
      </c>
      <c r="Q29" s="94">
        <f>P29/D29</f>
        <v/>
      </c>
      <c r="R29" s="14">
        <f>D29+O29</f>
        <v/>
      </c>
      <c r="S29" s="95" t="n">
        <v>40</v>
      </c>
      <c r="T29" s="95" t="n">
        <v>43.9</v>
      </c>
      <c r="U29" s="85" t="n">
        <v>234</v>
      </c>
      <c r="V29" s="96" t="n">
        <v>1872</v>
      </c>
      <c r="W29" s="96" t="n">
        <v>2054.5</v>
      </c>
      <c r="X29" s="92" t="n">
        <v>11022.35</v>
      </c>
      <c r="Y29" s="92" t="n">
        <v>11765.95</v>
      </c>
      <c r="Z29" s="95" t="n">
        <v>17.15</v>
      </c>
      <c r="AA29" s="97">
        <f>C29</f>
        <v/>
      </c>
      <c r="AB29" s="98">
        <f>D29/AA29</f>
        <v/>
      </c>
      <c r="AC29" s="93" t="n">
        <v>-0.056786</v>
      </c>
      <c r="AD29" s="93" t="n">
        <v>-0.097529</v>
      </c>
      <c r="AE29" s="94">
        <f>AC29</f>
        <v/>
      </c>
      <c r="AF29" s="94">
        <f>AD29</f>
        <v/>
      </c>
      <c r="AG29" s="97">
        <f>AG28*(1+AE29)</f>
        <v/>
      </c>
      <c r="AH29" s="97">
        <f>AH28*(1+AF29)</f>
        <v/>
      </c>
      <c r="AI29" s="97">
        <f>IF(AE29=0,1,AE29/(12*((1+AE29)^(1/12)-1)))</f>
        <v/>
      </c>
      <c r="AJ29" s="97">
        <f>IF(AF29=0,1,AF29/(12*((1+AF29)^(1/12)-1)))</f>
        <v/>
      </c>
      <c r="AK29" s="99">
        <f>D29*'3_Comparateur_detaille'!$B$16</f>
        <v/>
      </c>
      <c r="AL29" s="99">
        <f>IF('3_Comparateur_detaille'!$B$20="Privé",MIN(AK29,E29)*IF('3_Comparateur_detaille'!$B$15="cadre",J29,F29)+MAX(0,AK29-E29)*IF('3_Comparateur_detaille'!$B$15="cadre",L29,H29),AK29*SUMIFS(Donnees_regimes!$J$3:$J$1118,Donnees_regimes!$A$3:$A$1118,'3_Comparateur_detaille'!$B$20,Donnees_regimes!$B$3:$B$1118,A29))</f>
        <v/>
      </c>
      <c r="AM29" s="99">
        <f>IF('3_Comparateur_detaille'!$B$20="Privé",MIN(AK29,E29)*IF('3_Comparateur_detaille'!$B$15="cadre",K29,G29)+MAX(0,AK29-E29)*IF('3_Comparateur_detaille'!$B$15="cadre",M29,I29),AK29*SUMIFS(Donnees_regimes!$K$3:$K$1118,Donnees_regimes!$A$3:$A$1118,'3_Comparateur_detaille'!$B$20,Donnees_regimes!$B$3:$B$1118,A29))</f>
        <v/>
      </c>
      <c r="AN29" s="99">
        <f>IF('3_Comparateur_detaille'!$B$20="Privé",0,AK29*SUMIFS(Donnees_regimes!$L$3:$L$1118,Donnees_regimes!$A$3:$A$1118,'3_Comparateur_detaille'!$B$20,Donnees_regimes!$B$3:$B$1118,A29))</f>
        <v/>
      </c>
      <c r="AO29" s="100">
        <f>(AL29+AM29)/AA29*AI29/AG29</f>
        <v/>
      </c>
      <c r="AP29" s="100">
        <f>(AL29+AM29)/AA29*AJ29/AH29</f>
        <v/>
      </c>
      <c r="AQ29" s="99">
        <f>D29*'3_Comparateur_detaille'!$C$16</f>
        <v/>
      </c>
      <c r="AR29" s="99">
        <f>IF('3_Comparateur_detaille'!$C$20="Privé",MIN(AQ29,E29)*IF('3_Comparateur_detaille'!$C$15="cadre",J29,F29)+MAX(0,AQ29-E29)*IF('3_Comparateur_detaille'!$C$15="cadre",L29,H29),AQ29*SUMIFS(Donnees_regimes!$J$3:$J$1118,Donnees_regimes!$A$3:$A$1118,'3_Comparateur_detaille'!$C$20,Donnees_regimes!$B$3:$B$1118,A29))</f>
        <v/>
      </c>
      <c r="AS29" s="99">
        <f>IF('3_Comparateur_detaille'!$C$20="Privé",MIN(AQ29,E29)*IF('3_Comparateur_detaille'!$C$15="cadre",K29,G29)+MAX(0,AQ29-E29)*IF('3_Comparateur_detaille'!$C$15="cadre",M29,I29),AQ29*SUMIFS(Donnees_regimes!$K$3:$K$1118,Donnees_regimes!$A$3:$A$1118,'3_Comparateur_detaille'!$C$20,Donnees_regimes!$B$3:$B$1118,A29))</f>
        <v/>
      </c>
      <c r="AT29" s="99">
        <f>IF('3_Comparateur_detaille'!$C$20="Privé",0,AQ29*SUMIFS(Donnees_regimes!$L$3:$L$1118,Donnees_regimes!$A$3:$A$1118,'3_Comparateur_detaille'!$C$20,Donnees_regimes!$B$3:$B$1118,A29))</f>
        <v/>
      </c>
      <c r="AU29" s="100">
        <f>(AR29+AS29)/AA29*AI29/AG29</f>
        <v/>
      </c>
      <c r="AV29" s="100">
        <f>(AR29+AS29)/AA29*AJ29/AH29</f>
        <v/>
      </c>
    </row>
    <row r="30">
      <c r="A30" s="88" t="n">
        <v>1972</v>
      </c>
      <c r="B30" s="90" t="inlineStr">
        <is>
          <t>Observé</t>
        </is>
      </c>
      <c r="C30" s="91" t="n">
        <v>7.67722</v>
      </c>
      <c r="D30" s="92" t="n">
        <v>24620.01</v>
      </c>
      <c r="E30" s="92" t="n">
        <v>25701.66</v>
      </c>
      <c r="F30" s="93" t="n">
        <v>0.0468</v>
      </c>
      <c r="G30" s="93" t="n">
        <v>0.0827</v>
      </c>
      <c r="H30" s="93" t="n">
        <v>0.0168</v>
      </c>
      <c r="I30" s="93" t="n">
        <v>0.0252</v>
      </c>
      <c r="J30" s="93" t="n">
        <v>0.0468</v>
      </c>
      <c r="K30" s="93" t="n">
        <v>0.0827</v>
      </c>
      <c r="L30" s="93" t="n">
        <v>0.02</v>
      </c>
      <c r="M30" s="93" t="n">
        <v>0.06</v>
      </c>
      <c r="N30" s="14">
        <f>MIN(D30,E30)*F30+MAX(0,D30-E30)*H30</f>
        <v/>
      </c>
      <c r="O30" s="14">
        <f>MIN(D30,E30)*G30+MAX(0,D30-E30)*I30</f>
        <v/>
      </c>
      <c r="P30" s="14">
        <f>N30+O30</f>
        <v/>
      </c>
      <c r="Q30" s="94">
        <f>P30/D30</f>
        <v/>
      </c>
      <c r="R30" s="14">
        <f>D30+O30</f>
        <v/>
      </c>
      <c r="S30" s="95" t="n">
        <v>40</v>
      </c>
      <c r="T30" s="95" t="n">
        <v>43.58</v>
      </c>
      <c r="U30" s="85" t="n">
        <v>232</v>
      </c>
      <c r="V30" s="96" t="n">
        <v>1856</v>
      </c>
      <c r="W30" s="96" t="n">
        <v>2022.1</v>
      </c>
      <c r="X30" s="92" t="n">
        <v>11436.38</v>
      </c>
      <c r="Y30" s="92" t="n">
        <v>12207.91</v>
      </c>
      <c r="Z30" s="95" t="n">
        <v>17.3</v>
      </c>
      <c r="AA30" s="97">
        <f>C30</f>
        <v/>
      </c>
      <c r="AB30" s="98">
        <f>D30/AA30</f>
        <v/>
      </c>
      <c r="AC30" s="93" t="n">
        <v>0.169524</v>
      </c>
      <c r="AD30" s="93" t="n">
        <v>0.122693</v>
      </c>
      <c r="AE30" s="94">
        <f>AC30</f>
        <v/>
      </c>
      <c r="AF30" s="94">
        <f>AD30</f>
        <v/>
      </c>
      <c r="AG30" s="97">
        <f>AG29*(1+AE30)</f>
        <v/>
      </c>
      <c r="AH30" s="97">
        <f>AH29*(1+AF30)</f>
        <v/>
      </c>
      <c r="AI30" s="97">
        <f>IF(AE30=0,1,AE30/(12*((1+AE30)^(1/12)-1)))</f>
        <v/>
      </c>
      <c r="AJ30" s="97">
        <f>IF(AF30=0,1,AF30/(12*((1+AF30)^(1/12)-1)))</f>
        <v/>
      </c>
      <c r="AK30" s="99">
        <f>D30*'3_Comparateur_detaille'!$B$16</f>
        <v/>
      </c>
      <c r="AL30" s="99">
        <f>IF('3_Comparateur_detaille'!$B$20="Privé",MIN(AK30,E30)*IF('3_Comparateur_detaille'!$B$15="cadre",J30,F30)+MAX(0,AK30-E30)*IF('3_Comparateur_detaille'!$B$15="cadre",L30,H30),AK30*SUMIFS(Donnees_regimes!$J$3:$J$1118,Donnees_regimes!$A$3:$A$1118,'3_Comparateur_detaille'!$B$20,Donnees_regimes!$B$3:$B$1118,A30))</f>
        <v/>
      </c>
      <c r="AM30" s="99">
        <f>IF('3_Comparateur_detaille'!$B$20="Privé",MIN(AK30,E30)*IF('3_Comparateur_detaille'!$B$15="cadre",K30,G30)+MAX(0,AK30-E30)*IF('3_Comparateur_detaille'!$B$15="cadre",M30,I30),AK30*SUMIFS(Donnees_regimes!$K$3:$K$1118,Donnees_regimes!$A$3:$A$1118,'3_Comparateur_detaille'!$B$20,Donnees_regimes!$B$3:$B$1118,A30))</f>
        <v/>
      </c>
      <c r="AN30" s="99">
        <f>IF('3_Comparateur_detaille'!$B$20="Privé",0,AK30*SUMIFS(Donnees_regimes!$L$3:$L$1118,Donnees_regimes!$A$3:$A$1118,'3_Comparateur_detaille'!$B$20,Donnees_regimes!$B$3:$B$1118,A30))</f>
        <v/>
      </c>
      <c r="AO30" s="100">
        <f>(AL30+AM30)/AA30*AI30/AG30</f>
        <v/>
      </c>
      <c r="AP30" s="100">
        <f>(AL30+AM30)/AA30*AJ30/AH30</f>
        <v/>
      </c>
      <c r="AQ30" s="99">
        <f>D30*'3_Comparateur_detaille'!$C$16</f>
        <v/>
      </c>
      <c r="AR30" s="99">
        <f>IF('3_Comparateur_detaille'!$C$20="Privé",MIN(AQ30,E30)*IF('3_Comparateur_detaille'!$C$15="cadre",J30,F30)+MAX(0,AQ30-E30)*IF('3_Comparateur_detaille'!$C$15="cadre",L30,H30),AQ30*SUMIFS(Donnees_regimes!$J$3:$J$1118,Donnees_regimes!$A$3:$A$1118,'3_Comparateur_detaille'!$C$20,Donnees_regimes!$B$3:$B$1118,A30))</f>
        <v/>
      </c>
      <c r="AS30" s="99">
        <f>IF('3_Comparateur_detaille'!$C$20="Privé",MIN(AQ30,E30)*IF('3_Comparateur_detaille'!$C$15="cadre",K30,G30)+MAX(0,AQ30-E30)*IF('3_Comparateur_detaille'!$C$15="cadre",M30,I30),AQ30*SUMIFS(Donnees_regimes!$K$3:$K$1118,Donnees_regimes!$A$3:$A$1118,'3_Comparateur_detaille'!$C$20,Donnees_regimes!$B$3:$B$1118,A30))</f>
        <v/>
      </c>
      <c r="AT30" s="99">
        <f>IF('3_Comparateur_detaille'!$C$20="Privé",0,AQ30*SUMIFS(Donnees_regimes!$L$3:$L$1118,Donnees_regimes!$A$3:$A$1118,'3_Comparateur_detaille'!$C$20,Donnees_regimes!$B$3:$B$1118,A30))</f>
        <v/>
      </c>
      <c r="AU30" s="100">
        <f>(AR30+AS30)/AA30*AI30/AG30</f>
        <v/>
      </c>
      <c r="AV30" s="100">
        <f>(AR30+AS30)/AA30*AJ30/AH30</f>
        <v/>
      </c>
    </row>
    <row r="31">
      <c r="A31" s="88" t="n">
        <v>1973</v>
      </c>
      <c r="B31" s="90" t="inlineStr">
        <is>
          <t>Observé</t>
        </is>
      </c>
      <c r="C31" s="91" t="n">
        <v>7.02553</v>
      </c>
      <c r="D31" s="92" t="n">
        <v>25283.95</v>
      </c>
      <c r="E31" s="92" t="n">
        <v>26218.94</v>
      </c>
      <c r="F31" s="93" t="n">
        <v>0.0472</v>
      </c>
      <c r="G31" s="93" t="n">
        <v>0.0833</v>
      </c>
      <c r="H31" s="93" t="n">
        <v>0.0172</v>
      </c>
      <c r="I31" s="93" t="n">
        <v>0.0258</v>
      </c>
      <c r="J31" s="93" t="n">
        <v>0.0472</v>
      </c>
      <c r="K31" s="93" t="n">
        <v>0.0833</v>
      </c>
      <c r="L31" s="93" t="n">
        <v>0.02</v>
      </c>
      <c r="M31" s="93" t="n">
        <v>0.06</v>
      </c>
      <c r="N31" s="14">
        <f>MIN(D31,E31)*F31+MAX(0,D31-E31)*H31</f>
        <v/>
      </c>
      <c r="O31" s="14">
        <f>MIN(D31,E31)*G31+MAX(0,D31-E31)*I31</f>
        <v/>
      </c>
      <c r="P31" s="14">
        <f>N31+O31</f>
        <v/>
      </c>
      <c r="Q31" s="94">
        <f>P31/D31</f>
        <v/>
      </c>
      <c r="R31" s="14">
        <f>D31+O31</f>
        <v/>
      </c>
      <c r="S31" s="95" t="n">
        <v>40</v>
      </c>
      <c r="T31" s="95" t="n">
        <v>43.26</v>
      </c>
      <c r="U31" s="85" t="n">
        <v>233</v>
      </c>
      <c r="V31" s="96" t="n">
        <v>1864</v>
      </c>
      <c r="W31" s="96" t="n">
        <v>2015.9</v>
      </c>
      <c r="X31" s="92" t="n">
        <v>11744.79</v>
      </c>
      <c r="Y31" s="92" t="n">
        <v>12537.13</v>
      </c>
      <c r="Z31" s="95" t="n">
        <v>17.45</v>
      </c>
      <c r="AA31" s="97">
        <f>C31</f>
        <v/>
      </c>
      <c r="AB31" s="98">
        <f>D31/AA31</f>
        <v/>
      </c>
      <c r="AC31" s="93" t="n">
        <v>-0.031703</v>
      </c>
      <c r="AD31" s="93" t="n">
        <v>-0.074355</v>
      </c>
      <c r="AE31" s="94">
        <f>AC31</f>
        <v/>
      </c>
      <c r="AF31" s="94">
        <f>AD31</f>
        <v/>
      </c>
      <c r="AG31" s="97">
        <f>AG30*(1+AE31)</f>
        <v/>
      </c>
      <c r="AH31" s="97">
        <f>AH30*(1+AF31)</f>
        <v/>
      </c>
      <c r="AI31" s="97">
        <f>IF(AE31=0,1,AE31/(12*((1+AE31)^(1/12)-1)))</f>
        <v/>
      </c>
      <c r="AJ31" s="97">
        <f>IF(AF31=0,1,AF31/(12*((1+AF31)^(1/12)-1)))</f>
        <v/>
      </c>
      <c r="AK31" s="99">
        <f>D31*'3_Comparateur_detaille'!$B$16</f>
        <v/>
      </c>
      <c r="AL31" s="99">
        <f>IF('3_Comparateur_detaille'!$B$20="Privé",MIN(AK31,E31)*IF('3_Comparateur_detaille'!$B$15="cadre",J31,F31)+MAX(0,AK31-E31)*IF('3_Comparateur_detaille'!$B$15="cadre",L31,H31),AK31*SUMIFS(Donnees_regimes!$J$3:$J$1118,Donnees_regimes!$A$3:$A$1118,'3_Comparateur_detaille'!$B$20,Donnees_regimes!$B$3:$B$1118,A31))</f>
        <v/>
      </c>
      <c r="AM31" s="99">
        <f>IF('3_Comparateur_detaille'!$B$20="Privé",MIN(AK31,E31)*IF('3_Comparateur_detaille'!$B$15="cadre",K31,G31)+MAX(0,AK31-E31)*IF('3_Comparateur_detaille'!$B$15="cadre",M31,I31),AK31*SUMIFS(Donnees_regimes!$K$3:$K$1118,Donnees_regimes!$A$3:$A$1118,'3_Comparateur_detaille'!$B$20,Donnees_regimes!$B$3:$B$1118,A31))</f>
        <v/>
      </c>
      <c r="AN31" s="99">
        <f>IF('3_Comparateur_detaille'!$B$20="Privé",0,AK31*SUMIFS(Donnees_regimes!$L$3:$L$1118,Donnees_regimes!$A$3:$A$1118,'3_Comparateur_detaille'!$B$20,Donnees_regimes!$B$3:$B$1118,A31))</f>
        <v/>
      </c>
      <c r="AO31" s="100">
        <f>(AL31+AM31)/AA31*AI31/AG31</f>
        <v/>
      </c>
      <c r="AP31" s="100">
        <f>(AL31+AM31)/AA31*AJ31/AH31</f>
        <v/>
      </c>
      <c r="AQ31" s="99">
        <f>D31*'3_Comparateur_detaille'!$C$16</f>
        <v/>
      </c>
      <c r="AR31" s="99">
        <f>IF('3_Comparateur_detaille'!$C$20="Privé",MIN(AQ31,E31)*IF('3_Comparateur_detaille'!$C$15="cadre",J31,F31)+MAX(0,AQ31-E31)*IF('3_Comparateur_detaille'!$C$15="cadre",L31,H31),AQ31*SUMIFS(Donnees_regimes!$J$3:$J$1118,Donnees_regimes!$A$3:$A$1118,'3_Comparateur_detaille'!$C$20,Donnees_regimes!$B$3:$B$1118,A31))</f>
        <v/>
      </c>
      <c r="AS31" s="99">
        <f>IF('3_Comparateur_detaille'!$C$20="Privé",MIN(AQ31,E31)*IF('3_Comparateur_detaille'!$C$15="cadre",K31,G31)+MAX(0,AQ31-E31)*IF('3_Comparateur_detaille'!$C$15="cadre",M31,I31),AQ31*SUMIFS(Donnees_regimes!$K$3:$K$1118,Donnees_regimes!$A$3:$A$1118,'3_Comparateur_detaille'!$C$20,Donnees_regimes!$B$3:$B$1118,A31))</f>
        <v/>
      </c>
      <c r="AT31" s="99">
        <f>IF('3_Comparateur_detaille'!$C$20="Privé",0,AQ31*SUMIFS(Donnees_regimes!$L$3:$L$1118,Donnees_regimes!$A$3:$A$1118,'3_Comparateur_detaille'!$C$20,Donnees_regimes!$B$3:$B$1118,A31))</f>
        <v/>
      </c>
      <c r="AU31" s="100">
        <f>(AR31+AS31)/AA31*AI31/AG31</f>
        <v/>
      </c>
      <c r="AV31" s="100">
        <f>(AR31+AS31)/AA31*AJ31/AH31</f>
        <v/>
      </c>
    </row>
    <row r="32">
      <c r="A32" s="88" t="n">
        <v>1974</v>
      </c>
      <c r="B32" s="90" t="inlineStr">
        <is>
          <t>Observé</t>
        </is>
      </c>
      <c r="C32" s="91" t="n">
        <v>6.17718</v>
      </c>
      <c r="D32" s="92" t="n">
        <v>26083.39</v>
      </c>
      <c r="E32" s="92" t="n">
        <v>26217.08</v>
      </c>
      <c r="F32" s="93" t="n">
        <v>0.0476</v>
      </c>
      <c r="G32" s="93" t="n">
        <v>0.0989</v>
      </c>
      <c r="H32" s="93" t="n">
        <v>0.0176</v>
      </c>
      <c r="I32" s="93" t="n">
        <v>0.0264</v>
      </c>
      <c r="J32" s="93" t="n">
        <v>0.0476</v>
      </c>
      <c r="K32" s="93" t="n">
        <v>0.0989</v>
      </c>
      <c r="L32" s="93" t="n">
        <v>0.02</v>
      </c>
      <c r="M32" s="93" t="n">
        <v>0.06</v>
      </c>
      <c r="N32" s="14">
        <f>MIN(D32,E32)*F32+MAX(0,D32-E32)*H32</f>
        <v/>
      </c>
      <c r="O32" s="14">
        <f>MIN(D32,E32)*G32+MAX(0,D32-E32)*I32</f>
        <v/>
      </c>
      <c r="P32" s="14">
        <f>N32+O32</f>
        <v/>
      </c>
      <c r="Q32" s="94">
        <f>P32/D32</f>
        <v/>
      </c>
      <c r="R32" s="14">
        <f>D32+O32</f>
        <v/>
      </c>
      <c r="S32" s="95" t="n">
        <v>40</v>
      </c>
      <c r="T32" s="95" t="n">
        <v>42.94</v>
      </c>
      <c r="U32" s="85" t="n">
        <v>232</v>
      </c>
      <c r="V32" s="96" t="n">
        <v>1856</v>
      </c>
      <c r="W32" s="96" t="n">
        <v>1992.4</v>
      </c>
      <c r="X32" s="92" t="n">
        <v>12116.14</v>
      </c>
      <c r="Y32" s="92" t="n">
        <v>12933.54</v>
      </c>
      <c r="Z32" s="95" t="n">
        <v>17.6</v>
      </c>
      <c r="AA32" s="97">
        <f>C32</f>
        <v/>
      </c>
      <c r="AB32" s="98">
        <f>D32/AA32</f>
        <v/>
      </c>
      <c r="AC32" s="93" t="n">
        <v>-0.271349</v>
      </c>
      <c r="AD32" s="93" t="n">
        <v>-0.318644</v>
      </c>
      <c r="AE32" s="94">
        <f>AC32</f>
        <v/>
      </c>
      <c r="AF32" s="94">
        <f>AD32</f>
        <v/>
      </c>
      <c r="AG32" s="97">
        <f>AG31*(1+AE32)</f>
        <v/>
      </c>
      <c r="AH32" s="97">
        <f>AH31*(1+AF32)</f>
        <v/>
      </c>
      <c r="AI32" s="97">
        <f>IF(AE32=0,1,AE32/(12*((1+AE32)^(1/12)-1)))</f>
        <v/>
      </c>
      <c r="AJ32" s="97">
        <f>IF(AF32=0,1,AF32/(12*((1+AF32)^(1/12)-1)))</f>
        <v/>
      </c>
      <c r="AK32" s="99">
        <f>D32*'3_Comparateur_detaille'!$B$16</f>
        <v/>
      </c>
      <c r="AL32" s="99">
        <f>IF('3_Comparateur_detaille'!$B$20="Privé",MIN(AK32,E32)*IF('3_Comparateur_detaille'!$B$15="cadre",J32,F32)+MAX(0,AK32-E32)*IF('3_Comparateur_detaille'!$B$15="cadre",L32,H32),AK32*SUMIFS(Donnees_regimes!$J$3:$J$1118,Donnees_regimes!$A$3:$A$1118,'3_Comparateur_detaille'!$B$20,Donnees_regimes!$B$3:$B$1118,A32))</f>
        <v/>
      </c>
      <c r="AM32" s="99">
        <f>IF('3_Comparateur_detaille'!$B$20="Privé",MIN(AK32,E32)*IF('3_Comparateur_detaille'!$B$15="cadre",K32,G32)+MAX(0,AK32-E32)*IF('3_Comparateur_detaille'!$B$15="cadre",M32,I32),AK32*SUMIFS(Donnees_regimes!$K$3:$K$1118,Donnees_regimes!$A$3:$A$1118,'3_Comparateur_detaille'!$B$20,Donnees_regimes!$B$3:$B$1118,A32))</f>
        <v/>
      </c>
      <c r="AN32" s="99">
        <f>IF('3_Comparateur_detaille'!$B$20="Privé",0,AK32*SUMIFS(Donnees_regimes!$L$3:$L$1118,Donnees_regimes!$A$3:$A$1118,'3_Comparateur_detaille'!$B$20,Donnees_regimes!$B$3:$B$1118,A32))</f>
        <v/>
      </c>
      <c r="AO32" s="100">
        <f>(AL32+AM32)/AA32*AI32/AG32</f>
        <v/>
      </c>
      <c r="AP32" s="100">
        <f>(AL32+AM32)/AA32*AJ32/AH32</f>
        <v/>
      </c>
      <c r="AQ32" s="99">
        <f>D32*'3_Comparateur_detaille'!$C$16</f>
        <v/>
      </c>
      <c r="AR32" s="99">
        <f>IF('3_Comparateur_detaille'!$C$20="Privé",MIN(AQ32,E32)*IF('3_Comparateur_detaille'!$C$15="cadre",J32,F32)+MAX(0,AQ32-E32)*IF('3_Comparateur_detaille'!$C$15="cadre",L32,H32),AQ32*SUMIFS(Donnees_regimes!$J$3:$J$1118,Donnees_regimes!$A$3:$A$1118,'3_Comparateur_detaille'!$C$20,Donnees_regimes!$B$3:$B$1118,A32))</f>
        <v/>
      </c>
      <c r="AS32" s="99">
        <f>IF('3_Comparateur_detaille'!$C$20="Privé",MIN(AQ32,E32)*IF('3_Comparateur_detaille'!$C$15="cadre",K32,G32)+MAX(0,AQ32-E32)*IF('3_Comparateur_detaille'!$C$15="cadre",M32,I32),AQ32*SUMIFS(Donnees_regimes!$K$3:$K$1118,Donnees_regimes!$A$3:$A$1118,'3_Comparateur_detaille'!$C$20,Donnees_regimes!$B$3:$B$1118,A32))</f>
        <v/>
      </c>
      <c r="AT32" s="99">
        <f>IF('3_Comparateur_detaille'!$C$20="Privé",0,AQ32*SUMIFS(Donnees_regimes!$L$3:$L$1118,Donnees_regimes!$A$3:$A$1118,'3_Comparateur_detaille'!$C$20,Donnees_regimes!$B$3:$B$1118,A32))</f>
        <v/>
      </c>
      <c r="AU32" s="100">
        <f>(AR32+AS32)/AA32*AI32/AG32</f>
        <v/>
      </c>
      <c r="AV32" s="100">
        <f>(AR32+AS32)/AA32*AJ32/AH32</f>
        <v/>
      </c>
    </row>
    <row r="33">
      <c r="A33" s="88" t="n">
        <v>1975</v>
      </c>
      <c r="B33" s="90" t="inlineStr">
        <is>
          <t>Observé</t>
        </is>
      </c>
      <c r="C33" s="91" t="n">
        <v>5.5296</v>
      </c>
      <c r="D33" s="92" t="n">
        <v>26818.6</v>
      </c>
      <c r="E33" s="92" t="n">
        <v>27818.44</v>
      </c>
      <c r="F33" s="93" t="n">
        <v>0.0476</v>
      </c>
      <c r="G33" s="93" t="n">
        <v>0.0989</v>
      </c>
      <c r="H33" s="93" t="n">
        <v>0.0176</v>
      </c>
      <c r="I33" s="93" t="n">
        <v>0.0264</v>
      </c>
      <c r="J33" s="93" t="n">
        <v>0.0476</v>
      </c>
      <c r="K33" s="93" t="n">
        <v>0.0989</v>
      </c>
      <c r="L33" s="93" t="n">
        <v>0.02</v>
      </c>
      <c r="M33" s="93" t="n">
        <v>0.06</v>
      </c>
      <c r="N33" s="14">
        <f>MIN(D33,E33)*F33+MAX(0,D33-E33)*H33</f>
        <v/>
      </c>
      <c r="O33" s="14">
        <f>MIN(D33,E33)*G33+MAX(0,D33-E33)*I33</f>
        <v/>
      </c>
      <c r="P33" s="14">
        <f>N33+O33</f>
        <v/>
      </c>
      <c r="Q33" s="94">
        <f>P33/D33</f>
        <v/>
      </c>
      <c r="R33" s="14">
        <f>D33+O33</f>
        <v/>
      </c>
      <c r="S33" s="95" t="n">
        <v>40</v>
      </c>
      <c r="T33" s="95" t="n">
        <v>42.62</v>
      </c>
      <c r="U33" s="85" t="n">
        <v>232</v>
      </c>
      <c r="V33" s="96" t="n">
        <v>1856</v>
      </c>
      <c r="W33" s="96" t="n">
        <v>1977.6</v>
      </c>
      <c r="X33" s="92" t="n">
        <v>12457.66</v>
      </c>
      <c r="Y33" s="92" t="n">
        <v>13298.09</v>
      </c>
      <c r="Z33" s="95" t="n">
        <v>17.75</v>
      </c>
      <c r="AA33" s="97">
        <f>C33</f>
        <v/>
      </c>
      <c r="AB33" s="98">
        <f>D33/AA33</f>
        <v/>
      </c>
      <c r="AC33" s="93" t="n">
        <v>0.319503</v>
      </c>
      <c r="AD33" s="93" t="n">
        <v>0.251408</v>
      </c>
      <c r="AE33" s="94">
        <f>AC33</f>
        <v/>
      </c>
      <c r="AF33" s="94">
        <f>AD33</f>
        <v/>
      </c>
      <c r="AG33" s="97">
        <f>AG32*(1+AE33)</f>
        <v/>
      </c>
      <c r="AH33" s="97">
        <f>AH32*(1+AF33)</f>
        <v/>
      </c>
      <c r="AI33" s="97">
        <f>IF(AE33=0,1,AE33/(12*((1+AE33)^(1/12)-1)))</f>
        <v/>
      </c>
      <c r="AJ33" s="97">
        <f>IF(AF33=0,1,AF33/(12*((1+AF33)^(1/12)-1)))</f>
        <v/>
      </c>
      <c r="AK33" s="99">
        <f>D33*'3_Comparateur_detaille'!$B$16</f>
        <v/>
      </c>
      <c r="AL33" s="99">
        <f>IF('3_Comparateur_detaille'!$B$20="Privé",MIN(AK33,E33)*IF('3_Comparateur_detaille'!$B$15="cadre",J33,F33)+MAX(0,AK33-E33)*IF('3_Comparateur_detaille'!$B$15="cadre",L33,H33),AK33*SUMIFS(Donnees_regimes!$J$3:$J$1118,Donnees_regimes!$A$3:$A$1118,'3_Comparateur_detaille'!$B$20,Donnees_regimes!$B$3:$B$1118,A33))</f>
        <v/>
      </c>
      <c r="AM33" s="99">
        <f>IF('3_Comparateur_detaille'!$B$20="Privé",MIN(AK33,E33)*IF('3_Comparateur_detaille'!$B$15="cadre",K33,G33)+MAX(0,AK33-E33)*IF('3_Comparateur_detaille'!$B$15="cadre",M33,I33),AK33*SUMIFS(Donnees_regimes!$K$3:$K$1118,Donnees_regimes!$A$3:$A$1118,'3_Comparateur_detaille'!$B$20,Donnees_regimes!$B$3:$B$1118,A33))</f>
        <v/>
      </c>
      <c r="AN33" s="99">
        <f>IF('3_Comparateur_detaille'!$B$20="Privé",0,AK33*SUMIFS(Donnees_regimes!$L$3:$L$1118,Donnees_regimes!$A$3:$A$1118,'3_Comparateur_detaille'!$B$20,Donnees_regimes!$B$3:$B$1118,A33))</f>
        <v/>
      </c>
      <c r="AO33" s="100">
        <f>(AL33+AM33)/AA33*AI33/AG33</f>
        <v/>
      </c>
      <c r="AP33" s="100">
        <f>(AL33+AM33)/AA33*AJ33/AH33</f>
        <v/>
      </c>
      <c r="AQ33" s="99">
        <f>D33*'3_Comparateur_detaille'!$C$16</f>
        <v/>
      </c>
      <c r="AR33" s="99">
        <f>IF('3_Comparateur_detaille'!$C$20="Privé",MIN(AQ33,E33)*IF('3_Comparateur_detaille'!$C$15="cadre",J33,F33)+MAX(0,AQ33-E33)*IF('3_Comparateur_detaille'!$C$15="cadre",L33,H33),AQ33*SUMIFS(Donnees_regimes!$J$3:$J$1118,Donnees_regimes!$A$3:$A$1118,'3_Comparateur_detaille'!$C$20,Donnees_regimes!$B$3:$B$1118,A33))</f>
        <v/>
      </c>
      <c r="AS33" s="99">
        <f>IF('3_Comparateur_detaille'!$C$20="Privé",MIN(AQ33,E33)*IF('3_Comparateur_detaille'!$C$15="cadre",K33,G33)+MAX(0,AQ33-E33)*IF('3_Comparateur_detaille'!$C$15="cadre",M33,I33),AQ33*SUMIFS(Donnees_regimes!$K$3:$K$1118,Donnees_regimes!$A$3:$A$1118,'3_Comparateur_detaille'!$C$20,Donnees_regimes!$B$3:$B$1118,A33))</f>
        <v/>
      </c>
      <c r="AT33" s="99">
        <f>IF('3_Comparateur_detaille'!$C$20="Privé",0,AQ33*SUMIFS(Donnees_regimes!$L$3:$L$1118,Donnees_regimes!$A$3:$A$1118,'3_Comparateur_detaille'!$C$20,Donnees_regimes!$B$3:$B$1118,A33))</f>
        <v/>
      </c>
      <c r="AU33" s="100">
        <f>(AR33+AS33)/AA33*AI33/AG33</f>
        <v/>
      </c>
      <c r="AV33" s="100">
        <f>(AR33+AS33)/AA33*AJ33/AH33</f>
        <v/>
      </c>
    </row>
    <row r="34">
      <c r="A34" s="88" t="n">
        <v>1976</v>
      </c>
      <c r="B34" s="90" t="inlineStr">
        <is>
          <t>Observé</t>
        </is>
      </c>
      <c r="C34" s="91" t="n">
        <v>5.0421</v>
      </c>
      <c r="D34" s="92" t="n">
        <v>28628.11</v>
      </c>
      <c r="E34" s="92" t="n">
        <v>29147.72</v>
      </c>
      <c r="F34" s="93" t="n">
        <v>0.050603</v>
      </c>
      <c r="G34" s="93" t="n">
        <v>0.101903</v>
      </c>
      <c r="H34" s="93" t="n">
        <v>0.0176</v>
      </c>
      <c r="I34" s="93" t="n">
        <v>0.0264</v>
      </c>
      <c r="J34" s="93" t="n">
        <v>0.050603</v>
      </c>
      <c r="K34" s="93" t="n">
        <v>0.101903</v>
      </c>
      <c r="L34" s="93" t="n">
        <v>0.02</v>
      </c>
      <c r="M34" s="93" t="n">
        <v>0.06</v>
      </c>
      <c r="N34" s="14">
        <f>MIN(D34,E34)*F34+MAX(0,D34-E34)*H34</f>
        <v/>
      </c>
      <c r="O34" s="14">
        <f>MIN(D34,E34)*G34+MAX(0,D34-E34)*I34</f>
        <v/>
      </c>
      <c r="P34" s="14">
        <f>N34+O34</f>
        <v/>
      </c>
      <c r="Q34" s="94">
        <f>P34/D34</f>
        <v/>
      </c>
      <c r="R34" s="14">
        <f>D34+O34</f>
        <v/>
      </c>
      <c r="S34" s="95" t="n">
        <v>40</v>
      </c>
      <c r="T34" s="95" t="n">
        <v>42.3</v>
      </c>
      <c r="U34" s="85" t="n">
        <v>235</v>
      </c>
      <c r="V34" s="96" t="n">
        <v>1880</v>
      </c>
      <c r="W34" s="96" t="n">
        <v>1988.1</v>
      </c>
      <c r="X34" s="92" t="n">
        <v>13298.2</v>
      </c>
      <c r="Y34" s="92" t="n">
        <v>14195.34</v>
      </c>
      <c r="Z34" s="95" t="n">
        <v>17.9</v>
      </c>
      <c r="AA34" s="97">
        <f>C34</f>
        <v/>
      </c>
      <c r="AB34" s="98">
        <f>D34/AA34</f>
        <v/>
      </c>
      <c r="AC34" s="93" t="n">
        <v>-0.112927</v>
      </c>
      <c r="AD34" s="93" t="n">
        <v>-0.16823</v>
      </c>
      <c r="AE34" s="94">
        <f>AC34</f>
        <v/>
      </c>
      <c r="AF34" s="94">
        <f>AD34</f>
        <v/>
      </c>
      <c r="AG34" s="97">
        <f>AG33*(1+AE34)</f>
        <v/>
      </c>
      <c r="AH34" s="97">
        <f>AH33*(1+AF34)</f>
        <v/>
      </c>
      <c r="AI34" s="97">
        <f>IF(AE34=0,1,AE34/(12*((1+AE34)^(1/12)-1)))</f>
        <v/>
      </c>
      <c r="AJ34" s="97">
        <f>IF(AF34=0,1,AF34/(12*((1+AF34)^(1/12)-1)))</f>
        <v/>
      </c>
      <c r="AK34" s="99">
        <f>D34*'3_Comparateur_detaille'!$B$16</f>
        <v/>
      </c>
      <c r="AL34" s="99">
        <f>IF('3_Comparateur_detaille'!$B$20="Privé",MIN(AK34,E34)*IF('3_Comparateur_detaille'!$B$15="cadre",J34,F34)+MAX(0,AK34-E34)*IF('3_Comparateur_detaille'!$B$15="cadre",L34,H34),AK34*SUMIFS(Donnees_regimes!$J$3:$J$1118,Donnees_regimes!$A$3:$A$1118,'3_Comparateur_detaille'!$B$20,Donnees_regimes!$B$3:$B$1118,A34))</f>
        <v/>
      </c>
      <c r="AM34" s="99">
        <f>IF('3_Comparateur_detaille'!$B$20="Privé",MIN(AK34,E34)*IF('3_Comparateur_detaille'!$B$15="cadre",K34,G34)+MAX(0,AK34-E34)*IF('3_Comparateur_detaille'!$B$15="cadre",M34,I34),AK34*SUMIFS(Donnees_regimes!$K$3:$K$1118,Donnees_regimes!$A$3:$A$1118,'3_Comparateur_detaille'!$B$20,Donnees_regimes!$B$3:$B$1118,A34))</f>
        <v/>
      </c>
      <c r="AN34" s="99">
        <f>IF('3_Comparateur_detaille'!$B$20="Privé",0,AK34*SUMIFS(Donnees_regimes!$L$3:$L$1118,Donnees_regimes!$A$3:$A$1118,'3_Comparateur_detaille'!$B$20,Donnees_regimes!$B$3:$B$1118,A34))</f>
        <v/>
      </c>
      <c r="AO34" s="100">
        <f>(AL34+AM34)/AA34*AI34/AG34</f>
        <v/>
      </c>
      <c r="AP34" s="100">
        <f>(AL34+AM34)/AA34*AJ34/AH34</f>
        <v/>
      </c>
      <c r="AQ34" s="99">
        <f>D34*'3_Comparateur_detaille'!$C$16</f>
        <v/>
      </c>
      <c r="AR34" s="99">
        <f>IF('3_Comparateur_detaille'!$C$20="Privé",MIN(AQ34,E34)*IF('3_Comparateur_detaille'!$C$15="cadre",J34,F34)+MAX(0,AQ34-E34)*IF('3_Comparateur_detaille'!$C$15="cadre",L34,H34),AQ34*SUMIFS(Donnees_regimes!$J$3:$J$1118,Donnees_regimes!$A$3:$A$1118,'3_Comparateur_detaille'!$C$20,Donnees_regimes!$B$3:$B$1118,A34))</f>
        <v/>
      </c>
      <c r="AS34" s="99">
        <f>IF('3_Comparateur_detaille'!$C$20="Privé",MIN(AQ34,E34)*IF('3_Comparateur_detaille'!$C$15="cadre",K34,G34)+MAX(0,AQ34-E34)*IF('3_Comparateur_detaille'!$C$15="cadre",M34,I34),AQ34*SUMIFS(Donnees_regimes!$K$3:$K$1118,Donnees_regimes!$A$3:$A$1118,'3_Comparateur_detaille'!$C$20,Donnees_regimes!$B$3:$B$1118,A34))</f>
        <v/>
      </c>
      <c r="AT34" s="99">
        <f>IF('3_Comparateur_detaille'!$C$20="Privé",0,AQ34*SUMIFS(Donnees_regimes!$L$3:$L$1118,Donnees_regimes!$A$3:$A$1118,'3_Comparateur_detaille'!$C$20,Donnees_regimes!$B$3:$B$1118,A34))</f>
        <v/>
      </c>
      <c r="AU34" s="100">
        <f>(AR34+AS34)/AA34*AI34/AG34</f>
        <v/>
      </c>
      <c r="AV34" s="100">
        <f>(AR34+AS34)/AA34*AJ34/AH34</f>
        <v/>
      </c>
    </row>
    <row r="35">
      <c r="A35" s="88" t="n">
        <v>1977</v>
      </c>
      <c r="B35" s="90" t="inlineStr">
        <is>
          <t>Observé</t>
        </is>
      </c>
      <c r="C35" s="91" t="n">
        <v>4.61051</v>
      </c>
      <c r="D35" s="92" t="n">
        <v>29033.11</v>
      </c>
      <c r="E35" s="92" t="n">
        <v>30448.2</v>
      </c>
      <c r="F35" s="93" t="n">
        <v>0.0521</v>
      </c>
      <c r="G35" s="93" t="n">
        <v>0.1034</v>
      </c>
      <c r="H35" s="93" t="n">
        <v>0.0176</v>
      </c>
      <c r="I35" s="93" t="n">
        <v>0.0264</v>
      </c>
      <c r="J35" s="93" t="n">
        <v>0.0521</v>
      </c>
      <c r="K35" s="93" t="n">
        <v>0.1034</v>
      </c>
      <c r="L35" s="93" t="n">
        <v>0.02</v>
      </c>
      <c r="M35" s="93" t="n">
        <v>0.06</v>
      </c>
      <c r="N35" s="14">
        <f>MIN(D35,E35)*F35+MAX(0,D35-E35)*H35</f>
        <v/>
      </c>
      <c r="O35" s="14">
        <f>MIN(D35,E35)*G35+MAX(0,D35-E35)*I35</f>
        <v/>
      </c>
      <c r="P35" s="14">
        <f>N35+O35</f>
        <v/>
      </c>
      <c r="Q35" s="94">
        <f>P35/D35</f>
        <v/>
      </c>
      <c r="R35" s="14">
        <f>D35+O35</f>
        <v/>
      </c>
      <c r="S35" s="95" t="n">
        <v>40</v>
      </c>
      <c r="T35" s="95" t="n">
        <v>41.98</v>
      </c>
      <c r="U35" s="85" t="n">
        <v>233</v>
      </c>
      <c r="V35" s="96" t="n">
        <v>1864</v>
      </c>
      <c r="W35" s="96" t="n">
        <v>1956.3</v>
      </c>
      <c r="X35" s="92" t="n">
        <v>13486.33</v>
      </c>
      <c r="Y35" s="92" t="n">
        <v>14396.16</v>
      </c>
      <c r="Z35" s="95" t="n">
        <v>18.05</v>
      </c>
      <c r="AA35" s="97">
        <f>C35</f>
        <v/>
      </c>
      <c r="AB35" s="98">
        <f>D35/AA35</f>
        <v/>
      </c>
      <c r="AC35" s="93" t="n">
        <v>-0.16803</v>
      </c>
      <c r="AD35" s="93" t="n">
        <v>-0.22418</v>
      </c>
      <c r="AE35" s="94">
        <f>AC35</f>
        <v/>
      </c>
      <c r="AF35" s="94">
        <f>AD35</f>
        <v/>
      </c>
      <c r="AG35" s="97">
        <f>AG34*(1+AE35)</f>
        <v/>
      </c>
      <c r="AH35" s="97">
        <f>AH34*(1+AF35)</f>
        <v/>
      </c>
      <c r="AI35" s="97">
        <f>IF(AE35=0,1,AE35/(12*((1+AE35)^(1/12)-1)))</f>
        <v/>
      </c>
      <c r="AJ35" s="97">
        <f>IF(AF35=0,1,AF35/(12*((1+AF35)^(1/12)-1)))</f>
        <v/>
      </c>
      <c r="AK35" s="99">
        <f>D35*'3_Comparateur_detaille'!$B$16</f>
        <v/>
      </c>
      <c r="AL35" s="99">
        <f>IF('3_Comparateur_detaille'!$B$20="Privé",MIN(AK35,E35)*IF('3_Comparateur_detaille'!$B$15="cadre",J35,F35)+MAX(0,AK35-E35)*IF('3_Comparateur_detaille'!$B$15="cadre",L35,H35),AK35*SUMIFS(Donnees_regimes!$J$3:$J$1118,Donnees_regimes!$A$3:$A$1118,'3_Comparateur_detaille'!$B$20,Donnees_regimes!$B$3:$B$1118,A35))</f>
        <v/>
      </c>
      <c r="AM35" s="99">
        <f>IF('3_Comparateur_detaille'!$B$20="Privé",MIN(AK35,E35)*IF('3_Comparateur_detaille'!$B$15="cadre",K35,G35)+MAX(0,AK35-E35)*IF('3_Comparateur_detaille'!$B$15="cadre",M35,I35),AK35*SUMIFS(Donnees_regimes!$K$3:$K$1118,Donnees_regimes!$A$3:$A$1118,'3_Comparateur_detaille'!$B$20,Donnees_regimes!$B$3:$B$1118,A35))</f>
        <v/>
      </c>
      <c r="AN35" s="99">
        <f>IF('3_Comparateur_detaille'!$B$20="Privé",0,AK35*SUMIFS(Donnees_regimes!$L$3:$L$1118,Donnees_regimes!$A$3:$A$1118,'3_Comparateur_detaille'!$B$20,Donnees_regimes!$B$3:$B$1118,A35))</f>
        <v/>
      </c>
      <c r="AO35" s="100">
        <f>(AL35+AM35)/AA35*AI35/AG35</f>
        <v/>
      </c>
      <c r="AP35" s="100">
        <f>(AL35+AM35)/AA35*AJ35/AH35</f>
        <v/>
      </c>
      <c r="AQ35" s="99">
        <f>D35*'3_Comparateur_detaille'!$C$16</f>
        <v/>
      </c>
      <c r="AR35" s="99">
        <f>IF('3_Comparateur_detaille'!$C$20="Privé",MIN(AQ35,E35)*IF('3_Comparateur_detaille'!$C$15="cadre",J35,F35)+MAX(0,AQ35-E35)*IF('3_Comparateur_detaille'!$C$15="cadre",L35,H35),AQ35*SUMIFS(Donnees_regimes!$J$3:$J$1118,Donnees_regimes!$A$3:$A$1118,'3_Comparateur_detaille'!$C$20,Donnees_regimes!$B$3:$B$1118,A35))</f>
        <v/>
      </c>
      <c r="AS35" s="99">
        <f>IF('3_Comparateur_detaille'!$C$20="Privé",MIN(AQ35,E35)*IF('3_Comparateur_detaille'!$C$15="cadre",K35,G35)+MAX(0,AQ35-E35)*IF('3_Comparateur_detaille'!$C$15="cadre",M35,I35),AQ35*SUMIFS(Donnees_regimes!$K$3:$K$1118,Donnees_regimes!$A$3:$A$1118,'3_Comparateur_detaille'!$C$20,Donnees_regimes!$B$3:$B$1118,A35))</f>
        <v/>
      </c>
      <c r="AT35" s="99">
        <f>IF('3_Comparateur_detaille'!$C$20="Privé",0,AQ35*SUMIFS(Donnees_regimes!$L$3:$L$1118,Donnees_regimes!$A$3:$A$1118,'3_Comparateur_detaille'!$C$20,Donnees_regimes!$B$3:$B$1118,A35))</f>
        <v/>
      </c>
      <c r="AU35" s="100">
        <f>(AR35+AS35)/AA35*AI35/AG35</f>
        <v/>
      </c>
      <c r="AV35" s="100">
        <f>(AR35+AS35)/AA35*AJ35/AH35</f>
        <v/>
      </c>
    </row>
    <row r="36">
      <c r="A36" s="88" t="n">
        <v>1978</v>
      </c>
      <c r="B36" s="90" t="inlineStr">
        <is>
          <t>Observé</t>
        </is>
      </c>
      <c r="C36" s="91" t="n">
        <v>4.22757</v>
      </c>
      <c r="D36" s="92" t="n">
        <v>30186.38</v>
      </c>
      <c r="E36" s="92" t="n">
        <v>30935.49</v>
      </c>
      <c r="F36" s="93" t="n">
        <v>0.0521</v>
      </c>
      <c r="G36" s="93" t="n">
        <v>0.1034</v>
      </c>
      <c r="H36" s="93" t="n">
        <v>0.0176</v>
      </c>
      <c r="I36" s="93" t="n">
        <v>0.0264</v>
      </c>
      <c r="J36" s="93" t="n">
        <v>0.0521</v>
      </c>
      <c r="K36" s="93" t="n">
        <v>0.1034</v>
      </c>
      <c r="L36" s="93" t="n">
        <v>0.02</v>
      </c>
      <c r="M36" s="93" t="n">
        <v>0.06</v>
      </c>
      <c r="N36" s="14">
        <f>MIN(D36,E36)*F36+MAX(0,D36-E36)*H36</f>
        <v/>
      </c>
      <c r="O36" s="14">
        <f>MIN(D36,E36)*G36+MAX(0,D36-E36)*I36</f>
        <v/>
      </c>
      <c r="P36" s="14">
        <f>N36+O36</f>
        <v/>
      </c>
      <c r="Q36" s="94">
        <f>P36/D36</f>
        <v/>
      </c>
      <c r="R36" s="14">
        <f>D36+O36</f>
        <v/>
      </c>
      <c r="S36" s="95" t="n">
        <v>40</v>
      </c>
      <c r="T36" s="95" t="n">
        <v>41.66</v>
      </c>
      <c r="U36" s="85" t="n">
        <v>232</v>
      </c>
      <c r="V36" s="96" t="n">
        <v>1856</v>
      </c>
      <c r="W36" s="96" t="n">
        <v>1933</v>
      </c>
      <c r="X36" s="92" t="n">
        <v>14022.04</v>
      </c>
      <c r="Y36" s="92" t="n">
        <v>14968.02</v>
      </c>
      <c r="Z36" s="95" t="n">
        <v>18.2</v>
      </c>
      <c r="AA36" s="97">
        <f>C36</f>
        <v/>
      </c>
      <c r="AB36" s="98">
        <f>D36/AA36</f>
        <v/>
      </c>
      <c r="AC36" s="93" t="n">
        <v>0.6209440000000001</v>
      </c>
      <c r="AD36" s="93" t="n">
        <v>0.538457</v>
      </c>
      <c r="AE36" s="94">
        <f>AC36</f>
        <v/>
      </c>
      <c r="AF36" s="94">
        <f>AD36</f>
        <v/>
      </c>
      <c r="AG36" s="97">
        <f>AG35*(1+AE36)</f>
        <v/>
      </c>
      <c r="AH36" s="97">
        <f>AH35*(1+AF36)</f>
        <v/>
      </c>
      <c r="AI36" s="97">
        <f>IF(AE36=0,1,AE36/(12*((1+AE36)^(1/12)-1)))</f>
        <v/>
      </c>
      <c r="AJ36" s="97">
        <f>IF(AF36=0,1,AF36/(12*((1+AF36)^(1/12)-1)))</f>
        <v/>
      </c>
      <c r="AK36" s="99">
        <f>D36*'3_Comparateur_detaille'!$B$16</f>
        <v/>
      </c>
      <c r="AL36" s="99">
        <f>IF('3_Comparateur_detaille'!$B$20="Privé",MIN(AK36,E36)*IF('3_Comparateur_detaille'!$B$15="cadre",J36,F36)+MAX(0,AK36-E36)*IF('3_Comparateur_detaille'!$B$15="cadre",L36,H36),AK36*SUMIFS(Donnees_regimes!$J$3:$J$1118,Donnees_regimes!$A$3:$A$1118,'3_Comparateur_detaille'!$B$20,Donnees_regimes!$B$3:$B$1118,A36))</f>
        <v/>
      </c>
      <c r="AM36" s="99">
        <f>IF('3_Comparateur_detaille'!$B$20="Privé",MIN(AK36,E36)*IF('3_Comparateur_detaille'!$B$15="cadre",K36,G36)+MAX(0,AK36-E36)*IF('3_Comparateur_detaille'!$B$15="cadre",M36,I36),AK36*SUMIFS(Donnees_regimes!$K$3:$K$1118,Donnees_regimes!$A$3:$A$1118,'3_Comparateur_detaille'!$B$20,Donnees_regimes!$B$3:$B$1118,A36))</f>
        <v/>
      </c>
      <c r="AN36" s="99">
        <f>IF('3_Comparateur_detaille'!$B$20="Privé",0,AK36*SUMIFS(Donnees_regimes!$L$3:$L$1118,Donnees_regimes!$A$3:$A$1118,'3_Comparateur_detaille'!$B$20,Donnees_regimes!$B$3:$B$1118,A36))</f>
        <v/>
      </c>
      <c r="AO36" s="100">
        <f>(AL36+AM36)/AA36*AI36/AG36</f>
        <v/>
      </c>
      <c r="AP36" s="100">
        <f>(AL36+AM36)/AA36*AJ36/AH36</f>
        <v/>
      </c>
      <c r="AQ36" s="99">
        <f>D36*'3_Comparateur_detaille'!$C$16</f>
        <v/>
      </c>
      <c r="AR36" s="99">
        <f>IF('3_Comparateur_detaille'!$C$20="Privé",MIN(AQ36,E36)*IF('3_Comparateur_detaille'!$C$15="cadre",J36,F36)+MAX(0,AQ36-E36)*IF('3_Comparateur_detaille'!$C$15="cadre",L36,H36),AQ36*SUMIFS(Donnees_regimes!$J$3:$J$1118,Donnees_regimes!$A$3:$A$1118,'3_Comparateur_detaille'!$C$20,Donnees_regimes!$B$3:$B$1118,A36))</f>
        <v/>
      </c>
      <c r="AS36" s="99">
        <f>IF('3_Comparateur_detaille'!$C$20="Privé",MIN(AQ36,E36)*IF('3_Comparateur_detaille'!$C$15="cadre",K36,G36)+MAX(0,AQ36-E36)*IF('3_Comparateur_detaille'!$C$15="cadre",M36,I36),AQ36*SUMIFS(Donnees_regimes!$K$3:$K$1118,Donnees_regimes!$A$3:$A$1118,'3_Comparateur_detaille'!$C$20,Donnees_regimes!$B$3:$B$1118,A36))</f>
        <v/>
      </c>
      <c r="AT36" s="99">
        <f>IF('3_Comparateur_detaille'!$C$20="Privé",0,AQ36*SUMIFS(Donnees_regimes!$L$3:$L$1118,Donnees_regimes!$A$3:$A$1118,'3_Comparateur_detaille'!$C$20,Donnees_regimes!$B$3:$B$1118,A36))</f>
        <v/>
      </c>
      <c r="AU36" s="100">
        <f>(AR36+AS36)/AA36*AI36/AG36</f>
        <v/>
      </c>
      <c r="AV36" s="100">
        <f>(AR36+AS36)/AA36*AJ36/AH36</f>
        <v/>
      </c>
    </row>
    <row r="37">
      <c r="A37" s="88" t="n">
        <v>1979</v>
      </c>
      <c r="B37" s="90" t="inlineStr">
        <is>
          <t>Observé</t>
        </is>
      </c>
      <c r="C37" s="91" t="n">
        <v>3.81702</v>
      </c>
      <c r="D37" s="92" t="n">
        <v>30235.48</v>
      </c>
      <c r="E37" s="92" t="n">
        <v>31213.21</v>
      </c>
      <c r="F37" s="93" t="n">
        <v>0.0646</v>
      </c>
      <c r="G37" s="93" t="n">
        <v>0.1084</v>
      </c>
      <c r="H37" s="93" t="n">
        <v>0.0176</v>
      </c>
      <c r="I37" s="93" t="n">
        <v>0.0264</v>
      </c>
      <c r="J37" s="93" t="n">
        <v>0.0646</v>
      </c>
      <c r="K37" s="93" t="n">
        <v>0.1084</v>
      </c>
      <c r="L37" s="93" t="n">
        <v>0.0206</v>
      </c>
      <c r="M37" s="93" t="n">
        <v>0.0618</v>
      </c>
      <c r="N37" s="14">
        <f>MIN(D37,E37)*F37+MAX(0,D37-E37)*H37</f>
        <v/>
      </c>
      <c r="O37" s="14">
        <f>MIN(D37,E37)*G37+MAX(0,D37-E37)*I37</f>
        <v/>
      </c>
      <c r="P37" s="14">
        <f>N37+O37</f>
        <v/>
      </c>
      <c r="Q37" s="94">
        <f>P37/D37</f>
        <v/>
      </c>
      <c r="R37" s="14">
        <f>D37+O37</f>
        <v/>
      </c>
      <c r="S37" s="95" t="n">
        <v>40</v>
      </c>
      <c r="T37" s="95" t="n">
        <v>41.34</v>
      </c>
      <c r="U37" s="85" t="n">
        <v>233</v>
      </c>
      <c r="V37" s="96" t="n">
        <v>1864</v>
      </c>
      <c r="W37" s="96" t="n">
        <v>1926.4</v>
      </c>
      <c r="X37" s="92" t="n">
        <v>14044.85</v>
      </c>
      <c r="Y37" s="92" t="n">
        <v>14992.36</v>
      </c>
      <c r="Z37" s="95" t="n">
        <v>18.35</v>
      </c>
      <c r="AA37" s="97">
        <f>C37</f>
        <v/>
      </c>
      <c r="AB37" s="98">
        <f>D37/AA37</f>
        <v/>
      </c>
      <c r="AC37" s="93" t="n">
        <v>0.090084</v>
      </c>
      <c r="AD37" s="93" t="n">
        <v>0.040268</v>
      </c>
      <c r="AE37" s="94">
        <f>AC37</f>
        <v/>
      </c>
      <c r="AF37" s="94">
        <f>AD37</f>
        <v/>
      </c>
      <c r="AG37" s="97">
        <f>AG36*(1+AE37)</f>
        <v/>
      </c>
      <c r="AH37" s="97">
        <f>AH36*(1+AF37)</f>
        <v/>
      </c>
      <c r="AI37" s="97">
        <f>IF(AE37=0,1,AE37/(12*((1+AE37)^(1/12)-1)))</f>
        <v/>
      </c>
      <c r="AJ37" s="97">
        <f>IF(AF37=0,1,AF37/(12*((1+AF37)^(1/12)-1)))</f>
        <v/>
      </c>
      <c r="AK37" s="99">
        <f>D37*'3_Comparateur_detaille'!$B$16</f>
        <v/>
      </c>
      <c r="AL37" s="99">
        <f>IF('3_Comparateur_detaille'!$B$20="Privé",MIN(AK37,E37)*IF('3_Comparateur_detaille'!$B$15="cadre",J37,F37)+MAX(0,AK37-E37)*IF('3_Comparateur_detaille'!$B$15="cadre",L37,H37),AK37*SUMIFS(Donnees_regimes!$J$3:$J$1118,Donnees_regimes!$A$3:$A$1118,'3_Comparateur_detaille'!$B$20,Donnees_regimes!$B$3:$B$1118,A37))</f>
        <v/>
      </c>
      <c r="AM37" s="99">
        <f>IF('3_Comparateur_detaille'!$B$20="Privé",MIN(AK37,E37)*IF('3_Comparateur_detaille'!$B$15="cadre",K37,G37)+MAX(0,AK37-E37)*IF('3_Comparateur_detaille'!$B$15="cadre",M37,I37),AK37*SUMIFS(Donnees_regimes!$K$3:$K$1118,Donnees_regimes!$A$3:$A$1118,'3_Comparateur_detaille'!$B$20,Donnees_regimes!$B$3:$B$1118,A37))</f>
        <v/>
      </c>
      <c r="AN37" s="99">
        <f>IF('3_Comparateur_detaille'!$B$20="Privé",0,AK37*SUMIFS(Donnees_regimes!$L$3:$L$1118,Donnees_regimes!$A$3:$A$1118,'3_Comparateur_detaille'!$B$20,Donnees_regimes!$B$3:$B$1118,A37))</f>
        <v/>
      </c>
      <c r="AO37" s="100">
        <f>(AL37+AM37)/AA37*AI37/AG37</f>
        <v/>
      </c>
      <c r="AP37" s="100">
        <f>(AL37+AM37)/AA37*AJ37/AH37</f>
        <v/>
      </c>
      <c r="AQ37" s="99">
        <f>D37*'3_Comparateur_detaille'!$C$16</f>
        <v/>
      </c>
      <c r="AR37" s="99">
        <f>IF('3_Comparateur_detaille'!$C$20="Privé",MIN(AQ37,E37)*IF('3_Comparateur_detaille'!$C$15="cadre",J37,F37)+MAX(0,AQ37-E37)*IF('3_Comparateur_detaille'!$C$15="cadre",L37,H37),AQ37*SUMIFS(Donnees_regimes!$J$3:$J$1118,Donnees_regimes!$A$3:$A$1118,'3_Comparateur_detaille'!$C$20,Donnees_regimes!$B$3:$B$1118,A37))</f>
        <v/>
      </c>
      <c r="AS37" s="99">
        <f>IF('3_Comparateur_detaille'!$C$20="Privé",MIN(AQ37,E37)*IF('3_Comparateur_detaille'!$C$15="cadre",K37,G37)+MAX(0,AQ37-E37)*IF('3_Comparateur_detaille'!$C$15="cadre",M37,I37),AQ37*SUMIFS(Donnees_regimes!$K$3:$K$1118,Donnees_regimes!$A$3:$A$1118,'3_Comparateur_detaille'!$C$20,Donnees_regimes!$B$3:$B$1118,A37))</f>
        <v/>
      </c>
      <c r="AT37" s="99">
        <f>IF('3_Comparateur_detaille'!$C$20="Privé",0,AQ37*SUMIFS(Donnees_regimes!$L$3:$L$1118,Donnees_regimes!$A$3:$A$1118,'3_Comparateur_detaille'!$C$20,Donnees_regimes!$B$3:$B$1118,A37))</f>
        <v/>
      </c>
      <c r="AU37" s="100">
        <f>(AR37+AS37)/AA37*AI37/AG37</f>
        <v/>
      </c>
      <c r="AV37" s="100">
        <f>(AR37+AS37)/AA37*AJ37/AH37</f>
        <v/>
      </c>
    </row>
    <row r="38">
      <c r="A38" s="88" t="n">
        <v>1980</v>
      </c>
      <c r="B38" s="90" t="inlineStr">
        <is>
          <t>Observé</t>
        </is>
      </c>
      <c r="C38" s="91" t="n">
        <v>3.36196</v>
      </c>
      <c r="D38" s="92" t="n">
        <v>30539.04</v>
      </c>
      <c r="E38" s="92" t="n">
        <v>30813.09</v>
      </c>
      <c r="F38" s="93" t="n">
        <v>0.0646</v>
      </c>
      <c r="G38" s="93" t="n">
        <v>0.1084</v>
      </c>
      <c r="H38" s="93" t="n">
        <v>0.0176</v>
      </c>
      <c r="I38" s="93" t="n">
        <v>0.0264</v>
      </c>
      <c r="J38" s="93" t="n">
        <v>0.0646</v>
      </c>
      <c r="K38" s="93" t="n">
        <v>0.1084</v>
      </c>
      <c r="L38" s="93" t="n">
        <v>0.0206</v>
      </c>
      <c r="M38" s="93" t="n">
        <v>0.0618</v>
      </c>
      <c r="N38" s="14">
        <f>MIN(D38,E38)*F38+MAX(0,D38-E38)*H38</f>
        <v/>
      </c>
      <c r="O38" s="14">
        <f>MIN(D38,E38)*G38+MAX(0,D38-E38)*I38</f>
        <v/>
      </c>
      <c r="P38" s="14">
        <f>N38+O38</f>
        <v/>
      </c>
      <c r="Q38" s="94">
        <f>P38/D38</f>
        <v/>
      </c>
      <c r="R38" s="14">
        <f>D38+O38</f>
        <v/>
      </c>
      <c r="S38" s="95" t="n">
        <v>40</v>
      </c>
      <c r="T38" s="95" t="n">
        <v>41.02</v>
      </c>
      <c r="U38" s="85" t="n">
        <v>233</v>
      </c>
      <c r="V38" s="96" t="n">
        <v>1864</v>
      </c>
      <c r="W38" s="96" t="n">
        <v>1911.5</v>
      </c>
      <c r="X38" s="92" t="n">
        <v>14185.86</v>
      </c>
      <c r="Y38" s="92" t="n">
        <v>15142.89</v>
      </c>
      <c r="Z38" s="95" t="n">
        <v>18.5</v>
      </c>
      <c r="AA38" s="97">
        <f>C38</f>
        <v/>
      </c>
      <c r="AB38" s="98">
        <f>D38/AA38</f>
        <v/>
      </c>
      <c r="AC38" s="93" t="n">
        <v>0.08802500000000001</v>
      </c>
      <c r="AD38" s="93" t="n">
        <v>0.031846</v>
      </c>
      <c r="AE38" s="94">
        <f>AC38</f>
        <v/>
      </c>
      <c r="AF38" s="94">
        <f>AD38</f>
        <v/>
      </c>
      <c r="AG38" s="97">
        <f>AG37*(1+AE38)</f>
        <v/>
      </c>
      <c r="AH38" s="97">
        <f>AH37*(1+AF38)</f>
        <v/>
      </c>
      <c r="AI38" s="97">
        <f>IF(AE38=0,1,AE38/(12*((1+AE38)^(1/12)-1)))</f>
        <v/>
      </c>
      <c r="AJ38" s="97">
        <f>IF(AF38=0,1,AF38/(12*((1+AF38)^(1/12)-1)))</f>
        <v/>
      </c>
      <c r="AK38" s="99">
        <f>D38*'3_Comparateur_detaille'!$B$16</f>
        <v/>
      </c>
      <c r="AL38" s="99">
        <f>IF('3_Comparateur_detaille'!$B$20="Privé",MIN(AK38,E38)*IF('3_Comparateur_detaille'!$B$15="cadre",J38,F38)+MAX(0,AK38-E38)*IF('3_Comparateur_detaille'!$B$15="cadre",L38,H38),AK38*SUMIFS(Donnees_regimes!$J$3:$J$1118,Donnees_regimes!$A$3:$A$1118,'3_Comparateur_detaille'!$B$20,Donnees_regimes!$B$3:$B$1118,A38))</f>
        <v/>
      </c>
      <c r="AM38" s="99">
        <f>IF('3_Comparateur_detaille'!$B$20="Privé",MIN(AK38,E38)*IF('3_Comparateur_detaille'!$B$15="cadre",K38,G38)+MAX(0,AK38-E38)*IF('3_Comparateur_detaille'!$B$15="cadre",M38,I38),AK38*SUMIFS(Donnees_regimes!$K$3:$K$1118,Donnees_regimes!$A$3:$A$1118,'3_Comparateur_detaille'!$B$20,Donnees_regimes!$B$3:$B$1118,A38))</f>
        <v/>
      </c>
      <c r="AN38" s="99">
        <f>IF('3_Comparateur_detaille'!$B$20="Privé",0,AK38*SUMIFS(Donnees_regimes!$L$3:$L$1118,Donnees_regimes!$A$3:$A$1118,'3_Comparateur_detaille'!$B$20,Donnees_regimes!$B$3:$B$1118,A38))</f>
        <v/>
      </c>
      <c r="AO38" s="100">
        <f>(AL38+AM38)/AA38*AI38/AG38</f>
        <v/>
      </c>
      <c r="AP38" s="100">
        <f>(AL38+AM38)/AA38*AJ38/AH38</f>
        <v/>
      </c>
      <c r="AQ38" s="99">
        <f>D38*'3_Comparateur_detaille'!$C$16</f>
        <v/>
      </c>
      <c r="AR38" s="99">
        <f>IF('3_Comparateur_detaille'!$C$20="Privé",MIN(AQ38,E38)*IF('3_Comparateur_detaille'!$C$15="cadre",J38,F38)+MAX(0,AQ38-E38)*IF('3_Comparateur_detaille'!$C$15="cadre",L38,H38),AQ38*SUMIFS(Donnees_regimes!$J$3:$J$1118,Donnees_regimes!$A$3:$A$1118,'3_Comparateur_detaille'!$C$20,Donnees_regimes!$B$3:$B$1118,A38))</f>
        <v/>
      </c>
      <c r="AS38" s="99">
        <f>IF('3_Comparateur_detaille'!$C$20="Privé",MIN(AQ38,E38)*IF('3_Comparateur_detaille'!$C$15="cadre",K38,G38)+MAX(0,AQ38-E38)*IF('3_Comparateur_detaille'!$C$15="cadre",M38,I38),AQ38*SUMIFS(Donnees_regimes!$K$3:$K$1118,Donnees_regimes!$A$3:$A$1118,'3_Comparateur_detaille'!$C$20,Donnees_regimes!$B$3:$B$1118,A38))</f>
        <v/>
      </c>
      <c r="AT38" s="99">
        <f>IF('3_Comparateur_detaille'!$C$20="Privé",0,AQ38*SUMIFS(Donnees_regimes!$L$3:$L$1118,Donnees_regimes!$A$3:$A$1118,'3_Comparateur_detaille'!$C$20,Donnees_regimes!$B$3:$B$1118,A38))</f>
        <v/>
      </c>
      <c r="AU38" s="100">
        <f>(AR38+AS38)/AA38*AI38/AG38</f>
        <v/>
      </c>
      <c r="AV38" s="100">
        <f>(AR38+AS38)/AA38*AJ38/AH38</f>
        <v/>
      </c>
    </row>
    <row r="39">
      <c r="A39" s="88" t="n">
        <v>1981</v>
      </c>
      <c r="B39" s="90" t="inlineStr">
        <is>
          <t>Observé</t>
        </is>
      </c>
      <c r="C39" s="91" t="n">
        <v>2.96447</v>
      </c>
      <c r="D39" s="92" t="n">
        <v>30509.23</v>
      </c>
      <c r="E39" s="92" t="n">
        <v>31074.76</v>
      </c>
      <c r="F39" s="93" t="n">
        <v>0.06560000000000001</v>
      </c>
      <c r="G39" s="93" t="n">
        <v>0.1084</v>
      </c>
      <c r="H39" s="93" t="n">
        <v>0.0176</v>
      </c>
      <c r="I39" s="93" t="n">
        <v>0.0264</v>
      </c>
      <c r="J39" s="93" t="n">
        <v>0.06560000000000001</v>
      </c>
      <c r="K39" s="93" t="n">
        <v>0.1084</v>
      </c>
      <c r="L39" s="93" t="n">
        <v>0.0206</v>
      </c>
      <c r="M39" s="93" t="n">
        <v>0.0618</v>
      </c>
      <c r="N39" s="14">
        <f>MIN(D39,E39)*F39+MAX(0,D39-E39)*H39</f>
        <v/>
      </c>
      <c r="O39" s="14">
        <f>MIN(D39,E39)*G39+MAX(0,D39-E39)*I39</f>
        <v/>
      </c>
      <c r="P39" s="14">
        <f>N39+O39</f>
        <v/>
      </c>
      <c r="Q39" s="94">
        <f>P39/D39</f>
        <v/>
      </c>
      <c r="R39" s="14">
        <f>D39+O39</f>
        <v/>
      </c>
      <c r="S39" s="95" t="n">
        <v>40</v>
      </c>
      <c r="T39" s="95" t="n">
        <v>40.7</v>
      </c>
      <c r="U39" s="85" t="n">
        <v>233</v>
      </c>
      <c r="V39" s="96" t="n">
        <v>1864</v>
      </c>
      <c r="W39" s="96" t="n">
        <v>1896.6</v>
      </c>
      <c r="X39" s="92" t="n">
        <v>14172.01</v>
      </c>
      <c r="Y39" s="92" t="n">
        <v>15128.1</v>
      </c>
      <c r="Z39" s="95" t="n">
        <v>18.65</v>
      </c>
      <c r="AA39" s="97">
        <f>C39</f>
        <v/>
      </c>
      <c r="AB39" s="98">
        <f>D39/AA39</f>
        <v/>
      </c>
      <c r="AC39" s="93" t="n">
        <v>-0.111612</v>
      </c>
      <c r="AD39" s="93" t="n">
        <v>-0.173206</v>
      </c>
      <c r="AE39" s="94">
        <f>AC39</f>
        <v/>
      </c>
      <c r="AF39" s="94">
        <f>AD39</f>
        <v/>
      </c>
      <c r="AG39" s="97">
        <f>AG38*(1+AE39)</f>
        <v/>
      </c>
      <c r="AH39" s="97">
        <f>AH38*(1+AF39)</f>
        <v/>
      </c>
      <c r="AI39" s="97">
        <f>IF(AE39=0,1,AE39/(12*((1+AE39)^(1/12)-1)))</f>
        <v/>
      </c>
      <c r="AJ39" s="97">
        <f>IF(AF39=0,1,AF39/(12*((1+AF39)^(1/12)-1)))</f>
        <v/>
      </c>
      <c r="AK39" s="99">
        <f>D39*'3_Comparateur_detaille'!$B$16</f>
        <v/>
      </c>
      <c r="AL39" s="99">
        <f>IF('3_Comparateur_detaille'!$B$20="Privé",MIN(AK39,E39)*IF('3_Comparateur_detaille'!$B$15="cadre",J39,F39)+MAX(0,AK39-E39)*IF('3_Comparateur_detaille'!$B$15="cadre",L39,H39),AK39*SUMIFS(Donnees_regimes!$J$3:$J$1118,Donnees_regimes!$A$3:$A$1118,'3_Comparateur_detaille'!$B$20,Donnees_regimes!$B$3:$B$1118,A39))</f>
        <v/>
      </c>
      <c r="AM39" s="99">
        <f>IF('3_Comparateur_detaille'!$B$20="Privé",MIN(AK39,E39)*IF('3_Comparateur_detaille'!$B$15="cadre",K39,G39)+MAX(0,AK39-E39)*IF('3_Comparateur_detaille'!$B$15="cadre",M39,I39),AK39*SUMIFS(Donnees_regimes!$K$3:$K$1118,Donnees_regimes!$A$3:$A$1118,'3_Comparateur_detaille'!$B$20,Donnees_regimes!$B$3:$B$1118,A39))</f>
        <v/>
      </c>
      <c r="AN39" s="99">
        <f>IF('3_Comparateur_detaille'!$B$20="Privé",0,AK39*SUMIFS(Donnees_regimes!$L$3:$L$1118,Donnees_regimes!$A$3:$A$1118,'3_Comparateur_detaille'!$B$20,Donnees_regimes!$B$3:$B$1118,A39))</f>
        <v/>
      </c>
      <c r="AO39" s="100">
        <f>(AL39+AM39)/AA39*AI39/AG39</f>
        <v/>
      </c>
      <c r="AP39" s="100">
        <f>(AL39+AM39)/AA39*AJ39/AH39</f>
        <v/>
      </c>
      <c r="AQ39" s="99">
        <f>D39*'3_Comparateur_detaille'!$C$16</f>
        <v/>
      </c>
      <c r="AR39" s="99">
        <f>IF('3_Comparateur_detaille'!$C$20="Privé",MIN(AQ39,E39)*IF('3_Comparateur_detaille'!$C$15="cadre",J39,F39)+MAX(0,AQ39-E39)*IF('3_Comparateur_detaille'!$C$15="cadre",L39,H39),AQ39*SUMIFS(Donnees_regimes!$J$3:$J$1118,Donnees_regimes!$A$3:$A$1118,'3_Comparateur_detaille'!$C$20,Donnees_regimes!$B$3:$B$1118,A39))</f>
        <v/>
      </c>
      <c r="AS39" s="99">
        <f>IF('3_Comparateur_detaille'!$C$20="Privé",MIN(AQ39,E39)*IF('3_Comparateur_detaille'!$C$15="cadre",K39,G39)+MAX(0,AQ39-E39)*IF('3_Comparateur_detaille'!$C$15="cadre",M39,I39),AQ39*SUMIFS(Donnees_regimes!$K$3:$K$1118,Donnees_regimes!$A$3:$A$1118,'3_Comparateur_detaille'!$C$20,Donnees_regimes!$B$3:$B$1118,A39))</f>
        <v/>
      </c>
      <c r="AT39" s="99">
        <f>IF('3_Comparateur_detaille'!$C$20="Privé",0,AQ39*SUMIFS(Donnees_regimes!$L$3:$L$1118,Donnees_regimes!$A$3:$A$1118,'3_Comparateur_detaille'!$C$20,Donnees_regimes!$B$3:$B$1118,A39))</f>
        <v/>
      </c>
      <c r="AU39" s="100">
        <f>(AR39+AS39)/AA39*AI39/AG39</f>
        <v/>
      </c>
      <c r="AV39" s="100">
        <f>(AR39+AS39)/AA39*AJ39/AH39</f>
        <v/>
      </c>
    </row>
    <row r="40">
      <c r="A40" s="88" t="n">
        <v>1982</v>
      </c>
      <c r="B40" s="90" t="inlineStr">
        <is>
          <t>Observé</t>
        </is>
      </c>
      <c r="C40" s="91" t="n">
        <v>2.65104</v>
      </c>
      <c r="D40" s="92" t="n">
        <v>31062.63</v>
      </c>
      <c r="E40" s="92" t="n">
        <v>33148.28</v>
      </c>
      <c r="F40" s="93" t="n">
        <v>0.06560000000000001</v>
      </c>
      <c r="G40" s="93" t="n">
        <v>0.1084</v>
      </c>
      <c r="H40" s="93" t="n">
        <v>0.0186</v>
      </c>
      <c r="I40" s="93" t="n">
        <v>0.0264</v>
      </c>
      <c r="J40" s="93" t="n">
        <v>0.06560000000000001</v>
      </c>
      <c r="K40" s="93" t="n">
        <v>0.1084</v>
      </c>
      <c r="L40" s="93" t="n">
        <v>0.0216</v>
      </c>
      <c r="M40" s="93" t="n">
        <v>0.0618</v>
      </c>
      <c r="N40" s="14">
        <f>MIN(D40,E40)*F40+MAX(0,D40-E40)*H40</f>
        <v/>
      </c>
      <c r="O40" s="14">
        <f>MIN(D40,E40)*G40+MAX(0,D40-E40)*I40</f>
        <v/>
      </c>
      <c r="P40" s="14">
        <f>N40+O40</f>
        <v/>
      </c>
      <c r="Q40" s="94">
        <f>P40/D40</f>
        <v/>
      </c>
      <c r="R40" s="14">
        <f>D40+O40</f>
        <v/>
      </c>
      <c r="S40" s="95" t="n">
        <v>39.085</v>
      </c>
      <c r="T40" s="95" t="n">
        <v>40.2</v>
      </c>
      <c r="U40" s="85" t="n">
        <v>229</v>
      </c>
      <c r="V40" s="96" t="n">
        <v>1790.1</v>
      </c>
      <c r="W40" s="96" t="n">
        <v>1841.2</v>
      </c>
      <c r="X40" s="92" t="n">
        <v>14429.07</v>
      </c>
      <c r="Y40" s="92" t="n">
        <v>15402.51</v>
      </c>
      <c r="Z40" s="95" t="n">
        <v>18.8</v>
      </c>
      <c r="AA40" s="97">
        <f>C40</f>
        <v/>
      </c>
      <c r="AB40" s="98">
        <f>D40/AA40</f>
        <v/>
      </c>
      <c r="AC40" s="93" t="n">
        <v>0.104017</v>
      </c>
      <c r="AD40" s="93" t="n">
        <v>0.025285</v>
      </c>
      <c r="AE40" s="94">
        <f>AC40</f>
        <v/>
      </c>
      <c r="AF40" s="94">
        <f>AD40</f>
        <v/>
      </c>
      <c r="AG40" s="97">
        <f>AG39*(1+AE40)</f>
        <v/>
      </c>
      <c r="AH40" s="97">
        <f>AH39*(1+AF40)</f>
        <v/>
      </c>
      <c r="AI40" s="97">
        <f>IF(AE40=0,1,AE40/(12*((1+AE40)^(1/12)-1)))</f>
        <v/>
      </c>
      <c r="AJ40" s="97">
        <f>IF(AF40=0,1,AF40/(12*((1+AF40)^(1/12)-1)))</f>
        <v/>
      </c>
      <c r="AK40" s="99">
        <f>D40*'3_Comparateur_detaille'!$B$16</f>
        <v/>
      </c>
      <c r="AL40" s="99">
        <f>IF('3_Comparateur_detaille'!$B$20="Privé",MIN(AK40,E40)*IF('3_Comparateur_detaille'!$B$15="cadre",J40,F40)+MAX(0,AK40-E40)*IF('3_Comparateur_detaille'!$B$15="cadre",L40,H40),AK40*SUMIFS(Donnees_regimes!$J$3:$J$1118,Donnees_regimes!$A$3:$A$1118,'3_Comparateur_detaille'!$B$20,Donnees_regimes!$B$3:$B$1118,A40))</f>
        <v/>
      </c>
      <c r="AM40" s="99">
        <f>IF('3_Comparateur_detaille'!$B$20="Privé",MIN(AK40,E40)*IF('3_Comparateur_detaille'!$B$15="cadre",K40,G40)+MAX(0,AK40-E40)*IF('3_Comparateur_detaille'!$B$15="cadre",M40,I40),AK40*SUMIFS(Donnees_regimes!$K$3:$K$1118,Donnees_regimes!$A$3:$A$1118,'3_Comparateur_detaille'!$B$20,Donnees_regimes!$B$3:$B$1118,A40))</f>
        <v/>
      </c>
      <c r="AN40" s="99">
        <f>IF('3_Comparateur_detaille'!$B$20="Privé",0,AK40*SUMIFS(Donnees_regimes!$L$3:$L$1118,Donnees_regimes!$A$3:$A$1118,'3_Comparateur_detaille'!$B$20,Donnees_regimes!$B$3:$B$1118,A40))</f>
        <v/>
      </c>
      <c r="AO40" s="100">
        <f>(AL40+AM40)/AA40*AI40/AG40</f>
        <v/>
      </c>
      <c r="AP40" s="100">
        <f>(AL40+AM40)/AA40*AJ40/AH40</f>
        <v/>
      </c>
      <c r="AQ40" s="99">
        <f>D40*'3_Comparateur_detaille'!$C$16</f>
        <v/>
      </c>
      <c r="AR40" s="99">
        <f>IF('3_Comparateur_detaille'!$C$20="Privé",MIN(AQ40,E40)*IF('3_Comparateur_detaille'!$C$15="cadre",J40,F40)+MAX(0,AQ40-E40)*IF('3_Comparateur_detaille'!$C$15="cadre",L40,H40),AQ40*SUMIFS(Donnees_regimes!$J$3:$J$1118,Donnees_regimes!$A$3:$A$1118,'3_Comparateur_detaille'!$C$20,Donnees_regimes!$B$3:$B$1118,A40))</f>
        <v/>
      </c>
      <c r="AS40" s="99">
        <f>IF('3_Comparateur_detaille'!$C$20="Privé",MIN(AQ40,E40)*IF('3_Comparateur_detaille'!$C$15="cadre",K40,G40)+MAX(0,AQ40-E40)*IF('3_Comparateur_detaille'!$C$15="cadre",M40,I40),AQ40*SUMIFS(Donnees_regimes!$K$3:$K$1118,Donnees_regimes!$A$3:$A$1118,'3_Comparateur_detaille'!$C$20,Donnees_regimes!$B$3:$B$1118,A40))</f>
        <v/>
      </c>
      <c r="AT40" s="99">
        <f>IF('3_Comparateur_detaille'!$C$20="Privé",0,AQ40*SUMIFS(Donnees_regimes!$L$3:$L$1118,Donnees_regimes!$A$3:$A$1118,'3_Comparateur_detaille'!$C$20,Donnees_regimes!$B$3:$B$1118,A40))</f>
        <v/>
      </c>
      <c r="AU40" s="100">
        <f>(AR40+AS40)/AA40*AI40/AG40</f>
        <v/>
      </c>
      <c r="AV40" s="100">
        <f>(AR40+AS40)/AA40*AJ40/AH40</f>
        <v/>
      </c>
    </row>
    <row r="41">
      <c r="A41" s="88" t="n">
        <v>1983</v>
      </c>
      <c r="B41" s="90" t="inlineStr">
        <is>
          <t>Observé</t>
        </is>
      </c>
      <c r="C41" s="91" t="n">
        <v>2.41805</v>
      </c>
      <c r="D41" s="92" t="n">
        <v>31574.75</v>
      </c>
      <c r="E41" s="92" t="n">
        <v>33795.98</v>
      </c>
      <c r="F41" s="93" t="n">
        <v>0.0664</v>
      </c>
      <c r="G41" s="93" t="n">
        <v>0.1096</v>
      </c>
      <c r="H41" s="93" t="n">
        <v>0.0194</v>
      </c>
      <c r="I41" s="93" t="n">
        <v>0.0276</v>
      </c>
      <c r="J41" s="93" t="n">
        <v>0.0664</v>
      </c>
      <c r="K41" s="93" t="n">
        <v>0.1096</v>
      </c>
      <c r="L41" s="93" t="n">
        <v>0.0216</v>
      </c>
      <c r="M41" s="93" t="n">
        <v>0.0618</v>
      </c>
      <c r="N41" s="14">
        <f>MIN(D41,E41)*F41+MAX(0,D41-E41)*H41</f>
        <v/>
      </c>
      <c r="O41" s="14">
        <f>MIN(D41,E41)*G41+MAX(0,D41-E41)*I41</f>
        <v/>
      </c>
      <c r="P41" s="14">
        <f>N41+O41</f>
        <v/>
      </c>
      <c r="Q41" s="94">
        <f>P41/D41</f>
        <v/>
      </c>
      <c r="R41" s="14">
        <f>D41+O41</f>
        <v/>
      </c>
      <c r="S41" s="95" t="n">
        <v>39</v>
      </c>
      <c r="T41" s="95" t="n">
        <v>39.7</v>
      </c>
      <c r="U41" s="85" t="n">
        <v>228</v>
      </c>
      <c r="V41" s="96" t="n">
        <v>1778.4</v>
      </c>
      <c r="W41" s="96" t="n">
        <v>1810.3</v>
      </c>
      <c r="X41" s="92" t="n">
        <v>14666.96</v>
      </c>
      <c r="Y41" s="92" t="n">
        <v>15656.44</v>
      </c>
      <c r="Z41" s="95" t="n">
        <v>18.95</v>
      </c>
      <c r="AA41" s="97">
        <f>C41</f>
        <v/>
      </c>
      <c r="AB41" s="98">
        <f>D41/AA41</f>
        <v/>
      </c>
      <c r="AC41" s="93" t="n">
        <v>0.586689</v>
      </c>
      <c r="AD41" s="93" t="n">
        <v>0.51913</v>
      </c>
      <c r="AE41" s="94">
        <f>AC41</f>
        <v/>
      </c>
      <c r="AF41" s="94">
        <f>AD41</f>
        <v/>
      </c>
      <c r="AG41" s="97">
        <f>AG40*(1+AE41)</f>
        <v/>
      </c>
      <c r="AH41" s="97">
        <f>AH40*(1+AF41)</f>
        <v/>
      </c>
      <c r="AI41" s="97">
        <f>IF(AE41=0,1,AE41/(12*((1+AE41)^(1/12)-1)))</f>
        <v/>
      </c>
      <c r="AJ41" s="97">
        <f>IF(AF41=0,1,AF41/(12*((1+AF41)^(1/12)-1)))</f>
        <v/>
      </c>
      <c r="AK41" s="99">
        <f>D41*'3_Comparateur_detaille'!$B$16</f>
        <v/>
      </c>
      <c r="AL41" s="99">
        <f>IF('3_Comparateur_detaille'!$B$20="Privé",MIN(AK41,E41)*IF('3_Comparateur_detaille'!$B$15="cadre",J41,F41)+MAX(0,AK41-E41)*IF('3_Comparateur_detaille'!$B$15="cadre",L41,H41),AK41*SUMIFS(Donnees_regimes!$J$3:$J$1118,Donnees_regimes!$A$3:$A$1118,'3_Comparateur_detaille'!$B$20,Donnees_regimes!$B$3:$B$1118,A41))</f>
        <v/>
      </c>
      <c r="AM41" s="99">
        <f>IF('3_Comparateur_detaille'!$B$20="Privé",MIN(AK41,E41)*IF('3_Comparateur_detaille'!$B$15="cadre",K41,G41)+MAX(0,AK41-E41)*IF('3_Comparateur_detaille'!$B$15="cadre",M41,I41),AK41*SUMIFS(Donnees_regimes!$K$3:$K$1118,Donnees_regimes!$A$3:$A$1118,'3_Comparateur_detaille'!$B$20,Donnees_regimes!$B$3:$B$1118,A41))</f>
        <v/>
      </c>
      <c r="AN41" s="99">
        <f>IF('3_Comparateur_detaille'!$B$20="Privé",0,AK41*SUMIFS(Donnees_regimes!$L$3:$L$1118,Donnees_regimes!$A$3:$A$1118,'3_Comparateur_detaille'!$B$20,Donnees_regimes!$B$3:$B$1118,A41))</f>
        <v/>
      </c>
      <c r="AO41" s="100">
        <f>(AL41+AM41)/AA41*AI41/AG41</f>
        <v/>
      </c>
      <c r="AP41" s="100">
        <f>(AL41+AM41)/AA41*AJ41/AH41</f>
        <v/>
      </c>
      <c r="AQ41" s="99">
        <f>D41*'3_Comparateur_detaille'!$C$16</f>
        <v/>
      </c>
      <c r="AR41" s="99">
        <f>IF('3_Comparateur_detaille'!$C$20="Privé",MIN(AQ41,E41)*IF('3_Comparateur_detaille'!$C$15="cadre",J41,F41)+MAX(0,AQ41-E41)*IF('3_Comparateur_detaille'!$C$15="cadre",L41,H41),AQ41*SUMIFS(Donnees_regimes!$J$3:$J$1118,Donnees_regimes!$A$3:$A$1118,'3_Comparateur_detaille'!$C$20,Donnees_regimes!$B$3:$B$1118,A41))</f>
        <v/>
      </c>
      <c r="AS41" s="99">
        <f>IF('3_Comparateur_detaille'!$C$20="Privé",MIN(AQ41,E41)*IF('3_Comparateur_detaille'!$C$15="cadre",K41,G41)+MAX(0,AQ41-E41)*IF('3_Comparateur_detaille'!$C$15="cadre",M41,I41),AQ41*SUMIFS(Donnees_regimes!$K$3:$K$1118,Donnees_regimes!$A$3:$A$1118,'3_Comparateur_detaille'!$C$20,Donnees_regimes!$B$3:$B$1118,A41))</f>
        <v/>
      </c>
      <c r="AT41" s="99">
        <f>IF('3_Comparateur_detaille'!$C$20="Privé",0,AQ41*SUMIFS(Donnees_regimes!$L$3:$L$1118,Donnees_regimes!$A$3:$A$1118,'3_Comparateur_detaille'!$C$20,Donnees_regimes!$B$3:$B$1118,A41))</f>
        <v/>
      </c>
      <c r="AU41" s="100">
        <f>(AR41+AS41)/AA41*AI41/AG41</f>
        <v/>
      </c>
      <c r="AV41" s="100">
        <f>(AR41+AS41)/AA41*AJ41/AH41</f>
        <v/>
      </c>
    </row>
    <row r="42">
      <c r="A42" s="88" t="n">
        <v>1984</v>
      </c>
      <c r="B42" s="90" t="inlineStr">
        <is>
          <t>Observé</t>
        </is>
      </c>
      <c r="C42" s="91" t="n">
        <v>2.25122</v>
      </c>
      <c r="D42" s="92" t="n">
        <v>32067.38</v>
      </c>
      <c r="E42" s="92" t="n">
        <v>34182.29</v>
      </c>
      <c r="F42" s="93" t="n">
        <v>0.0844</v>
      </c>
      <c r="G42" s="93" t="n">
        <v>0.1216</v>
      </c>
      <c r="H42" s="93" t="n">
        <v>0.025411</v>
      </c>
      <c r="I42" s="93" t="n">
        <v>0.036616</v>
      </c>
      <c r="J42" s="93" t="n">
        <v>0.0844</v>
      </c>
      <c r="K42" s="93" t="n">
        <v>0.1216</v>
      </c>
      <c r="L42" s="93" t="n">
        <v>0.027611</v>
      </c>
      <c r="M42" s="93" t="n">
        <v>0.070816</v>
      </c>
      <c r="N42" s="14">
        <f>MIN(D42,E42)*F42+MAX(0,D42-E42)*H42</f>
        <v/>
      </c>
      <c r="O42" s="14">
        <f>MIN(D42,E42)*G42+MAX(0,D42-E42)*I42</f>
        <v/>
      </c>
      <c r="P42" s="14">
        <f>N42+O42</f>
        <v/>
      </c>
      <c r="Q42" s="94">
        <f>P42/D42</f>
        <v/>
      </c>
      <c r="R42" s="14">
        <f>D42+O42</f>
        <v/>
      </c>
      <c r="S42" s="95" t="n">
        <v>39</v>
      </c>
      <c r="T42" s="95" t="n">
        <v>39.6</v>
      </c>
      <c r="U42" s="85" t="n">
        <v>228</v>
      </c>
      <c r="V42" s="96" t="n">
        <v>1778.4</v>
      </c>
      <c r="W42" s="96" t="n">
        <v>1805.8</v>
      </c>
      <c r="X42" s="92" t="n">
        <v>14895.8</v>
      </c>
      <c r="Y42" s="92" t="n">
        <v>15900.71</v>
      </c>
      <c r="Z42" s="95" t="n">
        <v>19.1</v>
      </c>
      <c r="AA42" s="97">
        <f>C42</f>
        <v/>
      </c>
      <c r="AB42" s="98">
        <f>D42/AA42</f>
        <v/>
      </c>
      <c r="AC42" s="93" t="n">
        <v>0.144837</v>
      </c>
      <c r="AD42" s="93" t="n">
        <v>0.103063</v>
      </c>
      <c r="AE42" s="94">
        <f>AC42</f>
        <v/>
      </c>
      <c r="AF42" s="94">
        <f>AD42</f>
        <v/>
      </c>
      <c r="AG42" s="97">
        <f>AG41*(1+AE42)</f>
        <v/>
      </c>
      <c r="AH42" s="97">
        <f>AH41*(1+AF42)</f>
        <v/>
      </c>
      <c r="AI42" s="97">
        <f>IF(AE42=0,1,AE42/(12*((1+AE42)^(1/12)-1)))</f>
        <v/>
      </c>
      <c r="AJ42" s="97">
        <f>IF(AF42=0,1,AF42/(12*((1+AF42)^(1/12)-1)))</f>
        <v/>
      </c>
      <c r="AK42" s="99">
        <f>D42*'3_Comparateur_detaille'!$B$16</f>
        <v/>
      </c>
      <c r="AL42" s="99">
        <f>IF('3_Comparateur_detaille'!$B$20="Privé",MIN(AK42,E42)*IF('3_Comparateur_detaille'!$B$15="cadre",J42,F42)+MAX(0,AK42-E42)*IF('3_Comparateur_detaille'!$B$15="cadre",L42,H42),AK42*SUMIFS(Donnees_regimes!$J$3:$J$1118,Donnees_regimes!$A$3:$A$1118,'3_Comparateur_detaille'!$B$20,Donnees_regimes!$B$3:$B$1118,A42))</f>
        <v/>
      </c>
      <c r="AM42" s="99">
        <f>IF('3_Comparateur_detaille'!$B$20="Privé",MIN(AK42,E42)*IF('3_Comparateur_detaille'!$B$15="cadre",K42,G42)+MAX(0,AK42-E42)*IF('3_Comparateur_detaille'!$B$15="cadre",M42,I42),AK42*SUMIFS(Donnees_regimes!$K$3:$K$1118,Donnees_regimes!$A$3:$A$1118,'3_Comparateur_detaille'!$B$20,Donnees_regimes!$B$3:$B$1118,A42))</f>
        <v/>
      </c>
      <c r="AN42" s="99">
        <f>IF('3_Comparateur_detaille'!$B$20="Privé",0,AK42*SUMIFS(Donnees_regimes!$L$3:$L$1118,Donnees_regimes!$A$3:$A$1118,'3_Comparateur_detaille'!$B$20,Donnees_regimes!$B$3:$B$1118,A42))</f>
        <v/>
      </c>
      <c r="AO42" s="100">
        <f>(AL42+AM42)/AA42*AI42/AG42</f>
        <v/>
      </c>
      <c r="AP42" s="100">
        <f>(AL42+AM42)/AA42*AJ42/AH42</f>
        <v/>
      </c>
      <c r="AQ42" s="99">
        <f>D42*'3_Comparateur_detaille'!$C$16</f>
        <v/>
      </c>
      <c r="AR42" s="99">
        <f>IF('3_Comparateur_detaille'!$C$20="Privé",MIN(AQ42,E42)*IF('3_Comparateur_detaille'!$C$15="cadre",J42,F42)+MAX(0,AQ42-E42)*IF('3_Comparateur_detaille'!$C$15="cadre",L42,H42),AQ42*SUMIFS(Donnees_regimes!$J$3:$J$1118,Donnees_regimes!$A$3:$A$1118,'3_Comparateur_detaille'!$C$20,Donnees_regimes!$B$3:$B$1118,A42))</f>
        <v/>
      </c>
      <c r="AS42" s="99">
        <f>IF('3_Comparateur_detaille'!$C$20="Privé",MIN(AQ42,E42)*IF('3_Comparateur_detaille'!$C$15="cadre",K42,G42)+MAX(0,AQ42-E42)*IF('3_Comparateur_detaille'!$C$15="cadre",M42,I42),AQ42*SUMIFS(Donnees_regimes!$K$3:$K$1118,Donnees_regimes!$A$3:$A$1118,'3_Comparateur_detaille'!$C$20,Donnees_regimes!$B$3:$B$1118,A42))</f>
        <v/>
      </c>
      <c r="AT42" s="99">
        <f>IF('3_Comparateur_detaille'!$C$20="Privé",0,AQ42*SUMIFS(Donnees_regimes!$L$3:$L$1118,Donnees_regimes!$A$3:$A$1118,'3_Comparateur_detaille'!$C$20,Donnees_regimes!$B$3:$B$1118,A42))</f>
        <v/>
      </c>
      <c r="AU42" s="100">
        <f>(AR42+AS42)/AA42*AI42/AG42</f>
        <v/>
      </c>
      <c r="AV42" s="100">
        <f>(AR42+AS42)/AA42*AJ42/AH42</f>
        <v/>
      </c>
    </row>
    <row r="43">
      <c r="A43" s="88" t="n">
        <v>1985</v>
      </c>
      <c r="B43" s="90" t="inlineStr">
        <is>
          <t>Observé</t>
        </is>
      </c>
      <c r="C43" s="91" t="n">
        <v>2.12748</v>
      </c>
      <c r="D43" s="92" t="n">
        <v>32557.29</v>
      </c>
      <c r="E43" s="92" t="n">
        <v>34619.25</v>
      </c>
      <c r="F43" s="93" t="n">
        <v>0.0844</v>
      </c>
      <c r="G43" s="93" t="n">
        <v>0.1216</v>
      </c>
      <c r="H43" s="93" t="n">
        <v>0.0274</v>
      </c>
      <c r="I43" s="93" t="n">
        <v>0.0396</v>
      </c>
      <c r="J43" s="93" t="n">
        <v>0.0844</v>
      </c>
      <c r="K43" s="93" t="n">
        <v>0.1216</v>
      </c>
      <c r="L43" s="93" t="n">
        <v>0.0296</v>
      </c>
      <c r="M43" s="93" t="n">
        <v>0.0738</v>
      </c>
      <c r="N43" s="14">
        <f>MIN(D43,E43)*F43+MAX(0,D43-E43)*H43</f>
        <v/>
      </c>
      <c r="O43" s="14">
        <f>MIN(D43,E43)*G43+MAX(0,D43-E43)*I43</f>
        <v/>
      </c>
      <c r="P43" s="14">
        <f>N43+O43</f>
        <v/>
      </c>
      <c r="Q43" s="94">
        <f>P43/D43</f>
        <v/>
      </c>
      <c r="R43" s="14">
        <f>D43+O43</f>
        <v/>
      </c>
      <c r="S43" s="95" t="n">
        <v>39</v>
      </c>
      <c r="T43" s="95" t="n">
        <v>39.5</v>
      </c>
      <c r="U43" s="85" t="n">
        <v>226</v>
      </c>
      <c r="V43" s="96" t="n">
        <v>1762.8</v>
      </c>
      <c r="W43" s="96" t="n">
        <v>1785.4</v>
      </c>
      <c r="X43" s="92" t="n">
        <v>15123.37</v>
      </c>
      <c r="Y43" s="92" t="n">
        <v>16143.64</v>
      </c>
      <c r="Z43" s="95" t="n">
        <v>19.25</v>
      </c>
      <c r="AA43" s="97">
        <f>C43</f>
        <v/>
      </c>
      <c r="AB43" s="98">
        <f>D43/AA43</f>
        <v/>
      </c>
      <c r="AC43" s="93" t="n">
        <v>0.371058</v>
      </c>
      <c r="AD43" s="93" t="n">
        <v>0.328805</v>
      </c>
      <c r="AE43" s="94">
        <f>AC43</f>
        <v/>
      </c>
      <c r="AF43" s="94">
        <f>AD43</f>
        <v/>
      </c>
      <c r="AG43" s="97">
        <f>AG42*(1+AE43)</f>
        <v/>
      </c>
      <c r="AH43" s="97">
        <f>AH42*(1+AF43)</f>
        <v/>
      </c>
      <c r="AI43" s="97">
        <f>IF(AE43=0,1,AE43/(12*((1+AE43)^(1/12)-1)))</f>
        <v/>
      </c>
      <c r="AJ43" s="97">
        <f>IF(AF43=0,1,AF43/(12*((1+AF43)^(1/12)-1)))</f>
        <v/>
      </c>
      <c r="AK43" s="99">
        <f>D43*'3_Comparateur_detaille'!$B$16</f>
        <v/>
      </c>
      <c r="AL43" s="99">
        <f>IF('3_Comparateur_detaille'!$B$20="Privé",MIN(AK43,E43)*IF('3_Comparateur_detaille'!$B$15="cadre",J43,F43)+MAX(0,AK43-E43)*IF('3_Comparateur_detaille'!$B$15="cadre",L43,H43),AK43*SUMIFS(Donnees_regimes!$J$3:$J$1118,Donnees_regimes!$A$3:$A$1118,'3_Comparateur_detaille'!$B$20,Donnees_regimes!$B$3:$B$1118,A43))</f>
        <v/>
      </c>
      <c r="AM43" s="99">
        <f>IF('3_Comparateur_detaille'!$B$20="Privé",MIN(AK43,E43)*IF('3_Comparateur_detaille'!$B$15="cadre",K43,G43)+MAX(0,AK43-E43)*IF('3_Comparateur_detaille'!$B$15="cadre",M43,I43),AK43*SUMIFS(Donnees_regimes!$K$3:$K$1118,Donnees_regimes!$A$3:$A$1118,'3_Comparateur_detaille'!$B$20,Donnees_regimes!$B$3:$B$1118,A43))</f>
        <v/>
      </c>
      <c r="AN43" s="99">
        <f>IF('3_Comparateur_detaille'!$B$20="Privé",0,AK43*SUMIFS(Donnees_regimes!$L$3:$L$1118,Donnees_regimes!$A$3:$A$1118,'3_Comparateur_detaille'!$B$20,Donnees_regimes!$B$3:$B$1118,A43))</f>
        <v/>
      </c>
      <c r="AO43" s="100">
        <f>(AL43+AM43)/AA43*AI43/AG43</f>
        <v/>
      </c>
      <c r="AP43" s="100">
        <f>(AL43+AM43)/AA43*AJ43/AH43</f>
        <v/>
      </c>
      <c r="AQ43" s="99">
        <f>D43*'3_Comparateur_detaille'!$C$16</f>
        <v/>
      </c>
      <c r="AR43" s="99">
        <f>IF('3_Comparateur_detaille'!$C$20="Privé",MIN(AQ43,E43)*IF('3_Comparateur_detaille'!$C$15="cadre",J43,F43)+MAX(0,AQ43-E43)*IF('3_Comparateur_detaille'!$C$15="cadre",L43,H43),AQ43*SUMIFS(Donnees_regimes!$J$3:$J$1118,Donnees_regimes!$A$3:$A$1118,'3_Comparateur_detaille'!$C$20,Donnees_regimes!$B$3:$B$1118,A43))</f>
        <v/>
      </c>
      <c r="AS43" s="99">
        <f>IF('3_Comparateur_detaille'!$C$20="Privé",MIN(AQ43,E43)*IF('3_Comparateur_detaille'!$C$15="cadre",K43,G43)+MAX(0,AQ43-E43)*IF('3_Comparateur_detaille'!$C$15="cadre",M43,I43),AQ43*SUMIFS(Donnees_regimes!$K$3:$K$1118,Donnees_regimes!$A$3:$A$1118,'3_Comparateur_detaille'!$C$20,Donnees_regimes!$B$3:$B$1118,A43))</f>
        <v/>
      </c>
      <c r="AT43" s="99">
        <f>IF('3_Comparateur_detaille'!$C$20="Privé",0,AQ43*SUMIFS(Donnees_regimes!$L$3:$L$1118,Donnees_regimes!$A$3:$A$1118,'3_Comparateur_detaille'!$C$20,Donnees_regimes!$B$3:$B$1118,A43))</f>
        <v/>
      </c>
      <c r="AU43" s="100">
        <f>(AR43+AS43)/AA43*AI43/AG43</f>
        <v/>
      </c>
      <c r="AV43" s="100">
        <f>(AR43+AS43)/AA43*AJ43/AH43</f>
        <v/>
      </c>
    </row>
    <row r="44">
      <c r="A44" s="88" t="n">
        <v>1986</v>
      </c>
      <c r="B44" s="90" t="inlineStr">
        <is>
          <t>Observé</t>
        </is>
      </c>
      <c r="C44" s="91" t="n">
        <v>2.07248</v>
      </c>
      <c r="D44" s="92" t="n">
        <v>33523.52</v>
      </c>
      <c r="E44" s="92" t="n">
        <v>35449.24</v>
      </c>
      <c r="F44" s="93" t="n">
        <v>0.08733399999999999</v>
      </c>
      <c r="G44" s="93" t="n">
        <v>0.1216</v>
      </c>
      <c r="H44" s="93" t="n">
        <v>0.0274</v>
      </c>
      <c r="I44" s="93" t="n">
        <v>0.0396</v>
      </c>
      <c r="J44" s="93" t="n">
        <v>0.08733399999999999</v>
      </c>
      <c r="K44" s="93" t="n">
        <v>0.1216</v>
      </c>
      <c r="L44" s="93" t="n">
        <v>0.0302</v>
      </c>
      <c r="M44" s="93" t="n">
        <v>0.0756</v>
      </c>
      <c r="N44" s="14">
        <f>MIN(D44,E44)*F44+MAX(0,D44-E44)*H44</f>
        <v/>
      </c>
      <c r="O44" s="14">
        <f>MIN(D44,E44)*G44+MAX(0,D44-E44)*I44</f>
        <v/>
      </c>
      <c r="P44" s="14">
        <f>N44+O44</f>
        <v/>
      </c>
      <c r="Q44" s="94">
        <f>P44/D44</f>
        <v/>
      </c>
      <c r="R44" s="14">
        <f>D44+O44</f>
        <v/>
      </c>
      <c r="S44" s="95" t="n">
        <v>39</v>
      </c>
      <c r="T44" s="95" t="n">
        <v>39.5</v>
      </c>
      <c r="U44" s="85" t="n">
        <v>226</v>
      </c>
      <c r="V44" s="96" t="n">
        <v>1762.8</v>
      </c>
      <c r="W44" s="96" t="n">
        <v>1785.4</v>
      </c>
      <c r="X44" s="92" t="n">
        <v>15289.73</v>
      </c>
      <c r="Y44" s="92" t="n">
        <v>16321.22</v>
      </c>
      <c r="Z44" s="95" t="n">
        <v>19.4</v>
      </c>
      <c r="AA44" s="97">
        <f>C44</f>
        <v/>
      </c>
      <c r="AB44" s="98">
        <f>D44/AA44</f>
        <v/>
      </c>
      <c r="AC44" s="93" t="n">
        <v>0.382412</v>
      </c>
      <c r="AD44" s="93" t="n">
        <v>0.351014</v>
      </c>
      <c r="AE44" s="94">
        <f>AC44</f>
        <v/>
      </c>
      <c r="AF44" s="94">
        <f>AD44</f>
        <v/>
      </c>
      <c r="AG44" s="97">
        <f>AG43*(1+AE44)</f>
        <v/>
      </c>
      <c r="AH44" s="97">
        <f>AH43*(1+AF44)</f>
        <v/>
      </c>
      <c r="AI44" s="97">
        <f>IF(AE44=0,1,AE44/(12*((1+AE44)^(1/12)-1)))</f>
        <v/>
      </c>
      <c r="AJ44" s="97">
        <f>IF(AF44=0,1,AF44/(12*((1+AF44)^(1/12)-1)))</f>
        <v/>
      </c>
      <c r="AK44" s="99">
        <f>D44*'3_Comparateur_detaille'!$B$16</f>
        <v/>
      </c>
      <c r="AL44" s="99">
        <f>IF('3_Comparateur_detaille'!$B$20="Privé",MIN(AK44,E44)*IF('3_Comparateur_detaille'!$B$15="cadre",J44,F44)+MAX(0,AK44-E44)*IF('3_Comparateur_detaille'!$B$15="cadre",L44,H44),AK44*SUMIFS(Donnees_regimes!$J$3:$J$1118,Donnees_regimes!$A$3:$A$1118,'3_Comparateur_detaille'!$B$20,Donnees_regimes!$B$3:$B$1118,A44))</f>
        <v/>
      </c>
      <c r="AM44" s="99">
        <f>IF('3_Comparateur_detaille'!$B$20="Privé",MIN(AK44,E44)*IF('3_Comparateur_detaille'!$B$15="cadre",K44,G44)+MAX(0,AK44-E44)*IF('3_Comparateur_detaille'!$B$15="cadre",M44,I44),AK44*SUMIFS(Donnees_regimes!$K$3:$K$1118,Donnees_regimes!$A$3:$A$1118,'3_Comparateur_detaille'!$B$20,Donnees_regimes!$B$3:$B$1118,A44))</f>
        <v/>
      </c>
      <c r="AN44" s="99">
        <f>IF('3_Comparateur_detaille'!$B$20="Privé",0,AK44*SUMIFS(Donnees_regimes!$L$3:$L$1118,Donnees_regimes!$A$3:$A$1118,'3_Comparateur_detaille'!$B$20,Donnees_regimes!$B$3:$B$1118,A44))</f>
        <v/>
      </c>
      <c r="AO44" s="100">
        <f>(AL44+AM44)/AA44*AI44/AG44</f>
        <v/>
      </c>
      <c r="AP44" s="100">
        <f>(AL44+AM44)/AA44*AJ44/AH44</f>
        <v/>
      </c>
      <c r="AQ44" s="99">
        <f>D44*'3_Comparateur_detaille'!$C$16</f>
        <v/>
      </c>
      <c r="AR44" s="99">
        <f>IF('3_Comparateur_detaille'!$C$20="Privé",MIN(AQ44,E44)*IF('3_Comparateur_detaille'!$C$15="cadre",J44,F44)+MAX(0,AQ44-E44)*IF('3_Comparateur_detaille'!$C$15="cadre",L44,H44),AQ44*SUMIFS(Donnees_regimes!$J$3:$J$1118,Donnees_regimes!$A$3:$A$1118,'3_Comparateur_detaille'!$C$20,Donnees_regimes!$B$3:$B$1118,A44))</f>
        <v/>
      </c>
      <c r="AS44" s="99">
        <f>IF('3_Comparateur_detaille'!$C$20="Privé",MIN(AQ44,E44)*IF('3_Comparateur_detaille'!$C$15="cadre",K44,G44)+MAX(0,AQ44-E44)*IF('3_Comparateur_detaille'!$C$15="cadre",M44,I44),AQ44*SUMIFS(Donnees_regimes!$K$3:$K$1118,Donnees_regimes!$A$3:$A$1118,'3_Comparateur_detaille'!$C$20,Donnees_regimes!$B$3:$B$1118,A44))</f>
        <v/>
      </c>
      <c r="AT44" s="99">
        <f>IF('3_Comparateur_detaille'!$C$20="Privé",0,AQ44*SUMIFS(Donnees_regimes!$L$3:$L$1118,Donnees_regimes!$A$3:$A$1118,'3_Comparateur_detaille'!$C$20,Donnees_regimes!$B$3:$B$1118,A44))</f>
        <v/>
      </c>
      <c r="AU44" s="100">
        <f>(AR44+AS44)/AA44*AI44/AG44</f>
        <v/>
      </c>
      <c r="AV44" s="100">
        <f>(AR44+AS44)/AA44*AJ44/AH44</f>
        <v/>
      </c>
    </row>
    <row r="45">
      <c r="A45" s="88" t="n">
        <v>1987</v>
      </c>
      <c r="B45" s="90" t="inlineStr">
        <is>
          <t>Observé</t>
        </is>
      </c>
      <c r="C45" s="91" t="n">
        <v>2.00908</v>
      </c>
      <c r="D45" s="92" t="n">
        <v>33686.92</v>
      </c>
      <c r="E45" s="92" t="n">
        <v>35779.86</v>
      </c>
      <c r="F45" s="93" t="n">
        <v>0.092808</v>
      </c>
      <c r="G45" s="93" t="n">
        <v>0.1222</v>
      </c>
      <c r="H45" s="93" t="n">
        <v>0.0278</v>
      </c>
      <c r="I45" s="93" t="n">
        <v>0.0402</v>
      </c>
      <c r="J45" s="93" t="n">
        <v>0.092808</v>
      </c>
      <c r="K45" s="93" t="n">
        <v>0.1222</v>
      </c>
      <c r="L45" s="93" t="n">
        <v>0.031</v>
      </c>
      <c r="M45" s="93" t="n">
        <v>0.078</v>
      </c>
      <c r="N45" s="14">
        <f>MIN(D45,E45)*F45+MAX(0,D45-E45)*H45</f>
        <v/>
      </c>
      <c r="O45" s="14">
        <f>MIN(D45,E45)*G45+MAX(0,D45-E45)*I45</f>
        <v/>
      </c>
      <c r="P45" s="14">
        <f>N45+O45</f>
        <v/>
      </c>
      <c r="Q45" s="94">
        <f>P45/D45</f>
        <v/>
      </c>
      <c r="R45" s="14">
        <f>D45+O45</f>
        <v/>
      </c>
      <c r="S45" s="95" t="n">
        <v>39</v>
      </c>
      <c r="T45" s="95" t="n">
        <v>39.8</v>
      </c>
      <c r="U45" s="85" t="n">
        <v>227</v>
      </c>
      <c r="V45" s="96" t="n">
        <v>1770.6</v>
      </c>
      <c r="W45" s="96" t="n">
        <v>1806.9</v>
      </c>
      <c r="X45" s="92" t="n">
        <v>15457.91</v>
      </c>
      <c r="Y45" s="92" t="n">
        <v>16500.76</v>
      </c>
      <c r="Z45" s="95" t="n">
        <v>19.55</v>
      </c>
      <c r="AA45" s="97">
        <f>C45</f>
        <v/>
      </c>
      <c r="AB45" s="98">
        <f>D45/AA45</f>
        <v/>
      </c>
      <c r="AC45" s="93" t="n">
        <v>-0.237587</v>
      </c>
      <c r="AD45" s="93" t="n">
        <v>-0.267383</v>
      </c>
      <c r="AE45" s="94">
        <f>AC45</f>
        <v/>
      </c>
      <c r="AF45" s="94">
        <f>AD45</f>
        <v/>
      </c>
      <c r="AG45" s="97">
        <f>AG44*(1+AE45)</f>
        <v/>
      </c>
      <c r="AH45" s="97">
        <f>AH44*(1+AF45)</f>
        <v/>
      </c>
      <c r="AI45" s="97">
        <f>IF(AE45=0,1,AE45/(12*((1+AE45)^(1/12)-1)))</f>
        <v/>
      </c>
      <c r="AJ45" s="97">
        <f>IF(AF45=0,1,AF45/(12*((1+AF45)^(1/12)-1)))</f>
        <v/>
      </c>
      <c r="AK45" s="99">
        <f>D45*'3_Comparateur_detaille'!$B$16</f>
        <v/>
      </c>
      <c r="AL45" s="99">
        <f>IF('3_Comparateur_detaille'!$B$20="Privé",MIN(AK45,E45)*IF('3_Comparateur_detaille'!$B$15="cadre",J45,F45)+MAX(0,AK45-E45)*IF('3_Comparateur_detaille'!$B$15="cadre",L45,H45),AK45*SUMIFS(Donnees_regimes!$J$3:$J$1118,Donnees_regimes!$A$3:$A$1118,'3_Comparateur_detaille'!$B$20,Donnees_regimes!$B$3:$B$1118,A45))</f>
        <v/>
      </c>
      <c r="AM45" s="99">
        <f>IF('3_Comparateur_detaille'!$B$20="Privé",MIN(AK45,E45)*IF('3_Comparateur_detaille'!$B$15="cadre",K45,G45)+MAX(0,AK45-E45)*IF('3_Comparateur_detaille'!$B$15="cadre",M45,I45),AK45*SUMIFS(Donnees_regimes!$K$3:$K$1118,Donnees_regimes!$A$3:$A$1118,'3_Comparateur_detaille'!$B$20,Donnees_regimes!$B$3:$B$1118,A45))</f>
        <v/>
      </c>
      <c r="AN45" s="99">
        <f>IF('3_Comparateur_detaille'!$B$20="Privé",0,AK45*SUMIFS(Donnees_regimes!$L$3:$L$1118,Donnees_regimes!$A$3:$A$1118,'3_Comparateur_detaille'!$B$20,Donnees_regimes!$B$3:$B$1118,A45))</f>
        <v/>
      </c>
      <c r="AO45" s="100">
        <f>(AL45+AM45)/AA45*AI45/AG45</f>
        <v/>
      </c>
      <c r="AP45" s="100">
        <f>(AL45+AM45)/AA45*AJ45/AH45</f>
        <v/>
      </c>
      <c r="AQ45" s="99">
        <f>D45*'3_Comparateur_detaille'!$C$16</f>
        <v/>
      </c>
      <c r="AR45" s="99">
        <f>IF('3_Comparateur_detaille'!$C$20="Privé",MIN(AQ45,E45)*IF('3_Comparateur_detaille'!$C$15="cadre",J45,F45)+MAX(0,AQ45-E45)*IF('3_Comparateur_detaille'!$C$15="cadre",L45,H45),AQ45*SUMIFS(Donnees_regimes!$J$3:$J$1118,Donnees_regimes!$A$3:$A$1118,'3_Comparateur_detaille'!$C$20,Donnees_regimes!$B$3:$B$1118,A45))</f>
        <v/>
      </c>
      <c r="AS45" s="99">
        <f>IF('3_Comparateur_detaille'!$C$20="Privé",MIN(AQ45,E45)*IF('3_Comparateur_detaille'!$C$15="cadre",K45,G45)+MAX(0,AQ45-E45)*IF('3_Comparateur_detaille'!$C$15="cadre",M45,I45),AQ45*SUMIFS(Donnees_regimes!$K$3:$K$1118,Donnees_regimes!$A$3:$A$1118,'3_Comparateur_detaille'!$C$20,Donnees_regimes!$B$3:$B$1118,A45))</f>
        <v/>
      </c>
      <c r="AT45" s="99">
        <f>IF('3_Comparateur_detaille'!$C$20="Privé",0,AQ45*SUMIFS(Donnees_regimes!$L$3:$L$1118,Donnees_regimes!$A$3:$A$1118,'3_Comparateur_detaille'!$C$20,Donnees_regimes!$B$3:$B$1118,A45))</f>
        <v/>
      </c>
      <c r="AU45" s="100">
        <f>(AR45+AS45)/AA45*AI45/AG45</f>
        <v/>
      </c>
      <c r="AV45" s="100">
        <f>(AR45+AS45)/AA45*AJ45/AH45</f>
        <v/>
      </c>
    </row>
    <row r="46">
      <c r="A46" s="88" t="n">
        <v>1988</v>
      </c>
      <c r="B46" s="90" t="inlineStr">
        <is>
          <t>Observé</t>
        </is>
      </c>
      <c r="C46" s="91" t="n">
        <v>1.95656</v>
      </c>
      <c r="D46" s="92" t="n">
        <v>33964.68</v>
      </c>
      <c r="E46" s="92" t="n">
        <v>35900.51</v>
      </c>
      <c r="F46" s="93" t="n">
        <v>0.09420000000000001</v>
      </c>
      <c r="G46" s="93" t="n">
        <v>0.1228</v>
      </c>
      <c r="H46" s="93" t="n">
        <v>0.0282</v>
      </c>
      <c r="I46" s="93" t="n">
        <v>0.0408</v>
      </c>
      <c r="J46" s="93" t="n">
        <v>0.09420000000000001</v>
      </c>
      <c r="K46" s="93" t="n">
        <v>0.1228</v>
      </c>
      <c r="L46" s="93" t="n">
        <v>0.031</v>
      </c>
      <c r="M46" s="93" t="n">
        <v>0.078</v>
      </c>
      <c r="N46" s="14">
        <f>MIN(D46,E46)*F46+MAX(0,D46-E46)*H46</f>
        <v/>
      </c>
      <c r="O46" s="14">
        <f>MIN(D46,E46)*G46+MAX(0,D46-E46)*I46</f>
        <v/>
      </c>
      <c r="P46" s="14">
        <f>N46+O46</f>
        <v/>
      </c>
      <c r="Q46" s="94">
        <f>P46/D46</f>
        <v/>
      </c>
      <c r="R46" s="14">
        <f>D46+O46</f>
        <v/>
      </c>
      <c r="S46" s="95" t="n">
        <v>39</v>
      </c>
      <c r="T46" s="95" t="n">
        <v>39.9</v>
      </c>
      <c r="U46" s="85" t="n">
        <v>228</v>
      </c>
      <c r="V46" s="96" t="n">
        <v>1778.4</v>
      </c>
      <c r="W46" s="96" t="n">
        <v>1819.4</v>
      </c>
      <c r="X46" s="92" t="n">
        <v>15627.95</v>
      </c>
      <c r="Y46" s="92" t="n">
        <v>16682.26</v>
      </c>
      <c r="Z46" s="95" t="n">
        <v>19.7</v>
      </c>
      <c r="AA46" s="97">
        <f>C46</f>
        <v/>
      </c>
      <c r="AB46" s="98">
        <f>D46/AA46</f>
        <v/>
      </c>
      <c r="AC46" s="93" t="n">
        <v>0.6235000000000001</v>
      </c>
      <c r="AD46" s="93" t="n">
        <v>0.57394</v>
      </c>
      <c r="AE46" s="94">
        <f>AC46</f>
        <v/>
      </c>
      <c r="AF46" s="94">
        <f>AD46</f>
        <v/>
      </c>
      <c r="AG46" s="97">
        <f>AG45*(1+AE46)</f>
        <v/>
      </c>
      <c r="AH46" s="97">
        <f>AH45*(1+AF46)</f>
        <v/>
      </c>
      <c r="AI46" s="97">
        <f>IF(AE46=0,1,AE46/(12*((1+AE46)^(1/12)-1)))</f>
        <v/>
      </c>
      <c r="AJ46" s="97">
        <f>IF(AF46=0,1,AF46/(12*((1+AF46)^(1/12)-1)))</f>
        <v/>
      </c>
      <c r="AK46" s="99">
        <f>D46*'3_Comparateur_detaille'!$B$16</f>
        <v/>
      </c>
      <c r="AL46" s="99">
        <f>IF('3_Comparateur_detaille'!$B$20="Privé",MIN(AK46,E46)*IF('3_Comparateur_detaille'!$B$15="cadre",J46,F46)+MAX(0,AK46-E46)*IF('3_Comparateur_detaille'!$B$15="cadre",L46,H46),AK46*SUMIFS(Donnees_regimes!$J$3:$J$1118,Donnees_regimes!$A$3:$A$1118,'3_Comparateur_detaille'!$B$20,Donnees_regimes!$B$3:$B$1118,A46))</f>
        <v/>
      </c>
      <c r="AM46" s="99">
        <f>IF('3_Comparateur_detaille'!$B$20="Privé",MIN(AK46,E46)*IF('3_Comparateur_detaille'!$B$15="cadre",K46,G46)+MAX(0,AK46-E46)*IF('3_Comparateur_detaille'!$B$15="cadre",M46,I46),AK46*SUMIFS(Donnees_regimes!$K$3:$K$1118,Donnees_regimes!$A$3:$A$1118,'3_Comparateur_detaille'!$B$20,Donnees_regimes!$B$3:$B$1118,A46))</f>
        <v/>
      </c>
      <c r="AN46" s="99">
        <f>IF('3_Comparateur_detaille'!$B$20="Privé",0,AK46*SUMIFS(Donnees_regimes!$L$3:$L$1118,Donnees_regimes!$A$3:$A$1118,'3_Comparateur_detaille'!$B$20,Donnees_regimes!$B$3:$B$1118,A46))</f>
        <v/>
      </c>
      <c r="AO46" s="100">
        <f>(AL46+AM46)/AA46*AI46/AG46</f>
        <v/>
      </c>
      <c r="AP46" s="100">
        <f>(AL46+AM46)/AA46*AJ46/AH46</f>
        <v/>
      </c>
      <c r="AQ46" s="99">
        <f>D46*'3_Comparateur_detaille'!$C$16</f>
        <v/>
      </c>
      <c r="AR46" s="99">
        <f>IF('3_Comparateur_detaille'!$C$20="Privé",MIN(AQ46,E46)*IF('3_Comparateur_detaille'!$C$15="cadre",J46,F46)+MAX(0,AQ46-E46)*IF('3_Comparateur_detaille'!$C$15="cadre",L46,H46),AQ46*SUMIFS(Donnees_regimes!$J$3:$J$1118,Donnees_regimes!$A$3:$A$1118,'3_Comparateur_detaille'!$C$20,Donnees_regimes!$B$3:$B$1118,A46))</f>
        <v/>
      </c>
      <c r="AS46" s="99">
        <f>IF('3_Comparateur_detaille'!$C$20="Privé",MIN(AQ46,E46)*IF('3_Comparateur_detaille'!$C$15="cadre",K46,G46)+MAX(0,AQ46-E46)*IF('3_Comparateur_detaille'!$C$15="cadre",M46,I46),AQ46*SUMIFS(Donnees_regimes!$K$3:$K$1118,Donnees_regimes!$A$3:$A$1118,'3_Comparateur_detaille'!$C$20,Donnees_regimes!$B$3:$B$1118,A46))</f>
        <v/>
      </c>
      <c r="AT46" s="99">
        <f>IF('3_Comparateur_detaille'!$C$20="Privé",0,AQ46*SUMIFS(Donnees_regimes!$L$3:$L$1118,Donnees_regimes!$A$3:$A$1118,'3_Comparateur_detaille'!$C$20,Donnees_regimes!$B$3:$B$1118,A46))</f>
        <v/>
      </c>
      <c r="AU46" s="100">
        <f>(AR46+AS46)/AA46*AI46/AG46</f>
        <v/>
      </c>
      <c r="AV46" s="100">
        <f>(AR46+AS46)/AA46*AJ46/AH46</f>
        <v/>
      </c>
    </row>
    <row r="47">
      <c r="A47" s="88" t="n">
        <v>1989</v>
      </c>
      <c r="B47" s="90" t="inlineStr">
        <is>
          <t>Observé</t>
        </is>
      </c>
      <c r="C47" s="91" t="n">
        <v>1.88833</v>
      </c>
      <c r="D47" s="92" t="n">
        <v>34648.98</v>
      </c>
      <c r="E47" s="92" t="n">
        <v>36064.9</v>
      </c>
      <c r="F47" s="93" t="n">
        <v>0.1042</v>
      </c>
      <c r="G47" s="93" t="n">
        <v>0.1228</v>
      </c>
      <c r="H47" s="93" t="n">
        <v>0.0282</v>
      </c>
      <c r="I47" s="93" t="n">
        <v>0.0408</v>
      </c>
      <c r="J47" s="93" t="n">
        <v>0.1042</v>
      </c>
      <c r="K47" s="93" t="n">
        <v>0.1228</v>
      </c>
      <c r="L47" s="93" t="n">
        <v>0.031</v>
      </c>
      <c r="M47" s="93" t="n">
        <v>0.08004</v>
      </c>
      <c r="N47" s="14">
        <f>MIN(D47,E47)*F47+MAX(0,D47-E47)*H47</f>
        <v/>
      </c>
      <c r="O47" s="14">
        <f>MIN(D47,E47)*G47+MAX(0,D47-E47)*I47</f>
        <v/>
      </c>
      <c r="P47" s="14">
        <f>N47+O47</f>
        <v/>
      </c>
      <c r="Q47" s="94">
        <f>P47/D47</f>
        <v/>
      </c>
      <c r="R47" s="14">
        <f>D47+O47</f>
        <v/>
      </c>
      <c r="S47" s="95" t="n">
        <v>39</v>
      </c>
      <c r="T47" s="95" t="n">
        <v>39.9</v>
      </c>
      <c r="U47" s="85" t="n">
        <v>226</v>
      </c>
      <c r="V47" s="96" t="n">
        <v>1762.8</v>
      </c>
      <c r="W47" s="96" t="n">
        <v>1803.5</v>
      </c>
      <c r="X47" s="92" t="n">
        <v>15799.86</v>
      </c>
      <c r="Y47" s="92" t="n">
        <v>16865.77</v>
      </c>
      <c r="Z47" s="95" t="n">
        <v>19.85</v>
      </c>
      <c r="AA47" s="97">
        <f>C47</f>
        <v/>
      </c>
      <c r="AB47" s="98">
        <f>D47/AA47</f>
        <v/>
      </c>
      <c r="AC47" s="93" t="n">
        <v>0.308611</v>
      </c>
      <c r="AD47" s="93" t="n">
        <v>0.271383</v>
      </c>
      <c r="AE47" s="94">
        <f>AC47</f>
        <v/>
      </c>
      <c r="AF47" s="94">
        <f>AD47</f>
        <v/>
      </c>
      <c r="AG47" s="97">
        <f>AG46*(1+AE47)</f>
        <v/>
      </c>
      <c r="AH47" s="97">
        <f>AH46*(1+AF47)</f>
        <v/>
      </c>
      <c r="AI47" s="97">
        <f>IF(AE47=0,1,AE47/(12*((1+AE47)^(1/12)-1)))</f>
        <v/>
      </c>
      <c r="AJ47" s="97">
        <f>IF(AF47=0,1,AF47/(12*((1+AF47)^(1/12)-1)))</f>
        <v/>
      </c>
      <c r="AK47" s="99">
        <f>D47*'3_Comparateur_detaille'!$B$16</f>
        <v/>
      </c>
      <c r="AL47" s="99">
        <f>IF('3_Comparateur_detaille'!$B$20="Privé",MIN(AK47,E47)*IF('3_Comparateur_detaille'!$B$15="cadre",J47,F47)+MAX(0,AK47-E47)*IF('3_Comparateur_detaille'!$B$15="cadre",L47,H47),AK47*SUMIFS(Donnees_regimes!$J$3:$J$1118,Donnees_regimes!$A$3:$A$1118,'3_Comparateur_detaille'!$B$20,Donnees_regimes!$B$3:$B$1118,A47))</f>
        <v/>
      </c>
      <c r="AM47" s="99">
        <f>IF('3_Comparateur_detaille'!$B$20="Privé",MIN(AK47,E47)*IF('3_Comparateur_detaille'!$B$15="cadre",K47,G47)+MAX(0,AK47-E47)*IF('3_Comparateur_detaille'!$B$15="cadre",M47,I47),AK47*SUMIFS(Donnees_regimes!$K$3:$K$1118,Donnees_regimes!$A$3:$A$1118,'3_Comparateur_detaille'!$B$20,Donnees_regimes!$B$3:$B$1118,A47))</f>
        <v/>
      </c>
      <c r="AN47" s="99">
        <f>IF('3_Comparateur_detaille'!$B$20="Privé",0,AK47*SUMIFS(Donnees_regimes!$L$3:$L$1118,Donnees_regimes!$A$3:$A$1118,'3_Comparateur_detaille'!$B$20,Donnees_regimes!$B$3:$B$1118,A47))</f>
        <v/>
      </c>
      <c r="AO47" s="100">
        <f>(AL47+AM47)/AA47*AI47/AG47</f>
        <v/>
      </c>
      <c r="AP47" s="100">
        <f>(AL47+AM47)/AA47*AJ47/AH47</f>
        <v/>
      </c>
      <c r="AQ47" s="99">
        <f>D47*'3_Comparateur_detaille'!$C$16</f>
        <v/>
      </c>
      <c r="AR47" s="99">
        <f>IF('3_Comparateur_detaille'!$C$20="Privé",MIN(AQ47,E47)*IF('3_Comparateur_detaille'!$C$15="cadre",J47,F47)+MAX(0,AQ47-E47)*IF('3_Comparateur_detaille'!$C$15="cadre",L47,H47),AQ47*SUMIFS(Donnees_regimes!$J$3:$J$1118,Donnees_regimes!$A$3:$A$1118,'3_Comparateur_detaille'!$C$20,Donnees_regimes!$B$3:$B$1118,A47))</f>
        <v/>
      </c>
      <c r="AS47" s="99">
        <f>IF('3_Comparateur_detaille'!$C$20="Privé",MIN(AQ47,E47)*IF('3_Comparateur_detaille'!$C$15="cadre",K47,G47)+MAX(0,AQ47-E47)*IF('3_Comparateur_detaille'!$C$15="cadre",M47,I47),AQ47*SUMIFS(Donnees_regimes!$K$3:$K$1118,Donnees_regimes!$A$3:$A$1118,'3_Comparateur_detaille'!$C$20,Donnees_regimes!$B$3:$B$1118,A47))</f>
        <v/>
      </c>
      <c r="AT47" s="99">
        <f>IF('3_Comparateur_detaille'!$C$20="Privé",0,AQ47*SUMIFS(Donnees_regimes!$L$3:$L$1118,Donnees_regimes!$A$3:$A$1118,'3_Comparateur_detaille'!$C$20,Donnees_regimes!$B$3:$B$1118,A47))</f>
        <v/>
      </c>
      <c r="AU47" s="100">
        <f>(AR47+AS47)/AA47*AI47/AG47</f>
        <v/>
      </c>
      <c r="AV47" s="100">
        <f>(AR47+AS47)/AA47*AJ47/AH47</f>
        <v/>
      </c>
    </row>
    <row r="48">
      <c r="A48" s="88" t="n">
        <v>1990</v>
      </c>
      <c r="B48" s="90" t="inlineStr">
        <is>
          <t>Observé</t>
        </is>
      </c>
      <c r="C48" s="91" t="n">
        <v>1.82699</v>
      </c>
      <c r="D48" s="92" t="n">
        <v>35252.68</v>
      </c>
      <c r="E48" s="92" t="n">
        <v>36497.68</v>
      </c>
      <c r="F48" s="93" t="n">
        <v>0.103998</v>
      </c>
      <c r="G48" s="93" t="n">
        <v>0.122498</v>
      </c>
      <c r="H48" s="93" t="n">
        <v>0.0282</v>
      </c>
      <c r="I48" s="93" t="n">
        <v>0.0408</v>
      </c>
      <c r="J48" s="93" t="n">
        <v>0.103998</v>
      </c>
      <c r="K48" s="93" t="n">
        <v>0.122498</v>
      </c>
      <c r="L48" s="93" t="n">
        <v>0.0324</v>
      </c>
      <c r="M48" s="93" t="n">
        <v>0.0822</v>
      </c>
      <c r="N48" s="14">
        <f>MIN(D48,E48)*F48+MAX(0,D48-E48)*H48</f>
        <v/>
      </c>
      <c r="O48" s="14">
        <f>MIN(D48,E48)*G48+MAX(0,D48-E48)*I48</f>
        <v/>
      </c>
      <c r="P48" s="14">
        <f>N48+O48</f>
        <v/>
      </c>
      <c r="Q48" s="94">
        <f>P48/D48</f>
        <v/>
      </c>
      <c r="R48" s="14">
        <f>D48+O48</f>
        <v/>
      </c>
      <c r="S48" s="95" t="n">
        <v>39</v>
      </c>
      <c r="T48" s="95" t="n">
        <v>39.6</v>
      </c>
      <c r="U48" s="85" t="n">
        <v>227</v>
      </c>
      <c r="V48" s="96" t="n">
        <v>1770.6</v>
      </c>
      <c r="W48" s="96" t="n">
        <v>1797.8</v>
      </c>
      <c r="X48" s="92" t="n">
        <v>15973.66</v>
      </c>
      <c r="Y48" s="92" t="n">
        <v>17051.29</v>
      </c>
      <c r="Z48" s="95" t="n">
        <v>20</v>
      </c>
      <c r="AA48" s="97">
        <f>C48</f>
        <v/>
      </c>
      <c r="AB48" s="98">
        <f>D48/AA48</f>
        <v/>
      </c>
      <c r="AC48" s="93" t="n">
        <v>-0.219634</v>
      </c>
      <c r="AD48" s="93" t="n">
        <v>-0.241445</v>
      </c>
      <c r="AE48" s="94">
        <f>AC48</f>
        <v/>
      </c>
      <c r="AF48" s="94">
        <f>AD48</f>
        <v/>
      </c>
      <c r="AG48" s="97">
        <f>AG47*(1+AE48)</f>
        <v/>
      </c>
      <c r="AH48" s="97">
        <f>AH47*(1+AF48)</f>
        <v/>
      </c>
      <c r="AI48" s="97">
        <f>IF(AE48=0,1,AE48/(12*((1+AE48)^(1/12)-1)))</f>
        <v/>
      </c>
      <c r="AJ48" s="97">
        <f>IF(AF48=0,1,AF48/(12*((1+AF48)^(1/12)-1)))</f>
        <v/>
      </c>
      <c r="AK48" s="99">
        <f>D48*'3_Comparateur_detaille'!$B$16</f>
        <v/>
      </c>
      <c r="AL48" s="99">
        <f>IF('3_Comparateur_detaille'!$B$20="Privé",MIN(AK48,E48)*IF('3_Comparateur_detaille'!$B$15="cadre",J48,F48)+MAX(0,AK48-E48)*IF('3_Comparateur_detaille'!$B$15="cadre",L48,H48),AK48*SUMIFS(Donnees_regimes!$J$3:$J$1118,Donnees_regimes!$A$3:$A$1118,'3_Comparateur_detaille'!$B$20,Donnees_regimes!$B$3:$B$1118,A48))</f>
        <v/>
      </c>
      <c r="AM48" s="99">
        <f>IF('3_Comparateur_detaille'!$B$20="Privé",MIN(AK48,E48)*IF('3_Comparateur_detaille'!$B$15="cadre",K48,G48)+MAX(0,AK48-E48)*IF('3_Comparateur_detaille'!$B$15="cadre",M48,I48),AK48*SUMIFS(Donnees_regimes!$K$3:$K$1118,Donnees_regimes!$A$3:$A$1118,'3_Comparateur_detaille'!$B$20,Donnees_regimes!$B$3:$B$1118,A48))</f>
        <v/>
      </c>
      <c r="AN48" s="99">
        <f>IF('3_Comparateur_detaille'!$B$20="Privé",0,AK48*SUMIFS(Donnees_regimes!$L$3:$L$1118,Donnees_regimes!$A$3:$A$1118,'3_Comparateur_detaille'!$B$20,Donnees_regimes!$B$3:$B$1118,A48))</f>
        <v/>
      </c>
      <c r="AO48" s="100">
        <f>(AL48+AM48)/AA48*AI48/AG48</f>
        <v/>
      </c>
      <c r="AP48" s="100">
        <f>(AL48+AM48)/AA48*AJ48/AH48</f>
        <v/>
      </c>
      <c r="AQ48" s="99">
        <f>D48*'3_Comparateur_detaille'!$C$16</f>
        <v/>
      </c>
      <c r="AR48" s="99">
        <f>IF('3_Comparateur_detaille'!$C$20="Privé",MIN(AQ48,E48)*IF('3_Comparateur_detaille'!$C$15="cadre",J48,F48)+MAX(0,AQ48-E48)*IF('3_Comparateur_detaille'!$C$15="cadre",L48,H48),AQ48*SUMIFS(Donnees_regimes!$J$3:$J$1118,Donnees_regimes!$A$3:$A$1118,'3_Comparateur_detaille'!$C$20,Donnees_regimes!$B$3:$B$1118,A48))</f>
        <v/>
      </c>
      <c r="AS48" s="99">
        <f>IF('3_Comparateur_detaille'!$C$20="Privé",MIN(AQ48,E48)*IF('3_Comparateur_detaille'!$C$15="cadre",K48,G48)+MAX(0,AQ48-E48)*IF('3_Comparateur_detaille'!$C$15="cadre",M48,I48),AQ48*SUMIFS(Donnees_regimes!$K$3:$K$1118,Donnees_regimes!$A$3:$A$1118,'3_Comparateur_detaille'!$C$20,Donnees_regimes!$B$3:$B$1118,A48))</f>
        <v/>
      </c>
      <c r="AT48" s="99">
        <f>IF('3_Comparateur_detaille'!$C$20="Privé",0,AQ48*SUMIFS(Donnees_regimes!$L$3:$L$1118,Donnees_regimes!$A$3:$A$1118,'3_Comparateur_detaille'!$C$20,Donnees_regimes!$B$3:$B$1118,A48))</f>
        <v/>
      </c>
      <c r="AU48" s="100">
        <f>(AR48+AS48)/AA48*AI48/AG48</f>
        <v/>
      </c>
      <c r="AV48" s="100">
        <f>(AR48+AS48)/AA48*AJ48/AH48</f>
        <v/>
      </c>
    </row>
    <row r="49">
      <c r="A49" s="88" t="n">
        <v>1991</v>
      </c>
      <c r="B49" s="90" t="inlineStr">
        <is>
          <t>Observé</t>
        </is>
      </c>
      <c r="C49" s="91" t="n">
        <v>1.7692</v>
      </c>
      <c r="D49" s="92" t="n">
        <v>35493.23</v>
      </c>
      <c r="E49" s="92" t="n">
        <v>37155.73</v>
      </c>
      <c r="F49" s="93" t="n">
        <v>0.09427199999999999</v>
      </c>
      <c r="G49" s="93" t="n">
        <v>0.136961</v>
      </c>
      <c r="H49" s="93" t="n">
        <v>0.02868</v>
      </c>
      <c r="I49" s="93" t="n">
        <v>0.056161</v>
      </c>
      <c r="J49" s="93" t="n">
        <v>0.09427199999999999</v>
      </c>
      <c r="K49" s="93" t="n">
        <v>0.136961</v>
      </c>
      <c r="L49" s="93" t="n">
        <v>0.0324</v>
      </c>
      <c r="M49" s="93" t="n">
        <v>0.096841</v>
      </c>
      <c r="N49" s="14">
        <f>MIN(D49,E49)*F49+MAX(0,D49-E49)*H49</f>
        <v/>
      </c>
      <c r="O49" s="14">
        <f>MIN(D49,E49)*G49+MAX(0,D49-E49)*I49</f>
        <v/>
      </c>
      <c r="P49" s="14">
        <f>N49+O49</f>
        <v/>
      </c>
      <c r="Q49" s="94">
        <f>P49/D49</f>
        <v/>
      </c>
      <c r="R49" s="14">
        <f>D49+O49</f>
        <v/>
      </c>
      <c r="S49" s="95" t="n">
        <v>39</v>
      </c>
      <c r="T49" s="95" t="n">
        <v>39.7</v>
      </c>
      <c r="U49" s="85" t="n">
        <v>226</v>
      </c>
      <c r="V49" s="96" t="n">
        <v>1762.8</v>
      </c>
      <c r="W49" s="96" t="n">
        <v>1794.4</v>
      </c>
      <c r="X49" s="92" t="n">
        <v>16149.37</v>
      </c>
      <c r="Y49" s="92" t="n">
        <v>17238.86</v>
      </c>
      <c r="Z49" s="95" t="n">
        <v>20.15</v>
      </c>
      <c r="AA49" s="97">
        <f>C49</f>
        <v/>
      </c>
      <c r="AB49" s="98">
        <f>D49/AA49</f>
        <v/>
      </c>
      <c r="AC49" s="93" t="n">
        <v>0.203986</v>
      </c>
      <c r="AD49" s="93" t="n">
        <v>0.163203</v>
      </c>
      <c r="AE49" s="94">
        <f>AC49</f>
        <v/>
      </c>
      <c r="AF49" s="94">
        <f>AD49</f>
        <v/>
      </c>
      <c r="AG49" s="97">
        <f>AG48*(1+AE49)</f>
        <v/>
      </c>
      <c r="AH49" s="97">
        <f>AH48*(1+AF49)</f>
        <v/>
      </c>
      <c r="AI49" s="97">
        <f>IF(AE49=0,1,AE49/(12*((1+AE49)^(1/12)-1)))</f>
        <v/>
      </c>
      <c r="AJ49" s="97">
        <f>IF(AF49=0,1,AF49/(12*((1+AF49)^(1/12)-1)))</f>
        <v/>
      </c>
      <c r="AK49" s="99">
        <f>D49*'3_Comparateur_detaille'!$B$16</f>
        <v/>
      </c>
      <c r="AL49" s="99">
        <f>IF('3_Comparateur_detaille'!$B$20="Privé",MIN(AK49,E49)*IF('3_Comparateur_detaille'!$B$15="cadre",J49,F49)+MAX(0,AK49-E49)*IF('3_Comparateur_detaille'!$B$15="cadre",L49,H49),AK49*SUMIFS(Donnees_regimes!$J$3:$J$1118,Donnees_regimes!$A$3:$A$1118,'3_Comparateur_detaille'!$B$20,Donnees_regimes!$B$3:$B$1118,A49))</f>
        <v/>
      </c>
      <c r="AM49" s="99">
        <f>IF('3_Comparateur_detaille'!$B$20="Privé",MIN(AK49,E49)*IF('3_Comparateur_detaille'!$B$15="cadre",K49,G49)+MAX(0,AK49-E49)*IF('3_Comparateur_detaille'!$B$15="cadre",M49,I49),AK49*SUMIFS(Donnees_regimes!$K$3:$K$1118,Donnees_regimes!$A$3:$A$1118,'3_Comparateur_detaille'!$B$20,Donnees_regimes!$B$3:$B$1118,A49))</f>
        <v/>
      </c>
      <c r="AN49" s="99">
        <f>IF('3_Comparateur_detaille'!$B$20="Privé",0,AK49*SUMIFS(Donnees_regimes!$L$3:$L$1118,Donnees_regimes!$A$3:$A$1118,'3_Comparateur_detaille'!$B$20,Donnees_regimes!$B$3:$B$1118,A49))</f>
        <v/>
      </c>
      <c r="AO49" s="100">
        <f>(AL49+AM49)/AA49*AI49/AG49</f>
        <v/>
      </c>
      <c r="AP49" s="100">
        <f>(AL49+AM49)/AA49*AJ49/AH49</f>
        <v/>
      </c>
      <c r="AQ49" s="99">
        <f>D49*'3_Comparateur_detaille'!$C$16</f>
        <v/>
      </c>
      <c r="AR49" s="99">
        <f>IF('3_Comparateur_detaille'!$C$20="Privé",MIN(AQ49,E49)*IF('3_Comparateur_detaille'!$C$15="cadre",J49,F49)+MAX(0,AQ49-E49)*IF('3_Comparateur_detaille'!$C$15="cadre",L49,H49),AQ49*SUMIFS(Donnees_regimes!$J$3:$J$1118,Donnees_regimes!$A$3:$A$1118,'3_Comparateur_detaille'!$C$20,Donnees_regimes!$B$3:$B$1118,A49))</f>
        <v/>
      </c>
      <c r="AS49" s="99">
        <f>IF('3_Comparateur_detaille'!$C$20="Privé",MIN(AQ49,E49)*IF('3_Comparateur_detaille'!$C$15="cadre",K49,G49)+MAX(0,AQ49-E49)*IF('3_Comparateur_detaille'!$C$15="cadre",M49,I49),AQ49*SUMIFS(Donnees_regimes!$K$3:$K$1118,Donnees_regimes!$A$3:$A$1118,'3_Comparateur_detaille'!$C$20,Donnees_regimes!$B$3:$B$1118,A49))</f>
        <v/>
      </c>
      <c r="AT49" s="99">
        <f>IF('3_Comparateur_detaille'!$C$20="Privé",0,AQ49*SUMIFS(Donnees_regimes!$L$3:$L$1118,Donnees_regimes!$A$3:$A$1118,'3_Comparateur_detaille'!$C$20,Donnees_regimes!$B$3:$B$1118,A49))</f>
        <v/>
      </c>
      <c r="AU49" s="100">
        <f>(AR49+AS49)/AA49*AI49/AG49</f>
        <v/>
      </c>
      <c r="AV49" s="100">
        <f>(AR49+AS49)/AA49*AJ49/AH49</f>
        <v/>
      </c>
    </row>
    <row r="50">
      <c r="A50" s="88" t="n">
        <v>1992</v>
      </c>
      <c r="B50" s="90" t="inlineStr">
        <is>
          <t>Observé</t>
        </is>
      </c>
      <c r="C50" s="91" t="n">
        <v>1.72923</v>
      </c>
      <c r="D50" s="92" t="n">
        <v>35940</v>
      </c>
      <c r="E50" s="92" t="n">
        <v>37992.91</v>
      </c>
      <c r="F50" s="93" t="n">
        <v>0.09370000000000001</v>
      </c>
      <c r="G50" s="93" t="n">
        <v>0.1388</v>
      </c>
      <c r="H50" s="93" t="n">
        <v>0.029</v>
      </c>
      <c r="I50" s="93" t="n">
        <v>0.058</v>
      </c>
      <c r="J50" s="93" t="n">
        <v>0.09370000000000001</v>
      </c>
      <c r="K50" s="93" t="n">
        <v>0.1388</v>
      </c>
      <c r="L50" s="93" t="n">
        <v>0.0324</v>
      </c>
      <c r="M50" s="93" t="n">
        <v>0.0982</v>
      </c>
      <c r="N50" s="14">
        <f>MIN(D50,E50)*F50+MAX(0,D50-E50)*H50</f>
        <v/>
      </c>
      <c r="O50" s="14">
        <f>MIN(D50,E50)*G50+MAX(0,D50-E50)*I50</f>
        <v/>
      </c>
      <c r="P50" s="14">
        <f>N50+O50</f>
        <v/>
      </c>
      <c r="Q50" s="94">
        <f>P50/D50</f>
        <v/>
      </c>
      <c r="R50" s="14">
        <f>D50+O50</f>
        <v/>
      </c>
      <c r="S50" s="95" t="n">
        <v>39</v>
      </c>
      <c r="T50" s="95" t="n">
        <v>39.7</v>
      </c>
      <c r="U50" s="85" t="n">
        <v>228</v>
      </c>
      <c r="V50" s="96" t="n">
        <v>1778.4</v>
      </c>
      <c r="W50" s="96" t="n">
        <v>1810.3</v>
      </c>
      <c r="X50" s="92" t="n">
        <v>16327.01</v>
      </c>
      <c r="Y50" s="92" t="n">
        <v>17428.48</v>
      </c>
      <c r="Z50" s="95" t="n">
        <v>20.3</v>
      </c>
      <c r="AA50" s="97">
        <f>C50</f>
        <v/>
      </c>
      <c r="AB50" s="98">
        <f>D50/AA50</f>
        <v/>
      </c>
      <c r="AC50" s="93" t="n">
        <v>0.086904</v>
      </c>
      <c r="AD50" s="93" t="n">
        <v>0.052173</v>
      </c>
      <c r="AE50" s="94">
        <f>AC50</f>
        <v/>
      </c>
      <c r="AF50" s="94">
        <f>AD50</f>
        <v/>
      </c>
      <c r="AG50" s="97">
        <f>AG49*(1+AE50)</f>
        <v/>
      </c>
      <c r="AH50" s="97">
        <f>AH49*(1+AF50)</f>
        <v/>
      </c>
      <c r="AI50" s="97">
        <f>IF(AE50=0,1,AE50/(12*((1+AE50)^(1/12)-1)))</f>
        <v/>
      </c>
      <c r="AJ50" s="97">
        <f>IF(AF50=0,1,AF50/(12*((1+AF50)^(1/12)-1)))</f>
        <v/>
      </c>
      <c r="AK50" s="99">
        <f>D50*'3_Comparateur_detaille'!$B$16</f>
        <v/>
      </c>
      <c r="AL50" s="99">
        <f>IF('3_Comparateur_detaille'!$B$20="Privé",MIN(AK50,E50)*IF('3_Comparateur_detaille'!$B$15="cadre",J50,F50)+MAX(0,AK50-E50)*IF('3_Comparateur_detaille'!$B$15="cadre",L50,H50),AK50*SUMIFS(Donnees_regimes!$J$3:$J$1118,Donnees_regimes!$A$3:$A$1118,'3_Comparateur_detaille'!$B$20,Donnees_regimes!$B$3:$B$1118,A50))</f>
        <v/>
      </c>
      <c r="AM50" s="99">
        <f>IF('3_Comparateur_detaille'!$B$20="Privé",MIN(AK50,E50)*IF('3_Comparateur_detaille'!$B$15="cadre",K50,G50)+MAX(0,AK50-E50)*IF('3_Comparateur_detaille'!$B$15="cadre",M50,I50),AK50*SUMIFS(Donnees_regimes!$K$3:$K$1118,Donnees_regimes!$A$3:$A$1118,'3_Comparateur_detaille'!$B$20,Donnees_regimes!$B$3:$B$1118,A50))</f>
        <v/>
      </c>
      <c r="AN50" s="99">
        <f>IF('3_Comparateur_detaille'!$B$20="Privé",0,AK50*SUMIFS(Donnees_regimes!$L$3:$L$1118,Donnees_regimes!$A$3:$A$1118,'3_Comparateur_detaille'!$B$20,Donnees_regimes!$B$3:$B$1118,A50))</f>
        <v/>
      </c>
      <c r="AO50" s="100">
        <f>(AL50+AM50)/AA50*AI50/AG50</f>
        <v/>
      </c>
      <c r="AP50" s="100">
        <f>(AL50+AM50)/AA50*AJ50/AH50</f>
        <v/>
      </c>
      <c r="AQ50" s="99">
        <f>D50*'3_Comparateur_detaille'!$C$16</f>
        <v/>
      </c>
      <c r="AR50" s="99">
        <f>IF('3_Comparateur_detaille'!$C$20="Privé",MIN(AQ50,E50)*IF('3_Comparateur_detaille'!$C$15="cadre",J50,F50)+MAX(0,AQ50-E50)*IF('3_Comparateur_detaille'!$C$15="cadre",L50,H50),AQ50*SUMIFS(Donnees_regimes!$J$3:$J$1118,Donnees_regimes!$A$3:$A$1118,'3_Comparateur_detaille'!$C$20,Donnees_regimes!$B$3:$B$1118,A50))</f>
        <v/>
      </c>
      <c r="AS50" s="99">
        <f>IF('3_Comparateur_detaille'!$C$20="Privé",MIN(AQ50,E50)*IF('3_Comparateur_detaille'!$C$15="cadre",K50,G50)+MAX(0,AQ50-E50)*IF('3_Comparateur_detaille'!$C$15="cadre",M50,I50),AQ50*SUMIFS(Donnees_regimes!$K$3:$K$1118,Donnees_regimes!$A$3:$A$1118,'3_Comparateur_detaille'!$C$20,Donnees_regimes!$B$3:$B$1118,A50))</f>
        <v/>
      </c>
      <c r="AT50" s="99">
        <f>IF('3_Comparateur_detaille'!$C$20="Privé",0,AQ50*SUMIFS(Donnees_regimes!$L$3:$L$1118,Donnees_regimes!$A$3:$A$1118,'3_Comparateur_detaille'!$C$20,Donnees_regimes!$B$3:$B$1118,A50))</f>
        <v/>
      </c>
      <c r="AU50" s="100">
        <f>(AR50+AS50)/AA50*AI50/AG50</f>
        <v/>
      </c>
      <c r="AV50" s="100">
        <f>(AR50+AS50)/AA50*AJ50/AH50</f>
        <v/>
      </c>
    </row>
    <row r="51">
      <c r="A51" s="88" t="n">
        <v>1993</v>
      </c>
      <c r="B51" s="90" t="inlineStr">
        <is>
          <t>Observé</t>
        </is>
      </c>
      <c r="C51" s="91" t="n">
        <v>1.69356</v>
      </c>
      <c r="D51" s="92" t="n">
        <v>36495.62</v>
      </c>
      <c r="E51" s="92" t="n">
        <v>38680.8</v>
      </c>
      <c r="F51" s="93" t="n">
        <v>0.099926</v>
      </c>
      <c r="G51" s="93" t="n">
        <v>0.1388</v>
      </c>
      <c r="H51" s="93" t="n">
        <v>0.035226</v>
      </c>
      <c r="I51" s="93" t="n">
        <v>0.058</v>
      </c>
      <c r="J51" s="93" t="n">
        <v>0.099926</v>
      </c>
      <c r="K51" s="93" t="n">
        <v>0.1388</v>
      </c>
      <c r="L51" s="93" t="n">
        <v>0.038626</v>
      </c>
      <c r="M51" s="93" t="n">
        <v>0.0982</v>
      </c>
      <c r="N51" s="14">
        <f>MIN(D51,E51)*F51+MAX(0,D51-E51)*H51</f>
        <v/>
      </c>
      <c r="O51" s="14">
        <f>MIN(D51,E51)*G51+MAX(0,D51-E51)*I51</f>
        <v/>
      </c>
      <c r="P51" s="14">
        <f>N51+O51</f>
        <v/>
      </c>
      <c r="Q51" s="94">
        <f>P51/D51</f>
        <v/>
      </c>
      <c r="R51" s="14">
        <f>D51+O51</f>
        <v/>
      </c>
      <c r="S51" s="95" t="n">
        <v>39</v>
      </c>
      <c r="T51" s="95" t="n">
        <v>39.8</v>
      </c>
      <c r="U51" s="85" t="n">
        <v>229</v>
      </c>
      <c r="V51" s="96" t="n">
        <v>1786.2</v>
      </c>
      <c r="W51" s="96" t="n">
        <v>1822.8</v>
      </c>
      <c r="X51" s="92" t="n">
        <v>16506.61</v>
      </c>
      <c r="Y51" s="92" t="n">
        <v>17620.2</v>
      </c>
      <c r="Z51" s="95" t="n">
        <v>20.45</v>
      </c>
      <c r="AA51" s="97">
        <f>C51</f>
        <v/>
      </c>
      <c r="AB51" s="98">
        <f>D51/AA51</f>
        <v/>
      </c>
      <c r="AC51" s="93" t="n">
        <v>0.260794</v>
      </c>
      <c r="AD51" s="93" t="n">
        <v>0.22093</v>
      </c>
      <c r="AE51" s="94">
        <f>AC51</f>
        <v/>
      </c>
      <c r="AF51" s="94">
        <f>AD51</f>
        <v/>
      </c>
      <c r="AG51" s="97">
        <f>AG50*(1+AE51)</f>
        <v/>
      </c>
      <c r="AH51" s="97">
        <f>AH50*(1+AF51)</f>
        <v/>
      </c>
      <c r="AI51" s="97">
        <f>IF(AE51=0,1,AE51/(12*((1+AE51)^(1/12)-1)))</f>
        <v/>
      </c>
      <c r="AJ51" s="97">
        <f>IF(AF51=0,1,AF51/(12*((1+AF51)^(1/12)-1)))</f>
        <v/>
      </c>
      <c r="AK51" s="99">
        <f>D51*'3_Comparateur_detaille'!$B$16</f>
        <v/>
      </c>
      <c r="AL51" s="99">
        <f>IF('3_Comparateur_detaille'!$B$20="Privé",MIN(AK51,E51)*IF('3_Comparateur_detaille'!$B$15="cadre",J51,F51)+MAX(0,AK51-E51)*IF('3_Comparateur_detaille'!$B$15="cadre",L51,H51),AK51*SUMIFS(Donnees_regimes!$J$3:$J$1118,Donnees_regimes!$A$3:$A$1118,'3_Comparateur_detaille'!$B$20,Donnees_regimes!$B$3:$B$1118,A51))</f>
        <v/>
      </c>
      <c r="AM51" s="99">
        <f>IF('3_Comparateur_detaille'!$B$20="Privé",MIN(AK51,E51)*IF('3_Comparateur_detaille'!$B$15="cadre",K51,G51)+MAX(0,AK51-E51)*IF('3_Comparateur_detaille'!$B$15="cadre",M51,I51),AK51*SUMIFS(Donnees_regimes!$K$3:$K$1118,Donnees_regimes!$A$3:$A$1118,'3_Comparateur_detaille'!$B$20,Donnees_regimes!$B$3:$B$1118,A51))</f>
        <v/>
      </c>
      <c r="AN51" s="99">
        <f>IF('3_Comparateur_detaille'!$B$20="Privé",0,AK51*SUMIFS(Donnees_regimes!$L$3:$L$1118,Donnees_regimes!$A$3:$A$1118,'3_Comparateur_detaille'!$B$20,Donnees_regimes!$B$3:$B$1118,A51))</f>
        <v/>
      </c>
      <c r="AO51" s="100">
        <f>(AL51+AM51)/AA51*AI51/AG51</f>
        <v/>
      </c>
      <c r="AP51" s="100">
        <f>(AL51+AM51)/AA51*AJ51/AH51</f>
        <v/>
      </c>
      <c r="AQ51" s="99">
        <f>D51*'3_Comparateur_detaille'!$C$16</f>
        <v/>
      </c>
      <c r="AR51" s="99">
        <f>IF('3_Comparateur_detaille'!$C$20="Privé",MIN(AQ51,E51)*IF('3_Comparateur_detaille'!$C$15="cadre",J51,F51)+MAX(0,AQ51-E51)*IF('3_Comparateur_detaille'!$C$15="cadre",L51,H51),AQ51*SUMIFS(Donnees_regimes!$J$3:$J$1118,Donnees_regimes!$A$3:$A$1118,'3_Comparateur_detaille'!$C$20,Donnees_regimes!$B$3:$B$1118,A51))</f>
        <v/>
      </c>
      <c r="AS51" s="99">
        <f>IF('3_Comparateur_detaille'!$C$20="Privé",MIN(AQ51,E51)*IF('3_Comparateur_detaille'!$C$15="cadre",K51,G51)+MAX(0,AQ51-E51)*IF('3_Comparateur_detaille'!$C$15="cadre",M51,I51),AQ51*SUMIFS(Donnees_regimes!$K$3:$K$1118,Donnees_regimes!$A$3:$A$1118,'3_Comparateur_detaille'!$C$20,Donnees_regimes!$B$3:$B$1118,A51))</f>
        <v/>
      </c>
      <c r="AT51" s="99">
        <f>IF('3_Comparateur_detaille'!$C$20="Privé",0,AQ51*SUMIFS(Donnees_regimes!$L$3:$L$1118,Donnees_regimes!$A$3:$A$1118,'3_Comparateur_detaille'!$C$20,Donnees_regimes!$B$3:$B$1118,A51))</f>
        <v/>
      </c>
      <c r="AU51" s="100">
        <f>(AR51+AS51)/AA51*AI51/AG51</f>
        <v/>
      </c>
      <c r="AV51" s="100">
        <f>(AR51+AS51)/AA51*AJ51/AH51</f>
        <v/>
      </c>
    </row>
    <row r="52">
      <c r="A52" s="88" t="n">
        <v>1994</v>
      </c>
      <c r="B52" s="90" t="inlineStr">
        <is>
          <t>Observé</t>
        </is>
      </c>
      <c r="C52" s="91" t="n">
        <v>1.66612</v>
      </c>
      <c r="D52" s="92" t="n">
        <v>36892.83</v>
      </c>
      <c r="E52" s="92" t="n">
        <v>38892.25</v>
      </c>
      <c r="F52" s="93" t="n">
        <v>0.10685</v>
      </c>
      <c r="G52" s="93" t="n">
        <v>0.1396</v>
      </c>
      <c r="H52" s="93" t="n">
        <v>0.04225</v>
      </c>
      <c r="I52" s="93" t="n">
        <v>0.0589</v>
      </c>
      <c r="J52" s="93" t="n">
        <v>0.10685</v>
      </c>
      <c r="K52" s="93" t="n">
        <v>0.1396</v>
      </c>
      <c r="L52" s="93" t="n">
        <v>0.05855</v>
      </c>
      <c r="M52" s="93" t="n">
        <v>0.1132</v>
      </c>
      <c r="N52" s="14">
        <f>MIN(D52,E52)*F52+MAX(0,D52-E52)*H52</f>
        <v/>
      </c>
      <c r="O52" s="14">
        <f>MIN(D52,E52)*G52+MAX(0,D52-E52)*I52</f>
        <v/>
      </c>
      <c r="P52" s="14">
        <f>N52+O52</f>
        <v/>
      </c>
      <c r="Q52" s="94">
        <f>P52/D52</f>
        <v/>
      </c>
      <c r="R52" s="14">
        <f>D52+O52</f>
        <v/>
      </c>
      <c r="S52" s="95" t="n">
        <v>39</v>
      </c>
      <c r="T52" s="95" t="n">
        <v>39.8</v>
      </c>
      <c r="U52" s="85" t="n">
        <v>228</v>
      </c>
      <c r="V52" s="96" t="n">
        <v>1778.4</v>
      </c>
      <c r="W52" s="96" t="n">
        <v>1814.9</v>
      </c>
      <c r="X52" s="92" t="n">
        <v>16688.18</v>
      </c>
      <c r="Y52" s="92" t="n">
        <v>17814.02</v>
      </c>
      <c r="Z52" s="95" t="n">
        <v>20.6</v>
      </c>
      <c r="AA52" s="97">
        <f>C52</f>
        <v/>
      </c>
      <c r="AB52" s="98">
        <f>D52/AA52</f>
        <v/>
      </c>
      <c r="AC52" s="93" t="n">
        <v>-0.144364</v>
      </c>
      <c r="AD52" s="93" t="n">
        <v>-0.170649</v>
      </c>
      <c r="AE52" s="94">
        <f>AC52</f>
        <v/>
      </c>
      <c r="AF52" s="94">
        <f>AD52</f>
        <v/>
      </c>
      <c r="AG52" s="97">
        <f>AG51*(1+AE52)</f>
        <v/>
      </c>
      <c r="AH52" s="97">
        <f>AH51*(1+AF52)</f>
        <v/>
      </c>
      <c r="AI52" s="97">
        <f>IF(AE52=0,1,AE52/(12*((1+AE52)^(1/12)-1)))</f>
        <v/>
      </c>
      <c r="AJ52" s="97">
        <f>IF(AF52=0,1,AF52/(12*((1+AF52)^(1/12)-1)))</f>
        <v/>
      </c>
      <c r="AK52" s="99">
        <f>D52*'3_Comparateur_detaille'!$B$16</f>
        <v/>
      </c>
      <c r="AL52" s="99">
        <f>IF('3_Comparateur_detaille'!$B$20="Privé",MIN(AK52,E52)*IF('3_Comparateur_detaille'!$B$15="cadre",J52,F52)+MAX(0,AK52-E52)*IF('3_Comparateur_detaille'!$B$15="cadre",L52,H52),AK52*SUMIFS(Donnees_regimes!$J$3:$J$1118,Donnees_regimes!$A$3:$A$1118,'3_Comparateur_detaille'!$B$20,Donnees_regimes!$B$3:$B$1118,A52))</f>
        <v/>
      </c>
      <c r="AM52" s="99">
        <f>IF('3_Comparateur_detaille'!$B$20="Privé",MIN(AK52,E52)*IF('3_Comparateur_detaille'!$B$15="cadre",K52,G52)+MAX(0,AK52-E52)*IF('3_Comparateur_detaille'!$B$15="cadre",M52,I52),AK52*SUMIFS(Donnees_regimes!$K$3:$K$1118,Donnees_regimes!$A$3:$A$1118,'3_Comparateur_detaille'!$B$20,Donnees_regimes!$B$3:$B$1118,A52))</f>
        <v/>
      </c>
      <c r="AN52" s="99">
        <f>IF('3_Comparateur_detaille'!$B$20="Privé",0,AK52*SUMIFS(Donnees_regimes!$L$3:$L$1118,Donnees_regimes!$A$3:$A$1118,'3_Comparateur_detaille'!$B$20,Donnees_regimes!$B$3:$B$1118,A52))</f>
        <v/>
      </c>
      <c r="AO52" s="100">
        <f>(AL52+AM52)/AA52*AI52/AG52</f>
        <v/>
      </c>
      <c r="AP52" s="100">
        <f>(AL52+AM52)/AA52*AJ52/AH52</f>
        <v/>
      </c>
      <c r="AQ52" s="99">
        <f>D52*'3_Comparateur_detaille'!$C$16</f>
        <v/>
      </c>
      <c r="AR52" s="99">
        <f>IF('3_Comparateur_detaille'!$C$20="Privé",MIN(AQ52,E52)*IF('3_Comparateur_detaille'!$C$15="cadre",J52,F52)+MAX(0,AQ52-E52)*IF('3_Comparateur_detaille'!$C$15="cadre",L52,H52),AQ52*SUMIFS(Donnees_regimes!$J$3:$J$1118,Donnees_regimes!$A$3:$A$1118,'3_Comparateur_detaille'!$C$20,Donnees_regimes!$B$3:$B$1118,A52))</f>
        <v/>
      </c>
      <c r="AS52" s="99">
        <f>IF('3_Comparateur_detaille'!$C$20="Privé",MIN(AQ52,E52)*IF('3_Comparateur_detaille'!$C$15="cadre",K52,G52)+MAX(0,AQ52-E52)*IF('3_Comparateur_detaille'!$C$15="cadre",M52,I52),AQ52*SUMIFS(Donnees_regimes!$K$3:$K$1118,Donnees_regimes!$A$3:$A$1118,'3_Comparateur_detaille'!$C$20,Donnees_regimes!$B$3:$B$1118,A52))</f>
        <v/>
      </c>
      <c r="AT52" s="99">
        <f>IF('3_Comparateur_detaille'!$C$20="Privé",0,AQ52*SUMIFS(Donnees_regimes!$L$3:$L$1118,Donnees_regimes!$A$3:$A$1118,'3_Comparateur_detaille'!$C$20,Donnees_regimes!$B$3:$B$1118,A52))</f>
        <v/>
      </c>
      <c r="AU52" s="100">
        <f>(AR52+AS52)/AA52*AI52/AG52</f>
        <v/>
      </c>
      <c r="AV52" s="100">
        <f>(AR52+AS52)/AA52*AJ52/AH52</f>
        <v/>
      </c>
    </row>
    <row r="53">
      <c r="A53" s="88" t="n">
        <v>1995</v>
      </c>
      <c r="B53" s="90" t="inlineStr">
        <is>
          <t>Observé</t>
        </is>
      </c>
      <c r="C53" s="91" t="n">
        <v>1.63508</v>
      </c>
      <c r="D53" s="92" t="n">
        <v>37187.96</v>
      </c>
      <c r="E53" s="92" t="n">
        <v>38870.56</v>
      </c>
      <c r="F53" s="93" t="n">
        <v>0.10685</v>
      </c>
      <c r="G53" s="93" t="n">
        <v>0.1396</v>
      </c>
      <c r="H53" s="93" t="n">
        <v>0.04225</v>
      </c>
      <c r="I53" s="93" t="n">
        <v>0.0589</v>
      </c>
      <c r="J53" s="93" t="n">
        <v>0.10685</v>
      </c>
      <c r="K53" s="93" t="n">
        <v>0.1396</v>
      </c>
      <c r="L53" s="93" t="n">
        <v>0.07224999999999999</v>
      </c>
      <c r="M53" s="93" t="n">
        <v>0.1289</v>
      </c>
      <c r="N53" s="14">
        <f>MIN(D53,E53)*F53+MAX(0,D53-E53)*H53</f>
        <v/>
      </c>
      <c r="O53" s="14">
        <f>MIN(D53,E53)*G53+MAX(0,D53-E53)*I53</f>
        <v/>
      </c>
      <c r="P53" s="14">
        <f>N53+O53</f>
        <v/>
      </c>
      <c r="Q53" s="94">
        <f>P53/D53</f>
        <v/>
      </c>
      <c r="R53" s="14">
        <f>D53+O53</f>
        <v/>
      </c>
      <c r="S53" s="95" t="n">
        <v>39</v>
      </c>
      <c r="T53" s="95" t="n">
        <v>39.8</v>
      </c>
      <c r="U53" s="85" t="n">
        <v>226</v>
      </c>
      <c r="V53" s="96" t="n">
        <v>1762.8</v>
      </c>
      <c r="W53" s="96" t="n">
        <v>1799</v>
      </c>
      <c r="X53" s="92" t="n">
        <v>16871.75</v>
      </c>
      <c r="Y53" s="92" t="n">
        <v>18009.97</v>
      </c>
      <c r="Z53" s="95" t="n">
        <v>20.75</v>
      </c>
      <c r="AA53" s="97">
        <f>C53</f>
        <v/>
      </c>
      <c r="AB53" s="98">
        <f>D53/AA53</f>
        <v/>
      </c>
      <c r="AC53" s="93" t="n">
        <v>0.02831</v>
      </c>
      <c r="AD53" s="93" t="n">
        <v>-0.00488</v>
      </c>
      <c r="AE53" s="94">
        <f>AC53</f>
        <v/>
      </c>
      <c r="AF53" s="94">
        <f>AD53</f>
        <v/>
      </c>
      <c r="AG53" s="97">
        <f>AG52*(1+AE53)</f>
        <v/>
      </c>
      <c r="AH53" s="97">
        <f>AH52*(1+AF53)</f>
        <v/>
      </c>
      <c r="AI53" s="97">
        <f>IF(AE53=0,1,AE53/(12*((1+AE53)^(1/12)-1)))</f>
        <v/>
      </c>
      <c r="AJ53" s="97">
        <f>IF(AF53=0,1,AF53/(12*((1+AF53)^(1/12)-1)))</f>
        <v/>
      </c>
      <c r="AK53" s="99">
        <f>D53*'3_Comparateur_detaille'!$B$16</f>
        <v/>
      </c>
      <c r="AL53" s="99">
        <f>IF('3_Comparateur_detaille'!$B$20="Privé",MIN(AK53,E53)*IF('3_Comparateur_detaille'!$B$15="cadre",J53,F53)+MAX(0,AK53-E53)*IF('3_Comparateur_detaille'!$B$15="cadre",L53,H53),AK53*SUMIFS(Donnees_regimes!$J$3:$J$1118,Donnees_regimes!$A$3:$A$1118,'3_Comparateur_detaille'!$B$20,Donnees_regimes!$B$3:$B$1118,A53))</f>
        <v/>
      </c>
      <c r="AM53" s="99">
        <f>IF('3_Comparateur_detaille'!$B$20="Privé",MIN(AK53,E53)*IF('3_Comparateur_detaille'!$B$15="cadre",K53,G53)+MAX(0,AK53-E53)*IF('3_Comparateur_detaille'!$B$15="cadre",M53,I53),AK53*SUMIFS(Donnees_regimes!$K$3:$K$1118,Donnees_regimes!$A$3:$A$1118,'3_Comparateur_detaille'!$B$20,Donnees_regimes!$B$3:$B$1118,A53))</f>
        <v/>
      </c>
      <c r="AN53" s="99">
        <f>IF('3_Comparateur_detaille'!$B$20="Privé",0,AK53*SUMIFS(Donnees_regimes!$L$3:$L$1118,Donnees_regimes!$A$3:$A$1118,'3_Comparateur_detaille'!$B$20,Donnees_regimes!$B$3:$B$1118,A53))</f>
        <v/>
      </c>
      <c r="AO53" s="100">
        <f>(AL53+AM53)/AA53*AI53/AG53</f>
        <v/>
      </c>
      <c r="AP53" s="100">
        <f>(AL53+AM53)/AA53*AJ53/AH53</f>
        <v/>
      </c>
      <c r="AQ53" s="99">
        <f>D53*'3_Comparateur_detaille'!$C$16</f>
        <v/>
      </c>
      <c r="AR53" s="99">
        <f>IF('3_Comparateur_detaille'!$C$20="Privé",MIN(AQ53,E53)*IF('3_Comparateur_detaille'!$C$15="cadre",J53,F53)+MAX(0,AQ53-E53)*IF('3_Comparateur_detaille'!$C$15="cadre",L53,H53),AQ53*SUMIFS(Donnees_regimes!$J$3:$J$1118,Donnees_regimes!$A$3:$A$1118,'3_Comparateur_detaille'!$C$20,Donnees_regimes!$B$3:$B$1118,A53))</f>
        <v/>
      </c>
      <c r="AS53" s="99">
        <f>IF('3_Comparateur_detaille'!$C$20="Privé",MIN(AQ53,E53)*IF('3_Comparateur_detaille'!$C$15="cadre",K53,G53)+MAX(0,AQ53-E53)*IF('3_Comparateur_detaille'!$C$15="cadre",M53,I53),AQ53*SUMIFS(Donnees_regimes!$K$3:$K$1118,Donnees_regimes!$A$3:$A$1118,'3_Comparateur_detaille'!$C$20,Donnees_regimes!$B$3:$B$1118,A53))</f>
        <v/>
      </c>
      <c r="AT53" s="99">
        <f>IF('3_Comparateur_detaille'!$C$20="Privé",0,AQ53*SUMIFS(Donnees_regimes!$L$3:$L$1118,Donnees_regimes!$A$3:$A$1118,'3_Comparateur_detaille'!$C$20,Donnees_regimes!$B$3:$B$1118,A53))</f>
        <v/>
      </c>
      <c r="AU53" s="100">
        <f>(AR53+AS53)/AA53*AI53/AG53</f>
        <v/>
      </c>
      <c r="AV53" s="100">
        <f>(AR53+AS53)/AA53*AJ53/AH53</f>
        <v/>
      </c>
    </row>
    <row r="54">
      <c r="A54" s="88" t="n">
        <v>1996</v>
      </c>
      <c r="B54" s="90" t="inlineStr">
        <is>
          <t>Observé</t>
        </is>
      </c>
      <c r="C54" s="91" t="n">
        <v>1.60416</v>
      </c>
      <c r="D54" s="92" t="n">
        <v>37346.02</v>
      </c>
      <c r="E54" s="92" t="n">
        <v>39426.77</v>
      </c>
      <c r="F54" s="93" t="n">
        <v>0.110524</v>
      </c>
      <c r="G54" s="93" t="n">
        <v>0.14335</v>
      </c>
      <c r="H54" s="93" t="n">
        <v>0.045924</v>
      </c>
      <c r="I54" s="93" t="n">
        <v>0.06265</v>
      </c>
      <c r="J54" s="93" t="n">
        <v>0.110524</v>
      </c>
      <c r="K54" s="93" t="n">
        <v>0.14335</v>
      </c>
      <c r="L54" s="93" t="n">
        <v>0.07967399999999999</v>
      </c>
      <c r="M54" s="93" t="n">
        <v>0.13515</v>
      </c>
      <c r="N54" s="14">
        <f>MIN(D54,E54)*F54+MAX(0,D54-E54)*H54</f>
        <v/>
      </c>
      <c r="O54" s="14">
        <f>MIN(D54,E54)*G54+MAX(0,D54-E54)*I54</f>
        <v/>
      </c>
      <c r="P54" s="14">
        <f>N54+O54</f>
        <v/>
      </c>
      <c r="Q54" s="94">
        <f>P54/D54</f>
        <v/>
      </c>
      <c r="R54" s="14">
        <f>D54+O54</f>
        <v/>
      </c>
      <c r="S54" s="95" t="n">
        <v>39</v>
      </c>
      <c r="T54" s="95" t="n">
        <v>39.8</v>
      </c>
      <c r="U54" s="85" t="n">
        <v>227</v>
      </c>
      <c r="V54" s="96" t="n">
        <v>1770.6</v>
      </c>
      <c r="W54" s="96" t="n">
        <v>1806.9</v>
      </c>
      <c r="X54" s="92" t="n">
        <v>17057.34</v>
      </c>
      <c r="Y54" s="92" t="n">
        <v>18208.08</v>
      </c>
      <c r="Z54" s="95" t="n">
        <v>20.9</v>
      </c>
      <c r="AA54" s="97">
        <f>C54</f>
        <v/>
      </c>
      <c r="AB54" s="98">
        <f>D54/AA54</f>
        <v/>
      </c>
      <c r="AC54" s="93" t="n">
        <v>0.275928</v>
      </c>
      <c r="AD54" s="93" t="n">
        <v>0.237055</v>
      </c>
      <c r="AE54" s="94">
        <f>AC54</f>
        <v/>
      </c>
      <c r="AF54" s="94">
        <f>AD54</f>
        <v/>
      </c>
      <c r="AG54" s="97">
        <f>AG53*(1+AE54)</f>
        <v/>
      </c>
      <c r="AH54" s="97">
        <f>AH53*(1+AF54)</f>
        <v/>
      </c>
      <c r="AI54" s="97">
        <f>IF(AE54=0,1,AE54/(12*((1+AE54)^(1/12)-1)))</f>
        <v/>
      </c>
      <c r="AJ54" s="97">
        <f>IF(AF54=0,1,AF54/(12*((1+AF54)^(1/12)-1)))</f>
        <v/>
      </c>
      <c r="AK54" s="99">
        <f>D54*'3_Comparateur_detaille'!$B$16</f>
        <v/>
      </c>
      <c r="AL54" s="99">
        <f>IF('3_Comparateur_detaille'!$B$20="Privé",MIN(AK54,E54)*IF('3_Comparateur_detaille'!$B$15="cadre",J54,F54)+MAX(0,AK54-E54)*IF('3_Comparateur_detaille'!$B$15="cadre",L54,H54),AK54*SUMIFS(Donnees_regimes!$J$3:$J$1118,Donnees_regimes!$A$3:$A$1118,'3_Comparateur_detaille'!$B$20,Donnees_regimes!$B$3:$B$1118,A54))</f>
        <v/>
      </c>
      <c r="AM54" s="99">
        <f>IF('3_Comparateur_detaille'!$B$20="Privé",MIN(AK54,E54)*IF('3_Comparateur_detaille'!$B$15="cadre",K54,G54)+MAX(0,AK54-E54)*IF('3_Comparateur_detaille'!$B$15="cadre",M54,I54),AK54*SUMIFS(Donnees_regimes!$K$3:$K$1118,Donnees_regimes!$A$3:$A$1118,'3_Comparateur_detaille'!$B$20,Donnees_regimes!$B$3:$B$1118,A54))</f>
        <v/>
      </c>
      <c r="AN54" s="99">
        <f>IF('3_Comparateur_detaille'!$B$20="Privé",0,AK54*SUMIFS(Donnees_regimes!$L$3:$L$1118,Donnees_regimes!$A$3:$A$1118,'3_Comparateur_detaille'!$B$20,Donnees_regimes!$B$3:$B$1118,A54))</f>
        <v/>
      </c>
      <c r="AO54" s="100">
        <f>(AL54+AM54)/AA54*AI54/AG54</f>
        <v/>
      </c>
      <c r="AP54" s="100">
        <f>(AL54+AM54)/AA54*AJ54/AH54</f>
        <v/>
      </c>
      <c r="AQ54" s="99">
        <f>D54*'3_Comparateur_detaille'!$C$16</f>
        <v/>
      </c>
      <c r="AR54" s="99">
        <f>IF('3_Comparateur_detaille'!$C$20="Privé",MIN(AQ54,E54)*IF('3_Comparateur_detaille'!$C$15="cadre",J54,F54)+MAX(0,AQ54-E54)*IF('3_Comparateur_detaille'!$C$15="cadre",L54,H54),AQ54*SUMIFS(Donnees_regimes!$J$3:$J$1118,Donnees_regimes!$A$3:$A$1118,'3_Comparateur_detaille'!$C$20,Donnees_regimes!$B$3:$B$1118,A54))</f>
        <v/>
      </c>
      <c r="AS54" s="99">
        <f>IF('3_Comparateur_detaille'!$C$20="Privé",MIN(AQ54,E54)*IF('3_Comparateur_detaille'!$C$15="cadre",K54,G54)+MAX(0,AQ54-E54)*IF('3_Comparateur_detaille'!$C$15="cadre",M54,I54),AQ54*SUMIFS(Donnees_regimes!$K$3:$K$1118,Donnees_regimes!$A$3:$A$1118,'3_Comparateur_detaille'!$C$20,Donnees_regimes!$B$3:$B$1118,A54))</f>
        <v/>
      </c>
      <c r="AT54" s="99">
        <f>IF('3_Comparateur_detaille'!$C$20="Privé",0,AQ54*SUMIFS(Donnees_regimes!$L$3:$L$1118,Donnees_regimes!$A$3:$A$1118,'3_Comparateur_detaille'!$C$20,Donnees_regimes!$B$3:$B$1118,A54))</f>
        <v/>
      </c>
      <c r="AU54" s="100">
        <f>(AR54+AS54)/AA54*AI54/AG54</f>
        <v/>
      </c>
      <c r="AV54" s="100">
        <f>(AR54+AS54)/AA54*AJ54/AH54</f>
        <v/>
      </c>
    </row>
    <row r="55">
      <c r="A55" s="88" t="n">
        <v>1997</v>
      </c>
      <c r="B55" s="90" t="inlineStr">
        <is>
          <t>Observé</t>
        </is>
      </c>
      <c r="C55" s="91" t="n">
        <v>1.58493</v>
      </c>
      <c r="D55" s="92" t="n">
        <v>37543.68</v>
      </c>
      <c r="E55" s="92" t="n">
        <v>39780.47</v>
      </c>
      <c r="F55" s="93" t="n">
        <v>0.113133</v>
      </c>
      <c r="G55" s="93" t="n">
        <v>0.1471</v>
      </c>
      <c r="H55" s="93" t="n">
        <v>0.048532</v>
      </c>
      <c r="I55" s="93" t="n">
        <v>0.0664</v>
      </c>
      <c r="J55" s="93" t="n">
        <v>0.113383</v>
      </c>
      <c r="K55" s="93" t="n">
        <v>0.14755</v>
      </c>
      <c r="L55" s="93" t="n">
        <v>0.086282</v>
      </c>
      <c r="M55" s="93" t="n">
        <v>0.14185</v>
      </c>
      <c r="N55" s="14">
        <f>MIN(D55,E55)*F55+MAX(0,D55-E55)*H55</f>
        <v/>
      </c>
      <c r="O55" s="14">
        <f>MIN(D55,E55)*G55+MAX(0,D55-E55)*I55</f>
        <v/>
      </c>
      <c r="P55" s="14">
        <f>N55+O55</f>
        <v/>
      </c>
      <c r="Q55" s="94">
        <f>P55/D55</f>
        <v/>
      </c>
      <c r="R55" s="14">
        <f>D55+O55</f>
        <v/>
      </c>
      <c r="S55" s="95" t="n">
        <v>39</v>
      </c>
      <c r="T55" s="95" t="n">
        <v>39.7</v>
      </c>
      <c r="U55" s="85" t="n">
        <v>226</v>
      </c>
      <c r="V55" s="96" t="n">
        <v>1762.8</v>
      </c>
      <c r="W55" s="96" t="n">
        <v>1794.4</v>
      </c>
      <c r="X55" s="92" t="n">
        <v>17244.97</v>
      </c>
      <c r="Y55" s="92" t="n">
        <v>18408.37</v>
      </c>
      <c r="Z55" s="95" t="n">
        <v>21.05</v>
      </c>
      <c r="AA55" s="97">
        <f>C55</f>
        <v/>
      </c>
      <c r="AB55" s="98">
        <f>D55/AA55</f>
        <v/>
      </c>
      <c r="AC55" s="93" t="n">
        <v>0.329545</v>
      </c>
      <c r="AD55" s="93" t="n">
        <v>0.295017</v>
      </c>
      <c r="AE55" s="94">
        <f>AC55</f>
        <v/>
      </c>
      <c r="AF55" s="94">
        <f>AD55</f>
        <v/>
      </c>
      <c r="AG55" s="97">
        <f>AG54*(1+AE55)</f>
        <v/>
      </c>
      <c r="AH55" s="97">
        <f>AH54*(1+AF55)</f>
        <v/>
      </c>
      <c r="AI55" s="97">
        <f>IF(AE55=0,1,AE55/(12*((1+AE55)^(1/12)-1)))</f>
        <v/>
      </c>
      <c r="AJ55" s="97">
        <f>IF(AF55=0,1,AF55/(12*((1+AF55)^(1/12)-1)))</f>
        <v/>
      </c>
      <c r="AK55" s="99">
        <f>D55*'3_Comparateur_detaille'!$B$16</f>
        <v/>
      </c>
      <c r="AL55" s="99">
        <f>IF('3_Comparateur_detaille'!$B$20="Privé",MIN(AK55,E55)*IF('3_Comparateur_detaille'!$B$15="cadre",J55,F55)+MAX(0,AK55-E55)*IF('3_Comparateur_detaille'!$B$15="cadre",L55,H55),AK55*SUMIFS(Donnees_regimes!$J$3:$J$1118,Donnees_regimes!$A$3:$A$1118,'3_Comparateur_detaille'!$B$20,Donnees_regimes!$B$3:$B$1118,A55))</f>
        <v/>
      </c>
      <c r="AM55" s="99">
        <f>IF('3_Comparateur_detaille'!$B$20="Privé",MIN(AK55,E55)*IF('3_Comparateur_detaille'!$B$15="cadre",K55,G55)+MAX(0,AK55-E55)*IF('3_Comparateur_detaille'!$B$15="cadre",M55,I55),AK55*SUMIFS(Donnees_regimes!$K$3:$K$1118,Donnees_regimes!$A$3:$A$1118,'3_Comparateur_detaille'!$B$20,Donnees_regimes!$B$3:$B$1118,A55))</f>
        <v/>
      </c>
      <c r="AN55" s="99">
        <f>IF('3_Comparateur_detaille'!$B$20="Privé",0,AK55*SUMIFS(Donnees_regimes!$L$3:$L$1118,Donnees_regimes!$A$3:$A$1118,'3_Comparateur_detaille'!$B$20,Donnees_regimes!$B$3:$B$1118,A55))</f>
        <v/>
      </c>
      <c r="AO55" s="100">
        <f>(AL55+AM55)/AA55*AI55/AG55</f>
        <v/>
      </c>
      <c r="AP55" s="100">
        <f>(AL55+AM55)/AA55*AJ55/AH55</f>
        <v/>
      </c>
      <c r="AQ55" s="99">
        <f>D55*'3_Comparateur_detaille'!$C$16</f>
        <v/>
      </c>
      <c r="AR55" s="99">
        <f>IF('3_Comparateur_detaille'!$C$20="Privé",MIN(AQ55,E55)*IF('3_Comparateur_detaille'!$C$15="cadre",J55,F55)+MAX(0,AQ55-E55)*IF('3_Comparateur_detaille'!$C$15="cadre",L55,H55),AQ55*SUMIFS(Donnees_regimes!$J$3:$J$1118,Donnees_regimes!$A$3:$A$1118,'3_Comparateur_detaille'!$C$20,Donnees_regimes!$B$3:$B$1118,A55))</f>
        <v/>
      </c>
      <c r="AS55" s="99">
        <f>IF('3_Comparateur_detaille'!$C$20="Privé",MIN(AQ55,E55)*IF('3_Comparateur_detaille'!$C$15="cadre",K55,G55)+MAX(0,AQ55-E55)*IF('3_Comparateur_detaille'!$C$15="cadre",M55,I55),AQ55*SUMIFS(Donnees_regimes!$K$3:$K$1118,Donnees_regimes!$A$3:$A$1118,'3_Comparateur_detaille'!$C$20,Donnees_regimes!$B$3:$B$1118,A55))</f>
        <v/>
      </c>
      <c r="AT55" s="99">
        <f>IF('3_Comparateur_detaille'!$C$20="Privé",0,AQ55*SUMIFS(Donnees_regimes!$L$3:$L$1118,Donnees_regimes!$A$3:$A$1118,'3_Comparateur_detaille'!$C$20,Donnees_regimes!$B$3:$B$1118,A55))</f>
        <v/>
      </c>
      <c r="AU55" s="100">
        <f>(AR55+AS55)/AA55*AI55/AG55</f>
        <v/>
      </c>
      <c r="AV55" s="100">
        <f>(AR55+AS55)/AA55*AJ55/AH55</f>
        <v/>
      </c>
    </row>
    <row r="56">
      <c r="A56" s="88" t="n">
        <v>1998</v>
      </c>
      <c r="B56" s="90" t="inlineStr">
        <is>
          <t>Observé</t>
        </is>
      </c>
      <c r="C56" s="91" t="n">
        <v>1.57463</v>
      </c>
      <c r="D56" s="92" t="n">
        <v>37656.85</v>
      </c>
      <c r="E56" s="92" t="n">
        <v>40587.86</v>
      </c>
      <c r="F56" s="93" t="n">
        <v>0.115633</v>
      </c>
      <c r="G56" s="93" t="n">
        <v>0.15085</v>
      </c>
      <c r="H56" s="93" t="n">
        <v>0.051032</v>
      </c>
      <c r="I56" s="93" t="n">
        <v>0.07015</v>
      </c>
      <c r="J56" s="93" t="n">
        <v>0.116133</v>
      </c>
      <c r="K56" s="93" t="n">
        <v>0.15175</v>
      </c>
      <c r="L56" s="93" t="n">
        <v>0.092783</v>
      </c>
      <c r="M56" s="93" t="n">
        <v>0.14855</v>
      </c>
      <c r="N56" s="14">
        <f>MIN(D56,E56)*F56+MAX(0,D56-E56)*H56</f>
        <v/>
      </c>
      <c r="O56" s="14">
        <f>MIN(D56,E56)*G56+MAX(0,D56-E56)*I56</f>
        <v/>
      </c>
      <c r="P56" s="14">
        <f>N56+O56</f>
        <v/>
      </c>
      <c r="Q56" s="94">
        <f>P56/D56</f>
        <v/>
      </c>
      <c r="R56" s="14">
        <f>D56+O56</f>
        <v/>
      </c>
      <c r="S56" s="95" t="n">
        <v>39</v>
      </c>
      <c r="T56" s="95" t="n">
        <v>39.7</v>
      </c>
      <c r="U56" s="85" t="n">
        <v>227</v>
      </c>
      <c r="V56" s="96" t="n">
        <v>1770.6</v>
      </c>
      <c r="W56" s="96" t="n">
        <v>1802.4</v>
      </c>
      <c r="X56" s="92" t="n">
        <v>17434.66</v>
      </c>
      <c r="Y56" s="92" t="n">
        <v>18610.86</v>
      </c>
      <c r="Z56" s="95" t="n">
        <v>21.2</v>
      </c>
      <c r="AA56" s="97">
        <f>C56</f>
        <v/>
      </c>
      <c r="AB56" s="98">
        <f>D56/AA56</f>
        <v/>
      </c>
      <c r="AC56" s="93" t="n">
        <v>0.340642</v>
      </c>
      <c r="AD56" s="93" t="n">
        <v>0.314698</v>
      </c>
      <c r="AE56" s="94">
        <f>AC56</f>
        <v/>
      </c>
      <c r="AF56" s="94">
        <f>AD56</f>
        <v/>
      </c>
      <c r="AG56" s="97">
        <f>AG55*(1+AE56)</f>
        <v/>
      </c>
      <c r="AH56" s="97">
        <f>AH55*(1+AF56)</f>
        <v/>
      </c>
      <c r="AI56" s="97">
        <f>IF(AE56=0,1,AE56/(12*((1+AE56)^(1/12)-1)))</f>
        <v/>
      </c>
      <c r="AJ56" s="97">
        <f>IF(AF56=0,1,AF56/(12*((1+AF56)^(1/12)-1)))</f>
        <v/>
      </c>
      <c r="AK56" s="99">
        <f>D56*'3_Comparateur_detaille'!$B$16</f>
        <v/>
      </c>
      <c r="AL56" s="99">
        <f>IF('3_Comparateur_detaille'!$B$20="Privé",MIN(AK56,E56)*IF('3_Comparateur_detaille'!$B$15="cadre",J56,F56)+MAX(0,AK56-E56)*IF('3_Comparateur_detaille'!$B$15="cadre",L56,H56),AK56*SUMIFS(Donnees_regimes!$J$3:$J$1118,Donnees_regimes!$A$3:$A$1118,'3_Comparateur_detaille'!$B$20,Donnees_regimes!$B$3:$B$1118,A56))</f>
        <v/>
      </c>
      <c r="AM56" s="99">
        <f>IF('3_Comparateur_detaille'!$B$20="Privé",MIN(AK56,E56)*IF('3_Comparateur_detaille'!$B$15="cadre",K56,G56)+MAX(0,AK56-E56)*IF('3_Comparateur_detaille'!$B$15="cadre",M56,I56),AK56*SUMIFS(Donnees_regimes!$K$3:$K$1118,Donnees_regimes!$A$3:$A$1118,'3_Comparateur_detaille'!$B$20,Donnees_regimes!$B$3:$B$1118,A56))</f>
        <v/>
      </c>
      <c r="AN56" s="99">
        <f>IF('3_Comparateur_detaille'!$B$20="Privé",0,AK56*SUMIFS(Donnees_regimes!$L$3:$L$1118,Donnees_regimes!$A$3:$A$1118,'3_Comparateur_detaille'!$B$20,Donnees_regimes!$B$3:$B$1118,A56))</f>
        <v/>
      </c>
      <c r="AO56" s="100">
        <f>(AL56+AM56)/AA56*AI56/AG56</f>
        <v/>
      </c>
      <c r="AP56" s="100">
        <f>(AL56+AM56)/AA56*AJ56/AH56</f>
        <v/>
      </c>
      <c r="AQ56" s="99">
        <f>D56*'3_Comparateur_detaille'!$C$16</f>
        <v/>
      </c>
      <c r="AR56" s="99">
        <f>IF('3_Comparateur_detaille'!$C$20="Privé",MIN(AQ56,E56)*IF('3_Comparateur_detaille'!$C$15="cadre",J56,F56)+MAX(0,AQ56-E56)*IF('3_Comparateur_detaille'!$C$15="cadre",L56,H56),AQ56*SUMIFS(Donnees_regimes!$J$3:$J$1118,Donnees_regimes!$A$3:$A$1118,'3_Comparateur_detaille'!$C$20,Donnees_regimes!$B$3:$B$1118,A56))</f>
        <v/>
      </c>
      <c r="AS56" s="99">
        <f>IF('3_Comparateur_detaille'!$C$20="Privé",MIN(AQ56,E56)*IF('3_Comparateur_detaille'!$C$15="cadre",K56,G56)+MAX(0,AQ56-E56)*IF('3_Comparateur_detaille'!$C$15="cadre",M56,I56),AQ56*SUMIFS(Donnees_regimes!$K$3:$K$1118,Donnees_regimes!$A$3:$A$1118,'3_Comparateur_detaille'!$C$20,Donnees_regimes!$B$3:$B$1118,A56))</f>
        <v/>
      </c>
      <c r="AT56" s="99">
        <f>IF('3_Comparateur_detaille'!$C$20="Privé",0,AQ56*SUMIFS(Donnees_regimes!$L$3:$L$1118,Donnees_regimes!$A$3:$A$1118,'3_Comparateur_detaille'!$C$20,Donnees_regimes!$B$3:$B$1118,A56))</f>
        <v/>
      </c>
      <c r="AU56" s="100">
        <f>(AR56+AS56)/AA56*AI56/AG56</f>
        <v/>
      </c>
      <c r="AV56" s="100">
        <f>(AR56+AS56)/AA56*AJ56/AH56</f>
        <v/>
      </c>
    </row>
    <row r="57">
      <c r="A57" s="88" t="n">
        <v>1999</v>
      </c>
      <c r="B57" s="90" t="inlineStr">
        <is>
          <t>Observé</t>
        </is>
      </c>
      <c r="C57" s="91" t="n">
        <v>1.56615</v>
      </c>
      <c r="D57" s="92" t="n">
        <v>38359.77</v>
      </c>
      <c r="E57" s="92" t="n">
        <v>41458.05</v>
      </c>
      <c r="F57" s="93" t="n">
        <v>0.118133</v>
      </c>
      <c r="G57" s="93" t="n">
        <v>0.1546</v>
      </c>
      <c r="H57" s="93" t="n">
        <v>0.053532</v>
      </c>
      <c r="I57" s="93" t="n">
        <v>0.07389999999999999</v>
      </c>
      <c r="J57" s="93" t="n">
        <v>0.118933</v>
      </c>
      <c r="K57" s="93" t="n">
        <v>0.1559</v>
      </c>
      <c r="L57" s="93" t="n">
        <v>0.099332</v>
      </c>
      <c r="M57" s="93" t="n">
        <v>0.1552</v>
      </c>
      <c r="N57" s="14">
        <f>MIN(D57,E57)*F57+MAX(0,D57-E57)*H57</f>
        <v/>
      </c>
      <c r="O57" s="14">
        <f>MIN(D57,E57)*G57+MAX(0,D57-E57)*I57</f>
        <v/>
      </c>
      <c r="P57" s="14">
        <f>N57+O57</f>
        <v/>
      </c>
      <c r="Q57" s="94">
        <f>P57/D57</f>
        <v/>
      </c>
      <c r="R57" s="14">
        <f>D57+O57</f>
        <v/>
      </c>
      <c r="S57" s="95" t="n">
        <v>39</v>
      </c>
      <c r="T57" s="95" t="n">
        <v>39.6</v>
      </c>
      <c r="U57" s="85" t="n">
        <v>229</v>
      </c>
      <c r="V57" s="96" t="n">
        <v>1786.2</v>
      </c>
      <c r="W57" s="96" t="n">
        <v>1813.7</v>
      </c>
      <c r="X57" s="92" t="n">
        <v>17626.45</v>
      </c>
      <c r="Y57" s="92" t="n">
        <v>18815.58</v>
      </c>
      <c r="Z57" s="95" t="n">
        <v>21.35</v>
      </c>
      <c r="AA57" s="97">
        <f>C57</f>
        <v/>
      </c>
      <c r="AB57" s="98">
        <f>D57/AA57</f>
        <v/>
      </c>
      <c r="AC57" s="93" t="n">
        <v>0.5414369999999999</v>
      </c>
      <c r="AD57" s="93" t="n">
        <v>0.511244</v>
      </c>
      <c r="AE57" s="94">
        <f>AC57</f>
        <v/>
      </c>
      <c r="AF57" s="94">
        <f>AD57</f>
        <v/>
      </c>
      <c r="AG57" s="97">
        <f>AG56*(1+AE57)</f>
        <v/>
      </c>
      <c r="AH57" s="97">
        <f>AH56*(1+AF57)</f>
        <v/>
      </c>
      <c r="AI57" s="97">
        <f>IF(AE57=0,1,AE57/(12*((1+AE57)^(1/12)-1)))</f>
        <v/>
      </c>
      <c r="AJ57" s="97">
        <f>IF(AF57=0,1,AF57/(12*((1+AF57)^(1/12)-1)))</f>
        <v/>
      </c>
      <c r="AK57" s="99">
        <f>D57*'3_Comparateur_detaille'!$B$16</f>
        <v/>
      </c>
      <c r="AL57" s="99">
        <f>IF('3_Comparateur_detaille'!$B$20="Privé",MIN(AK57,E57)*IF('3_Comparateur_detaille'!$B$15="cadre",J57,F57)+MAX(0,AK57-E57)*IF('3_Comparateur_detaille'!$B$15="cadre",L57,H57),AK57*SUMIFS(Donnees_regimes!$J$3:$J$1118,Donnees_regimes!$A$3:$A$1118,'3_Comparateur_detaille'!$B$20,Donnees_regimes!$B$3:$B$1118,A57))</f>
        <v/>
      </c>
      <c r="AM57" s="99">
        <f>IF('3_Comparateur_detaille'!$B$20="Privé",MIN(AK57,E57)*IF('3_Comparateur_detaille'!$B$15="cadre",K57,G57)+MAX(0,AK57-E57)*IF('3_Comparateur_detaille'!$B$15="cadre",M57,I57),AK57*SUMIFS(Donnees_regimes!$K$3:$K$1118,Donnees_regimes!$A$3:$A$1118,'3_Comparateur_detaille'!$B$20,Donnees_regimes!$B$3:$B$1118,A57))</f>
        <v/>
      </c>
      <c r="AN57" s="99">
        <f>IF('3_Comparateur_detaille'!$B$20="Privé",0,AK57*SUMIFS(Donnees_regimes!$L$3:$L$1118,Donnees_regimes!$A$3:$A$1118,'3_Comparateur_detaille'!$B$20,Donnees_regimes!$B$3:$B$1118,A57))</f>
        <v/>
      </c>
      <c r="AO57" s="100">
        <f>(AL57+AM57)/AA57*AI57/AG57</f>
        <v/>
      </c>
      <c r="AP57" s="100">
        <f>(AL57+AM57)/AA57*AJ57/AH57</f>
        <v/>
      </c>
      <c r="AQ57" s="99">
        <f>D57*'3_Comparateur_detaille'!$C$16</f>
        <v/>
      </c>
      <c r="AR57" s="99">
        <f>IF('3_Comparateur_detaille'!$C$20="Privé",MIN(AQ57,E57)*IF('3_Comparateur_detaille'!$C$15="cadre",J57,F57)+MAX(0,AQ57-E57)*IF('3_Comparateur_detaille'!$C$15="cadre",L57,H57),AQ57*SUMIFS(Donnees_regimes!$J$3:$J$1118,Donnees_regimes!$A$3:$A$1118,'3_Comparateur_detaille'!$C$20,Donnees_regimes!$B$3:$B$1118,A57))</f>
        <v/>
      </c>
      <c r="AS57" s="99">
        <f>IF('3_Comparateur_detaille'!$C$20="Privé",MIN(AQ57,E57)*IF('3_Comparateur_detaille'!$C$15="cadre",K57,G57)+MAX(0,AQ57-E57)*IF('3_Comparateur_detaille'!$C$15="cadre",M57,I57),AQ57*SUMIFS(Donnees_regimes!$K$3:$K$1118,Donnees_regimes!$A$3:$A$1118,'3_Comparateur_detaille'!$C$20,Donnees_regimes!$B$3:$B$1118,A57))</f>
        <v/>
      </c>
      <c r="AT57" s="99">
        <f>IF('3_Comparateur_detaille'!$C$20="Privé",0,AQ57*SUMIFS(Donnees_regimes!$L$3:$L$1118,Donnees_regimes!$A$3:$A$1118,'3_Comparateur_detaille'!$C$20,Donnees_regimes!$B$3:$B$1118,A57))</f>
        <v/>
      </c>
      <c r="AU57" s="100">
        <f>(AR57+AS57)/AA57*AI57/AG57</f>
        <v/>
      </c>
      <c r="AV57" s="100">
        <f>(AR57+AS57)/AA57*AJ57/AH57</f>
        <v/>
      </c>
    </row>
    <row r="58">
      <c r="A58" s="88" t="n">
        <v>2000</v>
      </c>
      <c r="B58" s="90" t="inlineStr">
        <is>
          <t>Observé</t>
        </is>
      </c>
      <c r="C58" s="91" t="n">
        <v>1.54056</v>
      </c>
      <c r="D58" s="92" t="n">
        <v>38555.85</v>
      </c>
      <c r="E58" s="92" t="n">
        <v>41428.67</v>
      </c>
      <c r="F58" s="93" t="n">
        <v>0.118133</v>
      </c>
      <c r="G58" s="93" t="n">
        <v>0.1546</v>
      </c>
      <c r="H58" s="93" t="n">
        <v>0.073533</v>
      </c>
      <c r="I58" s="93" t="n">
        <v>0.1039</v>
      </c>
      <c r="J58" s="93" t="n">
        <v>0.119233</v>
      </c>
      <c r="K58" s="93" t="n">
        <v>0.1563</v>
      </c>
      <c r="L58" s="93" t="n">
        <v>0.099632</v>
      </c>
      <c r="M58" s="93" t="n">
        <v>0.1556</v>
      </c>
      <c r="N58" s="14">
        <f>MIN(D58,E58)*F58+MAX(0,D58-E58)*H58</f>
        <v/>
      </c>
      <c r="O58" s="14">
        <f>MIN(D58,E58)*G58+MAX(0,D58-E58)*I58</f>
        <v/>
      </c>
      <c r="P58" s="14">
        <f>N58+O58</f>
        <v/>
      </c>
      <c r="Q58" s="94">
        <f>P58/D58</f>
        <v/>
      </c>
      <c r="R58" s="14">
        <f>D58+O58</f>
        <v/>
      </c>
      <c r="S58" s="95" t="n">
        <v>35</v>
      </c>
      <c r="T58" s="95" t="n">
        <v>38.9</v>
      </c>
      <c r="U58" s="85" t="n">
        <v>226</v>
      </c>
      <c r="V58" s="96" t="n">
        <v>1582</v>
      </c>
      <c r="W58" s="96" t="n">
        <v>1758.3</v>
      </c>
      <c r="X58" s="92" t="n">
        <v>17820.34</v>
      </c>
      <c r="Y58" s="92" t="n">
        <v>19022.55</v>
      </c>
      <c r="Z58" s="95" t="n">
        <v>21.5</v>
      </c>
      <c r="AA58" s="97">
        <f>C58</f>
        <v/>
      </c>
      <c r="AB58" s="98">
        <f>D58/AA58</f>
        <v/>
      </c>
      <c r="AC58" s="93" t="n">
        <v>0.009528</v>
      </c>
      <c r="AD58" s="93" t="n">
        <v>-0.005354</v>
      </c>
      <c r="AE58" s="94">
        <f>AC58</f>
        <v/>
      </c>
      <c r="AF58" s="94">
        <f>AD58</f>
        <v/>
      </c>
      <c r="AG58" s="97">
        <f>AG57*(1+AE58)</f>
        <v/>
      </c>
      <c r="AH58" s="97">
        <f>AH57*(1+AF58)</f>
        <v/>
      </c>
      <c r="AI58" s="97">
        <f>IF(AE58=0,1,AE58/(12*((1+AE58)^(1/12)-1)))</f>
        <v/>
      </c>
      <c r="AJ58" s="97">
        <f>IF(AF58=0,1,AF58/(12*((1+AF58)^(1/12)-1)))</f>
        <v/>
      </c>
      <c r="AK58" s="99">
        <f>D58*'3_Comparateur_detaille'!$B$16</f>
        <v/>
      </c>
      <c r="AL58" s="99">
        <f>IF('3_Comparateur_detaille'!$B$20="Privé",MIN(AK58,E58)*IF('3_Comparateur_detaille'!$B$15="cadre",J58,F58)+MAX(0,AK58-E58)*IF('3_Comparateur_detaille'!$B$15="cadre",L58,H58),AK58*SUMIFS(Donnees_regimes!$J$3:$J$1118,Donnees_regimes!$A$3:$A$1118,'3_Comparateur_detaille'!$B$20,Donnees_regimes!$B$3:$B$1118,A58))</f>
        <v/>
      </c>
      <c r="AM58" s="99">
        <f>IF('3_Comparateur_detaille'!$B$20="Privé",MIN(AK58,E58)*IF('3_Comparateur_detaille'!$B$15="cadre",K58,G58)+MAX(0,AK58-E58)*IF('3_Comparateur_detaille'!$B$15="cadre",M58,I58),AK58*SUMIFS(Donnees_regimes!$K$3:$K$1118,Donnees_regimes!$A$3:$A$1118,'3_Comparateur_detaille'!$B$20,Donnees_regimes!$B$3:$B$1118,A58))</f>
        <v/>
      </c>
      <c r="AN58" s="99">
        <f>IF('3_Comparateur_detaille'!$B$20="Privé",0,AK58*SUMIFS(Donnees_regimes!$L$3:$L$1118,Donnees_regimes!$A$3:$A$1118,'3_Comparateur_detaille'!$B$20,Donnees_regimes!$B$3:$B$1118,A58))</f>
        <v/>
      </c>
      <c r="AO58" s="100">
        <f>(AL58+AM58)/AA58*AI58/AG58</f>
        <v/>
      </c>
      <c r="AP58" s="100">
        <f>(AL58+AM58)/AA58*AJ58/AH58</f>
        <v/>
      </c>
      <c r="AQ58" s="99">
        <f>D58*'3_Comparateur_detaille'!$C$16</f>
        <v/>
      </c>
      <c r="AR58" s="99">
        <f>IF('3_Comparateur_detaille'!$C$20="Privé",MIN(AQ58,E58)*IF('3_Comparateur_detaille'!$C$15="cadre",J58,F58)+MAX(0,AQ58-E58)*IF('3_Comparateur_detaille'!$C$15="cadre",L58,H58),AQ58*SUMIFS(Donnees_regimes!$J$3:$J$1118,Donnees_regimes!$A$3:$A$1118,'3_Comparateur_detaille'!$C$20,Donnees_regimes!$B$3:$B$1118,A58))</f>
        <v/>
      </c>
      <c r="AS58" s="99">
        <f>IF('3_Comparateur_detaille'!$C$20="Privé",MIN(AQ58,E58)*IF('3_Comparateur_detaille'!$C$15="cadre",K58,G58)+MAX(0,AQ58-E58)*IF('3_Comparateur_detaille'!$C$15="cadre",M58,I58),AQ58*SUMIFS(Donnees_regimes!$K$3:$K$1118,Donnees_regimes!$A$3:$A$1118,'3_Comparateur_detaille'!$C$20,Donnees_regimes!$B$3:$B$1118,A58))</f>
        <v/>
      </c>
      <c r="AT58" s="99">
        <f>IF('3_Comparateur_detaille'!$C$20="Privé",0,AQ58*SUMIFS(Donnees_regimes!$L$3:$L$1118,Donnees_regimes!$A$3:$A$1118,'3_Comparateur_detaille'!$C$20,Donnees_regimes!$B$3:$B$1118,A58))</f>
        <v/>
      </c>
      <c r="AU58" s="100">
        <f>(AR58+AS58)/AA58*AI58/AG58</f>
        <v/>
      </c>
      <c r="AV58" s="100">
        <f>(AR58+AS58)/AA58*AJ58/AH58</f>
        <v/>
      </c>
    </row>
    <row r="59">
      <c r="A59" s="88" t="n">
        <v>2001</v>
      </c>
      <c r="B59" s="90" t="inlineStr">
        <is>
          <t>Observé</t>
        </is>
      </c>
      <c r="C59" s="91" t="n">
        <v>1.51578</v>
      </c>
      <c r="D59" s="92" t="n">
        <v>38664.93</v>
      </c>
      <c r="E59" s="92" t="n">
        <v>41455.69</v>
      </c>
      <c r="F59" s="93" t="n">
        <v>0.116708</v>
      </c>
      <c r="G59" s="93" t="n">
        <v>0.154901</v>
      </c>
      <c r="H59" s="93" t="n">
        <v>0.072183</v>
      </c>
      <c r="I59" s="93" t="n">
        <v>0.103975</v>
      </c>
      <c r="J59" s="93" t="n">
        <v>0.118008</v>
      </c>
      <c r="K59" s="93" t="n">
        <v>0.157101</v>
      </c>
      <c r="L59" s="93" t="n">
        <v>0.098483</v>
      </c>
      <c r="M59" s="93" t="n">
        <v>0.156175</v>
      </c>
      <c r="N59" s="14">
        <f>MIN(D59,E59)*F59+MAX(0,D59-E59)*H59</f>
        <v/>
      </c>
      <c r="O59" s="14">
        <f>MIN(D59,E59)*G59+MAX(0,D59-E59)*I59</f>
        <v/>
      </c>
      <c r="P59" s="14">
        <f>N59+O59</f>
        <v/>
      </c>
      <c r="Q59" s="94">
        <f>P59/D59</f>
        <v/>
      </c>
      <c r="R59" s="14">
        <f>D59+O59</f>
        <v/>
      </c>
      <c r="S59" s="95" t="n">
        <v>35</v>
      </c>
      <c r="T59" s="95" t="n">
        <v>38.3</v>
      </c>
      <c r="U59" s="85" t="n">
        <v>227</v>
      </c>
      <c r="V59" s="96" t="n">
        <v>1589</v>
      </c>
      <c r="W59" s="96" t="n">
        <v>1738.8</v>
      </c>
      <c r="X59" s="92" t="n">
        <v>18016.36</v>
      </c>
      <c r="Y59" s="92" t="n">
        <v>19231.8</v>
      </c>
      <c r="Z59" s="95" t="n">
        <v>21.5</v>
      </c>
      <c r="AA59" s="97">
        <f>C59</f>
        <v/>
      </c>
      <c r="AB59" s="98">
        <f>D59/AA59</f>
        <v/>
      </c>
      <c r="AC59" s="93" t="n">
        <v>-0.203293</v>
      </c>
      <c r="AD59" s="93" t="n">
        <v>-0.219667</v>
      </c>
      <c r="AE59" s="94">
        <f>AC59</f>
        <v/>
      </c>
      <c r="AF59" s="94">
        <f>AD59</f>
        <v/>
      </c>
      <c r="AG59" s="97">
        <f>AG58*(1+AE59)</f>
        <v/>
      </c>
      <c r="AH59" s="97">
        <f>AH58*(1+AF59)</f>
        <v/>
      </c>
      <c r="AI59" s="97">
        <f>IF(AE59=0,1,AE59/(12*((1+AE59)^(1/12)-1)))</f>
        <v/>
      </c>
      <c r="AJ59" s="97">
        <f>IF(AF59=0,1,AF59/(12*((1+AF59)^(1/12)-1)))</f>
        <v/>
      </c>
      <c r="AK59" s="99">
        <f>D59*'3_Comparateur_detaille'!$B$16</f>
        <v/>
      </c>
      <c r="AL59" s="99">
        <f>IF('3_Comparateur_detaille'!$B$20="Privé",MIN(AK59,E59)*IF('3_Comparateur_detaille'!$B$15="cadre",J59,F59)+MAX(0,AK59-E59)*IF('3_Comparateur_detaille'!$B$15="cadre",L59,H59),AK59*SUMIFS(Donnees_regimes!$J$3:$J$1118,Donnees_regimes!$A$3:$A$1118,'3_Comparateur_detaille'!$B$20,Donnees_regimes!$B$3:$B$1118,A59))</f>
        <v/>
      </c>
      <c r="AM59" s="99">
        <f>IF('3_Comparateur_detaille'!$B$20="Privé",MIN(AK59,E59)*IF('3_Comparateur_detaille'!$B$15="cadre",K59,G59)+MAX(0,AK59-E59)*IF('3_Comparateur_detaille'!$B$15="cadre",M59,I59),AK59*SUMIFS(Donnees_regimes!$K$3:$K$1118,Donnees_regimes!$A$3:$A$1118,'3_Comparateur_detaille'!$B$20,Donnees_regimes!$B$3:$B$1118,A59))</f>
        <v/>
      </c>
      <c r="AN59" s="99">
        <f>IF('3_Comparateur_detaille'!$B$20="Privé",0,AK59*SUMIFS(Donnees_regimes!$L$3:$L$1118,Donnees_regimes!$A$3:$A$1118,'3_Comparateur_detaille'!$B$20,Donnees_regimes!$B$3:$B$1118,A59))</f>
        <v/>
      </c>
      <c r="AO59" s="100">
        <f>(AL59+AM59)/AA59*AI59/AG59</f>
        <v/>
      </c>
      <c r="AP59" s="100">
        <f>(AL59+AM59)/AA59*AJ59/AH59</f>
        <v/>
      </c>
      <c r="AQ59" s="99">
        <f>D59*'3_Comparateur_detaille'!$C$16</f>
        <v/>
      </c>
      <c r="AR59" s="99">
        <f>IF('3_Comparateur_detaille'!$C$20="Privé",MIN(AQ59,E59)*IF('3_Comparateur_detaille'!$C$15="cadre",J59,F59)+MAX(0,AQ59-E59)*IF('3_Comparateur_detaille'!$C$15="cadre",L59,H59),AQ59*SUMIFS(Donnees_regimes!$J$3:$J$1118,Donnees_regimes!$A$3:$A$1118,'3_Comparateur_detaille'!$C$20,Donnees_regimes!$B$3:$B$1118,A59))</f>
        <v/>
      </c>
      <c r="AS59" s="99">
        <f>IF('3_Comparateur_detaille'!$C$20="Privé",MIN(AQ59,E59)*IF('3_Comparateur_detaille'!$C$15="cadre",K59,G59)+MAX(0,AQ59-E59)*IF('3_Comparateur_detaille'!$C$15="cadre",M59,I59),AQ59*SUMIFS(Donnees_regimes!$K$3:$K$1118,Donnees_regimes!$A$3:$A$1118,'3_Comparateur_detaille'!$C$20,Donnees_regimes!$B$3:$B$1118,A59))</f>
        <v/>
      </c>
      <c r="AT59" s="99">
        <f>IF('3_Comparateur_detaille'!$C$20="Privé",0,AQ59*SUMIFS(Donnees_regimes!$L$3:$L$1118,Donnees_regimes!$A$3:$A$1118,'3_Comparateur_detaille'!$C$20,Donnees_regimes!$B$3:$B$1118,A59))</f>
        <v/>
      </c>
      <c r="AU59" s="100">
        <f>(AR59+AS59)/AA59*AI59/AG59</f>
        <v/>
      </c>
      <c r="AV59" s="100">
        <f>(AR59+AS59)/AA59*AJ59/AH59</f>
        <v/>
      </c>
    </row>
    <row r="60">
      <c r="A60" s="88" t="n">
        <v>2002</v>
      </c>
      <c r="B60" s="90" t="inlineStr">
        <is>
          <t>Observé</t>
        </is>
      </c>
      <c r="C60" s="91" t="n">
        <v>1.487</v>
      </c>
      <c r="D60" s="92" t="n">
        <v>38789.95</v>
      </c>
      <c r="E60" s="92" t="n">
        <v>41969.08</v>
      </c>
      <c r="F60" s="93" t="n">
        <v>0.115758</v>
      </c>
      <c r="G60" s="93" t="n">
        <v>0.155</v>
      </c>
      <c r="H60" s="93" t="n">
        <v>0.081257</v>
      </c>
      <c r="I60" s="93" t="n">
        <v>0.119</v>
      </c>
      <c r="J60" s="93" t="n">
        <v>0.117058</v>
      </c>
      <c r="K60" s="93" t="n">
        <v>0.1572</v>
      </c>
      <c r="L60" s="93" t="n">
        <v>0.097557</v>
      </c>
      <c r="M60" s="93" t="n">
        <v>0.1562</v>
      </c>
      <c r="N60" s="14">
        <f>MIN(D60,E60)*F60+MAX(0,D60-E60)*H60</f>
        <v/>
      </c>
      <c r="O60" s="14">
        <f>MIN(D60,E60)*G60+MAX(0,D60-E60)*I60</f>
        <v/>
      </c>
      <c r="P60" s="14">
        <f>N60+O60</f>
        <v/>
      </c>
      <c r="Q60" s="94">
        <f>P60/D60</f>
        <v/>
      </c>
      <c r="R60" s="14">
        <f>D60+O60</f>
        <v/>
      </c>
      <c r="S60" s="95" t="n">
        <v>35</v>
      </c>
      <c r="T60" s="95" t="n">
        <v>37.7</v>
      </c>
      <c r="U60" s="85" t="n">
        <v>226</v>
      </c>
      <c r="V60" s="96" t="n">
        <v>1582</v>
      </c>
      <c r="W60" s="96" t="n">
        <v>1704</v>
      </c>
      <c r="X60" s="92" t="n">
        <v>18214.54</v>
      </c>
      <c r="Y60" s="92" t="n">
        <v>19443.35</v>
      </c>
      <c r="Z60" s="95" t="n">
        <v>21.5</v>
      </c>
      <c r="AA60" s="97">
        <f>C60</f>
        <v/>
      </c>
      <c r="AB60" s="98">
        <f>D60/AA60</f>
        <v/>
      </c>
      <c r="AC60" s="93" t="n">
        <v>-0.319234</v>
      </c>
      <c r="AD60" s="93" t="n">
        <v>-0.337473</v>
      </c>
      <c r="AE60" s="94">
        <f>AC60</f>
        <v/>
      </c>
      <c r="AF60" s="94">
        <f>AD60</f>
        <v/>
      </c>
      <c r="AG60" s="97">
        <f>AG59*(1+AE60)</f>
        <v/>
      </c>
      <c r="AH60" s="97">
        <f>AH59*(1+AF60)</f>
        <v/>
      </c>
      <c r="AI60" s="97">
        <f>IF(AE60=0,1,AE60/(12*((1+AE60)^(1/12)-1)))</f>
        <v/>
      </c>
      <c r="AJ60" s="97">
        <f>IF(AF60=0,1,AF60/(12*((1+AF60)^(1/12)-1)))</f>
        <v/>
      </c>
      <c r="AK60" s="99">
        <f>D60*'3_Comparateur_detaille'!$B$16</f>
        <v/>
      </c>
      <c r="AL60" s="99">
        <f>IF('3_Comparateur_detaille'!$B$20="Privé",MIN(AK60,E60)*IF('3_Comparateur_detaille'!$B$15="cadre",J60,F60)+MAX(0,AK60-E60)*IF('3_Comparateur_detaille'!$B$15="cadre",L60,H60),AK60*SUMIFS(Donnees_regimes!$J$3:$J$1118,Donnees_regimes!$A$3:$A$1118,'3_Comparateur_detaille'!$B$20,Donnees_regimes!$B$3:$B$1118,A60))</f>
        <v/>
      </c>
      <c r="AM60" s="99">
        <f>IF('3_Comparateur_detaille'!$B$20="Privé",MIN(AK60,E60)*IF('3_Comparateur_detaille'!$B$15="cadre",K60,G60)+MAX(0,AK60-E60)*IF('3_Comparateur_detaille'!$B$15="cadre",M60,I60),AK60*SUMIFS(Donnees_regimes!$K$3:$K$1118,Donnees_regimes!$A$3:$A$1118,'3_Comparateur_detaille'!$B$20,Donnees_regimes!$B$3:$B$1118,A60))</f>
        <v/>
      </c>
      <c r="AN60" s="99">
        <f>IF('3_Comparateur_detaille'!$B$20="Privé",0,AK60*SUMIFS(Donnees_regimes!$L$3:$L$1118,Donnees_regimes!$A$3:$A$1118,'3_Comparateur_detaille'!$B$20,Donnees_regimes!$B$3:$B$1118,A60))</f>
        <v/>
      </c>
      <c r="AO60" s="100">
        <f>(AL60+AM60)/AA60*AI60/AG60</f>
        <v/>
      </c>
      <c r="AP60" s="100">
        <f>(AL60+AM60)/AA60*AJ60/AH60</f>
        <v/>
      </c>
      <c r="AQ60" s="99">
        <f>D60*'3_Comparateur_detaille'!$C$16</f>
        <v/>
      </c>
      <c r="AR60" s="99">
        <f>IF('3_Comparateur_detaille'!$C$20="Privé",MIN(AQ60,E60)*IF('3_Comparateur_detaille'!$C$15="cadre",J60,F60)+MAX(0,AQ60-E60)*IF('3_Comparateur_detaille'!$C$15="cadre",L60,H60),AQ60*SUMIFS(Donnees_regimes!$J$3:$J$1118,Donnees_regimes!$A$3:$A$1118,'3_Comparateur_detaille'!$C$20,Donnees_regimes!$B$3:$B$1118,A60))</f>
        <v/>
      </c>
      <c r="AS60" s="99">
        <f>IF('3_Comparateur_detaille'!$C$20="Privé",MIN(AQ60,E60)*IF('3_Comparateur_detaille'!$C$15="cadre",K60,G60)+MAX(0,AQ60-E60)*IF('3_Comparateur_detaille'!$C$15="cadre",M60,I60),AQ60*SUMIFS(Donnees_regimes!$K$3:$K$1118,Donnees_regimes!$A$3:$A$1118,'3_Comparateur_detaille'!$C$20,Donnees_regimes!$B$3:$B$1118,A60))</f>
        <v/>
      </c>
      <c r="AT60" s="99">
        <f>IF('3_Comparateur_detaille'!$C$20="Privé",0,AQ60*SUMIFS(Donnees_regimes!$L$3:$L$1118,Donnees_regimes!$A$3:$A$1118,'3_Comparateur_detaille'!$C$20,Donnees_regimes!$B$3:$B$1118,A60))</f>
        <v/>
      </c>
      <c r="AU60" s="100">
        <f>(AR60+AS60)/AA60*AI60/AG60</f>
        <v/>
      </c>
      <c r="AV60" s="100">
        <f>(AR60+AS60)/AA60*AJ60/AH60</f>
        <v/>
      </c>
    </row>
    <row r="61">
      <c r="A61" s="88" t="n">
        <v>2003</v>
      </c>
      <c r="B61" s="90" t="inlineStr">
        <is>
          <t>Observé</t>
        </is>
      </c>
      <c r="C61" s="91" t="n">
        <v>1.45657</v>
      </c>
      <c r="D61" s="92" t="n">
        <v>38878.34</v>
      </c>
      <c r="E61" s="92" t="n">
        <v>42508.67</v>
      </c>
      <c r="F61" s="93" t="n">
        <v>0.115758</v>
      </c>
      <c r="G61" s="93" t="n">
        <v>0.155</v>
      </c>
      <c r="H61" s="93" t="n">
        <v>0.081257</v>
      </c>
      <c r="I61" s="93" t="n">
        <v>0.119</v>
      </c>
      <c r="J61" s="93" t="n">
        <v>0.117058</v>
      </c>
      <c r="K61" s="93" t="n">
        <v>0.1572</v>
      </c>
      <c r="L61" s="93" t="n">
        <v>0.097557</v>
      </c>
      <c r="M61" s="93" t="n">
        <v>0.1562</v>
      </c>
      <c r="N61" s="14">
        <f>MIN(D61,E61)*F61+MAX(0,D61-E61)*H61</f>
        <v/>
      </c>
      <c r="O61" s="14">
        <f>MIN(D61,E61)*G61+MAX(0,D61-E61)*I61</f>
        <v/>
      </c>
      <c r="P61" s="14">
        <f>N61+O61</f>
        <v/>
      </c>
      <c r="Q61" s="94">
        <f>P61/D61</f>
        <v/>
      </c>
      <c r="R61" s="14">
        <f>D61+O61</f>
        <v/>
      </c>
      <c r="S61" s="95" t="n">
        <v>35</v>
      </c>
      <c r="T61" s="95" t="n">
        <v>38.8</v>
      </c>
      <c r="U61" s="85" t="n">
        <v>226</v>
      </c>
      <c r="V61" s="96" t="n">
        <v>1582</v>
      </c>
      <c r="W61" s="96" t="n">
        <v>1753.8</v>
      </c>
      <c r="X61" s="92" t="n">
        <v>18414.9</v>
      </c>
      <c r="Y61" s="92" t="n">
        <v>19657.23</v>
      </c>
      <c r="Z61" s="95" t="n">
        <v>21.5</v>
      </c>
      <c r="AA61" s="97">
        <f>C61</f>
        <v/>
      </c>
      <c r="AB61" s="98">
        <f>D61/AA61</f>
        <v/>
      </c>
      <c r="AC61" s="93" t="n">
        <v>0.198738</v>
      </c>
      <c r="AD61" s="93" t="n">
        <v>0.161229</v>
      </c>
      <c r="AE61" s="94">
        <f>AC61</f>
        <v/>
      </c>
      <c r="AF61" s="94">
        <f>AD61</f>
        <v/>
      </c>
      <c r="AG61" s="97">
        <f>AG60*(1+AE61)</f>
        <v/>
      </c>
      <c r="AH61" s="97">
        <f>AH60*(1+AF61)</f>
        <v/>
      </c>
      <c r="AI61" s="97">
        <f>IF(AE61=0,1,AE61/(12*((1+AE61)^(1/12)-1)))</f>
        <v/>
      </c>
      <c r="AJ61" s="97">
        <f>IF(AF61=0,1,AF61/(12*((1+AF61)^(1/12)-1)))</f>
        <v/>
      </c>
      <c r="AK61" s="99">
        <f>D61*'3_Comparateur_detaille'!$B$16</f>
        <v/>
      </c>
      <c r="AL61" s="99">
        <f>IF('3_Comparateur_detaille'!$B$20="Privé",MIN(AK61,E61)*IF('3_Comparateur_detaille'!$B$15="cadre",J61,F61)+MAX(0,AK61-E61)*IF('3_Comparateur_detaille'!$B$15="cadre",L61,H61),AK61*SUMIFS(Donnees_regimes!$J$3:$J$1118,Donnees_regimes!$A$3:$A$1118,'3_Comparateur_detaille'!$B$20,Donnees_regimes!$B$3:$B$1118,A61))</f>
        <v/>
      </c>
      <c r="AM61" s="99">
        <f>IF('3_Comparateur_detaille'!$B$20="Privé",MIN(AK61,E61)*IF('3_Comparateur_detaille'!$B$15="cadre",K61,G61)+MAX(0,AK61-E61)*IF('3_Comparateur_detaille'!$B$15="cadre",M61,I61),AK61*SUMIFS(Donnees_regimes!$K$3:$K$1118,Donnees_regimes!$A$3:$A$1118,'3_Comparateur_detaille'!$B$20,Donnees_regimes!$B$3:$B$1118,A61))</f>
        <v/>
      </c>
      <c r="AN61" s="99">
        <f>IF('3_Comparateur_detaille'!$B$20="Privé",0,AK61*SUMIFS(Donnees_regimes!$L$3:$L$1118,Donnees_regimes!$A$3:$A$1118,'3_Comparateur_detaille'!$B$20,Donnees_regimes!$B$3:$B$1118,A61))</f>
        <v/>
      </c>
      <c r="AO61" s="100">
        <f>(AL61+AM61)/AA61*AI61/AG61</f>
        <v/>
      </c>
      <c r="AP61" s="100">
        <f>(AL61+AM61)/AA61*AJ61/AH61</f>
        <v/>
      </c>
      <c r="AQ61" s="99">
        <f>D61*'3_Comparateur_detaille'!$C$16</f>
        <v/>
      </c>
      <c r="AR61" s="99">
        <f>IF('3_Comparateur_detaille'!$C$20="Privé",MIN(AQ61,E61)*IF('3_Comparateur_detaille'!$C$15="cadre",J61,F61)+MAX(0,AQ61-E61)*IF('3_Comparateur_detaille'!$C$15="cadre",L61,H61),AQ61*SUMIFS(Donnees_regimes!$J$3:$J$1118,Donnees_regimes!$A$3:$A$1118,'3_Comparateur_detaille'!$C$20,Donnees_regimes!$B$3:$B$1118,A61))</f>
        <v/>
      </c>
      <c r="AS61" s="99">
        <f>IF('3_Comparateur_detaille'!$C$20="Privé",MIN(AQ61,E61)*IF('3_Comparateur_detaille'!$C$15="cadre",K61,G61)+MAX(0,AQ61-E61)*IF('3_Comparateur_detaille'!$C$15="cadre",M61,I61),AQ61*SUMIFS(Donnees_regimes!$K$3:$K$1118,Donnees_regimes!$A$3:$A$1118,'3_Comparateur_detaille'!$C$20,Donnees_regimes!$B$3:$B$1118,A61))</f>
        <v/>
      </c>
      <c r="AT61" s="99">
        <f>IF('3_Comparateur_detaille'!$C$20="Privé",0,AQ61*SUMIFS(Donnees_regimes!$L$3:$L$1118,Donnees_regimes!$A$3:$A$1118,'3_Comparateur_detaille'!$C$20,Donnees_regimes!$B$3:$B$1118,A61))</f>
        <v/>
      </c>
      <c r="AU61" s="100">
        <f>(AR61+AS61)/AA61*AI61/AG61</f>
        <v/>
      </c>
      <c r="AV61" s="100">
        <f>(AR61+AS61)/AA61*AJ61/AH61</f>
        <v/>
      </c>
    </row>
    <row r="62">
      <c r="A62" s="88" t="n">
        <v>2004</v>
      </c>
      <c r="B62" s="90" t="inlineStr">
        <is>
          <t>Observé</t>
        </is>
      </c>
      <c r="C62" s="91" t="n">
        <v>1.42597</v>
      </c>
      <c r="D62" s="92" t="n">
        <v>38886.64</v>
      </c>
      <c r="E62" s="92" t="n">
        <v>42368.42</v>
      </c>
      <c r="F62" s="93" t="n">
        <v>0.115758</v>
      </c>
      <c r="G62" s="93" t="n">
        <v>0.155</v>
      </c>
      <c r="H62" s="93" t="n">
        <v>0.09125800000000001</v>
      </c>
      <c r="I62" s="93" t="n">
        <v>0.134</v>
      </c>
      <c r="J62" s="93" t="n">
        <v>0.117058</v>
      </c>
      <c r="K62" s="93" t="n">
        <v>0.1572</v>
      </c>
      <c r="L62" s="93" t="n">
        <v>0.097557</v>
      </c>
      <c r="M62" s="93" t="n">
        <v>0.1562</v>
      </c>
      <c r="N62" s="14">
        <f>MIN(D62,E62)*F62+MAX(0,D62-E62)*H62</f>
        <v/>
      </c>
      <c r="O62" s="14">
        <f>MIN(D62,E62)*G62+MAX(0,D62-E62)*I62</f>
        <v/>
      </c>
      <c r="P62" s="14">
        <f>N62+O62</f>
        <v/>
      </c>
      <c r="Q62" s="94">
        <f>P62/D62</f>
        <v/>
      </c>
      <c r="R62" s="14">
        <f>D62+O62</f>
        <v/>
      </c>
      <c r="S62" s="95" t="n">
        <v>35</v>
      </c>
      <c r="T62" s="95" t="n">
        <v>38.9</v>
      </c>
      <c r="U62" s="85" t="n">
        <v>230</v>
      </c>
      <c r="V62" s="96" t="n">
        <v>1610</v>
      </c>
      <c r="W62" s="96" t="n">
        <v>1789.4</v>
      </c>
      <c r="X62" s="92" t="n">
        <v>18617.46</v>
      </c>
      <c r="Y62" s="92" t="n">
        <v>19873.46</v>
      </c>
      <c r="Z62" s="95" t="n">
        <v>21.5</v>
      </c>
      <c r="AA62" s="97">
        <f>C62</f>
        <v/>
      </c>
      <c r="AB62" s="98">
        <f>D62/AA62</f>
        <v/>
      </c>
      <c r="AC62" s="93" t="n">
        <v>0.113967</v>
      </c>
      <c r="AD62" s="93" t="n">
        <v>0.073993</v>
      </c>
      <c r="AE62" s="94">
        <f>AC62</f>
        <v/>
      </c>
      <c r="AF62" s="94">
        <f>AD62</f>
        <v/>
      </c>
      <c r="AG62" s="97">
        <f>AG61*(1+AE62)</f>
        <v/>
      </c>
      <c r="AH62" s="97">
        <f>AH61*(1+AF62)</f>
        <v/>
      </c>
      <c r="AI62" s="97">
        <f>IF(AE62=0,1,AE62/(12*((1+AE62)^(1/12)-1)))</f>
        <v/>
      </c>
      <c r="AJ62" s="97">
        <f>IF(AF62=0,1,AF62/(12*((1+AF62)^(1/12)-1)))</f>
        <v/>
      </c>
      <c r="AK62" s="99">
        <f>D62*'3_Comparateur_detaille'!$B$16</f>
        <v/>
      </c>
      <c r="AL62" s="99">
        <f>IF('3_Comparateur_detaille'!$B$20="Privé",MIN(AK62,E62)*IF('3_Comparateur_detaille'!$B$15="cadre",J62,F62)+MAX(0,AK62-E62)*IF('3_Comparateur_detaille'!$B$15="cadre",L62,H62),AK62*SUMIFS(Donnees_regimes!$J$3:$J$1118,Donnees_regimes!$A$3:$A$1118,'3_Comparateur_detaille'!$B$20,Donnees_regimes!$B$3:$B$1118,A62))</f>
        <v/>
      </c>
      <c r="AM62" s="99">
        <f>IF('3_Comparateur_detaille'!$B$20="Privé",MIN(AK62,E62)*IF('3_Comparateur_detaille'!$B$15="cadre",K62,G62)+MAX(0,AK62-E62)*IF('3_Comparateur_detaille'!$B$15="cadre",M62,I62),AK62*SUMIFS(Donnees_regimes!$K$3:$K$1118,Donnees_regimes!$A$3:$A$1118,'3_Comparateur_detaille'!$B$20,Donnees_regimes!$B$3:$B$1118,A62))</f>
        <v/>
      </c>
      <c r="AN62" s="99">
        <f>IF('3_Comparateur_detaille'!$B$20="Privé",0,AK62*SUMIFS(Donnees_regimes!$L$3:$L$1118,Donnees_regimes!$A$3:$A$1118,'3_Comparateur_detaille'!$B$20,Donnees_regimes!$B$3:$B$1118,A62))</f>
        <v/>
      </c>
      <c r="AO62" s="100">
        <f>(AL62+AM62)/AA62*AI62/AG62</f>
        <v/>
      </c>
      <c r="AP62" s="100">
        <f>(AL62+AM62)/AA62*AJ62/AH62</f>
        <v/>
      </c>
      <c r="AQ62" s="99">
        <f>D62*'3_Comparateur_detaille'!$C$16</f>
        <v/>
      </c>
      <c r="AR62" s="99">
        <f>IF('3_Comparateur_detaille'!$C$20="Privé",MIN(AQ62,E62)*IF('3_Comparateur_detaille'!$C$15="cadre",J62,F62)+MAX(0,AQ62-E62)*IF('3_Comparateur_detaille'!$C$15="cadre",L62,H62),AQ62*SUMIFS(Donnees_regimes!$J$3:$J$1118,Donnees_regimes!$A$3:$A$1118,'3_Comparateur_detaille'!$C$20,Donnees_regimes!$B$3:$B$1118,A62))</f>
        <v/>
      </c>
      <c r="AS62" s="99">
        <f>IF('3_Comparateur_detaille'!$C$20="Privé",MIN(AQ62,E62)*IF('3_Comparateur_detaille'!$C$15="cadre",K62,G62)+MAX(0,AQ62-E62)*IF('3_Comparateur_detaille'!$C$15="cadre",M62,I62),AQ62*SUMIFS(Donnees_regimes!$K$3:$K$1118,Donnees_regimes!$A$3:$A$1118,'3_Comparateur_detaille'!$C$20,Donnees_regimes!$B$3:$B$1118,A62))</f>
        <v/>
      </c>
      <c r="AT62" s="99">
        <f>IF('3_Comparateur_detaille'!$C$20="Privé",0,AQ62*SUMIFS(Donnees_regimes!$L$3:$L$1118,Donnees_regimes!$A$3:$A$1118,'3_Comparateur_detaille'!$C$20,Donnees_regimes!$B$3:$B$1118,A62))</f>
        <v/>
      </c>
      <c r="AU62" s="100">
        <f>(AR62+AS62)/AA62*AI62/AG62</f>
        <v/>
      </c>
      <c r="AV62" s="100">
        <f>(AR62+AS62)/AA62*AJ62/AH62</f>
        <v/>
      </c>
    </row>
    <row r="63">
      <c r="A63" s="88" t="n">
        <v>2005</v>
      </c>
      <c r="B63" s="90" t="inlineStr">
        <is>
          <t>Observé</t>
        </is>
      </c>
      <c r="C63" s="91" t="n">
        <v>1.40143</v>
      </c>
      <c r="D63" s="92" t="n">
        <v>39416.16</v>
      </c>
      <c r="E63" s="92" t="n">
        <v>42312.03</v>
      </c>
      <c r="F63" s="93" t="n">
        <v>0.115995</v>
      </c>
      <c r="G63" s="93" t="n">
        <v>0.155</v>
      </c>
      <c r="H63" s="93" t="n">
        <v>0.101495</v>
      </c>
      <c r="I63" s="93" t="n">
        <v>0.149</v>
      </c>
      <c r="J63" s="93" t="n">
        <v>0.117295</v>
      </c>
      <c r="K63" s="93" t="n">
        <v>0.1572</v>
      </c>
      <c r="L63" s="93" t="n">
        <v>0.09779400000000001</v>
      </c>
      <c r="M63" s="93" t="n">
        <v>0.1562</v>
      </c>
      <c r="N63" s="14">
        <f>MIN(D63,E63)*F63+MAX(0,D63-E63)*H63</f>
        <v/>
      </c>
      <c r="O63" s="14">
        <f>MIN(D63,E63)*G63+MAX(0,D63-E63)*I63</f>
        <v/>
      </c>
      <c r="P63" s="14">
        <f>N63+O63</f>
        <v/>
      </c>
      <c r="Q63" s="94">
        <f>P63/D63</f>
        <v/>
      </c>
      <c r="R63" s="14">
        <f>D63+O63</f>
        <v/>
      </c>
      <c r="S63" s="95" t="n">
        <v>35</v>
      </c>
      <c r="T63" s="95" t="n">
        <v>39.1</v>
      </c>
      <c r="U63" s="85" t="n">
        <v>228</v>
      </c>
      <c r="V63" s="96" t="n">
        <v>1603</v>
      </c>
      <c r="W63" s="96" t="n">
        <v>1790</v>
      </c>
      <c r="X63" s="92" t="n">
        <v>18889.06</v>
      </c>
      <c r="Y63" s="92" t="n">
        <v>19972.08</v>
      </c>
      <c r="Z63" s="95" t="n">
        <v>21.5</v>
      </c>
      <c r="AA63" s="97">
        <f>C63</f>
        <v/>
      </c>
      <c r="AB63" s="98">
        <f>D63/AA63</f>
        <v/>
      </c>
      <c r="AC63" s="93" t="n">
        <v>0.265987</v>
      </c>
      <c r="AD63" s="93" t="n">
        <v>0.233979</v>
      </c>
      <c r="AE63" s="94">
        <f>AC63</f>
        <v/>
      </c>
      <c r="AF63" s="94">
        <f>AD63</f>
        <v/>
      </c>
      <c r="AG63" s="97">
        <f>AG62*(1+AE63)</f>
        <v/>
      </c>
      <c r="AH63" s="97">
        <f>AH62*(1+AF63)</f>
        <v/>
      </c>
      <c r="AI63" s="97">
        <f>IF(AE63=0,1,AE63/(12*((1+AE63)^(1/12)-1)))</f>
        <v/>
      </c>
      <c r="AJ63" s="97">
        <f>IF(AF63=0,1,AF63/(12*((1+AF63)^(1/12)-1)))</f>
        <v/>
      </c>
      <c r="AK63" s="99">
        <f>D63*'3_Comparateur_detaille'!$B$16</f>
        <v/>
      </c>
      <c r="AL63" s="99">
        <f>IF('3_Comparateur_detaille'!$B$20="Privé",MIN(AK63,E63)*IF('3_Comparateur_detaille'!$B$15="cadre",J63,F63)+MAX(0,AK63-E63)*IF('3_Comparateur_detaille'!$B$15="cadre",L63,H63),AK63*SUMIFS(Donnees_regimes!$J$3:$J$1118,Donnees_regimes!$A$3:$A$1118,'3_Comparateur_detaille'!$B$20,Donnees_regimes!$B$3:$B$1118,A63))</f>
        <v/>
      </c>
      <c r="AM63" s="99">
        <f>IF('3_Comparateur_detaille'!$B$20="Privé",MIN(AK63,E63)*IF('3_Comparateur_detaille'!$B$15="cadre",K63,G63)+MAX(0,AK63-E63)*IF('3_Comparateur_detaille'!$B$15="cadre",M63,I63),AK63*SUMIFS(Donnees_regimes!$K$3:$K$1118,Donnees_regimes!$A$3:$A$1118,'3_Comparateur_detaille'!$B$20,Donnees_regimes!$B$3:$B$1118,A63))</f>
        <v/>
      </c>
      <c r="AN63" s="99">
        <f>IF('3_Comparateur_detaille'!$B$20="Privé",0,AK63*SUMIFS(Donnees_regimes!$L$3:$L$1118,Donnees_regimes!$A$3:$A$1118,'3_Comparateur_detaille'!$B$20,Donnees_regimes!$B$3:$B$1118,A63))</f>
        <v/>
      </c>
      <c r="AO63" s="100">
        <f>(AL63+AM63)/AA63*AI63/AG63</f>
        <v/>
      </c>
      <c r="AP63" s="100">
        <f>(AL63+AM63)/AA63*AJ63/AH63</f>
        <v/>
      </c>
      <c r="AQ63" s="99">
        <f>D63*'3_Comparateur_detaille'!$C$16</f>
        <v/>
      </c>
      <c r="AR63" s="99">
        <f>IF('3_Comparateur_detaille'!$C$20="Privé",MIN(AQ63,E63)*IF('3_Comparateur_detaille'!$C$15="cadre",J63,F63)+MAX(0,AQ63-E63)*IF('3_Comparateur_detaille'!$C$15="cadre",L63,H63),AQ63*SUMIFS(Donnees_regimes!$J$3:$J$1118,Donnees_regimes!$A$3:$A$1118,'3_Comparateur_detaille'!$C$20,Donnees_regimes!$B$3:$B$1118,A63))</f>
        <v/>
      </c>
      <c r="AS63" s="99">
        <f>IF('3_Comparateur_detaille'!$C$20="Privé",MIN(AQ63,E63)*IF('3_Comparateur_detaille'!$C$15="cadre",K63,G63)+MAX(0,AQ63-E63)*IF('3_Comparateur_detaille'!$C$15="cadre",M63,I63),AQ63*SUMIFS(Donnees_regimes!$K$3:$K$1118,Donnees_regimes!$A$3:$A$1118,'3_Comparateur_detaille'!$C$20,Donnees_regimes!$B$3:$B$1118,A63))</f>
        <v/>
      </c>
      <c r="AT63" s="99">
        <f>IF('3_Comparateur_detaille'!$C$20="Privé",0,AQ63*SUMIFS(Donnees_regimes!$L$3:$L$1118,Donnees_regimes!$A$3:$A$1118,'3_Comparateur_detaille'!$C$20,Donnees_regimes!$B$3:$B$1118,A63))</f>
        <v/>
      </c>
      <c r="AU63" s="100">
        <f>(AR63+AS63)/AA63*AI63/AG63</f>
        <v/>
      </c>
      <c r="AV63" s="100">
        <f>(AR63+AS63)/AA63*AJ63/AH63</f>
        <v/>
      </c>
    </row>
    <row r="64">
      <c r="A64" s="88" t="n">
        <v>2006</v>
      </c>
      <c r="B64" s="90" t="inlineStr">
        <is>
          <t>Observé</t>
        </is>
      </c>
      <c r="C64" s="91" t="n">
        <v>1.37847</v>
      </c>
      <c r="D64" s="92" t="n">
        <v>39471.65</v>
      </c>
      <c r="E64" s="92" t="n">
        <v>42826.3</v>
      </c>
      <c r="F64" s="93" t="n">
        <v>0.116995</v>
      </c>
      <c r="G64" s="93" t="n">
        <v>0.156</v>
      </c>
      <c r="H64" s="93" t="n">
        <v>0.101495</v>
      </c>
      <c r="I64" s="93" t="n">
        <v>0.149</v>
      </c>
      <c r="J64" s="93" t="n">
        <v>0.118295</v>
      </c>
      <c r="K64" s="93" t="n">
        <v>0.1582</v>
      </c>
      <c r="L64" s="93" t="n">
        <v>0.09979399999999999</v>
      </c>
      <c r="M64" s="93" t="n">
        <v>0.1572</v>
      </c>
      <c r="N64" s="14">
        <f>MIN(D64,E64)*F64+MAX(0,D64-E64)*H64</f>
        <v/>
      </c>
      <c r="O64" s="14">
        <f>MIN(D64,E64)*G64+MAX(0,D64-E64)*I64</f>
        <v/>
      </c>
      <c r="P64" s="14">
        <f>N64+O64</f>
        <v/>
      </c>
      <c r="Q64" s="94">
        <f>P64/D64</f>
        <v/>
      </c>
      <c r="R64" s="14">
        <f>D64+O64</f>
        <v/>
      </c>
      <c r="S64" s="95" t="n">
        <v>35</v>
      </c>
      <c r="T64" s="95" t="n">
        <v>39.1</v>
      </c>
      <c r="U64" s="85" t="n">
        <v>226</v>
      </c>
      <c r="V64" s="96" t="n">
        <v>1589</v>
      </c>
      <c r="W64" s="96" t="n">
        <v>1774.3</v>
      </c>
      <c r="X64" s="92" t="n">
        <v>19213.11</v>
      </c>
      <c r="Y64" s="92" t="n">
        <v>20336.29</v>
      </c>
      <c r="Z64" s="95" t="n">
        <v>21.5</v>
      </c>
      <c r="AA64" s="97">
        <f>C64</f>
        <v/>
      </c>
      <c r="AB64" s="98">
        <f>D64/AA64</f>
        <v/>
      </c>
      <c r="AC64" s="93" t="n">
        <v>0.208743</v>
      </c>
      <c r="AD64" s="93" t="n">
        <v>0.175289</v>
      </c>
      <c r="AE64" s="94">
        <f>AC64</f>
        <v/>
      </c>
      <c r="AF64" s="94">
        <f>AD64</f>
        <v/>
      </c>
      <c r="AG64" s="97">
        <f>AG63*(1+AE64)</f>
        <v/>
      </c>
      <c r="AH64" s="97">
        <f>AH63*(1+AF64)</f>
        <v/>
      </c>
      <c r="AI64" s="97">
        <f>IF(AE64=0,1,AE64/(12*((1+AE64)^(1/12)-1)))</f>
        <v/>
      </c>
      <c r="AJ64" s="97">
        <f>IF(AF64=0,1,AF64/(12*((1+AF64)^(1/12)-1)))</f>
        <v/>
      </c>
      <c r="AK64" s="99">
        <f>D64*'3_Comparateur_detaille'!$B$16</f>
        <v/>
      </c>
      <c r="AL64" s="99">
        <f>IF('3_Comparateur_detaille'!$B$20="Privé",MIN(AK64,E64)*IF('3_Comparateur_detaille'!$B$15="cadre",J64,F64)+MAX(0,AK64-E64)*IF('3_Comparateur_detaille'!$B$15="cadre",L64,H64),AK64*SUMIFS(Donnees_regimes!$J$3:$J$1118,Donnees_regimes!$A$3:$A$1118,'3_Comparateur_detaille'!$B$20,Donnees_regimes!$B$3:$B$1118,A64))</f>
        <v/>
      </c>
      <c r="AM64" s="99">
        <f>IF('3_Comparateur_detaille'!$B$20="Privé",MIN(AK64,E64)*IF('3_Comparateur_detaille'!$B$15="cadre",K64,G64)+MAX(0,AK64-E64)*IF('3_Comparateur_detaille'!$B$15="cadre",M64,I64),AK64*SUMIFS(Donnees_regimes!$K$3:$K$1118,Donnees_regimes!$A$3:$A$1118,'3_Comparateur_detaille'!$B$20,Donnees_regimes!$B$3:$B$1118,A64))</f>
        <v/>
      </c>
      <c r="AN64" s="99">
        <f>IF('3_Comparateur_detaille'!$B$20="Privé",0,AK64*SUMIFS(Donnees_regimes!$L$3:$L$1118,Donnees_regimes!$A$3:$A$1118,'3_Comparateur_detaille'!$B$20,Donnees_regimes!$B$3:$B$1118,A64))</f>
        <v/>
      </c>
      <c r="AO64" s="100">
        <f>(AL64+AM64)/AA64*AI64/AG64</f>
        <v/>
      </c>
      <c r="AP64" s="100">
        <f>(AL64+AM64)/AA64*AJ64/AH64</f>
        <v/>
      </c>
      <c r="AQ64" s="99">
        <f>D64*'3_Comparateur_detaille'!$C$16</f>
        <v/>
      </c>
      <c r="AR64" s="99">
        <f>IF('3_Comparateur_detaille'!$C$20="Privé",MIN(AQ64,E64)*IF('3_Comparateur_detaille'!$C$15="cadre",J64,F64)+MAX(0,AQ64-E64)*IF('3_Comparateur_detaille'!$C$15="cadre",L64,H64),AQ64*SUMIFS(Donnees_regimes!$J$3:$J$1118,Donnees_regimes!$A$3:$A$1118,'3_Comparateur_detaille'!$C$20,Donnees_regimes!$B$3:$B$1118,A64))</f>
        <v/>
      </c>
      <c r="AS64" s="99">
        <f>IF('3_Comparateur_detaille'!$C$20="Privé",MIN(AQ64,E64)*IF('3_Comparateur_detaille'!$C$15="cadre",K64,G64)+MAX(0,AQ64-E64)*IF('3_Comparateur_detaille'!$C$15="cadre",M64,I64),AQ64*SUMIFS(Donnees_regimes!$K$3:$K$1118,Donnees_regimes!$A$3:$A$1118,'3_Comparateur_detaille'!$C$20,Donnees_regimes!$B$3:$B$1118,A64))</f>
        <v/>
      </c>
      <c r="AT64" s="99">
        <f>IF('3_Comparateur_detaille'!$C$20="Privé",0,AQ64*SUMIFS(Donnees_regimes!$L$3:$L$1118,Donnees_regimes!$A$3:$A$1118,'3_Comparateur_detaille'!$C$20,Donnees_regimes!$B$3:$B$1118,A64))</f>
        <v/>
      </c>
      <c r="AU64" s="100">
        <f>(AR64+AS64)/AA64*AI64/AG64</f>
        <v/>
      </c>
      <c r="AV64" s="100">
        <f>(AR64+AS64)/AA64*AJ64/AH64</f>
        <v/>
      </c>
    </row>
    <row r="65">
      <c r="A65" s="88" t="n">
        <v>2007</v>
      </c>
      <c r="B65" s="90" t="inlineStr">
        <is>
          <t>Observé</t>
        </is>
      </c>
      <c r="C65" s="91" t="n">
        <v>1.35824</v>
      </c>
      <c r="D65" s="92" t="n">
        <v>40096.93</v>
      </c>
      <c r="E65" s="92" t="n">
        <v>43713.56</v>
      </c>
      <c r="F65" s="93" t="n">
        <v>0.116995</v>
      </c>
      <c r="G65" s="93" t="n">
        <v>0.156</v>
      </c>
      <c r="H65" s="93" t="n">
        <v>0.101495</v>
      </c>
      <c r="I65" s="93" t="n">
        <v>0.149</v>
      </c>
      <c r="J65" s="93" t="n">
        <v>0.118295</v>
      </c>
      <c r="K65" s="93" t="n">
        <v>0.1582</v>
      </c>
      <c r="L65" s="93" t="n">
        <v>0.09979399999999999</v>
      </c>
      <c r="M65" s="93" t="n">
        <v>0.1572</v>
      </c>
      <c r="N65" s="14">
        <f>MIN(D65,E65)*F65+MAX(0,D65-E65)*H65</f>
        <v/>
      </c>
      <c r="O65" s="14">
        <f>MIN(D65,E65)*G65+MAX(0,D65-E65)*I65</f>
        <v/>
      </c>
      <c r="P65" s="14">
        <f>N65+O65</f>
        <v/>
      </c>
      <c r="Q65" s="94">
        <f>P65/D65</f>
        <v/>
      </c>
      <c r="R65" s="14">
        <f>D65+O65</f>
        <v/>
      </c>
      <c r="S65" s="95" t="n">
        <v>35</v>
      </c>
      <c r="T65" s="95" t="n">
        <v>39.2</v>
      </c>
      <c r="U65" s="85" t="n">
        <v>227</v>
      </c>
      <c r="V65" s="96" t="n">
        <v>1596</v>
      </c>
      <c r="W65" s="96" t="n">
        <v>1786.7</v>
      </c>
      <c r="X65" s="92" t="n">
        <v>19522.78</v>
      </c>
      <c r="Y65" s="92" t="n">
        <v>20782.68</v>
      </c>
      <c r="Z65" s="95" t="n">
        <v>21.5</v>
      </c>
      <c r="AA65" s="97">
        <f>C65</f>
        <v/>
      </c>
      <c r="AB65" s="98">
        <f>D65/AA65</f>
        <v/>
      </c>
      <c r="AC65" s="93" t="n">
        <v>0.041616</v>
      </c>
      <c r="AD65" s="93" t="n">
        <v>0.01305</v>
      </c>
      <c r="AE65" s="94">
        <f>AC65</f>
        <v/>
      </c>
      <c r="AF65" s="94">
        <f>AD65</f>
        <v/>
      </c>
      <c r="AG65" s="97">
        <f>AG64*(1+AE65)</f>
        <v/>
      </c>
      <c r="AH65" s="97">
        <f>AH64*(1+AF65)</f>
        <v/>
      </c>
      <c r="AI65" s="97">
        <f>IF(AE65=0,1,AE65/(12*((1+AE65)^(1/12)-1)))</f>
        <v/>
      </c>
      <c r="AJ65" s="97">
        <f>IF(AF65=0,1,AF65/(12*((1+AF65)^(1/12)-1)))</f>
        <v/>
      </c>
      <c r="AK65" s="99">
        <f>D65*'3_Comparateur_detaille'!$B$16</f>
        <v/>
      </c>
      <c r="AL65" s="99">
        <f>IF('3_Comparateur_detaille'!$B$20="Privé",MIN(AK65,E65)*IF('3_Comparateur_detaille'!$B$15="cadre",J65,F65)+MAX(0,AK65-E65)*IF('3_Comparateur_detaille'!$B$15="cadre",L65,H65),AK65*SUMIFS(Donnees_regimes!$J$3:$J$1118,Donnees_regimes!$A$3:$A$1118,'3_Comparateur_detaille'!$B$20,Donnees_regimes!$B$3:$B$1118,A65))</f>
        <v/>
      </c>
      <c r="AM65" s="99">
        <f>IF('3_Comparateur_detaille'!$B$20="Privé",MIN(AK65,E65)*IF('3_Comparateur_detaille'!$B$15="cadre",K65,G65)+MAX(0,AK65-E65)*IF('3_Comparateur_detaille'!$B$15="cadre",M65,I65),AK65*SUMIFS(Donnees_regimes!$K$3:$K$1118,Donnees_regimes!$A$3:$A$1118,'3_Comparateur_detaille'!$B$20,Donnees_regimes!$B$3:$B$1118,A65))</f>
        <v/>
      </c>
      <c r="AN65" s="99">
        <f>IF('3_Comparateur_detaille'!$B$20="Privé",0,AK65*SUMIFS(Donnees_regimes!$L$3:$L$1118,Donnees_regimes!$A$3:$A$1118,'3_Comparateur_detaille'!$B$20,Donnees_regimes!$B$3:$B$1118,A65))</f>
        <v/>
      </c>
      <c r="AO65" s="100">
        <f>(AL65+AM65)/AA65*AI65/AG65</f>
        <v/>
      </c>
      <c r="AP65" s="100">
        <f>(AL65+AM65)/AA65*AJ65/AH65</f>
        <v/>
      </c>
      <c r="AQ65" s="99">
        <f>D65*'3_Comparateur_detaille'!$C$16</f>
        <v/>
      </c>
      <c r="AR65" s="99">
        <f>IF('3_Comparateur_detaille'!$C$20="Privé",MIN(AQ65,E65)*IF('3_Comparateur_detaille'!$C$15="cadre",J65,F65)+MAX(0,AQ65-E65)*IF('3_Comparateur_detaille'!$C$15="cadre",L65,H65),AQ65*SUMIFS(Donnees_regimes!$J$3:$J$1118,Donnees_regimes!$A$3:$A$1118,'3_Comparateur_detaille'!$C$20,Donnees_regimes!$B$3:$B$1118,A65))</f>
        <v/>
      </c>
      <c r="AS65" s="99">
        <f>IF('3_Comparateur_detaille'!$C$20="Privé",MIN(AQ65,E65)*IF('3_Comparateur_detaille'!$C$15="cadre",K65,G65)+MAX(0,AQ65-E65)*IF('3_Comparateur_detaille'!$C$15="cadre",M65,I65),AQ65*SUMIFS(Donnees_regimes!$K$3:$K$1118,Donnees_regimes!$A$3:$A$1118,'3_Comparateur_detaille'!$C$20,Donnees_regimes!$B$3:$B$1118,A65))</f>
        <v/>
      </c>
      <c r="AT65" s="99">
        <f>IF('3_Comparateur_detaille'!$C$20="Privé",0,AQ65*SUMIFS(Donnees_regimes!$L$3:$L$1118,Donnees_regimes!$A$3:$A$1118,'3_Comparateur_detaille'!$C$20,Donnees_regimes!$B$3:$B$1118,A65))</f>
        <v/>
      </c>
      <c r="AU65" s="100">
        <f>(AR65+AS65)/AA65*AI65/AG65</f>
        <v/>
      </c>
      <c r="AV65" s="100">
        <f>(AR65+AS65)/AA65*AJ65/AH65</f>
        <v/>
      </c>
    </row>
    <row r="66">
      <c r="A66" s="88" t="n">
        <v>2008</v>
      </c>
      <c r="B66" s="90" t="inlineStr">
        <is>
          <t>Observé</t>
        </is>
      </c>
      <c r="C66" s="91" t="n">
        <v>1.32105</v>
      </c>
      <c r="D66" s="92" t="n">
        <v>40258.84</v>
      </c>
      <c r="E66" s="92" t="n">
        <v>43959.21</v>
      </c>
      <c r="F66" s="93" t="n">
        <v>0.116995</v>
      </c>
      <c r="G66" s="93" t="n">
        <v>0.156</v>
      </c>
      <c r="H66" s="93" t="n">
        <v>0.101495</v>
      </c>
      <c r="I66" s="93" t="n">
        <v>0.149</v>
      </c>
      <c r="J66" s="93" t="n">
        <v>0.118295</v>
      </c>
      <c r="K66" s="93" t="n">
        <v>0.1582</v>
      </c>
      <c r="L66" s="93" t="n">
        <v>0.09979399999999999</v>
      </c>
      <c r="M66" s="93" t="n">
        <v>0.1572</v>
      </c>
      <c r="N66" s="14">
        <f>MIN(D66,E66)*F66+MAX(0,D66-E66)*H66</f>
        <v/>
      </c>
      <c r="O66" s="14">
        <f>MIN(D66,E66)*G66+MAX(0,D66-E66)*I66</f>
        <v/>
      </c>
      <c r="P66" s="14">
        <f>N66+O66</f>
        <v/>
      </c>
      <c r="Q66" s="94">
        <f>P66/D66</f>
        <v/>
      </c>
      <c r="R66" s="14">
        <f>D66+O66</f>
        <v/>
      </c>
      <c r="S66" s="95" t="n">
        <v>35</v>
      </c>
      <c r="T66" s="95" t="n">
        <v>39.3</v>
      </c>
      <c r="U66" s="85" t="n">
        <v>227</v>
      </c>
      <c r="V66" s="96" t="n">
        <v>1596</v>
      </c>
      <c r="W66" s="96" t="n">
        <v>1791.2</v>
      </c>
      <c r="X66" s="92" t="n">
        <v>19655.62</v>
      </c>
      <c r="Y66" s="92" t="n">
        <v>21079.18</v>
      </c>
      <c r="Z66" s="95" t="n">
        <v>21.5</v>
      </c>
      <c r="AA66" s="97">
        <f>C66</f>
        <v/>
      </c>
      <c r="AB66" s="98">
        <f>D66/AA66</f>
        <v/>
      </c>
      <c r="AC66" s="93" t="n">
        <v>-0.403339</v>
      </c>
      <c r="AD66" s="93" t="n">
        <v>-0.426804</v>
      </c>
      <c r="AE66" s="94">
        <f>AC66</f>
        <v/>
      </c>
      <c r="AF66" s="94">
        <f>AD66</f>
        <v/>
      </c>
      <c r="AG66" s="97">
        <f>AG65*(1+AE66)</f>
        <v/>
      </c>
      <c r="AH66" s="97">
        <f>AH65*(1+AF66)</f>
        <v/>
      </c>
      <c r="AI66" s="97">
        <f>IF(AE66=0,1,AE66/(12*((1+AE66)^(1/12)-1)))</f>
        <v/>
      </c>
      <c r="AJ66" s="97">
        <f>IF(AF66=0,1,AF66/(12*((1+AF66)^(1/12)-1)))</f>
        <v/>
      </c>
      <c r="AK66" s="99">
        <f>D66*'3_Comparateur_detaille'!$B$16</f>
        <v/>
      </c>
      <c r="AL66" s="99">
        <f>IF('3_Comparateur_detaille'!$B$20="Privé",MIN(AK66,E66)*IF('3_Comparateur_detaille'!$B$15="cadre",J66,F66)+MAX(0,AK66-E66)*IF('3_Comparateur_detaille'!$B$15="cadre",L66,H66),AK66*SUMIFS(Donnees_regimes!$J$3:$J$1118,Donnees_regimes!$A$3:$A$1118,'3_Comparateur_detaille'!$B$20,Donnees_regimes!$B$3:$B$1118,A66))</f>
        <v/>
      </c>
      <c r="AM66" s="99">
        <f>IF('3_Comparateur_detaille'!$B$20="Privé",MIN(AK66,E66)*IF('3_Comparateur_detaille'!$B$15="cadre",K66,G66)+MAX(0,AK66-E66)*IF('3_Comparateur_detaille'!$B$15="cadre",M66,I66),AK66*SUMIFS(Donnees_regimes!$K$3:$K$1118,Donnees_regimes!$A$3:$A$1118,'3_Comparateur_detaille'!$B$20,Donnees_regimes!$B$3:$B$1118,A66))</f>
        <v/>
      </c>
      <c r="AN66" s="99">
        <f>IF('3_Comparateur_detaille'!$B$20="Privé",0,AK66*SUMIFS(Donnees_regimes!$L$3:$L$1118,Donnees_regimes!$A$3:$A$1118,'3_Comparateur_detaille'!$B$20,Donnees_regimes!$B$3:$B$1118,A66))</f>
        <v/>
      </c>
      <c r="AO66" s="100">
        <f>(AL66+AM66)/AA66*AI66/AG66</f>
        <v/>
      </c>
      <c r="AP66" s="100">
        <f>(AL66+AM66)/AA66*AJ66/AH66</f>
        <v/>
      </c>
      <c r="AQ66" s="99">
        <f>D66*'3_Comparateur_detaille'!$C$16</f>
        <v/>
      </c>
      <c r="AR66" s="99">
        <f>IF('3_Comparateur_detaille'!$C$20="Privé",MIN(AQ66,E66)*IF('3_Comparateur_detaille'!$C$15="cadre",J66,F66)+MAX(0,AQ66-E66)*IF('3_Comparateur_detaille'!$C$15="cadre",L66,H66),AQ66*SUMIFS(Donnees_regimes!$J$3:$J$1118,Donnees_regimes!$A$3:$A$1118,'3_Comparateur_detaille'!$C$20,Donnees_regimes!$B$3:$B$1118,A66))</f>
        <v/>
      </c>
      <c r="AS66" s="99">
        <f>IF('3_Comparateur_detaille'!$C$20="Privé",MIN(AQ66,E66)*IF('3_Comparateur_detaille'!$C$15="cadre",K66,G66)+MAX(0,AQ66-E66)*IF('3_Comparateur_detaille'!$C$15="cadre",M66,I66),AQ66*SUMIFS(Donnees_regimes!$K$3:$K$1118,Donnees_regimes!$A$3:$A$1118,'3_Comparateur_detaille'!$C$20,Donnees_regimes!$B$3:$B$1118,A66))</f>
        <v/>
      </c>
      <c r="AT66" s="99">
        <f>IF('3_Comparateur_detaille'!$C$20="Privé",0,AQ66*SUMIFS(Donnees_regimes!$L$3:$L$1118,Donnees_regimes!$A$3:$A$1118,'3_Comparateur_detaille'!$C$20,Donnees_regimes!$B$3:$B$1118,A66))</f>
        <v/>
      </c>
      <c r="AU66" s="100">
        <f>(AR66+AS66)/AA66*AI66/AG66</f>
        <v/>
      </c>
      <c r="AV66" s="100">
        <f>(AR66+AS66)/AA66*AJ66/AH66</f>
        <v/>
      </c>
    </row>
    <row r="67">
      <c r="A67" s="88" t="n">
        <v>2009</v>
      </c>
      <c r="B67" s="90" t="inlineStr">
        <is>
          <t>Observé</t>
        </is>
      </c>
      <c r="C67" s="91" t="n">
        <v>1.31985</v>
      </c>
      <c r="D67" s="92" t="n">
        <v>40783.59</v>
      </c>
      <c r="E67" s="92" t="n">
        <v>45281.4</v>
      </c>
      <c r="F67" s="93" t="n">
        <v>0.115578</v>
      </c>
      <c r="G67" s="93" t="n">
        <v>0.156</v>
      </c>
      <c r="H67" s="93" t="n">
        <v>0.100078</v>
      </c>
      <c r="I67" s="93" t="n">
        <v>0.149</v>
      </c>
      <c r="J67" s="93" t="n">
        <v>0.116878</v>
      </c>
      <c r="K67" s="93" t="n">
        <v>0.1582</v>
      </c>
      <c r="L67" s="93" t="n">
        <v>0.09837799999999999</v>
      </c>
      <c r="M67" s="93" t="n">
        <v>0.1572</v>
      </c>
      <c r="N67" s="14">
        <f>MIN(D67,E67)*F67+MAX(0,D67-E67)*H67</f>
        <v/>
      </c>
      <c r="O67" s="14">
        <f>MIN(D67,E67)*G67+MAX(0,D67-E67)*I67</f>
        <v/>
      </c>
      <c r="P67" s="14">
        <f>N67+O67</f>
        <v/>
      </c>
      <c r="Q67" s="94">
        <f>P67/D67</f>
        <v/>
      </c>
      <c r="R67" s="14">
        <f>D67+O67</f>
        <v/>
      </c>
      <c r="S67" s="95" t="n">
        <v>35</v>
      </c>
      <c r="T67" s="95" t="n">
        <v>39.4</v>
      </c>
      <c r="U67" s="85" t="n">
        <v>227</v>
      </c>
      <c r="V67" s="96" t="n">
        <v>1596</v>
      </c>
      <c r="W67" s="96" t="n">
        <v>1795.8</v>
      </c>
      <c r="X67" s="92" t="n">
        <v>19979.88</v>
      </c>
      <c r="Y67" s="92" t="n">
        <v>20721.11</v>
      </c>
      <c r="Z67" s="95" t="n">
        <v>21.5</v>
      </c>
      <c r="AA67" s="97">
        <f>C67</f>
        <v/>
      </c>
      <c r="AB67" s="98">
        <f>D67/AA67</f>
        <v/>
      </c>
      <c r="AC67" s="93" t="n">
        <v>0.275787</v>
      </c>
      <c r="AD67" s="93" t="n">
        <v>0.223234</v>
      </c>
      <c r="AE67" s="94">
        <f>AC67</f>
        <v/>
      </c>
      <c r="AF67" s="94">
        <f>AD67</f>
        <v/>
      </c>
      <c r="AG67" s="97">
        <f>AG66*(1+AE67)</f>
        <v/>
      </c>
      <c r="AH67" s="97">
        <f>AH66*(1+AF67)</f>
        <v/>
      </c>
      <c r="AI67" s="97">
        <f>IF(AE67=0,1,AE67/(12*((1+AE67)^(1/12)-1)))</f>
        <v/>
      </c>
      <c r="AJ67" s="97">
        <f>IF(AF67=0,1,AF67/(12*((1+AF67)^(1/12)-1)))</f>
        <v/>
      </c>
      <c r="AK67" s="99">
        <f>D67*'3_Comparateur_detaille'!$B$16</f>
        <v/>
      </c>
      <c r="AL67" s="99">
        <f>IF('3_Comparateur_detaille'!$B$20="Privé",MIN(AK67,E67)*IF('3_Comparateur_detaille'!$B$15="cadre",J67,F67)+MAX(0,AK67-E67)*IF('3_Comparateur_detaille'!$B$15="cadre",L67,H67),AK67*SUMIFS(Donnees_regimes!$J$3:$J$1118,Donnees_regimes!$A$3:$A$1118,'3_Comparateur_detaille'!$B$20,Donnees_regimes!$B$3:$B$1118,A67))</f>
        <v/>
      </c>
      <c r="AM67" s="99">
        <f>IF('3_Comparateur_detaille'!$B$20="Privé",MIN(AK67,E67)*IF('3_Comparateur_detaille'!$B$15="cadre",K67,G67)+MAX(0,AK67-E67)*IF('3_Comparateur_detaille'!$B$15="cadre",M67,I67),AK67*SUMIFS(Donnees_regimes!$K$3:$K$1118,Donnees_regimes!$A$3:$A$1118,'3_Comparateur_detaille'!$B$20,Donnees_regimes!$B$3:$B$1118,A67))</f>
        <v/>
      </c>
      <c r="AN67" s="99">
        <f>IF('3_Comparateur_detaille'!$B$20="Privé",0,AK67*SUMIFS(Donnees_regimes!$L$3:$L$1118,Donnees_regimes!$A$3:$A$1118,'3_Comparateur_detaille'!$B$20,Donnees_regimes!$B$3:$B$1118,A67))</f>
        <v/>
      </c>
      <c r="AO67" s="100">
        <f>(AL67+AM67)/AA67*AI67/AG67</f>
        <v/>
      </c>
      <c r="AP67" s="100">
        <f>(AL67+AM67)/AA67*AJ67/AH67</f>
        <v/>
      </c>
      <c r="AQ67" s="99">
        <f>D67*'3_Comparateur_detaille'!$C$16</f>
        <v/>
      </c>
      <c r="AR67" s="99">
        <f>IF('3_Comparateur_detaille'!$C$20="Privé",MIN(AQ67,E67)*IF('3_Comparateur_detaille'!$C$15="cadre",J67,F67)+MAX(0,AQ67-E67)*IF('3_Comparateur_detaille'!$C$15="cadre",L67,H67),AQ67*SUMIFS(Donnees_regimes!$J$3:$J$1118,Donnees_regimes!$A$3:$A$1118,'3_Comparateur_detaille'!$C$20,Donnees_regimes!$B$3:$B$1118,A67))</f>
        <v/>
      </c>
      <c r="AS67" s="99">
        <f>IF('3_Comparateur_detaille'!$C$20="Privé",MIN(AQ67,E67)*IF('3_Comparateur_detaille'!$C$15="cadre",K67,G67)+MAX(0,AQ67-E67)*IF('3_Comparateur_detaille'!$C$15="cadre",M67,I67),AQ67*SUMIFS(Donnees_regimes!$K$3:$K$1118,Donnees_regimes!$A$3:$A$1118,'3_Comparateur_detaille'!$C$20,Donnees_regimes!$B$3:$B$1118,A67))</f>
        <v/>
      </c>
      <c r="AT67" s="99">
        <f>IF('3_Comparateur_detaille'!$C$20="Privé",0,AQ67*SUMIFS(Donnees_regimes!$L$3:$L$1118,Donnees_regimes!$A$3:$A$1118,'3_Comparateur_detaille'!$C$20,Donnees_regimes!$B$3:$B$1118,A67))</f>
        <v/>
      </c>
      <c r="AU67" s="100">
        <f>(AR67+AS67)/AA67*AI67/AG67</f>
        <v/>
      </c>
      <c r="AV67" s="100">
        <f>(AR67+AS67)/AA67*AJ67/AH67</f>
        <v/>
      </c>
    </row>
    <row r="68">
      <c r="A68" s="88" t="n">
        <v>2010</v>
      </c>
      <c r="B68" s="90" t="inlineStr">
        <is>
          <t>Observé</t>
        </is>
      </c>
      <c r="C68" s="91" t="n">
        <v>1.29996</v>
      </c>
      <c r="D68" s="92" t="n">
        <v>41006.56</v>
      </c>
      <c r="E68" s="92" t="n">
        <v>45004.67</v>
      </c>
      <c r="F68" s="93" t="n">
        <v>0.115578</v>
      </c>
      <c r="G68" s="93" t="n">
        <v>0.156</v>
      </c>
      <c r="H68" s="93" t="n">
        <v>0.100078</v>
      </c>
      <c r="I68" s="93" t="n">
        <v>0.149</v>
      </c>
      <c r="J68" s="93" t="n">
        <v>0.116878</v>
      </c>
      <c r="K68" s="93" t="n">
        <v>0.1582</v>
      </c>
      <c r="L68" s="93" t="n">
        <v>0.09837799999999999</v>
      </c>
      <c r="M68" s="93" t="n">
        <v>0.1572</v>
      </c>
      <c r="N68" s="14">
        <f>MIN(D68,E68)*F68+MAX(0,D68-E68)*H68</f>
        <v/>
      </c>
      <c r="O68" s="14">
        <f>MIN(D68,E68)*G68+MAX(0,D68-E68)*I68</f>
        <v/>
      </c>
      <c r="P68" s="14">
        <f>N68+O68</f>
        <v/>
      </c>
      <c r="Q68" s="94">
        <f>P68/D68</f>
        <v/>
      </c>
      <c r="R68" s="14">
        <f>D68+O68</f>
        <v/>
      </c>
      <c r="S68" s="95" t="n">
        <v>35</v>
      </c>
      <c r="T68" s="95" t="n">
        <v>39.4</v>
      </c>
      <c r="U68" s="85" t="n">
        <v>229</v>
      </c>
      <c r="V68" s="96" t="n">
        <v>1610</v>
      </c>
      <c r="W68" s="96" t="n">
        <v>1811.5</v>
      </c>
      <c r="X68" s="92" t="n">
        <v>20050.09</v>
      </c>
      <c r="Y68" s="92" t="n">
        <v>20731.79</v>
      </c>
      <c r="Z68" s="95" t="n">
        <v>21.5</v>
      </c>
      <c r="AA68" s="97">
        <f>C68</f>
        <v/>
      </c>
      <c r="AB68" s="98">
        <f>D68/AA68</f>
        <v/>
      </c>
      <c r="AC68" s="93" t="n">
        <v>0.005532</v>
      </c>
      <c r="AD68" s="93" t="n">
        <v>-0.033419</v>
      </c>
      <c r="AE68" s="94">
        <f>AC68</f>
        <v/>
      </c>
      <c r="AF68" s="94">
        <f>AD68</f>
        <v/>
      </c>
      <c r="AG68" s="97">
        <f>AG67*(1+AE68)</f>
        <v/>
      </c>
      <c r="AH68" s="97">
        <f>AH67*(1+AF68)</f>
        <v/>
      </c>
      <c r="AI68" s="97">
        <f>IF(AE68=0,1,AE68/(12*((1+AE68)^(1/12)-1)))</f>
        <v/>
      </c>
      <c r="AJ68" s="97">
        <f>IF(AF68=0,1,AF68/(12*((1+AF68)^(1/12)-1)))</f>
        <v/>
      </c>
      <c r="AK68" s="99">
        <f>D68*'3_Comparateur_detaille'!$B$16</f>
        <v/>
      </c>
      <c r="AL68" s="99">
        <f>IF('3_Comparateur_detaille'!$B$20="Privé",MIN(AK68,E68)*IF('3_Comparateur_detaille'!$B$15="cadre",J68,F68)+MAX(0,AK68-E68)*IF('3_Comparateur_detaille'!$B$15="cadre",L68,H68),AK68*SUMIFS(Donnees_regimes!$J$3:$J$1118,Donnees_regimes!$A$3:$A$1118,'3_Comparateur_detaille'!$B$20,Donnees_regimes!$B$3:$B$1118,A68))</f>
        <v/>
      </c>
      <c r="AM68" s="99">
        <f>IF('3_Comparateur_detaille'!$B$20="Privé",MIN(AK68,E68)*IF('3_Comparateur_detaille'!$B$15="cadre",K68,G68)+MAX(0,AK68-E68)*IF('3_Comparateur_detaille'!$B$15="cadre",M68,I68),AK68*SUMIFS(Donnees_regimes!$K$3:$K$1118,Donnees_regimes!$A$3:$A$1118,'3_Comparateur_detaille'!$B$20,Donnees_regimes!$B$3:$B$1118,A68))</f>
        <v/>
      </c>
      <c r="AN68" s="99">
        <f>IF('3_Comparateur_detaille'!$B$20="Privé",0,AK68*SUMIFS(Donnees_regimes!$L$3:$L$1118,Donnees_regimes!$A$3:$A$1118,'3_Comparateur_detaille'!$B$20,Donnees_regimes!$B$3:$B$1118,A68))</f>
        <v/>
      </c>
      <c r="AO68" s="100">
        <f>(AL68+AM68)/AA68*AI68/AG68</f>
        <v/>
      </c>
      <c r="AP68" s="100">
        <f>(AL68+AM68)/AA68*AJ68/AH68</f>
        <v/>
      </c>
      <c r="AQ68" s="99">
        <f>D68*'3_Comparateur_detaille'!$C$16</f>
        <v/>
      </c>
      <c r="AR68" s="99">
        <f>IF('3_Comparateur_detaille'!$C$20="Privé",MIN(AQ68,E68)*IF('3_Comparateur_detaille'!$C$15="cadre",J68,F68)+MAX(0,AQ68-E68)*IF('3_Comparateur_detaille'!$C$15="cadre",L68,H68),AQ68*SUMIFS(Donnees_regimes!$J$3:$J$1118,Donnees_regimes!$A$3:$A$1118,'3_Comparateur_detaille'!$C$20,Donnees_regimes!$B$3:$B$1118,A68))</f>
        <v/>
      </c>
      <c r="AS68" s="99">
        <f>IF('3_Comparateur_detaille'!$C$20="Privé",MIN(AQ68,E68)*IF('3_Comparateur_detaille'!$C$15="cadre",K68,G68)+MAX(0,AQ68-E68)*IF('3_Comparateur_detaille'!$C$15="cadre",M68,I68),AQ68*SUMIFS(Donnees_regimes!$K$3:$K$1118,Donnees_regimes!$A$3:$A$1118,'3_Comparateur_detaille'!$C$20,Donnees_regimes!$B$3:$B$1118,A68))</f>
        <v/>
      </c>
      <c r="AT68" s="99">
        <f>IF('3_Comparateur_detaille'!$C$20="Privé",0,AQ68*SUMIFS(Donnees_regimes!$L$3:$L$1118,Donnees_regimes!$A$3:$A$1118,'3_Comparateur_detaille'!$C$20,Donnees_regimes!$B$3:$B$1118,A68))</f>
        <v/>
      </c>
      <c r="AU68" s="100">
        <f>(AR68+AS68)/AA68*AI68/AG68</f>
        <v/>
      </c>
      <c r="AV68" s="100">
        <f>(AR68+AS68)/AA68*AJ68/AH68</f>
        <v/>
      </c>
    </row>
    <row r="69">
      <c r="A69" s="88" t="n">
        <v>2011</v>
      </c>
      <c r="B69" s="90" t="inlineStr">
        <is>
          <t>Observé</t>
        </is>
      </c>
      <c r="C69" s="91" t="n">
        <v>1.27314</v>
      </c>
      <c r="D69" s="92" t="n">
        <v>41111.9</v>
      </c>
      <c r="E69" s="92" t="n">
        <v>45007.92</v>
      </c>
      <c r="F69" s="93" t="n">
        <v>0.116312</v>
      </c>
      <c r="G69" s="93" t="n">
        <v>0.156</v>
      </c>
      <c r="H69" s="93" t="n">
        <v>0.100812</v>
      </c>
      <c r="I69" s="93" t="n">
        <v>0.149</v>
      </c>
      <c r="J69" s="93" t="n">
        <v>0.117612</v>
      </c>
      <c r="K69" s="93" t="n">
        <v>0.1582</v>
      </c>
      <c r="L69" s="93" t="n">
        <v>0.09911200000000001</v>
      </c>
      <c r="M69" s="93" t="n">
        <v>0.1572</v>
      </c>
      <c r="N69" s="14">
        <f>MIN(D69,E69)*F69+MAX(0,D69-E69)*H69</f>
        <v/>
      </c>
      <c r="O69" s="14">
        <f>MIN(D69,E69)*G69+MAX(0,D69-E69)*I69</f>
        <v/>
      </c>
      <c r="P69" s="14">
        <f>N69+O69</f>
        <v/>
      </c>
      <c r="Q69" s="94">
        <f>P69/D69</f>
        <v/>
      </c>
      <c r="R69" s="14">
        <f>D69+O69</f>
        <v/>
      </c>
      <c r="S69" s="95" t="n">
        <v>35</v>
      </c>
      <c r="T69" s="95" t="n">
        <v>39.5</v>
      </c>
      <c r="U69" s="85" t="n">
        <v>228</v>
      </c>
      <c r="V69" s="96" t="n">
        <v>1603</v>
      </c>
      <c r="W69" s="96" t="n">
        <v>1808.2</v>
      </c>
      <c r="X69" s="92" t="n">
        <v>20348.29</v>
      </c>
      <c r="Y69" s="92" t="n">
        <v>20866.2</v>
      </c>
      <c r="Z69" s="95" t="n">
        <v>21.5</v>
      </c>
      <c r="AA69" s="97">
        <f>C69</f>
        <v/>
      </c>
      <c r="AB69" s="98">
        <f>D69/AA69</f>
        <v/>
      </c>
      <c r="AC69" s="93" t="n">
        <v>-0.133886</v>
      </c>
      <c r="AD69" s="93" t="n">
        <v>-0.169516</v>
      </c>
      <c r="AE69" s="94">
        <f>AC69</f>
        <v/>
      </c>
      <c r="AF69" s="94">
        <f>AD69</f>
        <v/>
      </c>
      <c r="AG69" s="97">
        <f>AG68*(1+AE69)</f>
        <v/>
      </c>
      <c r="AH69" s="97">
        <f>AH68*(1+AF69)</f>
        <v/>
      </c>
      <c r="AI69" s="97">
        <f>IF(AE69=0,1,AE69/(12*((1+AE69)^(1/12)-1)))</f>
        <v/>
      </c>
      <c r="AJ69" s="97">
        <f>IF(AF69=0,1,AF69/(12*((1+AF69)^(1/12)-1)))</f>
        <v/>
      </c>
      <c r="AK69" s="99">
        <f>D69*'3_Comparateur_detaille'!$B$16</f>
        <v/>
      </c>
      <c r="AL69" s="99">
        <f>IF('3_Comparateur_detaille'!$B$20="Privé",MIN(AK69,E69)*IF('3_Comparateur_detaille'!$B$15="cadre",J69,F69)+MAX(0,AK69-E69)*IF('3_Comparateur_detaille'!$B$15="cadre",L69,H69),AK69*SUMIFS(Donnees_regimes!$J$3:$J$1118,Donnees_regimes!$A$3:$A$1118,'3_Comparateur_detaille'!$B$20,Donnees_regimes!$B$3:$B$1118,A69))</f>
        <v/>
      </c>
      <c r="AM69" s="99">
        <f>IF('3_Comparateur_detaille'!$B$20="Privé",MIN(AK69,E69)*IF('3_Comparateur_detaille'!$B$15="cadre",K69,G69)+MAX(0,AK69-E69)*IF('3_Comparateur_detaille'!$B$15="cadre",M69,I69),AK69*SUMIFS(Donnees_regimes!$K$3:$K$1118,Donnees_regimes!$A$3:$A$1118,'3_Comparateur_detaille'!$B$20,Donnees_regimes!$B$3:$B$1118,A69))</f>
        <v/>
      </c>
      <c r="AN69" s="99">
        <f>IF('3_Comparateur_detaille'!$B$20="Privé",0,AK69*SUMIFS(Donnees_regimes!$L$3:$L$1118,Donnees_regimes!$A$3:$A$1118,'3_Comparateur_detaille'!$B$20,Donnees_regimes!$B$3:$B$1118,A69))</f>
        <v/>
      </c>
      <c r="AO69" s="100">
        <f>(AL69+AM69)/AA69*AI69/AG69</f>
        <v/>
      </c>
      <c r="AP69" s="100">
        <f>(AL69+AM69)/AA69*AJ69/AH69</f>
        <v/>
      </c>
      <c r="AQ69" s="99">
        <f>D69*'3_Comparateur_detaille'!$C$16</f>
        <v/>
      </c>
      <c r="AR69" s="99">
        <f>IF('3_Comparateur_detaille'!$C$20="Privé",MIN(AQ69,E69)*IF('3_Comparateur_detaille'!$C$15="cadre",J69,F69)+MAX(0,AQ69-E69)*IF('3_Comparateur_detaille'!$C$15="cadre",L69,H69),AQ69*SUMIFS(Donnees_regimes!$J$3:$J$1118,Donnees_regimes!$A$3:$A$1118,'3_Comparateur_detaille'!$C$20,Donnees_regimes!$B$3:$B$1118,A69))</f>
        <v/>
      </c>
      <c r="AS69" s="99">
        <f>IF('3_Comparateur_detaille'!$C$20="Privé",MIN(AQ69,E69)*IF('3_Comparateur_detaille'!$C$15="cadre",K69,G69)+MAX(0,AQ69-E69)*IF('3_Comparateur_detaille'!$C$15="cadre",M69,I69),AQ69*SUMIFS(Donnees_regimes!$K$3:$K$1118,Donnees_regimes!$A$3:$A$1118,'3_Comparateur_detaille'!$C$20,Donnees_regimes!$B$3:$B$1118,A69))</f>
        <v/>
      </c>
      <c r="AT69" s="99">
        <f>IF('3_Comparateur_detaille'!$C$20="Privé",0,AQ69*SUMIFS(Donnees_regimes!$L$3:$L$1118,Donnees_regimes!$A$3:$A$1118,'3_Comparateur_detaille'!$C$20,Donnees_regimes!$B$3:$B$1118,A69))</f>
        <v/>
      </c>
      <c r="AU69" s="100">
        <f>(AR69+AS69)/AA69*AI69/AG69</f>
        <v/>
      </c>
      <c r="AV69" s="100">
        <f>(AR69+AS69)/AA69*AJ69/AH69</f>
        <v/>
      </c>
    </row>
    <row r="70">
      <c r="A70" s="88" t="n">
        <v>2012</v>
      </c>
      <c r="B70" s="90" t="inlineStr">
        <is>
          <t>Observé</t>
        </is>
      </c>
      <c r="C70" s="91" t="n">
        <v>1.24877</v>
      </c>
      <c r="D70" s="92" t="n">
        <v>40966.37</v>
      </c>
      <c r="E70" s="92" t="n">
        <v>45420.38</v>
      </c>
      <c r="F70" s="93" t="n">
        <v>0.116618</v>
      </c>
      <c r="G70" s="93" t="n">
        <v>0.156167</v>
      </c>
      <c r="H70" s="93" t="n">
        <v>0.100951</v>
      </c>
      <c r="I70" s="93" t="n">
        <v>0.149</v>
      </c>
      <c r="J70" s="93" t="n">
        <v>0.117918</v>
      </c>
      <c r="K70" s="93" t="n">
        <v>0.158367</v>
      </c>
      <c r="L70" s="93" t="n">
        <v>0.09925100000000001</v>
      </c>
      <c r="M70" s="93" t="n">
        <v>0.1572</v>
      </c>
      <c r="N70" s="14">
        <f>MIN(D70,E70)*F70+MAX(0,D70-E70)*H70</f>
        <v/>
      </c>
      <c r="O70" s="14">
        <f>MIN(D70,E70)*G70+MAX(0,D70-E70)*I70</f>
        <v/>
      </c>
      <c r="P70" s="14">
        <f>N70+O70</f>
        <v/>
      </c>
      <c r="Q70" s="94">
        <f>P70/D70</f>
        <v/>
      </c>
      <c r="R70" s="14">
        <f>D70+O70</f>
        <v/>
      </c>
      <c r="S70" s="95" t="n">
        <v>35</v>
      </c>
      <c r="T70" s="95" t="n">
        <v>39.4</v>
      </c>
      <c r="U70" s="85" t="n">
        <v>228</v>
      </c>
      <c r="V70" s="96" t="n">
        <v>1603</v>
      </c>
      <c r="W70" s="96" t="n">
        <v>1803.6</v>
      </c>
      <c r="X70" s="92" t="n">
        <v>20329.03</v>
      </c>
      <c r="Y70" s="92" t="n">
        <v>20621.24</v>
      </c>
      <c r="Z70" s="95" t="n">
        <v>21.5</v>
      </c>
      <c r="AA70" s="97">
        <f>C70</f>
        <v/>
      </c>
      <c r="AB70" s="98">
        <f>D70/AA70</f>
        <v/>
      </c>
      <c r="AC70" s="93" t="n">
        <v>0.203687</v>
      </c>
      <c r="AD70" s="93" t="n">
        <v>0.152307</v>
      </c>
      <c r="AE70" s="94">
        <f>AC70</f>
        <v/>
      </c>
      <c r="AF70" s="94">
        <f>AD70</f>
        <v/>
      </c>
      <c r="AG70" s="97">
        <f>AG69*(1+AE70)</f>
        <v/>
      </c>
      <c r="AH70" s="97">
        <f>AH69*(1+AF70)</f>
        <v/>
      </c>
      <c r="AI70" s="97">
        <f>IF(AE70=0,1,AE70/(12*((1+AE70)^(1/12)-1)))</f>
        <v/>
      </c>
      <c r="AJ70" s="97">
        <f>IF(AF70=0,1,AF70/(12*((1+AF70)^(1/12)-1)))</f>
        <v/>
      </c>
      <c r="AK70" s="99">
        <f>D70*'3_Comparateur_detaille'!$B$16</f>
        <v/>
      </c>
      <c r="AL70" s="99">
        <f>IF('3_Comparateur_detaille'!$B$20="Privé",MIN(AK70,E70)*IF('3_Comparateur_detaille'!$B$15="cadre",J70,F70)+MAX(0,AK70-E70)*IF('3_Comparateur_detaille'!$B$15="cadre",L70,H70),AK70*SUMIFS(Donnees_regimes!$J$3:$J$1118,Donnees_regimes!$A$3:$A$1118,'3_Comparateur_detaille'!$B$20,Donnees_regimes!$B$3:$B$1118,A70))</f>
        <v/>
      </c>
      <c r="AM70" s="99">
        <f>IF('3_Comparateur_detaille'!$B$20="Privé",MIN(AK70,E70)*IF('3_Comparateur_detaille'!$B$15="cadre",K70,G70)+MAX(0,AK70-E70)*IF('3_Comparateur_detaille'!$B$15="cadre",M70,I70),AK70*SUMIFS(Donnees_regimes!$K$3:$K$1118,Donnees_regimes!$A$3:$A$1118,'3_Comparateur_detaille'!$B$20,Donnees_regimes!$B$3:$B$1118,A70))</f>
        <v/>
      </c>
      <c r="AN70" s="99">
        <f>IF('3_Comparateur_detaille'!$B$20="Privé",0,AK70*SUMIFS(Donnees_regimes!$L$3:$L$1118,Donnees_regimes!$A$3:$A$1118,'3_Comparateur_detaille'!$B$20,Donnees_regimes!$B$3:$B$1118,A70))</f>
        <v/>
      </c>
      <c r="AO70" s="100">
        <f>(AL70+AM70)/AA70*AI70/AG70</f>
        <v/>
      </c>
      <c r="AP70" s="100">
        <f>(AL70+AM70)/AA70*AJ70/AH70</f>
        <v/>
      </c>
      <c r="AQ70" s="99">
        <f>D70*'3_Comparateur_detaille'!$C$16</f>
        <v/>
      </c>
      <c r="AR70" s="99">
        <f>IF('3_Comparateur_detaille'!$C$20="Privé",MIN(AQ70,E70)*IF('3_Comparateur_detaille'!$C$15="cadre",J70,F70)+MAX(0,AQ70-E70)*IF('3_Comparateur_detaille'!$C$15="cadre",L70,H70),AQ70*SUMIFS(Donnees_regimes!$J$3:$J$1118,Donnees_regimes!$A$3:$A$1118,'3_Comparateur_detaille'!$C$20,Donnees_regimes!$B$3:$B$1118,A70))</f>
        <v/>
      </c>
      <c r="AS70" s="99">
        <f>IF('3_Comparateur_detaille'!$C$20="Privé",MIN(AQ70,E70)*IF('3_Comparateur_detaille'!$C$15="cadre",K70,G70)+MAX(0,AQ70-E70)*IF('3_Comparateur_detaille'!$C$15="cadre",M70,I70),AQ70*SUMIFS(Donnees_regimes!$K$3:$K$1118,Donnees_regimes!$A$3:$A$1118,'3_Comparateur_detaille'!$C$20,Donnees_regimes!$B$3:$B$1118,A70))</f>
        <v/>
      </c>
      <c r="AT70" s="99">
        <f>IF('3_Comparateur_detaille'!$C$20="Privé",0,AQ70*SUMIFS(Donnees_regimes!$L$3:$L$1118,Donnees_regimes!$A$3:$A$1118,'3_Comparateur_detaille'!$C$20,Donnees_regimes!$B$3:$B$1118,A70))</f>
        <v/>
      </c>
      <c r="AU70" s="100">
        <f>(AR70+AS70)/AA70*AI70/AG70</f>
        <v/>
      </c>
      <c r="AV70" s="100">
        <f>(AR70+AS70)/AA70*AJ70/AH70</f>
        <v/>
      </c>
    </row>
    <row r="71">
      <c r="A71" s="88" t="n">
        <v>2013</v>
      </c>
      <c r="B71" s="90" t="inlineStr">
        <is>
          <t>Observé</t>
        </is>
      </c>
      <c r="C71" s="91" t="n">
        <v>1.23799</v>
      </c>
      <c r="D71" s="92" t="n">
        <v>40964.01</v>
      </c>
      <c r="E71" s="92" t="n">
        <v>45845.28</v>
      </c>
      <c r="F71" s="93" t="n">
        <v>0.117451</v>
      </c>
      <c r="G71" s="93" t="n">
        <v>0.157</v>
      </c>
      <c r="H71" s="93" t="n">
        <v>0.100951</v>
      </c>
      <c r="I71" s="93" t="n">
        <v>0.149</v>
      </c>
      <c r="J71" s="93" t="n">
        <v>0.118751</v>
      </c>
      <c r="K71" s="93" t="n">
        <v>0.1592</v>
      </c>
      <c r="L71" s="93" t="n">
        <v>0.09925100000000001</v>
      </c>
      <c r="M71" s="93" t="n">
        <v>0.1572</v>
      </c>
      <c r="N71" s="14">
        <f>MIN(D71,E71)*F71+MAX(0,D71-E71)*H71</f>
        <v/>
      </c>
      <c r="O71" s="14">
        <f>MIN(D71,E71)*G71+MAX(0,D71-E71)*I71</f>
        <v/>
      </c>
      <c r="P71" s="14">
        <f>N71+O71</f>
        <v/>
      </c>
      <c r="Q71" s="94">
        <f>P71/D71</f>
        <v/>
      </c>
      <c r="R71" s="14">
        <f>D71+O71</f>
        <v/>
      </c>
      <c r="S71" s="95" t="n">
        <v>35</v>
      </c>
      <c r="T71" s="95" t="n">
        <v>39.2</v>
      </c>
      <c r="U71" s="85" t="n">
        <v>226</v>
      </c>
      <c r="V71" s="96" t="n">
        <v>1589</v>
      </c>
      <c r="W71" s="96" t="n">
        <v>1778.8</v>
      </c>
      <c r="X71" s="92" t="n">
        <v>20502.62</v>
      </c>
      <c r="Y71" s="92" t="n">
        <v>20426.85</v>
      </c>
      <c r="Z71" s="95" t="n">
        <v>21.5</v>
      </c>
      <c r="AA71" s="97">
        <f>C71</f>
        <v/>
      </c>
      <c r="AB71" s="98">
        <f>D71/AA71</f>
        <v/>
      </c>
      <c r="AC71" s="93" t="n">
        <v>0.222173</v>
      </c>
      <c r="AD71" s="93" t="n">
        <v>0.179859</v>
      </c>
      <c r="AE71" s="94">
        <f>AC71</f>
        <v/>
      </c>
      <c r="AF71" s="94">
        <f>AD71</f>
        <v/>
      </c>
      <c r="AG71" s="97">
        <f>AG70*(1+AE71)</f>
        <v/>
      </c>
      <c r="AH71" s="97">
        <f>AH70*(1+AF71)</f>
        <v/>
      </c>
      <c r="AI71" s="97">
        <f>IF(AE71=0,1,AE71/(12*((1+AE71)^(1/12)-1)))</f>
        <v/>
      </c>
      <c r="AJ71" s="97">
        <f>IF(AF71=0,1,AF71/(12*((1+AF71)^(1/12)-1)))</f>
        <v/>
      </c>
      <c r="AK71" s="99">
        <f>D71*'3_Comparateur_detaille'!$B$16</f>
        <v/>
      </c>
      <c r="AL71" s="99">
        <f>IF('3_Comparateur_detaille'!$B$20="Privé",MIN(AK71,E71)*IF('3_Comparateur_detaille'!$B$15="cadre",J71,F71)+MAX(0,AK71-E71)*IF('3_Comparateur_detaille'!$B$15="cadre",L71,H71),AK71*SUMIFS(Donnees_regimes!$J$3:$J$1118,Donnees_regimes!$A$3:$A$1118,'3_Comparateur_detaille'!$B$20,Donnees_regimes!$B$3:$B$1118,A71))</f>
        <v/>
      </c>
      <c r="AM71" s="99">
        <f>IF('3_Comparateur_detaille'!$B$20="Privé",MIN(AK71,E71)*IF('3_Comparateur_detaille'!$B$15="cadre",K71,G71)+MAX(0,AK71-E71)*IF('3_Comparateur_detaille'!$B$15="cadre",M71,I71),AK71*SUMIFS(Donnees_regimes!$K$3:$K$1118,Donnees_regimes!$A$3:$A$1118,'3_Comparateur_detaille'!$B$20,Donnees_regimes!$B$3:$B$1118,A71))</f>
        <v/>
      </c>
      <c r="AN71" s="99">
        <f>IF('3_Comparateur_detaille'!$B$20="Privé",0,AK71*SUMIFS(Donnees_regimes!$L$3:$L$1118,Donnees_regimes!$A$3:$A$1118,'3_Comparateur_detaille'!$B$20,Donnees_regimes!$B$3:$B$1118,A71))</f>
        <v/>
      </c>
      <c r="AO71" s="100">
        <f>(AL71+AM71)/AA71*AI71/AG71</f>
        <v/>
      </c>
      <c r="AP71" s="100">
        <f>(AL71+AM71)/AA71*AJ71/AH71</f>
        <v/>
      </c>
      <c r="AQ71" s="99">
        <f>D71*'3_Comparateur_detaille'!$C$16</f>
        <v/>
      </c>
      <c r="AR71" s="99">
        <f>IF('3_Comparateur_detaille'!$C$20="Privé",MIN(AQ71,E71)*IF('3_Comparateur_detaille'!$C$15="cadre",J71,F71)+MAX(0,AQ71-E71)*IF('3_Comparateur_detaille'!$C$15="cadre",L71,H71),AQ71*SUMIFS(Donnees_regimes!$J$3:$J$1118,Donnees_regimes!$A$3:$A$1118,'3_Comparateur_detaille'!$C$20,Donnees_regimes!$B$3:$B$1118,A71))</f>
        <v/>
      </c>
      <c r="AS71" s="99">
        <f>IF('3_Comparateur_detaille'!$C$20="Privé",MIN(AQ71,E71)*IF('3_Comparateur_detaille'!$C$15="cadre",K71,G71)+MAX(0,AQ71-E71)*IF('3_Comparateur_detaille'!$C$15="cadre",M71,I71),AQ71*SUMIFS(Donnees_regimes!$K$3:$K$1118,Donnees_regimes!$A$3:$A$1118,'3_Comparateur_detaille'!$C$20,Donnees_regimes!$B$3:$B$1118,A71))</f>
        <v/>
      </c>
      <c r="AT71" s="99">
        <f>IF('3_Comparateur_detaille'!$C$20="Privé",0,AQ71*SUMIFS(Donnees_regimes!$L$3:$L$1118,Donnees_regimes!$A$3:$A$1118,'3_Comparateur_detaille'!$C$20,Donnees_regimes!$B$3:$B$1118,A71))</f>
        <v/>
      </c>
      <c r="AU71" s="100">
        <f>(AR71+AS71)/AA71*AI71/AG71</f>
        <v/>
      </c>
      <c r="AV71" s="100">
        <f>(AR71+AS71)/AA71*AJ71/AH71</f>
        <v/>
      </c>
    </row>
    <row r="72">
      <c r="A72" s="88" t="n">
        <v>2014</v>
      </c>
      <c r="B72" s="90" t="inlineStr">
        <is>
          <t>Observé</t>
        </is>
      </c>
      <c r="C72" s="91" t="n">
        <v>1.2317</v>
      </c>
      <c r="D72" s="92" t="n">
        <v>41263.29</v>
      </c>
      <c r="E72" s="92" t="n">
        <v>46247.87</v>
      </c>
      <c r="F72" s="93" t="n">
        <v>0.119951</v>
      </c>
      <c r="G72" s="93" t="n">
        <v>0.15975</v>
      </c>
      <c r="H72" s="93" t="n">
        <v>0.102951</v>
      </c>
      <c r="I72" s="93" t="n">
        <v>0.15125</v>
      </c>
      <c r="J72" s="93" t="n">
        <v>0.121251</v>
      </c>
      <c r="K72" s="93" t="n">
        <v>0.16195</v>
      </c>
      <c r="L72" s="93" t="n">
        <v>0.101251</v>
      </c>
      <c r="M72" s="93" t="n">
        <v>0.1595</v>
      </c>
      <c r="N72" s="14">
        <f>MIN(D72,E72)*F72+MAX(0,D72-E72)*H72</f>
        <v/>
      </c>
      <c r="O72" s="14">
        <f>MIN(D72,E72)*G72+MAX(0,D72-E72)*I72</f>
        <v/>
      </c>
      <c r="P72" s="14">
        <f>N72+O72</f>
        <v/>
      </c>
      <c r="Q72" s="94">
        <f>P72/D72</f>
        <v/>
      </c>
      <c r="R72" s="14">
        <f>D72+O72</f>
        <v/>
      </c>
      <c r="S72" s="95" t="n">
        <v>35</v>
      </c>
      <c r="T72" s="95" t="n">
        <v>39</v>
      </c>
      <c r="U72" s="85" t="n">
        <v>226</v>
      </c>
      <c r="V72" s="96" t="n">
        <v>1589</v>
      </c>
      <c r="W72" s="96" t="n">
        <v>1769.8</v>
      </c>
      <c r="X72" s="92" t="n">
        <v>20621.61</v>
      </c>
      <c r="Y72" s="92" t="n">
        <v>21369.5</v>
      </c>
      <c r="Z72" s="95" t="n">
        <v>21.5</v>
      </c>
      <c r="AA72" s="97">
        <f>C72</f>
        <v/>
      </c>
      <c r="AB72" s="98">
        <f>D72/AA72</f>
        <v/>
      </c>
      <c r="AC72" s="93" t="n">
        <v>0.027084</v>
      </c>
      <c r="AD72" s="93" t="n">
        <v>-0.0054</v>
      </c>
      <c r="AE72" s="94">
        <f>AC72</f>
        <v/>
      </c>
      <c r="AF72" s="94">
        <f>AD72</f>
        <v/>
      </c>
      <c r="AG72" s="97">
        <f>AG71*(1+AE72)</f>
        <v/>
      </c>
      <c r="AH72" s="97">
        <f>AH71*(1+AF72)</f>
        <v/>
      </c>
      <c r="AI72" s="97">
        <f>IF(AE72=0,1,AE72/(12*((1+AE72)^(1/12)-1)))</f>
        <v/>
      </c>
      <c r="AJ72" s="97">
        <f>IF(AF72=0,1,AF72/(12*((1+AF72)^(1/12)-1)))</f>
        <v/>
      </c>
      <c r="AK72" s="99">
        <f>D72*'3_Comparateur_detaille'!$B$16</f>
        <v/>
      </c>
      <c r="AL72" s="99">
        <f>IF('3_Comparateur_detaille'!$B$20="Privé",MIN(AK72,E72)*IF('3_Comparateur_detaille'!$B$15="cadre",J72,F72)+MAX(0,AK72-E72)*IF('3_Comparateur_detaille'!$B$15="cadre",L72,H72),AK72*SUMIFS(Donnees_regimes!$J$3:$J$1118,Donnees_regimes!$A$3:$A$1118,'3_Comparateur_detaille'!$B$20,Donnees_regimes!$B$3:$B$1118,A72))</f>
        <v/>
      </c>
      <c r="AM72" s="99">
        <f>IF('3_Comparateur_detaille'!$B$20="Privé",MIN(AK72,E72)*IF('3_Comparateur_detaille'!$B$15="cadre",K72,G72)+MAX(0,AK72-E72)*IF('3_Comparateur_detaille'!$B$15="cadre",M72,I72),AK72*SUMIFS(Donnees_regimes!$K$3:$K$1118,Donnees_regimes!$A$3:$A$1118,'3_Comparateur_detaille'!$B$20,Donnees_regimes!$B$3:$B$1118,A72))</f>
        <v/>
      </c>
      <c r="AN72" s="99">
        <f>IF('3_Comparateur_detaille'!$B$20="Privé",0,AK72*SUMIFS(Donnees_regimes!$L$3:$L$1118,Donnees_regimes!$A$3:$A$1118,'3_Comparateur_detaille'!$B$20,Donnees_regimes!$B$3:$B$1118,A72))</f>
        <v/>
      </c>
      <c r="AO72" s="100">
        <f>(AL72+AM72)/AA72*AI72/AG72</f>
        <v/>
      </c>
      <c r="AP72" s="100">
        <f>(AL72+AM72)/AA72*AJ72/AH72</f>
        <v/>
      </c>
      <c r="AQ72" s="99">
        <f>D72*'3_Comparateur_detaille'!$C$16</f>
        <v/>
      </c>
      <c r="AR72" s="99">
        <f>IF('3_Comparateur_detaille'!$C$20="Privé",MIN(AQ72,E72)*IF('3_Comparateur_detaille'!$C$15="cadre",J72,F72)+MAX(0,AQ72-E72)*IF('3_Comparateur_detaille'!$C$15="cadre",L72,H72),AQ72*SUMIFS(Donnees_regimes!$J$3:$J$1118,Donnees_regimes!$A$3:$A$1118,'3_Comparateur_detaille'!$C$20,Donnees_regimes!$B$3:$B$1118,A72))</f>
        <v/>
      </c>
      <c r="AS72" s="99">
        <f>IF('3_Comparateur_detaille'!$C$20="Privé",MIN(AQ72,E72)*IF('3_Comparateur_detaille'!$C$15="cadre",K72,G72)+MAX(0,AQ72-E72)*IF('3_Comparateur_detaille'!$C$15="cadre",M72,I72),AQ72*SUMIFS(Donnees_regimes!$K$3:$K$1118,Donnees_regimes!$A$3:$A$1118,'3_Comparateur_detaille'!$C$20,Donnees_regimes!$B$3:$B$1118,A72))</f>
        <v/>
      </c>
      <c r="AT72" s="99">
        <f>IF('3_Comparateur_detaille'!$C$20="Privé",0,AQ72*SUMIFS(Donnees_regimes!$L$3:$L$1118,Donnees_regimes!$A$3:$A$1118,'3_Comparateur_detaille'!$C$20,Donnees_regimes!$B$3:$B$1118,A72))</f>
        <v/>
      </c>
      <c r="AU72" s="100">
        <f>(AR72+AS72)/AA72*AI72/AG72</f>
        <v/>
      </c>
      <c r="AV72" s="100">
        <f>(AR72+AS72)/AA72*AJ72/AH72</f>
        <v/>
      </c>
    </row>
    <row r="73">
      <c r="A73" s="88" t="n">
        <v>2015</v>
      </c>
      <c r="B73" s="90" t="inlineStr">
        <is>
          <t>Observé</t>
        </is>
      </c>
      <c r="C73" s="91" t="n">
        <v>1.23125</v>
      </c>
      <c r="D73" s="92" t="n">
        <v>41807.94</v>
      </c>
      <c r="E73" s="92" t="n">
        <v>46836.87</v>
      </c>
      <c r="F73" s="93" t="n">
        <v>0.121451</v>
      </c>
      <c r="G73" s="93" t="n">
        <v>0.1615</v>
      </c>
      <c r="H73" s="93" t="n">
        <v>0.103951</v>
      </c>
      <c r="I73" s="93" t="n">
        <v>0.1525</v>
      </c>
      <c r="J73" s="93" t="n">
        <v>0.122751</v>
      </c>
      <c r="K73" s="93" t="n">
        <v>0.1637</v>
      </c>
      <c r="L73" s="93" t="n">
        <v>0.102251</v>
      </c>
      <c r="M73" s="93" t="n">
        <v>0.1607</v>
      </c>
      <c r="N73" s="14">
        <f>MIN(D73,E73)*F73+MAX(0,D73-E73)*H73</f>
        <v/>
      </c>
      <c r="O73" s="14">
        <f>MIN(D73,E73)*G73+MAX(0,D73-E73)*I73</f>
        <v/>
      </c>
      <c r="P73" s="14">
        <f>N73+O73</f>
        <v/>
      </c>
      <c r="Q73" s="94">
        <f>P73/D73</f>
        <v/>
      </c>
      <c r="R73" s="14">
        <f>D73+O73</f>
        <v/>
      </c>
      <c r="S73" s="95" t="n">
        <v>35</v>
      </c>
      <c r="T73" s="95" t="n">
        <v>39</v>
      </c>
      <c r="U73" s="85" t="n">
        <v>227</v>
      </c>
      <c r="V73" s="96" t="n">
        <v>1596</v>
      </c>
      <c r="W73" s="96" t="n">
        <v>1777.6</v>
      </c>
      <c r="X73" s="92" t="n">
        <v>20770.75</v>
      </c>
      <c r="Y73" s="92" t="n">
        <v>21645.43</v>
      </c>
      <c r="Z73" s="95" t="n">
        <v>21.5</v>
      </c>
      <c r="AA73" s="97">
        <f>C73</f>
        <v/>
      </c>
      <c r="AB73" s="98">
        <f>D73/AA73</f>
        <v/>
      </c>
      <c r="AC73" s="93" t="n">
        <v>0.119446</v>
      </c>
      <c r="AD73" s="93" t="n">
        <v>0.08526400000000001</v>
      </c>
      <c r="AE73" s="94">
        <f>AC73</f>
        <v/>
      </c>
      <c r="AF73" s="94">
        <f>AD73</f>
        <v/>
      </c>
      <c r="AG73" s="97">
        <f>AG72*(1+AE73)</f>
        <v/>
      </c>
      <c r="AH73" s="97">
        <f>AH72*(1+AF73)</f>
        <v/>
      </c>
      <c r="AI73" s="97">
        <f>IF(AE73=0,1,AE73/(12*((1+AE73)^(1/12)-1)))</f>
        <v/>
      </c>
      <c r="AJ73" s="97">
        <f>IF(AF73=0,1,AF73/(12*((1+AF73)^(1/12)-1)))</f>
        <v/>
      </c>
      <c r="AK73" s="99">
        <f>D73*'3_Comparateur_detaille'!$B$16</f>
        <v/>
      </c>
      <c r="AL73" s="99">
        <f>IF('3_Comparateur_detaille'!$B$20="Privé",MIN(AK73,E73)*IF('3_Comparateur_detaille'!$B$15="cadre",J73,F73)+MAX(0,AK73-E73)*IF('3_Comparateur_detaille'!$B$15="cadre",L73,H73),AK73*SUMIFS(Donnees_regimes!$J$3:$J$1118,Donnees_regimes!$A$3:$A$1118,'3_Comparateur_detaille'!$B$20,Donnees_regimes!$B$3:$B$1118,A73))</f>
        <v/>
      </c>
      <c r="AM73" s="99">
        <f>IF('3_Comparateur_detaille'!$B$20="Privé",MIN(AK73,E73)*IF('3_Comparateur_detaille'!$B$15="cadre",K73,G73)+MAX(0,AK73-E73)*IF('3_Comparateur_detaille'!$B$15="cadre",M73,I73),AK73*SUMIFS(Donnees_regimes!$K$3:$K$1118,Donnees_regimes!$A$3:$A$1118,'3_Comparateur_detaille'!$B$20,Donnees_regimes!$B$3:$B$1118,A73))</f>
        <v/>
      </c>
      <c r="AN73" s="99">
        <f>IF('3_Comparateur_detaille'!$B$20="Privé",0,AK73*SUMIFS(Donnees_regimes!$L$3:$L$1118,Donnees_regimes!$A$3:$A$1118,'3_Comparateur_detaille'!$B$20,Donnees_regimes!$B$3:$B$1118,A73))</f>
        <v/>
      </c>
      <c r="AO73" s="100">
        <f>(AL73+AM73)/AA73*AI73/AG73</f>
        <v/>
      </c>
      <c r="AP73" s="100">
        <f>(AL73+AM73)/AA73*AJ73/AH73</f>
        <v/>
      </c>
      <c r="AQ73" s="99">
        <f>D73*'3_Comparateur_detaille'!$C$16</f>
        <v/>
      </c>
      <c r="AR73" s="99">
        <f>IF('3_Comparateur_detaille'!$C$20="Privé",MIN(AQ73,E73)*IF('3_Comparateur_detaille'!$C$15="cadre",J73,F73)+MAX(0,AQ73-E73)*IF('3_Comparateur_detaille'!$C$15="cadre",L73,H73),AQ73*SUMIFS(Donnees_regimes!$J$3:$J$1118,Donnees_regimes!$A$3:$A$1118,'3_Comparateur_detaille'!$C$20,Donnees_regimes!$B$3:$B$1118,A73))</f>
        <v/>
      </c>
      <c r="AS73" s="99">
        <f>IF('3_Comparateur_detaille'!$C$20="Privé",MIN(AQ73,E73)*IF('3_Comparateur_detaille'!$C$15="cadre",K73,G73)+MAX(0,AQ73-E73)*IF('3_Comparateur_detaille'!$C$15="cadre",M73,I73),AQ73*SUMIFS(Donnees_regimes!$K$3:$K$1118,Donnees_regimes!$A$3:$A$1118,'3_Comparateur_detaille'!$C$20,Donnees_regimes!$B$3:$B$1118,A73))</f>
        <v/>
      </c>
      <c r="AT73" s="99">
        <f>IF('3_Comparateur_detaille'!$C$20="Privé",0,AQ73*SUMIFS(Donnees_regimes!$L$3:$L$1118,Donnees_regimes!$A$3:$A$1118,'3_Comparateur_detaille'!$C$20,Donnees_regimes!$B$3:$B$1118,A73))</f>
        <v/>
      </c>
      <c r="AU73" s="100">
        <f>(AR73+AS73)/AA73*AI73/AG73</f>
        <v/>
      </c>
      <c r="AV73" s="100">
        <f>(AR73+AS73)/AA73*AJ73/AH73</f>
        <v/>
      </c>
    </row>
    <row r="74">
      <c r="A74" s="88" t="n">
        <v>2016</v>
      </c>
      <c r="B74" s="90" t="inlineStr">
        <is>
          <t>Observé</t>
        </is>
      </c>
      <c r="C74" s="91" t="n">
        <v>1.22902</v>
      </c>
      <c r="D74" s="92" t="n">
        <v>41987.95</v>
      </c>
      <c r="E74" s="92" t="n">
        <v>47459.96</v>
      </c>
      <c r="F74" s="93" t="n">
        <v>0.114418</v>
      </c>
      <c r="G74" s="93" t="n">
        <v>0.1625</v>
      </c>
      <c r="H74" s="93" t="n">
        <v>0.096418</v>
      </c>
      <c r="I74" s="93" t="n">
        <v>0.153</v>
      </c>
      <c r="J74" s="93" t="n">
        <v>0.115718</v>
      </c>
      <c r="K74" s="93" t="n">
        <v>0.1647</v>
      </c>
      <c r="L74" s="93" t="n">
        <v>0.094718</v>
      </c>
      <c r="M74" s="93" t="n">
        <v>0.1612</v>
      </c>
      <c r="N74" s="14">
        <f>MIN(D74,E74)*F74+MAX(0,D74-E74)*H74</f>
        <v/>
      </c>
      <c r="O74" s="14">
        <f>MIN(D74,E74)*G74+MAX(0,D74-E74)*I74</f>
        <v/>
      </c>
      <c r="P74" s="14">
        <f>N74+O74</f>
        <v/>
      </c>
      <c r="Q74" s="94">
        <f>P74/D74</f>
        <v/>
      </c>
      <c r="R74" s="14">
        <f>D74+O74</f>
        <v/>
      </c>
      <c r="S74" s="95" t="n">
        <v>35</v>
      </c>
      <c r="T74" s="95" t="n">
        <v>39</v>
      </c>
      <c r="U74" s="85" t="n">
        <v>228</v>
      </c>
      <c r="V74" s="96" t="n">
        <v>1603</v>
      </c>
      <c r="W74" s="96" t="n">
        <v>1785.4</v>
      </c>
      <c r="X74" s="92" t="n">
        <v>21020.72</v>
      </c>
      <c r="Y74" s="92" t="n">
        <v>22433.61</v>
      </c>
      <c r="Z74" s="95" t="n">
        <v>21.5</v>
      </c>
      <c r="AA74" s="97">
        <f>C74</f>
        <v/>
      </c>
      <c r="AB74" s="98">
        <f>D74/AA74</f>
        <v/>
      </c>
      <c r="AC74" s="93" t="n">
        <v>0.08882900000000001</v>
      </c>
      <c r="AD74" s="93" t="n">
        <v>0.048576</v>
      </c>
      <c r="AE74" s="94">
        <f>AC74</f>
        <v/>
      </c>
      <c r="AF74" s="94">
        <f>AD74</f>
        <v/>
      </c>
      <c r="AG74" s="97">
        <f>AG73*(1+AE74)</f>
        <v/>
      </c>
      <c r="AH74" s="97">
        <f>AH73*(1+AF74)</f>
        <v/>
      </c>
      <c r="AI74" s="97">
        <f>IF(AE74=0,1,AE74/(12*((1+AE74)^(1/12)-1)))</f>
        <v/>
      </c>
      <c r="AJ74" s="97">
        <f>IF(AF74=0,1,AF74/(12*((1+AF74)^(1/12)-1)))</f>
        <v/>
      </c>
      <c r="AK74" s="99">
        <f>D74*'3_Comparateur_detaille'!$B$16</f>
        <v/>
      </c>
      <c r="AL74" s="99">
        <f>IF('3_Comparateur_detaille'!$B$20="Privé",MIN(AK74,E74)*IF('3_Comparateur_detaille'!$B$15="cadre",J74,F74)+MAX(0,AK74-E74)*IF('3_Comparateur_detaille'!$B$15="cadre",L74,H74),AK74*SUMIFS(Donnees_regimes!$J$3:$J$1118,Donnees_regimes!$A$3:$A$1118,'3_Comparateur_detaille'!$B$20,Donnees_regimes!$B$3:$B$1118,A74))</f>
        <v/>
      </c>
      <c r="AM74" s="99">
        <f>IF('3_Comparateur_detaille'!$B$20="Privé",MIN(AK74,E74)*IF('3_Comparateur_detaille'!$B$15="cadre",K74,G74)+MAX(0,AK74-E74)*IF('3_Comparateur_detaille'!$B$15="cadre",M74,I74),AK74*SUMIFS(Donnees_regimes!$K$3:$K$1118,Donnees_regimes!$A$3:$A$1118,'3_Comparateur_detaille'!$B$20,Donnees_regimes!$B$3:$B$1118,A74))</f>
        <v/>
      </c>
      <c r="AN74" s="99">
        <f>IF('3_Comparateur_detaille'!$B$20="Privé",0,AK74*SUMIFS(Donnees_regimes!$L$3:$L$1118,Donnees_regimes!$A$3:$A$1118,'3_Comparateur_detaille'!$B$20,Donnees_regimes!$B$3:$B$1118,A74))</f>
        <v/>
      </c>
      <c r="AO74" s="100">
        <f>(AL74+AM74)/AA74*AI74/AG74</f>
        <v/>
      </c>
      <c r="AP74" s="100">
        <f>(AL74+AM74)/AA74*AJ74/AH74</f>
        <v/>
      </c>
      <c r="AQ74" s="99">
        <f>D74*'3_Comparateur_detaille'!$C$16</f>
        <v/>
      </c>
      <c r="AR74" s="99">
        <f>IF('3_Comparateur_detaille'!$C$20="Privé",MIN(AQ74,E74)*IF('3_Comparateur_detaille'!$C$15="cadre",J74,F74)+MAX(0,AQ74-E74)*IF('3_Comparateur_detaille'!$C$15="cadre",L74,H74),AQ74*SUMIFS(Donnees_regimes!$J$3:$J$1118,Donnees_regimes!$A$3:$A$1118,'3_Comparateur_detaille'!$C$20,Donnees_regimes!$B$3:$B$1118,A74))</f>
        <v/>
      </c>
      <c r="AS74" s="99">
        <f>IF('3_Comparateur_detaille'!$C$20="Privé",MIN(AQ74,E74)*IF('3_Comparateur_detaille'!$C$15="cadre",K74,G74)+MAX(0,AQ74-E74)*IF('3_Comparateur_detaille'!$C$15="cadre",M74,I74),AQ74*SUMIFS(Donnees_regimes!$K$3:$K$1118,Donnees_regimes!$A$3:$A$1118,'3_Comparateur_detaille'!$C$20,Donnees_regimes!$B$3:$B$1118,A74))</f>
        <v/>
      </c>
      <c r="AT74" s="99">
        <f>IF('3_Comparateur_detaille'!$C$20="Privé",0,AQ74*SUMIFS(Donnees_regimes!$L$3:$L$1118,Donnees_regimes!$A$3:$A$1118,'3_Comparateur_detaille'!$C$20,Donnees_regimes!$B$3:$B$1118,A74))</f>
        <v/>
      </c>
      <c r="AU74" s="100">
        <f>(AR74+AS74)/AA74*AI74/AG74</f>
        <v/>
      </c>
      <c r="AV74" s="100">
        <f>(AR74+AS74)/AA74*AJ74/AH74</f>
        <v/>
      </c>
    </row>
    <row r="75">
      <c r="A75" s="88" t="n">
        <v>2017</v>
      </c>
      <c r="B75" s="90" t="inlineStr">
        <is>
          <t>Observé</t>
        </is>
      </c>
      <c r="C75" s="91" t="n">
        <v>1.21654</v>
      </c>
      <c r="D75" s="92" t="n">
        <v>42529.61</v>
      </c>
      <c r="E75" s="92" t="n">
        <v>47722.4</v>
      </c>
      <c r="F75" s="93" t="n">
        <v>0.114918</v>
      </c>
      <c r="G75" s="93" t="n">
        <v>0.163</v>
      </c>
      <c r="H75" s="93" t="n">
        <v>0.096918</v>
      </c>
      <c r="I75" s="93" t="n">
        <v>0.1535</v>
      </c>
      <c r="J75" s="93" t="n">
        <v>0.116218</v>
      </c>
      <c r="K75" s="93" t="n">
        <v>0.1652</v>
      </c>
      <c r="L75" s="93" t="n">
        <v>0.095218</v>
      </c>
      <c r="M75" s="93" t="n">
        <v>0.1617</v>
      </c>
      <c r="N75" s="14">
        <f>MIN(D75,E75)*F75+MAX(0,D75-E75)*H75</f>
        <v/>
      </c>
      <c r="O75" s="14">
        <f>MIN(D75,E75)*G75+MAX(0,D75-E75)*I75</f>
        <v/>
      </c>
      <c r="P75" s="14">
        <f>N75+O75</f>
        <v/>
      </c>
      <c r="Q75" s="94">
        <f>P75/D75</f>
        <v/>
      </c>
      <c r="R75" s="14">
        <f>D75+O75</f>
        <v/>
      </c>
      <c r="S75" s="95" t="n">
        <v>35</v>
      </c>
      <c r="T75" s="95" t="n">
        <v>39</v>
      </c>
      <c r="U75" s="85" t="n">
        <v>226</v>
      </c>
      <c r="V75" s="96" t="n">
        <v>1589</v>
      </c>
      <c r="W75" s="96" t="n">
        <v>1769.8</v>
      </c>
      <c r="X75" s="92" t="n">
        <v>21115.23</v>
      </c>
      <c r="Y75" s="92" t="n">
        <v>22156.1</v>
      </c>
      <c r="Z75" s="95" t="n">
        <v>21.5</v>
      </c>
      <c r="AA75" s="97">
        <f>C75</f>
        <v/>
      </c>
      <c r="AB75" s="98">
        <f>D75/AA75</f>
        <v/>
      </c>
      <c r="AC75" s="93" t="n">
        <v>0.127271</v>
      </c>
      <c r="AD75" s="93" t="n">
        <v>0.0926</v>
      </c>
      <c r="AE75" s="94">
        <f>AC75</f>
        <v/>
      </c>
      <c r="AF75" s="94">
        <f>AD75</f>
        <v/>
      </c>
      <c r="AG75" s="97">
        <f>AG74*(1+AE75)</f>
        <v/>
      </c>
      <c r="AH75" s="97">
        <f>AH74*(1+AF75)</f>
        <v/>
      </c>
      <c r="AI75" s="97">
        <f>IF(AE75=0,1,AE75/(12*((1+AE75)^(1/12)-1)))</f>
        <v/>
      </c>
      <c r="AJ75" s="97">
        <f>IF(AF75=0,1,AF75/(12*((1+AF75)^(1/12)-1)))</f>
        <v/>
      </c>
      <c r="AK75" s="99">
        <f>D75*'3_Comparateur_detaille'!$B$16</f>
        <v/>
      </c>
      <c r="AL75" s="99">
        <f>IF('3_Comparateur_detaille'!$B$20="Privé",MIN(AK75,E75)*IF('3_Comparateur_detaille'!$B$15="cadre",J75,F75)+MAX(0,AK75-E75)*IF('3_Comparateur_detaille'!$B$15="cadre",L75,H75),AK75*SUMIFS(Donnees_regimes!$J$3:$J$1118,Donnees_regimes!$A$3:$A$1118,'3_Comparateur_detaille'!$B$20,Donnees_regimes!$B$3:$B$1118,A75))</f>
        <v/>
      </c>
      <c r="AM75" s="99">
        <f>IF('3_Comparateur_detaille'!$B$20="Privé",MIN(AK75,E75)*IF('3_Comparateur_detaille'!$B$15="cadre",K75,G75)+MAX(0,AK75-E75)*IF('3_Comparateur_detaille'!$B$15="cadre",M75,I75),AK75*SUMIFS(Donnees_regimes!$K$3:$K$1118,Donnees_regimes!$A$3:$A$1118,'3_Comparateur_detaille'!$B$20,Donnees_regimes!$B$3:$B$1118,A75))</f>
        <v/>
      </c>
      <c r="AN75" s="99">
        <f>IF('3_Comparateur_detaille'!$B$20="Privé",0,AK75*SUMIFS(Donnees_regimes!$L$3:$L$1118,Donnees_regimes!$A$3:$A$1118,'3_Comparateur_detaille'!$B$20,Donnees_regimes!$B$3:$B$1118,A75))</f>
        <v/>
      </c>
      <c r="AO75" s="100">
        <f>(AL75+AM75)/AA75*AI75/AG75</f>
        <v/>
      </c>
      <c r="AP75" s="100">
        <f>(AL75+AM75)/AA75*AJ75/AH75</f>
        <v/>
      </c>
      <c r="AQ75" s="99">
        <f>D75*'3_Comparateur_detaille'!$C$16</f>
        <v/>
      </c>
      <c r="AR75" s="99">
        <f>IF('3_Comparateur_detaille'!$C$20="Privé",MIN(AQ75,E75)*IF('3_Comparateur_detaille'!$C$15="cadre",J75,F75)+MAX(0,AQ75-E75)*IF('3_Comparateur_detaille'!$C$15="cadre",L75,H75),AQ75*SUMIFS(Donnees_regimes!$J$3:$J$1118,Donnees_regimes!$A$3:$A$1118,'3_Comparateur_detaille'!$C$20,Donnees_regimes!$B$3:$B$1118,A75))</f>
        <v/>
      </c>
      <c r="AS75" s="99">
        <f>IF('3_Comparateur_detaille'!$C$20="Privé",MIN(AQ75,E75)*IF('3_Comparateur_detaille'!$C$15="cadre",K75,G75)+MAX(0,AQ75-E75)*IF('3_Comparateur_detaille'!$C$15="cadre",M75,I75),AQ75*SUMIFS(Donnees_regimes!$K$3:$K$1118,Donnees_regimes!$A$3:$A$1118,'3_Comparateur_detaille'!$C$20,Donnees_regimes!$B$3:$B$1118,A75))</f>
        <v/>
      </c>
      <c r="AT75" s="99">
        <f>IF('3_Comparateur_detaille'!$C$20="Privé",0,AQ75*SUMIFS(Donnees_regimes!$L$3:$L$1118,Donnees_regimes!$A$3:$A$1118,'3_Comparateur_detaille'!$C$20,Donnees_regimes!$B$3:$B$1118,A75))</f>
        <v/>
      </c>
      <c r="AU75" s="100">
        <f>(AR75+AS75)/AA75*AI75/AG75</f>
        <v/>
      </c>
      <c r="AV75" s="100">
        <f>(AR75+AS75)/AA75*AJ75/AH75</f>
        <v/>
      </c>
    </row>
    <row r="76">
      <c r="A76" s="88" t="n">
        <v>2018</v>
      </c>
      <c r="B76" s="90" t="inlineStr">
        <is>
          <t>Observé</t>
        </is>
      </c>
      <c r="C76" s="91" t="n">
        <v>1.19442</v>
      </c>
      <c r="D76" s="92" t="n">
        <v>42220.02</v>
      </c>
      <c r="E76" s="92" t="n">
        <v>47456.5</v>
      </c>
      <c r="F76" s="93" t="n">
        <v>0.114918</v>
      </c>
      <c r="G76" s="93" t="n">
        <v>0.163</v>
      </c>
      <c r="H76" s="93" t="n">
        <v>0.096918</v>
      </c>
      <c r="I76" s="93" t="n">
        <v>0.1535</v>
      </c>
      <c r="J76" s="93" t="n">
        <v>0.116218</v>
      </c>
      <c r="K76" s="93" t="n">
        <v>0.1652</v>
      </c>
      <c r="L76" s="93" t="n">
        <v>0.095218</v>
      </c>
      <c r="M76" s="93" t="n">
        <v>0.1617</v>
      </c>
      <c r="N76" s="14">
        <f>MIN(D76,E76)*F76+MAX(0,D76-E76)*H76</f>
        <v/>
      </c>
      <c r="O76" s="14">
        <f>MIN(D76,E76)*G76+MAX(0,D76-E76)*I76</f>
        <v/>
      </c>
      <c r="P76" s="14">
        <f>N76+O76</f>
        <v/>
      </c>
      <c r="Q76" s="94">
        <f>P76/D76</f>
        <v/>
      </c>
      <c r="R76" s="14">
        <f>D76+O76</f>
        <v/>
      </c>
      <c r="S76" s="95" t="n">
        <v>35</v>
      </c>
      <c r="T76" s="95" t="n">
        <v>39.1</v>
      </c>
      <c r="U76" s="85" t="n">
        <v>227</v>
      </c>
      <c r="V76" s="96" t="n">
        <v>1596</v>
      </c>
      <c r="W76" s="96" t="n">
        <v>1782.1</v>
      </c>
      <c r="X76" s="92" t="n">
        <v>20789.99</v>
      </c>
      <c r="Y76" s="92" t="n">
        <v>21394.84</v>
      </c>
      <c r="Z76" s="95" t="n">
        <v>21.5</v>
      </c>
      <c r="AA76" s="97">
        <f>C76</f>
        <v/>
      </c>
      <c r="AB76" s="98">
        <f>D76/AA76</f>
        <v/>
      </c>
      <c r="AC76" s="93" t="n">
        <v>-0.08</v>
      </c>
      <c r="AD76" s="93" t="n">
        <v>-0.109527</v>
      </c>
      <c r="AE76" s="94">
        <f>AC76</f>
        <v/>
      </c>
      <c r="AF76" s="94">
        <f>AD76</f>
        <v/>
      </c>
      <c r="AG76" s="97">
        <f>AG75*(1+AE76)</f>
        <v/>
      </c>
      <c r="AH76" s="97">
        <f>AH75*(1+AF76)</f>
        <v/>
      </c>
      <c r="AI76" s="97">
        <f>IF(AE76=0,1,AE76/(12*((1+AE76)^(1/12)-1)))</f>
        <v/>
      </c>
      <c r="AJ76" s="97">
        <f>IF(AF76=0,1,AF76/(12*((1+AF76)^(1/12)-1)))</f>
        <v/>
      </c>
      <c r="AK76" s="99">
        <f>D76*'3_Comparateur_detaille'!$B$16</f>
        <v/>
      </c>
      <c r="AL76" s="99">
        <f>IF('3_Comparateur_detaille'!$B$20="Privé",MIN(AK76,E76)*IF('3_Comparateur_detaille'!$B$15="cadre",J76,F76)+MAX(0,AK76-E76)*IF('3_Comparateur_detaille'!$B$15="cadre",L76,H76),AK76*SUMIFS(Donnees_regimes!$J$3:$J$1118,Donnees_regimes!$A$3:$A$1118,'3_Comparateur_detaille'!$B$20,Donnees_regimes!$B$3:$B$1118,A76))</f>
        <v/>
      </c>
      <c r="AM76" s="99">
        <f>IF('3_Comparateur_detaille'!$B$20="Privé",MIN(AK76,E76)*IF('3_Comparateur_detaille'!$B$15="cadre",K76,G76)+MAX(0,AK76-E76)*IF('3_Comparateur_detaille'!$B$15="cadre",M76,I76),AK76*SUMIFS(Donnees_regimes!$K$3:$K$1118,Donnees_regimes!$A$3:$A$1118,'3_Comparateur_detaille'!$B$20,Donnees_regimes!$B$3:$B$1118,A76))</f>
        <v/>
      </c>
      <c r="AN76" s="99">
        <f>IF('3_Comparateur_detaille'!$B$20="Privé",0,AK76*SUMIFS(Donnees_regimes!$L$3:$L$1118,Donnees_regimes!$A$3:$A$1118,'3_Comparateur_detaille'!$B$20,Donnees_regimes!$B$3:$B$1118,A76))</f>
        <v/>
      </c>
      <c r="AO76" s="100">
        <f>(AL76+AM76)/AA76*AI76/AG76</f>
        <v/>
      </c>
      <c r="AP76" s="100">
        <f>(AL76+AM76)/AA76*AJ76/AH76</f>
        <v/>
      </c>
      <c r="AQ76" s="99">
        <f>D76*'3_Comparateur_detaille'!$C$16</f>
        <v/>
      </c>
      <c r="AR76" s="99">
        <f>IF('3_Comparateur_detaille'!$C$20="Privé",MIN(AQ76,E76)*IF('3_Comparateur_detaille'!$C$15="cadre",J76,F76)+MAX(0,AQ76-E76)*IF('3_Comparateur_detaille'!$C$15="cadre",L76,H76),AQ76*SUMIFS(Donnees_regimes!$J$3:$J$1118,Donnees_regimes!$A$3:$A$1118,'3_Comparateur_detaille'!$C$20,Donnees_regimes!$B$3:$B$1118,A76))</f>
        <v/>
      </c>
      <c r="AS76" s="99">
        <f>IF('3_Comparateur_detaille'!$C$20="Privé",MIN(AQ76,E76)*IF('3_Comparateur_detaille'!$C$15="cadre",K76,G76)+MAX(0,AQ76-E76)*IF('3_Comparateur_detaille'!$C$15="cadre",M76,I76),AQ76*SUMIFS(Donnees_regimes!$K$3:$K$1118,Donnees_regimes!$A$3:$A$1118,'3_Comparateur_detaille'!$C$20,Donnees_regimes!$B$3:$B$1118,A76))</f>
        <v/>
      </c>
      <c r="AT76" s="99">
        <f>IF('3_Comparateur_detaille'!$C$20="Privé",0,AQ76*SUMIFS(Donnees_regimes!$L$3:$L$1118,Donnees_regimes!$A$3:$A$1118,'3_Comparateur_detaille'!$C$20,Donnees_regimes!$B$3:$B$1118,A76))</f>
        <v/>
      </c>
      <c r="AU76" s="100">
        <f>(AR76+AS76)/AA76*AI76/AG76</f>
        <v/>
      </c>
      <c r="AV76" s="100">
        <f>(AR76+AS76)/AA76*AJ76/AH76</f>
        <v/>
      </c>
    </row>
    <row r="77">
      <c r="A77" s="88" t="n">
        <v>2019</v>
      </c>
      <c r="B77" s="90" t="inlineStr">
        <is>
          <t>Observé</t>
        </is>
      </c>
      <c r="C77" s="91" t="n">
        <v>1.18125</v>
      </c>
      <c r="D77" s="92" t="n">
        <v>42146.65</v>
      </c>
      <c r="E77" s="92" t="n">
        <v>47868.92</v>
      </c>
      <c r="F77" s="93" t="n">
        <v>0.116018</v>
      </c>
      <c r="G77" s="93" t="n">
        <v>0.1646</v>
      </c>
      <c r="H77" s="93" t="n">
        <v>0.105518</v>
      </c>
      <c r="I77" s="93" t="n">
        <v>0.1668</v>
      </c>
      <c r="J77" s="93" t="n">
        <v>0.116018</v>
      </c>
      <c r="K77" s="93" t="n">
        <v>0.1646</v>
      </c>
      <c r="L77" s="93" t="n">
        <v>0.105518</v>
      </c>
      <c r="M77" s="93" t="n">
        <v>0.1668</v>
      </c>
      <c r="N77" s="14">
        <f>MIN(D77,E77)*F77+MAX(0,D77-E77)*H77</f>
        <v/>
      </c>
      <c r="O77" s="14">
        <f>MIN(D77,E77)*G77+MAX(0,D77-E77)*I77</f>
        <v/>
      </c>
      <c r="P77" s="14">
        <f>N77+O77</f>
        <v/>
      </c>
      <c r="Q77" s="94">
        <f>P77/D77</f>
        <v/>
      </c>
      <c r="R77" s="14">
        <f>D77+O77</f>
        <v/>
      </c>
      <c r="S77" s="95" t="n">
        <v>35</v>
      </c>
      <c r="T77" s="95" t="n">
        <v>39.1</v>
      </c>
      <c r="U77" s="85" t="n">
        <v>226</v>
      </c>
      <c r="V77" s="96" t="n">
        <v>1589</v>
      </c>
      <c r="W77" s="96" t="n">
        <v>1774.3</v>
      </c>
      <c r="X77" s="92" t="n">
        <v>20708.23</v>
      </c>
      <c r="Y77" s="92" t="n">
        <v>20825.88</v>
      </c>
      <c r="Z77" s="95" t="n">
        <v>21.5</v>
      </c>
      <c r="AA77" s="97">
        <f>C77</f>
        <v/>
      </c>
      <c r="AB77" s="98">
        <f>D77/AA77</f>
        <v/>
      </c>
      <c r="AC77" s="93" t="n">
        <v>0.304522</v>
      </c>
      <c r="AD77" s="93" t="n">
        <v>0.263676</v>
      </c>
      <c r="AE77" s="94">
        <f>AC77</f>
        <v/>
      </c>
      <c r="AF77" s="94">
        <f>AD77</f>
        <v/>
      </c>
      <c r="AG77" s="97">
        <f>AG76*(1+AE77)</f>
        <v/>
      </c>
      <c r="AH77" s="97">
        <f>AH76*(1+AF77)</f>
        <v/>
      </c>
      <c r="AI77" s="97">
        <f>IF(AE77=0,1,AE77/(12*((1+AE77)^(1/12)-1)))</f>
        <v/>
      </c>
      <c r="AJ77" s="97">
        <f>IF(AF77=0,1,AF77/(12*((1+AF77)^(1/12)-1)))</f>
        <v/>
      </c>
      <c r="AK77" s="99">
        <f>D77*'3_Comparateur_detaille'!$B$16</f>
        <v/>
      </c>
      <c r="AL77" s="99">
        <f>IF('3_Comparateur_detaille'!$B$20="Privé",MIN(AK77,E77)*IF('3_Comparateur_detaille'!$B$15="cadre",J77,F77)+MAX(0,AK77-E77)*IF('3_Comparateur_detaille'!$B$15="cadre",L77,H77),AK77*SUMIFS(Donnees_regimes!$J$3:$J$1118,Donnees_regimes!$A$3:$A$1118,'3_Comparateur_detaille'!$B$20,Donnees_regimes!$B$3:$B$1118,A77))</f>
        <v/>
      </c>
      <c r="AM77" s="99">
        <f>IF('3_Comparateur_detaille'!$B$20="Privé",MIN(AK77,E77)*IF('3_Comparateur_detaille'!$B$15="cadre",K77,G77)+MAX(0,AK77-E77)*IF('3_Comparateur_detaille'!$B$15="cadre",M77,I77),AK77*SUMIFS(Donnees_regimes!$K$3:$K$1118,Donnees_regimes!$A$3:$A$1118,'3_Comparateur_detaille'!$B$20,Donnees_regimes!$B$3:$B$1118,A77))</f>
        <v/>
      </c>
      <c r="AN77" s="99">
        <f>IF('3_Comparateur_detaille'!$B$20="Privé",0,AK77*SUMIFS(Donnees_regimes!$L$3:$L$1118,Donnees_regimes!$A$3:$A$1118,'3_Comparateur_detaille'!$B$20,Donnees_regimes!$B$3:$B$1118,A77))</f>
        <v/>
      </c>
      <c r="AO77" s="100">
        <f>(AL77+AM77)/AA77*AI77/AG77</f>
        <v/>
      </c>
      <c r="AP77" s="100">
        <f>(AL77+AM77)/AA77*AJ77/AH77</f>
        <v/>
      </c>
      <c r="AQ77" s="99">
        <f>D77*'3_Comparateur_detaille'!$C$16</f>
        <v/>
      </c>
      <c r="AR77" s="99">
        <f>IF('3_Comparateur_detaille'!$C$20="Privé",MIN(AQ77,E77)*IF('3_Comparateur_detaille'!$C$15="cadre",J77,F77)+MAX(0,AQ77-E77)*IF('3_Comparateur_detaille'!$C$15="cadre",L77,H77),AQ77*SUMIFS(Donnees_regimes!$J$3:$J$1118,Donnees_regimes!$A$3:$A$1118,'3_Comparateur_detaille'!$C$20,Donnees_regimes!$B$3:$B$1118,A77))</f>
        <v/>
      </c>
      <c r="AS77" s="99">
        <f>IF('3_Comparateur_detaille'!$C$20="Privé",MIN(AQ77,E77)*IF('3_Comparateur_detaille'!$C$15="cadre",K77,G77)+MAX(0,AQ77-E77)*IF('3_Comparateur_detaille'!$C$15="cadre",M77,I77),AQ77*SUMIFS(Donnees_regimes!$K$3:$K$1118,Donnees_regimes!$A$3:$A$1118,'3_Comparateur_detaille'!$C$20,Donnees_regimes!$B$3:$B$1118,A77))</f>
        <v/>
      </c>
      <c r="AT77" s="99">
        <f>IF('3_Comparateur_detaille'!$C$20="Privé",0,AQ77*SUMIFS(Donnees_regimes!$L$3:$L$1118,Donnees_regimes!$A$3:$A$1118,'3_Comparateur_detaille'!$C$20,Donnees_regimes!$B$3:$B$1118,A77))</f>
        <v/>
      </c>
      <c r="AU77" s="100">
        <f>(AR77+AS77)/AA77*AI77/AG77</f>
        <v/>
      </c>
      <c r="AV77" s="100">
        <f>(AR77+AS77)/AA77*AJ77/AH77</f>
        <v/>
      </c>
    </row>
    <row r="78">
      <c r="A78" s="88" t="n">
        <v>2020</v>
      </c>
      <c r="B78" s="90" t="inlineStr">
        <is>
          <t>Observé</t>
        </is>
      </c>
      <c r="C78" s="91" t="n">
        <v>1.17566</v>
      </c>
      <c r="D78" s="92" t="n">
        <v>40360.93</v>
      </c>
      <c r="E78" s="92" t="n">
        <v>48361.76</v>
      </c>
      <c r="F78" s="93" t="n">
        <v>0.116018</v>
      </c>
      <c r="G78" s="93" t="n">
        <v>0.1646</v>
      </c>
      <c r="H78" s="93" t="n">
        <v>0.105518</v>
      </c>
      <c r="I78" s="93" t="n">
        <v>0.1668</v>
      </c>
      <c r="J78" s="93" t="n">
        <v>0.116018</v>
      </c>
      <c r="K78" s="93" t="n">
        <v>0.1646</v>
      </c>
      <c r="L78" s="93" t="n">
        <v>0.105518</v>
      </c>
      <c r="M78" s="93" t="n">
        <v>0.1668</v>
      </c>
      <c r="N78" s="14">
        <f>MIN(D78,E78)*F78+MAX(0,D78-E78)*H78</f>
        <v/>
      </c>
      <c r="O78" s="14">
        <f>MIN(D78,E78)*G78+MAX(0,D78-E78)*I78</f>
        <v/>
      </c>
      <c r="P78" s="14">
        <f>N78+O78</f>
        <v/>
      </c>
      <c r="Q78" s="94">
        <f>P78/D78</f>
        <v/>
      </c>
      <c r="R78" s="14">
        <f>D78+O78</f>
        <v/>
      </c>
      <c r="S78" s="95" t="n">
        <v>35</v>
      </c>
      <c r="T78" s="95" t="n">
        <v>39.1</v>
      </c>
      <c r="U78" s="85" t="n">
        <v>228</v>
      </c>
      <c r="V78" s="96" t="n">
        <v>1603</v>
      </c>
      <c r="W78" s="96" t="n">
        <v>1790</v>
      </c>
      <c r="X78" s="92" t="n">
        <v>20991.09</v>
      </c>
      <c r="Y78" s="92" t="n">
        <v>21596.32</v>
      </c>
      <c r="Z78" s="95" t="n">
        <v>21.5</v>
      </c>
      <c r="AA78" s="97">
        <f>C78</f>
        <v/>
      </c>
      <c r="AB78" s="98">
        <f>D78/AA78</f>
        <v/>
      </c>
      <c r="AC78" s="93" t="n">
        <v>-0.049606</v>
      </c>
      <c r="AD78" s="93" t="n">
        <v>-0.071369</v>
      </c>
      <c r="AE78" s="94">
        <f>AC78</f>
        <v/>
      </c>
      <c r="AF78" s="94">
        <f>AD78</f>
        <v/>
      </c>
      <c r="AG78" s="97">
        <f>AG77*(1+AE78)</f>
        <v/>
      </c>
      <c r="AH78" s="97">
        <f>AH77*(1+AF78)</f>
        <v/>
      </c>
      <c r="AI78" s="97">
        <f>IF(AE78=0,1,AE78/(12*((1+AE78)^(1/12)-1)))</f>
        <v/>
      </c>
      <c r="AJ78" s="97">
        <f>IF(AF78=0,1,AF78/(12*((1+AF78)^(1/12)-1)))</f>
        <v/>
      </c>
      <c r="AK78" s="99">
        <f>D78*'3_Comparateur_detaille'!$B$16</f>
        <v/>
      </c>
      <c r="AL78" s="99">
        <f>IF('3_Comparateur_detaille'!$B$20="Privé",MIN(AK78,E78)*IF('3_Comparateur_detaille'!$B$15="cadre",J78,F78)+MAX(0,AK78-E78)*IF('3_Comparateur_detaille'!$B$15="cadre",L78,H78),AK78*SUMIFS(Donnees_regimes!$J$3:$J$1118,Donnees_regimes!$A$3:$A$1118,'3_Comparateur_detaille'!$B$20,Donnees_regimes!$B$3:$B$1118,A78))</f>
        <v/>
      </c>
      <c r="AM78" s="99">
        <f>IF('3_Comparateur_detaille'!$B$20="Privé",MIN(AK78,E78)*IF('3_Comparateur_detaille'!$B$15="cadre",K78,G78)+MAX(0,AK78-E78)*IF('3_Comparateur_detaille'!$B$15="cadre",M78,I78),AK78*SUMIFS(Donnees_regimes!$K$3:$K$1118,Donnees_regimes!$A$3:$A$1118,'3_Comparateur_detaille'!$B$20,Donnees_regimes!$B$3:$B$1118,A78))</f>
        <v/>
      </c>
      <c r="AN78" s="99">
        <f>IF('3_Comparateur_detaille'!$B$20="Privé",0,AK78*SUMIFS(Donnees_regimes!$L$3:$L$1118,Donnees_regimes!$A$3:$A$1118,'3_Comparateur_detaille'!$B$20,Donnees_regimes!$B$3:$B$1118,A78))</f>
        <v/>
      </c>
      <c r="AO78" s="100">
        <f>(AL78+AM78)/AA78*AI78/AG78</f>
        <v/>
      </c>
      <c r="AP78" s="100">
        <f>(AL78+AM78)/AA78*AJ78/AH78</f>
        <v/>
      </c>
      <c r="AQ78" s="99">
        <f>D78*'3_Comparateur_detaille'!$C$16</f>
        <v/>
      </c>
      <c r="AR78" s="99">
        <f>IF('3_Comparateur_detaille'!$C$20="Privé",MIN(AQ78,E78)*IF('3_Comparateur_detaille'!$C$15="cadre",J78,F78)+MAX(0,AQ78-E78)*IF('3_Comparateur_detaille'!$C$15="cadre",L78,H78),AQ78*SUMIFS(Donnees_regimes!$J$3:$J$1118,Donnees_regimes!$A$3:$A$1118,'3_Comparateur_detaille'!$C$20,Donnees_regimes!$B$3:$B$1118,A78))</f>
        <v/>
      </c>
      <c r="AS78" s="99">
        <f>IF('3_Comparateur_detaille'!$C$20="Privé",MIN(AQ78,E78)*IF('3_Comparateur_detaille'!$C$15="cadre",K78,G78)+MAX(0,AQ78-E78)*IF('3_Comparateur_detaille'!$C$15="cadre",M78,I78),AQ78*SUMIFS(Donnees_regimes!$K$3:$K$1118,Donnees_regimes!$A$3:$A$1118,'3_Comparateur_detaille'!$C$20,Donnees_regimes!$B$3:$B$1118,A78))</f>
        <v/>
      </c>
      <c r="AT78" s="99">
        <f>IF('3_Comparateur_detaille'!$C$20="Privé",0,AQ78*SUMIFS(Donnees_regimes!$L$3:$L$1118,Donnees_regimes!$A$3:$A$1118,'3_Comparateur_detaille'!$C$20,Donnees_regimes!$B$3:$B$1118,A78))</f>
        <v/>
      </c>
      <c r="AU78" s="100">
        <f>(AR78+AS78)/AA78*AI78/AG78</f>
        <v/>
      </c>
      <c r="AV78" s="100">
        <f>(AR78+AS78)/AA78*AJ78/AH78</f>
        <v/>
      </c>
    </row>
    <row r="79">
      <c r="A79" s="88" t="n">
        <v>2021</v>
      </c>
      <c r="B79" s="90" t="inlineStr">
        <is>
          <t>Observé</t>
        </is>
      </c>
      <c r="C79" s="91" t="n">
        <v>1.15669</v>
      </c>
      <c r="D79" s="92" t="n">
        <v>41391.57</v>
      </c>
      <c r="E79" s="92" t="n">
        <v>47581.47</v>
      </c>
      <c r="F79" s="93" t="n">
        <v>0.116018</v>
      </c>
      <c r="G79" s="93" t="n">
        <v>0.1646</v>
      </c>
      <c r="H79" s="93" t="n">
        <v>0.105518</v>
      </c>
      <c r="I79" s="93" t="n">
        <v>0.1668</v>
      </c>
      <c r="J79" s="93" t="n">
        <v>0.116018</v>
      </c>
      <c r="K79" s="93" t="n">
        <v>0.1646</v>
      </c>
      <c r="L79" s="93" t="n">
        <v>0.105518</v>
      </c>
      <c r="M79" s="93" t="n">
        <v>0.1668</v>
      </c>
      <c r="N79" s="14">
        <f>MIN(D79,E79)*F79+MAX(0,D79-E79)*H79</f>
        <v/>
      </c>
      <c r="O79" s="14">
        <f>MIN(D79,E79)*G79+MAX(0,D79-E79)*I79</f>
        <v/>
      </c>
      <c r="P79" s="14">
        <f>N79+O79</f>
        <v/>
      </c>
      <c r="Q79" s="94">
        <f>P79/D79</f>
        <v/>
      </c>
      <c r="R79" s="14">
        <f>D79+O79</f>
        <v/>
      </c>
      <c r="S79" s="95" t="n">
        <v>35</v>
      </c>
      <c r="T79" s="95" t="n">
        <v>38.8</v>
      </c>
      <c r="U79" s="85" t="n">
        <v>229</v>
      </c>
      <c r="V79" s="96" t="n">
        <v>1610</v>
      </c>
      <c r="W79" s="96" t="n">
        <v>1784</v>
      </c>
      <c r="X79" s="92" t="n">
        <v>20810.65</v>
      </c>
      <c r="Y79" s="92" t="n">
        <v>21214.56</v>
      </c>
      <c r="Z79" s="95" t="n">
        <v>21.5</v>
      </c>
      <c r="AA79" s="97">
        <f>C79</f>
        <v/>
      </c>
      <c r="AB79" s="98">
        <f>D79/AA79</f>
        <v/>
      </c>
      <c r="AC79" s="93" t="n">
        <v>0.318818</v>
      </c>
      <c r="AD79" s="93" t="n">
        <v>0.288507</v>
      </c>
      <c r="AE79" s="94">
        <f>AC79</f>
        <v/>
      </c>
      <c r="AF79" s="94">
        <f>AD79</f>
        <v/>
      </c>
      <c r="AG79" s="97">
        <f>AG78*(1+AE79)</f>
        <v/>
      </c>
      <c r="AH79" s="97">
        <f>AH78*(1+AF79)</f>
        <v/>
      </c>
      <c r="AI79" s="97">
        <f>IF(AE79=0,1,AE79/(12*((1+AE79)^(1/12)-1)))</f>
        <v/>
      </c>
      <c r="AJ79" s="97">
        <f>IF(AF79=0,1,AF79/(12*((1+AF79)^(1/12)-1)))</f>
        <v/>
      </c>
      <c r="AK79" s="99">
        <f>D79*'3_Comparateur_detaille'!$B$16</f>
        <v/>
      </c>
      <c r="AL79" s="99">
        <f>IF('3_Comparateur_detaille'!$B$20="Privé",MIN(AK79,E79)*IF('3_Comparateur_detaille'!$B$15="cadre",J79,F79)+MAX(0,AK79-E79)*IF('3_Comparateur_detaille'!$B$15="cadre",L79,H79),AK79*SUMIFS(Donnees_regimes!$J$3:$J$1118,Donnees_regimes!$A$3:$A$1118,'3_Comparateur_detaille'!$B$20,Donnees_regimes!$B$3:$B$1118,A79))</f>
        <v/>
      </c>
      <c r="AM79" s="99">
        <f>IF('3_Comparateur_detaille'!$B$20="Privé",MIN(AK79,E79)*IF('3_Comparateur_detaille'!$B$15="cadre",K79,G79)+MAX(0,AK79-E79)*IF('3_Comparateur_detaille'!$B$15="cadre",M79,I79),AK79*SUMIFS(Donnees_regimes!$K$3:$K$1118,Donnees_regimes!$A$3:$A$1118,'3_Comparateur_detaille'!$B$20,Donnees_regimes!$B$3:$B$1118,A79))</f>
        <v/>
      </c>
      <c r="AN79" s="99">
        <f>IF('3_Comparateur_detaille'!$B$20="Privé",0,AK79*SUMIFS(Donnees_regimes!$L$3:$L$1118,Donnees_regimes!$A$3:$A$1118,'3_Comparateur_detaille'!$B$20,Donnees_regimes!$B$3:$B$1118,A79))</f>
        <v/>
      </c>
      <c r="AO79" s="100">
        <f>(AL79+AM79)/AA79*AI79/AG79</f>
        <v/>
      </c>
      <c r="AP79" s="100">
        <f>(AL79+AM79)/AA79*AJ79/AH79</f>
        <v/>
      </c>
      <c r="AQ79" s="99">
        <f>D79*'3_Comparateur_detaille'!$C$16</f>
        <v/>
      </c>
      <c r="AR79" s="99">
        <f>IF('3_Comparateur_detaille'!$C$20="Privé",MIN(AQ79,E79)*IF('3_Comparateur_detaille'!$C$15="cadre",J79,F79)+MAX(0,AQ79-E79)*IF('3_Comparateur_detaille'!$C$15="cadre",L79,H79),AQ79*SUMIFS(Donnees_regimes!$J$3:$J$1118,Donnees_regimes!$A$3:$A$1118,'3_Comparateur_detaille'!$C$20,Donnees_regimes!$B$3:$B$1118,A79))</f>
        <v/>
      </c>
      <c r="AS79" s="99">
        <f>IF('3_Comparateur_detaille'!$C$20="Privé",MIN(AQ79,E79)*IF('3_Comparateur_detaille'!$C$15="cadre",K79,G79)+MAX(0,AQ79-E79)*IF('3_Comparateur_detaille'!$C$15="cadre",M79,I79),AQ79*SUMIFS(Donnees_regimes!$K$3:$K$1118,Donnees_regimes!$A$3:$A$1118,'3_Comparateur_detaille'!$C$20,Donnees_regimes!$B$3:$B$1118,A79))</f>
        <v/>
      </c>
      <c r="AT79" s="99">
        <f>IF('3_Comparateur_detaille'!$C$20="Privé",0,AQ79*SUMIFS(Donnees_regimes!$L$3:$L$1118,Donnees_regimes!$A$3:$A$1118,'3_Comparateur_detaille'!$C$20,Donnees_regimes!$B$3:$B$1118,A79))</f>
        <v/>
      </c>
      <c r="AU79" s="100">
        <f>(AR79+AS79)/AA79*AI79/AG79</f>
        <v/>
      </c>
      <c r="AV79" s="100">
        <f>(AR79+AS79)/AA79*AJ79/AH79</f>
        <v/>
      </c>
    </row>
    <row r="80">
      <c r="A80" s="88" t="n">
        <v>2022</v>
      </c>
      <c r="B80" s="90" t="inlineStr">
        <is>
          <t>Observé</t>
        </is>
      </c>
      <c r="C80" s="91" t="n">
        <v>1.09923</v>
      </c>
      <c r="D80" s="92" t="n">
        <v>41389.4</v>
      </c>
      <c r="E80" s="92" t="n">
        <v>45218.06</v>
      </c>
      <c r="F80" s="93" t="n">
        <v>0.116018</v>
      </c>
      <c r="G80" s="93" t="n">
        <v>0.1646</v>
      </c>
      <c r="H80" s="93" t="n">
        <v>0.105518</v>
      </c>
      <c r="I80" s="93" t="n">
        <v>0.1668</v>
      </c>
      <c r="J80" s="93" t="n">
        <v>0.116018</v>
      </c>
      <c r="K80" s="93" t="n">
        <v>0.1646</v>
      </c>
      <c r="L80" s="93" t="n">
        <v>0.105518</v>
      </c>
      <c r="M80" s="93" t="n">
        <v>0.1668</v>
      </c>
      <c r="N80" s="14">
        <f>MIN(D80,E80)*F80+MAX(0,D80-E80)*H80</f>
        <v/>
      </c>
      <c r="O80" s="14">
        <f>MIN(D80,E80)*G80+MAX(0,D80-E80)*I80</f>
        <v/>
      </c>
      <c r="P80" s="14">
        <f>N80+O80</f>
        <v/>
      </c>
      <c r="Q80" s="94">
        <f>P80/D80</f>
        <v/>
      </c>
      <c r="R80" s="14">
        <f>D80+O80</f>
        <v/>
      </c>
      <c r="S80" s="95" t="n">
        <v>35</v>
      </c>
      <c r="T80" s="95" t="n">
        <v>38.9</v>
      </c>
      <c r="U80" s="85" t="n">
        <v>228</v>
      </c>
      <c r="V80" s="96" t="n">
        <v>1603</v>
      </c>
      <c r="W80" s="96" t="n">
        <v>1780.8</v>
      </c>
      <c r="X80" s="92" t="n">
        <v>20859.93</v>
      </c>
      <c r="Y80" s="92" t="n">
        <v>20859.93</v>
      </c>
      <c r="Z80" s="95" t="n">
        <v>21.5</v>
      </c>
      <c r="AA80" s="97">
        <f>C80</f>
        <v/>
      </c>
      <c r="AB80" s="98">
        <f>D80/AA80</f>
        <v/>
      </c>
      <c r="AC80" s="93" t="n">
        <v>-0.066772</v>
      </c>
      <c r="AD80" s="93" t="n">
        <v>-0.09496300000000001</v>
      </c>
      <c r="AE80" s="94">
        <f>AC80</f>
        <v/>
      </c>
      <c r="AF80" s="94">
        <f>AD80</f>
        <v/>
      </c>
      <c r="AG80" s="97">
        <f>AG79*(1+AE80)</f>
        <v/>
      </c>
      <c r="AH80" s="97">
        <f>AH79*(1+AF80)</f>
        <v/>
      </c>
      <c r="AI80" s="97">
        <f>IF(AE80=0,1,AE80/(12*((1+AE80)^(1/12)-1)))</f>
        <v/>
      </c>
      <c r="AJ80" s="97">
        <f>IF(AF80=0,1,AF80/(12*((1+AF80)^(1/12)-1)))</f>
        <v/>
      </c>
      <c r="AK80" s="99">
        <f>D80*'3_Comparateur_detaille'!$B$16</f>
        <v/>
      </c>
      <c r="AL80" s="99">
        <f>IF('3_Comparateur_detaille'!$B$20="Privé",MIN(AK80,E80)*IF('3_Comparateur_detaille'!$B$15="cadre",J80,F80)+MAX(0,AK80-E80)*IF('3_Comparateur_detaille'!$B$15="cadre",L80,H80),AK80*SUMIFS(Donnees_regimes!$J$3:$J$1118,Donnees_regimes!$A$3:$A$1118,'3_Comparateur_detaille'!$B$20,Donnees_regimes!$B$3:$B$1118,A80))</f>
        <v/>
      </c>
      <c r="AM80" s="99">
        <f>IF('3_Comparateur_detaille'!$B$20="Privé",MIN(AK80,E80)*IF('3_Comparateur_detaille'!$B$15="cadre",K80,G80)+MAX(0,AK80-E80)*IF('3_Comparateur_detaille'!$B$15="cadre",M80,I80),AK80*SUMIFS(Donnees_regimes!$K$3:$K$1118,Donnees_regimes!$A$3:$A$1118,'3_Comparateur_detaille'!$B$20,Donnees_regimes!$B$3:$B$1118,A80))</f>
        <v/>
      </c>
      <c r="AN80" s="99">
        <f>IF('3_Comparateur_detaille'!$B$20="Privé",0,AK80*SUMIFS(Donnees_regimes!$L$3:$L$1118,Donnees_regimes!$A$3:$A$1118,'3_Comparateur_detaille'!$B$20,Donnees_regimes!$B$3:$B$1118,A80))</f>
        <v/>
      </c>
      <c r="AO80" s="100">
        <f>(AL80+AM80)/AA80*AI80/AG80</f>
        <v/>
      </c>
      <c r="AP80" s="100">
        <f>(AL80+AM80)/AA80*AJ80/AH80</f>
        <v/>
      </c>
      <c r="AQ80" s="99">
        <f>D80*'3_Comparateur_detaille'!$C$16</f>
        <v/>
      </c>
      <c r="AR80" s="99">
        <f>IF('3_Comparateur_detaille'!$C$20="Privé",MIN(AQ80,E80)*IF('3_Comparateur_detaille'!$C$15="cadre",J80,F80)+MAX(0,AQ80-E80)*IF('3_Comparateur_detaille'!$C$15="cadre",L80,H80),AQ80*SUMIFS(Donnees_regimes!$J$3:$J$1118,Donnees_regimes!$A$3:$A$1118,'3_Comparateur_detaille'!$C$20,Donnees_regimes!$B$3:$B$1118,A80))</f>
        <v/>
      </c>
      <c r="AS80" s="99">
        <f>IF('3_Comparateur_detaille'!$C$20="Privé",MIN(AQ80,E80)*IF('3_Comparateur_detaille'!$C$15="cadre",K80,G80)+MAX(0,AQ80-E80)*IF('3_Comparateur_detaille'!$C$15="cadre",M80,I80),AQ80*SUMIFS(Donnees_regimes!$K$3:$K$1118,Donnees_regimes!$A$3:$A$1118,'3_Comparateur_detaille'!$C$20,Donnees_regimes!$B$3:$B$1118,A80))</f>
        <v/>
      </c>
      <c r="AT80" s="99">
        <f>IF('3_Comparateur_detaille'!$C$20="Privé",0,AQ80*SUMIFS(Donnees_regimes!$L$3:$L$1118,Donnees_regimes!$A$3:$A$1118,'3_Comparateur_detaille'!$C$20,Donnees_regimes!$B$3:$B$1118,A80))</f>
        <v/>
      </c>
      <c r="AU80" s="100">
        <f>(AR80+AS80)/AA80*AI80/AG80</f>
        <v/>
      </c>
      <c r="AV80" s="100">
        <f>(AR80+AS80)/AA80*AJ80/AH80</f>
        <v/>
      </c>
    </row>
    <row r="81">
      <c r="A81" s="88" t="n">
        <v>2023</v>
      </c>
      <c r="B81" s="90" t="inlineStr">
        <is>
          <t>Observé</t>
        </is>
      </c>
      <c r="C81" s="91" t="n">
        <v>1.04819</v>
      </c>
      <c r="D81" s="92" t="n">
        <v>41215.26</v>
      </c>
      <c r="E81" s="92" t="n">
        <v>46111.88</v>
      </c>
      <c r="F81" s="93" t="n">
        <v>0.116018</v>
      </c>
      <c r="G81" s="93" t="n">
        <v>0.1646</v>
      </c>
      <c r="H81" s="93" t="n">
        <v>0.105518</v>
      </c>
      <c r="I81" s="93" t="n">
        <v>0.1668</v>
      </c>
      <c r="J81" s="93" t="n">
        <v>0.116018</v>
      </c>
      <c r="K81" s="93" t="n">
        <v>0.1646</v>
      </c>
      <c r="L81" s="93" t="n">
        <v>0.105518</v>
      </c>
      <c r="M81" s="93" t="n">
        <v>0.1668</v>
      </c>
      <c r="N81" s="14">
        <f>MIN(D81,E81)*F81+MAX(0,D81-E81)*H81</f>
        <v/>
      </c>
      <c r="O81" s="14">
        <f>MIN(D81,E81)*G81+MAX(0,D81-E81)*I81</f>
        <v/>
      </c>
      <c r="P81" s="14">
        <f>N81+O81</f>
        <v/>
      </c>
      <c r="Q81" s="94">
        <f>P81/D81</f>
        <v/>
      </c>
      <c r="R81" s="14">
        <f>D81+O81</f>
        <v/>
      </c>
      <c r="S81" s="95" t="n">
        <v>35</v>
      </c>
      <c r="T81" s="95" t="n">
        <v>38.9</v>
      </c>
      <c r="U81" s="85" t="n">
        <v>226</v>
      </c>
      <c r="V81" s="96" t="n">
        <v>1589</v>
      </c>
      <c r="W81" s="96" t="n">
        <v>1765.3</v>
      </c>
      <c r="X81" s="92" t="n">
        <v>20394.38</v>
      </c>
      <c r="Y81" s="92" t="n">
        <v>20395.64</v>
      </c>
      <c r="Z81" s="95" t="n">
        <v>21.5</v>
      </c>
      <c r="AA81" s="97">
        <f>C81</f>
        <v/>
      </c>
      <c r="AB81" s="98">
        <f>D81/AA81</f>
        <v/>
      </c>
      <c r="AC81" s="93" t="n">
        <v>0.201407</v>
      </c>
      <c r="AD81" s="93" t="n">
        <v>0.165193</v>
      </c>
      <c r="AE81" s="94">
        <f>AC81</f>
        <v/>
      </c>
      <c r="AF81" s="94">
        <f>AD81</f>
        <v/>
      </c>
      <c r="AG81" s="97">
        <f>AG80*(1+AE81)</f>
        <v/>
      </c>
      <c r="AH81" s="97">
        <f>AH80*(1+AF81)</f>
        <v/>
      </c>
      <c r="AI81" s="97">
        <f>IF(AE81=0,1,AE81/(12*((1+AE81)^(1/12)-1)))</f>
        <v/>
      </c>
      <c r="AJ81" s="97">
        <f>IF(AF81=0,1,AF81/(12*((1+AF81)^(1/12)-1)))</f>
        <v/>
      </c>
      <c r="AK81" s="99">
        <f>D81*'3_Comparateur_detaille'!$B$16</f>
        <v/>
      </c>
      <c r="AL81" s="99">
        <f>IF('3_Comparateur_detaille'!$B$20="Privé",MIN(AK81,E81)*IF('3_Comparateur_detaille'!$B$15="cadre",J81,F81)+MAX(0,AK81-E81)*IF('3_Comparateur_detaille'!$B$15="cadre",L81,H81),AK81*SUMIFS(Donnees_regimes!$J$3:$J$1118,Donnees_regimes!$A$3:$A$1118,'3_Comparateur_detaille'!$B$20,Donnees_regimes!$B$3:$B$1118,A81))</f>
        <v/>
      </c>
      <c r="AM81" s="99">
        <f>IF('3_Comparateur_detaille'!$B$20="Privé",MIN(AK81,E81)*IF('3_Comparateur_detaille'!$B$15="cadre",K81,G81)+MAX(0,AK81-E81)*IF('3_Comparateur_detaille'!$B$15="cadre",M81,I81),AK81*SUMIFS(Donnees_regimes!$K$3:$K$1118,Donnees_regimes!$A$3:$A$1118,'3_Comparateur_detaille'!$B$20,Donnees_regimes!$B$3:$B$1118,A81))</f>
        <v/>
      </c>
      <c r="AN81" s="99">
        <f>IF('3_Comparateur_detaille'!$B$20="Privé",0,AK81*SUMIFS(Donnees_regimes!$L$3:$L$1118,Donnees_regimes!$A$3:$A$1118,'3_Comparateur_detaille'!$B$20,Donnees_regimes!$B$3:$B$1118,A81))</f>
        <v/>
      </c>
      <c r="AO81" s="100">
        <f>(AL81+AM81)/AA81*AI81/AG81</f>
        <v/>
      </c>
      <c r="AP81" s="100">
        <f>(AL81+AM81)/AA81*AJ81/AH81</f>
        <v/>
      </c>
      <c r="AQ81" s="99">
        <f>D81*'3_Comparateur_detaille'!$C$16</f>
        <v/>
      </c>
      <c r="AR81" s="99">
        <f>IF('3_Comparateur_detaille'!$C$20="Privé",MIN(AQ81,E81)*IF('3_Comparateur_detaille'!$C$15="cadre",J81,F81)+MAX(0,AQ81-E81)*IF('3_Comparateur_detaille'!$C$15="cadre",L81,H81),AQ81*SUMIFS(Donnees_regimes!$J$3:$J$1118,Donnees_regimes!$A$3:$A$1118,'3_Comparateur_detaille'!$C$20,Donnees_regimes!$B$3:$B$1118,A81))</f>
        <v/>
      </c>
      <c r="AS81" s="99">
        <f>IF('3_Comparateur_detaille'!$C$20="Privé",MIN(AQ81,E81)*IF('3_Comparateur_detaille'!$C$15="cadre",K81,G81)+MAX(0,AQ81-E81)*IF('3_Comparateur_detaille'!$C$15="cadre",M81,I81),AQ81*SUMIFS(Donnees_regimes!$K$3:$K$1118,Donnees_regimes!$A$3:$A$1118,'3_Comparateur_detaille'!$C$20,Donnees_regimes!$B$3:$B$1118,A81))</f>
        <v/>
      </c>
      <c r="AT81" s="99">
        <f>IF('3_Comparateur_detaille'!$C$20="Privé",0,AQ81*SUMIFS(Donnees_regimes!$L$3:$L$1118,Donnees_regimes!$A$3:$A$1118,'3_Comparateur_detaille'!$C$20,Donnees_regimes!$B$3:$B$1118,A81))</f>
        <v/>
      </c>
      <c r="AU81" s="100">
        <f>(AR81+AS81)/AA81*AI81/AG81</f>
        <v/>
      </c>
      <c r="AV81" s="100">
        <f>(AR81+AS81)/AA81*AJ81/AH81</f>
        <v/>
      </c>
    </row>
    <row r="82">
      <c r="A82" s="88" t="n">
        <v>2024</v>
      </c>
      <c r="B82" s="90" t="inlineStr">
        <is>
          <t>Observé</t>
        </is>
      </c>
      <c r="C82" s="91" t="n">
        <v>1.02756</v>
      </c>
      <c r="D82" s="92" t="n">
        <v>41494.4</v>
      </c>
      <c r="E82" s="92" t="n">
        <v>47645.73</v>
      </c>
      <c r="F82" s="93" t="n">
        <v>0.11562</v>
      </c>
      <c r="G82" s="93" t="n">
        <v>0.1658</v>
      </c>
      <c r="H82" s="93" t="n">
        <v>0.10512</v>
      </c>
      <c r="I82" s="93" t="n">
        <v>0.168</v>
      </c>
      <c r="J82" s="93" t="n">
        <v>0.11562</v>
      </c>
      <c r="K82" s="93" t="n">
        <v>0.1658</v>
      </c>
      <c r="L82" s="93" t="n">
        <v>0.10512</v>
      </c>
      <c r="M82" s="93" t="n">
        <v>0.168</v>
      </c>
      <c r="N82" s="14">
        <f>MIN(D82,E82)*F82+MAX(0,D82-E82)*H82</f>
        <v/>
      </c>
      <c r="O82" s="14">
        <f>MIN(D82,E82)*G82+MAX(0,D82-E82)*I82</f>
        <v/>
      </c>
      <c r="P82" s="14">
        <f>N82+O82</f>
        <v/>
      </c>
      <c r="Q82" s="94">
        <f>P82/D82</f>
        <v/>
      </c>
      <c r="R82" s="14">
        <f>D82+O82</f>
        <v/>
      </c>
      <c r="S82" s="95" t="n">
        <v>35</v>
      </c>
      <c r="T82" s="95" t="n">
        <v>38.8</v>
      </c>
      <c r="U82" s="85" t="n">
        <v>227</v>
      </c>
      <c r="V82" s="96" t="n">
        <v>1596</v>
      </c>
      <c r="W82" s="96" t="n">
        <v>1768.5</v>
      </c>
      <c r="X82" s="92" t="n">
        <v>21023.8</v>
      </c>
      <c r="Y82" s="92" t="n">
        <v>20825.28</v>
      </c>
      <c r="Z82" s="95" t="n">
        <v>21.5</v>
      </c>
      <c r="AA82" s="97">
        <f>C82</f>
        <v/>
      </c>
      <c r="AB82" s="98">
        <f>D82/AA82</f>
        <v/>
      </c>
      <c r="AC82" s="93" t="n">
        <v>0.0092</v>
      </c>
      <c r="AD82" s="93" t="n">
        <v>-0.021535</v>
      </c>
      <c r="AE82" s="94">
        <f>AC82</f>
        <v/>
      </c>
      <c r="AF82" s="94">
        <f>AD82</f>
        <v/>
      </c>
      <c r="AG82" s="97">
        <f>AG81*(1+AE82)</f>
        <v/>
      </c>
      <c r="AH82" s="97">
        <f>AH81*(1+AF82)</f>
        <v/>
      </c>
      <c r="AI82" s="97">
        <f>IF(AE82=0,1,AE82/(12*((1+AE82)^(1/12)-1)))</f>
        <v/>
      </c>
      <c r="AJ82" s="97">
        <f>IF(AF82=0,1,AF82/(12*((1+AF82)^(1/12)-1)))</f>
        <v/>
      </c>
      <c r="AK82" s="99">
        <f>D82*'3_Comparateur_detaille'!$B$16</f>
        <v/>
      </c>
      <c r="AL82" s="99">
        <f>IF('3_Comparateur_detaille'!$B$20="Privé",MIN(AK82,E82)*IF('3_Comparateur_detaille'!$B$15="cadre",J82,F82)+MAX(0,AK82-E82)*IF('3_Comparateur_detaille'!$B$15="cadre",L82,H82),AK82*SUMIFS(Donnees_regimes!$J$3:$J$1118,Donnees_regimes!$A$3:$A$1118,'3_Comparateur_detaille'!$B$20,Donnees_regimes!$B$3:$B$1118,A82))</f>
        <v/>
      </c>
      <c r="AM82" s="99">
        <f>IF('3_Comparateur_detaille'!$B$20="Privé",MIN(AK82,E82)*IF('3_Comparateur_detaille'!$B$15="cadre",K82,G82)+MAX(0,AK82-E82)*IF('3_Comparateur_detaille'!$B$15="cadre",M82,I82),AK82*SUMIFS(Donnees_regimes!$K$3:$K$1118,Donnees_regimes!$A$3:$A$1118,'3_Comparateur_detaille'!$B$20,Donnees_regimes!$B$3:$B$1118,A82))</f>
        <v/>
      </c>
      <c r="AN82" s="99">
        <f>IF('3_Comparateur_detaille'!$B$20="Privé",0,AK82*SUMIFS(Donnees_regimes!$L$3:$L$1118,Donnees_regimes!$A$3:$A$1118,'3_Comparateur_detaille'!$B$20,Donnees_regimes!$B$3:$B$1118,A82))</f>
        <v/>
      </c>
      <c r="AO82" s="100">
        <f>(AL82+AM82)/AA82*AI82/AG82</f>
        <v/>
      </c>
      <c r="AP82" s="100">
        <f>(AL82+AM82)/AA82*AJ82/AH82</f>
        <v/>
      </c>
      <c r="AQ82" s="99">
        <f>D82*'3_Comparateur_detaille'!$C$16</f>
        <v/>
      </c>
      <c r="AR82" s="99">
        <f>IF('3_Comparateur_detaille'!$C$20="Privé",MIN(AQ82,E82)*IF('3_Comparateur_detaille'!$C$15="cadre",J82,F82)+MAX(0,AQ82-E82)*IF('3_Comparateur_detaille'!$C$15="cadre",L82,H82),AQ82*SUMIFS(Donnees_regimes!$J$3:$J$1118,Donnees_regimes!$A$3:$A$1118,'3_Comparateur_detaille'!$C$20,Donnees_regimes!$B$3:$B$1118,A82))</f>
        <v/>
      </c>
      <c r="AS82" s="99">
        <f>IF('3_Comparateur_detaille'!$C$20="Privé",MIN(AQ82,E82)*IF('3_Comparateur_detaille'!$C$15="cadre",K82,G82)+MAX(0,AQ82-E82)*IF('3_Comparateur_detaille'!$C$15="cadre",M82,I82),AQ82*SUMIFS(Donnees_regimes!$K$3:$K$1118,Donnees_regimes!$A$3:$A$1118,'3_Comparateur_detaille'!$C$20,Donnees_regimes!$B$3:$B$1118,A82))</f>
        <v/>
      </c>
      <c r="AT82" s="99">
        <f>IF('3_Comparateur_detaille'!$C$20="Privé",0,AQ82*SUMIFS(Donnees_regimes!$L$3:$L$1118,Donnees_regimes!$A$3:$A$1118,'3_Comparateur_detaille'!$C$20,Donnees_regimes!$B$3:$B$1118,A82))</f>
        <v/>
      </c>
      <c r="AU82" s="100">
        <f>(AR82+AS82)/AA82*AI82/AG82</f>
        <v/>
      </c>
      <c r="AV82" s="100">
        <f>(AR82+AS82)/AA82*AJ82/AH82</f>
        <v/>
      </c>
    </row>
    <row r="83">
      <c r="A83" s="88" t="n">
        <v>2025</v>
      </c>
      <c r="B83" s="90" t="inlineStr">
        <is>
          <t>Estimation (2025-2026)</t>
        </is>
      </c>
      <c r="C83" s="91" t="n">
        <v>1.018</v>
      </c>
      <c r="D83" s="92" t="n">
        <v>41848.46</v>
      </c>
      <c r="E83" s="92" t="n">
        <v>47947.8</v>
      </c>
      <c r="F83" s="93" t="n">
        <v>0.11562</v>
      </c>
      <c r="G83" s="93" t="n">
        <v>0.1658</v>
      </c>
      <c r="H83" s="93" t="n">
        <v>0.10512</v>
      </c>
      <c r="I83" s="93" t="n">
        <v>0.168</v>
      </c>
      <c r="J83" s="93" t="n">
        <v>0.11562</v>
      </c>
      <c r="K83" s="93" t="n">
        <v>0.1658</v>
      </c>
      <c r="L83" s="93" t="n">
        <v>0.10512</v>
      </c>
      <c r="M83" s="93" t="n">
        <v>0.168</v>
      </c>
      <c r="N83" s="14">
        <f>MIN(D83,E83)*F83+MAX(0,D83-E83)*H83</f>
        <v/>
      </c>
      <c r="O83" s="14">
        <f>MIN(D83,E83)*G83+MAX(0,D83-E83)*I83</f>
        <v/>
      </c>
      <c r="P83" s="14">
        <f>N83+O83</f>
        <v/>
      </c>
      <c r="Q83" s="94">
        <f>P83/D83</f>
        <v/>
      </c>
      <c r="R83" s="14">
        <f>D83+O83</f>
        <v/>
      </c>
      <c r="S83" s="95" t="n">
        <v>35</v>
      </c>
      <c r="T83" s="95" t="n">
        <v>38.8</v>
      </c>
      <c r="U83" s="85" t="n">
        <v>226</v>
      </c>
      <c r="V83" s="96" t="n">
        <v>1589</v>
      </c>
      <c r="W83" s="96" t="n">
        <v>1760.8</v>
      </c>
      <c r="X83" s="92" t="n">
        <v>21023.8</v>
      </c>
      <c r="Y83" s="92" t="n">
        <v>20825.28</v>
      </c>
      <c r="Z83" s="95" t="n">
        <v>21.5</v>
      </c>
      <c r="AA83" s="97">
        <f>C83</f>
        <v/>
      </c>
      <c r="AB83" s="98">
        <f>D83/AA83</f>
        <v/>
      </c>
      <c r="AC83" s="93" t="n">
        <v>0.1428</v>
      </c>
      <c r="AD83" s="93" t="n">
        <v>0.104158</v>
      </c>
      <c r="AE83" s="94">
        <f>AC83</f>
        <v/>
      </c>
      <c r="AF83" s="94">
        <f>AD83</f>
        <v/>
      </c>
      <c r="AG83" s="97">
        <f>AG82*(1+AE83)</f>
        <v/>
      </c>
      <c r="AH83" s="97">
        <f>AH82*(1+AF83)</f>
        <v/>
      </c>
      <c r="AI83" s="97">
        <f>IF(AE83=0,1,AE83/(12*((1+AE83)^(1/12)-1)))</f>
        <v/>
      </c>
      <c r="AJ83" s="97">
        <f>IF(AF83=0,1,AF83/(12*((1+AF83)^(1/12)-1)))</f>
        <v/>
      </c>
      <c r="AK83" s="99">
        <f>D83*'3_Comparateur_detaille'!$B$16</f>
        <v/>
      </c>
      <c r="AL83" s="99">
        <f>IF('3_Comparateur_detaille'!$B$20="Privé",MIN(AK83,E83)*IF('3_Comparateur_detaille'!$B$15="cadre",J83,F83)+MAX(0,AK83-E83)*IF('3_Comparateur_detaille'!$B$15="cadre",L83,H83),AK83*SUMIFS(Donnees_regimes!$J$3:$J$1118,Donnees_regimes!$A$3:$A$1118,'3_Comparateur_detaille'!$B$20,Donnees_regimes!$B$3:$B$1118,A83))</f>
        <v/>
      </c>
      <c r="AM83" s="99">
        <f>IF('3_Comparateur_detaille'!$B$20="Privé",MIN(AK83,E83)*IF('3_Comparateur_detaille'!$B$15="cadre",K83,G83)+MAX(0,AK83-E83)*IF('3_Comparateur_detaille'!$B$15="cadre",M83,I83),AK83*SUMIFS(Donnees_regimes!$K$3:$K$1118,Donnees_regimes!$A$3:$A$1118,'3_Comparateur_detaille'!$B$20,Donnees_regimes!$B$3:$B$1118,A83))</f>
        <v/>
      </c>
      <c r="AN83" s="99">
        <f>IF('3_Comparateur_detaille'!$B$20="Privé",0,AK83*SUMIFS(Donnees_regimes!$L$3:$L$1118,Donnees_regimes!$A$3:$A$1118,'3_Comparateur_detaille'!$B$20,Donnees_regimes!$B$3:$B$1118,A83))</f>
        <v/>
      </c>
      <c r="AO83" s="100">
        <f>(AL83+AM83)/AA83*AI83/AG83</f>
        <v/>
      </c>
      <c r="AP83" s="100">
        <f>(AL83+AM83)/AA83*AJ83/AH83</f>
        <v/>
      </c>
      <c r="AQ83" s="99">
        <f>D83*'3_Comparateur_detaille'!$C$16</f>
        <v/>
      </c>
      <c r="AR83" s="99">
        <f>IF('3_Comparateur_detaille'!$C$20="Privé",MIN(AQ83,E83)*IF('3_Comparateur_detaille'!$C$15="cadre",J83,F83)+MAX(0,AQ83-E83)*IF('3_Comparateur_detaille'!$C$15="cadre",L83,H83),AQ83*SUMIFS(Donnees_regimes!$J$3:$J$1118,Donnees_regimes!$A$3:$A$1118,'3_Comparateur_detaille'!$C$20,Donnees_regimes!$B$3:$B$1118,A83))</f>
        <v/>
      </c>
      <c r="AS83" s="99">
        <f>IF('3_Comparateur_detaille'!$C$20="Privé",MIN(AQ83,E83)*IF('3_Comparateur_detaille'!$C$15="cadre",K83,G83)+MAX(0,AQ83-E83)*IF('3_Comparateur_detaille'!$C$15="cadre",M83,I83),AQ83*SUMIFS(Donnees_regimes!$K$3:$K$1118,Donnees_regimes!$A$3:$A$1118,'3_Comparateur_detaille'!$C$20,Donnees_regimes!$B$3:$B$1118,A83))</f>
        <v/>
      </c>
      <c r="AT83" s="99">
        <f>IF('3_Comparateur_detaille'!$C$20="Privé",0,AQ83*SUMIFS(Donnees_regimes!$L$3:$L$1118,Donnees_regimes!$A$3:$A$1118,'3_Comparateur_detaille'!$C$20,Donnees_regimes!$B$3:$B$1118,A83))</f>
        <v/>
      </c>
      <c r="AU83" s="100">
        <f>(AR83+AS83)/AA83*AI83/AG83</f>
        <v/>
      </c>
      <c r="AV83" s="100">
        <f>(AR83+AS83)/AA83*AJ83/AH83</f>
        <v/>
      </c>
    </row>
    <row r="84">
      <c r="A84" s="88" t="n">
        <v>2026</v>
      </c>
      <c r="B84" s="90" t="inlineStr">
        <is>
          <t>Estimation (2025-2026)</t>
        </is>
      </c>
      <c r="C84" s="91" t="n">
        <v>1</v>
      </c>
      <c r="D84" s="92" t="n">
        <v>41684.02</v>
      </c>
      <c r="E84" s="92" t="n">
        <v>48060</v>
      </c>
      <c r="F84" s="93" t="n">
        <v>0.11562</v>
      </c>
      <c r="G84" s="93" t="n">
        <v>0.1667</v>
      </c>
      <c r="H84" s="93" t="n">
        <v>0.10512</v>
      </c>
      <c r="I84" s="93" t="n">
        <v>0.1689</v>
      </c>
      <c r="J84" s="93" t="n">
        <v>0.11562</v>
      </c>
      <c r="K84" s="93" t="n">
        <v>0.1667</v>
      </c>
      <c r="L84" s="93" t="n">
        <v>0.10512</v>
      </c>
      <c r="M84" s="93" t="n">
        <v>0.1689</v>
      </c>
      <c r="N84" s="14">
        <f>MIN(D84,E84)*F84+MAX(0,D84-E84)*H84</f>
        <v/>
      </c>
      <c r="O84" s="14">
        <f>MIN(D84,E84)*G84+MAX(0,D84-E84)*I84</f>
        <v/>
      </c>
      <c r="P84" s="14">
        <f>N84+O84</f>
        <v/>
      </c>
      <c r="Q84" s="94">
        <f>P84/D84</f>
        <v/>
      </c>
      <c r="R84" s="14">
        <f>D84+O84</f>
        <v/>
      </c>
      <c r="S84" s="95" t="n">
        <v>35</v>
      </c>
      <c r="T84" s="95" t="n">
        <v>38.8</v>
      </c>
      <c r="U84" s="85" t="n">
        <v>227</v>
      </c>
      <c r="V84" s="96" t="n">
        <v>1596</v>
      </c>
      <c r="W84" s="96" t="n">
        <v>1768.5</v>
      </c>
      <c r="X84" s="92" t="n">
        <v>21023.8</v>
      </c>
      <c r="Y84" s="92" t="n">
        <v>20825.28</v>
      </c>
      <c r="Z84" s="95" t="n">
        <v>21.5</v>
      </c>
      <c r="AA84" s="97">
        <f>C84</f>
        <v/>
      </c>
      <c r="AB84" s="98">
        <f>D84/AA84</f>
        <v/>
      </c>
      <c r="AC84" s="93" t="n">
        <v>0.022754</v>
      </c>
      <c r="AD84" s="93" t="n">
        <v>-0.003201</v>
      </c>
      <c r="AE84" s="94">
        <f>(1+AC84)*(1+((1+Parametres!$B$13)*(1+Parametres!$B$12)-1))^0.27-1</f>
        <v/>
      </c>
      <c r="AF84" s="94">
        <f>(1+AD84)*(1+((1+Parametres!$B$14)*(1+Parametres!$B$12)-1))^0.27-1</f>
        <v/>
      </c>
      <c r="AG84" s="97">
        <f>AG83*(1+AE84)</f>
        <v/>
      </c>
      <c r="AH84" s="97">
        <f>AH83*(1+AF84)</f>
        <v/>
      </c>
      <c r="AI84" s="97">
        <f>IF(AE84=0,1,AE84/(12*((1+AE84)^(1/12)-1)))</f>
        <v/>
      </c>
      <c r="AJ84" s="97">
        <f>IF(AF84=0,1,AF84/(12*((1+AF84)^(1/12)-1)))</f>
        <v/>
      </c>
      <c r="AK84" s="99">
        <f>D84*'3_Comparateur_detaille'!$B$16</f>
        <v/>
      </c>
      <c r="AL84" s="99">
        <f>IF('3_Comparateur_detaille'!$B$20="Privé",MIN(AK84,E84)*IF('3_Comparateur_detaille'!$B$15="cadre",J84,F84)+MAX(0,AK84-E84)*IF('3_Comparateur_detaille'!$B$15="cadre",L84,H84),AK84*SUMIFS(Donnees_regimes!$J$3:$J$1118,Donnees_regimes!$A$3:$A$1118,'3_Comparateur_detaille'!$B$20,Donnees_regimes!$B$3:$B$1118,A84))</f>
        <v/>
      </c>
      <c r="AM84" s="99">
        <f>IF('3_Comparateur_detaille'!$B$20="Privé",MIN(AK84,E84)*IF('3_Comparateur_detaille'!$B$15="cadre",K84,G84)+MAX(0,AK84-E84)*IF('3_Comparateur_detaille'!$B$15="cadre",M84,I84),AK84*SUMIFS(Donnees_regimes!$K$3:$K$1118,Donnees_regimes!$A$3:$A$1118,'3_Comparateur_detaille'!$B$20,Donnees_regimes!$B$3:$B$1118,A84))</f>
        <v/>
      </c>
      <c r="AN84" s="99">
        <f>IF('3_Comparateur_detaille'!$B$20="Privé",0,AK84*SUMIFS(Donnees_regimes!$L$3:$L$1118,Donnees_regimes!$A$3:$A$1118,'3_Comparateur_detaille'!$B$20,Donnees_regimes!$B$3:$B$1118,A84))</f>
        <v/>
      </c>
      <c r="AO84" s="100">
        <f>(AL84+AM84)/AA84*AI84/AG84</f>
        <v/>
      </c>
      <c r="AP84" s="100">
        <f>(AL84+AM84)/AA84*AJ84/AH84</f>
        <v/>
      </c>
      <c r="AQ84" s="99">
        <f>D84*'3_Comparateur_detaille'!$C$16</f>
        <v/>
      </c>
      <c r="AR84" s="99">
        <f>IF('3_Comparateur_detaille'!$C$20="Privé",MIN(AQ84,E84)*IF('3_Comparateur_detaille'!$C$15="cadre",J84,F84)+MAX(0,AQ84-E84)*IF('3_Comparateur_detaille'!$C$15="cadre",L84,H84),AQ84*SUMIFS(Donnees_regimes!$J$3:$J$1118,Donnees_regimes!$A$3:$A$1118,'3_Comparateur_detaille'!$C$20,Donnees_regimes!$B$3:$B$1118,A84))</f>
        <v/>
      </c>
      <c r="AS84" s="99">
        <f>IF('3_Comparateur_detaille'!$C$20="Privé",MIN(AQ84,E84)*IF('3_Comparateur_detaille'!$C$15="cadre",K84,G84)+MAX(0,AQ84-E84)*IF('3_Comparateur_detaille'!$C$15="cadre",M84,I84),AQ84*SUMIFS(Donnees_regimes!$K$3:$K$1118,Donnees_regimes!$A$3:$A$1118,'3_Comparateur_detaille'!$C$20,Donnees_regimes!$B$3:$B$1118,A84))</f>
        <v/>
      </c>
      <c r="AT84" s="99">
        <f>IF('3_Comparateur_detaille'!$C$20="Privé",0,AQ84*SUMIFS(Donnees_regimes!$L$3:$L$1118,Donnees_regimes!$A$3:$A$1118,'3_Comparateur_detaille'!$C$20,Donnees_regimes!$B$3:$B$1118,A84))</f>
        <v/>
      </c>
      <c r="AU84" s="100">
        <f>(AR84+AS84)/AA84*AI84/AG84</f>
        <v/>
      </c>
      <c r="AV84" s="100">
        <f>(AR84+AS84)/AA84*AJ84/AH84</f>
        <v/>
      </c>
    </row>
    <row r="85">
      <c r="A85" s="101" t="n">
        <v>2027</v>
      </c>
      <c r="B85" s="102" t="inlineStr">
        <is>
          <t>Projection</t>
        </is>
      </c>
      <c r="C85" s="103" t="n"/>
      <c r="D85" s="104" t="n">
        <v>41975.81</v>
      </c>
      <c r="E85" s="104" t="n">
        <v>48396.42</v>
      </c>
      <c r="F85" s="105" t="n">
        <v>0.11562</v>
      </c>
      <c r="G85" s="105" t="n">
        <v>0.1667</v>
      </c>
      <c r="H85" s="105" t="n">
        <v>0.10512</v>
      </c>
      <c r="I85" s="105" t="n">
        <v>0.1689</v>
      </c>
      <c r="J85" s="105" t="n">
        <v>0.11562</v>
      </c>
      <c r="K85" s="105" t="n">
        <v>0.1667</v>
      </c>
      <c r="L85" s="105" t="n">
        <v>0.10512</v>
      </c>
      <c r="M85" s="105" t="n">
        <v>0.1689</v>
      </c>
      <c r="N85" s="106">
        <f>MIN(D85,E85)*F85+MAX(0,D85-E85)*H85</f>
        <v/>
      </c>
      <c r="O85" s="106">
        <f>MIN(D85,E85)*G85+MAX(0,D85-E85)*I85</f>
        <v/>
      </c>
      <c r="P85" s="106">
        <f>N85+O85</f>
        <v/>
      </c>
      <c r="Q85" s="107">
        <f>P85/D85</f>
        <v/>
      </c>
      <c r="R85" s="106">
        <f>D85+O85</f>
        <v/>
      </c>
      <c r="S85" s="108" t="n">
        <v>35</v>
      </c>
      <c r="T85" s="108" t="n">
        <v>38.8</v>
      </c>
      <c r="U85" s="109" t="n">
        <v>229</v>
      </c>
      <c r="V85" s="110" t="n">
        <v>1610</v>
      </c>
      <c r="W85" s="110" t="n">
        <v>1784</v>
      </c>
      <c r="X85" s="104" t="n">
        <v>21135.74</v>
      </c>
      <c r="Y85" s="104" t="n">
        <v>20936.16</v>
      </c>
      <c r="Z85" s="108" t="n">
        <v>21.5</v>
      </c>
      <c r="AA85" s="103">
        <f>1/(1+Parametres!$B$12)^(A85-2026)</f>
        <v/>
      </c>
      <c r="AB85" s="111">
        <f>D85/AA85</f>
        <v/>
      </c>
      <c r="AC85" s="107" t="n"/>
      <c r="AD85" s="107" t="n"/>
      <c r="AE85" s="107">
        <f>((1+Parametres!$B$13)*(1+Parametres!$B$12)-1)</f>
        <v/>
      </c>
      <c r="AF85" s="107">
        <f>((1+Parametres!$B$14)*(1+Parametres!$B$12)-1)</f>
        <v/>
      </c>
      <c r="AG85" s="103">
        <f>AG84*(1+AE85)</f>
        <v/>
      </c>
      <c r="AH85" s="103">
        <f>AH84*(1+AF85)</f>
        <v/>
      </c>
      <c r="AI85" s="103">
        <f>IF(AE85=0,1,AE85/(12*((1+AE85)^(1/12)-1)))</f>
        <v/>
      </c>
      <c r="AJ85" s="103">
        <f>IF(AF85=0,1,AF85/(12*((1+AF85)^(1/12)-1)))</f>
        <v/>
      </c>
      <c r="AK85" s="112">
        <f>D85*'3_Comparateur_detaille'!$B$16</f>
        <v/>
      </c>
      <c r="AL85" s="112">
        <f>IF('3_Comparateur_detaille'!$B$20="Privé",MIN(AK85,E85)*IF('3_Comparateur_detaille'!$B$15="cadre",J85,F85)+MAX(0,AK85-E85)*IF('3_Comparateur_detaille'!$B$15="cadre",L85,H85),AK85*SUMIFS(Donnees_regimes!$J$3:$J$1118,Donnees_regimes!$A$3:$A$1118,'3_Comparateur_detaille'!$B$20,Donnees_regimes!$B$3:$B$1118,A85))</f>
        <v/>
      </c>
      <c r="AM85" s="112">
        <f>IF('3_Comparateur_detaille'!$B$20="Privé",MIN(AK85,E85)*IF('3_Comparateur_detaille'!$B$15="cadre",K85,G85)+MAX(0,AK85-E85)*IF('3_Comparateur_detaille'!$B$15="cadre",M85,I85),AK85*SUMIFS(Donnees_regimes!$K$3:$K$1118,Donnees_regimes!$A$3:$A$1118,'3_Comparateur_detaille'!$B$20,Donnees_regimes!$B$3:$B$1118,A85))</f>
        <v/>
      </c>
      <c r="AN85" s="112">
        <f>IF('3_Comparateur_detaille'!$B$20="Privé",0,AK85*SUMIFS(Donnees_regimes!$L$3:$L$1118,Donnees_regimes!$A$3:$A$1118,'3_Comparateur_detaille'!$B$20,Donnees_regimes!$B$3:$B$1118,A85))</f>
        <v/>
      </c>
      <c r="AO85" s="113">
        <f>(AL85+AM85)/AA85*AI85/AG85</f>
        <v/>
      </c>
      <c r="AP85" s="113">
        <f>(AL85+AM85)/AA85*AJ85/AH85</f>
        <v/>
      </c>
      <c r="AQ85" s="112">
        <f>D85*'3_Comparateur_detaille'!$C$16</f>
        <v/>
      </c>
      <c r="AR85" s="112">
        <f>IF('3_Comparateur_detaille'!$C$20="Privé",MIN(AQ85,E85)*IF('3_Comparateur_detaille'!$C$15="cadre",J85,F85)+MAX(0,AQ85-E85)*IF('3_Comparateur_detaille'!$C$15="cadre",L85,H85),AQ85*SUMIFS(Donnees_regimes!$J$3:$J$1118,Donnees_regimes!$A$3:$A$1118,'3_Comparateur_detaille'!$C$20,Donnees_regimes!$B$3:$B$1118,A85))</f>
        <v/>
      </c>
      <c r="AS85" s="112">
        <f>IF('3_Comparateur_detaille'!$C$20="Privé",MIN(AQ85,E85)*IF('3_Comparateur_detaille'!$C$15="cadre",K85,G85)+MAX(0,AQ85-E85)*IF('3_Comparateur_detaille'!$C$15="cadre",M85,I85),AQ85*SUMIFS(Donnees_regimes!$K$3:$K$1118,Donnees_regimes!$A$3:$A$1118,'3_Comparateur_detaille'!$C$20,Donnees_regimes!$B$3:$B$1118,A85))</f>
        <v/>
      </c>
      <c r="AT85" s="112">
        <f>IF('3_Comparateur_detaille'!$C$20="Privé",0,AQ85*SUMIFS(Donnees_regimes!$L$3:$L$1118,Donnees_regimes!$A$3:$A$1118,'3_Comparateur_detaille'!$C$20,Donnees_regimes!$B$3:$B$1118,A85))</f>
        <v/>
      </c>
      <c r="AU85" s="113">
        <f>(AR85+AS85)/AA85*AI85/AG85</f>
        <v/>
      </c>
      <c r="AV85" s="113">
        <f>(AR85+AS85)/AA85*AJ85/AH85</f>
        <v/>
      </c>
    </row>
    <row r="86">
      <c r="A86" s="101" t="n">
        <v>2028</v>
      </c>
      <c r="B86" s="102" t="inlineStr">
        <is>
          <t>Projection</t>
        </is>
      </c>
      <c r="C86" s="103" t="n"/>
      <c r="D86" s="104" t="n">
        <v>42269.64</v>
      </c>
      <c r="E86" s="104" t="n">
        <v>48735.19</v>
      </c>
      <c r="F86" s="105" t="n">
        <v>0.11562</v>
      </c>
      <c r="G86" s="105" t="n">
        <v>0.1667</v>
      </c>
      <c r="H86" s="105" t="n">
        <v>0.10512</v>
      </c>
      <c r="I86" s="105" t="n">
        <v>0.1689</v>
      </c>
      <c r="J86" s="105" t="n">
        <v>0.11562</v>
      </c>
      <c r="K86" s="105" t="n">
        <v>0.1667</v>
      </c>
      <c r="L86" s="105" t="n">
        <v>0.10512</v>
      </c>
      <c r="M86" s="105" t="n">
        <v>0.1689</v>
      </c>
      <c r="N86" s="106">
        <f>MIN(D86,E86)*F86+MAX(0,D86-E86)*H86</f>
        <v/>
      </c>
      <c r="O86" s="106">
        <f>MIN(D86,E86)*G86+MAX(0,D86-E86)*I86</f>
        <v/>
      </c>
      <c r="P86" s="106">
        <f>N86+O86</f>
        <v/>
      </c>
      <c r="Q86" s="107">
        <f>P86/D86</f>
        <v/>
      </c>
      <c r="R86" s="106">
        <f>D86+O86</f>
        <v/>
      </c>
      <c r="S86" s="108" t="n">
        <v>35</v>
      </c>
      <c r="T86" s="108" t="n">
        <v>38.8</v>
      </c>
      <c r="U86" s="109" t="n">
        <v>226</v>
      </c>
      <c r="V86" s="110" t="n">
        <v>1589</v>
      </c>
      <c r="W86" s="110" t="n">
        <v>1760.8</v>
      </c>
      <c r="X86" s="104" t="n">
        <v>21248.22</v>
      </c>
      <c r="Y86" s="104" t="n">
        <v>21047.58</v>
      </c>
      <c r="Z86" s="108" t="n">
        <v>21.5</v>
      </c>
      <c r="AA86" s="103">
        <f>1/(1+Parametres!$B$12)^(A86-2026)</f>
        <v/>
      </c>
      <c r="AB86" s="111">
        <f>D86/AA86</f>
        <v/>
      </c>
      <c r="AC86" s="107" t="n"/>
      <c r="AD86" s="107" t="n"/>
      <c r="AE86" s="107">
        <f>((1+Parametres!$B$13)*(1+Parametres!$B$12)-1)</f>
        <v/>
      </c>
      <c r="AF86" s="107">
        <f>((1+Parametres!$B$14)*(1+Parametres!$B$12)-1)</f>
        <v/>
      </c>
      <c r="AG86" s="103">
        <f>AG85*(1+AE86)</f>
        <v/>
      </c>
      <c r="AH86" s="103">
        <f>AH85*(1+AF86)</f>
        <v/>
      </c>
      <c r="AI86" s="103">
        <f>IF(AE86=0,1,AE86/(12*((1+AE86)^(1/12)-1)))</f>
        <v/>
      </c>
      <c r="AJ86" s="103">
        <f>IF(AF86=0,1,AF86/(12*((1+AF86)^(1/12)-1)))</f>
        <v/>
      </c>
      <c r="AK86" s="112">
        <f>D86*'3_Comparateur_detaille'!$B$16</f>
        <v/>
      </c>
      <c r="AL86" s="112">
        <f>IF('3_Comparateur_detaille'!$B$20="Privé",MIN(AK86,E86)*IF('3_Comparateur_detaille'!$B$15="cadre",J86,F86)+MAX(0,AK86-E86)*IF('3_Comparateur_detaille'!$B$15="cadre",L86,H86),AK86*SUMIFS(Donnees_regimes!$J$3:$J$1118,Donnees_regimes!$A$3:$A$1118,'3_Comparateur_detaille'!$B$20,Donnees_regimes!$B$3:$B$1118,A86))</f>
        <v/>
      </c>
      <c r="AM86" s="112">
        <f>IF('3_Comparateur_detaille'!$B$20="Privé",MIN(AK86,E86)*IF('3_Comparateur_detaille'!$B$15="cadre",K86,G86)+MAX(0,AK86-E86)*IF('3_Comparateur_detaille'!$B$15="cadre",M86,I86),AK86*SUMIFS(Donnees_regimes!$K$3:$K$1118,Donnees_regimes!$A$3:$A$1118,'3_Comparateur_detaille'!$B$20,Donnees_regimes!$B$3:$B$1118,A86))</f>
        <v/>
      </c>
      <c r="AN86" s="112">
        <f>IF('3_Comparateur_detaille'!$B$20="Privé",0,AK86*SUMIFS(Donnees_regimes!$L$3:$L$1118,Donnees_regimes!$A$3:$A$1118,'3_Comparateur_detaille'!$B$20,Donnees_regimes!$B$3:$B$1118,A86))</f>
        <v/>
      </c>
      <c r="AO86" s="113">
        <f>(AL86+AM86)/AA86*AI86/AG86</f>
        <v/>
      </c>
      <c r="AP86" s="113">
        <f>(AL86+AM86)/AA86*AJ86/AH86</f>
        <v/>
      </c>
      <c r="AQ86" s="112">
        <f>D86*'3_Comparateur_detaille'!$C$16</f>
        <v/>
      </c>
      <c r="AR86" s="112">
        <f>IF('3_Comparateur_detaille'!$C$20="Privé",MIN(AQ86,E86)*IF('3_Comparateur_detaille'!$C$15="cadre",J86,F86)+MAX(0,AQ86-E86)*IF('3_Comparateur_detaille'!$C$15="cadre",L86,H86),AQ86*SUMIFS(Donnees_regimes!$J$3:$J$1118,Donnees_regimes!$A$3:$A$1118,'3_Comparateur_detaille'!$C$20,Donnees_regimes!$B$3:$B$1118,A86))</f>
        <v/>
      </c>
      <c r="AS86" s="112">
        <f>IF('3_Comparateur_detaille'!$C$20="Privé",MIN(AQ86,E86)*IF('3_Comparateur_detaille'!$C$15="cadre",K86,G86)+MAX(0,AQ86-E86)*IF('3_Comparateur_detaille'!$C$15="cadre",M86,I86),AQ86*SUMIFS(Donnees_regimes!$K$3:$K$1118,Donnees_regimes!$A$3:$A$1118,'3_Comparateur_detaille'!$C$20,Donnees_regimes!$B$3:$B$1118,A86))</f>
        <v/>
      </c>
      <c r="AT86" s="112">
        <f>IF('3_Comparateur_detaille'!$C$20="Privé",0,AQ86*SUMIFS(Donnees_regimes!$L$3:$L$1118,Donnees_regimes!$A$3:$A$1118,'3_Comparateur_detaille'!$C$20,Donnees_regimes!$B$3:$B$1118,A86))</f>
        <v/>
      </c>
      <c r="AU86" s="113">
        <f>(AR86+AS86)/AA86*AI86/AG86</f>
        <v/>
      </c>
      <c r="AV86" s="113">
        <f>(AR86+AS86)/AA86*AJ86/AH86</f>
        <v/>
      </c>
    </row>
    <row r="87">
      <c r="A87" s="101" t="n">
        <v>2029</v>
      </c>
      <c r="B87" s="102" t="inlineStr">
        <is>
          <t>Projection</t>
        </is>
      </c>
      <c r="C87" s="103" t="n"/>
      <c r="D87" s="104" t="n">
        <v>42565.53</v>
      </c>
      <c r="E87" s="104" t="n">
        <v>49076.34</v>
      </c>
      <c r="F87" s="105" t="n">
        <v>0.11562</v>
      </c>
      <c r="G87" s="105" t="n">
        <v>0.1667</v>
      </c>
      <c r="H87" s="105" t="n">
        <v>0.10512</v>
      </c>
      <c r="I87" s="105" t="n">
        <v>0.1689</v>
      </c>
      <c r="J87" s="105" t="n">
        <v>0.11562</v>
      </c>
      <c r="K87" s="105" t="n">
        <v>0.1667</v>
      </c>
      <c r="L87" s="105" t="n">
        <v>0.10512</v>
      </c>
      <c r="M87" s="105" t="n">
        <v>0.1689</v>
      </c>
      <c r="N87" s="106">
        <f>MIN(D87,E87)*F87+MAX(0,D87-E87)*H87</f>
        <v/>
      </c>
      <c r="O87" s="106">
        <f>MIN(D87,E87)*G87+MAX(0,D87-E87)*I87</f>
        <v/>
      </c>
      <c r="P87" s="106">
        <f>N87+O87</f>
        <v/>
      </c>
      <c r="Q87" s="107">
        <f>P87/D87</f>
        <v/>
      </c>
      <c r="R87" s="106">
        <f>D87+O87</f>
        <v/>
      </c>
      <c r="S87" s="108" t="n">
        <v>35</v>
      </c>
      <c r="T87" s="108" t="n">
        <v>38.8</v>
      </c>
      <c r="U87" s="109" t="n">
        <v>227</v>
      </c>
      <c r="V87" s="110" t="n">
        <v>1596</v>
      </c>
      <c r="W87" s="110" t="n">
        <v>1768.5</v>
      </c>
      <c r="X87" s="104" t="n">
        <v>21361.24</v>
      </c>
      <c r="Y87" s="104" t="n">
        <v>21159.53</v>
      </c>
      <c r="Z87" s="108" t="n">
        <v>21.5</v>
      </c>
      <c r="AA87" s="103">
        <f>1/(1+Parametres!$B$12)^(A87-2026)</f>
        <v/>
      </c>
      <c r="AB87" s="111">
        <f>D87/AA87</f>
        <v/>
      </c>
      <c r="AC87" s="107" t="n"/>
      <c r="AD87" s="107" t="n"/>
      <c r="AE87" s="107">
        <f>((1+Parametres!$B$13)*(1+Parametres!$B$12)-1)</f>
        <v/>
      </c>
      <c r="AF87" s="107">
        <f>((1+Parametres!$B$14)*(1+Parametres!$B$12)-1)</f>
        <v/>
      </c>
      <c r="AG87" s="103">
        <f>AG86*(1+AE87)</f>
        <v/>
      </c>
      <c r="AH87" s="103">
        <f>AH86*(1+AF87)</f>
        <v/>
      </c>
      <c r="AI87" s="103">
        <f>IF(AE87=0,1,AE87/(12*((1+AE87)^(1/12)-1)))</f>
        <v/>
      </c>
      <c r="AJ87" s="103">
        <f>IF(AF87=0,1,AF87/(12*((1+AF87)^(1/12)-1)))</f>
        <v/>
      </c>
      <c r="AK87" s="112">
        <f>D87*'3_Comparateur_detaille'!$B$16</f>
        <v/>
      </c>
      <c r="AL87" s="112">
        <f>IF('3_Comparateur_detaille'!$B$20="Privé",MIN(AK87,E87)*IF('3_Comparateur_detaille'!$B$15="cadre",J87,F87)+MAX(0,AK87-E87)*IF('3_Comparateur_detaille'!$B$15="cadre",L87,H87),AK87*SUMIFS(Donnees_regimes!$J$3:$J$1118,Donnees_regimes!$A$3:$A$1118,'3_Comparateur_detaille'!$B$20,Donnees_regimes!$B$3:$B$1118,A87))</f>
        <v/>
      </c>
      <c r="AM87" s="112">
        <f>IF('3_Comparateur_detaille'!$B$20="Privé",MIN(AK87,E87)*IF('3_Comparateur_detaille'!$B$15="cadre",K87,G87)+MAX(0,AK87-E87)*IF('3_Comparateur_detaille'!$B$15="cadre",M87,I87),AK87*SUMIFS(Donnees_regimes!$K$3:$K$1118,Donnees_regimes!$A$3:$A$1118,'3_Comparateur_detaille'!$B$20,Donnees_regimes!$B$3:$B$1118,A87))</f>
        <v/>
      </c>
      <c r="AN87" s="112">
        <f>IF('3_Comparateur_detaille'!$B$20="Privé",0,AK87*SUMIFS(Donnees_regimes!$L$3:$L$1118,Donnees_regimes!$A$3:$A$1118,'3_Comparateur_detaille'!$B$20,Donnees_regimes!$B$3:$B$1118,A87))</f>
        <v/>
      </c>
      <c r="AO87" s="113">
        <f>(AL87+AM87)/AA87*AI87/AG87</f>
        <v/>
      </c>
      <c r="AP87" s="113">
        <f>(AL87+AM87)/AA87*AJ87/AH87</f>
        <v/>
      </c>
      <c r="AQ87" s="112">
        <f>D87*'3_Comparateur_detaille'!$C$16</f>
        <v/>
      </c>
      <c r="AR87" s="112">
        <f>IF('3_Comparateur_detaille'!$C$20="Privé",MIN(AQ87,E87)*IF('3_Comparateur_detaille'!$C$15="cadre",J87,F87)+MAX(0,AQ87-E87)*IF('3_Comparateur_detaille'!$C$15="cadre",L87,H87),AQ87*SUMIFS(Donnees_regimes!$J$3:$J$1118,Donnees_regimes!$A$3:$A$1118,'3_Comparateur_detaille'!$C$20,Donnees_regimes!$B$3:$B$1118,A87))</f>
        <v/>
      </c>
      <c r="AS87" s="112">
        <f>IF('3_Comparateur_detaille'!$C$20="Privé",MIN(AQ87,E87)*IF('3_Comparateur_detaille'!$C$15="cadre",K87,G87)+MAX(0,AQ87-E87)*IF('3_Comparateur_detaille'!$C$15="cadre",M87,I87),AQ87*SUMIFS(Donnees_regimes!$K$3:$K$1118,Donnees_regimes!$A$3:$A$1118,'3_Comparateur_detaille'!$C$20,Donnees_regimes!$B$3:$B$1118,A87))</f>
        <v/>
      </c>
      <c r="AT87" s="112">
        <f>IF('3_Comparateur_detaille'!$C$20="Privé",0,AQ87*SUMIFS(Donnees_regimes!$L$3:$L$1118,Donnees_regimes!$A$3:$A$1118,'3_Comparateur_detaille'!$C$20,Donnees_regimes!$B$3:$B$1118,A87))</f>
        <v/>
      </c>
      <c r="AU87" s="113">
        <f>(AR87+AS87)/AA87*AI87/AG87</f>
        <v/>
      </c>
      <c r="AV87" s="113">
        <f>(AR87+AS87)/AA87*AJ87/AH87</f>
        <v/>
      </c>
    </row>
    <row r="88">
      <c r="A88" s="101" t="n">
        <v>2030</v>
      </c>
      <c r="B88" s="102" t="inlineStr">
        <is>
          <t>Projection</t>
        </is>
      </c>
      <c r="C88" s="103" t="n"/>
      <c r="D88" s="104" t="n">
        <v>42863.49</v>
      </c>
      <c r="E88" s="104" t="n">
        <v>49419.88</v>
      </c>
      <c r="F88" s="105" t="n">
        <v>0.11562</v>
      </c>
      <c r="G88" s="105" t="n">
        <v>0.1667</v>
      </c>
      <c r="H88" s="105" t="n">
        <v>0.10512</v>
      </c>
      <c r="I88" s="105" t="n">
        <v>0.1689</v>
      </c>
      <c r="J88" s="105" t="n">
        <v>0.11562</v>
      </c>
      <c r="K88" s="105" t="n">
        <v>0.1667</v>
      </c>
      <c r="L88" s="105" t="n">
        <v>0.10512</v>
      </c>
      <c r="M88" s="105" t="n">
        <v>0.1689</v>
      </c>
      <c r="N88" s="106">
        <f>MIN(D88,E88)*F88+MAX(0,D88-E88)*H88</f>
        <v/>
      </c>
      <c r="O88" s="106">
        <f>MIN(D88,E88)*G88+MAX(0,D88-E88)*I88</f>
        <v/>
      </c>
      <c r="P88" s="106">
        <f>N88+O88</f>
        <v/>
      </c>
      <c r="Q88" s="107">
        <f>P88/D88</f>
        <v/>
      </c>
      <c r="R88" s="106">
        <f>D88+O88</f>
        <v/>
      </c>
      <c r="S88" s="108" t="n">
        <v>35</v>
      </c>
      <c r="T88" s="108" t="n">
        <v>38.8</v>
      </c>
      <c r="U88" s="109" t="n">
        <v>226</v>
      </c>
      <c r="V88" s="110" t="n">
        <v>1589</v>
      </c>
      <c r="W88" s="110" t="n">
        <v>1760.8</v>
      </c>
      <c r="X88" s="104" t="n">
        <v>21474.79</v>
      </c>
      <c r="Y88" s="104" t="n">
        <v>21272.01</v>
      </c>
      <c r="Z88" s="108" t="n">
        <v>21.5</v>
      </c>
      <c r="AA88" s="103">
        <f>1/(1+Parametres!$B$12)^(A88-2026)</f>
        <v/>
      </c>
      <c r="AB88" s="111">
        <f>D88/AA88</f>
        <v/>
      </c>
      <c r="AC88" s="107" t="n"/>
      <c r="AD88" s="107" t="n"/>
      <c r="AE88" s="107">
        <f>((1+Parametres!$B$13)*(1+Parametres!$B$12)-1)</f>
        <v/>
      </c>
      <c r="AF88" s="107">
        <f>((1+Parametres!$B$14)*(1+Parametres!$B$12)-1)</f>
        <v/>
      </c>
      <c r="AG88" s="103">
        <f>AG87*(1+AE88)</f>
        <v/>
      </c>
      <c r="AH88" s="103">
        <f>AH87*(1+AF88)</f>
        <v/>
      </c>
      <c r="AI88" s="103">
        <f>IF(AE88=0,1,AE88/(12*((1+AE88)^(1/12)-1)))</f>
        <v/>
      </c>
      <c r="AJ88" s="103">
        <f>IF(AF88=0,1,AF88/(12*((1+AF88)^(1/12)-1)))</f>
        <v/>
      </c>
      <c r="AK88" s="112">
        <f>D88*'3_Comparateur_detaille'!$B$16</f>
        <v/>
      </c>
      <c r="AL88" s="112">
        <f>IF('3_Comparateur_detaille'!$B$20="Privé",MIN(AK88,E88)*IF('3_Comparateur_detaille'!$B$15="cadre",J88,F88)+MAX(0,AK88-E88)*IF('3_Comparateur_detaille'!$B$15="cadre",L88,H88),AK88*SUMIFS(Donnees_regimes!$J$3:$J$1118,Donnees_regimes!$A$3:$A$1118,'3_Comparateur_detaille'!$B$20,Donnees_regimes!$B$3:$B$1118,A88))</f>
        <v/>
      </c>
      <c r="AM88" s="112">
        <f>IF('3_Comparateur_detaille'!$B$20="Privé",MIN(AK88,E88)*IF('3_Comparateur_detaille'!$B$15="cadre",K88,G88)+MAX(0,AK88-E88)*IF('3_Comparateur_detaille'!$B$15="cadre",M88,I88),AK88*SUMIFS(Donnees_regimes!$K$3:$K$1118,Donnees_regimes!$A$3:$A$1118,'3_Comparateur_detaille'!$B$20,Donnees_regimes!$B$3:$B$1118,A88))</f>
        <v/>
      </c>
      <c r="AN88" s="112">
        <f>IF('3_Comparateur_detaille'!$B$20="Privé",0,AK88*SUMIFS(Donnees_regimes!$L$3:$L$1118,Donnees_regimes!$A$3:$A$1118,'3_Comparateur_detaille'!$B$20,Donnees_regimes!$B$3:$B$1118,A88))</f>
        <v/>
      </c>
      <c r="AO88" s="113">
        <f>(AL88+AM88)/AA88*AI88/AG88</f>
        <v/>
      </c>
      <c r="AP88" s="113">
        <f>(AL88+AM88)/AA88*AJ88/AH88</f>
        <v/>
      </c>
      <c r="AQ88" s="112">
        <f>D88*'3_Comparateur_detaille'!$C$16</f>
        <v/>
      </c>
      <c r="AR88" s="112">
        <f>IF('3_Comparateur_detaille'!$C$20="Privé",MIN(AQ88,E88)*IF('3_Comparateur_detaille'!$C$15="cadre",J88,F88)+MAX(0,AQ88-E88)*IF('3_Comparateur_detaille'!$C$15="cadre",L88,H88),AQ88*SUMIFS(Donnees_regimes!$J$3:$J$1118,Donnees_regimes!$A$3:$A$1118,'3_Comparateur_detaille'!$C$20,Donnees_regimes!$B$3:$B$1118,A88))</f>
        <v/>
      </c>
      <c r="AS88" s="112">
        <f>IF('3_Comparateur_detaille'!$C$20="Privé",MIN(AQ88,E88)*IF('3_Comparateur_detaille'!$C$15="cadre",K88,G88)+MAX(0,AQ88-E88)*IF('3_Comparateur_detaille'!$C$15="cadre",M88,I88),AQ88*SUMIFS(Donnees_regimes!$K$3:$K$1118,Donnees_regimes!$A$3:$A$1118,'3_Comparateur_detaille'!$C$20,Donnees_regimes!$B$3:$B$1118,A88))</f>
        <v/>
      </c>
      <c r="AT88" s="112">
        <f>IF('3_Comparateur_detaille'!$C$20="Privé",0,AQ88*SUMIFS(Donnees_regimes!$L$3:$L$1118,Donnees_regimes!$A$3:$A$1118,'3_Comparateur_detaille'!$C$20,Donnees_regimes!$B$3:$B$1118,A88))</f>
        <v/>
      </c>
      <c r="AU88" s="113">
        <f>(AR88+AS88)/AA88*AI88/AG88</f>
        <v/>
      </c>
      <c r="AV88" s="113">
        <f>(AR88+AS88)/AA88*AJ88/AH88</f>
        <v/>
      </c>
    </row>
    <row r="89">
      <c r="A89" s="101" t="n">
        <v>2031</v>
      </c>
      <c r="B89" s="102" t="inlineStr">
        <is>
          <t>Projection</t>
        </is>
      </c>
      <c r="C89" s="103" t="n"/>
      <c r="D89" s="104" t="n">
        <v>43163.53</v>
      </c>
      <c r="E89" s="104" t="n">
        <v>49765.81</v>
      </c>
      <c r="F89" s="105" t="n">
        <v>0.11562</v>
      </c>
      <c r="G89" s="105" t="n">
        <v>0.1667</v>
      </c>
      <c r="H89" s="105" t="n">
        <v>0.10512</v>
      </c>
      <c r="I89" s="105" t="n">
        <v>0.1689</v>
      </c>
      <c r="J89" s="105" t="n">
        <v>0.11562</v>
      </c>
      <c r="K89" s="105" t="n">
        <v>0.1667</v>
      </c>
      <c r="L89" s="105" t="n">
        <v>0.10512</v>
      </c>
      <c r="M89" s="105" t="n">
        <v>0.1689</v>
      </c>
      <c r="N89" s="106">
        <f>MIN(D89,E89)*F89+MAX(0,D89-E89)*H89</f>
        <v/>
      </c>
      <c r="O89" s="106">
        <f>MIN(D89,E89)*G89+MAX(0,D89-E89)*I89</f>
        <v/>
      </c>
      <c r="P89" s="106">
        <f>N89+O89</f>
        <v/>
      </c>
      <c r="Q89" s="107">
        <f>P89/D89</f>
        <v/>
      </c>
      <c r="R89" s="106">
        <f>D89+O89</f>
        <v/>
      </c>
      <c r="S89" s="108" t="n">
        <v>35</v>
      </c>
      <c r="T89" s="108" t="n">
        <v>38.8</v>
      </c>
      <c r="U89" s="109" t="n">
        <v>226</v>
      </c>
      <c r="V89" s="110" t="n">
        <v>1589</v>
      </c>
      <c r="W89" s="110" t="n">
        <v>1760.8</v>
      </c>
      <c r="X89" s="104" t="n">
        <v>21588.89</v>
      </c>
      <c r="Y89" s="104" t="n">
        <v>21385.03</v>
      </c>
      <c r="Z89" s="108" t="n">
        <v>21.5</v>
      </c>
      <c r="AA89" s="103">
        <f>1/(1+Parametres!$B$12)^(A89-2026)</f>
        <v/>
      </c>
      <c r="AB89" s="111">
        <f>D89/AA89</f>
        <v/>
      </c>
      <c r="AC89" s="107" t="n"/>
      <c r="AD89" s="107" t="n"/>
      <c r="AE89" s="107">
        <f>((1+Parametres!$B$13)*(1+Parametres!$B$12)-1)</f>
        <v/>
      </c>
      <c r="AF89" s="107">
        <f>((1+Parametres!$B$14)*(1+Parametres!$B$12)-1)</f>
        <v/>
      </c>
      <c r="AG89" s="103">
        <f>AG88*(1+AE89)</f>
        <v/>
      </c>
      <c r="AH89" s="103">
        <f>AH88*(1+AF89)</f>
        <v/>
      </c>
      <c r="AI89" s="103">
        <f>IF(AE89=0,1,AE89/(12*((1+AE89)^(1/12)-1)))</f>
        <v/>
      </c>
      <c r="AJ89" s="103">
        <f>IF(AF89=0,1,AF89/(12*((1+AF89)^(1/12)-1)))</f>
        <v/>
      </c>
      <c r="AK89" s="112">
        <f>D89*'3_Comparateur_detaille'!$B$16</f>
        <v/>
      </c>
      <c r="AL89" s="112">
        <f>IF('3_Comparateur_detaille'!$B$20="Privé",MIN(AK89,E89)*IF('3_Comparateur_detaille'!$B$15="cadre",J89,F89)+MAX(0,AK89-E89)*IF('3_Comparateur_detaille'!$B$15="cadre",L89,H89),AK89*SUMIFS(Donnees_regimes!$J$3:$J$1118,Donnees_regimes!$A$3:$A$1118,'3_Comparateur_detaille'!$B$20,Donnees_regimes!$B$3:$B$1118,A89))</f>
        <v/>
      </c>
      <c r="AM89" s="112">
        <f>IF('3_Comparateur_detaille'!$B$20="Privé",MIN(AK89,E89)*IF('3_Comparateur_detaille'!$B$15="cadre",K89,G89)+MAX(0,AK89-E89)*IF('3_Comparateur_detaille'!$B$15="cadre",M89,I89),AK89*SUMIFS(Donnees_regimes!$K$3:$K$1118,Donnees_regimes!$A$3:$A$1118,'3_Comparateur_detaille'!$B$20,Donnees_regimes!$B$3:$B$1118,A89))</f>
        <v/>
      </c>
      <c r="AN89" s="112">
        <f>IF('3_Comparateur_detaille'!$B$20="Privé",0,AK89*SUMIFS(Donnees_regimes!$L$3:$L$1118,Donnees_regimes!$A$3:$A$1118,'3_Comparateur_detaille'!$B$20,Donnees_regimes!$B$3:$B$1118,A89))</f>
        <v/>
      </c>
      <c r="AO89" s="113">
        <f>(AL89+AM89)/AA89*AI89/AG89</f>
        <v/>
      </c>
      <c r="AP89" s="113">
        <f>(AL89+AM89)/AA89*AJ89/AH89</f>
        <v/>
      </c>
      <c r="AQ89" s="112">
        <f>D89*'3_Comparateur_detaille'!$C$16</f>
        <v/>
      </c>
      <c r="AR89" s="112">
        <f>IF('3_Comparateur_detaille'!$C$20="Privé",MIN(AQ89,E89)*IF('3_Comparateur_detaille'!$C$15="cadre",J89,F89)+MAX(0,AQ89-E89)*IF('3_Comparateur_detaille'!$C$15="cadre",L89,H89),AQ89*SUMIFS(Donnees_regimes!$J$3:$J$1118,Donnees_regimes!$A$3:$A$1118,'3_Comparateur_detaille'!$C$20,Donnees_regimes!$B$3:$B$1118,A89))</f>
        <v/>
      </c>
      <c r="AS89" s="112">
        <f>IF('3_Comparateur_detaille'!$C$20="Privé",MIN(AQ89,E89)*IF('3_Comparateur_detaille'!$C$15="cadre",K89,G89)+MAX(0,AQ89-E89)*IF('3_Comparateur_detaille'!$C$15="cadre",M89,I89),AQ89*SUMIFS(Donnees_regimes!$K$3:$K$1118,Donnees_regimes!$A$3:$A$1118,'3_Comparateur_detaille'!$C$20,Donnees_regimes!$B$3:$B$1118,A89))</f>
        <v/>
      </c>
      <c r="AT89" s="112">
        <f>IF('3_Comparateur_detaille'!$C$20="Privé",0,AQ89*SUMIFS(Donnees_regimes!$L$3:$L$1118,Donnees_regimes!$A$3:$A$1118,'3_Comparateur_detaille'!$C$20,Donnees_regimes!$B$3:$B$1118,A89))</f>
        <v/>
      </c>
      <c r="AU89" s="113">
        <f>(AR89+AS89)/AA89*AI89/AG89</f>
        <v/>
      </c>
      <c r="AV89" s="113">
        <f>(AR89+AS89)/AA89*AJ89/AH89</f>
        <v/>
      </c>
    </row>
    <row r="90">
      <c r="A90" s="101" t="n">
        <v>2032</v>
      </c>
      <c r="B90" s="102" t="inlineStr">
        <is>
          <t>Projection</t>
        </is>
      </c>
      <c r="C90" s="103" t="n"/>
      <c r="D90" s="104" t="n">
        <v>43465.68</v>
      </c>
      <c r="E90" s="104" t="n">
        <v>50114.18</v>
      </c>
      <c r="F90" s="105" t="n">
        <v>0.11562</v>
      </c>
      <c r="G90" s="105" t="n">
        <v>0.1667</v>
      </c>
      <c r="H90" s="105" t="n">
        <v>0.10512</v>
      </c>
      <c r="I90" s="105" t="n">
        <v>0.1689</v>
      </c>
      <c r="J90" s="105" t="n">
        <v>0.11562</v>
      </c>
      <c r="K90" s="105" t="n">
        <v>0.1667</v>
      </c>
      <c r="L90" s="105" t="n">
        <v>0.10512</v>
      </c>
      <c r="M90" s="105" t="n">
        <v>0.1689</v>
      </c>
      <c r="N90" s="106">
        <f>MIN(D90,E90)*F90+MAX(0,D90-E90)*H90</f>
        <v/>
      </c>
      <c r="O90" s="106">
        <f>MIN(D90,E90)*G90+MAX(0,D90-E90)*I90</f>
        <v/>
      </c>
      <c r="P90" s="106">
        <f>N90+O90</f>
        <v/>
      </c>
      <c r="Q90" s="107">
        <f>P90/D90</f>
        <v/>
      </c>
      <c r="R90" s="106">
        <f>D90+O90</f>
        <v/>
      </c>
      <c r="S90" s="108" t="n">
        <v>35</v>
      </c>
      <c r="T90" s="108" t="n">
        <v>38.8</v>
      </c>
      <c r="U90" s="109" t="n">
        <v>230</v>
      </c>
      <c r="V90" s="110" t="n">
        <v>1617</v>
      </c>
      <c r="W90" s="110" t="n">
        <v>1791.8</v>
      </c>
      <c r="X90" s="104" t="n">
        <v>21703.54</v>
      </c>
      <c r="Y90" s="104" t="n">
        <v>21498.6</v>
      </c>
      <c r="Z90" s="108" t="n">
        <v>21.5</v>
      </c>
      <c r="AA90" s="103">
        <f>1/(1+Parametres!$B$12)^(A90-2026)</f>
        <v/>
      </c>
      <c r="AB90" s="111">
        <f>D90/AA90</f>
        <v/>
      </c>
      <c r="AC90" s="107" t="n"/>
      <c r="AD90" s="107" t="n"/>
      <c r="AE90" s="107">
        <f>((1+Parametres!$B$13)*(1+Parametres!$B$12)-1)</f>
        <v/>
      </c>
      <c r="AF90" s="107">
        <f>((1+Parametres!$B$14)*(1+Parametres!$B$12)-1)</f>
        <v/>
      </c>
      <c r="AG90" s="103">
        <f>AG89*(1+AE90)</f>
        <v/>
      </c>
      <c r="AH90" s="103">
        <f>AH89*(1+AF90)</f>
        <v/>
      </c>
      <c r="AI90" s="103">
        <f>IF(AE90=0,1,AE90/(12*((1+AE90)^(1/12)-1)))</f>
        <v/>
      </c>
      <c r="AJ90" s="103">
        <f>IF(AF90=0,1,AF90/(12*((1+AF90)^(1/12)-1)))</f>
        <v/>
      </c>
      <c r="AK90" s="112">
        <f>D90*'3_Comparateur_detaille'!$B$16</f>
        <v/>
      </c>
      <c r="AL90" s="112">
        <f>IF('3_Comparateur_detaille'!$B$20="Privé",MIN(AK90,E90)*IF('3_Comparateur_detaille'!$B$15="cadre",J90,F90)+MAX(0,AK90-E90)*IF('3_Comparateur_detaille'!$B$15="cadre",L90,H90),AK90*SUMIFS(Donnees_regimes!$J$3:$J$1118,Donnees_regimes!$A$3:$A$1118,'3_Comparateur_detaille'!$B$20,Donnees_regimes!$B$3:$B$1118,A90))</f>
        <v/>
      </c>
      <c r="AM90" s="112">
        <f>IF('3_Comparateur_detaille'!$B$20="Privé",MIN(AK90,E90)*IF('3_Comparateur_detaille'!$B$15="cadre",K90,G90)+MAX(0,AK90-E90)*IF('3_Comparateur_detaille'!$B$15="cadre",M90,I90),AK90*SUMIFS(Donnees_regimes!$K$3:$K$1118,Donnees_regimes!$A$3:$A$1118,'3_Comparateur_detaille'!$B$20,Donnees_regimes!$B$3:$B$1118,A90))</f>
        <v/>
      </c>
      <c r="AN90" s="112">
        <f>IF('3_Comparateur_detaille'!$B$20="Privé",0,AK90*SUMIFS(Donnees_regimes!$L$3:$L$1118,Donnees_regimes!$A$3:$A$1118,'3_Comparateur_detaille'!$B$20,Donnees_regimes!$B$3:$B$1118,A90))</f>
        <v/>
      </c>
      <c r="AO90" s="113">
        <f>(AL90+AM90)/AA90*AI90/AG90</f>
        <v/>
      </c>
      <c r="AP90" s="113">
        <f>(AL90+AM90)/AA90*AJ90/AH90</f>
        <v/>
      </c>
      <c r="AQ90" s="112">
        <f>D90*'3_Comparateur_detaille'!$C$16</f>
        <v/>
      </c>
      <c r="AR90" s="112">
        <f>IF('3_Comparateur_detaille'!$C$20="Privé",MIN(AQ90,E90)*IF('3_Comparateur_detaille'!$C$15="cadre",J90,F90)+MAX(0,AQ90-E90)*IF('3_Comparateur_detaille'!$C$15="cadre",L90,H90),AQ90*SUMIFS(Donnees_regimes!$J$3:$J$1118,Donnees_regimes!$A$3:$A$1118,'3_Comparateur_detaille'!$C$20,Donnees_regimes!$B$3:$B$1118,A90))</f>
        <v/>
      </c>
      <c r="AS90" s="112">
        <f>IF('3_Comparateur_detaille'!$C$20="Privé",MIN(AQ90,E90)*IF('3_Comparateur_detaille'!$C$15="cadre",K90,G90)+MAX(0,AQ90-E90)*IF('3_Comparateur_detaille'!$C$15="cadre",M90,I90),AQ90*SUMIFS(Donnees_regimes!$K$3:$K$1118,Donnees_regimes!$A$3:$A$1118,'3_Comparateur_detaille'!$C$20,Donnees_regimes!$B$3:$B$1118,A90))</f>
        <v/>
      </c>
      <c r="AT90" s="112">
        <f>IF('3_Comparateur_detaille'!$C$20="Privé",0,AQ90*SUMIFS(Donnees_regimes!$L$3:$L$1118,Donnees_regimes!$A$3:$A$1118,'3_Comparateur_detaille'!$C$20,Donnees_regimes!$B$3:$B$1118,A90))</f>
        <v/>
      </c>
      <c r="AU90" s="113">
        <f>(AR90+AS90)/AA90*AI90/AG90</f>
        <v/>
      </c>
      <c r="AV90" s="113">
        <f>(AR90+AS90)/AA90*AJ90/AH90</f>
        <v/>
      </c>
    </row>
    <row r="91">
      <c r="A91" s="101" t="n">
        <v>2033</v>
      </c>
      <c r="B91" s="102" t="inlineStr">
        <is>
          <t>Projection</t>
        </is>
      </c>
      <c r="C91" s="103" t="n"/>
      <c r="D91" s="104" t="n">
        <v>43769.94</v>
      </c>
      <c r="E91" s="104" t="n">
        <v>50464.97</v>
      </c>
      <c r="F91" s="105" t="n">
        <v>0.11562</v>
      </c>
      <c r="G91" s="105" t="n">
        <v>0.1667</v>
      </c>
      <c r="H91" s="105" t="n">
        <v>0.10512</v>
      </c>
      <c r="I91" s="105" t="n">
        <v>0.1689</v>
      </c>
      <c r="J91" s="105" t="n">
        <v>0.11562</v>
      </c>
      <c r="K91" s="105" t="n">
        <v>0.1667</v>
      </c>
      <c r="L91" s="105" t="n">
        <v>0.10512</v>
      </c>
      <c r="M91" s="105" t="n">
        <v>0.1689</v>
      </c>
      <c r="N91" s="106">
        <f>MIN(D91,E91)*F91+MAX(0,D91-E91)*H91</f>
        <v/>
      </c>
      <c r="O91" s="106">
        <f>MIN(D91,E91)*G91+MAX(0,D91-E91)*I91</f>
        <v/>
      </c>
      <c r="P91" s="106">
        <f>N91+O91</f>
        <v/>
      </c>
      <c r="Q91" s="107">
        <f>P91/D91</f>
        <v/>
      </c>
      <c r="R91" s="106">
        <f>D91+O91</f>
        <v/>
      </c>
      <c r="S91" s="108" t="n">
        <v>35</v>
      </c>
      <c r="T91" s="108" t="n">
        <v>38.8</v>
      </c>
      <c r="U91" s="109" t="n">
        <v>228</v>
      </c>
      <c r="V91" s="110" t="n">
        <v>1603</v>
      </c>
      <c r="W91" s="110" t="n">
        <v>1776.3</v>
      </c>
      <c r="X91" s="104" t="n">
        <v>21735.69</v>
      </c>
      <c r="Y91" s="104" t="n">
        <v>21530.44</v>
      </c>
      <c r="Z91" s="108" t="n">
        <v>21.5</v>
      </c>
      <c r="AA91" s="103">
        <f>1/(1+Parametres!$B$12)^(A91-2026)</f>
        <v/>
      </c>
      <c r="AB91" s="111">
        <f>D91/AA91</f>
        <v/>
      </c>
      <c r="AC91" s="107" t="n"/>
      <c r="AD91" s="107" t="n"/>
      <c r="AE91" s="107">
        <f>((1+Parametres!$B$13)*(1+Parametres!$B$12)-1)</f>
        <v/>
      </c>
      <c r="AF91" s="107">
        <f>((1+Parametres!$B$14)*(1+Parametres!$B$12)-1)</f>
        <v/>
      </c>
      <c r="AG91" s="103">
        <f>AG90*(1+AE91)</f>
        <v/>
      </c>
      <c r="AH91" s="103">
        <f>AH90*(1+AF91)</f>
        <v/>
      </c>
      <c r="AI91" s="103">
        <f>IF(AE91=0,1,AE91/(12*((1+AE91)^(1/12)-1)))</f>
        <v/>
      </c>
      <c r="AJ91" s="103">
        <f>IF(AF91=0,1,AF91/(12*((1+AF91)^(1/12)-1)))</f>
        <v/>
      </c>
      <c r="AK91" s="112">
        <f>D91*'3_Comparateur_detaille'!$B$16</f>
        <v/>
      </c>
      <c r="AL91" s="112">
        <f>IF('3_Comparateur_detaille'!$B$20="Privé",MIN(AK91,E91)*IF('3_Comparateur_detaille'!$B$15="cadre",J91,F91)+MAX(0,AK91-E91)*IF('3_Comparateur_detaille'!$B$15="cadre",L91,H91),AK91*SUMIFS(Donnees_regimes!$J$3:$J$1118,Donnees_regimes!$A$3:$A$1118,'3_Comparateur_detaille'!$B$20,Donnees_regimes!$B$3:$B$1118,A91))</f>
        <v/>
      </c>
      <c r="AM91" s="112">
        <f>IF('3_Comparateur_detaille'!$B$20="Privé",MIN(AK91,E91)*IF('3_Comparateur_detaille'!$B$15="cadre",K91,G91)+MAX(0,AK91-E91)*IF('3_Comparateur_detaille'!$B$15="cadre",M91,I91),AK91*SUMIFS(Donnees_regimes!$K$3:$K$1118,Donnees_regimes!$A$3:$A$1118,'3_Comparateur_detaille'!$B$20,Donnees_regimes!$B$3:$B$1118,A91))</f>
        <v/>
      </c>
      <c r="AN91" s="112">
        <f>IF('3_Comparateur_detaille'!$B$20="Privé",0,AK91*SUMIFS(Donnees_regimes!$L$3:$L$1118,Donnees_regimes!$A$3:$A$1118,'3_Comparateur_detaille'!$B$20,Donnees_regimes!$B$3:$B$1118,A91))</f>
        <v/>
      </c>
      <c r="AO91" s="113">
        <f>(AL91+AM91)/AA91*AI91/AG91</f>
        <v/>
      </c>
      <c r="AP91" s="113">
        <f>(AL91+AM91)/AA91*AJ91/AH91</f>
        <v/>
      </c>
      <c r="AQ91" s="112">
        <f>D91*'3_Comparateur_detaille'!$C$16</f>
        <v/>
      </c>
      <c r="AR91" s="112">
        <f>IF('3_Comparateur_detaille'!$C$20="Privé",MIN(AQ91,E91)*IF('3_Comparateur_detaille'!$C$15="cadre",J91,F91)+MAX(0,AQ91-E91)*IF('3_Comparateur_detaille'!$C$15="cadre",L91,H91),AQ91*SUMIFS(Donnees_regimes!$J$3:$J$1118,Donnees_regimes!$A$3:$A$1118,'3_Comparateur_detaille'!$C$20,Donnees_regimes!$B$3:$B$1118,A91))</f>
        <v/>
      </c>
      <c r="AS91" s="112">
        <f>IF('3_Comparateur_detaille'!$C$20="Privé",MIN(AQ91,E91)*IF('3_Comparateur_detaille'!$C$15="cadre",K91,G91)+MAX(0,AQ91-E91)*IF('3_Comparateur_detaille'!$C$15="cadre",M91,I91),AQ91*SUMIFS(Donnees_regimes!$K$3:$K$1118,Donnees_regimes!$A$3:$A$1118,'3_Comparateur_detaille'!$C$20,Donnees_regimes!$B$3:$B$1118,A91))</f>
        <v/>
      </c>
      <c r="AT91" s="112">
        <f>IF('3_Comparateur_detaille'!$C$20="Privé",0,AQ91*SUMIFS(Donnees_regimes!$L$3:$L$1118,Donnees_regimes!$A$3:$A$1118,'3_Comparateur_detaille'!$C$20,Donnees_regimes!$B$3:$B$1118,A91))</f>
        <v/>
      </c>
      <c r="AU91" s="113">
        <f>(AR91+AS91)/AA91*AI91/AG91</f>
        <v/>
      </c>
      <c r="AV91" s="113">
        <f>(AR91+AS91)/AA91*AJ91/AH91</f>
        <v/>
      </c>
    </row>
    <row r="92">
      <c r="A92" s="101" t="n">
        <v>2034</v>
      </c>
      <c r="B92" s="102" t="inlineStr">
        <is>
          <t>Projection</t>
        </is>
      </c>
      <c r="C92" s="103" t="n"/>
      <c r="D92" s="104" t="n">
        <v>44076.33</v>
      </c>
      <c r="E92" s="104" t="n">
        <v>50818.23</v>
      </c>
      <c r="F92" s="105" t="n">
        <v>0.11562</v>
      </c>
      <c r="G92" s="105" t="n">
        <v>0.1667</v>
      </c>
      <c r="H92" s="105" t="n">
        <v>0.10512</v>
      </c>
      <c r="I92" s="105" t="n">
        <v>0.1689</v>
      </c>
      <c r="J92" s="105" t="n">
        <v>0.11562</v>
      </c>
      <c r="K92" s="105" t="n">
        <v>0.1667</v>
      </c>
      <c r="L92" s="105" t="n">
        <v>0.10512</v>
      </c>
      <c r="M92" s="105" t="n">
        <v>0.1689</v>
      </c>
      <c r="N92" s="106">
        <f>MIN(D92,E92)*F92+MAX(0,D92-E92)*H92</f>
        <v/>
      </c>
      <c r="O92" s="106">
        <f>MIN(D92,E92)*G92+MAX(0,D92-E92)*I92</f>
        <v/>
      </c>
      <c r="P92" s="106">
        <f>N92+O92</f>
        <v/>
      </c>
      <c r="Q92" s="107">
        <f>P92/D92</f>
        <v/>
      </c>
      <c r="R92" s="106">
        <f>D92+O92</f>
        <v/>
      </c>
      <c r="S92" s="108" t="n">
        <v>35</v>
      </c>
      <c r="T92" s="108" t="n">
        <v>38.8</v>
      </c>
      <c r="U92" s="109" t="n">
        <v>226</v>
      </c>
      <c r="V92" s="110" t="n">
        <v>1589</v>
      </c>
      <c r="W92" s="110" t="n">
        <v>1760.8</v>
      </c>
      <c r="X92" s="104" t="n">
        <v>21767.22</v>
      </c>
      <c r="Y92" s="104" t="n">
        <v>21561.68</v>
      </c>
      <c r="Z92" s="108" t="n">
        <v>21.5</v>
      </c>
      <c r="AA92" s="103">
        <f>1/(1+Parametres!$B$12)^(A92-2026)</f>
        <v/>
      </c>
      <c r="AB92" s="111">
        <f>D92/AA92</f>
        <v/>
      </c>
      <c r="AC92" s="107" t="n"/>
      <c r="AD92" s="107" t="n"/>
      <c r="AE92" s="107">
        <f>((1+Parametres!$B$13)*(1+Parametres!$B$12)-1)</f>
        <v/>
      </c>
      <c r="AF92" s="107">
        <f>((1+Parametres!$B$14)*(1+Parametres!$B$12)-1)</f>
        <v/>
      </c>
      <c r="AG92" s="103">
        <f>AG91*(1+AE92)</f>
        <v/>
      </c>
      <c r="AH92" s="103">
        <f>AH91*(1+AF92)</f>
        <v/>
      </c>
      <c r="AI92" s="103">
        <f>IF(AE92=0,1,AE92/(12*((1+AE92)^(1/12)-1)))</f>
        <v/>
      </c>
      <c r="AJ92" s="103">
        <f>IF(AF92=0,1,AF92/(12*((1+AF92)^(1/12)-1)))</f>
        <v/>
      </c>
      <c r="AK92" s="112">
        <f>D92*'3_Comparateur_detaille'!$B$16</f>
        <v/>
      </c>
      <c r="AL92" s="112">
        <f>IF('3_Comparateur_detaille'!$B$20="Privé",MIN(AK92,E92)*IF('3_Comparateur_detaille'!$B$15="cadre",J92,F92)+MAX(0,AK92-E92)*IF('3_Comparateur_detaille'!$B$15="cadre",L92,H92),AK92*SUMIFS(Donnees_regimes!$J$3:$J$1118,Donnees_regimes!$A$3:$A$1118,'3_Comparateur_detaille'!$B$20,Donnees_regimes!$B$3:$B$1118,A92))</f>
        <v/>
      </c>
      <c r="AM92" s="112">
        <f>IF('3_Comparateur_detaille'!$B$20="Privé",MIN(AK92,E92)*IF('3_Comparateur_detaille'!$B$15="cadre",K92,G92)+MAX(0,AK92-E92)*IF('3_Comparateur_detaille'!$B$15="cadre",M92,I92),AK92*SUMIFS(Donnees_regimes!$K$3:$K$1118,Donnees_regimes!$A$3:$A$1118,'3_Comparateur_detaille'!$B$20,Donnees_regimes!$B$3:$B$1118,A92))</f>
        <v/>
      </c>
      <c r="AN92" s="112">
        <f>IF('3_Comparateur_detaille'!$B$20="Privé",0,AK92*SUMIFS(Donnees_regimes!$L$3:$L$1118,Donnees_regimes!$A$3:$A$1118,'3_Comparateur_detaille'!$B$20,Donnees_regimes!$B$3:$B$1118,A92))</f>
        <v/>
      </c>
      <c r="AO92" s="113">
        <f>(AL92+AM92)/AA92*AI92/AG92</f>
        <v/>
      </c>
      <c r="AP92" s="113">
        <f>(AL92+AM92)/AA92*AJ92/AH92</f>
        <v/>
      </c>
      <c r="AQ92" s="112">
        <f>D92*'3_Comparateur_detaille'!$C$16</f>
        <v/>
      </c>
      <c r="AR92" s="112">
        <f>IF('3_Comparateur_detaille'!$C$20="Privé",MIN(AQ92,E92)*IF('3_Comparateur_detaille'!$C$15="cadre",J92,F92)+MAX(0,AQ92-E92)*IF('3_Comparateur_detaille'!$C$15="cadre",L92,H92),AQ92*SUMIFS(Donnees_regimes!$J$3:$J$1118,Donnees_regimes!$A$3:$A$1118,'3_Comparateur_detaille'!$C$20,Donnees_regimes!$B$3:$B$1118,A92))</f>
        <v/>
      </c>
      <c r="AS92" s="112">
        <f>IF('3_Comparateur_detaille'!$C$20="Privé",MIN(AQ92,E92)*IF('3_Comparateur_detaille'!$C$15="cadre",K92,G92)+MAX(0,AQ92-E92)*IF('3_Comparateur_detaille'!$C$15="cadre",M92,I92),AQ92*SUMIFS(Donnees_regimes!$K$3:$K$1118,Donnees_regimes!$A$3:$A$1118,'3_Comparateur_detaille'!$C$20,Donnees_regimes!$B$3:$B$1118,A92))</f>
        <v/>
      </c>
      <c r="AT92" s="112">
        <f>IF('3_Comparateur_detaille'!$C$20="Privé",0,AQ92*SUMIFS(Donnees_regimes!$L$3:$L$1118,Donnees_regimes!$A$3:$A$1118,'3_Comparateur_detaille'!$C$20,Donnees_regimes!$B$3:$B$1118,A92))</f>
        <v/>
      </c>
      <c r="AU92" s="113">
        <f>(AR92+AS92)/AA92*AI92/AG92</f>
        <v/>
      </c>
      <c r="AV92" s="113">
        <f>(AR92+AS92)/AA92*AJ92/AH92</f>
        <v/>
      </c>
    </row>
    <row r="93">
      <c r="A93" s="101" t="n">
        <v>2035</v>
      </c>
      <c r="B93" s="102" t="inlineStr">
        <is>
          <t>Projection</t>
        </is>
      </c>
      <c r="C93" s="103" t="n"/>
      <c r="D93" s="104" t="n">
        <v>44384.86</v>
      </c>
      <c r="E93" s="104" t="n">
        <v>51173.96</v>
      </c>
      <c r="F93" s="105" t="n">
        <v>0.11562</v>
      </c>
      <c r="G93" s="105" t="n">
        <v>0.1667</v>
      </c>
      <c r="H93" s="105" t="n">
        <v>0.10512</v>
      </c>
      <c r="I93" s="105" t="n">
        <v>0.1689</v>
      </c>
      <c r="J93" s="105" t="n">
        <v>0.11562</v>
      </c>
      <c r="K93" s="105" t="n">
        <v>0.1667</v>
      </c>
      <c r="L93" s="105" t="n">
        <v>0.10512</v>
      </c>
      <c r="M93" s="105" t="n">
        <v>0.1689</v>
      </c>
      <c r="N93" s="106">
        <f>MIN(D93,E93)*F93+MAX(0,D93-E93)*H93</f>
        <v/>
      </c>
      <c r="O93" s="106">
        <f>MIN(D93,E93)*G93+MAX(0,D93-E93)*I93</f>
        <v/>
      </c>
      <c r="P93" s="106">
        <f>N93+O93</f>
        <v/>
      </c>
      <c r="Q93" s="107">
        <f>P93/D93</f>
        <v/>
      </c>
      <c r="R93" s="106">
        <f>D93+O93</f>
        <v/>
      </c>
      <c r="S93" s="108" t="n">
        <v>35</v>
      </c>
      <c r="T93" s="108" t="n">
        <v>38.8</v>
      </c>
      <c r="U93" s="109" t="n">
        <v>227</v>
      </c>
      <c r="V93" s="110" t="n">
        <v>1596</v>
      </c>
      <c r="W93" s="110" t="n">
        <v>1768.5</v>
      </c>
      <c r="X93" s="104" t="n">
        <v>21798.13</v>
      </c>
      <c r="Y93" s="104" t="n">
        <v>21592.29</v>
      </c>
      <c r="Z93" s="108" t="n">
        <v>21.5</v>
      </c>
      <c r="AA93" s="103">
        <f>1/(1+Parametres!$B$12)^(A93-2026)</f>
        <v/>
      </c>
      <c r="AB93" s="111">
        <f>D93/AA93</f>
        <v/>
      </c>
      <c r="AC93" s="107" t="n"/>
      <c r="AD93" s="107" t="n"/>
      <c r="AE93" s="107">
        <f>((1+Parametres!$B$13)*(1+Parametres!$B$12)-1)</f>
        <v/>
      </c>
      <c r="AF93" s="107">
        <f>((1+Parametres!$B$14)*(1+Parametres!$B$12)-1)</f>
        <v/>
      </c>
      <c r="AG93" s="103">
        <f>AG92*(1+AE93)</f>
        <v/>
      </c>
      <c r="AH93" s="103">
        <f>AH92*(1+AF93)</f>
        <v/>
      </c>
      <c r="AI93" s="103">
        <f>IF(AE93=0,1,AE93/(12*((1+AE93)^(1/12)-1)))</f>
        <v/>
      </c>
      <c r="AJ93" s="103">
        <f>IF(AF93=0,1,AF93/(12*((1+AF93)^(1/12)-1)))</f>
        <v/>
      </c>
      <c r="AK93" s="112">
        <f>D93*'3_Comparateur_detaille'!$B$16</f>
        <v/>
      </c>
      <c r="AL93" s="112">
        <f>IF('3_Comparateur_detaille'!$B$20="Privé",MIN(AK93,E93)*IF('3_Comparateur_detaille'!$B$15="cadre",J93,F93)+MAX(0,AK93-E93)*IF('3_Comparateur_detaille'!$B$15="cadre",L93,H93),AK93*SUMIFS(Donnees_regimes!$J$3:$J$1118,Donnees_regimes!$A$3:$A$1118,'3_Comparateur_detaille'!$B$20,Donnees_regimes!$B$3:$B$1118,A93))</f>
        <v/>
      </c>
      <c r="AM93" s="112">
        <f>IF('3_Comparateur_detaille'!$B$20="Privé",MIN(AK93,E93)*IF('3_Comparateur_detaille'!$B$15="cadre",K93,G93)+MAX(0,AK93-E93)*IF('3_Comparateur_detaille'!$B$15="cadre",M93,I93),AK93*SUMIFS(Donnees_regimes!$K$3:$K$1118,Donnees_regimes!$A$3:$A$1118,'3_Comparateur_detaille'!$B$20,Donnees_regimes!$B$3:$B$1118,A93))</f>
        <v/>
      </c>
      <c r="AN93" s="112">
        <f>IF('3_Comparateur_detaille'!$B$20="Privé",0,AK93*SUMIFS(Donnees_regimes!$L$3:$L$1118,Donnees_regimes!$A$3:$A$1118,'3_Comparateur_detaille'!$B$20,Donnees_regimes!$B$3:$B$1118,A93))</f>
        <v/>
      </c>
      <c r="AO93" s="113">
        <f>(AL93+AM93)/AA93*AI93/AG93</f>
        <v/>
      </c>
      <c r="AP93" s="113">
        <f>(AL93+AM93)/AA93*AJ93/AH93</f>
        <v/>
      </c>
      <c r="AQ93" s="112">
        <f>D93*'3_Comparateur_detaille'!$C$16</f>
        <v/>
      </c>
      <c r="AR93" s="112">
        <f>IF('3_Comparateur_detaille'!$C$20="Privé",MIN(AQ93,E93)*IF('3_Comparateur_detaille'!$C$15="cadre",J93,F93)+MAX(0,AQ93-E93)*IF('3_Comparateur_detaille'!$C$15="cadre",L93,H93),AQ93*SUMIFS(Donnees_regimes!$J$3:$J$1118,Donnees_regimes!$A$3:$A$1118,'3_Comparateur_detaille'!$C$20,Donnees_regimes!$B$3:$B$1118,A93))</f>
        <v/>
      </c>
      <c r="AS93" s="112">
        <f>IF('3_Comparateur_detaille'!$C$20="Privé",MIN(AQ93,E93)*IF('3_Comparateur_detaille'!$C$15="cadre",K93,G93)+MAX(0,AQ93-E93)*IF('3_Comparateur_detaille'!$C$15="cadre",M93,I93),AQ93*SUMIFS(Donnees_regimes!$K$3:$K$1118,Donnees_regimes!$A$3:$A$1118,'3_Comparateur_detaille'!$C$20,Donnees_regimes!$B$3:$B$1118,A93))</f>
        <v/>
      </c>
      <c r="AT93" s="112">
        <f>IF('3_Comparateur_detaille'!$C$20="Privé",0,AQ93*SUMIFS(Donnees_regimes!$L$3:$L$1118,Donnees_regimes!$A$3:$A$1118,'3_Comparateur_detaille'!$C$20,Donnees_regimes!$B$3:$B$1118,A93))</f>
        <v/>
      </c>
      <c r="AU93" s="113">
        <f>(AR93+AS93)/AA93*AI93/AG93</f>
        <v/>
      </c>
      <c r="AV93" s="113">
        <f>(AR93+AS93)/AA93*AJ93/AH93</f>
        <v/>
      </c>
    </row>
    <row r="94">
      <c r="A94" s="101" t="n">
        <v>2036</v>
      </c>
      <c r="B94" s="102" t="inlineStr">
        <is>
          <t>Projection</t>
        </is>
      </c>
      <c r="C94" s="103" t="n"/>
      <c r="D94" s="104" t="n">
        <v>44695.55</v>
      </c>
      <c r="E94" s="104" t="n">
        <v>51532.17</v>
      </c>
      <c r="F94" s="105" t="n">
        <v>0.11562</v>
      </c>
      <c r="G94" s="105" t="n">
        <v>0.1667</v>
      </c>
      <c r="H94" s="105" t="n">
        <v>0.10512</v>
      </c>
      <c r="I94" s="105" t="n">
        <v>0.1689</v>
      </c>
      <c r="J94" s="105" t="n">
        <v>0.11562</v>
      </c>
      <c r="K94" s="105" t="n">
        <v>0.1667</v>
      </c>
      <c r="L94" s="105" t="n">
        <v>0.10512</v>
      </c>
      <c r="M94" s="105" t="n">
        <v>0.1689</v>
      </c>
      <c r="N94" s="106">
        <f>MIN(D94,E94)*F94+MAX(0,D94-E94)*H94</f>
        <v/>
      </c>
      <c r="O94" s="106">
        <f>MIN(D94,E94)*G94+MAX(0,D94-E94)*I94</f>
        <v/>
      </c>
      <c r="P94" s="106">
        <f>N94+O94</f>
        <v/>
      </c>
      <c r="Q94" s="107">
        <f>P94/D94</f>
        <v/>
      </c>
      <c r="R94" s="106">
        <f>D94+O94</f>
        <v/>
      </c>
      <c r="S94" s="108" t="n">
        <v>35</v>
      </c>
      <c r="T94" s="108" t="n">
        <v>38.8</v>
      </c>
      <c r="U94" s="109" t="n">
        <v>227</v>
      </c>
      <c r="V94" s="110" t="n">
        <v>1596</v>
      </c>
      <c r="W94" s="110" t="n">
        <v>1768.5</v>
      </c>
      <c r="X94" s="104" t="n">
        <v>21828.41</v>
      </c>
      <c r="Y94" s="104" t="n">
        <v>21622.28</v>
      </c>
      <c r="Z94" s="108" t="n">
        <v>21.5</v>
      </c>
      <c r="AA94" s="103">
        <f>1/(1+Parametres!$B$12)^(A94-2026)</f>
        <v/>
      </c>
      <c r="AB94" s="111">
        <f>D94/AA94</f>
        <v/>
      </c>
      <c r="AC94" s="107" t="n"/>
      <c r="AD94" s="107" t="n"/>
      <c r="AE94" s="107">
        <f>((1+Parametres!$B$13)*(1+Parametres!$B$12)-1)</f>
        <v/>
      </c>
      <c r="AF94" s="107">
        <f>((1+Parametres!$B$14)*(1+Parametres!$B$12)-1)</f>
        <v/>
      </c>
      <c r="AG94" s="103">
        <f>AG93*(1+AE94)</f>
        <v/>
      </c>
      <c r="AH94" s="103">
        <f>AH93*(1+AF94)</f>
        <v/>
      </c>
      <c r="AI94" s="103">
        <f>IF(AE94=0,1,AE94/(12*((1+AE94)^(1/12)-1)))</f>
        <v/>
      </c>
      <c r="AJ94" s="103">
        <f>IF(AF94=0,1,AF94/(12*((1+AF94)^(1/12)-1)))</f>
        <v/>
      </c>
      <c r="AK94" s="112">
        <f>D94*'3_Comparateur_detaille'!$B$16</f>
        <v/>
      </c>
      <c r="AL94" s="112">
        <f>IF('3_Comparateur_detaille'!$B$20="Privé",MIN(AK94,E94)*IF('3_Comparateur_detaille'!$B$15="cadre",J94,F94)+MAX(0,AK94-E94)*IF('3_Comparateur_detaille'!$B$15="cadre",L94,H94),AK94*SUMIFS(Donnees_regimes!$J$3:$J$1118,Donnees_regimes!$A$3:$A$1118,'3_Comparateur_detaille'!$B$20,Donnees_regimes!$B$3:$B$1118,A94))</f>
        <v/>
      </c>
      <c r="AM94" s="112">
        <f>IF('3_Comparateur_detaille'!$B$20="Privé",MIN(AK94,E94)*IF('3_Comparateur_detaille'!$B$15="cadre",K94,G94)+MAX(0,AK94-E94)*IF('3_Comparateur_detaille'!$B$15="cadre",M94,I94),AK94*SUMIFS(Donnees_regimes!$K$3:$K$1118,Donnees_regimes!$A$3:$A$1118,'3_Comparateur_detaille'!$B$20,Donnees_regimes!$B$3:$B$1118,A94))</f>
        <v/>
      </c>
      <c r="AN94" s="112">
        <f>IF('3_Comparateur_detaille'!$B$20="Privé",0,AK94*SUMIFS(Donnees_regimes!$L$3:$L$1118,Donnees_regimes!$A$3:$A$1118,'3_Comparateur_detaille'!$B$20,Donnees_regimes!$B$3:$B$1118,A94))</f>
        <v/>
      </c>
      <c r="AO94" s="113">
        <f>(AL94+AM94)/AA94*AI94/AG94</f>
        <v/>
      </c>
      <c r="AP94" s="113">
        <f>(AL94+AM94)/AA94*AJ94/AH94</f>
        <v/>
      </c>
      <c r="AQ94" s="112">
        <f>D94*'3_Comparateur_detaille'!$C$16</f>
        <v/>
      </c>
      <c r="AR94" s="112">
        <f>IF('3_Comparateur_detaille'!$C$20="Privé",MIN(AQ94,E94)*IF('3_Comparateur_detaille'!$C$15="cadre",J94,F94)+MAX(0,AQ94-E94)*IF('3_Comparateur_detaille'!$C$15="cadre",L94,H94),AQ94*SUMIFS(Donnees_regimes!$J$3:$J$1118,Donnees_regimes!$A$3:$A$1118,'3_Comparateur_detaille'!$C$20,Donnees_regimes!$B$3:$B$1118,A94))</f>
        <v/>
      </c>
      <c r="AS94" s="112">
        <f>IF('3_Comparateur_detaille'!$C$20="Privé",MIN(AQ94,E94)*IF('3_Comparateur_detaille'!$C$15="cadre",K94,G94)+MAX(0,AQ94-E94)*IF('3_Comparateur_detaille'!$C$15="cadre",M94,I94),AQ94*SUMIFS(Donnees_regimes!$K$3:$K$1118,Donnees_regimes!$A$3:$A$1118,'3_Comparateur_detaille'!$C$20,Donnees_regimes!$B$3:$B$1118,A94))</f>
        <v/>
      </c>
      <c r="AT94" s="112">
        <f>IF('3_Comparateur_detaille'!$C$20="Privé",0,AQ94*SUMIFS(Donnees_regimes!$L$3:$L$1118,Donnees_regimes!$A$3:$A$1118,'3_Comparateur_detaille'!$C$20,Donnees_regimes!$B$3:$B$1118,A94))</f>
        <v/>
      </c>
      <c r="AU94" s="113">
        <f>(AR94+AS94)/AA94*AI94/AG94</f>
        <v/>
      </c>
      <c r="AV94" s="113">
        <f>(AR94+AS94)/AA94*AJ94/AH94</f>
        <v/>
      </c>
    </row>
    <row r="95">
      <c r="A95" s="101" t="n">
        <v>2037</v>
      </c>
      <c r="B95" s="102" t="inlineStr">
        <is>
          <t>Projection</t>
        </is>
      </c>
      <c r="C95" s="103" t="n"/>
      <c r="D95" s="104" t="n">
        <v>45008.42</v>
      </c>
      <c r="E95" s="104" t="n">
        <v>51892.9</v>
      </c>
      <c r="F95" s="105" t="n">
        <v>0.11562</v>
      </c>
      <c r="G95" s="105" t="n">
        <v>0.1667</v>
      </c>
      <c r="H95" s="105" t="n">
        <v>0.10512</v>
      </c>
      <c r="I95" s="105" t="n">
        <v>0.1689</v>
      </c>
      <c r="J95" s="105" t="n">
        <v>0.11562</v>
      </c>
      <c r="K95" s="105" t="n">
        <v>0.1667</v>
      </c>
      <c r="L95" s="105" t="n">
        <v>0.10512</v>
      </c>
      <c r="M95" s="105" t="n">
        <v>0.1689</v>
      </c>
      <c r="N95" s="106">
        <f>MIN(D95,E95)*F95+MAX(0,D95-E95)*H95</f>
        <v/>
      </c>
      <c r="O95" s="106">
        <f>MIN(D95,E95)*G95+MAX(0,D95-E95)*I95</f>
        <v/>
      </c>
      <c r="P95" s="106">
        <f>N95+O95</f>
        <v/>
      </c>
      <c r="Q95" s="107">
        <f>P95/D95</f>
        <v/>
      </c>
      <c r="R95" s="106">
        <f>D95+O95</f>
        <v/>
      </c>
      <c r="S95" s="108" t="n">
        <v>35</v>
      </c>
      <c r="T95" s="108" t="n">
        <v>38.8</v>
      </c>
      <c r="U95" s="109" t="n">
        <v>227</v>
      </c>
      <c r="V95" s="110" t="n">
        <v>1596</v>
      </c>
      <c r="W95" s="110" t="n">
        <v>1768.5</v>
      </c>
      <c r="X95" s="104" t="n">
        <v>21858.04</v>
      </c>
      <c r="Y95" s="104" t="n">
        <v>21651.64</v>
      </c>
      <c r="Z95" s="108" t="n">
        <v>21.5</v>
      </c>
      <c r="AA95" s="103">
        <f>1/(1+Parametres!$B$12)^(A95-2026)</f>
        <v/>
      </c>
      <c r="AB95" s="111">
        <f>D95/AA95</f>
        <v/>
      </c>
      <c r="AC95" s="107" t="n"/>
      <c r="AD95" s="107" t="n"/>
      <c r="AE95" s="107">
        <f>((1+Parametres!$B$13)*(1+Parametres!$B$12)-1)</f>
        <v/>
      </c>
      <c r="AF95" s="107">
        <f>((1+Parametres!$B$14)*(1+Parametres!$B$12)-1)</f>
        <v/>
      </c>
      <c r="AG95" s="103">
        <f>AG94*(1+AE95)</f>
        <v/>
      </c>
      <c r="AH95" s="103">
        <f>AH94*(1+AF95)</f>
        <v/>
      </c>
      <c r="AI95" s="103">
        <f>IF(AE95=0,1,AE95/(12*((1+AE95)^(1/12)-1)))</f>
        <v/>
      </c>
      <c r="AJ95" s="103">
        <f>IF(AF95=0,1,AF95/(12*((1+AF95)^(1/12)-1)))</f>
        <v/>
      </c>
      <c r="AK95" s="112">
        <f>D95*'3_Comparateur_detaille'!$B$16</f>
        <v/>
      </c>
      <c r="AL95" s="112">
        <f>IF('3_Comparateur_detaille'!$B$20="Privé",MIN(AK95,E95)*IF('3_Comparateur_detaille'!$B$15="cadre",J95,F95)+MAX(0,AK95-E95)*IF('3_Comparateur_detaille'!$B$15="cadre",L95,H95),AK95*SUMIFS(Donnees_regimes!$J$3:$J$1118,Donnees_regimes!$A$3:$A$1118,'3_Comparateur_detaille'!$B$20,Donnees_regimes!$B$3:$B$1118,A95))</f>
        <v/>
      </c>
      <c r="AM95" s="112">
        <f>IF('3_Comparateur_detaille'!$B$20="Privé",MIN(AK95,E95)*IF('3_Comparateur_detaille'!$B$15="cadre",K95,G95)+MAX(0,AK95-E95)*IF('3_Comparateur_detaille'!$B$15="cadre",M95,I95),AK95*SUMIFS(Donnees_regimes!$K$3:$K$1118,Donnees_regimes!$A$3:$A$1118,'3_Comparateur_detaille'!$B$20,Donnees_regimes!$B$3:$B$1118,A95))</f>
        <v/>
      </c>
      <c r="AN95" s="112">
        <f>IF('3_Comparateur_detaille'!$B$20="Privé",0,AK95*SUMIFS(Donnees_regimes!$L$3:$L$1118,Donnees_regimes!$A$3:$A$1118,'3_Comparateur_detaille'!$B$20,Donnees_regimes!$B$3:$B$1118,A95))</f>
        <v/>
      </c>
      <c r="AO95" s="113">
        <f>(AL95+AM95)/AA95*AI95/AG95</f>
        <v/>
      </c>
      <c r="AP95" s="113">
        <f>(AL95+AM95)/AA95*AJ95/AH95</f>
        <v/>
      </c>
      <c r="AQ95" s="112">
        <f>D95*'3_Comparateur_detaille'!$C$16</f>
        <v/>
      </c>
      <c r="AR95" s="112">
        <f>IF('3_Comparateur_detaille'!$C$20="Privé",MIN(AQ95,E95)*IF('3_Comparateur_detaille'!$C$15="cadre",J95,F95)+MAX(0,AQ95-E95)*IF('3_Comparateur_detaille'!$C$15="cadre",L95,H95),AQ95*SUMIFS(Donnees_regimes!$J$3:$J$1118,Donnees_regimes!$A$3:$A$1118,'3_Comparateur_detaille'!$C$20,Donnees_regimes!$B$3:$B$1118,A95))</f>
        <v/>
      </c>
      <c r="AS95" s="112">
        <f>IF('3_Comparateur_detaille'!$C$20="Privé",MIN(AQ95,E95)*IF('3_Comparateur_detaille'!$C$15="cadre",K95,G95)+MAX(0,AQ95-E95)*IF('3_Comparateur_detaille'!$C$15="cadre",M95,I95),AQ95*SUMIFS(Donnees_regimes!$K$3:$K$1118,Donnees_regimes!$A$3:$A$1118,'3_Comparateur_detaille'!$C$20,Donnees_regimes!$B$3:$B$1118,A95))</f>
        <v/>
      </c>
      <c r="AT95" s="112">
        <f>IF('3_Comparateur_detaille'!$C$20="Privé",0,AQ95*SUMIFS(Donnees_regimes!$L$3:$L$1118,Donnees_regimes!$A$3:$A$1118,'3_Comparateur_detaille'!$C$20,Donnees_regimes!$B$3:$B$1118,A95))</f>
        <v/>
      </c>
      <c r="AU95" s="113">
        <f>(AR95+AS95)/AA95*AI95/AG95</f>
        <v/>
      </c>
      <c r="AV95" s="113">
        <f>(AR95+AS95)/AA95*AJ95/AH95</f>
        <v/>
      </c>
    </row>
    <row r="96">
      <c r="A96" s="101" t="n">
        <v>2038</v>
      </c>
      <c r="B96" s="102" t="inlineStr">
        <is>
          <t>Projection</t>
        </is>
      </c>
      <c r="C96" s="103" t="n"/>
      <c r="D96" s="104" t="n">
        <v>45323.48</v>
      </c>
      <c r="E96" s="104" t="n">
        <v>52256.15</v>
      </c>
      <c r="F96" s="105" t="n">
        <v>0.11562</v>
      </c>
      <c r="G96" s="105" t="n">
        <v>0.1667</v>
      </c>
      <c r="H96" s="105" t="n">
        <v>0.10512</v>
      </c>
      <c r="I96" s="105" t="n">
        <v>0.1689</v>
      </c>
      <c r="J96" s="105" t="n">
        <v>0.11562</v>
      </c>
      <c r="K96" s="105" t="n">
        <v>0.1667</v>
      </c>
      <c r="L96" s="105" t="n">
        <v>0.10512</v>
      </c>
      <c r="M96" s="105" t="n">
        <v>0.1689</v>
      </c>
      <c r="N96" s="106">
        <f>MIN(D96,E96)*F96+MAX(0,D96-E96)*H96</f>
        <v/>
      </c>
      <c r="O96" s="106">
        <f>MIN(D96,E96)*G96+MAX(0,D96-E96)*I96</f>
        <v/>
      </c>
      <c r="P96" s="106">
        <f>N96+O96</f>
        <v/>
      </c>
      <c r="Q96" s="107">
        <f>P96/D96</f>
        <v/>
      </c>
      <c r="R96" s="106">
        <f>D96+O96</f>
        <v/>
      </c>
      <c r="S96" s="108" t="n">
        <v>35</v>
      </c>
      <c r="T96" s="108" t="n">
        <v>38.8</v>
      </c>
      <c r="U96" s="109" t="n">
        <v>229</v>
      </c>
      <c r="V96" s="110" t="n">
        <v>1610</v>
      </c>
      <c r="W96" s="110" t="n">
        <v>1784</v>
      </c>
      <c r="X96" s="104" t="n">
        <v>21887.01</v>
      </c>
      <c r="Y96" s="104" t="n">
        <v>21680.34</v>
      </c>
      <c r="Z96" s="108" t="n">
        <v>21.5</v>
      </c>
      <c r="AA96" s="103">
        <f>1/(1+Parametres!$B$12)^(A96-2026)</f>
        <v/>
      </c>
      <c r="AB96" s="111">
        <f>D96/AA96</f>
        <v/>
      </c>
      <c r="AC96" s="107" t="n"/>
      <c r="AD96" s="107" t="n"/>
      <c r="AE96" s="107">
        <f>((1+Parametres!$B$13)*(1+Parametres!$B$12)-1)</f>
        <v/>
      </c>
      <c r="AF96" s="107">
        <f>((1+Parametres!$B$14)*(1+Parametres!$B$12)-1)</f>
        <v/>
      </c>
      <c r="AG96" s="103">
        <f>AG95*(1+AE96)</f>
        <v/>
      </c>
      <c r="AH96" s="103">
        <f>AH95*(1+AF96)</f>
        <v/>
      </c>
      <c r="AI96" s="103">
        <f>IF(AE96=0,1,AE96/(12*((1+AE96)^(1/12)-1)))</f>
        <v/>
      </c>
      <c r="AJ96" s="103">
        <f>IF(AF96=0,1,AF96/(12*((1+AF96)^(1/12)-1)))</f>
        <v/>
      </c>
      <c r="AK96" s="112">
        <f>D96*'3_Comparateur_detaille'!$B$16</f>
        <v/>
      </c>
      <c r="AL96" s="112">
        <f>IF('3_Comparateur_detaille'!$B$20="Privé",MIN(AK96,E96)*IF('3_Comparateur_detaille'!$B$15="cadre",J96,F96)+MAX(0,AK96-E96)*IF('3_Comparateur_detaille'!$B$15="cadre",L96,H96),AK96*SUMIFS(Donnees_regimes!$J$3:$J$1118,Donnees_regimes!$A$3:$A$1118,'3_Comparateur_detaille'!$B$20,Donnees_regimes!$B$3:$B$1118,A96))</f>
        <v/>
      </c>
      <c r="AM96" s="112">
        <f>IF('3_Comparateur_detaille'!$B$20="Privé",MIN(AK96,E96)*IF('3_Comparateur_detaille'!$B$15="cadre",K96,G96)+MAX(0,AK96-E96)*IF('3_Comparateur_detaille'!$B$15="cadre",M96,I96),AK96*SUMIFS(Donnees_regimes!$K$3:$K$1118,Donnees_regimes!$A$3:$A$1118,'3_Comparateur_detaille'!$B$20,Donnees_regimes!$B$3:$B$1118,A96))</f>
        <v/>
      </c>
      <c r="AN96" s="112">
        <f>IF('3_Comparateur_detaille'!$B$20="Privé",0,AK96*SUMIFS(Donnees_regimes!$L$3:$L$1118,Donnees_regimes!$A$3:$A$1118,'3_Comparateur_detaille'!$B$20,Donnees_regimes!$B$3:$B$1118,A96))</f>
        <v/>
      </c>
      <c r="AO96" s="113">
        <f>(AL96+AM96)/AA96*AI96/AG96</f>
        <v/>
      </c>
      <c r="AP96" s="113">
        <f>(AL96+AM96)/AA96*AJ96/AH96</f>
        <v/>
      </c>
      <c r="AQ96" s="112">
        <f>D96*'3_Comparateur_detaille'!$C$16</f>
        <v/>
      </c>
      <c r="AR96" s="112">
        <f>IF('3_Comparateur_detaille'!$C$20="Privé",MIN(AQ96,E96)*IF('3_Comparateur_detaille'!$C$15="cadre",J96,F96)+MAX(0,AQ96-E96)*IF('3_Comparateur_detaille'!$C$15="cadre",L96,H96),AQ96*SUMIFS(Donnees_regimes!$J$3:$J$1118,Donnees_regimes!$A$3:$A$1118,'3_Comparateur_detaille'!$C$20,Donnees_regimes!$B$3:$B$1118,A96))</f>
        <v/>
      </c>
      <c r="AS96" s="112">
        <f>IF('3_Comparateur_detaille'!$C$20="Privé",MIN(AQ96,E96)*IF('3_Comparateur_detaille'!$C$15="cadre",K96,G96)+MAX(0,AQ96-E96)*IF('3_Comparateur_detaille'!$C$15="cadre",M96,I96),AQ96*SUMIFS(Donnees_regimes!$K$3:$K$1118,Donnees_regimes!$A$3:$A$1118,'3_Comparateur_detaille'!$C$20,Donnees_regimes!$B$3:$B$1118,A96))</f>
        <v/>
      </c>
      <c r="AT96" s="112">
        <f>IF('3_Comparateur_detaille'!$C$20="Privé",0,AQ96*SUMIFS(Donnees_regimes!$L$3:$L$1118,Donnees_regimes!$A$3:$A$1118,'3_Comparateur_detaille'!$C$20,Donnees_regimes!$B$3:$B$1118,A96))</f>
        <v/>
      </c>
      <c r="AU96" s="113">
        <f>(AR96+AS96)/AA96*AI96/AG96</f>
        <v/>
      </c>
      <c r="AV96" s="113">
        <f>(AR96+AS96)/AA96*AJ96/AH96</f>
        <v/>
      </c>
    </row>
    <row r="97">
      <c r="A97" s="101" t="n">
        <v>2039</v>
      </c>
      <c r="B97" s="102" t="inlineStr">
        <is>
          <t>Projection</t>
        </is>
      </c>
      <c r="C97" s="103" t="n"/>
      <c r="D97" s="104" t="n">
        <v>45640.75</v>
      </c>
      <c r="E97" s="104" t="n">
        <v>52621.94</v>
      </c>
      <c r="F97" s="105" t="n">
        <v>0.11562</v>
      </c>
      <c r="G97" s="105" t="n">
        <v>0.1667</v>
      </c>
      <c r="H97" s="105" t="n">
        <v>0.10512</v>
      </c>
      <c r="I97" s="105" t="n">
        <v>0.1689</v>
      </c>
      <c r="J97" s="105" t="n">
        <v>0.11562</v>
      </c>
      <c r="K97" s="105" t="n">
        <v>0.1667</v>
      </c>
      <c r="L97" s="105" t="n">
        <v>0.10512</v>
      </c>
      <c r="M97" s="105" t="n">
        <v>0.1689</v>
      </c>
      <c r="N97" s="106">
        <f>MIN(D97,E97)*F97+MAX(0,D97-E97)*H97</f>
        <v/>
      </c>
      <c r="O97" s="106">
        <f>MIN(D97,E97)*G97+MAX(0,D97-E97)*I97</f>
        <v/>
      </c>
      <c r="P97" s="106">
        <f>N97+O97</f>
        <v/>
      </c>
      <c r="Q97" s="107">
        <f>P97/D97</f>
        <v/>
      </c>
      <c r="R97" s="106">
        <f>D97+O97</f>
        <v/>
      </c>
      <c r="S97" s="108" t="n">
        <v>35</v>
      </c>
      <c r="T97" s="108" t="n">
        <v>38.8</v>
      </c>
      <c r="U97" s="109" t="n">
        <v>228</v>
      </c>
      <c r="V97" s="110" t="n">
        <v>1603</v>
      </c>
      <c r="W97" s="110" t="n">
        <v>1776.3</v>
      </c>
      <c r="X97" s="104" t="n">
        <v>21915.33</v>
      </c>
      <c r="Y97" s="104" t="n">
        <v>21708.38</v>
      </c>
      <c r="Z97" s="108" t="n">
        <v>21.5</v>
      </c>
      <c r="AA97" s="103">
        <f>1/(1+Parametres!$B$12)^(A97-2026)</f>
        <v/>
      </c>
      <c r="AB97" s="111">
        <f>D97/AA97</f>
        <v/>
      </c>
      <c r="AC97" s="107" t="n"/>
      <c r="AD97" s="107" t="n"/>
      <c r="AE97" s="107">
        <f>((1+Parametres!$B$13)*(1+Parametres!$B$12)-1)</f>
        <v/>
      </c>
      <c r="AF97" s="107">
        <f>((1+Parametres!$B$14)*(1+Parametres!$B$12)-1)</f>
        <v/>
      </c>
      <c r="AG97" s="103">
        <f>AG96*(1+AE97)</f>
        <v/>
      </c>
      <c r="AH97" s="103">
        <f>AH96*(1+AF97)</f>
        <v/>
      </c>
      <c r="AI97" s="103">
        <f>IF(AE97=0,1,AE97/(12*((1+AE97)^(1/12)-1)))</f>
        <v/>
      </c>
      <c r="AJ97" s="103">
        <f>IF(AF97=0,1,AF97/(12*((1+AF97)^(1/12)-1)))</f>
        <v/>
      </c>
      <c r="AK97" s="112">
        <f>D97*'3_Comparateur_detaille'!$B$16</f>
        <v/>
      </c>
      <c r="AL97" s="112">
        <f>IF('3_Comparateur_detaille'!$B$20="Privé",MIN(AK97,E97)*IF('3_Comparateur_detaille'!$B$15="cadre",J97,F97)+MAX(0,AK97-E97)*IF('3_Comparateur_detaille'!$B$15="cadre",L97,H97),AK97*SUMIFS(Donnees_regimes!$J$3:$J$1118,Donnees_regimes!$A$3:$A$1118,'3_Comparateur_detaille'!$B$20,Donnees_regimes!$B$3:$B$1118,A97))</f>
        <v/>
      </c>
      <c r="AM97" s="112">
        <f>IF('3_Comparateur_detaille'!$B$20="Privé",MIN(AK97,E97)*IF('3_Comparateur_detaille'!$B$15="cadre",K97,G97)+MAX(0,AK97-E97)*IF('3_Comparateur_detaille'!$B$15="cadre",M97,I97),AK97*SUMIFS(Donnees_regimes!$K$3:$K$1118,Donnees_regimes!$A$3:$A$1118,'3_Comparateur_detaille'!$B$20,Donnees_regimes!$B$3:$B$1118,A97))</f>
        <v/>
      </c>
      <c r="AN97" s="112">
        <f>IF('3_Comparateur_detaille'!$B$20="Privé",0,AK97*SUMIFS(Donnees_regimes!$L$3:$L$1118,Donnees_regimes!$A$3:$A$1118,'3_Comparateur_detaille'!$B$20,Donnees_regimes!$B$3:$B$1118,A97))</f>
        <v/>
      </c>
      <c r="AO97" s="113">
        <f>(AL97+AM97)/AA97*AI97/AG97</f>
        <v/>
      </c>
      <c r="AP97" s="113">
        <f>(AL97+AM97)/AA97*AJ97/AH97</f>
        <v/>
      </c>
      <c r="AQ97" s="112">
        <f>D97*'3_Comparateur_detaille'!$C$16</f>
        <v/>
      </c>
      <c r="AR97" s="112">
        <f>IF('3_Comparateur_detaille'!$C$20="Privé",MIN(AQ97,E97)*IF('3_Comparateur_detaille'!$C$15="cadre",J97,F97)+MAX(0,AQ97-E97)*IF('3_Comparateur_detaille'!$C$15="cadre",L97,H97),AQ97*SUMIFS(Donnees_regimes!$J$3:$J$1118,Donnees_regimes!$A$3:$A$1118,'3_Comparateur_detaille'!$C$20,Donnees_regimes!$B$3:$B$1118,A97))</f>
        <v/>
      </c>
      <c r="AS97" s="112">
        <f>IF('3_Comparateur_detaille'!$C$20="Privé",MIN(AQ97,E97)*IF('3_Comparateur_detaille'!$C$15="cadre",K97,G97)+MAX(0,AQ97-E97)*IF('3_Comparateur_detaille'!$C$15="cadre",M97,I97),AQ97*SUMIFS(Donnees_regimes!$K$3:$K$1118,Donnees_regimes!$A$3:$A$1118,'3_Comparateur_detaille'!$C$20,Donnees_regimes!$B$3:$B$1118,A97))</f>
        <v/>
      </c>
      <c r="AT97" s="112">
        <f>IF('3_Comparateur_detaille'!$C$20="Privé",0,AQ97*SUMIFS(Donnees_regimes!$L$3:$L$1118,Donnees_regimes!$A$3:$A$1118,'3_Comparateur_detaille'!$C$20,Donnees_regimes!$B$3:$B$1118,A97))</f>
        <v/>
      </c>
      <c r="AU97" s="113">
        <f>(AR97+AS97)/AA97*AI97/AG97</f>
        <v/>
      </c>
      <c r="AV97" s="113">
        <f>(AR97+AS97)/AA97*AJ97/AH97</f>
        <v/>
      </c>
    </row>
    <row r="98">
      <c r="A98" s="101" t="n">
        <v>2040</v>
      </c>
      <c r="B98" s="102" t="inlineStr">
        <is>
          <t>Projection</t>
        </is>
      </c>
      <c r="C98" s="103" t="n"/>
      <c r="D98" s="104" t="n">
        <v>45960.23</v>
      </c>
      <c r="E98" s="104" t="n">
        <v>52990.3</v>
      </c>
      <c r="F98" s="105" t="n">
        <v>0.11562</v>
      </c>
      <c r="G98" s="105" t="n">
        <v>0.1667</v>
      </c>
      <c r="H98" s="105" t="n">
        <v>0.10512</v>
      </c>
      <c r="I98" s="105" t="n">
        <v>0.1689</v>
      </c>
      <c r="J98" s="105" t="n">
        <v>0.11562</v>
      </c>
      <c r="K98" s="105" t="n">
        <v>0.1667</v>
      </c>
      <c r="L98" s="105" t="n">
        <v>0.10512</v>
      </c>
      <c r="M98" s="105" t="n">
        <v>0.1689</v>
      </c>
      <c r="N98" s="106">
        <f>MIN(D98,E98)*F98+MAX(0,D98-E98)*H98</f>
        <v/>
      </c>
      <c r="O98" s="106">
        <f>MIN(D98,E98)*G98+MAX(0,D98-E98)*I98</f>
        <v/>
      </c>
      <c r="P98" s="106">
        <f>N98+O98</f>
        <v/>
      </c>
      <c r="Q98" s="107">
        <f>P98/D98</f>
        <v/>
      </c>
      <c r="R98" s="106">
        <f>D98+O98</f>
        <v/>
      </c>
      <c r="S98" s="108" t="n">
        <v>35</v>
      </c>
      <c r="T98" s="108" t="n">
        <v>38.8</v>
      </c>
      <c r="U98" s="109" t="n">
        <v>228</v>
      </c>
      <c r="V98" s="110" t="n">
        <v>1603</v>
      </c>
      <c r="W98" s="110" t="n">
        <v>1776.3</v>
      </c>
      <c r="X98" s="104" t="n">
        <v>21942.96</v>
      </c>
      <c r="Y98" s="104" t="n">
        <v>21735.76</v>
      </c>
      <c r="Z98" s="108" t="n">
        <v>21.5</v>
      </c>
      <c r="AA98" s="103">
        <f>1/(1+Parametres!$B$12)^(A98-2026)</f>
        <v/>
      </c>
      <c r="AB98" s="111">
        <f>D98/AA98</f>
        <v/>
      </c>
      <c r="AC98" s="107" t="n"/>
      <c r="AD98" s="107" t="n"/>
      <c r="AE98" s="107">
        <f>((1+Parametres!$B$13)*(1+Parametres!$B$12)-1)</f>
        <v/>
      </c>
      <c r="AF98" s="107">
        <f>((1+Parametres!$B$14)*(1+Parametres!$B$12)-1)</f>
        <v/>
      </c>
      <c r="AG98" s="103">
        <f>AG97*(1+AE98)</f>
        <v/>
      </c>
      <c r="AH98" s="103">
        <f>AH97*(1+AF98)</f>
        <v/>
      </c>
      <c r="AI98" s="103">
        <f>IF(AE98=0,1,AE98/(12*((1+AE98)^(1/12)-1)))</f>
        <v/>
      </c>
      <c r="AJ98" s="103">
        <f>IF(AF98=0,1,AF98/(12*((1+AF98)^(1/12)-1)))</f>
        <v/>
      </c>
      <c r="AK98" s="112">
        <f>D98*'3_Comparateur_detaille'!$B$16</f>
        <v/>
      </c>
      <c r="AL98" s="112">
        <f>IF('3_Comparateur_detaille'!$B$20="Privé",MIN(AK98,E98)*IF('3_Comparateur_detaille'!$B$15="cadre",J98,F98)+MAX(0,AK98-E98)*IF('3_Comparateur_detaille'!$B$15="cadre",L98,H98),AK98*SUMIFS(Donnees_regimes!$J$3:$J$1118,Donnees_regimes!$A$3:$A$1118,'3_Comparateur_detaille'!$B$20,Donnees_regimes!$B$3:$B$1118,A98))</f>
        <v/>
      </c>
      <c r="AM98" s="112">
        <f>IF('3_Comparateur_detaille'!$B$20="Privé",MIN(AK98,E98)*IF('3_Comparateur_detaille'!$B$15="cadre",K98,G98)+MAX(0,AK98-E98)*IF('3_Comparateur_detaille'!$B$15="cadre",M98,I98),AK98*SUMIFS(Donnees_regimes!$K$3:$K$1118,Donnees_regimes!$A$3:$A$1118,'3_Comparateur_detaille'!$B$20,Donnees_regimes!$B$3:$B$1118,A98))</f>
        <v/>
      </c>
      <c r="AN98" s="112">
        <f>IF('3_Comparateur_detaille'!$B$20="Privé",0,AK98*SUMIFS(Donnees_regimes!$L$3:$L$1118,Donnees_regimes!$A$3:$A$1118,'3_Comparateur_detaille'!$B$20,Donnees_regimes!$B$3:$B$1118,A98))</f>
        <v/>
      </c>
      <c r="AO98" s="113">
        <f>(AL98+AM98)/AA98*AI98/AG98</f>
        <v/>
      </c>
      <c r="AP98" s="113">
        <f>(AL98+AM98)/AA98*AJ98/AH98</f>
        <v/>
      </c>
      <c r="AQ98" s="112">
        <f>D98*'3_Comparateur_detaille'!$C$16</f>
        <v/>
      </c>
      <c r="AR98" s="112">
        <f>IF('3_Comparateur_detaille'!$C$20="Privé",MIN(AQ98,E98)*IF('3_Comparateur_detaille'!$C$15="cadre",J98,F98)+MAX(0,AQ98-E98)*IF('3_Comparateur_detaille'!$C$15="cadre",L98,H98),AQ98*SUMIFS(Donnees_regimes!$J$3:$J$1118,Donnees_regimes!$A$3:$A$1118,'3_Comparateur_detaille'!$C$20,Donnees_regimes!$B$3:$B$1118,A98))</f>
        <v/>
      </c>
      <c r="AS98" s="112">
        <f>IF('3_Comparateur_detaille'!$C$20="Privé",MIN(AQ98,E98)*IF('3_Comparateur_detaille'!$C$15="cadre",K98,G98)+MAX(0,AQ98-E98)*IF('3_Comparateur_detaille'!$C$15="cadre",M98,I98),AQ98*SUMIFS(Donnees_regimes!$K$3:$K$1118,Donnees_regimes!$A$3:$A$1118,'3_Comparateur_detaille'!$C$20,Donnees_regimes!$B$3:$B$1118,A98))</f>
        <v/>
      </c>
      <c r="AT98" s="112">
        <f>IF('3_Comparateur_detaille'!$C$20="Privé",0,AQ98*SUMIFS(Donnees_regimes!$L$3:$L$1118,Donnees_regimes!$A$3:$A$1118,'3_Comparateur_detaille'!$C$20,Donnees_regimes!$B$3:$B$1118,A98))</f>
        <v/>
      </c>
      <c r="AU98" s="113">
        <f>(AR98+AS98)/AA98*AI98/AG98</f>
        <v/>
      </c>
      <c r="AV98" s="113">
        <f>(AR98+AS98)/AA98*AJ98/AH98</f>
        <v/>
      </c>
    </row>
    <row r="99">
      <c r="A99" s="101" t="n">
        <v>2041</v>
      </c>
      <c r="B99" s="102" t="inlineStr">
        <is>
          <t>Projection</t>
        </is>
      </c>
      <c r="C99" s="103" t="n"/>
      <c r="D99" s="104" t="n">
        <v>46281.95</v>
      </c>
      <c r="E99" s="104" t="n">
        <v>53361.23</v>
      </c>
      <c r="F99" s="105" t="n">
        <v>0.11562</v>
      </c>
      <c r="G99" s="105" t="n">
        <v>0.1667</v>
      </c>
      <c r="H99" s="105" t="n">
        <v>0.10512</v>
      </c>
      <c r="I99" s="105" t="n">
        <v>0.1689</v>
      </c>
      <c r="J99" s="105" t="n">
        <v>0.11562</v>
      </c>
      <c r="K99" s="105" t="n">
        <v>0.1667</v>
      </c>
      <c r="L99" s="105" t="n">
        <v>0.10512</v>
      </c>
      <c r="M99" s="105" t="n">
        <v>0.1689</v>
      </c>
      <c r="N99" s="106">
        <f>MIN(D99,E99)*F99+MAX(0,D99-E99)*H99</f>
        <v/>
      </c>
      <c r="O99" s="106">
        <f>MIN(D99,E99)*G99+MAX(0,D99-E99)*I99</f>
        <v/>
      </c>
      <c r="P99" s="106">
        <f>N99+O99</f>
        <v/>
      </c>
      <c r="Q99" s="107">
        <f>P99/D99</f>
        <v/>
      </c>
      <c r="R99" s="106">
        <f>D99+O99</f>
        <v/>
      </c>
      <c r="S99" s="108" t="n">
        <v>35</v>
      </c>
      <c r="T99" s="108" t="n">
        <v>38.8</v>
      </c>
      <c r="U99" s="109" t="n">
        <v>226</v>
      </c>
      <c r="V99" s="110" t="n">
        <v>1589</v>
      </c>
      <c r="W99" s="110" t="n">
        <v>1760.8</v>
      </c>
      <c r="X99" s="104" t="n">
        <v>21969.91</v>
      </c>
      <c r="Y99" s="104" t="n">
        <v>21762.45</v>
      </c>
      <c r="Z99" s="108" t="n">
        <v>21.5</v>
      </c>
      <c r="AA99" s="103">
        <f>1/(1+Parametres!$B$12)^(A99-2026)</f>
        <v/>
      </c>
      <c r="AB99" s="111">
        <f>D99/AA99</f>
        <v/>
      </c>
      <c r="AC99" s="107" t="n"/>
      <c r="AD99" s="107" t="n"/>
      <c r="AE99" s="107">
        <f>((1+Parametres!$B$13)*(1+Parametres!$B$12)-1)</f>
        <v/>
      </c>
      <c r="AF99" s="107">
        <f>((1+Parametres!$B$14)*(1+Parametres!$B$12)-1)</f>
        <v/>
      </c>
      <c r="AG99" s="103">
        <f>AG98*(1+AE99)</f>
        <v/>
      </c>
      <c r="AH99" s="103">
        <f>AH98*(1+AF99)</f>
        <v/>
      </c>
      <c r="AI99" s="103">
        <f>IF(AE99=0,1,AE99/(12*((1+AE99)^(1/12)-1)))</f>
        <v/>
      </c>
      <c r="AJ99" s="103">
        <f>IF(AF99=0,1,AF99/(12*((1+AF99)^(1/12)-1)))</f>
        <v/>
      </c>
      <c r="AK99" s="112">
        <f>D99*'3_Comparateur_detaille'!$B$16</f>
        <v/>
      </c>
      <c r="AL99" s="112">
        <f>IF('3_Comparateur_detaille'!$B$20="Privé",MIN(AK99,E99)*IF('3_Comparateur_detaille'!$B$15="cadre",J99,F99)+MAX(0,AK99-E99)*IF('3_Comparateur_detaille'!$B$15="cadre",L99,H99),AK99*SUMIFS(Donnees_regimes!$J$3:$J$1118,Donnees_regimes!$A$3:$A$1118,'3_Comparateur_detaille'!$B$20,Donnees_regimes!$B$3:$B$1118,A99))</f>
        <v/>
      </c>
      <c r="AM99" s="112">
        <f>IF('3_Comparateur_detaille'!$B$20="Privé",MIN(AK99,E99)*IF('3_Comparateur_detaille'!$B$15="cadre",K99,G99)+MAX(0,AK99-E99)*IF('3_Comparateur_detaille'!$B$15="cadre",M99,I99),AK99*SUMIFS(Donnees_regimes!$K$3:$K$1118,Donnees_regimes!$A$3:$A$1118,'3_Comparateur_detaille'!$B$20,Donnees_regimes!$B$3:$B$1118,A99))</f>
        <v/>
      </c>
      <c r="AN99" s="112">
        <f>IF('3_Comparateur_detaille'!$B$20="Privé",0,AK99*SUMIFS(Donnees_regimes!$L$3:$L$1118,Donnees_regimes!$A$3:$A$1118,'3_Comparateur_detaille'!$B$20,Donnees_regimes!$B$3:$B$1118,A99))</f>
        <v/>
      </c>
      <c r="AO99" s="113">
        <f>(AL99+AM99)/AA99*AI99/AG99</f>
        <v/>
      </c>
      <c r="AP99" s="113">
        <f>(AL99+AM99)/AA99*AJ99/AH99</f>
        <v/>
      </c>
      <c r="AQ99" s="112">
        <f>D99*'3_Comparateur_detaille'!$C$16</f>
        <v/>
      </c>
      <c r="AR99" s="112">
        <f>IF('3_Comparateur_detaille'!$C$20="Privé",MIN(AQ99,E99)*IF('3_Comparateur_detaille'!$C$15="cadre",J99,F99)+MAX(0,AQ99-E99)*IF('3_Comparateur_detaille'!$C$15="cadre",L99,H99),AQ99*SUMIFS(Donnees_regimes!$J$3:$J$1118,Donnees_regimes!$A$3:$A$1118,'3_Comparateur_detaille'!$C$20,Donnees_regimes!$B$3:$B$1118,A99))</f>
        <v/>
      </c>
      <c r="AS99" s="112">
        <f>IF('3_Comparateur_detaille'!$C$20="Privé",MIN(AQ99,E99)*IF('3_Comparateur_detaille'!$C$15="cadre",K99,G99)+MAX(0,AQ99-E99)*IF('3_Comparateur_detaille'!$C$15="cadre",M99,I99),AQ99*SUMIFS(Donnees_regimes!$K$3:$K$1118,Donnees_regimes!$A$3:$A$1118,'3_Comparateur_detaille'!$C$20,Donnees_regimes!$B$3:$B$1118,A99))</f>
        <v/>
      </c>
      <c r="AT99" s="112">
        <f>IF('3_Comparateur_detaille'!$C$20="Privé",0,AQ99*SUMIFS(Donnees_regimes!$L$3:$L$1118,Donnees_regimes!$A$3:$A$1118,'3_Comparateur_detaille'!$C$20,Donnees_regimes!$B$3:$B$1118,A99))</f>
        <v/>
      </c>
      <c r="AU99" s="113">
        <f>(AR99+AS99)/AA99*AI99/AG99</f>
        <v/>
      </c>
      <c r="AV99" s="113">
        <f>(AR99+AS99)/AA99*AJ99/AH99</f>
        <v/>
      </c>
    </row>
    <row r="100">
      <c r="A100" s="101" t="n">
        <v>2042</v>
      </c>
      <c r="B100" s="102" t="inlineStr">
        <is>
          <t>Projection</t>
        </is>
      </c>
      <c r="C100" s="103" t="n"/>
      <c r="D100" s="104" t="n">
        <v>46605.93</v>
      </c>
      <c r="E100" s="104" t="n">
        <v>53734.76</v>
      </c>
      <c r="F100" s="105" t="n">
        <v>0.11562</v>
      </c>
      <c r="G100" s="105" t="n">
        <v>0.1667</v>
      </c>
      <c r="H100" s="105" t="n">
        <v>0.10512</v>
      </c>
      <c r="I100" s="105" t="n">
        <v>0.1689</v>
      </c>
      <c r="J100" s="105" t="n">
        <v>0.11562</v>
      </c>
      <c r="K100" s="105" t="n">
        <v>0.1667</v>
      </c>
      <c r="L100" s="105" t="n">
        <v>0.10512</v>
      </c>
      <c r="M100" s="105" t="n">
        <v>0.1689</v>
      </c>
      <c r="N100" s="106">
        <f>MIN(D100,E100)*F100+MAX(0,D100-E100)*H100</f>
        <v/>
      </c>
      <c r="O100" s="106">
        <f>MIN(D100,E100)*G100+MAX(0,D100-E100)*I100</f>
        <v/>
      </c>
      <c r="P100" s="106">
        <f>N100+O100</f>
        <v/>
      </c>
      <c r="Q100" s="107">
        <f>P100/D100</f>
        <v/>
      </c>
      <c r="R100" s="106">
        <f>D100+O100</f>
        <v/>
      </c>
      <c r="S100" s="108" t="n">
        <v>35</v>
      </c>
      <c r="T100" s="108" t="n">
        <v>38.8</v>
      </c>
      <c r="U100" s="109" t="n">
        <v>226</v>
      </c>
      <c r="V100" s="110" t="n">
        <v>1589</v>
      </c>
      <c r="W100" s="110" t="n">
        <v>1760.8</v>
      </c>
      <c r="X100" s="104" t="n">
        <v>21996.16</v>
      </c>
      <c r="Y100" s="104" t="n">
        <v>21788.46</v>
      </c>
      <c r="Z100" s="108" t="n">
        <v>21.5</v>
      </c>
      <c r="AA100" s="103">
        <f>1/(1+Parametres!$B$12)^(A100-2026)</f>
        <v/>
      </c>
      <c r="AB100" s="111">
        <f>D100/AA100</f>
        <v/>
      </c>
      <c r="AC100" s="107" t="n"/>
      <c r="AD100" s="107" t="n"/>
      <c r="AE100" s="107">
        <f>((1+Parametres!$B$13)*(1+Parametres!$B$12)-1)</f>
        <v/>
      </c>
      <c r="AF100" s="107">
        <f>((1+Parametres!$B$14)*(1+Parametres!$B$12)-1)</f>
        <v/>
      </c>
      <c r="AG100" s="103">
        <f>AG99*(1+AE100)</f>
        <v/>
      </c>
      <c r="AH100" s="103">
        <f>AH99*(1+AF100)</f>
        <v/>
      </c>
      <c r="AI100" s="103">
        <f>IF(AE100=0,1,AE100/(12*((1+AE100)^(1/12)-1)))</f>
        <v/>
      </c>
      <c r="AJ100" s="103">
        <f>IF(AF100=0,1,AF100/(12*((1+AF100)^(1/12)-1)))</f>
        <v/>
      </c>
      <c r="AK100" s="112">
        <f>D100*'3_Comparateur_detaille'!$B$16</f>
        <v/>
      </c>
      <c r="AL100" s="112">
        <f>IF('3_Comparateur_detaille'!$B$20="Privé",MIN(AK100,E100)*IF('3_Comparateur_detaille'!$B$15="cadre",J100,F100)+MAX(0,AK100-E100)*IF('3_Comparateur_detaille'!$B$15="cadre",L100,H100),AK100*SUMIFS(Donnees_regimes!$J$3:$J$1118,Donnees_regimes!$A$3:$A$1118,'3_Comparateur_detaille'!$B$20,Donnees_regimes!$B$3:$B$1118,A100))</f>
        <v/>
      </c>
      <c r="AM100" s="112">
        <f>IF('3_Comparateur_detaille'!$B$20="Privé",MIN(AK100,E100)*IF('3_Comparateur_detaille'!$B$15="cadre",K100,G100)+MAX(0,AK100-E100)*IF('3_Comparateur_detaille'!$B$15="cadre",M100,I100),AK100*SUMIFS(Donnees_regimes!$K$3:$K$1118,Donnees_regimes!$A$3:$A$1118,'3_Comparateur_detaille'!$B$20,Donnees_regimes!$B$3:$B$1118,A100))</f>
        <v/>
      </c>
      <c r="AN100" s="112">
        <f>IF('3_Comparateur_detaille'!$B$20="Privé",0,AK100*SUMIFS(Donnees_regimes!$L$3:$L$1118,Donnees_regimes!$A$3:$A$1118,'3_Comparateur_detaille'!$B$20,Donnees_regimes!$B$3:$B$1118,A100))</f>
        <v/>
      </c>
      <c r="AO100" s="113">
        <f>(AL100+AM100)/AA100*AI100/AG100</f>
        <v/>
      </c>
      <c r="AP100" s="113">
        <f>(AL100+AM100)/AA100*AJ100/AH100</f>
        <v/>
      </c>
      <c r="AQ100" s="112">
        <f>D100*'3_Comparateur_detaille'!$C$16</f>
        <v/>
      </c>
      <c r="AR100" s="112">
        <f>IF('3_Comparateur_detaille'!$C$20="Privé",MIN(AQ100,E100)*IF('3_Comparateur_detaille'!$C$15="cadre",J100,F100)+MAX(0,AQ100-E100)*IF('3_Comparateur_detaille'!$C$15="cadre",L100,H100),AQ100*SUMIFS(Donnees_regimes!$J$3:$J$1118,Donnees_regimes!$A$3:$A$1118,'3_Comparateur_detaille'!$C$20,Donnees_regimes!$B$3:$B$1118,A100))</f>
        <v/>
      </c>
      <c r="AS100" s="112">
        <f>IF('3_Comparateur_detaille'!$C$20="Privé",MIN(AQ100,E100)*IF('3_Comparateur_detaille'!$C$15="cadre",K100,G100)+MAX(0,AQ100-E100)*IF('3_Comparateur_detaille'!$C$15="cadre",M100,I100),AQ100*SUMIFS(Donnees_regimes!$K$3:$K$1118,Donnees_regimes!$A$3:$A$1118,'3_Comparateur_detaille'!$C$20,Donnees_regimes!$B$3:$B$1118,A100))</f>
        <v/>
      </c>
      <c r="AT100" s="112">
        <f>IF('3_Comparateur_detaille'!$C$20="Privé",0,AQ100*SUMIFS(Donnees_regimes!$L$3:$L$1118,Donnees_regimes!$A$3:$A$1118,'3_Comparateur_detaille'!$C$20,Donnees_regimes!$B$3:$B$1118,A100))</f>
        <v/>
      </c>
      <c r="AU100" s="113">
        <f>(AR100+AS100)/AA100*AI100/AG100</f>
        <v/>
      </c>
      <c r="AV100" s="113">
        <f>(AR100+AS100)/AA100*AJ100/AH100</f>
        <v/>
      </c>
    </row>
    <row r="101">
      <c r="A101" s="101" t="n">
        <v>2043</v>
      </c>
      <c r="B101" s="102" t="inlineStr">
        <is>
          <t>Projection</t>
        </is>
      </c>
      <c r="C101" s="103" t="n"/>
      <c r="D101" s="104" t="n">
        <v>46932.17</v>
      </c>
      <c r="E101" s="104" t="n">
        <v>54110.9</v>
      </c>
      <c r="F101" s="105" t="n">
        <v>0.11562</v>
      </c>
      <c r="G101" s="105" t="n">
        <v>0.1667</v>
      </c>
      <c r="H101" s="105" t="n">
        <v>0.10512</v>
      </c>
      <c r="I101" s="105" t="n">
        <v>0.1689</v>
      </c>
      <c r="J101" s="105" t="n">
        <v>0.11562</v>
      </c>
      <c r="K101" s="105" t="n">
        <v>0.1667</v>
      </c>
      <c r="L101" s="105" t="n">
        <v>0.10512</v>
      </c>
      <c r="M101" s="105" t="n">
        <v>0.1689</v>
      </c>
      <c r="N101" s="106">
        <f>MIN(D101,E101)*F101+MAX(0,D101-E101)*H101</f>
        <v/>
      </c>
      <c r="O101" s="106">
        <f>MIN(D101,E101)*G101+MAX(0,D101-E101)*I101</f>
        <v/>
      </c>
      <c r="P101" s="106">
        <f>N101+O101</f>
        <v/>
      </c>
      <c r="Q101" s="107">
        <f>P101/D101</f>
        <v/>
      </c>
      <c r="R101" s="106">
        <f>D101+O101</f>
        <v/>
      </c>
      <c r="S101" s="108" t="n">
        <v>35</v>
      </c>
      <c r="T101" s="108" t="n">
        <v>38.8</v>
      </c>
      <c r="U101" s="109" t="n">
        <v>227</v>
      </c>
      <c r="V101" s="110" t="n">
        <v>1596</v>
      </c>
      <c r="W101" s="110" t="n">
        <v>1768.5</v>
      </c>
      <c r="X101" s="104" t="n">
        <v>22021.7</v>
      </c>
      <c r="Y101" s="104" t="n">
        <v>21813.76</v>
      </c>
      <c r="Z101" s="108" t="n">
        <v>21.5</v>
      </c>
      <c r="AA101" s="103">
        <f>1/(1+Parametres!$B$12)^(A101-2026)</f>
        <v/>
      </c>
      <c r="AB101" s="111">
        <f>D101/AA101</f>
        <v/>
      </c>
      <c r="AC101" s="107" t="n"/>
      <c r="AD101" s="107" t="n"/>
      <c r="AE101" s="107">
        <f>((1+Parametres!$B$13)*(1+Parametres!$B$12)-1)</f>
        <v/>
      </c>
      <c r="AF101" s="107">
        <f>((1+Parametres!$B$14)*(1+Parametres!$B$12)-1)</f>
        <v/>
      </c>
      <c r="AG101" s="103">
        <f>AG100*(1+AE101)</f>
        <v/>
      </c>
      <c r="AH101" s="103">
        <f>AH100*(1+AF101)</f>
        <v/>
      </c>
      <c r="AI101" s="103">
        <f>IF(AE101=0,1,AE101/(12*((1+AE101)^(1/12)-1)))</f>
        <v/>
      </c>
      <c r="AJ101" s="103">
        <f>IF(AF101=0,1,AF101/(12*((1+AF101)^(1/12)-1)))</f>
        <v/>
      </c>
      <c r="AK101" s="112">
        <f>D101*'3_Comparateur_detaille'!$B$16</f>
        <v/>
      </c>
      <c r="AL101" s="112">
        <f>IF('3_Comparateur_detaille'!$B$20="Privé",MIN(AK101,E101)*IF('3_Comparateur_detaille'!$B$15="cadre",J101,F101)+MAX(0,AK101-E101)*IF('3_Comparateur_detaille'!$B$15="cadre",L101,H101),AK101*SUMIFS(Donnees_regimes!$J$3:$J$1118,Donnees_regimes!$A$3:$A$1118,'3_Comparateur_detaille'!$B$20,Donnees_regimes!$B$3:$B$1118,A101))</f>
        <v/>
      </c>
      <c r="AM101" s="112">
        <f>IF('3_Comparateur_detaille'!$B$20="Privé",MIN(AK101,E101)*IF('3_Comparateur_detaille'!$B$15="cadre",K101,G101)+MAX(0,AK101-E101)*IF('3_Comparateur_detaille'!$B$15="cadre",M101,I101),AK101*SUMIFS(Donnees_regimes!$K$3:$K$1118,Donnees_regimes!$A$3:$A$1118,'3_Comparateur_detaille'!$B$20,Donnees_regimes!$B$3:$B$1118,A101))</f>
        <v/>
      </c>
      <c r="AN101" s="112">
        <f>IF('3_Comparateur_detaille'!$B$20="Privé",0,AK101*SUMIFS(Donnees_regimes!$L$3:$L$1118,Donnees_regimes!$A$3:$A$1118,'3_Comparateur_detaille'!$B$20,Donnees_regimes!$B$3:$B$1118,A101))</f>
        <v/>
      </c>
      <c r="AO101" s="113">
        <f>(AL101+AM101)/AA101*AI101/AG101</f>
        <v/>
      </c>
      <c r="AP101" s="113">
        <f>(AL101+AM101)/AA101*AJ101/AH101</f>
        <v/>
      </c>
      <c r="AQ101" s="112">
        <f>D101*'3_Comparateur_detaille'!$C$16</f>
        <v/>
      </c>
      <c r="AR101" s="112">
        <f>IF('3_Comparateur_detaille'!$C$20="Privé",MIN(AQ101,E101)*IF('3_Comparateur_detaille'!$C$15="cadre",J101,F101)+MAX(0,AQ101-E101)*IF('3_Comparateur_detaille'!$C$15="cadre",L101,H101),AQ101*SUMIFS(Donnees_regimes!$J$3:$J$1118,Donnees_regimes!$A$3:$A$1118,'3_Comparateur_detaille'!$C$20,Donnees_regimes!$B$3:$B$1118,A101))</f>
        <v/>
      </c>
      <c r="AS101" s="112">
        <f>IF('3_Comparateur_detaille'!$C$20="Privé",MIN(AQ101,E101)*IF('3_Comparateur_detaille'!$C$15="cadre",K101,G101)+MAX(0,AQ101-E101)*IF('3_Comparateur_detaille'!$C$15="cadre",M101,I101),AQ101*SUMIFS(Donnees_regimes!$K$3:$K$1118,Donnees_regimes!$A$3:$A$1118,'3_Comparateur_detaille'!$C$20,Donnees_regimes!$B$3:$B$1118,A101))</f>
        <v/>
      </c>
      <c r="AT101" s="112">
        <f>IF('3_Comparateur_detaille'!$C$20="Privé",0,AQ101*SUMIFS(Donnees_regimes!$L$3:$L$1118,Donnees_regimes!$A$3:$A$1118,'3_Comparateur_detaille'!$C$20,Donnees_regimes!$B$3:$B$1118,A101))</f>
        <v/>
      </c>
      <c r="AU101" s="113">
        <f>(AR101+AS101)/AA101*AI101/AG101</f>
        <v/>
      </c>
      <c r="AV101" s="113">
        <f>(AR101+AS101)/AA101*AJ101/AH101</f>
        <v/>
      </c>
    </row>
    <row r="102">
      <c r="A102" s="101" t="n">
        <v>2044</v>
      </c>
      <c r="B102" s="102" t="inlineStr">
        <is>
          <t>Projection</t>
        </is>
      </c>
      <c r="C102" s="103" t="n"/>
      <c r="D102" s="104" t="n">
        <v>47260.69</v>
      </c>
      <c r="E102" s="104" t="n">
        <v>54489.68</v>
      </c>
      <c r="F102" s="105" t="n">
        <v>0.11562</v>
      </c>
      <c r="G102" s="105" t="n">
        <v>0.1667</v>
      </c>
      <c r="H102" s="105" t="n">
        <v>0.10512</v>
      </c>
      <c r="I102" s="105" t="n">
        <v>0.1689</v>
      </c>
      <c r="J102" s="105" t="n">
        <v>0.11562</v>
      </c>
      <c r="K102" s="105" t="n">
        <v>0.1667</v>
      </c>
      <c r="L102" s="105" t="n">
        <v>0.10512</v>
      </c>
      <c r="M102" s="105" t="n">
        <v>0.1689</v>
      </c>
      <c r="N102" s="106">
        <f>MIN(D102,E102)*F102+MAX(0,D102-E102)*H102</f>
        <v/>
      </c>
      <c r="O102" s="106">
        <f>MIN(D102,E102)*G102+MAX(0,D102-E102)*I102</f>
        <v/>
      </c>
      <c r="P102" s="106">
        <f>N102+O102</f>
        <v/>
      </c>
      <c r="Q102" s="107">
        <f>P102/D102</f>
        <v/>
      </c>
      <c r="R102" s="106">
        <f>D102+O102</f>
        <v/>
      </c>
      <c r="S102" s="108" t="n">
        <v>35</v>
      </c>
      <c r="T102" s="108" t="n">
        <v>38.8</v>
      </c>
      <c r="U102" s="109" t="n">
        <v>228</v>
      </c>
      <c r="V102" s="110" t="n">
        <v>1603</v>
      </c>
      <c r="W102" s="110" t="n">
        <v>1776.3</v>
      </c>
      <c r="X102" s="104" t="n">
        <v>22046.52</v>
      </c>
      <c r="Y102" s="104" t="n">
        <v>21838.34</v>
      </c>
      <c r="Z102" s="108" t="n">
        <v>21.5</v>
      </c>
      <c r="AA102" s="103">
        <f>1/(1+Parametres!$B$12)^(A102-2026)</f>
        <v/>
      </c>
      <c r="AB102" s="111">
        <f>D102/AA102</f>
        <v/>
      </c>
      <c r="AC102" s="107" t="n"/>
      <c r="AD102" s="107" t="n"/>
      <c r="AE102" s="107">
        <f>((1+Parametres!$B$13)*(1+Parametres!$B$12)-1)</f>
        <v/>
      </c>
      <c r="AF102" s="107">
        <f>((1+Parametres!$B$14)*(1+Parametres!$B$12)-1)</f>
        <v/>
      </c>
      <c r="AG102" s="103">
        <f>AG101*(1+AE102)</f>
        <v/>
      </c>
      <c r="AH102" s="103">
        <f>AH101*(1+AF102)</f>
        <v/>
      </c>
      <c r="AI102" s="103">
        <f>IF(AE102=0,1,AE102/(12*((1+AE102)^(1/12)-1)))</f>
        <v/>
      </c>
      <c r="AJ102" s="103">
        <f>IF(AF102=0,1,AF102/(12*((1+AF102)^(1/12)-1)))</f>
        <v/>
      </c>
      <c r="AK102" s="112">
        <f>D102*'3_Comparateur_detaille'!$B$16</f>
        <v/>
      </c>
      <c r="AL102" s="112">
        <f>IF('3_Comparateur_detaille'!$B$20="Privé",MIN(AK102,E102)*IF('3_Comparateur_detaille'!$B$15="cadre",J102,F102)+MAX(0,AK102-E102)*IF('3_Comparateur_detaille'!$B$15="cadre",L102,H102),AK102*SUMIFS(Donnees_regimes!$J$3:$J$1118,Donnees_regimes!$A$3:$A$1118,'3_Comparateur_detaille'!$B$20,Donnees_regimes!$B$3:$B$1118,A102))</f>
        <v/>
      </c>
      <c r="AM102" s="112">
        <f>IF('3_Comparateur_detaille'!$B$20="Privé",MIN(AK102,E102)*IF('3_Comparateur_detaille'!$B$15="cadre",K102,G102)+MAX(0,AK102-E102)*IF('3_Comparateur_detaille'!$B$15="cadre",M102,I102),AK102*SUMIFS(Donnees_regimes!$K$3:$K$1118,Donnees_regimes!$A$3:$A$1118,'3_Comparateur_detaille'!$B$20,Donnees_regimes!$B$3:$B$1118,A102))</f>
        <v/>
      </c>
      <c r="AN102" s="112">
        <f>IF('3_Comparateur_detaille'!$B$20="Privé",0,AK102*SUMIFS(Donnees_regimes!$L$3:$L$1118,Donnees_regimes!$A$3:$A$1118,'3_Comparateur_detaille'!$B$20,Donnees_regimes!$B$3:$B$1118,A102))</f>
        <v/>
      </c>
      <c r="AO102" s="113">
        <f>(AL102+AM102)/AA102*AI102/AG102</f>
        <v/>
      </c>
      <c r="AP102" s="113">
        <f>(AL102+AM102)/AA102*AJ102/AH102</f>
        <v/>
      </c>
      <c r="AQ102" s="112">
        <f>D102*'3_Comparateur_detaille'!$C$16</f>
        <v/>
      </c>
      <c r="AR102" s="112">
        <f>IF('3_Comparateur_detaille'!$C$20="Privé",MIN(AQ102,E102)*IF('3_Comparateur_detaille'!$C$15="cadre",J102,F102)+MAX(0,AQ102-E102)*IF('3_Comparateur_detaille'!$C$15="cadre",L102,H102),AQ102*SUMIFS(Donnees_regimes!$J$3:$J$1118,Donnees_regimes!$A$3:$A$1118,'3_Comparateur_detaille'!$C$20,Donnees_regimes!$B$3:$B$1118,A102))</f>
        <v/>
      </c>
      <c r="AS102" s="112">
        <f>IF('3_Comparateur_detaille'!$C$20="Privé",MIN(AQ102,E102)*IF('3_Comparateur_detaille'!$C$15="cadre",K102,G102)+MAX(0,AQ102-E102)*IF('3_Comparateur_detaille'!$C$15="cadre",M102,I102),AQ102*SUMIFS(Donnees_regimes!$K$3:$K$1118,Donnees_regimes!$A$3:$A$1118,'3_Comparateur_detaille'!$C$20,Donnees_regimes!$B$3:$B$1118,A102))</f>
        <v/>
      </c>
      <c r="AT102" s="112">
        <f>IF('3_Comparateur_detaille'!$C$20="Privé",0,AQ102*SUMIFS(Donnees_regimes!$L$3:$L$1118,Donnees_regimes!$A$3:$A$1118,'3_Comparateur_detaille'!$C$20,Donnees_regimes!$B$3:$B$1118,A102))</f>
        <v/>
      </c>
      <c r="AU102" s="113">
        <f>(AR102+AS102)/AA102*AI102/AG102</f>
        <v/>
      </c>
      <c r="AV102" s="113">
        <f>(AR102+AS102)/AA102*AJ102/AH102</f>
        <v/>
      </c>
    </row>
    <row r="103">
      <c r="A103" s="101" t="n">
        <v>2045</v>
      </c>
      <c r="B103" s="102" t="inlineStr">
        <is>
          <t>Projection</t>
        </is>
      </c>
      <c r="C103" s="103" t="n"/>
      <c r="D103" s="104" t="n">
        <v>47591.52</v>
      </c>
      <c r="E103" s="104" t="n">
        <v>54871.11</v>
      </c>
      <c r="F103" s="105" t="n">
        <v>0.11562</v>
      </c>
      <c r="G103" s="105" t="n">
        <v>0.1667</v>
      </c>
      <c r="H103" s="105" t="n">
        <v>0.10512</v>
      </c>
      <c r="I103" s="105" t="n">
        <v>0.1689</v>
      </c>
      <c r="J103" s="105" t="n">
        <v>0.11562</v>
      </c>
      <c r="K103" s="105" t="n">
        <v>0.1667</v>
      </c>
      <c r="L103" s="105" t="n">
        <v>0.10512</v>
      </c>
      <c r="M103" s="105" t="n">
        <v>0.1689</v>
      </c>
      <c r="N103" s="106">
        <f>MIN(D103,E103)*F103+MAX(0,D103-E103)*H103</f>
        <v/>
      </c>
      <c r="O103" s="106">
        <f>MIN(D103,E103)*G103+MAX(0,D103-E103)*I103</f>
        <v/>
      </c>
      <c r="P103" s="106">
        <f>N103+O103</f>
        <v/>
      </c>
      <c r="Q103" s="107">
        <f>P103/D103</f>
        <v/>
      </c>
      <c r="R103" s="106">
        <f>D103+O103</f>
        <v/>
      </c>
      <c r="S103" s="108" t="n">
        <v>35</v>
      </c>
      <c r="T103" s="108" t="n">
        <v>38.8</v>
      </c>
      <c r="U103" s="109" t="n">
        <v>226</v>
      </c>
      <c r="V103" s="110" t="n">
        <v>1589</v>
      </c>
      <c r="W103" s="110" t="n">
        <v>1760.8</v>
      </c>
      <c r="X103" s="104" t="n">
        <v>22070.61</v>
      </c>
      <c r="Y103" s="104" t="n">
        <v>21862.21</v>
      </c>
      <c r="Z103" s="108" t="n">
        <v>21.5</v>
      </c>
      <c r="AA103" s="103">
        <f>1/(1+Parametres!$B$12)^(A103-2026)</f>
        <v/>
      </c>
      <c r="AB103" s="111">
        <f>D103/AA103</f>
        <v/>
      </c>
      <c r="AC103" s="107" t="n"/>
      <c r="AD103" s="107" t="n"/>
      <c r="AE103" s="107">
        <f>((1+Parametres!$B$13)*(1+Parametres!$B$12)-1)</f>
        <v/>
      </c>
      <c r="AF103" s="107">
        <f>((1+Parametres!$B$14)*(1+Parametres!$B$12)-1)</f>
        <v/>
      </c>
      <c r="AG103" s="103">
        <f>AG102*(1+AE103)</f>
        <v/>
      </c>
      <c r="AH103" s="103">
        <f>AH102*(1+AF103)</f>
        <v/>
      </c>
      <c r="AI103" s="103">
        <f>IF(AE103=0,1,AE103/(12*((1+AE103)^(1/12)-1)))</f>
        <v/>
      </c>
      <c r="AJ103" s="103">
        <f>IF(AF103=0,1,AF103/(12*((1+AF103)^(1/12)-1)))</f>
        <v/>
      </c>
      <c r="AK103" s="112">
        <f>D103*'3_Comparateur_detaille'!$B$16</f>
        <v/>
      </c>
      <c r="AL103" s="112">
        <f>IF('3_Comparateur_detaille'!$B$20="Privé",MIN(AK103,E103)*IF('3_Comparateur_detaille'!$B$15="cadre",J103,F103)+MAX(0,AK103-E103)*IF('3_Comparateur_detaille'!$B$15="cadre",L103,H103),AK103*SUMIFS(Donnees_regimes!$J$3:$J$1118,Donnees_regimes!$A$3:$A$1118,'3_Comparateur_detaille'!$B$20,Donnees_regimes!$B$3:$B$1118,A103))</f>
        <v/>
      </c>
      <c r="AM103" s="112">
        <f>IF('3_Comparateur_detaille'!$B$20="Privé",MIN(AK103,E103)*IF('3_Comparateur_detaille'!$B$15="cadre",K103,G103)+MAX(0,AK103-E103)*IF('3_Comparateur_detaille'!$B$15="cadre",M103,I103),AK103*SUMIFS(Donnees_regimes!$K$3:$K$1118,Donnees_regimes!$A$3:$A$1118,'3_Comparateur_detaille'!$B$20,Donnees_regimes!$B$3:$B$1118,A103))</f>
        <v/>
      </c>
      <c r="AN103" s="112">
        <f>IF('3_Comparateur_detaille'!$B$20="Privé",0,AK103*SUMIFS(Donnees_regimes!$L$3:$L$1118,Donnees_regimes!$A$3:$A$1118,'3_Comparateur_detaille'!$B$20,Donnees_regimes!$B$3:$B$1118,A103))</f>
        <v/>
      </c>
      <c r="AO103" s="113">
        <f>(AL103+AM103)/AA103*AI103/AG103</f>
        <v/>
      </c>
      <c r="AP103" s="113">
        <f>(AL103+AM103)/AA103*AJ103/AH103</f>
        <v/>
      </c>
      <c r="AQ103" s="112">
        <f>D103*'3_Comparateur_detaille'!$C$16</f>
        <v/>
      </c>
      <c r="AR103" s="112">
        <f>IF('3_Comparateur_detaille'!$C$20="Privé",MIN(AQ103,E103)*IF('3_Comparateur_detaille'!$C$15="cadre",J103,F103)+MAX(0,AQ103-E103)*IF('3_Comparateur_detaille'!$C$15="cadre",L103,H103),AQ103*SUMIFS(Donnees_regimes!$J$3:$J$1118,Donnees_regimes!$A$3:$A$1118,'3_Comparateur_detaille'!$C$20,Donnees_regimes!$B$3:$B$1118,A103))</f>
        <v/>
      </c>
      <c r="AS103" s="112">
        <f>IF('3_Comparateur_detaille'!$C$20="Privé",MIN(AQ103,E103)*IF('3_Comparateur_detaille'!$C$15="cadre",K103,G103)+MAX(0,AQ103-E103)*IF('3_Comparateur_detaille'!$C$15="cadre",M103,I103),AQ103*SUMIFS(Donnees_regimes!$K$3:$K$1118,Donnees_regimes!$A$3:$A$1118,'3_Comparateur_detaille'!$C$20,Donnees_regimes!$B$3:$B$1118,A103))</f>
        <v/>
      </c>
      <c r="AT103" s="112">
        <f>IF('3_Comparateur_detaille'!$C$20="Privé",0,AQ103*SUMIFS(Donnees_regimes!$L$3:$L$1118,Donnees_regimes!$A$3:$A$1118,'3_Comparateur_detaille'!$C$20,Donnees_regimes!$B$3:$B$1118,A103))</f>
        <v/>
      </c>
      <c r="AU103" s="113">
        <f>(AR103+AS103)/AA103*AI103/AG103</f>
        <v/>
      </c>
      <c r="AV103" s="113">
        <f>(AR103+AS103)/AA103*AJ103/AH103</f>
        <v/>
      </c>
    </row>
    <row r="104">
      <c r="A104" s="101" t="n">
        <v>2046</v>
      </c>
      <c r="B104" s="102" t="inlineStr">
        <is>
          <t>Projection</t>
        </is>
      </c>
      <c r="C104" s="103" t="n"/>
      <c r="D104" s="104" t="n">
        <v>47924.66</v>
      </c>
      <c r="E104" s="104" t="n">
        <v>55255.2</v>
      </c>
      <c r="F104" s="105" t="n">
        <v>0.11562</v>
      </c>
      <c r="G104" s="105" t="n">
        <v>0.1667</v>
      </c>
      <c r="H104" s="105" t="n">
        <v>0.10512</v>
      </c>
      <c r="I104" s="105" t="n">
        <v>0.1689</v>
      </c>
      <c r="J104" s="105" t="n">
        <v>0.11562</v>
      </c>
      <c r="K104" s="105" t="n">
        <v>0.1667</v>
      </c>
      <c r="L104" s="105" t="n">
        <v>0.10512</v>
      </c>
      <c r="M104" s="105" t="n">
        <v>0.1689</v>
      </c>
      <c r="N104" s="106">
        <f>MIN(D104,E104)*F104+MAX(0,D104-E104)*H104</f>
        <v/>
      </c>
      <c r="O104" s="106">
        <f>MIN(D104,E104)*G104+MAX(0,D104-E104)*I104</f>
        <v/>
      </c>
      <c r="P104" s="106">
        <f>N104+O104</f>
        <v/>
      </c>
      <c r="Q104" s="107">
        <f>P104/D104</f>
        <v/>
      </c>
      <c r="R104" s="106">
        <f>D104+O104</f>
        <v/>
      </c>
      <c r="S104" s="108" t="n">
        <v>35</v>
      </c>
      <c r="T104" s="108" t="n">
        <v>38.8</v>
      </c>
      <c r="U104" s="109" t="n">
        <v>227</v>
      </c>
      <c r="V104" s="110" t="n">
        <v>1596</v>
      </c>
      <c r="W104" s="110" t="n">
        <v>1768.5</v>
      </c>
      <c r="X104" s="104" t="n">
        <v>22093.96</v>
      </c>
      <c r="Y104" s="104" t="n">
        <v>21885.33</v>
      </c>
      <c r="Z104" s="108" t="n">
        <v>21.5</v>
      </c>
      <c r="AA104" s="103">
        <f>1/(1+Parametres!$B$12)^(A104-2026)</f>
        <v/>
      </c>
      <c r="AB104" s="111">
        <f>D104/AA104</f>
        <v/>
      </c>
      <c r="AC104" s="107" t="n"/>
      <c r="AD104" s="107" t="n"/>
      <c r="AE104" s="107">
        <f>((1+Parametres!$B$13)*(1+Parametres!$B$12)-1)</f>
        <v/>
      </c>
      <c r="AF104" s="107">
        <f>((1+Parametres!$B$14)*(1+Parametres!$B$12)-1)</f>
        <v/>
      </c>
      <c r="AG104" s="103">
        <f>AG103*(1+AE104)</f>
        <v/>
      </c>
      <c r="AH104" s="103">
        <f>AH103*(1+AF104)</f>
        <v/>
      </c>
      <c r="AI104" s="103">
        <f>IF(AE104=0,1,AE104/(12*((1+AE104)^(1/12)-1)))</f>
        <v/>
      </c>
      <c r="AJ104" s="103">
        <f>IF(AF104=0,1,AF104/(12*((1+AF104)^(1/12)-1)))</f>
        <v/>
      </c>
      <c r="AK104" s="112">
        <f>D104*'3_Comparateur_detaille'!$B$16</f>
        <v/>
      </c>
      <c r="AL104" s="112">
        <f>IF('3_Comparateur_detaille'!$B$20="Privé",MIN(AK104,E104)*IF('3_Comparateur_detaille'!$B$15="cadre",J104,F104)+MAX(0,AK104-E104)*IF('3_Comparateur_detaille'!$B$15="cadre",L104,H104),AK104*SUMIFS(Donnees_regimes!$J$3:$J$1118,Donnees_regimes!$A$3:$A$1118,'3_Comparateur_detaille'!$B$20,Donnees_regimes!$B$3:$B$1118,A104))</f>
        <v/>
      </c>
      <c r="AM104" s="112">
        <f>IF('3_Comparateur_detaille'!$B$20="Privé",MIN(AK104,E104)*IF('3_Comparateur_detaille'!$B$15="cadre",K104,G104)+MAX(0,AK104-E104)*IF('3_Comparateur_detaille'!$B$15="cadre",M104,I104),AK104*SUMIFS(Donnees_regimes!$K$3:$K$1118,Donnees_regimes!$A$3:$A$1118,'3_Comparateur_detaille'!$B$20,Donnees_regimes!$B$3:$B$1118,A104))</f>
        <v/>
      </c>
      <c r="AN104" s="112">
        <f>IF('3_Comparateur_detaille'!$B$20="Privé",0,AK104*SUMIFS(Donnees_regimes!$L$3:$L$1118,Donnees_regimes!$A$3:$A$1118,'3_Comparateur_detaille'!$B$20,Donnees_regimes!$B$3:$B$1118,A104))</f>
        <v/>
      </c>
      <c r="AO104" s="113">
        <f>(AL104+AM104)/AA104*AI104/AG104</f>
        <v/>
      </c>
      <c r="AP104" s="113">
        <f>(AL104+AM104)/AA104*AJ104/AH104</f>
        <v/>
      </c>
      <c r="AQ104" s="112">
        <f>D104*'3_Comparateur_detaille'!$C$16</f>
        <v/>
      </c>
      <c r="AR104" s="112">
        <f>IF('3_Comparateur_detaille'!$C$20="Privé",MIN(AQ104,E104)*IF('3_Comparateur_detaille'!$C$15="cadre",J104,F104)+MAX(0,AQ104-E104)*IF('3_Comparateur_detaille'!$C$15="cadre",L104,H104),AQ104*SUMIFS(Donnees_regimes!$J$3:$J$1118,Donnees_regimes!$A$3:$A$1118,'3_Comparateur_detaille'!$C$20,Donnees_regimes!$B$3:$B$1118,A104))</f>
        <v/>
      </c>
      <c r="AS104" s="112">
        <f>IF('3_Comparateur_detaille'!$C$20="Privé",MIN(AQ104,E104)*IF('3_Comparateur_detaille'!$C$15="cadre",K104,G104)+MAX(0,AQ104-E104)*IF('3_Comparateur_detaille'!$C$15="cadre",M104,I104),AQ104*SUMIFS(Donnees_regimes!$K$3:$K$1118,Donnees_regimes!$A$3:$A$1118,'3_Comparateur_detaille'!$C$20,Donnees_regimes!$B$3:$B$1118,A104))</f>
        <v/>
      </c>
      <c r="AT104" s="112">
        <f>IF('3_Comparateur_detaille'!$C$20="Privé",0,AQ104*SUMIFS(Donnees_regimes!$L$3:$L$1118,Donnees_regimes!$A$3:$A$1118,'3_Comparateur_detaille'!$C$20,Donnees_regimes!$B$3:$B$1118,A104))</f>
        <v/>
      </c>
      <c r="AU104" s="113">
        <f>(AR104+AS104)/AA104*AI104/AG104</f>
        <v/>
      </c>
      <c r="AV104" s="113">
        <f>(AR104+AS104)/AA104*AJ104/AH104</f>
        <v/>
      </c>
    </row>
    <row r="105">
      <c r="A105" s="101" t="n">
        <v>2047</v>
      </c>
      <c r="B105" s="102" t="inlineStr">
        <is>
          <t>Projection</t>
        </is>
      </c>
      <c r="C105" s="103" t="n"/>
      <c r="D105" s="104" t="n">
        <v>48260.13</v>
      </c>
      <c r="E105" s="104" t="n">
        <v>55641.99</v>
      </c>
      <c r="F105" s="105" t="n">
        <v>0.11562</v>
      </c>
      <c r="G105" s="105" t="n">
        <v>0.1667</v>
      </c>
      <c r="H105" s="105" t="n">
        <v>0.10512</v>
      </c>
      <c r="I105" s="105" t="n">
        <v>0.1689</v>
      </c>
      <c r="J105" s="105" t="n">
        <v>0.11562</v>
      </c>
      <c r="K105" s="105" t="n">
        <v>0.1667</v>
      </c>
      <c r="L105" s="105" t="n">
        <v>0.10512</v>
      </c>
      <c r="M105" s="105" t="n">
        <v>0.1689</v>
      </c>
      <c r="N105" s="106">
        <f>MIN(D105,E105)*F105+MAX(0,D105-E105)*H105</f>
        <v/>
      </c>
      <c r="O105" s="106">
        <f>MIN(D105,E105)*G105+MAX(0,D105-E105)*I105</f>
        <v/>
      </c>
      <c r="P105" s="106">
        <f>N105+O105</f>
        <v/>
      </c>
      <c r="Q105" s="107">
        <f>P105/D105</f>
        <v/>
      </c>
      <c r="R105" s="106">
        <f>D105+O105</f>
        <v/>
      </c>
      <c r="S105" s="108" t="n">
        <v>35</v>
      </c>
      <c r="T105" s="108" t="n">
        <v>38.8</v>
      </c>
      <c r="U105" s="109" t="n">
        <v>226</v>
      </c>
      <c r="V105" s="110" t="n">
        <v>1589</v>
      </c>
      <c r="W105" s="110" t="n">
        <v>1760.8</v>
      </c>
      <c r="X105" s="104" t="n">
        <v>22116.55</v>
      </c>
      <c r="Y105" s="104" t="n">
        <v>21907.71</v>
      </c>
      <c r="Z105" s="108" t="n">
        <v>21.5</v>
      </c>
      <c r="AA105" s="103">
        <f>1/(1+Parametres!$B$12)^(A105-2026)</f>
        <v/>
      </c>
      <c r="AB105" s="111">
        <f>D105/AA105</f>
        <v/>
      </c>
      <c r="AC105" s="107" t="n"/>
      <c r="AD105" s="107" t="n"/>
      <c r="AE105" s="107">
        <f>((1+Parametres!$B$13)*(1+Parametres!$B$12)-1)</f>
        <v/>
      </c>
      <c r="AF105" s="107">
        <f>((1+Parametres!$B$14)*(1+Parametres!$B$12)-1)</f>
        <v/>
      </c>
      <c r="AG105" s="103">
        <f>AG104*(1+AE105)</f>
        <v/>
      </c>
      <c r="AH105" s="103">
        <f>AH104*(1+AF105)</f>
        <v/>
      </c>
      <c r="AI105" s="103">
        <f>IF(AE105=0,1,AE105/(12*((1+AE105)^(1/12)-1)))</f>
        <v/>
      </c>
      <c r="AJ105" s="103">
        <f>IF(AF105=0,1,AF105/(12*((1+AF105)^(1/12)-1)))</f>
        <v/>
      </c>
      <c r="AK105" s="112">
        <f>D105*'3_Comparateur_detaille'!$B$16</f>
        <v/>
      </c>
      <c r="AL105" s="112">
        <f>IF('3_Comparateur_detaille'!$B$20="Privé",MIN(AK105,E105)*IF('3_Comparateur_detaille'!$B$15="cadre",J105,F105)+MAX(0,AK105-E105)*IF('3_Comparateur_detaille'!$B$15="cadre",L105,H105),AK105*SUMIFS(Donnees_regimes!$J$3:$J$1118,Donnees_regimes!$A$3:$A$1118,'3_Comparateur_detaille'!$B$20,Donnees_regimes!$B$3:$B$1118,A105))</f>
        <v/>
      </c>
      <c r="AM105" s="112">
        <f>IF('3_Comparateur_detaille'!$B$20="Privé",MIN(AK105,E105)*IF('3_Comparateur_detaille'!$B$15="cadre",K105,G105)+MAX(0,AK105-E105)*IF('3_Comparateur_detaille'!$B$15="cadre",M105,I105),AK105*SUMIFS(Donnees_regimes!$K$3:$K$1118,Donnees_regimes!$A$3:$A$1118,'3_Comparateur_detaille'!$B$20,Donnees_regimes!$B$3:$B$1118,A105))</f>
        <v/>
      </c>
      <c r="AN105" s="112">
        <f>IF('3_Comparateur_detaille'!$B$20="Privé",0,AK105*SUMIFS(Donnees_regimes!$L$3:$L$1118,Donnees_regimes!$A$3:$A$1118,'3_Comparateur_detaille'!$B$20,Donnees_regimes!$B$3:$B$1118,A105))</f>
        <v/>
      </c>
      <c r="AO105" s="113">
        <f>(AL105+AM105)/AA105*AI105/AG105</f>
        <v/>
      </c>
      <c r="AP105" s="113">
        <f>(AL105+AM105)/AA105*AJ105/AH105</f>
        <v/>
      </c>
      <c r="AQ105" s="112">
        <f>D105*'3_Comparateur_detaille'!$C$16</f>
        <v/>
      </c>
      <c r="AR105" s="112">
        <f>IF('3_Comparateur_detaille'!$C$20="Privé",MIN(AQ105,E105)*IF('3_Comparateur_detaille'!$C$15="cadre",J105,F105)+MAX(0,AQ105-E105)*IF('3_Comparateur_detaille'!$C$15="cadre",L105,H105),AQ105*SUMIFS(Donnees_regimes!$J$3:$J$1118,Donnees_regimes!$A$3:$A$1118,'3_Comparateur_detaille'!$C$20,Donnees_regimes!$B$3:$B$1118,A105))</f>
        <v/>
      </c>
      <c r="AS105" s="112">
        <f>IF('3_Comparateur_detaille'!$C$20="Privé",MIN(AQ105,E105)*IF('3_Comparateur_detaille'!$C$15="cadre",K105,G105)+MAX(0,AQ105-E105)*IF('3_Comparateur_detaille'!$C$15="cadre",M105,I105),AQ105*SUMIFS(Donnees_regimes!$K$3:$K$1118,Donnees_regimes!$A$3:$A$1118,'3_Comparateur_detaille'!$C$20,Donnees_regimes!$B$3:$B$1118,A105))</f>
        <v/>
      </c>
      <c r="AT105" s="112">
        <f>IF('3_Comparateur_detaille'!$C$20="Privé",0,AQ105*SUMIFS(Donnees_regimes!$L$3:$L$1118,Donnees_regimes!$A$3:$A$1118,'3_Comparateur_detaille'!$C$20,Donnees_regimes!$B$3:$B$1118,A105))</f>
        <v/>
      </c>
      <c r="AU105" s="113">
        <f>(AR105+AS105)/AA105*AI105/AG105</f>
        <v/>
      </c>
      <c r="AV105" s="113">
        <f>(AR105+AS105)/AA105*AJ105/AH105</f>
        <v/>
      </c>
    </row>
    <row r="106">
      <c r="A106" s="101" t="n">
        <v>2048</v>
      </c>
      <c r="B106" s="102" t="inlineStr">
        <is>
          <t>Projection</t>
        </is>
      </c>
      <c r="C106" s="103" t="n"/>
      <c r="D106" s="104" t="n">
        <v>48597.95</v>
      </c>
      <c r="E106" s="104" t="n">
        <v>56031.48</v>
      </c>
      <c r="F106" s="105" t="n">
        <v>0.11562</v>
      </c>
      <c r="G106" s="105" t="n">
        <v>0.1667</v>
      </c>
      <c r="H106" s="105" t="n">
        <v>0.10512</v>
      </c>
      <c r="I106" s="105" t="n">
        <v>0.1689</v>
      </c>
      <c r="J106" s="105" t="n">
        <v>0.11562</v>
      </c>
      <c r="K106" s="105" t="n">
        <v>0.1667</v>
      </c>
      <c r="L106" s="105" t="n">
        <v>0.10512</v>
      </c>
      <c r="M106" s="105" t="n">
        <v>0.1689</v>
      </c>
      <c r="N106" s="106">
        <f>MIN(D106,E106)*F106+MAX(0,D106-E106)*H106</f>
        <v/>
      </c>
      <c r="O106" s="106">
        <f>MIN(D106,E106)*G106+MAX(0,D106-E106)*I106</f>
        <v/>
      </c>
      <c r="P106" s="106">
        <f>N106+O106</f>
        <v/>
      </c>
      <c r="Q106" s="107">
        <f>P106/D106</f>
        <v/>
      </c>
      <c r="R106" s="106">
        <f>D106+O106</f>
        <v/>
      </c>
      <c r="S106" s="108" t="n">
        <v>35</v>
      </c>
      <c r="T106" s="108" t="n">
        <v>38.8</v>
      </c>
      <c r="U106" s="109" t="n">
        <v>228</v>
      </c>
      <c r="V106" s="110" t="n">
        <v>1603</v>
      </c>
      <c r="W106" s="110" t="n">
        <v>1776.3</v>
      </c>
      <c r="X106" s="104" t="n">
        <v>22138.38</v>
      </c>
      <c r="Y106" s="104" t="n">
        <v>21929.33</v>
      </c>
      <c r="Z106" s="108" t="n">
        <v>21.5</v>
      </c>
      <c r="AA106" s="103">
        <f>1/(1+Parametres!$B$12)^(A106-2026)</f>
        <v/>
      </c>
      <c r="AB106" s="111">
        <f>D106/AA106</f>
        <v/>
      </c>
      <c r="AC106" s="107" t="n"/>
      <c r="AD106" s="107" t="n"/>
      <c r="AE106" s="107">
        <f>((1+Parametres!$B$13)*(1+Parametres!$B$12)-1)</f>
        <v/>
      </c>
      <c r="AF106" s="107">
        <f>((1+Parametres!$B$14)*(1+Parametres!$B$12)-1)</f>
        <v/>
      </c>
      <c r="AG106" s="103">
        <f>AG105*(1+AE106)</f>
        <v/>
      </c>
      <c r="AH106" s="103">
        <f>AH105*(1+AF106)</f>
        <v/>
      </c>
      <c r="AI106" s="103">
        <f>IF(AE106=0,1,AE106/(12*((1+AE106)^(1/12)-1)))</f>
        <v/>
      </c>
      <c r="AJ106" s="103">
        <f>IF(AF106=0,1,AF106/(12*((1+AF106)^(1/12)-1)))</f>
        <v/>
      </c>
      <c r="AK106" s="112">
        <f>D106*'3_Comparateur_detaille'!$B$16</f>
        <v/>
      </c>
      <c r="AL106" s="112">
        <f>IF('3_Comparateur_detaille'!$B$20="Privé",MIN(AK106,E106)*IF('3_Comparateur_detaille'!$B$15="cadre",J106,F106)+MAX(0,AK106-E106)*IF('3_Comparateur_detaille'!$B$15="cadre",L106,H106),AK106*SUMIFS(Donnees_regimes!$J$3:$J$1118,Donnees_regimes!$A$3:$A$1118,'3_Comparateur_detaille'!$B$20,Donnees_regimes!$B$3:$B$1118,A106))</f>
        <v/>
      </c>
      <c r="AM106" s="112">
        <f>IF('3_Comparateur_detaille'!$B$20="Privé",MIN(AK106,E106)*IF('3_Comparateur_detaille'!$B$15="cadre",K106,G106)+MAX(0,AK106-E106)*IF('3_Comparateur_detaille'!$B$15="cadre",M106,I106),AK106*SUMIFS(Donnees_regimes!$K$3:$K$1118,Donnees_regimes!$A$3:$A$1118,'3_Comparateur_detaille'!$B$20,Donnees_regimes!$B$3:$B$1118,A106))</f>
        <v/>
      </c>
      <c r="AN106" s="112">
        <f>IF('3_Comparateur_detaille'!$B$20="Privé",0,AK106*SUMIFS(Donnees_regimes!$L$3:$L$1118,Donnees_regimes!$A$3:$A$1118,'3_Comparateur_detaille'!$B$20,Donnees_regimes!$B$3:$B$1118,A106))</f>
        <v/>
      </c>
      <c r="AO106" s="113">
        <f>(AL106+AM106)/AA106*AI106/AG106</f>
        <v/>
      </c>
      <c r="AP106" s="113">
        <f>(AL106+AM106)/AA106*AJ106/AH106</f>
        <v/>
      </c>
      <c r="AQ106" s="112">
        <f>D106*'3_Comparateur_detaille'!$C$16</f>
        <v/>
      </c>
      <c r="AR106" s="112">
        <f>IF('3_Comparateur_detaille'!$C$20="Privé",MIN(AQ106,E106)*IF('3_Comparateur_detaille'!$C$15="cadre",J106,F106)+MAX(0,AQ106-E106)*IF('3_Comparateur_detaille'!$C$15="cadre",L106,H106),AQ106*SUMIFS(Donnees_regimes!$J$3:$J$1118,Donnees_regimes!$A$3:$A$1118,'3_Comparateur_detaille'!$C$20,Donnees_regimes!$B$3:$B$1118,A106))</f>
        <v/>
      </c>
      <c r="AS106" s="112">
        <f>IF('3_Comparateur_detaille'!$C$20="Privé",MIN(AQ106,E106)*IF('3_Comparateur_detaille'!$C$15="cadre",K106,G106)+MAX(0,AQ106-E106)*IF('3_Comparateur_detaille'!$C$15="cadre",M106,I106),AQ106*SUMIFS(Donnees_regimes!$K$3:$K$1118,Donnees_regimes!$A$3:$A$1118,'3_Comparateur_detaille'!$C$20,Donnees_regimes!$B$3:$B$1118,A106))</f>
        <v/>
      </c>
      <c r="AT106" s="112">
        <f>IF('3_Comparateur_detaille'!$C$20="Privé",0,AQ106*SUMIFS(Donnees_regimes!$L$3:$L$1118,Donnees_regimes!$A$3:$A$1118,'3_Comparateur_detaille'!$C$20,Donnees_regimes!$B$3:$B$1118,A106))</f>
        <v/>
      </c>
      <c r="AU106" s="113">
        <f>(AR106+AS106)/AA106*AI106/AG106</f>
        <v/>
      </c>
      <c r="AV106" s="113">
        <f>(AR106+AS106)/AA106*AJ106/AH106</f>
        <v/>
      </c>
    </row>
    <row r="107">
      <c r="A107" s="101" t="n">
        <v>2049</v>
      </c>
      <c r="B107" s="102" t="inlineStr">
        <is>
          <t>Projection</t>
        </is>
      </c>
      <c r="C107" s="103" t="n"/>
      <c r="D107" s="104" t="n">
        <v>48938.14</v>
      </c>
      <c r="E107" s="104" t="n">
        <v>56423.7</v>
      </c>
      <c r="F107" s="105" t="n">
        <v>0.11562</v>
      </c>
      <c r="G107" s="105" t="n">
        <v>0.1667</v>
      </c>
      <c r="H107" s="105" t="n">
        <v>0.10512</v>
      </c>
      <c r="I107" s="105" t="n">
        <v>0.1689</v>
      </c>
      <c r="J107" s="105" t="n">
        <v>0.11562</v>
      </c>
      <c r="K107" s="105" t="n">
        <v>0.1667</v>
      </c>
      <c r="L107" s="105" t="n">
        <v>0.10512</v>
      </c>
      <c r="M107" s="105" t="n">
        <v>0.1689</v>
      </c>
      <c r="N107" s="106">
        <f>MIN(D107,E107)*F107+MAX(0,D107-E107)*H107</f>
        <v/>
      </c>
      <c r="O107" s="106">
        <f>MIN(D107,E107)*G107+MAX(0,D107-E107)*I107</f>
        <v/>
      </c>
      <c r="P107" s="106">
        <f>N107+O107</f>
        <v/>
      </c>
      <c r="Q107" s="107">
        <f>P107/D107</f>
        <v/>
      </c>
      <c r="R107" s="106">
        <f>D107+O107</f>
        <v/>
      </c>
      <c r="S107" s="108" t="n">
        <v>35</v>
      </c>
      <c r="T107" s="108" t="n">
        <v>38.8</v>
      </c>
      <c r="U107" s="109" t="n">
        <v>229</v>
      </c>
      <c r="V107" s="110" t="n">
        <v>1610</v>
      </c>
      <c r="W107" s="110" t="n">
        <v>1784</v>
      </c>
      <c r="X107" s="104" t="n">
        <v>22159.43</v>
      </c>
      <c r="Y107" s="104" t="n">
        <v>21950.18</v>
      </c>
      <c r="Z107" s="108" t="n">
        <v>21.5</v>
      </c>
      <c r="AA107" s="103">
        <f>1/(1+Parametres!$B$12)^(A107-2026)</f>
        <v/>
      </c>
      <c r="AB107" s="111">
        <f>D107/AA107</f>
        <v/>
      </c>
      <c r="AC107" s="107" t="n"/>
      <c r="AD107" s="107" t="n"/>
      <c r="AE107" s="107">
        <f>((1+Parametres!$B$13)*(1+Parametres!$B$12)-1)</f>
        <v/>
      </c>
      <c r="AF107" s="107">
        <f>((1+Parametres!$B$14)*(1+Parametres!$B$12)-1)</f>
        <v/>
      </c>
      <c r="AG107" s="103">
        <f>AG106*(1+AE107)</f>
        <v/>
      </c>
      <c r="AH107" s="103">
        <f>AH106*(1+AF107)</f>
        <v/>
      </c>
      <c r="AI107" s="103">
        <f>IF(AE107=0,1,AE107/(12*((1+AE107)^(1/12)-1)))</f>
        <v/>
      </c>
      <c r="AJ107" s="103">
        <f>IF(AF107=0,1,AF107/(12*((1+AF107)^(1/12)-1)))</f>
        <v/>
      </c>
      <c r="AK107" s="112">
        <f>D107*'3_Comparateur_detaille'!$B$16</f>
        <v/>
      </c>
      <c r="AL107" s="112">
        <f>IF('3_Comparateur_detaille'!$B$20="Privé",MIN(AK107,E107)*IF('3_Comparateur_detaille'!$B$15="cadre",J107,F107)+MAX(0,AK107-E107)*IF('3_Comparateur_detaille'!$B$15="cadre",L107,H107),AK107*SUMIFS(Donnees_regimes!$J$3:$J$1118,Donnees_regimes!$A$3:$A$1118,'3_Comparateur_detaille'!$B$20,Donnees_regimes!$B$3:$B$1118,A107))</f>
        <v/>
      </c>
      <c r="AM107" s="112">
        <f>IF('3_Comparateur_detaille'!$B$20="Privé",MIN(AK107,E107)*IF('3_Comparateur_detaille'!$B$15="cadre",K107,G107)+MAX(0,AK107-E107)*IF('3_Comparateur_detaille'!$B$15="cadre",M107,I107),AK107*SUMIFS(Donnees_regimes!$K$3:$K$1118,Donnees_regimes!$A$3:$A$1118,'3_Comparateur_detaille'!$B$20,Donnees_regimes!$B$3:$B$1118,A107))</f>
        <v/>
      </c>
      <c r="AN107" s="112">
        <f>IF('3_Comparateur_detaille'!$B$20="Privé",0,AK107*SUMIFS(Donnees_regimes!$L$3:$L$1118,Donnees_regimes!$A$3:$A$1118,'3_Comparateur_detaille'!$B$20,Donnees_regimes!$B$3:$B$1118,A107))</f>
        <v/>
      </c>
      <c r="AO107" s="113">
        <f>(AL107+AM107)/AA107*AI107/AG107</f>
        <v/>
      </c>
      <c r="AP107" s="113">
        <f>(AL107+AM107)/AA107*AJ107/AH107</f>
        <v/>
      </c>
      <c r="AQ107" s="112">
        <f>D107*'3_Comparateur_detaille'!$C$16</f>
        <v/>
      </c>
      <c r="AR107" s="112">
        <f>IF('3_Comparateur_detaille'!$C$20="Privé",MIN(AQ107,E107)*IF('3_Comparateur_detaille'!$C$15="cadre",J107,F107)+MAX(0,AQ107-E107)*IF('3_Comparateur_detaille'!$C$15="cadre",L107,H107),AQ107*SUMIFS(Donnees_regimes!$J$3:$J$1118,Donnees_regimes!$A$3:$A$1118,'3_Comparateur_detaille'!$C$20,Donnees_regimes!$B$3:$B$1118,A107))</f>
        <v/>
      </c>
      <c r="AS107" s="112">
        <f>IF('3_Comparateur_detaille'!$C$20="Privé",MIN(AQ107,E107)*IF('3_Comparateur_detaille'!$C$15="cadre",K107,G107)+MAX(0,AQ107-E107)*IF('3_Comparateur_detaille'!$C$15="cadre",M107,I107),AQ107*SUMIFS(Donnees_regimes!$K$3:$K$1118,Donnees_regimes!$A$3:$A$1118,'3_Comparateur_detaille'!$C$20,Donnees_regimes!$B$3:$B$1118,A107))</f>
        <v/>
      </c>
      <c r="AT107" s="112">
        <f>IF('3_Comparateur_detaille'!$C$20="Privé",0,AQ107*SUMIFS(Donnees_regimes!$L$3:$L$1118,Donnees_regimes!$A$3:$A$1118,'3_Comparateur_detaille'!$C$20,Donnees_regimes!$B$3:$B$1118,A107))</f>
        <v/>
      </c>
      <c r="AU107" s="113">
        <f>(AR107+AS107)/AA107*AI107/AG107</f>
        <v/>
      </c>
      <c r="AV107" s="113">
        <f>(AR107+AS107)/AA107*AJ107/AH107</f>
        <v/>
      </c>
    </row>
    <row r="108">
      <c r="A108" s="101" t="n">
        <v>2050</v>
      </c>
      <c r="B108" s="102" t="inlineStr">
        <is>
          <t>Projection</t>
        </is>
      </c>
      <c r="C108" s="103" t="n"/>
      <c r="D108" s="104" t="n">
        <v>49280.7</v>
      </c>
      <c r="E108" s="104" t="n">
        <v>56818.67</v>
      </c>
      <c r="F108" s="105" t="n">
        <v>0.11562</v>
      </c>
      <c r="G108" s="105" t="n">
        <v>0.1667</v>
      </c>
      <c r="H108" s="105" t="n">
        <v>0.10512</v>
      </c>
      <c r="I108" s="105" t="n">
        <v>0.1689</v>
      </c>
      <c r="J108" s="105" t="n">
        <v>0.11562</v>
      </c>
      <c r="K108" s="105" t="n">
        <v>0.1667</v>
      </c>
      <c r="L108" s="105" t="n">
        <v>0.10512</v>
      </c>
      <c r="M108" s="105" t="n">
        <v>0.1689</v>
      </c>
      <c r="N108" s="106">
        <f>MIN(D108,E108)*F108+MAX(0,D108-E108)*H108</f>
        <v/>
      </c>
      <c r="O108" s="106">
        <f>MIN(D108,E108)*G108+MAX(0,D108-E108)*I108</f>
        <v/>
      </c>
      <c r="P108" s="106">
        <f>N108+O108</f>
        <v/>
      </c>
      <c r="Q108" s="107">
        <f>P108/D108</f>
        <v/>
      </c>
      <c r="R108" s="106">
        <f>D108+O108</f>
        <v/>
      </c>
      <c r="S108" s="108" t="n">
        <v>35</v>
      </c>
      <c r="T108" s="108" t="n">
        <v>38.8</v>
      </c>
      <c r="U108" s="109" t="n">
        <v>228</v>
      </c>
      <c r="V108" s="110" t="n">
        <v>1603</v>
      </c>
      <c r="W108" s="110" t="n">
        <v>1776.3</v>
      </c>
      <c r="X108" s="104" t="n">
        <v>22179.69</v>
      </c>
      <c r="Y108" s="104" t="n">
        <v>21970.25</v>
      </c>
      <c r="Z108" s="108" t="n">
        <v>21.5</v>
      </c>
      <c r="AA108" s="103">
        <f>1/(1+Parametres!$B$12)^(A108-2026)</f>
        <v/>
      </c>
      <c r="AB108" s="111">
        <f>D108/AA108</f>
        <v/>
      </c>
      <c r="AC108" s="107" t="n"/>
      <c r="AD108" s="107" t="n"/>
      <c r="AE108" s="107">
        <f>((1+Parametres!$B$13)*(1+Parametres!$B$12)-1)</f>
        <v/>
      </c>
      <c r="AF108" s="107">
        <f>((1+Parametres!$B$14)*(1+Parametres!$B$12)-1)</f>
        <v/>
      </c>
      <c r="AG108" s="103">
        <f>AG107*(1+AE108)</f>
        <v/>
      </c>
      <c r="AH108" s="103">
        <f>AH107*(1+AF108)</f>
        <v/>
      </c>
      <c r="AI108" s="103">
        <f>IF(AE108=0,1,AE108/(12*((1+AE108)^(1/12)-1)))</f>
        <v/>
      </c>
      <c r="AJ108" s="103">
        <f>IF(AF108=0,1,AF108/(12*((1+AF108)^(1/12)-1)))</f>
        <v/>
      </c>
      <c r="AK108" s="112">
        <f>D108*'3_Comparateur_detaille'!$B$16</f>
        <v/>
      </c>
      <c r="AL108" s="112">
        <f>IF('3_Comparateur_detaille'!$B$20="Privé",MIN(AK108,E108)*IF('3_Comparateur_detaille'!$B$15="cadre",J108,F108)+MAX(0,AK108-E108)*IF('3_Comparateur_detaille'!$B$15="cadre",L108,H108),AK108*SUMIFS(Donnees_regimes!$J$3:$J$1118,Donnees_regimes!$A$3:$A$1118,'3_Comparateur_detaille'!$B$20,Donnees_regimes!$B$3:$B$1118,A108))</f>
        <v/>
      </c>
      <c r="AM108" s="112">
        <f>IF('3_Comparateur_detaille'!$B$20="Privé",MIN(AK108,E108)*IF('3_Comparateur_detaille'!$B$15="cadre",K108,G108)+MAX(0,AK108-E108)*IF('3_Comparateur_detaille'!$B$15="cadre",M108,I108),AK108*SUMIFS(Donnees_regimes!$K$3:$K$1118,Donnees_regimes!$A$3:$A$1118,'3_Comparateur_detaille'!$B$20,Donnees_regimes!$B$3:$B$1118,A108))</f>
        <v/>
      </c>
      <c r="AN108" s="112">
        <f>IF('3_Comparateur_detaille'!$B$20="Privé",0,AK108*SUMIFS(Donnees_regimes!$L$3:$L$1118,Donnees_regimes!$A$3:$A$1118,'3_Comparateur_detaille'!$B$20,Donnees_regimes!$B$3:$B$1118,A108))</f>
        <v/>
      </c>
      <c r="AO108" s="113">
        <f>(AL108+AM108)/AA108*AI108/AG108</f>
        <v/>
      </c>
      <c r="AP108" s="113">
        <f>(AL108+AM108)/AA108*AJ108/AH108</f>
        <v/>
      </c>
      <c r="AQ108" s="112">
        <f>D108*'3_Comparateur_detaille'!$C$16</f>
        <v/>
      </c>
      <c r="AR108" s="112">
        <f>IF('3_Comparateur_detaille'!$C$20="Privé",MIN(AQ108,E108)*IF('3_Comparateur_detaille'!$C$15="cadre",J108,F108)+MAX(0,AQ108-E108)*IF('3_Comparateur_detaille'!$C$15="cadre",L108,H108),AQ108*SUMIFS(Donnees_regimes!$J$3:$J$1118,Donnees_regimes!$A$3:$A$1118,'3_Comparateur_detaille'!$C$20,Donnees_regimes!$B$3:$B$1118,A108))</f>
        <v/>
      </c>
      <c r="AS108" s="112">
        <f>IF('3_Comparateur_detaille'!$C$20="Privé",MIN(AQ108,E108)*IF('3_Comparateur_detaille'!$C$15="cadre",K108,G108)+MAX(0,AQ108-E108)*IF('3_Comparateur_detaille'!$C$15="cadre",M108,I108),AQ108*SUMIFS(Donnees_regimes!$K$3:$K$1118,Donnees_regimes!$A$3:$A$1118,'3_Comparateur_detaille'!$C$20,Donnees_regimes!$B$3:$B$1118,A108))</f>
        <v/>
      </c>
      <c r="AT108" s="112">
        <f>IF('3_Comparateur_detaille'!$C$20="Privé",0,AQ108*SUMIFS(Donnees_regimes!$L$3:$L$1118,Donnees_regimes!$A$3:$A$1118,'3_Comparateur_detaille'!$C$20,Donnees_regimes!$B$3:$B$1118,A108))</f>
        <v/>
      </c>
      <c r="AU108" s="113">
        <f>(AR108+AS108)/AA108*AI108/AG108</f>
        <v/>
      </c>
      <c r="AV108" s="113">
        <f>(AR108+AS108)/AA108*AJ108/AH108</f>
        <v/>
      </c>
    </row>
    <row r="109">
      <c r="A109" s="101" t="n">
        <v>2051</v>
      </c>
      <c r="B109" s="102" t="inlineStr">
        <is>
          <t>Projection</t>
        </is>
      </c>
      <c r="C109" s="103" t="n"/>
      <c r="D109" s="104" t="n">
        <v>49625.67</v>
      </c>
      <c r="E109" s="104" t="n">
        <v>57216.4</v>
      </c>
      <c r="F109" s="105" t="n">
        <v>0.11562</v>
      </c>
      <c r="G109" s="105" t="n">
        <v>0.1667</v>
      </c>
      <c r="H109" s="105" t="n">
        <v>0.10512</v>
      </c>
      <c r="I109" s="105" t="n">
        <v>0.1689</v>
      </c>
      <c r="J109" s="105" t="n">
        <v>0.11562</v>
      </c>
      <c r="K109" s="105" t="n">
        <v>0.1667</v>
      </c>
      <c r="L109" s="105" t="n">
        <v>0.10512</v>
      </c>
      <c r="M109" s="105" t="n">
        <v>0.1689</v>
      </c>
      <c r="N109" s="106">
        <f>MIN(D109,E109)*F109+MAX(0,D109-E109)*H109</f>
        <v/>
      </c>
      <c r="O109" s="106">
        <f>MIN(D109,E109)*G109+MAX(0,D109-E109)*I109</f>
        <v/>
      </c>
      <c r="P109" s="106">
        <f>N109+O109</f>
        <v/>
      </c>
      <c r="Q109" s="107">
        <f>P109/D109</f>
        <v/>
      </c>
      <c r="R109" s="106">
        <f>D109+O109</f>
        <v/>
      </c>
      <c r="S109" s="108" t="n">
        <v>35</v>
      </c>
      <c r="T109" s="108" t="n">
        <v>38.8</v>
      </c>
      <c r="U109" s="109" t="n">
        <v>226</v>
      </c>
      <c r="V109" s="110" t="n">
        <v>1589</v>
      </c>
      <c r="W109" s="110" t="n">
        <v>1760.8</v>
      </c>
      <c r="X109" s="104" t="n">
        <v>22199.14</v>
      </c>
      <c r="Y109" s="104" t="n">
        <v>21989.52</v>
      </c>
      <c r="Z109" s="108" t="n">
        <v>21.5</v>
      </c>
      <c r="AA109" s="103">
        <f>1/(1+Parametres!$B$12)^(A109-2026)</f>
        <v/>
      </c>
      <c r="AB109" s="111">
        <f>D109/AA109</f>
        <v/>
      </c>
      <c r="AC109" s="107" t="n"/>
      <c r="AD109" s="107" t="n"/>
      <c r="AE109" s="107">
        <f>((1+Parametres!$B$13)*(1+Parametres!$B$12)-1)</f>
        <v/>
      </c>
      <c r="AF109" s="107">
        <f>((1+Parametres!$B$14)*(1+Parametres!$B$12)-1)</f>
        <v/>
      </c>
      <c r="AG109" s="103">
        <f>AG108*(1+AE109)</f>
        <v/>
      </c>
      <c r="AH109" s="103">
        <f>AH108*(1+AF109)</f>
        <v/>
      </c>
      <c r="AI109" s="103">
        <f>IF(AE109=0,1,AE109/(12*((1+AE109)^(1/12)-1)))</f>
        <v/>
      </c>
      <c r="AJ109" s="103">
        <f>IF(AF109=0,1,AF109/(12*((1+AF109)^(1/12)-1)))</f>
        <v/>
      </c>
      <c r="AK109" s="112">
        <f>D109*'3_Comparateur_detaille'!$B$16</f>
        <v/>
      </c>
      <c r="AL109" s="112">
        <f>IF('3_Comparateur_detaille'!$B$20="Privé",MIN(AK109,E109)*IF('3_Comparateur_detaille'!$B$15="cadre",J109,F109)+MAX(0,AK109-E109)*IF('3_Comparateur_detaille'!$B$15="cadre",L109,H109),AK109*SUMIFS(Donnees_regimes!$J$3:$J$1118,Donnees_regimes!$A$3:$A$1118,'3_Comparateur_detaille'!$B$20,Donnees_regimes!$B$3:$B$1118,A109))</f>
        <v/>
      </c>
      <c r="AM109" s="112">
        <f>IF('3_Comparateur_detaille'!$B$20="Privé",MIN(AK109,E109)*IF('3_Comparateur_detaille'!$B$15="cadre",K109,G109)+MAX(0,AK109-E109)*IF('3_Comparateur_detaille'!$B$15="cadre",M109,I109),AK109*SUMIFS(Donnees_regimes!$K$3:$K$1118,Donnees_regimes!$A$3:$A$1118,'3_Comparateur_detaille'!$B$20,Donnees_regimes!$B$3:$B$1118,A109))</f>
        <v/>
      </c>
      <c r="AN109" s="112">
        <f>IF('3_Comparateur_detaille'!$B$20="Privé",0,AK109*SUMIFS(Donnees_regimes!$L$3:$L$1118,Donnees_regimes!$A$3:$A$1118,'3_Comparateur_detaille'!$B$20,Donnees_regimes!$B$3:$B$1118,A109))</f>
        <v/>
      </c>
      <c r="AO109" s="113">
        <f>(AL109+AM109)/AA109*AI109/AG109</f>
        <v/>
      </c>
      <c r="AP109" s="113">
        <f>(AL109+AM109)/AA109*AJ109/AH109</f>
        <v/>
      </c>
      <c r="AQ109" s="112">
        <f>D109*'3_Comparateur_detaille'!$C$16</f>
        <v/>
      </c>
      <c r="AR109" s="112">
        <f>IF('3_Comparateur_detaille'!$C$20="Privé",MIN(AQ109,E109)*IF('3_Comparateur_detaille'!$C$15="cadre",J109,F109)+MAX(0,AQ109-E109)*IF('3_Comparateur_detaille'!$C$15="cadre",L109,H109),AQ109*SUMIFS(Donnees_regimes!$J$3:$J$1118,Donnees_regimes!$A$3:$A$1118,'3_Comparateur_detaille'!$C$20,Donnees_regimes!$B$3:$B$1118,A109))</f>
        <v/>
      </c>
      <c r="AS109" s="112">
        <f>IF('3_Comparateur_detaille'!$C$20="Privé",MIN(AQ109,E109)*IF('3_Comparateur_detaille'!$C$15="cadre",K109,G109)+MAX(0,AQ109-E109)*IF('3_Comparateur_detaille'!$C$15="cadre",M109,I109),AQ109*SUMIFS(Donnees_regimes!$K$3:$K$1118,Donnees_regimes!$A$3:$A$1118,'3_Comparateur_detaille'!$C$20,Donnees_regimes!$B$3:$B$1118,A109))</f>
        <v/>
      </c>
      <c r="AT109" s="112">
        <f>IF('3_Comparateur_detaille'!$C$20="Privé",0,AQ109*SUMIFS(Donnees_regimes!$L$3:$L$1118,Donnees_regimes!$A$3:$A$1118,'3_Comparateur_detaille'!$C$20,Donnees_regimes!$B$3:$B$1118,A109))</f>
        <v/>
      </c>
      <c r="AU109" s="113">
        <f>(AR109+AS109)/AA109*AI109/AG109</f>
        <v/>
      </c>
      <c r="AV109" s="113">
        <f>(AR109+AS109)/AA109*AJ109/AH109</f>
        <v/>
      </c>
    </row>
    <row r="110">
      <c r="A110" s="101" t="n">
        <v>2052</v>
      </c>
      <c r="B110" s="102" t="inlineStr">
        <is>
          <t>Projection</t>
        </is>
      </c>
      <c r="C110" s="103" t="n"/>
      <c r="D110" s="104" t="n">
        <v>49973.05</v>
      </c>
      <c r="E110" s="104" t="n">
        <v>57616.91</v>
      </c>
      <c r="F110" s="105" t="n">
        <v>0.11562</v>
      </c>
      <c r="G110" s="105" t="n">
        <v>0.1667</v>
      </c>
      <c r="H110" s="105" t="n">
        <v>0.10512</v>
      </c>
      <c r="I110" s="105" t="n">
        <v>0.1689</v>
      </c>
      <c r="J110" s="105" t="n">
        <v>0.11562</v>
      </c>
      <c r="K110" s="105" t="n">
        <v>0.1667</v>
      </c>
      <c r="L110" s="105" t="n">
        <v>0.10512</v>
      </c>
      <c r="M110" s="105" t="n">
        <v>0.1689</v>
      </c>
      <c r="N110" s="106">
        <f>MIN(D110,E110)*F110+MAX(0,D110-E110)*H110</f>
        <v/>
      </c>
      <c r="O110" s="106">
        <f>MIN(D110,E110)*G110+MAX(0,D110-E110)*I110</f>
        <v/>
      </c>
      <c r="P110" s="106">
        <f>N110+O110</f>
        <v/>
      </c>
      <c r="Q110" s="107">
        <f>P110/D110</f>
        <v/>
      </c>
      <c r="R110" s="106">
        <f>D110+O110</f>
        <v/>
      </c>
      <c r="S110" s="108" t="n">
        <v>35</v>
      </c>
      <c r="T110" s="108" t="n">
        <v>38.8</v>
      </c>
      <c r="U110" s="109" t="n">
        <v>227</v>
      </c>
      <c r="V110" s="110" t="n">
        <v>1596</v>
      </c>
      <c r="W110" s="110" t="n">
        <v>1768.5</v>
      </c>
      <c r="X110" s="104" t="n">
        <v>22217.78</v>
      </c>
      <c r="Y110" s="104" t="n">
        <v>22007.98</v>
      </c>
      <c r="Z110" s="108" t="n">
        <v>21.5</v>
      </c>
      <c r="AA110" s="103">
        <f>1/(1+Parametres!$B$12)^(A110-2026)</f>
        <v/>
      </c>
      <c r="AB110" s="111">
        <f>D110/AA110</f>
        <v/>
      </c>
      <c r="AC110" s="107" t="n"/>
      <c r="AD110" s="107" t="n"/>
      <c r="AE110" s="107">
        <f>((1+Parametres!$B$13)*(1+Parametres!$B$12)-1)</f>
        <v/>
      </c>
      <c r="AF110" s="107">
        <f>((1+Parametres!$B$14)*(1+Parametres!$B$12)-1)</f>
        <v/>
      </c>
      <c r="AG110" s="103">
        <f>AG109*(1+AE110)</f>
        <v/>
      </c>
      <c r="AH110" s="103">
        <f>AH109*(1+AF110)</f>
        <v/>
      </c>
      <c r="AI110" s="103">
        <f>IF(AE110=0,1,AE110/(12*((1+AE110)^(1/12)-1)))</f>
        <v/>
      </c>
      <c r="AJ110" s="103">
        <f>IF(AF110=0,1,AF110/(12*((1+AF110)^(1/12)-1)))</f>
        <v/>
      </c>
      <c r="AK110" s="112">
        <f>D110*'3_Comparateur_detaille'!$B$16</f>
        <v/>
      </c>
      <c r="AL110" s="112">
        <f>IF('3_Comparateur_detaille'!$B$20="Privé",MIN(AK110,E110)*IF('3_Comparateur_detaille'!$B$15="cadre",J110,F110)+MAX(0,AK110-E110)*IF('3_Comparateur_detaille'!$B$15="cadre",L110,H110),AK110*SUMIFS(Donnees_regimes!$J$3:$J$1118,Donnees_regimes!$A$3:$A$1118,'3_Comparateur_detaille'!$B$20,Donnees_regimes!$B$3:$B$1118,A110))</f>
        <v/>
      </c>
      <c r="AM110" s="112">
        <f>IF('3_Comparateur_detaille'!$B$20="Privé",MIN(AK110,E110)*IF('3_Comparateur_detaille'!$B$15="cadre",K110,G110)+MAX(0,AK110-E110)*IF('3_Comparateur_detaille'!$B$15="cadre",M110,I110),AK110*SUMIFS(Donnees_regimes!$K$3:$K$1118,Donnees_regimes!$A$3:$A$1118,'3_Comparateur_detaille'!$B$20,Donnees_regimes!$B$3:$B$1118,A110))</f>
        <v/>
      </c>
      <c r="AN110" s="112">
        <f>IF('3_Comparateur_detaille'!$B$20="Privé",0,AK110*SUMIFS(Donnees_regimes!$L$3:$L$1118,Donnees_regimes!$A$3:$A$1118,'3_Comparateur_detaille'!$B$20,Donnees_regimes!$B$3:$B$1118,A110))</f>
        <v/>
      </c>
      <c r="AO110" s="113">
        <f>(AL110+AM110)/AA110*AI110/AG110</f>
        <v/>
      </c>
      <c r="AP110" s="113">
        <f>(AL110+AM110)/AA110*AJ110/AH110</f>
        <v/>
      </c>
      <c r="AQ110" s="112">
        <f>D110*'3_Comparateur_detaille'!$C$16</f>
        <v/>
      </c>
      <c r="AR110" s="112">
        <f>IF('3_Comparateur_detaille'!$C$20="Privé",MIN(AQ110,E110)*IF('3_Comparateur_detaille'!$C$15="cadre",J110,F110)+MAX(0,AQ110-E110)*IF('3_Comparateur_detaille'!$C$15="cadre",L110,H110),AQ110*SUMIFS(Donnees_regimes!$J$3:$J$1118,Donnees_regimes!$A$3:$A$1118,'3_Comparateur_detaille'!$C$20,Donnees_regimes!$B$3:$B$1118,A110))</f>
        <v/>
      </c>
      <c r="AS110" s="112">
        <f>IF('3_Comparateur_detaille'!$C$20="Privé",MIN(AQ110,E110)*IF('3_Comparateur_detaille'!$C$15="cadre",K110,G110)+MAX(0,AQ110-E110)*IF('3_Comparateur_detaille'!$C$15="cadre",M110,I110),AQ110*SUMIFS(Donnees_regimes!$K$3:$K$1118,Donnees_regimes!$A$3:$A$1118,'3_Comparateur_detaille'!$C$20,Donnees_regimes!$B$3:$B$1118,A110))</f>
        <v/>
      </c>
      <c r="AT110" s="112">
        <f>IF('3_Comparateur_detaille'!$C$20="Privé",0,AQ110*SUMIFS(Donnees_regimes!$L$3:$L$1118,Donnees_regimes!$A$3:$A$1118,'3_Comparateur_detaille'!$C$20,Donnees_regimes!$B$3:$B$1118,A110))</f>
        <v/>
      </c>
      <c r="AU110" s="113">
        <f>(AR110+AS110)/AA110*AI110/AG110</f>
        <v/>
      </c>
      <c r="AV110" s="113">
        <f>(AR110+AS110)/AA110*AJ110/AH110</f>
        <v/>
      </c>
    </row>
    <row r="111">
      <c r="A111" s="101" t="n">
        <v>2053</v>
      </c>
      <c r="B111" s="102" t="inlineStr">
        <is>
          <t>Projection</t>
        </is>
      </c>
      <c r="C111" s="103" t="n"/>
      <c r="D111" s="104" t="n">
        <v>50322.86</v>
      </c>
      <c r="E111" s="104" t="n">
        <v>58020.23</v>
      </c>
      <c r="F111" s="105" t="n">
        <v>0.11562</v>
      </c>
      <c r="G111" s="105" t="n">
        <v>0.1667</v>
      </c>
      <c r="H111" s="105" t="n">
        <v>0.10512</v>
      </c>
      <c r="I111" s="105" t="n">
        <v>0.1689</v>
      </c>
      <c r="J111" s="105" t="n">
        <v>0.11562</v>
      </c>
      <c r="K111" s="105" t="n">
        <v>0.1667</v>
      </c>
      <c r="L111" s="105" t="n">
        <v>0.10512</v>
      </c>
      <c r="M111" s="105" t="n">
        <v>0.1689</v>
      </c>
      <c r="N111" s="106">
        <f>MIN(D111,E111)*F111+MAX(0,D111-E111)*H111</f>
        <v/>
      </c>
      <c r="O111" s="106">
        <f>MIN(D111,E111)*G111+MAX(0,D111-E111)*I111</f>
        <v/>
      </c>
      <c r="P111" s="106">
        <f>N111+O111</f>
        <v/>
      </c>
      <c r="Q111" s="107">
        <f>P111/D111</f>
        <v/>
      </c>
      <c r="R111" s="106">
        <f>D111+O111</f>
        <v/>
      </c>
      <c r="S111" s="108" t="n">
        <v>35</v>
      </c>
      <c r="T111" s="108" t="n">
        <v>38.8</v>
      </c>
      <c r="U111" s="109" t="n">
        <v>226</v>
      </c>
      <c r="V111" s="110" t="n">
        <v>1589</v>
      </c>
      <c r="W111" s="110" t="n">
        <v>1760.8</v>
      </c>
      <c r="X111" s="104" t="n">
        <v>22235.6</v>
      </c>
      <c r="Y111" s="104" t="n">
        <v>22025.63</v>
      </c>
      <c r="Z111" s="108" t="n">
        <v>21.5</v>
      </c>
      <c r="AA111" s="103">
        <f>1/(1+Parametres!$B$12)^(A111-2026)</f>
        <v/>
      </c>
      <c r="AB111" s="111">
        <f>D111/AA111</f>
        <v/>
      </c>
      <c r="AC111" s="107" t="n"/>
      <c r="AD111" s="107" t="n"/>
      <c r="AE111" s="107">
        <f>((1+Parametres!$B$13)*(1+Parametres!$B$12)-1)</f>
        <v/>
      </c>
      <c r="AF111" s="107">
        <f>((1+Parametres!$B$14)*(1+Parametres!$B$12)-1)</f>
        <v/>
      </c>
      <c r="AG111" s="103">
        <f>AG110*(1+AE111)</f>
        <v/>
      </c>
      <c r="AH111" s="103">
        <f>AH110*(1+AF111)</f>
        <v/>
      </c>
      <c r="AI111" s="103">
        <f>IF(AE111=0,1,AE111/(12*((1+AE111)^(1/12)-1)))</f>
        <v/>
      </c>
      <c r="AJ111" s="103">
        <f>IF(AF111=0,1,AF111/(12*((1+AF111)^(1/12)-1)))</f>
        <v/>
      </c>
      <c r="AK111" s="112">
        <f>D111*'3_Comparateur_detaille'!$B$16</f>
        <v/>
      </c>
      <c r="AL111" s="112">
        <f>IF('3_Comparateur_detaille'!$B$20="Privé",MIN(AK111,E111)*IF('3_Comparateur_detaille'!$B$15="cadre",J111,F111)+MAX(0,AK111-E111)*IF('3_Comparateur_detaille'!$B$15="cadre",L111,H111),AK111*SUMIFS(Donnees_regimes!$J$3:$J$1118,Donnees_regimes!$A$3:$A$1118,'3_Comparateur_detaille'!$B$20,Donnees_regimes!$B$3:$B$1118,A111))</f>
        <v/>
      </c>
      <c r="AM111" s="112">
        <f>IF('3_Comparateur_detaille'!$B$20="Privé",MIN(AK111,E111)*IF('3_Comparateur_detaille'!$B$15="cadre",K111,G111)+MAX(0,AK111-E111)*IF('3_Comparateur_detaille'!$B$15="cadre",M111,I111),AK111*SUMIFS(Donnees_regimes!$K$3:$K$1118,Donnees_regimes!$A$3:$A$1118,'3_Comparateur_detaille'!$B$20,Donnees_regimes!$B$3:$B$1118,A111))</f>
        <v/>
      </c>
      <c r="AN111" s="112">
        <f>IF('3_Comparateur_detaille'!$B$20="Privé",0,AK111*SUMIFS(Donnees_regimes!$L$3:$L$1118,Donnees_regimes!$A$3:$A$1118,'3_Comparateur_detaille'!$B$20,Donnees_regimes!$B$3:$B$1118,A111))</f>
        <v/>
      </c>
      <c r="AO111" s="113">
        <f>(AL111+AM111)/AA111*AI111/AG111</f>
        <v/>
      </c>
      <c r="AP111" s="113">
        <f>(AL111+AM111)/AA111*AJ111/AH111</f>
        <v/>
      </c>
      <c r="AQ111" s="112">
        <f>D111*'3_Comparateur_detaille'!$C$16</f>
        <v/>
      </c>
      <c r="AR111" s="112">
        <f>IF('3_Comparateur_detaille'!$C$20="Privé",MIN(AQ111,E111)*IF('3_Comparateur_detaille'!$C$15="cadre",J111,F111)+MAX(0,AQ111-E111)*IF('3_Comparateur_detaille'!$C$15="cadre",L111,H111),AQ111*SUMIFS(Donnees_regimes!$J$3:$J$1118,Donnees_regimes!$A$3:$A$1118,'3_Comparateur_detaille'!$C$20,Donnees_regimes!$B$3:$B$1118,A111))</f>
        <v/>
      </c>
      <c r="AS111" s="112">
        <f>IF('3_Comparateur_detaille'!$C$20="Privé",MIN(AQ111,E111)*IF('3_Comparateur_detaille'!$C$15="cadre",K111,G111)+MAX(0,AQ111-E111)*IF('3_Comparateur_detaille'!$C$15="cadre",M111,I111),AQ111*SUMIFS(Donnees_regimes!$K$3:$K$1118,Donnees_regimes!$A$3:$A$1118,'3_Comparateur_detaille'!$C$20,Donnees_regimes!$B$3:$B$1118,A111))</f>
        <v/>
      </c>
      <c r="AT111" s="112">
        <f>IF('3_Comparateur_detaille'!$C$20="Privé",0,AQ111*SUMIFS(Donnees_regimes!$L$3:$L$1118,Donnees_regimes!$A$3:$A$1118,'3_Comparateur_detaille'!$C$20,Donnees_regimes!$B$3:$B$1118,A111))</f>
        <v/>
      </c>
      <c r="AU111" s="113">
        <f>(AR111+AS111)/AA111*AI111/AG111</f>
        <v/>
      </c>
      <c r="AV111" s="113">
        <f>(AR111+AS111)/AA111*AJ111/AH111</f>
        <v/>
      </c>
    </row>
    <row r="112">
      <c r="A112" s="101" t="n">
        <v>2054</v>
      </c>
      <c r="B112" s="102" t="inlineStr">
        <is>
          <t>Projection</t>
        </is>
      </c>
      <c r="C112" s="103" t="n"/>
      <c r="D112" s="104" t="n">
        <v>50675.12</v>
      </c>
      <c r="E112" s="104" t="n">
        <v>58426.38</v>
      </c>
      <c r="F112" s="105" t="n">
        <v>0.11562</v>
      </c>
      <c r="G112" s="105" t="n">
        <v>0.1667</v>
      </c>
      <c r="H112" s="105" t="n">
        <v>0.10512</v>
      </c>
      <c r="I112" s="105" t="n">
        <v>0.1689</v>
      </c>
      <c r="J112" s="105" t="n">
        <v>0.11562</v>
      </c>
      <c r="K112" s="105" t="n">
        <v>0.1667</v>
      </c>
      <c r="L112" s="105" t="n">
        <v>0.10512</v>
      </c>
      <c r="M112" s="105" t="n">
        <v>0.1689</v>
      </c>
      <c r="N112" s="106">
        <f>MIN(D112,E112)*F112+MAX(0,D112-E112)*H112</f>
        <v/>
      </c>
      <c r="O112" s="106">
        <f>MIN(D112,E112)*G112+MAX(0,D112-E112)*I112</f>
        <v/>
      </c>
      <c r="P112" s="106">
        <f>N112+O112</f>
        <v/>
      </c>
      <c r="Q112" s="107">
        <f>P112/D112</f>
        <v/>
      </c>
      <c r="R112" s="106">
        <f>D112+O112</f>
        <v/>
      </c>
      <c r="S112" s="108" t="n">
        <v>35</v>
      </c>
      <c r="T112" s="108" t="n">
        <v>38.8</v>
      </c>
      <c r="U112" s="109" t="n">
        <v>227</v>
      </c>
      <c r="V112" s="110" t="n">
        <v>1596</v>
      </c>
      <c r="W112" s="110" t="n">
        <v>1768.5</v>
      </c>
      <c r="X112" s="104" t="n">
        <v>22252.57</v>
      </c>
      <c r="Y112" s="104" t="n">
        <v>22042.44</v>
      </c>
      <c r="Z112" s="108" t="n">
        <v>21.5</v>
      </c>
      <c r="AA112" s="103">
        <f>1/(1+Parametres!$B$12)^(A112-2026)</f>
        <v/>
      </c>
      <c r="AB112" s="111">
        <f>D112/AA112</f>
        <v/>
      </c>
      <c r="AC112" s="107" t="n"/>
      <c r="AD112" s="107" t="n"/>
      <c r="AE112" s="107">
        <f>((1+Parametres!$B$13)*(1+Parametres!$B$12)-1)</f>
        <v/>
      </c>
      <c r="AF112" s="107">
        <f>((1+Parametres!$B$14)*(1+Parametres!$B$12)-1)</f>
        <v/>
      </c>
      <c r="AG112" s="103">
        <f>AG111*(1+AE112)</f>
        <v/>
      </c>
      <c r="AH112" s="103">
        <f>AH111*(1+AF112)</f>
        <v/>
      </c>
      <c r="AI112" s="103">
        <f>IF(AE112=0,1,AE112/(12*((1+AE112)^(1/12)-1)))</f>
        <v/>
      </c>
      <c r="AJ112" s="103">
        <f>IF(AF112=0,1,AF112/(12*((1+AF112)^(1/12)-1)))</f>
        <v/>
      </c>
      <c r="AK112" s="112">
        <f>D112*'3_Comparateur_detaille'!$B$16</f>
        <v/>
      </c>
      <c r="AL112" s="112">
        <f>IF('3_Comparateur_detaille'!$B$20="Privé",MIN(AK112,E112)*IF('3_Comparateur_detaille'!$B$15="cadre",J112,F112)+MAX(0,AK112-E112)*IF('3_Comparateur_detaille'!$B$15="cadre",L112,H112),AK112*SUMIFS(Donnees_regimes!$J$3:$J$1118,Donnees_regimes!$A$3:$A$1118,'3_Comparateur_detaille'!$B$20,Donnees_regimes!$B$3:$B$1118,A112))</f>
        <v/>
      </c>
      <c r="AM112" s="112">
        <f>IF('3_Comparateur_detaille'!$B$20="Privé",MIN(AK112,E112)*IF('3_Comparateur_detaille'!$B$15="cadre",K112,G112)+MAX(0,AK112-E112)*IF('3_Comparateur_detaille'!$B$15="cadre",M112,I112),AK112*SUMIFS(Donnees_regimes!$K$3:$K$1118,Donnees_regimes!$A$3:$A$1118,'3_Comparateur_detaille'!$B$20,Donnees_regimes!$B$3:$B$1118,A112))</f>
        <v/>
      </c>
      <c r="AN112" s="112">
        <f>IF('3_Comparateur_detaille'!$B$20="Privé",0,AK112*SUMIFS(Donnees_regimes!$L$3:$L$1118,Donnees_regimes!$A$3:$A$1118,'3_Comparateur_detaille'!$B$20,Donnees_regimes!$B$3:$B$1118,A112))</f>
        <v/>
      </c>
      <c r="AO112" s="113">
        <f>(AL112+AM112)/AA112*AI112/AG112</f>
        <v/>
      </c>
      <c r="AP112" s="113">
        <f>(AL112+AM112)/AA112*AJ112/AH112</f>
        <v/>
      </c>
      <c r="AQ112" s="112">
        <f>D112*'3_Comparateur_detaille'!$C$16</f>
        <v/>
      </c>
      <c r="AR112" s="112">
        <f>IF('3_Comparateur_detaille'!$C$20="Privé",MIN(AQ112,E112)*IF('3_Comparateur_detaille'!$C$15="cadre",J112,F112)+MAX(0,AQ112-E112)*IF('3_Comparateur_detaille'!$C$15="cadre",L112,H112),AQ112*SUMIFS(Donnees_regimes!$J$3:$J$1118,Donnees_regimes!$A$3:$A$1118,'3_Comparateur_detaille'!$C$20,Donnees_regimes!$B$3:$B$1118,A112))</f>
        <v/>
      </c>
      <c r="AS112" s="112">
        <f>IF('3_Comparateur_detaille'!$C$20="Privé",MIN(AQ112,E112)*IF('3_Comparateur_detaille'!$C$15="cadre",K112,G112)+MAX(0,AQ112-E112)*IF('3_Comparateur_detaille'!$C$15="cadre",M112,I112),AQ112*SUMIFS(Donnees_regimes!$K$3:$K$1118,Donnees_regimes!$A$3:$A$1118,'3_Comparateur_detaille'!$C$20,Donnees_regimes!$B$3:$B$1118,A112))</f>
        <v/>
      </c>
      <c r="AT112" s="112">
        <f>IF('3_Comparateur_detaille'!$C$20="Privé",0,AQ112*SUMIFS(Donnees_regimes!$L$3:$L$1118,Donnees_regimes!$A$3:$A$1118,'3_Comparateur_detaille'!$C$20,Donnees_regimes!$B$3:$B$1118,A112))</f>
        <v/>
      </c>
      <c r="AU112" s="113">
        <f>(AR112+AS112)/AA112*AI112/AG112</f>
        <v/>
      </c>
      <c r="AV112" s="113">
        <f>(AR112+AS112)/AA112*AJ112/AH112</f>
        <v/>
      </c>
    </row>
    <row r="113">
      <c r="A113" s="101" t="n">
        <v>2055</v>
      </c>
      <c r="B113" s="102" t="inlineStr">
        <is>
          <t>Projection</t>
        </is>
      </c>
      <c r="C113" s="103" t="n"/>
      <c r="D113" s="104" t="n">
        <v>51029.85</v>
      </c>
      <c r="E113" s="104" t="n">
        <v>58835.36</v>
      </c>
      <c r="F113" s="105" t="n">
        <v>0.11562</v>
      </c>
      <c r="G113" s="105" t="n">
        <v>0.1667</v>
      </c>
      <c r="H113" s="105" t="n">
        <v>0.10512</v>
      </c>
      <c r="I113" s="105" t="n">
        <v>0.1689</v>
      </c>
      <c r="J113" s="105" t="n">
        <v>0.11562</v>
      </c>
      <c r="K113" s="105" t="n">
        <v>0.1667</v>
      </c>
      <c r="L113" s="105" t="n">
        <v>0.10512</v>
      </c>
      <c r="M113" s="105" t="n">
        <v>0.1689</v>
      </c>
      <c r="N113" s="106">
        <f>MIN(D113,E113)*F113+MAX(0,D113-E113)*H113</f>
        <v/>
      </c>
      <c r="O113" s="106">
        <f>MIN(D113,E113)*G113+MAX(0,D113-E113)*I113</f>
        <v/>
      </c>
      <c r="P113" s="106">
        <f>N113+O113</f>
        <v/>
      </c>
      <c r="Q113" s="107">
        <f>P113/D113</f>
        <v/>
      </c>
      <c r="R113" s="106">
        <f>D113+O113</f>
        <v/>
      </c>
      <c r="S113" s="108" t="n">
        <v>35</v>
      </c>
      <c r="T113" s="108" t="n">
        <v>38.8</v>
      </c>
      <c r="U113" s="109" t="n">
        <v>229</v>
      </c>
      <c r="V113" s="110" t="n">
        <v>1610</v>
      </c>
      <c r="W113" s="110" t="n">
        <v>1784</v>
      </c>
      <c r="X113" s="104" t="n">
        <v>22268.69</v>
      </c>
      <c r="Y113" s="104" t="n">
        <v>22058.42</v>
      </c>
      <c r="Z113" s="108" t="n">
        <v>21.5</v>
      </c>
      <c r="AA113" s="103">
        <f>1/(1+Parametres!$B$12)^(A113-2026)</f>
        <v/>
      </c>
      <c r="AB113" s="111">
        <f>D113/AA113</f>
        <v/>
      </c>
      <c r="AC113" s="107" t="n"/>
      <c r="AD113" s="107" t="n"/>
      <c r="AE113" s="107">
        <f>((1+Parametres!$B$13)*(1+Parametres!$B$12)-1)</f>
        <v/>
      </c>
      <c r="AF113" s="107">
        <f>((1+Parametres!$B$14)*(1+Parametres!$B$12)-1)</f>
        <v/>
      </c>
      <c r="AG113" s="103">
        <f>AG112*(1+AE113)</f>
        <v/>
      </c>
      <c r="AH113" s="103">
        <f>AH112*(1+AF113)</f>
        <v/>
      </c>
      <c r="AI113" s="103">
        <f>IF(AE113=0,1,AE113/(12*((1+AE113)^(1/12)-1)))</f>
        <v/>
      </c>
      <c r="AJ113" s="103">
        <f>IF(AF113=0,1,AF113/(12*((1+AF113)^(1/12)-1)))</f>
        <v/>
      </c>
      <c r="AK113" s="112">
        <f>D113*'3_Comparateur_detaille'!$B$16</f>
        <v/>
      </c>
      <c r="AL113" s="112">
        <f>IF('3_Comparateur_detaille'!$B$20="Privé",MIN(AK113,E113)*IF('3_Comparateur_detaille'!$B$15="cadre",J113,F113)+MAX(0,AK113-E113)*IF('3_Comparateur_detaille'!$B$15="cadre",L113,H113),AK113*SUMIFS(Donnees_regimes!$J$3:$J$1118,Donnees_regimes!$A$3:$A$1118,'3_Comparateur_detaille'!$B$20,Donnees_regimes!$B$3:$B$1118,A113))</f>
        <v/>
      </c>
      <c r="AM113" s="112">
        <f>IF('3_Comparateur_detaille'!$B$20="Privé",MIN(AK113,E113)*IF('3_Comparateur_detaille'!$B$15="cadre",K113,G113)+MAX(0,AK113-E113)*IF('3_Comparateur_detaille'!$B$15="cadre",M113,I113),AK113*SUMIFS(Donnees_regimes!$K$3:$K$1118,Donnees_regimes!$A$3:$A$1118,'3_Comparateur_detaille'!$B$20,Donnees_regimes!$B$3:$B$1118,A113))</f>
        <v/>
      </c>
      <c r="AN113" s="112">
        <f>IF('3_Comparateur_detaille'!$B$20="Privé",0,AK113*SUMIFS(Donnees_regimes!$L$3:$L$1118,Donnees_regimes!$A$3:$A$1118,'3_Comparateur_detaille'!$B$20,Donnees_regimes!$B$3:$B$1118,A113))</f>
        <v/>
      </c>
      <c r="AO113" s="113">
        <f>(AL113+AM113)/AA113*AI113/AG113</f>
        <v/>
      </c>
      <c r="AP113" s="113">
        <f>(AL113+AM113)/AA113*AJ113/AH113</f>
        <v/>
      </c>
      <c r="AQ113" s="112">
        <f>D113*'3_Comparateur_detaille'!$C$16</f>
        <v/>
      </c>
      <c r="AR113" s="112">
        <f>IF('3_Comparateur_detaille'!$C$20="Privé",MIN(AQ113,E113)*IF('3_Comparateur_detaille'!$C$15="cadre",J113,F113)+MAX(0,AQ113-E113)*IF('3_Comparateur_detaille'!$C$15="cadre",L113,H113),AQ113*SUMIFS(Donnees_regimes!$J$3:$J$1118,Donnees_regimes!$A$3:$A$1118,'3_Comparateur_detaille'!$C$20,Donnees_regimes!$B$3:$B$1118,A113))</f>
        <v/>
      </c>
      <c r="AS113" s="112">
        <f>IF('3_Comparateur_detaille'!$C$20="Privé",MIN(AQ113,E113)*IF('3_Comparateur_detaille'!$C$15="cadre",K113,G113)+MAX(0,AQ113-E113)*IF('3_Comparateur_detaille'!$C$15="cadre",M113,I113),AQ113*SUMIFS(Donnees_regimes!$K$3:$K$1118,Donnees_regimes!$A$3:$A$1118,'3_Comparateur_detaille'!$C$20,Donnees_regimes!$B$3:$B$1118,A113))</f>
        <v/>
      </c>
      <c r="AT113" s="112">
        <f>IF('3_Comparateur_detaille'!$C$20="Privé",0,AQ113*SUMIFS(Donnees_regimes!$L$3:$L$1118,Donnees_regimes!$A$3:$A$1118,'3_Comparateur_detaille'!$C$20,Donnees_regimes!$B$3:$B$1118,A113))</f>
        <v/>
      </c>
      <c r="AU113" s="113">
        <f>(AR113+AS113)/AA113*AI113/AG113</f>
        <v/>
      </c>
      <c r="AV113" s="113">
        <f>(AR113+AS113)/AA113*AJ113/AH113</f>
        <v/>
      </c>
    </row>
    <row r="114">
      <c r="A114" s="101" t="n">
        <v>2056</v>
      </c>
      <c r="B114" s="102" t="inlineStr">
        <is>
          <t>Projection</t>
        </is>
      </c>
      <c r="C114" s="103" t="n"/>
      <c r="D114" s="104" t="n">
        <v>51387.06</v>
      </c>
      <c r="E114" s="104" t="n">
        <v>59247.21</v>
      </c>
      <c r="F114" s="105" t="n">
        <v>0.11562</v>
      </c>
      <c r="G114" s="105" t="n">
        <v>0.1667</v>
      </c>
      <c r="H114" s="105" t="n">
        <v>0.10512</v>
      </c>
      <c r="I114" s="105" t="n">
        <v>0.1689</v>
      </c>
      <c r="J114" s="105" t="n">
        <v>0.11562</v>
      </c>
      <c r="K114" s="105" t="n">
        <v>0.1667</v>
      </c>
      <c r="L114" s="105" t="n">
        <v>0.10512</v>
      </c>
      <c r="M114" s="105" t="n">
        <v>0.1689</v>
      </c>
      <c r="N114" s="106">
        <f>MIN(D114,E114)*F114+MAX(0,D114-E114)*H114</f>
        <v/>
      </c>
      <c r="O114" s="106">
        <f>MIN(D114,E114)*G114+MAX(0,D114-E114)*I114</f>
        <v/>
      </c>
      <c r="P114" s="106">
        <f>N114+O114</f>
        <v/>
      </c>
      <c r="Q114" s="107">
        <f>P114/D114</f>
        <v/>
      </c>
      <c r="R114" s="106">
        <f>D114+O114</f>
        <v/>
      </c>
      <c r="S114" s="108" t="n">
        <v>35</v>
      </c>
      <c r="T114" s="108" t="n">
        <v>38.8</v>
      </c>
      <c r="U114" s="109" t="n">
        <v>226</v>
      </c>
      <c r="V114" s="110" t="n">
        <v>1589</v>
      </c>
      <c r="W114" s="110" t="n">
        <v>1760.8</v>
      </c>
      <c r="X114" s="104" t="n">
        <v>22345.51</v>
      </c>
      <c r="Y114" s="104" t="n">
        <v>22134.51</v>
      </c>
      <c r="Z114" s="108" t="n">
        <v>21.5</v>
      </c>
      <c r="AA114" s="103">
        <f>1/(1+Parametres!$B$12)^(A114-2026)</f>
        <v/>
      </c>
      <c r="AB114" s="111">
        <f>D114/AA114</f>
        <v/>
      </c>
      <c r="AC114" s="107" t="n"/>
      <c r="AD114" s="107" t="n"/>
      <c r="AE114" s="107">
        <f>((1+Parametres!$B$13)*(1+Parametres!$B$12)-1)</f>
        <v/>
      </c>
      <c r="AF114" s="107">
        <f>((1+Parametres!$B$14)*(1+Parametres!$B$12)-1)</f>
        <v/>
      </c>
      <c r="AG114" s="103">
        <f>AG113*(1+AE114)</f>
        <v/>
      </c>
      <c r="AH114" s="103">
        <f>AH113*(1+AF114)</f>
        <v/>
      </c>
      <c r="AI114" s="103">
        <f>IF(AE114=0,1,AE114/(12*((1+AE114)^(1/12)-1)))</f>
        <v/>
      </c>
      <c r="AJ114" s="103">
        <f>IF(AF114=0,1,AF114/(12*((1+AF114)^(1/12)-1)))</f>
        <v/>
      </c>
      <c r="AK114" s="112">
        <f>D114*'3_Comparateur_detaille'!$B$16</f>
        <v/>
      </c>
      <c r="AL114" s="112">
        <f>IF('3_Comparateur_detaille'!$B$20="Privé",MIN(AK114,E114)*IF('3_Comparateur_detaille'!$B$15="cadre",J114,F114)+MAX(0,AK114-E114)*IF('3_Comparateur_detaille'!$B$15="cadre",L114,H114),AK114*SUMIFS(Donnees_regimes!$J$3:$J$1118,Donnees_regimes!$A$3:$A$1118,'3_Comparateur_detaille'!$B$20,Donnees_regimes!$B$3:$B$1118,A114))</f>
        <v/>
      </c>
      <c r="AM114" s="112">
        <f>IF('3_Comparateur_detaille'!$B$20="Privé",MIN(AK114,E114)*IF('3_Comparateur_detaille'!$B$15="cadre",K114,G114)+MAX(0,AK114-E114)*IF('3_Comparateur_detaille'!$B$15="cadre",M114,I114),AK114*SUMIFS(Donnees_regimes!$K$3:$K$1118,Donnees_regimes!$A$3:$A$1118,'3_Comparateur_detaille'!$B$20,Donnees_regimes!$B$3:$B$1118,A114))</f>
        <v/>
      </c>
      <c r="AN114" s="112">
        <f>IF('3_Comparateur_detaille'!$B$20="Privé",0,AK114*SUMIFS(Donnees_regimes!$L$3:$L$1118,Donnees_regimes!$A$3:$A$1118,'3_Comparateur_detaille'!$B$20,Donnees_regimes!$B$3:$B$1118,A114))</f>
        <v/>
      </c>
      <c r="AO114" s="113">
        <f>(AL114+AM114)/AA114*AI114/AG114</f>
        <v/>
      </c>
      <c r="AP114" s="113">
        <f>(AL114+AM114)/AA114*AJ114/AH114</f>
        <v/>
      </c>
      <c r="AQ114" s="112">
        <f>D114*'3_Comparateur_detaille'!$C$16</f>
        <v/>
      </c>
      <c r="AR114" s="112">
        <f>IF('3_Comparateur_detaille'!$C$20="Privé",MIN(AQ114,E114)*IF('3_Comparateur_detaille'!$C$15="cadre",J114,F114)+MAX(0,AQ114-E114)*IF('3_Comparateur_detaille'!$C$15="cadre",L114,H114),AQ114*SUMIFS(Donnees_regimes!$J$3:$J$1118,Donnees_regimes!$A$3:$A$1118,'3_Comparateur_detaille'!$C$20,Donnees_regimes!$B$3:$B$1118,A114))</f>
        <v/>
      </c>
      <c r="AS114" s="112">
        <f>IF('3_Comparateur_detaille'!$C$20="Privé",MIN(AQ114,E114)*IF('3_Comparateur_detaille'!$C$15="cadre",K114,G114)+MAX(0,AQ114-E114)*IF('3_Comparateur_detaille'!$C$15="cadre",M114,I114),AQ114*SUMIFS(Donnees_regimes!$K$3:$K$1118,Donnees_regimes!$A$3:$A$1118,'3_Comparateur_detaille'!$C$20,Donnees_regimes!$B$3:$B$1118,A114))</f>
        <v/>
      </c>
      <c r="AT114" s="112">
        <f>IF('3_Comparateur_detaille'!$C$20="Privé",0,AQ114*SUMIFS(Donnees_regimes!$L$3:$L$1118,Donnees_regimes!$A$3:$A$1118,'3_Comparateur_detaille'!$C$20,Donnees_regimes!$B$3:$B$1118,A114))</f>
        <v/>
      </c>
      <c r="AU114" s="113">
        <f>(AR114+AS114)/AA114*AI114/AG114</f>
        <v/>
      </c>
      <c r="AV114" s="113">
        <f>(AR114+AS114)/AA114*AJ114/AH114</f>
        <v/>
      </c>
    </row>
    <row r="115">
      <c r="A115" s="101" t="n">
        <v>2057</v>
      </c>
      <c r="B115" s="102" t="inlineStr">
        <is>
          <t>Projection</t>
        </is>
      </c>
      <c r="C115" s="103" t="n"/>
      <c r="D115" s="104" t="n">
        <v>51746.76</v>
      </c>
      <c r="E115" s="104" t="n">
        <v>59661.94</v>
      </c>
      <c r="F115" s="105" t="n">
        <v>0.11562</v>
      </c>
      <c r="G115" s="105" t="n">
        <v>0.1667</v>
      </c>
      <c r="H115" s="105" t="n">
        <v>0.10512</v>
      </c>
      <c r="I115" s="105" t="n">
        <v>0.1689</v>
      </c>
      <c r="J115" s="105" t="n">
        <v>0.11562</v>
      </c>
      <c r="K115" s="105" t="n">
        <v>0.1667</v>
      </c>
      <c r="L115" s="105" t="n">
        <v>0.10512</v>
      </c>
      <c r="M115" s="105" t="n">
        <v>0.1689</v>
      </c>
      <c r="N115" s="106">
        <f>MIN(D115,E115)*F115+MAX(0,D115-E115)*H115</f>
        <v/>
      </c>
      <c r="O115" s="106">
        <f>MIN(D115,E115)*G115+MAX(0,D115-E115)*I115</f>
        <v/>
      </c>
      <c r="P115" s="106">
        <f>N115+O115</f>
        <v/>
      </c>
      <c r="Q115" s="107">
        <f>P115/D115</f>
        <v/>
      </c>
      <c r="R115" s="106">
        <f>D115+O115</f>
        <v/>
      </c>
      <c r="S115" s="108" t="n">
        <v>35</v>
      </c>
      <c r="T115" s="108" t="n">
        <v>38.8</v>
      </c>
      <c r="U115" s="109" t="n">
        <v>227</v>
      </c>
      <c r="V115" s="110" t="n">
        <v>1596</v>
      </c>
      <c r="W115" s="110" t="n">
        <v>1768.5</v>
      </c>
      <c r="X115" s="104" t="n">
        <v>22422.32</v>
      </c>
      <c r="Y115" s="104" t="n">
        <v>22210.59</v>
      </c>
      <c r="Z115" s="108" t="n">
        <v>21.5</v>
      </c>
      <c r="AA115" s="103">
        <f>1/(1+Parametres!$B$12)^(A115-2026)</f>
        <v/>
      </c>
      <c r="AB115" s="111">
        <f>D115/AA115</f>
        <v/>
      </c>
      <c r="AC115" s="107" t="n"/>
      <c r="AD115" s="107" t="n"/>
      <c r="AE115" s="107">
        <f>((1+Parametres!$B$13)*(1+Parametres!$B$12)-1)</f>
        <v/>
      </c>
      <c r="AF115" s="107">
        <f>((1+Parametres!$B$14)*(1+Parametres!$B$12)-1)</f>
        <v/>
      </c>
      <c r="AG115" s="103">
        <f>AG114*(1+AE115)</f>
        <v/>
      </c>
      <c r="AH115" s="103">
        <f>AH114*(1+AF115)</f>
        <v/>
      </c>
      <c r="AI115" s="103">
        <f>IF(AE115=0,1,AE115/(12*((1+AE115)^(1/12)-1)))</f>
        <v/>
      </c>
      <c r="AJ115" s="103">
        <f>IF(AF115=0,1,AF115/(12*((1+AF115)^(1/12)-1)))</f>
        <v/>
      </c>
      <c r="AK115" s="112">
        <f>D115*'3_Comparateur_detaille'!$B$16</f>
        <v/>
      </c>
      <c r="AL115" s="112">
        <f>IF('3_Comparateur_detaille'!$B$20="Privé",MIN(AK115,E115)*IF('3_Comparateur_detaille'!$B$15="cadre",J115,F115)+MAX(0,AK115-E115)*IF('3_Comparateur_detaille'!$B$15="cadre",L115,H115),AK115*SUMIFS(Donnees_regimes!$J$3:$J$1118,Donnees_regimes!$A$3:$A$1118,'3_Comparateur_detaille'!$B$20,Donnees_regimes!$B$3:$B$1118,A115))</f>
        <v/>
      </c>
      <c r="AM115" s="112">
        <f>IF('3_Comparateur_detaille'!$B$20="Privé",MIN(AK115,E115)*IF('3_Comparateur_detaille'!$B$15="cadre",K115,G115)+MAX(0,AK115-E115)*IF('3_Comparateur_detaille'!$B$15="cadre",M115,I115),AK115*SUMIFS(Donnees_regimes!$K$3:$K$1118,Donnees_regimes!$A$3:$A$1118,'3_Comparateur_detaille'!$B$20,Donnees_regimes!$B$3:$B$1118,A115))</f>
        <v/>
      </c>
      <c r="AN115" s="112">
        <f>IF('3_Comparateur_detaille'!$B$20="Privé",0,AK115*SUMIFS(Donnees_regimes!$L$3:$L$1118,Donnees_regimes!$A$3:$A$1118,'3_Comparateur_detaille'!$B$20,Donnees_regimes!$B$3:$B$1118,A115))</f>
        <v/>
      </c>
      <c r="AO115" s="113">
        <f>(AL115+AM115)/AA115*AI115/AG115</f>
        <v/>
      </c>
      <c r="AP115" s="113">
        <f>(AL115+AM115)/AA115*AJ115/AH115</f>
        <v/>
      </c>
      <c r="AQ115" s="112">
        <f>D115*'3_Comparateur_detaille'!$C$16</f>
        <v/>
      </c>
      <c r="AR115" s="112">
        <f>IF('3_Comparateur_detaille'!$C$20="Privé",MIN(AQ115,E115)*IF('3_Comparateur_detaille'!$C$15="cadre",J115,F115)+MAX(0,AQ115-E115)*IF('3_Comparateur_detaille'!$C$15="cadre",L115,H115),AQ115*SUMIFS(Donnees_regimes!$J$3:$J$1118,Donnees_regimes!$A$3:$A$1118,'3_Comparateur_detaille'!$C$20,Donnees_regimes!$B$3:$B$1118,A115))</f>
        <v/>
      </c>
      <c r="AS115" s="112">
        <f>IF('3_Comparateur_detaille'!$C$20="Privé",MIN(AQ115,E115)*IF('3_Comparateur_detaille'!$C$15="cadre",K115,G115)+MAX(0,AQ115-E115)*IF('3_Comparateur_detaille'!$C$15="cadre",M115,I115),AQ115*SUMIFS(Donnees_regimes!$K$3:$K$1118,Donnees_regimes!$A$3:$A$1118,'3_Comparateur_detaille'!$C$20,Donnees_regimes!$B$3:$B$1118,A115))</f>
        <v/>
      </c>
      <c r="AT115" s="112">
        <f>IF('3_Comparateur_detaille'!$C$20="Privé",0,AQ115*SUMIFS(Donnees_regimes!$L$3:$L$1118,Donnees_regimes!$A$3:$A$1118,'3_Comparateur_detaille'!$C$20,Donnees_regimes!$B$3:$B$1118,A115))</f>
        <v/>
      </c>
      <c r="AU115" s="113">
        <f>(AR115+AS115)/AA115*AI115/AG115</f>
        <v/>
      </c>
      <c r="AV115" s="113">
        <f>(AR115+AS115)/AA115*AJ115/AH115</f>
        <v/>
      </c>
    </row>
    <row r="116">
      <c r="A116" s="101" t="n">
        <v>2058</v>
      </c>
      <c r="B116" s="102" t="inlineStr">
        <is>
          <t>Projection</t>
        </is>
      </c>
      <c r="C116" s="103" t="n"/>
      <c r="D116" s="104" t="n">
        <v>52108.99</v>
      </c>
      <c r="E116" s="104" t="n">
        <v>60079.57</v>
      </c>
      <c r="F116" s="105" t="n">
        <v>0.11562</v>
      </c>
      <c r="G116" s="105" t="n">
        <v>0.1667</v>
      </c>
      <c r="H116" s="105" t="n">
        <v>0.10512</v>
      </c>
      <c r="I116" s="105" t="n">
        <v>0.1689</v>
      </c>
      <c r="J116" s="105" t="n">
        <v>0.11562</v>
      </c>
      <c r="K116" s="105" t="n">
        <v>0.1667</v>
      </c>
      <c r="L116" s="105" t="n">
        <v>0.10512</v>
      </c>
      <c r="M116" s="105" t="n">
        <v>0.1689</v>
      </c>
      <c r="N116" s="106">
        <f>MIN(D116,E116)*F116+MAX(0,D116-E116)*H116</f>
        <v/>
      </c>
      <c r="O116" s="106">
        <f>MIN(D116,E116)*G116+MAX(0,D116-E116)*I116</f>
        <v/>
      </c>
      <c r="P116" s="106">
        <f>N116+O116</f>
        <v/>
      </c>
      <c r="Q116" s="107">
        <f>P116/D116</f>
        <v/>
      </c>
      <c r="R116" s="106">
        <f>D116+O116</f>
        <v/>
      </c>
      <c r="S116" s="108" t="n">
        <v>35</v>
      </c>
      <c r="T116" s="108" t="n">
        <v>38.8</v>
      </c>
      <c r="U116" s="109" t="n">
        <v>226</v>
      </c>
      <c r="V116" s="110" t="n">
        <v>1589</v>
      </c>
      <c r="W116" s="110" t="n">
        <v>1760.8</v>
      </c>
      <c r="X116" s="104" t="n">
        <v>22499.1</v>
      </c>
      <c r="Y116" s="104" t="n">
        <v>22286.65</v>
      </c>
      <c r="Z116" s="108" t="n">
        <v>21.5</v>
      </c>
      <c r="AA116" s="103">
        <f>1/(1+Parametres!$B$12)^(A116-2026)</f>
        <v/>
      </c>
      <c r="AB116" s="111">
        <f>D116/AA116</f>
        <v/>
      </c>
      <c r="AC116" s="107" t="n"/>
      <c r="AD116" s="107" t="n"/>
      <c r="AE116" s="107">
        <f>((1+Parametres!$B$13)*(1+Parametres!$B$12)-1)</f>
        <v/>
      </c>
      <c r="AF116" s="107">
        <f>((1+Parametres!$B$14)*(1+Parametres!$B$12)-1)</f>
        <v/>
      </c>
      <c r="AG116" s="103">
        <f>AG115*(1+AE116)</f>
        <v/>
      </c>
      <c r="AH116" s="103">
        <f>AH115*(1+AF116)</f>
        <v/>
      </c>
      <c r="AI116" s="103">
        <f>IF(AE116=0,1,AE116/(12*((1+AE116)^(1/12)-1)))</f>
        <v/>
      </c>
      <c r="AJ116" s="103">
        <f>IF(AF116=0,1,AF116/(12*((1+AF116)^(1/12)-1)))</f>
        <v/>
      </c>
      <c r="AK116" s="112">
        <f>D116*'3_Comparateur_detaille'!$B$16</f>
        <v/>
      </c>
      <c r="AL116" s="112">
        <f>IF('3_Comparateur_detaille'!$B$20="Privé",MIN(AK116,E116)*IF('3_Comparateur_detaille'!$B$15="cadre",J116,F116)+MAX(0,AK116-E116)*IF('3_Comparateur_detaille'!$B$15="cadre",L116,H116),AK116*SUMIFS(Donnees_regimes!$J$3:$J$1118,Donnees_regimes!$A$3:$A$1118,'3_Comparateur_detaille'!$B$20,Donnees_regimes!$B$3:$B$1118,A116))</f>
        <v/>
      </c>
      <c r="AM116" s="112">
        <f>IF('3_Comparateur_detaille'!$B$20="Privé",MIN(AK116,E116)*IF('3_Comparateur_detaille'!$B$15="cadre",K116,G116)+MAX(0,AK116-E116)*IF('3_Comparateur_detaille'!$B$15="cadre",M116,I116),AK116*SUMIFS(Donnees_regimes!$K$3:$K$1118,Donnees_regimes!$A$3:$A$1118,'3_Comparateur_detaille'!$B$20,Donnees_regimes!$B$3:$B$1118,A116))</f>
        <v/>
      </c>
      <c r="AN116" s="112">
        <f>IF('3_Comparateur_detaille'!$B$20="Privé",0,AK116*SUMIFS(Donnees_regimes!$L$3:$L$1118,Donnees_regimes!$A$3:$A$1118,'3_Comparateur_detaille'!$B$20,Donnees_regimes!$B$3:$B$1118,A116))</f>
        <v/>
      </c>
      <c r="AO116" s="113">
        <f>(AL116+AM116)/AA116*AI116/AG116</f>
        <v/>
      </c>
      <c r="AP116" s="113">
        <f>(AL116+AM116)/AA116*AJ116/AH116</f>
        <v/>
      </c>
      <c r="AQ116" s="112">
        <f>D116*'3_Comparateur_detaille'!$C$16</f>
        <v/>
      </c>
      <c r="AR116" s="112">
        <f>IF('3_Comparateur_detaille'!$C$20="Privé",MIN(AQ116,E116)*IF('3_Comparateur_detaille'!$C$15="cadre",J116,F116)+MAX(0,AQ116-E116)*IF('3_Comparateur_detaille'!$C$15="cadre",L116,H116),AQ116*SUMIFS(Donnees_regimes!$J$3:$J$1118,Donnees_regimes!$A$3:$A$1118,'3_Comparateur_detaille'!$C$20,Donnees_regimes!$B$3:$B$1118,A116))</f>
        <v/>
      </c>
      <c r="AS116" s="112">
        <f>IF('3_Comparateur_detaille'!$C$20="Privé",MIN(AQ116,E116)*IF('3_Comparateur_detaille'!$C$15="cadre",K116,G116)+MAX(0,AQ116-E116)*IF('3_Comparateur_detaille'!$C$15="cadre",M116,I116),AQ116*SUMIFS(Donnees_regimes!$K$3:$K$1118,Donnees_regimes!$A$3:$A$1118,'3_Comparateur_detaille'!$C$20,Donnees_regimes!$B$3:$B$1118,A116))</f>
        <v/>
      </c>
      <c r="AT116" s="112">
        <f>IF('3_Comparateur_detaille'!$C$20="Privé",0,AQ116*SUMIFS(Donnees_regimes!$L$3:$L$1118,Donnees_regimes!$A$3:$A$1118,'3_Comparateur_detaille'!$C$20,Donnees_regimes!$B$3:$B$1118,A116))</f>
        <v/>
      </c>
      <c r="AU116" s="113">
        <f>(AR116+AS116)/AA116*AI116/AG116</f>
        <v/>
      </c>
      <c r="AV116" s="113">
        <f>(AR116+AS116)/AA116*AJ116/AH116</f>
        <v/>
      </c>
    </row>
    <row r="117">
      <c r="A117" s="101" t="n">
        <v>2059</v>
      </c>
      <c r="B117" s="102" t="inlineStr">
        <is>
          <t>Projection</t>
        </is>
      </c>
      <c r="C117" s="103" t="n"/>
      <c r="D117" s="104" t="n">
        <v>52473.75</v>
      </c>
      <c r="E117" s="104" t="n">
        <v>60500.13</v>
      </c>
      <c r="F117" s="105" t="n">
        <v>0.11562</v>
      </c>
      <c r="G117" s="105" t="n">
        <v>0.1667</v>
      </c>
      <c r="H117" s="105" t="n">
        <v>0.10512</v>
      </c>
      <c r="I117" s="105" t="n">
        <v>0.1689</v>
      </c>
      <c r="J117" s="105" t="n">
        <v>0.11562</v>
      </c>
      <c r="K117" s="105" t="n">
        <v>0.1667</v>
      </c>
      <c r="L117" s="105" t="n">
        <v>0.10512</v>
      </c>
      <c r="M117" s="105" t="n">
        <v>0.1689</v>
      </c>
      <c r="N117" s="106">
        <f>MIN(D117,E117)*F117+MAX(0,D117-E117)*H117</f>
        <v/>
      </c>
      <c r="O117" s="106">
        <f>MIN(D117,E117)*G117+MAX(0,D117-E117)*I117</f>
        <v/>
      </c>
      <c r="P117" s="106">
        <f>N117+O117</f>
        <v/>
      </c>
      <c r="Q117" s="107">
        <f>P117/D117</f>
        <v/>
      </c>
      <c r="R117" s="106">
        <f>D117+O117</f>
        <v/>
      </c>
      <c r="S117" s="108" t="n">
        <v>35</v>
      </c>
      <c r="T117" s="108" t="n">
        <v>38.8</v>
      </c>
      <c r="U117" s="109" t="n">
        <v>226</v>
      </c>
      <c r="V117" s="110" t="n">
        <v>1589</v>
      </c>
      <c r="W117" s="110" t="n">
        <v>1760.8</v>
      </c>
      <c r="X117" s="104" t="n">
        <v>22575.86</v>
      </c>
      <c r="Y117" s="104" t="n">
        <v>22362.68</v>
      </c>
      <c r="Z117" s="108" t="n">
        <v>21.5</v>
      </c>
      <c r="AA117" s="103">
        <f>1/(1+Parametres!$B$12)^(A117-2026)</f>
        <v/>
      </c>
      <c r="AB117" s="111">
        <f>D117/AA117</f>
        <v/>
      </c>
      <c r="AC117" s="107" t="n"/>
      <c r="AD117" s="107" t="n"/>
      <c r="AE117" s="107">
        <f>((1+Parametres!$B$13)*(1+Parametres!$B$12)-1)</f>
        <v/>
      </c>
      <c r="AF117" s="107">
        <f>((1+Parametres!$B$14)*(1+Parametres!$B$12)-1)</f>
        <v/>
      </c>
      <c r="AG117" s="103">
        <f>AG116*(1+AE117)</f>
        <v/>
      </c>
      <c r="AH117" s="103">
        <f>AH116*(1+AF117)</f>
        <v/>
      </c>
      <c r="AI117" s="103">
        <f>IF(AE117=0,1,AE117/(12*((1+AE117)^(1/12)-1)))</f>
        <v/>
      </c>
      <c r="AJ117" s="103">
        <f>IF(AF117=0,1,AF117/(12*((1+AF117)^(1/12)-1)))</f>
        <v/>
      </c>
      <c r="AK117" s="112">
        <f>D117*'3_Comparateur_detaille'!$B$16</f>
        <v/>
      </c>
      <c r="AL117" s="112">
        <f>IF('3_Comparateur_detaille'!$B$20="Privé",MIN(AK117,E117)*IF('3_Comparateur_detaille'!$B$15="cadre",J117,F117)+MAX(0,AK117-E117)*IF('3_Comparateur_detaille'!$B$15="cadre",L117,H117),AK117*SUMIFS(Donnees_regimes!$J$3:$J$1118,Donnees_regimes!$A$3:$A$1118,'3_Comparateur_detaille'!$B$20,Donnees_regimes!$B$3:$B$1118,A117))</f>
        <v/>
      </c>
      <c r="AM117" s="112">
        <f>IF('3_Comparateur_detaille'!$B$20="Privé",MIN(AK117,E117)*IF('3_Comparateur_detaille'!$B$15="cadre",K117,G117)+MAX(0,AK117-E117)*IF('3_Comparateur_detaille'!$B$15="cadre",M117,I117),AK117*SUMIFS(Donnees_regimes!$K$3:$K$1118,Donnees_regimes!$A$3:$A$1118,'3_Comparateur_detaille'!$B$20,Donnees_regimes!$B$3:$B$1118,A117))</f>
        <v/>
      </c>
      <c r="AN117" s="112">
        <f>IF('3_Comparateur_detaille'!$B$20="Privé",0,AK117*SUMIFS(Donnees_regimes!$L$3:$L$1118,Donnees_regimes!$A$3:$A$1118,'3_Comparateur_detaille'!$B$20,Donnees_regimes!$B$3:$B$1118,A117))</f>
        <v/>
      </c>
      <c r="AO117" s="113">
        <f>(AL117+AM117)/AA117*AI117/AG117</f>
        <v/>
      </c>
      <c r="AP117" s="113">
        <f>(AL117+AM117)/AA117*AJ117/AH117</f>
        <v/>
      </c>
      <c r="AQ117" s="112">
        <f>D117*'3_Comparateur_detaille'!$C$16</f>
        <v/>
      </c>
      <c r="AR117" s="112">
        <f>IF('3_Comparateur_detaille'!$C$20="Privé",MIN(AQ117,E117)*IF('3_Comparateur_detaille'!$C$15="cadre",J117,F117)+MAX(0,AQ117-E117)*IF('3_Comparateur_detaille'!$C$15="cadre",L117,H117),AQ117*SUMIFS(Donnees_regimes!$J$3:$J$1118,Donnees_regimes!$A$3:$A$1118,'3_Comparateur_detaille'!$C$20,Donnees_regimes!$B$3:$B$1118,A117))</f>
        <v/>
      </c>
      <c r="AS117" s="112">
        <f>IF('3_Comparateur_detaille'!$C$20="Privé",MIN(AQ117,E117)*IF('3_Comparateur_detaille'!$C$15="cadre",K117,G117)+MAX(0,AQ117-E117)*IF('3_Comparateur_detaille'!$C$15="cadre",M117,I117),AQ117*SUMIFS(Donnees_regimes!$K$3:$K$1118,Donnees_regimes!$A$3:$A$1118,'3_Comparateur_detaille'!$C$20,Donnees_regimes!$B$3:$B$1118,A117))</f>
        <v/>
      </c>
      <c r="AT117" s="112">
        <f>IF('3_Comparateur_detaille'!$C$20="Privé",0,AQ117*SUMIFS(Donnees_regimes!$L$3:$L$1118,Donnees_regimes!$A$3:$A$1118,'3_Comparateur_detaille'!$C$20,Donnees_regimes!$B$3:$B$1118,A117))</f>
        <v/>
      </c>
      <c r="AU117" s="113">
        <f>(AR117+AS117)/AA117*AI117/AG117</f>
        <v/>
      </c>
      <c r="AV117" s="113">
        <f>(AR117+AS117)/AA117*AJ117/AH117</f>
        <v/>
      </c>
    </row>
    <row r="118">
      <c r="A118" s="101" t="n">
        <v>2060</v>
      </c>
      <c r="B118" s="102" t="inlineStr">
        <is>
          <t>Projection</t>
        </is>
      </c>
      <c r="C118" s="103" t="n"/>
      <c r="D118" s="104" t="n">
        <v>52841.07</v>
      </c>
      <c r="E118" s="104" t="n">
        <v>60923.63</v>
      </c>
      <c r="F118" s="105" t="n">
        <v>0.11562</v>
      </c>
      <c r="G118" s="105" t="n">
        <v>0.1667</v>
      </c>
      <c r="H118" s="105" t="n">
        <v>0.10512</v>
      </c>
      <c r="I118" s="105" t="n">
        <v>0.1689</v>
      </c>
      <c r="J118" s="105" t="n">
        <v>0.11562</v>
      </c>
      <c r="K118" s="105" t="n">
        <v>0.1667</v>
      </c>
      <c r="L118" s="105" t="n">
        <v>0.10512</v>
      </c>
      <c r="M118" s="105" t="n">
        <v>0.1689</v>
      </c>
      <c r="N118" s="106">
        <f>MIN(D118,E118)*F118+MAX(0,D118-E118)*H118</f>
        <v/>
      </c>
      <c r="O118" s="106">
        <f>MIN(D118,E118)*G118+MAX(0,D118-E118)*I118</f>
        <v/>
      </c>
      <c r="P118" s="106">
        <f>N118+O118</f>
        <v/>
      </c>
      <c r="Q118" s="107">
        <f>P118/D118</f>
        <v/>
      </c>
      <c r="R118" s="106">
        <f>D118+O118</f>
        <v/>
      </c>
      <c r="S118" s="108" t="n">
        <v>35</v>
      </c>
      <c r="T118" s="108" t="n">
        <v>38.8</v>
      </c>
      <c r="U118" s="109" t="n">
        <v>230</v>
      </c>
      <c r="V118" s="110" t="n">
        <v>1617</v>
      </c>
      <c r="W118" s="110" t="n">
        <v>1791.8</v>
      </c>
      <c r="X118" s="104" t="n">
        <v>22652.6</v>
      </c>
      <c r="Y118" s="104" t="n">
        <v>22438.69</v>
      </c>
      <c r="Z118" s="108" t="n">
        <v>21.5</v>
      </c>
      <c r="AA118" s="103">
        <f>1/(1+Parametres!$B$12)^(A118-2026)</f>
        <v/>
      </c>
      <c r="AB118" s="111">
        <f>D118/AA118</f>
        <v/>
      </c>
      <c r="AC118" s="107" t="n"/>
      <c r="AD118" s="107" t="n"/>
      <c r="AE118" s="107">
        <f>((1+Parametres!$B$13)*(1+Parametres!$B$12)-1)</f>
        <v/>
      </c>
      <c r="AF118" s="107">
        <f>((1+Parametres!$B$14)*(1+Parametres!$B$12)-1)</f>
        <v/>
      </c>
      <c r="AG118" s="103">
        <f>AG117*(1+AE118)</f>
        <v/>
      </c>
      <c r="AH118" s="103">
        <f>AH117*(1+AF118)</f>
        <v/>
      </c>
      <c r="AI118" s="103">
        <f>IF(AE118=0,1,AE118/(12*((1+AE118)^(1/12)-1)))</f>
        <v/>
      </c>
      <c r="AJ118" s="103">
        <f>IF(AF118=0,1,AF118/(12*((1+AF118)^(1/12)-1)))</f>
        <v/>
      </c>
      <c r="AK118" s="112">
        <f>D118*'3_Comparateur_detaille'!$B$16</f>
        <v/>
      </c>
      <c r="AL118" s="112">
        <f>IF('3_Comparateur_detaille'!$B$20="Privé",MIN(AK118,E118)*IF('3_Comparateur_detaille'!$B$15="cadre",J118,F118)+MAX(0,AK118-E118)*IF('3_Comparateur_detaille'!$B$15="cadre",L118,H118),AK118*SUMIFS(Donnees_regimes!$J$3:$J$1118,Donnees_regimes!$A$3:$A$1118,'3_Comparateur_detaille'!$B$20,Donnees_regimes!$B$3:$B$1118,A118))</f>
        <v/>
      </c>
      <c r="AM118" s="112">
        <f>IF('3_Comparateur_detaille'!$B$20="Privé",MIN(AK118,E118)*IF('3_Comparateur_detaille'!$B$15="cadre",K118,G118)+MAX(0,AK118-E118)*IF('3_Comparateur_detaille'!$B$15="cadre",M118,I118),AK118*SUMIFS(Donnees_regimes!$K$3:$K$1118,Donnees_regimes!$A$3:$A$1118,'3_Comparateur_detaille'!$B$20,Donnees_regimes!$B$3:$B$1118,A118))</f>
        <v/>
      </c>
      <c r="AN118" s="112">
        <f>IF('3_Comparateur_detaille'!$B$20="Privé",0,AK118*SUMIFS(Donnees_regimes!$L$3:$L$1118,Donnees_regimes!$A$3:$A$1118,'3_Comparateur_detaille'!$B$20,Donnees_regimes!$B$3:$B$1118,A118))</f>
        <v/>
      </c>
      <c r="AO118" s="113">
        <f>(AL118+AM118)/AA118*AI118/AG118</f>
        <v/>
      </c>
      <c r="AP118" s="113">
        <f>(AL118+AM118)/AA118*AJ118/AH118</f>
        <v/>
      </c>
      <c r="AQ118" s="112">
        <f>D118*'3_Comparateur_detaille'!$C$16</f>
        <v/>
      </c>
      <c r="AR118" s="112">
        <f>IF('3_Comparateur_detaille'!$C$20="Privé",MIN(AQ118,E118)*IF('3_Comparateur_detaille'!$C$15="cadre",J118,F118)+MAX(0,AQ118-E118)*IF('3_Comparateur_detaille'!$C$15="cadre",L118,H118),AQ118*SUMIFS(Donnees_regimes!$J$3:$J$1118,Donnees_regimes!$A$3:$A$1118,'3_Comparateur_detaille'!$C$20,Donnees_regimes!$B$3:$B$1118,A118))</f>
        <v/>
      </c>
      <c r="AS118" s="112">
        <f>IF('3_Comparateur_detaille'!$C$20="Privé",MIN(AQ118,E118)*IF('3_Comparateur_detaille'!$C$15="cadre",K118,G118)+MAX(0,AQ118-E118)*IF('3_Comparateur_detaille'!$C$15="cadre",M118,I118),AQ118*SUMIFS(Donnees_regimes!$K$3:$K$1118,Donnees_regimes!$A$3:$A$1118,'3_Comparateur_detaille'!$C$20,Donnees_regimes!$B$3:$B$1118,A118))</f>
        <v/>
      </c>
      <c r="AT118" s="112">
        <f>IF('3_Comparateur_detaille'!$C$20="Privé",0,AQ118*SUMIFS(Donnees_regimes!$L$3:$L$1118,Donnees_regimes!$A$3:$A$1118,'3_Comparateur_detaille'!$C$20,Donnees_regimes!$B$3:$B$1118,A118))</f>
        <v/>
      </c>
      <c r="AU118" s="113">
        <f>(AR118+AS118)/AA118*AI118/AG118</f>
        <v/>
      </c>
      <c r="AV118" s="113">
        <f>(AR118+AS118)/AA118*AJ118/AH118</f>
        <v/>
      </c>
    </row>
    <row r="119">
      <c r="A119" s="101" t="n">
        <v>2061</v>
      </c>
      <c r="B119" s="102" t="inlineStr">
        <is>
          <t>Projection</t>
        </is>
      </c>
      <c r="C119" s="103" t="n"/>
      <c r="D119" s="104" t="n">
        <v>53210.96</v>
      </c>
      <c r="E119" s="104" t="n">
        <v>61350.09</v>
      </c>
      <c r="F119" s="105" t="n">
        <v>0.11562</v>
      </c>
      <c r="G119" s="105" t="n">
        <v>0.1667</v>
      </c>
      <c r="H119" s="105" t="n">
        <v>0.10512</v>
      </c>
      <c r="I119" s="105" t="n">
        <v>0.1689</v>
      </c>
      <c r="J119" s="105" t="n">
        <v>0.11562</v>
      </c>
      <c r="K119" s="105" t="n">
        <v>0.1667</v>
      </c>
      <c r="L119" s="105" t="n">
        <v>0.10512</v>
      </c>
      <c r="M119" s="105" t="n">
        <v>0.1689</v>
      </c>
      <c r="N119" s="106">
        <f>MIN(D119,E119)*F119+MAX(0,D119-E119)*H119</f>
        <v/>
      </c>
      <c r="O119" s="106">
        <f>MIN(D119,E119)*G119+MAX(0,D119-E119)*I119</f>
        <v/>
      </c>
      <c r="P119" s="106">
        <f>N119+O119</f>
        <v/>
      </c>
      <c r="Q119" s="107">
        <f>P119/D119</f>
        <v/>
      </c>
      <c r="R119" s="106">
        <f>D119+O119</f>
        <v/>
      </c>
      <c r="S119" s="108" t="n">
        <v>35</v>
      </c>
      <c r="T119" s="108" t="n">
        <v>38.8</v>
      </c>
      <c r="U119" s="109" t="n">
        <v>228</v>
      </c>
      <c r="V119" s="110" t="n">
        <v>1603</v>
      </c>
      <c r="W119" s="110" t="n">
        <v>1776.3</v>
      </c>
      <c r="X119" s="104" t="n">
        <v>22729.3</v>
      </c>
      <c r="Y119" s="104" t="n">
        <v>22514.67</v>
      </c>
      <c r="Z119" s="108" t="n">
        <v>21.5</v>
      </c>
      <c r="AA119" s="103">
        <f>1/(1+Parametres!$B$12)^(A119-2026)</f>
        <v/>
      </c>
      <c r="AB119" s="111">
        <f>D119/AA119</f>
        <v/>
      </c>
      <c r="AC119" s="107" t="n"/>
      <c r="AD119" s="107" t="n"/>
      <c r="AE119" s="107">
        <f>((1+Parametres!$B$13)*(1+Parametres!$B$12)-1)</f>
        <v/>
      </c>
      <c r="AF119" s="107">
        <f>((1+Parametres!$B$14)*(1+Parametres!$B$12)-1)</f>
        <v/>
      </c>
      <c r="AG119" s="103">
        <f>AG118*(1+AE119)</f>
        <v/>
      </c>
      <c r="AH119" s="103">
        <f>AH118*(1+AF119)</f>
        <v/>
      </c>
      <c r="AI119" s="103">
        <f>IF(AE119=0,1,AE119/(12*((1+AE119)^(1/12)-1)))</f>
        <v/>
      </c>
      <c r="AJ119" s="103">
        <f>IF(AF119=0,1,AF119/(12*((1+AF119)^(1/12)-1)))</f>
        <v/>
      </c>
      <c r="AK119" s="112">
        <f>D119*'3_Comparateur_detaille'!$B$16</f>
        <v/>
      </c>
      <c r="AL119" s="112">
        <f>IF('3_Comparateur_detaille'!$B$20="Privé",MIN(AK119,E119)*IF('3_Comparateur_detaille'!$B$15="cadre",J119,F119)+MAX(0,AK119-E119)*IF('3_Comparateur_detaille'!$B$15="cadre",L119,H119),AK119*SUMIFS(Donnees_regimes!$J$3:$J$1118,Donnees_regimes!$A$3:$A$1118,'3_Comparateur_detaille'!$B$20,Donnees_regimes!$B$3:$B$1118,A119))</f>
        <v/>
      </c>
      <c r="AM119" s="112">
        <f>IF('3_Comparateur_detaille'!$B$20="Privé",MIN(AK119,E119)*IF('3_Comparateur_detaille'!$B$15="cadre",K119,G119)+MAX(0,AK119-E119)*IF('3_Comparateur_detaille'!$B$15="cadre",M119,I119),AK119*SUMIFS(Donnees_regimes!$K$3:$K$1118,Donnees_regimes!$A$3:$A$1118,'3_Comparateur_detaille'!$B$20,Donnees_regimes!$B$3:$B$1118,A119))</f>
        <v/>
      </c>
      <c r="AN119" s="112">
        <f>IF('3_Comparateur_detaille'!$B$20="Privé",0,AK119*SUMIFS(Donnees_regimes!$L$3:$L$1118,Donnees_regimes!$A$3:$A$1118,'3_Comparateur_detaille'!$B$20,Donnees_regimes!$B$3:$B$1118,A119))</f>
        <v/>
      </c>
      <c r="AO119" s="113">
        <f>(AL119+AM119)/AA119*AI119/AG119</f>
        <v/>
      </c>
      <c r="AP119" s="113">
        <f>(AL119+AM119)/AA119*AJ119/AH119</f>
        <v/>
      </c>
      <c r="AQ119" s="112">
        <f>D119*'3_Comparateur_detaille'!$C$16</f>
        <v/>
      </c>
      <c r="AR119" s="112">
        <f>IF('3_Comparateur_detaille'!$C$20="Privé",MIN(AQ119,E119)*IF('3_Comparateur_detaille'!$C$15="cadre",J119,F119)+MAX(0,AQ119-E119)*IF('3_Comparateur_detaille'!$C$15="cadre",L119,H119),AQ119*SUMIFS(Donnees_regimes!$J$3:$J$1118,Donnees_regimes!$A$3:$A$1118,'3_Comparateur_detaille'!$C$20,Donnees_regimes!$B$3:$B$1118,A119))</f>
        <v/>
      </c>
      <c r="AS119" s="112">
        <f>IF('3_Comparateur_detaille'!$C$20="Privé",MIN(AQ119,E119)*IF('3_Comparateur_detaille'!$C$15="cadre",K119,G119)+MAX(0,AQ119-E119)*IF('3_Comparateur_detaille'!$C$15="cadre",M119,I119),AQ119*SUMIFS(Donnees_regimes!$K$3:$K$1118,Donnees_regimes!$A$3:$A$1118,'3_Comparateur_detaille'!$C$20,Donnees_regimes!$B$3:$B$1118,A119))</f>
        <v/>
      </c>
      <c r="AT119" s="112">
        <f>IF('3_Comparateur_detaille'!$C$20="Privé",0,AQ119*SUMIFS(Donnees_regimes!$L$3:$L$1118,Donnees_regimes!$A$3:$A$1118,'3_Comparateur_detaille'!$C$20,Donnees_regimes!$B$3:$B$1118,A119))</f>
        <v/>
      </c>
      <c r="AU119" s="113">
        <f>(AR119+AS119)/AA119*AI119/AG119</f>
        <v/>
      </c>
      <c r="AV119" s="113">
        <f>(AR119+AS119)/AA119*AJ119/AH119</f>
        <v/>
      </c>
    </row>
    <row r="120">
      <c r="A120" s="101" t="n">
        <v>2062</v>
      </c>
      <c r="B120" s="102" t="inlineStr">
        <is>
          <t>Projection</t>
        </is>
      </c>
      <c r="C120" s="103" t="n"/>
      <c r="D120" s="104" t="n">
        <v>53583.44</v>
      </c>
      <c r="E120" s="104" t="n">
        <v>61779.55</v>
      </c>
      <c r="F120" s="105" t="n">
        <v>0.11562</v>
      </c>
      <c r="G120" s="105" t="n">
        <v>0.1667</v>
      </c>
      <c r="H120" s="105" t="n">
        <v>0.10512</v>
      </c>
      <c r="I120" s="105" t="n">
        <v>0.1689</v>
      </c>
      <c r="J120" s="105" t="n">
        <v>0.11562</v>
      </c>
      <c r="K120" s="105" t="n">
        <v>0.1667</v>
      </c>
      <c r="L120" s="105" t="n">
        <v>0.10512</v>
      </c>
      <c r="M120" s="105" t="n">
        <v>0.1689</v>
      </c>
      <c r="N120" s="106">
        <f>MIN(D120,E120)*F120+MAX(0,D120-E120)*H120</f>
        <v/>
      </c>
      <c r="O120" s="106">
        <f>MIN(D120,E120)*G120+MAX(0,D120-E120)*I120</f>
        <v/>
      </c>
      <c r="P120" s="106">
        <f>N120+O120</f>
        <v/>
      </c>
      <c r="Q120" s="107">
        <f>P120/D120</f>
        <v/>
      </c>
      <c r="R120" s="106">
        <f>D120+O120</f>
        <v/>
      </c>
      <c r="S120" s="108" t="n">
        <v>35</v>
      </c>
      <c r="T120" s="108" t="n">
        <v>38.8</v>
      </c>
      <c r="U120" s="109" t="n">
        <v>226</v>
      </c>
      <c r="V120" s="110" t="n">
        <v>1589</v>
      </c>
      <c r="W120" s="110" t="n">
        <v>1760.8</v>
      </c>
      <c r="X120" s="104" t="n">
        <v>22805.96</v>
      </c>
      <c r="Y120" s="104" t="n">
        <v>22590.61</v>
      </c>
      <c r="Z120" s="108" t="n">
        <v>21.5</v>
      </c>
      <c r="AA120" s="103">
        <f>1/(1+Parametres!$B$12)^(A120-2026)</f>
        <v/>
      </c>
      <c r="AB120" s="111">
        <f>D120/AA120</f>
        <v/>
      </c>
      <c r="AC120" s="107" t="n"/>
      <c r="AD120" s="107" t="n"/>
      <c r="AE120" s="107">
        <f>((1+Parametres!$B$13)*(1+Parametres!$B$12)-1)</f>
        <v/>
      </c>
      <c r="AF120" s="107">
        <f>((1+Parametres!$B$14)*(1+Parametres!$B$12)-1)</f>
        <v/>
      </c>
      <c r="AG120" s="103">
        <f>AG119*(1+AE120)</f>
        <v/>
      </c>
      <c r="AH120" s="103">
        <f>AH119*(1+AF120)</f>
        <v/>
      </c>
      <c r="AI120" s="103">
        <f>IF(AE120=0,1,AE120/(12*((1+AE120)^(1/12)-1)))</f>
        <v/>
      </c>
      <c r="AJ120" s="103">
        <f>IF(AF120=0,1,AF120/(12*((1+AF120)^(1/12)-1)))</f>
        <v/>
      </c>
      <c r="AK120" s="112">
        <f>D120*'3_Comparateur_detaille'!$B$16</f>
        <v/>
      </c>
      <c r="AL120" s="112">
        <f>IF('3_Comparateur_detaille'!$B$20="Privé",MIN(AK120,E120)*IF('3_Comparateur_detaille'!$B$15="cadre",J120,F120)+MAX(0,AK120-E120)*IF('3_Comparateur_detaille'!$B$15="cadre",L120,H120),AK120*SUMIFS(Donnees_regimes!$J$3:$J$1118,Donnees_regimes!$A$3:$A$1118,'3_Comparateur_detaille'!$B$20,Donnees_regimes!$B$3:$B$1118,A120))</f>
        <v/>
      </c>
      <c r="AM120" s="112">
        <f>IF('3_Comparateur_detaille'!$B$20="Privé",MIN(AK120,E120)*IF('3_Comparateur_detaille'!$B$15="cadre",K120,G120)+MAX(0,AK120-E120)*IF('3_Comparateur_detaille'!$B$15="cadre",M120,I120),AK120*SUMIFS(Donnees_regimes!$K$3:$K$1118,Donnees_regimes!$A$3:$A$1118,'3_Comparateur_detaille'!$B$20,Donnees_regimes!$B$3:$B$1118,A120))</f>
        <v/>
      </c>
      <c r="AN120" s="112">
        <f>IF('3_Comparateur_detaille'!$B$20="Privé",0,AK120*SUMIFS(Donnees_regimes!$L$3:$L$1118,Donnees_regimes!$A$3:$A$1118,'3_Comparateur_detaille'!$B$20,Donnees_regimes!$B$3:$B$1118,A120))</f>
        <v/>
      </c>
      <c r="AO120" s="113">
        <f>(AL120+AM120)/AA120*AI120/AG120</f>
        <v/>
      </c>
      <c r="AP120" s="113">
        <f>(AL120+AM120)/AA120*AJ120/AH120</f>
        <v/>
      </c>
      <c r="AQ120" s="112">
        <f>D120*'3_Comparateur_detaille'!$C$16</f>
        <v/>
      </c>
      <c r="AR120" s="112">
        <f>IF('3_Comparateur_detaille'!$C$20="Privé",MIN(AQ120,E120)*IF('3_Comparateur_detaille'!$C$15="cadre",J120,F120)+MAX(0,AQ120-E120)*IF('3_Comparateur_detaille'!$C$15="cadre",L120,H120),AQ120*SUMIFS(Donnees_regimes!$J$3:$J$1118,Donnees_regimes!$A$3:$A$1118,'3_Comparateur_detaille'!$C$20,Donnees_regimes!$B$3:$B$1118,A120))</f>
        <v/>
      </c>
      <c r="AS120" s="112">
        <f>IF('3_Comparateur_detaille'!$C$20="Privé",MIN(AQ120,E120)*IF('3_Comparateur_detaille'!$C$15="cadre",K120,G120)+MAX(0,AQ120-E120)*IF('3_Comparateur_detaille'!$C$15="cadre",M120,I120),AQ120*SUMIFS(Donnees_regimes!$K$3:$K$1118,Donnees_regimes!$A$3:$A$1118,'3_Comparateur_detaille'!$C$20,Donnees_regimes!$B$3:$B$1118,A120))</f>
        <v/>
      </c>
      <c r="AT120" s="112">
        <f>IF('3_Comparateur_detaille'!$C$20="Privé",0,AQ120*SUMIFS(Donnees_regimes!$L$3:$L$1118,Donnees_regimes!$A$3:$A$1118,'3_Comparateur_detaille'!$C$20,Donnees_regimes!$B$3:$B$1118,A120))</f>
        <v/>
      </c>
      <c r="AU120" s="113">
        <f>(AR120+AS120)/AA120*AI120/AG120</f>
        <v/>
      </c>
      <c r="AV120" s="113">
        <f>(AR120+AS120)/AA120*AJ120/AH120</f>
        <v/>
      </c>
    </row>
    <row r="121">
      <c r="A121" s="101" t="n">
        <v>2063</v>
      </c>
      <c r="B121" s="102" t="inlineStr">
        <is>
          <t>Projection</t>
        </is>
      </c>
      <c r="C121" s="103" t="n"/>
      <c r="D121" s="104" t="n">
        <v>53958.52</v>
      </c>
      <c r="E121" s="104" t="n">
        <v>62212</v>
      </c>
      <c r="F121" s="105" t="n">
        <v>0.11562</v>
      </c>
      <c r="G121" s="105" t="n">
        <v>0.1667</v>
      </c>
      <c r="H121" s="105" t="n">
        <v>0.10512</v>
      </c>
      <c r="I121" s="105" t="n">
        <v>0.1689</v>
      </c>
      <c r="J121" s="105" t="n">
        <v>0.11562</v>
      </c>
      <c r="K121" s="105" t="n">
        <v>0.1667</v>
      </c>
      <c r="L121" s="105" t="n">
        <v>0.10512</v>
      </c>
      <c r="M121" s="105" t="n">
        <v>0.1689</v>
      </c>
      <c r="N121" s="106">
        <f>MIN(D121,E121)*F121+MAX(0,D121-E121)*H121</f>
        <v/>
      </c>
      <c r="O121" s="106">
        <f>MIN(D121,E121)*G121+MAX(0,D121-E121)*I121</f>
        <v/>
      </c>
      <c r="P121" s="106">
        <f>N121+O121</f>
        <v/>
      </c>
      <c r="Q121" s="107">
        <f>P121/D121</f>
        <v/>
      </c>
      <c r="R121" s="106">
        <f>D121+O121</f>
        <v/>
      </c>
      <c r="S121" s="108" t="n">
        <v>35</v>
      </c>
      <c r="T121" s="108" t="n">
        <v>38.8</v>
      </c>
      <c r="U121" s="109" t="n">
        <v>227</v>
      </c>
      <c r="V121" s="110" t="n">
        <v>1596</v>
      </c>
      <c r="W121" s="110" t="n">
        <v>1768.5</v>
      </c>
      <c r="X121" s="104" t="n">
        <v>22882.59</v>
      </c>
      <c r="Y121" s="104" t="n">
        <v>22666.51</v>
      </c>
      <c r="Z121" s="108" t="n">
        <v>21.5</v>
      </c>
      <c r="AA121" s="103">
        <f>1/(1+Parametres!$B$12)^(A121-2026)</f>
        <v/>
      </c>
      <c r="AB121" s="111">
        <f>D121/AA121</f>
        <v/>
      </c>
      <c r="AC121" s="107" t="n"/>
      <c r="AD121" s="107" t="n"/>
      <c r="AE121" s="107">
        <f>((1+Parametres!$B$13)*(1+Parametres!$B$12)-1)</f>
        <v/>
      </c>
      <c r="AF121" s="107">
        <f>((1+Parametres!$B$14)*(1+Parametres!$B$12)-1)</f>
        <v/>
      </c>
      <c r="AG121" s="103">
        <f>AG120*(1+AE121)</f>
        <v/>
      </c>
      <c r="AH121" s="103">
        <f>AH120*(1+AF121)</f>
        <v/>
      </c>
      <c r="AI121" s="103">
        <f>IF(AE121=0,1,AE121/(12*((1+AE121)^(1/12)-1)))</f>
        <v/>
      </c>
      <c r="AJ121" s="103">
        <f>IF(AF121=0,1,AF121/(12*((1+AF121)^(1/12)-1)))</f>
        <v/>
      </c>
      <c r="AK121" s="112">
        <f>D121*'3_Comparateur_detaille'!$B$16</f>
        <v/>
      </c>
      <c r="AL121" s="112">
        <f>IF('3_Comparateur_detaille'!$B$20="Privé",MIN(AK121,E121)*IF('3_Comparateur_detaille'!$B$15="cadre",J121,F121)+MAX(0,AK121-E121)*IF('3_Comparateur_detaille'!$B$15="cadre",L121,H121),AK121*SUMIFS(Donnees_regimes!$J$3:$J$1118,Donnees_regimes!$A$3:$A$1118,'3_Comparateur_detaille'!$B$20,Donnees_regimes!$B$3:$B$1118,A121))</f>
        <v/>
      </c>
      <c r="AM121" s="112">
        <f>IF('3_Comparateur_detaille'!$B$20="Privé",MIN(AK121,E121)*IF('3_Comparateur_detaille'!$B$15="cadre",K121,G121)+MAX(0,AK121-E121)*IF('3_Comparateur_detaille'!$B$15="cadre",M121,I121),AK121*SUMIFS(Donnees_regimes!$K$3:$K$1118,Donnees_regimes!$A$3:$A$1118,'3_Comparateur_detaille'!$B$20,Donnees_regimes!$B$3:$B$1118,A121))</f>
        <v/>
      </c>
      <c r="AN121" s="112">
        <f>IF('3_Comparateur_detaille'!$B$20="Privé",0,AK121*SUMIFS(Donnees_regimes!$L$3:$L$1118,Donnees_regimes!$A$3:$A$1118,'3_Comparateur_detaille'!$B$20,Donnees_regimes!$B$3:$B$1118,A121))</f>
        <v/>
      </c>
      <c r="AO121" s="113">
        <f>(AL121+AM121)/AA121*AI121/AG121</f>
        <v/>
      </c>
      <c r="AP121" s="113">
        <f>(AL121+AM121)/AA121*AJ121/AH121</f>
        <v/>
      </c>
      <c r="AQ121" s="112">
        <f>D121*'3_Comparateur_detaille'!$C$16</f>
        <v/>
      </c>
      <c r="AR121" s="112">
        <f>IF('3_Comparateur_detaille'!$C$20="Privé",MIN(AQ121,E121)*IF('3_Comparateur_detaille'!$C$15="cadre",J121,F121)+MAX(0,AQ121-E121)*IF('3_Comparateur_detaille'!$C$15="cadre",L121,H121),AQ121*SUMIFS(Donnees_regimes!$J$3:$J$1118,Donnees_regimes!$A$3:$A$1118,'3_Comparateur_detaille'!$C$20,Donnees_regimes!$B$3:$B$1118,A121))</f>
        <v/>
      </c>
      <c r="AS121" s="112">
        <f>IF('3_Comparateur_detaille'!$C$20="Privé",MIN(AQ121,E121)*IF('3_Comparateur_detaille'!$C$15="cadre",K121,G121)+MAX(0,AQ121-E121)*IF('3_Comparateur_detaille'!$C$15="cadre",M121,I121),AQ121*SUMIFS(Donnees_regimes!$K$3:$K$1118,Donnees_regimes!$A$3:$A$1118,'3_Comparateur_detaille'!$C$20,Donnees_regimes!$B$3:$B$1118,A121))</f>
        <v/>
      </c>
      <c r="AT121" s="112">
        <f>IF('3_Comparateur_detaille'!$C$20="Privé",0,AQ121*SUMIFS(Donnees_regimes!$L$3:$L$1118,Donnees_regimes!$A$3:$A$1118,'3_Comparateur_detaille'!$C$20,Donnees_regimes!$B$3:$B$1118,A121))</f>
        <v/>
      </c>
      <c r="AU121" s="113">
        <f>(AR121+AS121)/AA121*AI121/AG121</f>
        <v/>
      </c>
      <c r="AV121" s="113">
        <f>(AR121+AS121)/AA121*AJ121/AH121</f>
        <v/>
      </c>
    </row>
    <row r="122">
      <c r="A122" s="101" t="n">
        <v>2064</v>
      </c>
      <c r="B122" s="102" t="inlineStr">
        <is>
          <t>Projection</t>
        </is>
      </c>
      <c r="C122" s="103" t="n"/>
      <c r="D122" s="104" t="n">
        <v>54336.23</v>
      </c>
      <c r="E122" s="104" t="n">
        <v>62647.49</v>
      </c>
      <c r="F122" s="105" t="n">
        <v>0.11562</v>
      </c>
      <c r="G122" s="105" t="n">
        <v>0.1667</v>
      </c>
      <c r="H122" s="105" t="n">
        <v>0.10512</v>
      </c>
      <c r="I122" s="105" t="n">
        <v>0.1689</v>
      </c>
      <c r="J122" s="105" t="n">
        <v>0.11562</v>
      </c>
      <c r="K122" s="105" t="n">
        <v>0.1667</v>
      </c>
      <c r="L122" s="105" t="n">
        <v>0.10512</v>
      </c>
      <c r="M122" s="105" t="n">
        <v>0.1689</v>
      </c>
      <c r="N122" s="106">
        <f>MIN(D122,E122)*F122+MAX(0,D122-E122)*H122</f>
        <v/>
      </c>
      <c r="O122" s="106">
        <f>MIN(D122,E122)*G122+MAX(0,D122-E122)*I122</f>
        <v/>
      </c>
      <c r="P122" s="106">
        <f>N122+O122</f>
        <v/>
      </c>
      <c r="Q122" s="107">
        <f>P122/D122</f>
        <v/>
      </c>
      <c r="R122" s="106">
        <f>D122+O122</f>
        <v/>
      </c>
      <c r="S122" s="108" t="n">
        <v>35</v>
      </c>
      <c r="T122" s="108" t="n">
        <v>38.8</v>
      </c>
      <c r="U122" s="109" t="n">
        <v>227</v>
      </c>
      <c r="V122" s="110" t="n">
        <v>1596</v>
      </c>
      <c r="W122" s="110" t="n">
        <v>1768.5</v>
      </c>
      <c r="X122" s="104" t="n">
        <v>22959.17</v>
      </c>
      <c r="Y122" s="104" t="n">
        <v>22742.37</v>
      </c>
      <c r="Z122" s="108" t="n">
        <v>21.5</v>
      </c>
      <c r="AA122" s="103">
        <f>1/(1+Parametres!$B$12)^(A122-2026)</f>
        <v/>
      </c>
      <c r="AB122" s="111">
        <f>D122/AA122</f>
        <v/>
      </c>
      <c r="AC122" s="107" t="n"/>
      <c r="AD122" s="107" t="n"/>
      <c r="AE122" s="107">
        <f>((1+Parametres!$B$13)*(1+Parametres!$B$12)-1)</f>
        <v/>
      </c>
      <c r="AF122" s="107">
        <f>((1+Parametres!$B$14)*(1+Parametres!$B$12)-1)</f>
        <v/>
      </c>
      <c r="AG122" s="103">
        <f>AG121*(1+AE122)</f>
        <v/>
      </c>
      <c r="AH122" s="103">
        <f>AH121*(1+AF122)</f>
        <v/>
      </c>
      <c r="AI122" s="103">
        <f>IF(AE122=0,1,AE122/(12*((1+AE122)^(1/12)-1)))</f>
        <v/>
      </c>
      <c r="AJ122" s="103">
        <f>IF(AF122=0,1,AF122/(12*((1+AF122)^(1/12)-1)))</f>
        <v/>
      </c>
      <c r="AK122" s="112">
        <f>D122*'3_Comparateur_detaille'!$B$16</f>
        <v/>
      </c>
      <c r="AL122" s="112">
        <f>IF('3_Comparateur_detaille'!$B$20="Privé",MIN(AK122,E122)*IF('3_Comparateur_detaille'!$B$15="cadre",J122,F122)+MAX(0,AK122-E122)*IF('3_Comparateur_detaille'!$B$15="cadre",L122,H122),AK122*SUMIFS(Donnees_regimes!$J$3:$J$1118,Donnees_regimes!$A$3:$A$1118,'3_Comparateur_detaille'!$B$20,Donnees_regimes!$B$3:$B$1118,A122))</f>
        <v/>
      </c>
      <c r="AM122" s="112">
        <f>IF('3_Comparateur_detaille'!$B$20="Privé",MIN(AK122,E122)*IF('3_Comparateur_detaille'!$B$15="cadre",K122,G122)+MAX(0,AK122-E122)*IF('3_Comparateur_detaille'!$B$15="cadre",M122,I122),AK122*SUMIFS(Donnees_regimes!$K$3:$K$1118,Donnees_regimes!$A$3:$A$1118,'3_Comparateur_detaille'!$B$20,Donnees_regimes!$B$3:$B$1118,A122))</f>
        <v/>
      </c>
      <c r="AN122" s="112">
        <f>IF('3_Comparateur_detaille'!$B$20="Privé",0,AK122*SUMIFS(Donnees_regimes!$L$3:$L$1118,Donnees_regimes!$A$3:$A$1118,'3_Comparateur_detaille'!$B$20,Donnees_regimes!$B$3:$B$1118,A122))</f>
        <v/>
      </c>
      <c r="AO122" s="113">
        <f>(AL122+AM122)/AA122*AI122/AG122</f>
        <v/>
      </c>
      <c r="AP122" s="113">
        <f>(AL122+AM122)/AA122*AJ122/AH122</f>
        <v/>
      </c>
      <c r="AQ122" s="112">
        <f>D122*'3_Comparateur_detaille'!$C$16</f>
        <v/>
      </c>
      <c r="AR122" s="112">
        <f>IF('3_Comparateur_detaille'!$C$20="Privé",MIN(AQ122,E122)*IF('3_Comparateur_detaille'!$C$15="cadre",J122,F122)+MAX(0,AQ122-E122)*IF('3_Comparateur_detaille'!$C$15="cadre",L122,H122),AQ122*SUMIFS(Donnees_regimes!$J$3:$J$1118,Donnees_regimes!$A$3:$A$1118,'3_Comparateur_detaille'!$C$20,Donnees_regimes!$B$3:$B$1118,A122))</f>
        <v/>
      </c>
      <c r="AS122" s="112">
        <f>IF('3_Comparateur_detaille'!$C$20="Privé",MIN(AQ122,E122)*IF('3_Comparateur_detaille'!$C$15="cadre",K122,G122)+MAX(0,AQ122-E122)*IF('3_Comparateur_detaille'!$C$15="cadre",M122,I122),AQ122*SUMIFS(Donnees_regimes!$K$3:$K$1118,Donnees_regimes!$A$3:$A$1118,'3_Comparateur_detaille'!$C$20,Donnees_regimes!$B$3:$B$1118,A122))</f>
        <v/>
      </c>
      <c r="AT122" s="112">
        <f>IF('3_Comparateur_detaille'!$C$20="Privé",0,AQ122*SUMIFS(Donnees_regimes!$L$3:$L$1118,Donnees_regimes!$A$3:$A$1118,'3_Comparateur_detaille'!$C$20,Donnees_regimes!$B$3:$B$1118,A122))</f>
        <v/>
      </c>
      <c r="AU122" s="113">
        <f>(AR122+AS122)/AA122*AI122/AG122</f>
        <v/>
      </c>
      <c r="AV122" s="113">
        <f>(AR122+AS122)/AA122*AJ122/AH122</f>
        <v/>
      </c>
    </row>
    <row r="123">
      <c r="A123" s="101" t="n">
        <v>2065</v>
      </c>
      <c r="B123" s="102" t="inlineStr">
        <is>
          <t>Projection</t>
        </is>
      </c>
      <c r="C123" s="103" t="n"/>
      <c r="D123" s="104" t="n">
        <v>54716.58</v>
      </c>
      <c r="E123" s="104" t="n">
        <v>63086.02</v>
      </c>
      <c r="F123" s="105" t="n">
        <v>0.11562</v>
      </c>
      <c r="G123" s="105" t="n">
        <v>0.1667</v>
      </c>
      <c r="H123" s="105" t="n">
        <v>0.10512</v>
      </c>
      <c r="I123" s="105" t="n">
        <v>0.1689</v>
      </c>
      <c r="J123" s="105" t="n">
        <v>0.11562</v>
      </c>
      <c r="K123" s="105" t="n">
        <v>0.1667</v>
      </c>
      <c r="L123" s="105" t="n">
        <v>0.10512</v>
      </c>
      <c r="M123" s="105" t="n">
        <v>0.1689</v>
      </c>
      <c r="N123" s="106">
        <f>MIN(D123,E123)*F123+MAX(0,D123-E123)*H123</f>
        <v/>
      </c>
      <c r="O123" s="106">
        <f>MIN(D123,E123)*G123+MAX(0,D123-E123)*I123</f>
        <v/>
      </c>
      <c r="P123" s="106">
        <f>N123+O123</f>
        <v/>
      </c>
      <c r="Q123" s="107">
        <f>P123/D123</f>
        <v/>
      </c>
      <c r="R123" s="106">
        <f>D123+O123</f>
        <v/>
      </c>
      <c r="S123" s="108" t="n">
        <v>35</v>
      </c>
      <c r="T123" s="108" t="n">
        <v>38.8</v>
      </c>
      <c r="U123" s="109" t="n">
        <v>227</v>
      </c>
      <c r="V123" s="110" t="n">
        <v>1596</v>
      </c>
      <c r="W123" s="110" t="n">
        <v>1768.5</v>
      </c>
      <c r="X123" s="104" t="n">
        <v>23035.7</v>
      </c>
      <c r="Y123" s="104" t="n">
        <v>22818.18</v>
      </c>
      <c r="Z123" s="108" t="n">
        <v>21.5</v>
      </c>
      <c r="AA123" s="103">
        <f>1/(1+Parametres!$B$12)^(A123-2026)</f>
        <v/>
      </c>
      <c r="AB123" s="111">
        <f>D123/AA123</f>
        <v/>
      </c>
      <c r="AC123" s="107" t="n"/>
      <c r="AD123" s="107" t="n"/>
      <c r="AE123" s="107">
        <f>((1+Parametres!$B$13)*(1+Parametres!$B$12)-1)</f>
        <v/>
      </c>
      <c r="AF123" s="107">
        <f>((1+Parametres!$B$14)*(1+Parametres!$B$12)-1)</f>
        <v/>
      </c>
      <c r="AG123" s="103">
        <f>AG122*(1+AE123)</f>
        <v/>
      </c>
      <c r="AH123" s="103">
        <f>AH122*(1+AF123)</f>
        <v/>
      </c>
      <c r="AI123" s="103">
        <f>IF(AE123=0,1,AE123/(12*((1+AE123)^(1/12)-1)))</f>
        <v/>
      </c>
      <c r="AJ123" s="103">
        <f>IF(AF123=0,1,AF123/(12*((1+AF123)^(1/12)-1)))</f>
        <v/>
      </c>
      <c r="AK123" s="112">
        <f>D123*'3_Comparateur_detaille'!$B$16</f>
        <v/>
      </c>
      <c r="AL123" s="112">
        <f>IF('3_Comparateur_detaille'!$B$20="Privé",MIN(AK123,E123)*IF('3_Comparateur_detaille'!$B$15="cadre",J123,F123)+MAX(0,AK123-E123)*IF('3_Comparateur_detaille'!$B$15="cadre",L123,H123),AK123*SUMIFS(Donnees_regimes!$J$3:$J$1118,Donnees_regimes!$A$3:$A$1118,'3_Comparateur_detaille'!$B$20,Donnees_regimes!$B$3:$B$1118,A123))</f>
        <v/>
      </c>
      <c r="AM123" s="112">
        <f>IF('3_Comparateur_detaille'!$B$20="Privé",MIN(AK123,E123)*IF('3_Comparateur_detaille'!$B$15="cadre",K123,G123)+MAX(0,AK123-E123)*IF('3_Comparateur_detaille'!$B$15="cadre",M123,I123),AK123*SUMIFS(Donnees_regimes!$K$3:$K$1118,Donnees_regimes!$A$3:$A$1118,'3_Comparateur_detaille'!$B$20,Donnees_regimes!$B$3:$B$1118,A123))</f>
        <v/>
      </c>
      <c r="AN123" s="112">
        <f>IF('3_Comparateur_detaille'!$B$20="Privé",0,AK123*SUMIFS(Donnees_regimes!$L$3:$L$1118,Donnees_regimes!$A$3:$A$1118,'3_Comparateur_detaille'!$B$20,Donnees_regimes!$B$3:$B$1118,A123))</f>
        <v/>
      </c>
      <c r="AO123" s="113">
        <f>(AL123+AM123)/AA123*AI123/AG123</f>
        <v/>
      </c>
      <c r="AP123" s="113">
        <f>(AL123+AM123)/AA123*AJ123/AH123</f>
        <v/>
      </c>
      <c r="AQ123" s="112">
        <f>D123*'3_Comparateur_detaille'!$C$16</f>
        <v/>
      </c>
      <c r="AR123" s="112">
        <f>IF('3_Comparateur_detaille'!$C$20="Privé",MIN(AQ123,E123)*IF('3_Comparateur_detaille'!$C$15="cadre",J123,F123)+MAX(0,AQ123-E123)*IF('3_Comparateur_detaille'!$C$15="cadre",L123,H123),AQ123*SUMIFS(Donnees_regimes!$J$3:$J$1118,Donnees_regimes!$A$3:$A$1118,'3_Comparateur_detaille'!$C$20,Donnees_regimes!$B$3:$B$1118,A123))</f>
        <v/>
      </c>
      <c r="AS123" s="112">
        <f>IF('3_Comparateur_detaille'!$C$20="Privé",MIN(AQ123,E123)*IF('3_Comparateur_detaille'!$C$15="cadre",K123,G123)+MAX(0,AQ123-E123)*IF('3_Comparateur_detaille'!$C$15="cadre",M123,I123),AQ123*SUMIFS(Donnees_regimes!$K$3:$K$1118,Donnees_regimes!$A$3:$A$1118,'3_Comparateur_detaille'!$C$20,Donnees_regimes!$B$3:$B$1118,A123))</f>
        <v/>
      </c>
      <c r="AT123" s="112">
        <f>IF('3_Comparateur_detaille'!$C$20="Privé",0,AQ123*SUMIFS(Donnees_regimes!$L$3:$L$1118,Donnees_regimes!$A$3:$A$1118,'3_Comparateur_detaille'!$C$20,Donnees_regimes!$B$3:$B$1118,A123))</f>
        <v/>
      </c>
      <c r="AU123" s="113">
        <f>(AR123+AS123)/AA123*AI123/AG123</f>
        <v/>
      </c>
      <c r="AV123" s="113">
        <f>(AR123+AS123)/AA123*AJ123/AH123</f>
        <v/>
      </c>
    </row>
    <row r="124">
      <c r="A124" s="101" t="n">
        <v>2066</v>
      </c>
      <c r="B124" s="102" t="inlineStr">
        <is>
          <t>Projection</t>
        </is>
      </c>
      <c r="C124" s="103" t="n"/>
      <c r="D124" s="104" t="n">
        <v>55099.6</v>
      </c>
      <c r="E124" s="104" t="n">
        <v>63527.62</v>
      </c>
      <c r="F124" s="105" t="n">
        <v>0.11562</v>
      </c>
      <c r="G124" s="105" t="n">
        <v>0.1667</v>
      </c>
      <c r="H124" s="105" t="n">
        <v>0.10512</v>
      </c>
      <c r="I124" s="105" t="n">
        <v>0.1689</v>
      </c>
      <c r="J124" s="105" t="n">
        <v>0.11562</v>
      </c>
      <c r="K124" s="105" t="n">
        <v>0.1667</v>
      </c>
      <c r="L124" s="105" t="n">
        <v>0.10512</v>
      </c>
      <c r="M124" s="105" t="n">
        <v>0.1689</v>
      </c>
      <c r="N124" s="106">
        <f>MIN(D124,E124)*F124+MAX(0,D124-E124)*H124</f>
        <v/>
      </c>
      <c r="O124" s="106">
        <f>MIN(D124,E124)*G124+MAX(0,D124-E124)*I124</f>
        <v/>
      </c>
      <c r="P124" s="106">
        <f>N124+O124</f>
        <v/>
      </c>
      <c r="Q124" s="107">
        <f>P124/D124</f>
        <v/>
      </c>
      <c r="R124" s="106">
        <f>D124+O124</f>
        <v/>
      </c>
      <c r="S124" s="108" t="n">
        <v>35</v>
      </c>
      <c r="T124" s="108" t="n">
        <v>38.8</v>
      </c>
      <c r="U124" s="109" t="n">
        <v>229</v>
      </c>
      <c r="V124" s="110" t="n">
        <v>1610</v>
      </c>
      <c r="W124" s="110" t="n">
        <v>1784</v>
      </c>
      <c r="X124" s="104" t="n">
        <v>23112.17</v>
      </c>
      <c r="Y124" s="104" t="n">
        <v>22893.93</v>
      </c>
      <c r="Z124" s="108" t="n">
        <v>21.5</v>
      </c>
      <c r="AA124" s="103">
        <f>1/(1+Parametres!$B$12)^(A124-2026)</f>
        <v/>
      </c>
      <c r="AB124" s="111">
        <f>D124/AA124</f>
        <v/>
      </c>
      <c r="AC124" s="107" t="n"/>
      <c r="AD124" s="107" t="n"/>
      <c r="AE124" s="107">
        <f>((1+Parametres!$B$13)*(1+Parametres!$B$12)-1)</f>
        <v/>
      </c>
      <c r="AF124" s="107">
        <f>((1+Parametres!$B$14)*(1+Parametres!$B$12)-1)</f>
        <v/>
      </c>
      <c r="AG124" s="103">
        <f>AG123*(1+AE124)</f>
        <v/>
      </c>
      <c r="AH124" s="103">
        <f>AH123*(1+AF124)</f>
        <v/>
      </c>
      <c r="AI124" s="103">
        <f>IF(AE124=0,1,AE124/(12*((1+AE124)^(1/12)-1)))</f>
        <v/>
      </c>
      <c r="AJ124" s="103">
        <f>IF(AF124=0,1,AF124/(12*((1+AF124)^(1/12)-1)))</f>
        <v/>
      </c>
      <c r="AK124" s="112">
        <f>D124*'3_Comparateur_detaille'!$B$16</f>
        <v/>
      </c>
      <c r="AL124" s="112">
        <f>IF('3_Comparateur_detaille'!$B$20="Privé",MIN(AK124,E124)*IF('3_Comparateur_detaille'!$B$15="cadre",J124,F124)+MAX(0,AK124-E124)*IF('3_Comparateur_detaille'!$B$15="cadre",L124,H124),AK124*SUMIFS(Donnees_regimes!$J$3:$J$1118,Donnees_regimes!$A$3:$A$1118,'3_Comparateur_detaille'!$B$20,Donnees_regimes!$B$3:$B$1118,A124))</f>
        <v/>
      </c>
      <c r="AM124" s="112">
        <f>IF('3_Comparateur_detaille'!$B$20="Privé",MIN(AK124,E124)*IF('3_Comparateur_detaille'!$B$15="cadre",K124,G124)+MAX(0,AK124-E124)*IF('3_Comparateur_detaille'!$B$15="cadre",M124,I124),AK124*SUMIFS(Donnees_regimes!$K$3:$K$1118,Donnees_regimes!$A$3:$A$1118,'3_Comparateur_detaille'!$B$20,Donnees_regimes!$B$3:$B$1118,A124))</f>
        <v/>
      </c>
      <c r="AN124" s="112">
        <f>IF('3_Comparateur_detaille'!$B$20="Privé",0,AK124*SUMIFS(Donnees_regimes!$L$3:$L$1118,Donnees_regimes!$A$3:$A$1118,'3_Comparateur_detaille'!$B$20,Donnees_regimes!$B$3:$B$1118,A124))</f>
        <v/>
      </c>
      <c r="AO124" s="113">
        <f>(AL124+AM124)/AA124*AI124/AG124</f>
        <v/>
      </c>
      <c r="AP124" s="113">
        <f>(AL124+AM124)/AA124*AJ124/AH124</f>
        <v/>
      </c>
      <c r="AQ124" s="112">
        <f>D124*'3_Comparateur_detaille'!$C$16</f>
        <v/>
      </c>
      <c r="AR124" s="112">
        <f>IF('3_Comparateur_detaille'!$C$20="Privé",MIN(AQ124,E124)*IF('3_Comparateur_detaille'!$C$15="cadre",J124,F124)+MAX(0,AQ124-E124)*IF('3_Comparateur_detaille'!$C$15="cadre",L124,H124),AQ124*SUMIFS(Donnees_regimes!$J$3:$J$1118,Donnees_regimes!$A$3:$A$1118,'3_Comparateur_detaille'!$C$20,Donnees_regimes!$B$3:$B$1118,A124))</f>
        <v/>
      </c>
      <c r="AS124" s="112">
        <f>IF('3_Comparateur_detaille'!$C$20="Privé",MIN(AQ124,E124)*IF('3_Comparateur_detaille'!$C$15="cadre",K124,G124)+MAX(0,AQ124-E124)*IF('3_Comparateur_detaille'!$C$15="cadre",M124,I124),AQ124*SUMIFS(Donnees_regimes!$K$3:$K$1118,Donnees_regimes!$A$3:$A$1118,'3_Comparateur_detaille'!$C$20,Donnees_regimes!$B$3:$B$1118,A124))</f>
        <v/>
      </c>
      <c r="AT124" s="112">
        <f>IF('3_Comparateur_detaille'!$C$20="Privé",0,AQ124*SUMIFS(Donnees_regimes!$L$3:$L$1118,Donnees_regimes!$A$3:$A$1118,'3_Comparateur_detaille'!$C$20,Donnees_regimes!$B$3:$B$1118,A124))</f>
        <v/>
      </c>
      <c r="AU124" s="113">
        <f>(AR124+AS124)/AA124*AI124/AG124</f>
        <v/>
      </c>
      <c r="AV124" s="113">
        <f>(AR124+AS124)/AA124*AJ124/AH124</f>
        <v/>
      </c>
    </row>
    <row r="125">
      <c r="A125" s="101" t="n">
        <v>2067</v>
      </c>
      <c r="B125" s="102" t="inlineStr">
        <is>
          <t>Projection</t>
        </is>
      </c>
      <c r="C125" s="103" t="n"/>
      <c r="D125" s="104" t="n">
        <v>55485.3</v>
      </c>
      <c r="E125" s="104" t="n">
        <v>63972.31</v>
      </c>
      <c r="F125" s="105" t="n">
        <v>0.11562</v>
      </c>
      <c r="G125" s="105" t="n">
        <v>0.1667</v>
      </c>
      <c r="H125" s="105" t="n">
        <v>0.10512</v>
      </c>
      <c r="I125" s="105" t="n">
        <v>0.1689</v>
      </c>
      <c r="J125" s="105" t="n">
        <v>0.11562</v>
      </c>
      <c r="K125" s="105" t="n">
        <v>0.1667</v>
      </c>
      <c r="L125" s="105" t="n">
        <v>0.10512</v>
      </c>
      <c r="M125" s="105" t="n">
        <v>0.1689</v>
      </c>
      <c r="N125" s="106">
        <f>MIN(D125,E125)*F125+MAX(0,D125-E125)*H125</f>
        <v/>
      </c>
      <c r="O125" s="106">
        <f>MIN(D125,E125)*G125+MAX(0,D125-E125)*I125</f>
        <v/>
      </c>
      <c r="P125" s="106">
        <f>N125+O125</f>
        <v/>
      </c>
      <c r="Q125" s="107">
        <f>P125/D125</f>
        <v/>
      </c>
      <c r="R125" s="106">
        <f>D125+O125</f>
        <v/>
      </c>
      <c r="S125" s="108" t="n">
        <v>35</v>
      </c>
      <c r="T125" s="108" t="n">
        <v>38.8</v>
      </c>
      <c r="U125" s="109" t="n">
        <v>228</v>
      </c>
      <c r="V125" s="110" t="n">
        <v>1603</v>
      </c>
      <c r="W125" s="110" t="n">
        <v>1776.3</v>
      </c>
      <c r="X125" s="104" t="n">
        <v>23188.59</v>
      </c>
      <c r="Y125" s="104" t="n">
        <v>22969.63</v>
      </c>
      <c r="Z125" s="108" t="n">
        <v>21.5</v>
      </c>
      <c r="AA125" s="103">
        <f>1/(1+Parametres!$B$12)^(A125-2026)</f>
        <v/>
      </c>
      <c r="AB125" s="111">
        <f>D125/AA125</f>
        <v/>
      </c>
      <c r="AC125" s="107" t="n"/>
      <c r="AD125" s="107" t="n"/>
      <c r="AE125" s="107">
        <f>((1+Parametres!$B$13)*(1+Parametres!$B$12)-1)</f>
        <v/>
      </c>
      <c r="AF125" s="107">
        <f>((1+Parametres!$B$14)*(1+Parametres!$B$12)-1)</f>
        <v/>
      </c>
      <c r="AG125" s="103">
        <f>AG124*(1+AE125)</f>
        <v/>
      </c>
      <c r="AH125" s="103">
        <f>AH124*(1+AF125)</f>
        <v/>
      </c>
      <c r="AI125" s="103">
        <f>IF(AE125=0,1,AE125/(12*((1+AE125)^(1/12)-1)))</f>
        <v/>
      </c>
      <c r="AJ125" s="103">
        <f>IF(AF125=0,1,AF125/(12*((1+AF125)^(1/12)-1)))</f>
        <v/>
      </c>
      <c r="AK125" s="112">
        <f>D125*'3_Comparateur_detaille'!$B$16</f>
        <v/>
      </c>
      <c r="AL125" s="112">
        <f>IF('3_Comparateur_detaille'!$B$20="Privé",MIN(AK125,E125)*IF('3_Comparateur_detaille'!$B$15="cadre",J125,F125)+MAX(0,AK125-E125)*IF('3_Comparateur_detaille'!$B$15="cadre",L125,H125),AK125*SUMIFS(Donnees_regimes!$J$3:$J$1118,Donnees_regimes!$A$3:$A$1118,'3_Comparateur_detaille'!$B$20,Donnees_regimes!$B$3:$B$1118,A125))</f>
        <v/>
      </c>
      <c r="AM125" s="112">
        <f>IF('3_Comparateur_detaille'!$B$20="Privé",MIN(AK125,E125)*IF('3_Comparateur_detaille'!$B$15="cadre",K125,G125)+MAX(0,AK125-E125)*IF('3_Comparateur_detaille'!$B$15="cadre",M125,I125),AK125*SUMIFS(Donnees_regimes!$K$3:$K$1118,Donnees_regimes!$A$3:$A$1118,'3_Comparateur_detaille'!$B$20,Donnees_regimes!$B$3:$B$1118,A125))</f>
        <v/>
      </c>
      <c r="AN125" s="112">
        <f>IF('3_Comparateur_detaille'!$B$20="Privé",0,AK125*SUMIFS(Donnees_regimes!$L$3:$L$1118,Donnees_regimes!$A$3:$A$1118,'3_Comparateur_detaille'!$B$20,Donnees_regimes!$B$3:$B$1118,A125))</f>
        <v/>
      </c>
      <c r="AO125" s="113">
        <f>(AL125+AM125)/AA125*AI125/AG125</f>
        <v/>
      </c>
      <c r="AP125" s="113">
        <f>(AL125+AM125)/AA125*AJ125/AH125</f>
        <v/>
      </c>
      <c r="AQ125" s="112">
        <f>D125*'3_Comparateur_detaille'!$C$16</f>
        <v/>
      </c>
      <c r="AR125" s="112">
        <f>IF('3_Comparateur_detaille'!$C$20="Privé",MIN(AQ125,E125)*IF('3_Comparateur_detaille'!$C$15="cadre",J125,F125)+MAX(0,AQ125-E125)*IF('3_Comparateur_detaille'!$C$15="cadre",L125,H125),AQ125*SUMIFS(Donnees_regimes!$J$3:$J$1118,Donnees_regimes!$A$3:$A$1118,'3_Comparateur_detaille'!$C$20,Donnees_regimes!$B$3:$B$1118,A125))</f>
        <v/>
      </c>
      <c r="AS125" s="112">
        <f>IF('3_Comparateur_detaille'!$C$20="Privé",MIN(AQ125,E125)*IF('3_Comparateur_detaille'!$C$15="cadre",K125,G125)+MAX(0,AQ125-E125)*IF('3_Comparateur_detaille'!$C$15="cadre",M125,I125),AQ125*SUMIFS(Donnees_regimes!$K$3:$K$1118,Donnees_regimes!$A$3:$A$1118,'3_Comparateur_detaille'!$C$20,Donnees_regimes!$B$3:$B$1118,A125))</f>
        <v/>
      </c>
      <c r="AT125" s="112">
        <f>IF('3_Comparateur_detaille'!$C$20="Privé",0,AQ125*SUMIFS(Donnees_regimes!$L$3:$L$1118,Donnees_regimes!$A$3:$A$1118,'3_Comparateur_detaille'!$C$20,Donnees_regimes!$B$3:$B$1118,A125))</f>
        <v/>
      </c>
      <c r="AU125" s="113">
        <f>(AR125+AS125)/AA125*AI125/AG125</f>
        <v/>
      </c>
      <c r="AV125" s="113">
        <f>(AR125+AS125)/AA125*AJ125/AH125</f>
        <v/>
      </c>
    </row>
    <row r="126">
      <c r="A126" s="101" t="n">
        <v>2068</v>
      </c>
      <c r="B126" s="102" t="inlineStr">
        <is>
          <t>Projection</t>
        </is>
      </c>
      <c r="C126" s="103" t="n"/>
      <c r="D126" s="104" t="n">
        <v>55873.69</v>
      </c>
      <c r="E126" s="104" t="n">
        <v>64420.12</v>
      </c>
      <c r="F126" s="105" t="n">
        <v>0.11562</v>
      </c>
      <c r="G126" s="105" t="n">
        <v>0.1667</v>
      </c>
      <c r="H126" s="105" t="n">
        <v>0.10512</v>
      </c>
      <c r="I126" s="105" t="n">
        <v>0.1689</v>
      </c>
      <c r="J126" s="105" t="n">
        <v>0.11562</v>
      </c>
      <c r="K126" s="105" t="n">
        <v>0.1667</v>
      </c>
      <c r="L126" s="105" t="n">
        <v>0.10512</v>
      </c>
      <c r="M126" s="105" t="n">
        <v>0.1689</v>
      </c>
      <c r="N126" s="106">
        <f>MIN(D126,E126)*F126+MAX(0,D126-E126)*H126</f>
        <v/>
      </c>
      <c r="O126" s="106">
        <f>MIN(D126,E126)*G126+MAX(0,D126-E126)*I126</f>
        <v/>
      </c>
      <c r="P126" s="106">
        <f>N126+O126</f>
        <v/>
      </c>
      <c r="Q126" s="107">
        <f>P126/D126</f>
        <v/>
      </c>
      <c r="R126" s="106">
        <f>D126+O126</f>
        <v/>
      </c>
      <c r="S126" s="108" t="n">
        <v>35</v>
      </c>
      <c r="T126" s="108" t="n">
        <v>38.8</v>
      </c>
      <c r="U126" s="109" t="n">
        <v>228</v>
      </c>
      <c r="V126" s="110" t="n">
        <v>1603</v>
      </c>
      <c r="W126" s="110" t="n">
        <v>1776.3</v>
      </c>
      <c r="X126" s="104" t="n">
        <v>23264.95</v>
      </c>
      <c r="Y126" s="104" t="n">
        <v>23045.26</v>
      </c>
      <c r="Z126" s="108" t="n">
        <v>21.5</v>
      </c>
      <c r="AA126" s="103">
        <f>1/(1+Parametres!$B$12)^(A126-2026)</f>
        <v/>
      </c>
      <c r="AB126" s="111">
        <f>D126/AA126</f>
        <v/>
      </c>
      <c r="AC126" s="107" t="n"/>
      <c r="AD126" s="107" t="n"/>
      <c r="AE126" s="107">
        <f>((1+Parametres!$B$13)*(1+Parametres!$B$12)-1)</f>
        <v/>
      </c>
      <c r="AF126" s="107">
        <f>((1+Parametres!$B$14)*(1+Parametres!$B$12)-1)</f>
        <v/>
      </c>
      <c r="AG126" s="103">
        <f>AG125*(1+AE126)</f>
        <v/>
      </c>
      <c r="AH126" s="103">
        <f>AH125*(1+AF126)</f>
        <v/>
      </c>
      <c r="AI126" s="103">
        <f>IF(AE126=0,1,AE126/(12*((1+AE126)^(1/12)-1)))</f>
        <v/>
      </c>
      <c r="AJ126" s="103">
        <f>IF(AF126=0,1,AF126/(12*((1+AF126)^(1/12)-1)))</f>
        <v/>
      </c>
      <c r="AK126" s="112">
        <f>D126*'3_Comparateur_detaille'!$B$16</f>
        <v/>
      </c>
      <c r="AL126" s="112">
        <f>IF('3_Comparateur_detaille'!$B$20="Privé",MIN(AK126,E126)*IF('3_Comparateur_detaille'!$B$15="cadre",J126,F126)+MAX(0,AK126-E126)*IF('3_Comparateur_detaille'!$B$15="cadre",L126,H126),AK126*SUMIFS(Donnees_regimes!$J$3:$J$1118,Donnees_regimes!$A$3:$A$1118,'3_Comparateur_detaille'!$B$20,Donnees_regimes!$B$3:$B$1118,A126))</f>
        <v/>
      </c>
      <c r="AM126" s="112">
        <f>IF('3_Comparateur_detaille'!$B$20="Privé",MIN(AK126,E126)*IF('3_Comparateur_detaille'!$B$15="cadre",K126,G126)+MAX(0,AK126-E126)*IF('3_Comparateur_detaille'!$B$15="cadre",M126,I126),AK126*SUMIFS(Donnees_regimes!$K$3:$K$1118,Donnees_regimes!$A$3:$A$1118,'3_Comparateur_detaille'!$B$20,Donnees_regimes!$B$3:$B$1118,A126))</f>
        <v/>
      </c>
      <c r="AN126" s="112">
        <f>IF('3_Comparateur_detaille'!$B$20="Privé",0,AK126*SUMIFS(Donnees_regimes!$L$3:$L$1118,Donnees_regimes!$A$3:$A$1118,'3_Comparateur_detaille'!$B$20,Donnees_regimes!$B$3:$B$1118,A126))</f>
        <v/>
      </c>
      <c r="AO126" s="113">
        <f>(AL126+AM126)/AA126*AI126/AG126</f>
        <v/>
      </c>
      <c r="AP126" s="113">
        <f>(AL126+AM126)/AA126*AJ126/AH126</f>
        <v/>
      </c>
      <c r="AQ126" s="112">
        <f>D126*'3_Comparateur_detaille'!$C$16</f>
        <v/>
      </c>
      <c r="AR126" s="112">
        <f>IF('3_Comparateur_detaille'!$C$20="Privé",MIN(AQ126,E126)*IF('3_Comparateur_detaille'!$C$15="cadre",J126,F126)+MAX(0,AQ126-E126)*IF('3_Comparateur_detaille'!$C$15="cadre",L126,H126),AQ126*SUMIFS(Donnees_regimes!$J$3:$J$1118,Donnees_regimes!$A$3:$A$1118,'3_Comparateur_detaille'!$C$20,Donnees_regimes!$B$3:$B$1118,A126))</f>
        <v/>
      </c>
      <c r="AS126" s="112">
        <f>IF('3_Comparateur_detaille'!$C$20="Privé",MIN(AQ126,E126)*IF('3_Comparateur_detaille'!$C$15="cadre",K126,G126)+MAX(0,AQ126-E126)*IF('3_Comparateur_detaille'!$C$15="cadre",M126,I126),AQ126*SUMIFS(Donnees_regimes!$K$3:$K$1118,Donnees_regimes!$A$3:$A$1118,'3_Comparateur_detaille'!$C$20,Donnees_regimes!$B$3:$B$1118,A126))</f>
        <v/>
      </c>
      <c r="AT126" s="112">
        <f>IF('3_Comparateur_detaille'!$C$20="Privé",0,AQ126*SUMIFS(Donnees_regimes!$L$3:$L$1118,Donnees_regimes!$A$3:$A$1118,'3_Comparateur_detaille'!$C$20,Donnees_regimes!$B$3:$B$1118,A126))</f>
        <v/>
      </c>
      <c r="AU126" s="113">
        <f>(AR126+AS126)/AA126*AI126/AG126</f>
        <v/>
      </c>
      <c r="AV126" s="113">
        <f>(AR126+AS126)/AA126*AJ126/AH126</f>
        <v/>
      </c>
    </row>
    <row r="127">
      <c r="A127" s="101" t="n">
        <v>2069</v>
      </c>
      <c r="B127" s="102" t="inlineStr">
        <is>
          <t>Projection</t>
        </is>
      </c>
      <c r="C127" s="103" t="n"/>
      <c r="D127" s="104" t="n">
        <v>56264.81</v>
      </c>
      <c r="E127" s="104" t="n">
        <v>64871.06</v>
      </c>
      <c r="F127" s="105" t="n">
        <v>0.11562</v>
      </c>
      <c r="G127" s="105" t="n">
        <v>0.1667</v>
      </c>
      <c r="H127" s="105" t="n">
        <v>0.10512</v>
      </c>
      <c r="I127" s="105" t="n">
        <v>0.1689</v>
      </c>
      <c r="J127" s="105" t="n">
        <v>0.11562</v>
      </c>
      <c r="K127" s="105" t="n">
        <v>0.1667</v>
      </c>
      <c r="L127" s="105" t="n">
        <v>0.10512</v>
      </c>
      <c r="M127" s="105" t="n">
        <v>0.1689</v>
      </c>
      <c r="N127" s="106">
        <f>MIN(D127,E127)*F127+MAX(0,D127-E127)*H127</f>
        <v/>
      </c>
      <c r="O127" s="106">
        <f>MIN(D127,E127)*G127+MAX(0,D127-E127)*I127</f>
        <v/>
      </c>
      <c r="P127" s="106">
        <f>N127+O127</f>
        <v/>
      </c>
      <c r="Q127" s="107">
        <f>P127/D127</f>
        <v/>
      </c>
      <c r="R127" s="106">
        <f>D127+O127</f>
        <v/>
      </c>
      <c r="S127" s="108" t="n">
        <v>35</v>
      </c>
      <c r="T127" s="108" t="n">
        <v>38.8</v>
      </c>
      <c r="U127" s="109" t="n">
        <v>226</v>
      </c>
      <c r="V127" s="110" t="n">
        <v>1589</v>
      </c>
      <c r="W127" s="110" t="n">
        <v>1760.8</v>
      </c>
      <c r="X127" s="104" t="n">
        <v>23341.24</v>
      </c>
      <c r="Y127" s="104" t="n">
        <v>23120.83</v>
      </c>
      <c r="Z127" s="108" t="n">
        <v>21.5</v>
      </c>
      <c r="AA127" s="103">
        <f>1/(1+Parametres!$B$12)^(A127-2026)</f>
        <v/>
      </c>
      <c r="AB127" s="111">
        <f>D127/AA127</f>
        <v/>
      </c>
      <c r="AC127" s="107" t="n"/>
      <c r="AD127" s="107" t="n"/>
      <c r="AE127" s="107">
        <f>((1+Parametres!$B$13)*(1+Parametres!$B$12)-1)</f>
        <v/>
      </c>
      <c r="AF127" s="107">
        <f>((1+Parametres!$B$14)*(1+Parametres!$B$12)-1)</f>
        <v/>
      </c>
      <c r="AG127" s="103">
        <f>AG126*(1+AE127)</f>
        <v/>
      </c>
      <c r="AH127" s="103">
        <f>AH126*(1+AF127)</f>
        <v/>
      </c>
      <c r="AI127" s="103">
        <f>IF(AE127=0,1,AE127/(12*((1+AE127)^(1/12)-1)))</f>
        <v/>
      </c>
      <c r="AJ127" s="103">
        <f>IF(AF127=0,1,AF127/(12*((1+AF127)^(1/12)-1)))</f>
        <v/>
      </c>
      <c r="AK127" s="112">
        <f>D127*'3_Comparateur_detaille'!$B$16</f>
        <v/>
      </c>
      <c r="AL127" s="112">
        <f>IF('3_Comparateur_detaille'!$B$20="Privé",MIN(AK127,E127)*IF('3_Comparateur_detaille'!$B$15="cadre",J127,F127)+MAX(0,AK127-E127)*IF('3_Comparateur_detaille'!$B$15="cadre",L127,H127),AK127*SUMIFS(Donnees_regimes!$J$3:$J$1118,Donnees_regimes!$A$3:$A$1118,'3_Comparateur_detaille'!$B$20,Donnees_regimes!$B$3:$B$1118,A127))</f>
        <v/>
      </c>
      <c r="AM127" s="112">
        <f>IF('3_Comparateur_detaille'!$B$20="Privé",MIN(AK127,E127)*IF('3_Comparateur_detaille'!$B$15="cadre",K127,G127)+MAX(0,AK127-E127)*IF('3_Comparateur_detaille'!$B$15="cadre",M127,I127),AK127*SUMIFS(Donnees_regimes!$K$3:$K$1118,Donnees_regimes!$A$3:$A$1118,'3_Comparateur_detaille'!$B$20,Donnees_regimes!$B$3:$B$1118,A127))</f>
        <v/>
      </c>
      <c r="AN127" s="112">
        <f>IF('3_Comparateur_detaille'!$B$20="Privé",0,AK127*SUMIFS(Donnees_regimes!$L$3:$L$1118,Donnees_regimes!$A$3:$A$1118,'3_Comparateur_detaille'!$B$20,Donnees_regimes!$B$3:$B$1118,A127))</f>
        <v/>
      </c>
      <c r="AO127" s="113">
        <f>(AL127+AM127)/AA127*AI127/AG127</f>
        <v/>
      </c>
      <c r="AP127" s="113">
        <f>(AL127+AM127)/AA127*AJ127/AH127</f>
        <v/>
      </c>
      <c r="AQ127" s="112">
        <f>D127*'3_Comparateur_detaille'!$C$16</f>
        <v/>
      </c>
      <c r="AR127" s="112">
        <f>IF('3_Comparateur_detaille'!$C$20="Privé",MIN(AQ127,E127)*IF('3_Comparateur_detaille'!$C$15="cadre",J127,F127)+MAX(0,AQ127-E127)*IF('3_Comparateur_detaille'!$C$15="cadre",L127,H127),AQ127*SUMIFS(Donnees_regimes!$J$3:$J$1118,Donnees_regimes!$A$3:$A$1118,'3_Comparateur_detaille'!$C$20,Donnees_regimes!$B$3:$B$1118,A127))</f>
        <v/>
      </c>
      <c r="AS127" s="112">
        <f>IF('3_Comparateur_detaille'!$C$20="Privé",MIN(AQ127,E127)*IF('3_Comparateur_detaille'!$C$15="cadre",K127,G127)+MAX(0,AQ127-E127)*IF('3_Comparateur_detaille'!$C$15="cadre",M127,I127),AQ127*SUMIFS(Donnees_regimes!$K$3:$K$1118,Donnees_regimes!$A$3:$A$1118,'3_Comparateur_detaille'!$C$20,Donnees_regimes!$B$3:$B$1118,A127))</f>
        <v/>
      </c>
      <c r="AT127" s="112">
        <f>IF('3_Comparateur_detaille'!$C$20="Privé",0,AQ127*SUMIFS(Donnees_regimes!$L$3:$L$1118,Donnees_regimes!$A$3:$A$1118,'3_Comparateur_detaille'!$C$20,Donnees_regimes!$B$3:$B$1118,A127))</f>
        <v/>
      </c>
      <c r="AU127" s="113">
        <f>(AR127+AS127)/AA127*AI127/AG127</f>
        <v/>
      </c>
      <c r="AV127" s="113">
        <f>(AR127+AS127)/AA127*AJ127/AH127</f>
        <v/>
      </c>
    </row>
    <row r="128">
      <c r="A128" s="101" t="n">
        <v>2070</v>
      </c>
      <c r="B128" s="102" t="inlineStr">
        <is>
          <t>Projection</t>
        </is>
      </c>
      <c r="C128" s="103" t="n"/>
      <c r="D128" s="104" t="n">
        <v>56658.66</v>
      </c>
      <c r="E128" s="104" t="n">
        <v>65325.16</v>
      </c>
      <c r="F128" s="105" t="n">
        <v>0.11562</v>
      </c>
      <c r="G128" s="105" t="n">
        <v>0.1667</v>
      </c>
      <c r="H128" s="105" t="n">
        <v>0.10512</v>
      </c>
      <c r="I128" s="105" t="n">
        <v>0.1689</v>
      </c>
      <c r="J128" s="105" t="n">
        <v>0.11562</v>
      </c>
      <c r="K128" s="105" t="n">
        <v>0.1667</v>
      </c>
      <c r="L128" s="105" t="n">
        <v>0.10512</v>
      </c>
      <c r="M128" s="105" t="n">
        <v>0.1689</v>
      </c>
      <c r="N128" s="106">
        <f>MIN(D128,E128)*F128+MAX(0,D128-E128)*H128</f>
        <v/>
      </c>
      <c r="O128" s="106">
        <f>MIN(D128,E128)*G128+MAX(0,D128-E128)*I128</f>
        <v/>
      </c>
      <c r="P128" s="106">
        <f>N128+O128</f>
        <v/>
      </c>
      <c r="Q128" s="107">
        <f>P128/D128</f>
        <v/>
      </c>
      <c r="R128" s="106">
        <f>D128+O128</f>
        <v/>
      </c>
      <c r="S128" s="108" t="n">
        <v>35</v>
      </c>
      <c r="T128" s="108" t="n">
        <v>38.8</v>
      </c>
      <c r="U128" s="109" t="n">
        <v>226</v>
      </c>
      <c r="V128" s="110" t="n">
        <v>1589</v>
      </c>
      <c r="W128" s="110" t="n">
        <v>1760.8</v>
      </c>
      <c r="X128" s="104" t="n">
        <v>23417.46</v>
      </c>
      <c r="Y128" s="104" t="n">
        <v>23196.33</v>
      </c>
      <c r="Z128" s="108" t="n">
        <v>21.5</v>
      </c>
      <c r="AA128" s="103">
        <f>1/(1+Parametres!$B$12)^(A128-2026)</f>
        <v/>
      </c>
      <c r="AB128" s="111">
        <f>D128/AA128</f>
        <v/>
      </c>
      <c r="AC128" s="107" t="n"/>
      <c r="AD128" s="107" t="n"/>
      <c r="AE128" s="107">
        <f>((1+Parametres!$B$13)*(1+Parametres!$B$12)-1)</f>
        <v/>
      </c>
      <c r="AF128" s="107">
        <f>((1+Parametres!$B$14)*(1+Parametres!$B$12)-1)</f>
        <v/>
      </c>
      <c r="AG128" s="103">
        <f>AG127*(1+AE128)</f>
        <v/>
      </c>
      <c r="AH128" s="103">
        <f>AH127*(1+AF128)</f>
        <v/>
      </c>
      <c r="AI128" s="103">
        <f>IF(AE128=0,1,AE128/(12*((1+AE128)^(1/12)-1)))</f>
        <v/>
      </c>
      <c r="AJ128" s="103">
        <f>IF(AF128=0,1,AF128/(12*((1+AF128)^(1/12)-1)))</f>
        <v/>
      </c>
      <c r="AK128" s="112">
        <f>D128*'3_Comparateur_detaille'!$B$16</f>
        <v/>
      </c>
      <c r="AL128" s="112">
        <f>IF('3_Comparateur_detaille'!$B$20="Privé",MIN(AK128,E128)*IF('3_Comparateur_detaille'!$B$15="cadre",J128,F128)+MAX(0,AK128-E128)*IF('3_Comparateur_detaille'!$B$15="cadre",L128,H128),AK128*SUMIFS(Donnees_regimes!$J$3:$J$1118,Donnees_regimes!$A$3:$A$1118,'3_Comparateur_detaille'!$B$20,Donnees_regimes!$B$3:$B$1118,A128))</f>
        <v/>
      </c>
      <c r="AM128" s="112">
        <f>IF('3_Comparateur_detaille'!$B$20="Privé",MIN(AK128,E128)*IF('3_Comparateur_detaille'!$B$15="cadre",K128,G128)+MAX(0,AK128-E128)*IF('3_Comparateur_detaille'!$B$15="cadre",M128,I128),AK128*SUMIFS(Donnees_regimes!$K$3:$K$1118,Donnees_regimes!$A$3:$A$1118,'3_Comparateur_detaille'!$B$20,Donnees_regimes!$B$3:$B$1118,A128))</f>
        <v/>
      </c>
      <c r="AN128" s="112">
        <f>IF('3_Comparateur_detaille'!$B$20="Privé",0,AK128*SUMIFS(Donnees_regimes!$L$3:$L$1118,Donnees_regimes!$A$3:$A$1118,'3_Comparateur_detaille'!$B$20,Donnees_regimes!$B$3:$B$1118,A128))</f>
        <v/>
      </c>
      <c r="AO128" s="113">
        <f>(AL128+AM128)/AA128*AI128/AG128</f>
        <v/>
      </c>
      <c r="AP128" s="113">
        <f>(AL128+AM128)/AA128*AJ128/AH128</f>
        <v/>
      </c>
      <c r="AQ128" s="112">
        <f>D128*'3_Comparateur_detaille'!$C$16</f>
        <v/>
      </c>
      <c r="AR128" s="112">
        <f>IF('3_Comparateur_detaille'!$C$20="Privé",MIN(AQ128,E128)*IF('3_Comparateur_detaille'!$C$15="cadre",J128,F128)+MAX(0,AQ128-E128)*IF('3_Comparateur_detaille'!$C$15="cadre",L128,H128),AQ128*SUMIFS(Donnees_regimes!$J$3:$J$1118,Donnees_regimes!$A$3:$A$1118,'3_Comparateur_detaille'!$C$20,Donnees_regimes!$B$3:$B$1118,A128))</f>
        <v/>
      </c>
      <c r="AS128" s="112">
        <f>IF('3_Comparateur_detaille'!$C$20="Privé",MIN(AQ128,E128)*IF('3_Comparateur_detaille'!$C$15="cadre",K128,G128)+MAX(0,AQ128-E128)*IF('3_Comparateur_detaille'!$C$15="cadre",M128,I128),AQ128*SUMIFS(Donnees_regimes!$K$3:$K$1118,Donnees_regimes!$A$3:$A$1118,'3_Comparateur_detaille'!$C$20,Donnees_regimes!$B$3:$B$1118,A128))</f>
        <v/>
      </c>
      <c r="AT128" s="112">
        <f>IF('3_Comparateur_detaille'!$C$20="Privé",0,AQ128*SUMIFS(Donnees_regimes!$L$3:$L$1118,Donnees_regimes!$A$3:$A$1118,'3_Comparateur_detaille'!$C$20,Donnees_regimes!$B$3:$B$1118,A128))</f>
        <v/>
      </c>
      <c r="AU128" s="113">
        <f>(AR128+AS128)/AA128*AI128/AG128</f>
        <v/>
      </c>
      <c r="AV128" s="113">
        <f>(AR128+AS128)/AA128*AJ128/AH128</f>
        <v/>
      </c>
    </row>
    <row r="129">
      <c r="A129" s="101" t="n">
        <v>2071</v>
      </c>
      <c r="B129" s="102" t="inlineStr">
        <is>
          <t>Projection</t>
        </is>
      </c>
      <c r="C129" s="103" t="n"/>
      <c r="D129" s="104" t="n">
        <v>57055.27</v>
      </c>
      <c r="E129" s="104" t="n">
        <v>65782.42999999999</v>
      </c>
      <c r="F129" s="105" t="n">
        <v>0.11562</v>
      </c>
      <c r="G129" s="105" t="n">
        <v>0.1667</v>
      </c>
      <c r="H129" s="105" t="n">
        <v>0.10512</v>
      </c>
      <c r="I129" s="105" t="n">
        <v>0.1689</v>
      </c>
      <c r="J129" s="105" t="n">
        <v>0.11562</v>
      </c>
      <c r="K129" s="105" t="n">
        <v>0.1667</v>
      </c>
      <c r="L129" s="105" t="n">
        <v>0.10512</v>
      </c>
      <c r="M129" s="105" t="n">
        <v>0.1689</v>
      </c>
      <c r="N129" s="106">
        <f>MIN(D129,E129)*F129+MAX(0,D129-E129)*H129</f>
        <v/>
      </c>
      <c r="O129" s="106">
        <f>MIN(D129,E129)*G129+MAX(0,D129-E129)*I129</f>
        <v/>
      </c>
      <c r="P129" s="106">
        <f>N129+O129</f>
        <v/>
      </c>
      <c r="Q129" s="107">
        <f>P129/D129</f>
        <v/>
      </c>
      <c r="R129" s="106">
        <f>D129+O129</f>
        <v/>
      </c>
      <c r="S129" s="108" t="n">
        <v>35</v>
      </c>
      <c r="T129" s="108" t="n">
        <v>38.8</v>
      </c>
      <c r="U129" s="109" t="n">
        <v>227</v>
      </c>
      <c r="V129" s="110" t="n">
        <v>1596</v>
      </c>
      <c r="W129" s="110" t="n">
        <v>1768.5</v>
      </c>
      <c r="X129" s="104" t="n">
        <v>23581.38</v>
      </c>
      <c r="Y129" s="104" t="n">
        <v>23358.7</v>
      </c>
      <c r="Z129" s="108" t="n">
        <v>21.5</v>
      </c>
      <c r="AA129" s="103">
        <f>1/(1+Parametres!$B$12)^(A129-2026)</f>
        <v/>
      </c>
      <c r="AB129" s="111">
        <f>D129/AA129</f>
        <v/>
      </c>
      <c r="AC129" s="107" t="n"/>
      <c r="AD129" s="107" t="n"/>
      <c r="AE129" s="107">
        <f>((1+Parametres!$B$13)*(1+Parametres!$B$12)-1)</f>
        <v/>
      </c>
      <c r="AF129" s="107">
        <f>((1+Parametres!$B$14)*(1+Parametres!$B$12)-1)</f>
        <v/>
      </c>
      <c r="AG129" s="103">
        <f>AG128*(1+AE129)</f>
        <v/>
      </c>
      <c r="AH129" s="103">
        <f>AH128*(1+AF129)</f>
        <v/>
      </c>
      <c r="AI129" s="103">
        <f>IF(AE129=0,1,AE129/(12*((1+AE129)^(1/12)-1)))</f>
        <v/>
      </c>
      <c r="AJ129" s="103">
        <f>IF(AF129=0,1,AF129/(12*((1+AF129)^(1/12)-1)))</f>
        <v/>
      </c>
      <c r="AK129" s="112">
        <f>D129*'3_Comparateur_detaille'!$B$16</f>
        <v/>
      </c>
      <c r="AL129" s="112">
        <f>IF('3_Comparateur_detaille'!$B$20="Privé",MIN(AK129,E129)*IF('3_Comparateur_detaille'!$B$15="cadre",J129,F129)+MAX(0,AK129-E129)*IF('3_Comparateur_detaille'!$B$15="cadre",L129,H129),AK129*SUMIFS(Donnees_regimes!$J$3:$J$1118,Donnees_regimes!$A$3:$A$1118,'3_Comparateur_detaille'!$B$20,Donnees_regimes!$B$3:$B$1118,A129))</f>
        <v/>
      </c>
      <c r="AM129" s="112">
        <f>IF('3_Comparateur_detaille'!$B$20="Privé",MIN(AK129,E129)*IF('3_Comparateur_detaille'!$B$15="cadre",K129,G129)+MAX(0,AK129-E129)*IF('3_Comparateur_detaille'!$B$15="cadre",M129,I129),AK129*SUMIFS(Donnees_regimes!$K$3:$K$1118,Donnees_regimes!$A$3:$A$1118,'3_Comparateur_detaille'!$B$20,Donnees_regimes!$B$3:$B$1118,A129))</f>
        <v/>
      </c>
      <c r="AN129" s="112">
        <f>IF('3_Comparateur_detaille'!$B$20="Privé",0,AK129*SUMIFS(Donnees_regimes!$L$3:$L$1118,Donnees_regimes!$A$3:$A$1118,'3_Comparateur_detaille'!$B$20,Donnees_regimes!$B$3:$B$1118,A129))</f>
        <v/>
      </c>
      <c r="AO129" s="113">
        <f>(AL129+AM129)/AA129*AI129/AG129</f>
        <v/>
      </c>
      <c r="AP129" s="113">
        <f>(AL129+AM129)/AA129*AJ129/AH129</f>
        <v/>
      </c>
      <c r="AQ129" s="112">
        <f>D129*'3_Comparateur_detaille'!$C$16</f>
        <v/>
      </c>
      <c r="AR129" s="112">
        <f>IF('3_Comparateur_detaille'!$C$20="Privé",MIN(AQ129,E129)*IF('3_Comparateur_detaille'!$C$15="cadre",J129,F129)+MAX(0,AQ129-E129)*IF('3_Comparateur_detaille'!$C$15="cadre",L129,H129),AQ129*SUMIFS(Donnees_regimes!$J$3:$J$1118,Donnees_regimes!$A$3:$A$1118,'3_Comparateur_detaille'!$C$20,Donnees_regimes!$B$3:$B$1118,A129))</f>
        <v/>
      </c>
      <c r="AS129" s="112">
        <f>IF('3_Comparateur_detaille'!$C$20="Privé",MIN(AQ129,E129)*IF('3_Comparateur_detaille'!$C$15="cadre",K129,G129)+MAX(0,AQ129-E129)*IF('3_Comparateur_detaille'!$C$15="cadre",M129,I129),AQ129*SUMIFS(Donnees_regimes!$K$3:$K$1118,Donnees_regimes!$A$3:$A$1118,'3_Comparateur_detaille'!$C$20,Donnees_regimes!$B$3:$B$1118,A129))</f>
        <v/>
      </c>
      <c r="AT129" s="112">
        <f>IF('3_Comparateur_detaille'!$C$20="Privé",0,AQ129*SUMIFS(Donnees_regimes!$L$3:$L$1118,Donnees_regimes!$A$3:$A$1118,'3_Comparateur_detaille'!$C$20,Donnees_regimes!$B$3:$B$1118,A129))</f>
        <v/>
      </c>
      <c r="AU129" s="113">
        <f>(AR129+AS129)/AA129*AI129/AG129</f>
        <v/>
      </c>
      <c r="AV129" s="113">
        <f>(AR129+AS129)/AA129*AJ129/AH129</f>
        <v/>
      </c>
    </row>
    <row r="130">
      <c r="A130" s="101" t="n">
        <v>2072</v>
      </c>
      <c r="B130" s="102" t="inlineStr">
        <is>
          <t>Projection</t>
        </is>
      </c>
      <c r="C130" s="103" t="n"/>
      <c r="D130" s="104" t="n">
        <v>57454.66</v>
      </c>
      <c r="E130" s="104" t="n">
        <v>66242.91</v>
      </c>
      <c r="F130" s="105" t="n">
        <v>0.11562</v>
      </c>
      <c r="G130" s="105" t="n">
        <v>0.1667</v>
      </c>
      <c r="H130" s="105" t="n">
        <v>0.10512</v>
      </c>
      <c r="I130" s="105" t="n">
        <v>0.1689</v>
      </c>
      <c r="J130" s="105" t="n">
        <v>0.11562</v>
      </c>
      <c r="K130" s="105" t="n">
        <v>0.1667</v>
      </c>
      <c r="L130" s="105" t="n">
        <v>0.10512</v>
      </c>
      <c r="M130" s="105" t="n">
        <v>0.1689</v>
      </c>
      <c r="N130" s="106">
        <f>MIN(D130,E130)*F130+MAX(0,D130-E130)*H130</f>
        <v/>
      </c>
      <c r="O130" s="106">
        <f>MIN(D130,E130)*G130+MAX(0,D130-E130)*I130</f>
        <v/>
      </c>
      <c r="P130" s="106">
        <f>N130+O130</f>
        <v/>
      </c>
      <c r="Q130" s="107">
        <f>P130/D130</f>
        <v/>
      </c>
      <c r="R130" s="106">
        <f>D130+O130</f>
        <v/>
      </c>
      <c r="S130" s="108" t="n">
        <v>35</v>
      </c>
      <c r="T130" s="108" t="n">
        <v>38.8</v>
      </c>
      <c r="U130" s="109" t="n">
        <v>228</v>
      </c>
      <c r="V130" s="110" t="n">
        <v>1603</v>
      </c>
      <c r="W130" s="110" t="n">
        <v>1776.3</v>
      </c>
      <c r="X130" s="104" t="n">
        <v>23746.45</v>
      </c>
      <c r="Y130" s="104" t="n">
        <v>23522.21</v>
      </c>
      <c r="Z130" s="108" t="n">
        <v>21.5</v>
      </c>
      <c r="AA130" s="103">
        <f>1/(1+Parametres!$B$12)^(A130-2026)</f>
        <v/>
      </c>
      <c r="AB130" s="111">
        <f>D130/AA130</f>
        <v/>
      </c>
      <c r="AC130" s="107" t="n"/>
      <c r="AD130" s="107" t="n"/>
      <c r="AE130" s="107">
        <f>((1+Parametres!$B$13)*(1+Parametres!$B$12)-1)</f>
        <v/>
      </c>
      <c r="AF130" s="107">
        <f>((1+Parametres!$B$14)*(1+Parametres!$B$12)-1)</f>
        <v/>
      </c>
      <c r="AG130" s="103">
        <f>AG129*(1+AE130)</f>
        <v/>
      </c>
      <c r="AH130" s="103">
        <f>AH129*(1+AF130)</f>
        <v/>
      </c>
      <c r="AI130" s="103">
        <f>IF(AE130=0,1,AE130/(12*((1+AE130)^(1/12)-1)))</f>
        <v/>
      </c>
      <c r="AJ130" s="103">
        <f>IF(AF130=0,1,AF130/(12*((1+AF130)^(1/12)-1)))</f>
        <v/>
      </c>
      <c r="AK130" s="112">
        <f>D130*'3_Comparateur_detaille'!$B$16</f>
        <v/>
      </c>
      <c r="AL130" s="112">
        <f>IF('3_Comparateur_detaille'!$B$20="Privé",MIN(AK130,E130)*IF('3_Comparateur_detaille'!$B$15="cadre",J130,F130)+MAX(0,AK130-E130)*IF('3_Comparateur_detaille'!$B$15="cadre",L130,H130),AK130*SUMIFS(Donnees_regimes!$J$3:$J$1118,Donnees_regimes!$A$3:$A$1118,'3_Comparateur_detaille'!$B$20,Donnees_regimes!$B$3:$B$1118,A130))</f>
        <v/>
      </c>
      <c r="AM130" s="112">
        <f>IF('3_Comparateur_detaille'!$B$20="Privé",MIN(AK130,E130)*IF('3_Comparateur_detaille'!$B$15="cadre",K130,G130)+MAX(0,AK130-E130)*IF('3_Comparateur_detaille'!$B$15="cadre",M130,I130),AK130*SUMIFS(Donnees_regimes!$K$3:$K$1118,Donnees_regimes!$A$3:$A$1118,'3_Comparateur_detaille'!$B$20,Donnees_regimes!$B$3:$B$1118,A130))</f>
        <v/>
      </c>
      <c r="AN130" s="112">
        <f>IF('3_Comparateur_detaille'!$B$20="Privé",0,AK130*SUMIFS(Donnees_regimes!$L$3:$L$1118,Donnees_regimes!$A$3:$A$1118,'3_Comparateur_detaille'!$B$20,Donnees_regimes!$B$3:$B$1118,A130))</f>
        <v/>
      </c>
      <c r="AO130" s="113">
        <f>(AL130+AM130)/AA130*AI130/AG130</f>
        <v/>
      </c>
      <c r="AP130" s="113">
        <f>(AL130+AM130)/AA130*AJ130/AH130</f>
        <v/>
      </c>
      <c r="AQ130" s="112">
        <f>D130*'3_Comparateur_detaille'!$C$16</f>
        <v/>
      </c>
      <c r="AR130" s="112">
        <f>IF('3_Comparateur_detaille'!$C$20="Privé",MIN(AQ130,E130)*IF('3_Comparateur_detaille'!$C$15="cadre",J130,F130)+MAX(0,AQ130-E130)*IF('3_Comparateur_detaille'!$C$15="cadre",L130,H130),AQ130*SUMIFS(Donnees_regimes!$J$3:$J$1118,Donnees_regimes!$A$3:$A$1118,'3_Comparateur_detaille'!$C$20,Donnees_regimes!$B$3:$B$1118,A130))</f>
        <v/>
      </c>
      <c r="AS130" s="112">
        <f>IF('3_Comparateur_detaille'!$C$20="Privé",MIN(AQ130,E130)*IF('3_Comparateur_detaille'!$C$15="cadre",K130,G130)+MAX(0,AQ130-E130)*IF('3_Comparateur_detaille'!$C$15="cadre",M130,I130),AQ130*SUMIFS(Donnees_regimes!$K$3:$K$1118,Donnees_regimes!$A$3:$A$1118,'3_Comparateur_detaille'!$C$20,Donnees_regimes!$B$3:$B$1118,A130))</f>
        <v/>
      </c>
      <c r="AT130" s="112">
        <f>IF('3_Comparateur_detaille'!$C$20="Privé",0,AQ130*SUMIFS(Donnees_regimes!$L$3:$L$1118,Donnees_regimes!$A$3:$A$1118,'3_Comparateur_detaille'!$C$20,Donnees_regimes!$B$3:$B$1118,A130))</f>
        <v/>
      </c>
      <c r="AU130" s="113">
        <f>(AR130+AS130)/AA130*AI130/AG130</f>
        <v/>
      </c>
      <c r="AV130" s="113">
        <f>(AR130+AS130)/AA130*AJ130/AH130</f>
        <v/>
      </c>
    </row>
    <row r="131">
      <c r="A131" s="101" t="n">
        <v>2073</v>
      </c>
      <c r="B131" s="102" t="inlineStr">
        <is>
          <t>Projection</t>
        </is>
      </c>
      <c r="C131" s="103" t="n"/>
      <c r="D131" s="104" t="n">
        <v>57856.84</v>
      </c>
      <c r="E131" s="104" t="n">
        <v>66706.61</v>
      </c>
      <c r="F131" s="105" t="n">
        <v>0.11562</v>
      </c>
      <c r="G131" s="105" t="n">
        <v>0.1667</v>
      </c>
      <c r="H131" s="105" t="n">
        <v>0.10512</v>
      </c>
      <c r="I131" s="105" t="n">
        <v>0.1689</v>
      </c>
      <c r="J131" s="105" t="n">
        <v>0.11562</v>
      </c>
      <c r="K131" s="105" t="n">
        <v>0.1667</v>
      </c>
      <c r="L131" s="105" t="n">
        <v>0.10512</v>
      </c>
      <c r="M131" s="105" t="n">
        <v>0.1689</v>
      </c>
      <c r="N131" s="106">
        <f>MIN(D131,E131)*F131+MAX(0,D131-E131)*H131</f>
        <v/>
      </c>
      <c r="O131" s="106">
        <f>MIN(D131,E131)*G131+MAX(0,D131-E131)*I131</f>
        <v/>
      </c>
      <c r="P131" s="106">
        <f>N131+O131</f>
        <v/>
      </c>
      <c r="Q131" s="107">
        <f>P131/D131</f>
        <v/>
      </c>
      <c r="R131" s="106">
        <f>D131+O131</f>
        <v/>
      </c>
      <c r="S131" s="108" t="n">
        <v>35</v>
      </c>
      <c r="T131" s="108" t="n">
        <v>38.8</v>
      </c>
      <c r="U131" s="109" t="n">
        <v>226</v>
      </c>
      <c r="V131" s="110" t="n">
        <v>1589</v>
      </c>
      <c r="W131" s="110" t="n">
        <v>1760.8</v>
      </c>
      <c r="X131" s="104" t="n">
        <v>23912.67</v>
      </c>
      <c r="Y131" s="104" t="n">
        <v>23686.87</v>
      </c>
      <c r="Z131" s="108" t="n">
        <v>21.5</v>
      </c>
      <c r="AA131" s="103">
        <f>1/(1+Parametres!$B$12)^(A131-2026)</f>
        <v/>
      </c>
      <c r="AB131" s="111">
        <f>D131/AA131</f>
        <v/>
      </c>
      <c r="AC131" s="107" t="n"/>
      <c r="AD131" s="107" t="n"/>
      <c r="AE131" s="107">
        <f>((1+Parametres!$B$13)*(1+Parametres!$B$12)-1)</f>
        <v/>
      </c>
      <c r="AF131" s="107">
        <f>((1+Parametres!$B$14)*(1+Parametres!$B$12)-1)</f>
        <v/>
      </c>
      <c r="AG131" s="103">
        <f>AG130*(1+AE131)</f>
        <v/>
      </c>
      <c r="AH131" s="103">
        <f>AH130*(1+AF131)</f>
        <v/>
      </c>
      <c r="AI131" s="103">
        <f>IF(AE131=0,1,AE131/(12*((1+AE131)^(1/12)-1)))</f>
        <v/>
      </c>
      <c r="AJ131" s="103">
        <f>IF(AF131=0,1,AF131/(12*((1+AF131)^(1/12)-1)))</f>
        <v/>
      </c>
      <c r="AK131" s="112">
        <f>D131*'3_Comparateur_detaille'!$B$16</f>
        <v/>
      </c>
      <c r="AL131" s="112">
        <f>IF('3_Comparateur_detaille'!$B$20="Privé",MIN(AK131,E131)*IF('3_Comparateur_detaille'!$B$15="cadre",J131,F131)+MAX(0,AK131-E131)*IF('3_Comparateur_detaille'!$B$15="cadre",L131,H131),AK131*SUMIFS(Donnees_regimes!$J$3:$J$1118,Donnees_regimes!$A$3:$A$1118,'3_Comparateur_detaille'!$B$20,Donnees_regimes!$B$3:$B$1118,A131))</f>
        <v/>
      </c>
      <c r="AM131" s="112">
        <f>IF('3_Comparateur_detaille'!$B$20="Privé",MIN(AK131,E131)*IF('3_Comparateur_detaille'!$B$15="cadre",K131,G131)+MAX(0,AK131-E131)*IF('3_Comparateur_detaille'!$B$15="cadre",M131,I131),AK131*SUMIFS(Donnees_regimes!$K$3:$K$1118,Donnees_regimes!$A$3:$A$1118,'3_Comparateur_detaille'!$B$20,Donnees_regimes!$B$3:$B$1118,A131))</f>
        <v/>
      </c>
      <c r="AN131" s="112">
        <f>IF('3_Comparateur_detaille'!$B$20="Privé",0,AK131*SUMIFS(Donnees_regimes!$L$3:$L$1118,Donnees_regimes!$A$3:$A$1118,'3_Comparateur_detaille'!$B$20,Donnees_regimes!$B$3:$B$1118,A131))</f>
        <v/>
      </c>
      <c r="AO131" s="113">
        <f>(AL131+AM131)/AA131*AI131/AG131</f>
        <v/>
      </c>
      <c r="AP131" s="113">
        <f>(AL131+AM131)/AA131*AJ131/AH131</f>
        <v/>
      </c>
      <c r="AQ131" s="112">
        <f>D131*'3_Comparateur_detaille'!$C$16</f>
        <v/>
      </c>
      <c r="AR131" s="112">
        <f>IF('3_Comparateur_detaille'!$C$20="Privé",MIN(AQ131,E131)*IF('3_Comparateur_detaille'!$C$15="cadre",J131,F131)+MAX(0,AQ131-E131)*IF('3_Comparateur_detaille'!$C$15="cadre",L131,H131),AQ131*SUMIFS(Donnees_regimes!$J$3:$J$1118,Donnees_regimes!$A$3:$A$1118,'3_Comparateur_detaille'!$C$20,Donnees_regimes!$B$3:$B$1118,A131))</f>
        <v/>
      </c>
      <c r="AS131" s="112">
        <f>IF('3_Comparateur_detaille'!$C$20="Privé",MIN(AQ131,E131)*IF('3_Comparateur_detaille'!$C$15="cadre",K131,G131)+MAX(0,AQ131-E131)*IF('3_Comparateur_detaille'!$C$15="cadre",M131,I131),AQ131*SUMIFS(Donnees_regimes!$K$3:$K$1118,Donnees_regimes!$A$3:$A$1118,'3_Comparateur_detaille'!$C$20,Donnees_regimes!$B$3:$B$1118,A131))</f>
        <v/>
      </c>
      <c r="AT131" s="112">
        <f>IF('3_Comparateur_detaille'!$C$20="Privé",0,AQ131*SUMIFS(Donnees_regimes!$L$3:$L$1118,Donnees_regimes!$A$3:$A$1118,'3_Comparateur_detaille'!$C$20,Donnees_regimes!$B$3:$B$1118,A131))</f>
        <v/>
      </c>
      <c r="AU131" s="113">
        <f>(AR131+AS131)/AA131*AI131/AG131</f>
        <v/>
      </c>
      <c r="AV131" s="113">
        <f>(AR131+AS131)/AA131*AJ131/AH131</f>
        <v/>
      </c>
    </row>
    <row r="132">
      <c r="A132" s="101" t="n">
        <v>2074</v>
      </c>
      <c r="B132" s="102" t="inlineStr">
        <is>
          <t>Projection</t>
        </is>
      </c>
      <c r="C132" s="103" t="n"/>
      <c r="D132" s="104" t="n">
        <v>58261.84</v>
      </c>
      <c r="E132" s="104" t="n">
        <v>67173.56</v>
      </c>
      <c r="F132" s="105" t="n">
        <v>0.11562</v>
      </c>
      <c r="G132" s="105" t="n">
        <v>0.1667</v>
      </c>
      <c r="H132" s="105" t="n">
        <v>0.10512</v>
      </c>
      <c r="I132" s="105" t="n">
        <v>0.1689</v>
      </c>
      <c r="J132" s="105" t="n">
        <v>0.11562</v>
      </c>
      <c r="K132" s="105" t="n">
        <v>0.1667</v>
      </c>
      <c r="L132" s="105" t="n">
        <v>0.10512</v>
      </c>
      <c r="M132" s="105" t="n">
        <v>0.1689</v>
      </c>
      <c r="N132" s="106">
        <f>MIN(D132,E132)*F132+MAX(0,D132-E132)*H132</f>
        <v/>
      </c>
      <c r="O132" s="106">
        <f>MIN(D132,E132)*G132+MAX(0,D132-E132)*I132</f>
        <v/>
      </c>
      <c r="P132" s="106">
        <f>N132+O132</f>
        <v/>
      </c>
      <c r="Q132" s="107">
        <f>P132/D132</f>
        <v/>
      </c>
      <c r="R132" s="106">
        <f>D132+O132</f>
        <v/>
      </c>
      <c r="S132" s="108" t="n">
        <v>35</v>
      </c>
      <c r="T132" s="108" t="n">
        <v>38.8</v>
      </c>
      <c r="U132" s="109" t="n">
        <v>227</v>
      </c>
      <c r="V132" s="110" t="n">
        <v>1596</v>
      </c>
      <c r="W132" s="110" t="n">
        <v>1768.5</v>
      </c>
      <c r="X132" s="104" t="n">
        <v>24080.06</v>
      </c>
      <c r="Y132" s="104" t="n">
        <v>23852.68</v>
      </c>
      <c r="Z132" s="108" t="n">
        <v>21.5</v>
      </c>
      <c r="AA132" s="103">
        <f>1/(1+Parametres!$B$12)^(A132-2026)</f>
        <v/>
      </c>
      <c r="AB132" s="111">
        <f>D132/AA132</f>
        <v/>
      </c>
      <c r="AC132" s="107" t="n"/>
      <c r="AD132" s="107" t="n"/>
      <c r="AE132" s="107">
        <f>((1+Parametres!$B$13)*(1+Parametres!$B$12)-1)</f>
        <v/>
      </c>
      <c r="AF132" s="107">
        <f>((1+Parametres!$B$14)*(1+Parametres!$B$12)-1)</f>
        <v/>
      </c>
      <c r="AG132" s="103">
        <f>AG131*(1+AE132)</f>
        <v/>
      </c>
      <c r="AH132" s="103">
        <f>AH131*(1+AF132)</f>
        <v/>
      </c>
      <c r="AI132" s="103">
        <f>IF(AE132=0,1,AE132/(12*((1+AE132)^(1/12)-1)))</f>
        <v/>
      </c>
      <c r="AJ132" s="103">
        <f>IF(AF132=0,1,AF132/(12*((1+AF132)^(1/12)-1)))</f>
        <v/>
      </c>
      <c r="AK132" s="112">
        <f>D132*'3_Comparateur_detaille'!$B$16</f>
        <v/>
      </c>
      <c r="AL132" s="112">
        <f>IF('3_Comparateur_detaille'!$B$20="Privé",MIN(AK132,E132)*IF('3_Comparateur_detaille'!$B$15="cadre",J132,F132)+MAX(0,AK132-E132)*IF('3_Comparateur_detaille'!$B$15="cadre",L132,H132),AK132*SUMIFS(Donnees_regimes!$J$3:$J$1118,Donnees_regimes!$A$3:$A$1118,'3_Comparateur_detaille'!$B$20,Donnees_regimes!$B$3:$B$1118,A132))</f>
        <v/>
      </c>
      <c r="AM132" s="112">
        <f>IF('3_Comparateur_detaille'!$B$20="Privé",MIN(AK132,E132)*IF('3_Comparateur_detaille'!$B$15="cadre",K132,G132)+MAX(0,AK132-E132)*IF('3_Comparateur_detaille'!$B$15="cadre",M132,I132),AK132*SUMIFS(Donnees_regimes!$K$3:$K$1118,Donnees_regimes!$A$3:$A$1118,'3_Comparateur_detaille'!$B$20,Donnees_regimes!$B$3:$B$1118,A132))</f>
        <v/>
      </c>
      <c r="AN132" s="112">
        <f>IF('3_Comparateur_detaille'!$B$20="Privé",0,AK132*SUMIFS(Donnees_regimes!$L$3:$L$1118,Donnees_regimes!$A$3:$A$1118,'3_Comparateur_detaille'!$B$20,Donnees_regimes!$B$3:$B$1118,A132))</f>
        <v/>
      </c>
      <c r="AO132" s="113">
        <f>(AL132+AM132)/AA132*AI132/AG132</f>
        <v/>
      </c>
      <c r="AP132" s="113">
        <f>(AL132+AM132)/AA132*AJ132/AH132</f>
        <v/>
      </c>
      <c r="AQ132" s="112">
        <f>D132*'3_Comparateur_detaille'!$C$16</f>
        <v/>
      </c>
      <c r="AR132" s="112">
        <f>IF('3_Comparateur_detaille'!$C$20="Privé",MIN(AQ132,E132)*IF('3_Comparateur_detaille'!$C$15="cadre",J132,F132)+MAX(0,AQ132-E132)*IF('3_Comparateur_detaille'!$C$15="cadre",L132,H132),AQ132*SUMIFS(Donnees_regimes!$J$3:$J$1118,Donnees_regimes!$A$3:$A$1118,'3_Comparateur_detaille'!$C$20,Donnees_regimes!$B$3:$B$1118,A132))</f>
        <v/>
      </c>
      <c r="AS132" s="112">
        <f>IF('3_Comparateur_detaille'!$C$20="Privé",MIN(AQ132,E132)*IF('3_Comparateur_detaille'!$C$15="cadre",K132,G132)+MAX(0,AQ132-E132)*IF('3_Comparateur_detaille'!$C$15="cadre",M132,I132),AQ132*SUMIFS(Donnees_regimes!$K$3:$K$1118,Donnees_regimes!$A$3:$A$1118,'3_Comparateur_detaille'!$C$20,Donnees_regimes!$B$3:$B$1118,A132))</f>
        <v/>
      </c>
      <c r="AT132" s="112">
        <f>IF('3_Comparateur_detaille'!$C$20="Privé",0,AQ132*SUMIFS(Donnees_regimes!$L$3:$L$1118,Donnees_regimes!$A$3:$A$1118,'3_Comparateur_detaille'!$C$20,Donnees_regimes!$B$3:$B$1118,A132))</f>
        <v/>
      </c>
      <c r="AU132" s="113">
        <f>(AR132+AS132)/AA132*AI132/AG132</f>
        <v/>
      </c>
      <c r="AV132" s="113">
        <f>(AR132+AS132)/AA132*AJ132/AH132</f>
        <v/>
      </c>
    </row>
    <row r="133">
      <c r="A133" s="101" t="n">
        <v>2075</v>
      </c>
      <c r="B133" s="102" t="inlineStr">
        <is>
          <t>Projection</t>
        </is>
      </c>
      <c r="C133" s="103" t="n"/>
      <c r="D133" s="104" t="n">
        <v>58669.67</v>
      </c>
      <c r="E133" s="104" t="n">
        <v>67643.77</v>
      </c>
      <c r="F133" s="105" t="n">
        <v>0.11562</v>
      </c>
      <c r="G133" s="105" t="n">
        <v>0.1667</v>
      </c>
      <c r="H133" s="105" t="n">
        <v>0.10512</v>
      </c>
      <c r="I133" s="105" t="n">
        <v>0.1689</v>
      </c>
      <c r="J133" s="105" t="n">
        <v>0.11562</v>
      </c>
      <c r="K133" s="105" t="n">
        <v>0.1667</v>
      </c>
      <c r="L133" s="105" t="n">
        <v>0.10512</v>
      </c>
      <c r="M133" s="105" t="n">
        <v>0.1689</v>
      </c>
      <c r="N133" s="106">
        <f>MIN(D133,E133)*F133+MAX(0,D133-E133)*H133</f>
        <v/>
      </c>
      <c r="O133" s="106">
        <f>MIN(D133,E133)*G133+MAX(0,D133-E133)*I133</f>
        <v/>
      </c>
      <c r="P133" s="106">
        <f>N133+O133</f>
        <v/>
      </c>
      <c r="Q133" s="107">
        <f>P133/D133</f>
        <v/>
      </c>
      <c r="R133" s="106">
        <f>D133+O133</f>
        <v/>
      </c>
      <c r="S133" s="108" t="n">
        <v>35</v>
      </c>
      <c r="T133" s="108" t="n">
        <v>38.8</v>
      </c>
      <c r="U133" s="109" t="n">
        <v>226</v>
      </c>
      <c r="V133" s="110" t="n">
        <v>1589</v>
      </c>
      <c r="W133" s="110" t="n">
        <v>1760.8</v>
      </c>
      <c r="X133" s="104" t="n">
        <v>24248.62</v>
      </c>
      <c r="Y133" s="104" t="n">
        <v>24019.65</v>
      </c>
      <c r="Z133" s="108" t="n">
        <v>21.5</v>
      </c>
      <c r="AA133" s="103">
        <f>1/(1+Parametres!$B$12)^(A133-2026)</f>
        <v/>
      </c>
      <c r="AB133" s="111">
        <f>D133/AA133</f>
        <v/>
      </c>
      <c r="AC133" s="107" t="n"/>
      <c r="AD133" s="107" t="n"/>
      <c r="AE133" s="107">
        <f>((1+Parametres!$B$13)*(1+Parametres!$B$12)-1)</f>
        <v/>
      </c>
      <c r="AF133" s="107">
        <f>((1+Parametres!$B$14)*(1+Parametres!$B$12)-1)</f>
        <v/>
      </c>
      <c r="AG133" s="103">
        <f>AG132*(1+AE133)</f>
        <v/>
      </c>
      <c r="AH133" s="103">
        <f>AH132*(1+AF133)</f>
        <v/>
      </c>
      <c r="AI133" s="103">
        <f>IF(AE133=0,1,AE133/(12*((1+AE133)^(1/12)-1)))</f>
        <v/>
      </c>
      <c r="AJ133" s="103">
        <f>IF(AF133=0,1,AF133/(12*((1+AF133)^(1/12)-1)))</f>
        <v/>
      </c>
      <c r="AK133" s="112">
        <f>D133*'3_Comparateur_detaille'!$B$16</f>
        <v/>
      </c>
      <c r="AL133" s="112">
        <f>IF('3_Comparateur_detaille'!$B$20="Privé",MIN(AK133,E133)*IF('3_Comparateur_detaille'!$B$15="cadre",J133,F133)+MAX(0,AK133-E133)*IF('3_Comparateur_detaille'!$B$15="cadre",L133,H133),AK133*SUMIFS(Donnees_regimes!$J$3:$J$1118,Donnees_regimes!$A$3:$A$1118,'3_Comparateur_detaille'!$B$20,Donnees_regimes!$B$3:$B$1118,A133))</f>
        <v/>
      </c>
      <c r="AM133" s="112">
        <f>IF('3_Comparateur_detaille'!$B$20="Privé",MIN(AK133,E133)*IF('3_Comparateur_detaille'!$B$15="cadre",K133,G133)+MAX(0,AK133-E133)*IF('3_Comparateur_detaille'!$B$15="cadre",M133,I133),AK133*SUMIFS(Donnees_regimes!$K$3:$K$1118,Donnees_regimes!$A$3:$A$1118,'3_Comparateur_detaille'!$B$20,Donnees_regimes!$B$3:$B$1118,A133))</f>
        <v/>
      </c>
      <c r="AN133" s="112">
        <f>IF('3_Comparateur_detaille'!$B$20="Privé",0,AK133*SUMIFS(Donnees_regimes!$L$3:$L$1118,Donnees_regimes!$A$3:$A$1118,'3_Comparateur_detaille'!$B$20,Donnees_regimes!$B$3:$B$1118,A133))</f>
        <v/>
      </c>
      <c r="AO133" s="113">
        <f>(AL133+AM133)/AA133*AI133/AG133</f>
        <v/>
      </c>
      <c r="AP133" s="113">
        <f>(AL133+AM133)/AA133*AJ133/AH133</f>
        <v/>
      </c>
      <c r="AQ133" s="112">
        <f>D133*'3_Comparateur_detaille'!$C$16</f>
        <v/>
      </c>
      <c r="AR133" s="112">
        <f>IF('3_Comparateur_detaille'!$C$20="Privé",MIN(AQ133,E133)*IF('3_Comparateur_detaille'!$C$15="cadre",J133,F133)+MAX(0,AQ133-E133)*IF('3_Comparateur_detaille'!$C$15="cadre",L133,H133),AQ133*SUMIFS(Donnees_regimes!$J$3:$J$1118,Donnees_regimes!$A$3:$A$1118,'3_Comparateur_detaille'!$C$20,Donnees_regimes!$B$3:$B$1118,A133))</f>
        <v/>
      </c>
      <c r="AS133" s="112">
        <f>IF('3_Comparateur_detaille'!$C$20="Privé",MIN(AQ133,E133)*IF('3_Comparateur_detaille'!$C$15="cadre",K133,G133)+MAX(0,AQ133-E133)*IF('3_Comparateur_detaille'!$C$15="cadre",M133,I133),AQ133*SUMIFS(Donnees_regimes!$K$3:$K$1118,Donnees_regimes!$A$3:$A$1118,'3_Comparateur_detaille'!$C$20,Donnees_regimes!$B$3:$B$1118,A133))</f>
        <v/>
      </c>
      <c r="AT133" s="112">
        <f>IF('3_Comparateur_detaille'!$C$20="Privé",0,AQ133*SUMIFS(Donnees_regimes!$L$3:$L$1118,Donnees_regimes!$A$3:$A$1118,'3_Comparateur_detaille'!$C$20,Donnees_regimes!$B$3:$B$1118,A133))</f>
        <v/>
      </c>
      <c r="AU133" s="113">
        <f>(AR133+AS133)/AA133*AI133/AG133</f>
        <v/>
      </c>
      <c r="AV133" s="113">
        <f>(AR133+AS133)/AA133*AJ133/AH133</f>
        <v/>
      </c>
    </row>
    <row r="134">
      <c r="A134" s="101" t="n">
        <v>2076</v>
      </c>
      <c r="B134" s="102" t="inlineStr">
        <is>
          <t>Projection</t>
        </is>
      </c>
      <c r="C134" s="103" t="n"/>
      <c r="D134" s="104" t="n">
        <v>59080.36</v>
      </c>
      <c r="E134" s="104" t="n">
        <v>68117.28</v>
      </c>
      <c r="F134" s="105" t="n">
        <v>0.11562</v>
      </c>
      <c r="G134" s="105" t="n">
        <v>0.1667</v>
      </c>
      <c r="H134" s="105" t="n">
        <v>0.10512</v>
      </c>
      <c r="I134" s="105" t="n">
        <v>0.1689</v>
      </c>
      <c r="J134" s="105" t="n">
        <v>0.11562</v>
      </c>
      <c r="K134" s="105" t="n">
        <v>0.1667</v>
      </c>
      <c r="L134" s="105" t="n">
        <v>0.10512</v>
      </c>
      <c r="M134" s="105" t="n">
        <v>0.1689</v>
      </c>
      <c r="N134" s="106">
        <f>MIN(D134,E134)*F134+MAX(0,D134-E134)*H134</f>
        <v/>
      </c>
      <c r="O134" s="106">
        <f>MIN(D134,E134)*G134+MAX(0,D134-E134)*I134</f>
        <v/>
      </c>
      <c r="P134" s="106">
        <f>N134+O134</f>
        <v/>
      </c>
      <c r="Q134" s="107">
        <f>P134/D134</f>
        <v/>
      </c>
      <c r="R134" s="106">
        <f>D134+O134</f>
        <v/>
      </c>
      <c r="S134" s="108" t="n">
        <v>35</v>
      </c>
      <c r="T134" s="108" t="n">
        <v>38.8</v>
      </c>
      <c r="U134" s="109" t="n">
        <v>228</v>
      </c>
      <c r="V134" s="110" t="n">
        <v>1603</v>
      </c>
      <c r="W134" s="110" t="n">
        <v>1776.3</v>
      </c>
      <c r="X134" s="104" t="n">
        <v>24418.36</v>
      </c>
      <c r="Y134" s="104" t="n">
        <v>24187.78</v>
      </c>
      <c r="Z134" s="108" t="n">
        <v>21.5</v>
      </c>
      <c r="AA134" s="103">
        <f>1/(1+Parametres!$B$12)^(A134-2026)</f>
        <v/>
      </c>
      <c r="AB134" s="111">
        <f>D134/AA134</f>
        <v/>
      </c>
      <c r="AC134" s="107" t="n"/>
      <c r="AD134" s="107" t="n"/>
      <c r="AE134" s="107">
        <f>((1+Parametres!$B$13)*(1+Parametres!$B$12)-1)</f>
        <v/>
      </c>
      <c r="AF134" s="107">
        <f>((1+Parametres!$B$14)*(1+Parametres!$B$12)-1)</f>
        <v/>
      </c>
      <c r="AG134" s="103">
        <f>AG133*(1+AE134)</f>
        <v/>
      </c>
      <c r="AH134" s="103">
        <f>AH133*(1+AF134)</f>
        <v/>
      </c>
      <c r="AI134" s="103">
        <f>IF(AE134=0,1,AE134/(12*((1+AE134)^(1/12)-1)))</f>
        <v/>
      </c>
      <c r="AJ134" s="103">
        <f>IF(AF134=0,1,AF134/(12*((1+AF134)^(1/12)-1)))</f>
        <v/>
      </c>
      <c r="AK134" s="112">
        <f>D134*'3_Comparateur_detaille'!$B$16</f>
        <v/>
      </c>
      <c r="AL134" s="112">
        <f>IF('3_Comparateur_detaille'!$B$20="Privé",MIN(AK134,E134)*IF('3_Comparateur_detaille'!$B$15="cadre",J134,F134)+MAX(0,AK134-E134)*IF('3_Comparateur_detaille'!$B$15="cadre",L134,H134),AK134*SUMIFS(Donnees_regimes!$J$3:$J$1118,Donnees_regimes!$A$3:$A$1118,'3_Comparateur_detaille'!$B$20,Donnees_regimes!$B$3:$B$1118,A134))</f>
        <v/>
      </c>
      <c r="AM134" s="112">
        <f>IF('3_Comparateur_detaille'!$B$20="Privé",MIN(AK134,E134)*IF('3_Comparateur_detaille'!$B$15="cadre",K134,G134)+MAX(0,AK134-E134)*IF('3_Comparateur_detaille'!$B$15="cadre",M134,I134),AK134*SUMIFS(Donnees_regimes!$K$3:$K$1118,Donnees_regimes!$A$3:$A$1118,'3_Comparateur_detaille'!$B$20,Donnees_regimes!$B$3:$B$1118,A134))</f>
        <v/>
      </c>
      <c r="AN134" s="112">
        <f>IF('3_Comparateur_detaille'!$B$20="Privé",0,AK134*SUMIFS(Donnees_regimes!$L$3:$L$1118,Donnees_regimes!$A$3:$A$1118,'3_Comparateur_detaille'!$B$20,Donnees_regimes!$B$3:$B$1118,A134))</f>
        <v/>
      </c>
      <c r="AO134" s="113">
        <f>(AL134+AM134)/AA134*AI134/AG134</f>
        <v/>
      </c>
      <c r="AP134" s="113">
        <f>(AL134+AM134)/AA134*AJ134/AH134</f>
        <v/>
      </c>
      <c r="AQ134" s="112">
        <f>D134*'3_Comparateur_detaille'!$C$16</f>
        <v/>
      </c>
      <c r="AR134" s="112">
        <f>IF('3_Comparateur_detaille'!$C$20="Privé",MIN(AQ134,E134)*IF('3_Comparateur_detaille'!$C$15="cadre",J134,F134)+MAX(0,AQ134-E134)*IF('3_Comparateur_detaille'!$C$15="cadre",L134,H134),AQ134*SUMIFS(Donnees_regimes!$J$3:$J$1118,Donnees_regimes!$A$3:$A$1118,'3_Comparateur_detaille'!$C$20,Donnees_regimes!$B$3:$B$1118,A134))</f>
        <v/>
      </c>
      <c r="AS134" s="112">
        <f>IF('3_Comparateur_detaille'!$C$20="Privé",MIN(AQ134,E134)*IF('3_Comparateur_detaille'!$C$15="cadre",K134,G134)+MAX(0,AQ134-E134)*IF('3_Comparateur_detaille'!$C$15="cadre",M134,I134),AQ134*SUMIFS(Donnees_regimes!$K$3:$K$1118,Donnees_regimes!$A$3:$A$1118,'3_Comparateur_detaille'!$C$20,Donnees_regimes!$B$3:$B$1118,A134))</f>
        <v/>
      </c>
      <c r="AT134" s="112">
        <f>IF('3_Comparateur_detaille'!$C$20="Privé",0,AQ134*SUMIFS(Donnees_regimes!$L$3:$L$1118,Donnees_regimes!$A$3:$A$1118,'3_Comparateur_detaille'!$C$20,Donnees_regimes!$B$3:$B$1118,A134))</f>
        <v/>
      </c>
      <c r="AU134" s="113">
        <f>(AR134+AS134)/AA134*AI134/AG134</f>
        <v/>
      </c>
      <c r="AV134" s="113">
        <f>(AR134+AS134)/AA134*AJ134/AH134</f>
        <v/>
      </c>
    </row>
    <row r="135">
      <c r="A135" s="101" t="n">
        <v>2077</v>
      </c>
      <c r="B135" s="102" t="inlineStr">
        <is>
          <t>Projection</t>
        </is>
      </c>
      <c r="C135" s="103" t="n"/>
      <c r="D135" s="104" t="n">
        <v>59493.92</v>
      </c>
      <c r="E135" s="104" t="n">
        <v>68594.10000000001</v>
      </c>
      <c r="F135" s="105" t="n">
        <v>0.11562</v>
      </c>
      <c r="G135" s="105" t="n">
        <v>0.1667</v>
      </c>
      <c r="H135" s="105" t="n">
        <v>0.10512</v>
      </c>
      <c r="I135" s="105" t="n">
        <v>0.1689</v>
      </c>
      <c r="J135" s="105" t="n">
        <v>0.11562</v>
      </c>
      <c r="K135" s="105" t="n">
        <v>0.1667</v>
      </c>
      <c r="L135" s="105" t="n">
        <v>0.10512</v>
      </c>
      <c r="M135" s="105" t="n">
        <v>0.1689</v>
      </c>
      <c r="N135" s="106">
        <f>MIN(D135,E135)*F135+MAX(0,D135-E135)*H135</f>
        <v/>
      </c>
      <c r="O135" s="106">
        <f>MIN(D135,E135)*G135+MAX(0,D135-E135)*I135</f>
        <v/>
      </c>
      <c r="P135" s="106">
        <f>N135+O135</f>
        <v/>
      </c>
      <c r="Q135" s="107">
        <f>P135/D135</f>
        <v/>
      </c>
      <c r="R135" s="106">
        <f>D135+O135</f>
        <v/>
      </c>
      <c r="S135" s="108" t="n">
        <v>35</v>
      </c>
      <c r="T135" s="108" t="n">
        <v>38.8</v>
      </c>
      <c r="U135" s="109" t="n">
        <v>229</v>
      </c>
      <c r="V135" s="110" t="n">
        <v>1610</v>
      </c>
      <c r="W135" s="110" t="n">
        <v>1784</v>
      </c>
      <c r="X135" s="104" t="n">
        <v>24589.29</v>
      </c>
      <c r="Y135" s="104" t="n">
        <v>24357.1</v>
      </c>
      <c r="Z135" s="108" t="n">
        <v>21.5</v>
      </c>
      <c r="AA135" s="103">
        <f>1/(1+Parametres!$B$12)^(A135-2026)</f>
        <v/>
      </c>
      <c r="AB135" s="111">
        <f>D135/AA135</f>
        <v/>
      </c>
      <c r="AC135" s="107" t="n"/>
      <c r="AD135" s="107" t="n"/>
      <c r="AE135" s="107">
        <f>((1+Parametres!$B$13)*(1+Parametres!$B$12)-1)</f>
        <v/>
      </c>
      <c r="AF135" s="107">
        <f>((1+Parametres!$B$14)*(1+Parametres!$B$12)-1)</f>
        <v/>
      </c>
      <c r="AG135" s="103">
        <f>AG134*(1+AE135)</f>
        <v/>
      </c>
      <c r="AH135" s="103">
        <f>AH134*(1+AF135)</f>
        <v/>
      </c>
      <c r="AI135" s="103">
        <f>IF(AE135=0,1,AE135/(12*((1+AE135)^(1/12)-1)))</f>
        <v/>
      </c>
      <c r="AJ135" s="103">
        <f>IF(AF135=0,1,AF135/(12*((1+AF135)^(1/12)-1)))</f>
        <v/>
      </c>
      <c r="AK135" s="112">
        <f>D135*'3_Comparateur_detaille'!$B$16</f>
        <v/>
      </c>
      <c r="AL135" s="112">
        <f>IF('3_Comparateur_detaille'!$B$20="Privé",MIN(AK135,E135)*IF('3_Comparateur_detaille'!$B$15="cadre",J135,F135)+MAX(0,AK135-E135)*IF('3_Comparateur_detaille'!$B$15="cadre",L135,H135),AK135*SUMIFS(Donnees_regimes!$J$3:$J$1118,Donnees_regimes!$A$3:$A$1118,'3_Comparateur_detaille'!$B$20,Donnees_regimes!$B$3:$B$1118,A135))</f>
        <v/>
      </c>
      <c r="AM135" s="112">
        <f>IF('3_Comparateur_detaille'!$B$20="Privé",MIN(AK135,E135)*IF('3_Comparateur_detaille'!$B$15="cadre",K135,G135)+MAX(0,AK135-E135)*IF('3_Comparateur_detaille'!$B$15="cadre",M135,I135),AK135*SUMIFS(Donnees_regimes!$K$3:$K$1118,Donnees_regimes!$A$3:$A$1118,'3_Comparateur_detaille'!$B$20,Donnees_regimes!$B$3:$B$1118,A135))</f>
        <v/>
      </c>
      <c r="AN135" s="112">
        <f>IF('3_Comparateur_detaille'!$B$20="Privé",0,AK135*SUMIFS(Donnees_regimes!$L$3:$L$1118,Donnees_regimes!$A$3:$A$1118,'3_Comparateur_detaille'!$B$20,Donnees_regimes!$B$3:$B$1118,A135))</f>
        <v/>
      </c>
      <c r="AO135" s="113">
        <f>(AL135+AM135)/AA135*AI135/AG135</f>
        <v/>
      </c>
      <c r="AP135" s="113">
        <f>(AL135+AM135)/AA135*AJ135/AH135</f>
        <v/>
      </c>
      <c r="AQ135" s="112">
        <f>D135*'3_Comparateur_detaille'!$C$16</f>
        <v/>
      </c>
      <c r="AR135" s="112">
        <f>IF('3_Comparateur_detaille'!$C$20="Privé",MIN(AQ135,E135)*IF('3_Comparateur_detaille'!$C$15="cadre",J135,F135)+MAX(0,AQ135-E135)*IF('3_Comparateur_detaille'!$C$15="cadre",L135,H135),AQ135*SUMIFS(Donnees_regimes!$J$3:$J$1118,Donnees_regimes!$A$3:$A$1118,'3_Comparateur_detaille'!$C$20,Donnees_regimes!$B$3:$B$1118,A135))</f>
        <v/>
      </c>
      <c r="AS135" s="112">
        <f>IF('3_Comparateur_detaille'!$C$20="Privé",MIN(AQ135,E135)*IF('3_Comparateur_detaille'!$C$15="cadre",K135,G135)+MAX(0,AQ135-E135)*IF('3_Comparateur_detaille'!$C$15="cadre",M135,I135),AQ135*SUMIFS(Donnees_regimes!$K$3:$K$1118,Donnees_regimes!$A$3:$A$1118,'3_Comparateur_detaille'!$C$20,Donnees_regimes!$B$3:$B$1118,A135))</f>
        <v/>
      </c>
      <c r="AT135" s="112">
        <f>IF('3_Comparateur_detaille'!$C$20="Privé",0,AQ135*SUMIFS(Donnees_regimes!$L$3:$L$1118,Donnees_regimes!$A$3:$A$1118,'3_Comparateur_detaille'!$C$20,Donnees_regimes!$B$3:$B$1118,A135))</f>
        <v/>
      </c>
      <c r="AU135" s="113">
        <f>(AR135+AS135)/AA135*AI135/AG135</f>
        <v/>
      </c>
      <c r="AV135" s="113">
        <f>(AR135+AS135)/AA135*AJ135/AH135</f>
        <v/>
      </c>
    </row>
    <row r="136">
      <c r="A136" s="101" t="n">
        <v>2078</v>
      </c>
      <c r="B136" s="102" t="inlineStr">
        <is>
          <t>Projection</t>
        </is>
      </c>
      <c r="C136" s="103" t="n"/>
      <c r="D136" s="104" t="n">
        <v>59910.38</v>
      </c>
      <c r="E136" s="104" t="n">
        <v>69074.25999999999</v>
      </c>
      <c r="F136" s="105" t="n">
        <v>0.11562</v>
      </c>
      <c r="G136" s="105" t="n">
        <v>0.1667</v>
      </c>
      <c r="H136" s="105" t="n">
        <v>0.10512</v>
      </c>
      <c r="I136" s="105" t="n">
        <v>0.1689</v>
      </c>
      <c r="J136" s="105" t="n">
        <v>0.11562</v>
      </c>
      <c r="K136" s="105" t="n">
        <v>0.1667</v>
      </c>
      <c r="L136" s="105" t="n">
        <v>0.10512</v>
      </c>
      <c r="M136" s="105" t="n">
        <v>0.1689</v>
      </c>
      <c r="N136" s="106">
        <f>MIN(D136,E136)*F136+MAX(0,D136-E136)*H136</f>
        <v/>
      </c>
      <c r="O136" s="106">
        <f>MIN(D136,E136)*G136+MAX(0,D136-E136)*I136</f>
        <v/>
      </c>
      <c r="P136" s="106">
        <f>N136+O136</f>
        <v/>
      </c>
      <c r="Q136" s="107">
        <f>P136/D136</f>
        <v/>
      </c>
      <c r="R136" s="106">
        <f>D136+O136</f>
        <v/>
      </c>
      <c r="S136" s="108" t="n">
        <v>35</v>
      </c>
      <c r="T136" s="108" t="n">
        <v>38.8</v>
      </c>
      <c r="U136" s="109" t="n">
        <v>228</v>
      </c>
      <c r="V136" s="110" t="n">
        <v>1603</v>
      </c>
      <c r="W136" s="110" t="n">
        <v>1776.3</v>
      </c>
      <c r="X136" s="104" t="n">
        <v>24761.42</v>
      </c>
      <c r="Y136" s="104" t="n">
        <v>24527.6</v>
      </c>
      <c r="Z136" s="108" t="n">
        <v>21.5</v>
      </c>
      <c r="AA136" s="103">
        <f>1/(1+Parametres!$B$12)^(A136-2026)</f>
        <v/>
      </c>
      <c r="AB136" s="111">
        <f>D136/AA136</f>
        <v/>
      </c>
      <c r="AC136" s="107" t="n"/>
      <c r="AD136" s="107" t="n"/>
      <c r="AE136" s="107">
        <f>((1+Parametres!$B$13)*(1+Parametres!$B$12)-1)</f>
        <v/>
      </c>
      <c r="AF136" s="107">
        <f>((1+Parametres!$B$14)*(1+Parametres!$B$12)-1)</f>
        <v/>
      </c>
      <c r="AG136" s="103">
        <f>AG135*(1+AE136)</f>
        <v/>
      </c>
      <c r="AH136" s="103">
        <f>AH135*(1+AF136)</f>
        <v/>
      </c>
      <c r="AI136" s="103">
        <f>IF(AE136=0,1,AE136/(12*((1+AE136)^(1/12)-1)))</f>
        <v/>
      </c>
      <c r="AJ136" s="103">
        <f>IF(AF136=0,1,AF136/(12*((1+AF136)^(1/12)-1)))</f>
        <v/>
      </c>
      <c r="AK136" s="112">
        <f>D136*'3_Comparateur_detaille'!$B$16</f>
        <v/>
      </c>
      <c r="AL136" s="112">
        <f>IF('3_Comparateur_detaille'!$B$20="Privé",MIN(AK136,E136)*IF('3_Comparateur_detaille'!$B$15="cadre",J136,F136)+MAX(0,AK136-E136)*IF('3_Comparateur_detaille'!$B$15="cadre",L136,H136),AK136*SUMIFS(Donnees_regimes!$J$3:$J$1118,Donnees_regimes!$A$3:$A$1118,'3_Comparateur_detaille'!$B$20,Donnees_regimes!$B$3:$B$1118,A136))</f>
        <v/>
      </c>
      <c r="AM136" s="112">
        <f>IF('3_Comparateur_detaille'!$B$20="Privé",MIN(AK136,E136)*IF('3_Comparateur_detaille'!$B$15="cadre",K136,G136)+MAX(0,AK136-E136)*IF('3_Comparateur_detaille'!$B$15="cadre",M136,I136),AK136*SUMIFS(Donnees_regimes!$K$3:$K$1118,Donnees_regimes!$A$3:$A$1118,'3_Comparateur_detaille'!$B$20,Donnees_regimes!$B$3:$B$1118,A136))</f>
        <v/>
      </c>
      <c r="AN136" s="112">
        <f>IF('3_Comparateur_detaille'!$B$20="Privé",0,AK136*SUMIFS(Donnees_regimes!$L$3:$L$1118,Donnees_regimes!$A$3:$A$1118,'3_Comparateur_detaille'!$B$20,Donnees_regimes!$B$3:$B$1118,A136))</f>
        <v/>
      </c>
      <c r="AO136" s="113">
        <f>(AL136+AM136)/AA136*AI136/AG136</f>
        <v/>
      </c>
      <c r="AP136" s="113">
        <f>(AL136+AM136)/AA136*AJ136/AH136</f>
        <v/>
      </c>
      <c r="AQ136" s="112">
        <f>D136*'3_Comparateur_detaille'!$C$16</f>
        <v/>
      </c>
      <c r="AR136" s="112">
        <f>IF('3_Comparateur_detaille'!$C$20="Privé",MIN(AQ136,E136)*IF('3_Comparateur_detaille'!$C$15="cadre",J136,F136)+MAX(0,AQ136-E136)*IF('3_Comparateur_detaille'!$C$15="cadre",L136,H136),AQ136*SUMIFS(Donnees_regimes!$J$3:$J$1118,Donnees_regimes!$A$3:$A$1118,'3_Comparateur_detaille'!$C$20,Donnees_regimes!$B$3:$B$1118,A136))</f>
        <v/>
      </c>
      <c r="AS136" s="112">
        <f>IF('3_Comparateur_detaille'!$C$20="Privé",MIN(AQ136,E136)*IF('3_Comparateur_detaille'!$C$15="cadre",K136,G136)+MAX(0,AQ136-E136)*IF('3_Comparateur_detaille'!$C$15="cadre",M136,I136),AQ136*SUMIFS(Donnees_regimes!$K$3:$K$1118,Donnees_regimes!$A$3:$A$1118,'3_Comparateur_detaille'!$C$20,Donnees_regimes!$B$3:$B$1118,A136))</f>
        <v/>
      </c>
      <c r="AT136" s="112">
        <f>IF('3_Comparateur_detaille'!$C$20="Privé",0,AQ136*SUMIFS(Donnees_regimes!$L$3:$L$1118,Donnees_regimes!$A$3:$A$1118,'3_Comparateur_detaille'!$C$20,Donnees_regimes!$B$3:$B$1118,A136))</f>
        <v/>
      </c>
      <c r="AU136" s="113">
        <f>(AR136+AS136)/AA136*AI136/AG136</f>
        <v/>
      </c>
      <c r="AV136" s="113">
        <f>(AR136+AS136)/AA136*AJ136/AH136</f>
        <v/>
      </c>
    </row>
    <row r="137">
      <c r="A137" s="101" t="n">
        <v>2079</v>
      </c>
      <c r="B137" s="102" t="inlineStr">
        <is>
          <t>Projection</t>
        </is>
      </c>
      <c r="C137" s="103" t="n"/>
      <c r="D137" s="104" t="n">
        <v>60329.75</v>
      </c>
      <c r="E137" s="104" t="n">
        <v>69557.78</v>
      </c>
      <c r="F137" s="105" t="n">
        <v>0.11562</v>
      </c>
      <c r="G137" s="105" t="n">
        <v>0.1667</v>
      </c>
      <c r="H137" s="105" t="n">
        <v>0.10512</v>
      </c>
      <c r="I137" s="105" t="n">
        <v>0.1689</v>
      </c>
      <c r="J137" s="105" t="n">
        <v>0.11562</v>
      </c>
      <c r="K137" s="105" t="n">
        <v>0.1667</v>
      </c>
      <c r="L137" s="105" t="n">
        <v>0.10512</v>
      </c>
      <c r="M137" s="105" t="n">
        <v>0.1689</v>
      </c>
      <c r="N137" s="106">
        <f>MIN(D137,E137)*F137+MAX(0,D137-E137)*H137</f>
        <v/>
      </c>
      <c r="O137" s="106">
        <f>MIN(D137,E137)*G137+MAX(0,D137-E137)*I137</f>
        <v/>
      </c>
      <c r="P137" s="106">
        <f>N137+O137</f>
        <v/>
      </c>
      <c r="Q137" s="107">
        <f>P137/D137</f>
        <v/>
      </c>
      <c r="R137" s="106">
        <f>D137+O137</f>
        <v/>
      </c>
      <c r="S137" s="108" t="n">
        <v>35</v>
      </c>
      <c r="T137" s="108" t="n">
        <v>38.8</v>
      </c>
      <c r="U137" s="109" t="n">
        <v>226</v>
      </c>
      <c r="V137" s="110" t="n">
        <v>1589</v>
      </c>
      <c r="W137" s="110" t="n">
        <v>1760.8</v>
      </c>
      <c r="X137" s="104" t="n">
        <v>24934.75</v>
      </c>
      <c r="Y137" s="104" t="n">
        <v>24699.29</v>
      </c>
      <c r="Z137" s="108" t="n">
        <v>21.5</v>
      </c>
      <c r="AA137" s="103">
        <f>1/(1+Parametres!$B$12)^(A137-2026)</f>
        <v/>
      </c>
      <c r="AB137" s="111">
        <f>D137/AA137</f>
        <v/>
      </c>
      <c r="AC137" s="107" t="n"/>
      <c r="AD137" s="107" t="n"/>
      <c r="AE137" s="107">
        <f>((1+Parametres!$B$13)*(1+Parametres!$B$12)-1)</f>
        <v/>
      </c>
      <c r="AF137" s="107">
        <f>((1+Parametres!$B$14)*(1+Parametres!$B$12)-1)</f>
        <v/>
      </c>
      <c r="AG137" s="103">
        <f>AG136*(1+AE137)</f>
        <v/>
      </c>
      <c r="AH137" s="103">
        <f>AH136*(1+AF137)</f>
        <v/>
      </c>
      <c r="AI137" s="103">
        <f>IF(AE137=0,1,AE137/(12*((1+AE137)^(1/12)-1)))</f>
        <v/>
      </c>
      <c r="AJ137" s="103">
        <f>IF(AF137=0,1,AF137/(12*((1+AF137)^(1/12)-1)))</f>
        <v/>
      </c>
      <c r="AK137" s="112">
        <f>D137*'3_Comparateur_detaille'!$B$16</f>
        <v/>
      </c>
      <c r="AL137" s="112">
        <f>IF('3_Comparateur_detaille'!$B$20="Privé",MIN(AK137,E137)*IF('3_Comparateur_detaille'!$B$15="cadre",J137,F137)+MAX(0,AK137-E137)*IF('3_Comparateur_detaille'!$B$15="cadre",L137,H137),AK137*SUMIFS(Donnees_regimes!$J$3:$J$1118,Donnees_regimes!$A$3:$A$1118,'3_Comparateur_detaille'!$B$20,Donnees_regimes!$B$3:$B$1118,A137))</f>
        <v/>
      </c>
      <c r="AM137" s="112">
        <f>IF('3_Comparateur_detaille'!$B$20="Privé",MIN(AK137,E137)*IF('3_Comparateur_detaille'!$B$15="cadre",K137,G137)+MAX(0,AK137-E137)*IF('3_Comparateur_detaille'!$B$15="cadre",M137,I137),AK137*SUMIFS(Donnees_regimes!$K$3:$K$1118,Donnees_regimes!$A$3:$A$1118,'3_Comparateur_detaille'!$B$20,Donnees_regimes!$B$3:$B$1118,A137))</f>
        <v/>
      </c>
      <c r="AN137" s="112">
        <f>IF('3_Comparateur_detaille'!$B$20="Privé",0,AK137*SUMIFS(Donnees_regimes!$L$3:$L$1118,Donnees_regimes!$A$3:$A$1118,'3_Comparateur_detaille'!$B$20,Donnees_regimes!$B$3:$B$1118,A137))</f>
        <v/>
      </c>
      <c r="AO137" s="113">
        <f>(AL137+AM137)/AA137*AI137/AG137</f>
        <v/>
      </c>
      <c r="AP137" s="113">
        <f>(AL137+AM137)/AA137*AJ137/AH137</f>
        <v/>
      </c>
      <c r="AQ137" s="112">
        <f>D137*'3_Comparateur_detaille'!$C$16</f>
        <v/>
      </c>
      <c r="AR137" s="112">
        <f>IF('3_Comparateur_detaille'!$C$20="Privé",MIN(AQ137,E137)*IF('3_Comparateur_detaille'!$C$15="cadre",J137,F137)+MAX(0,AQ137-E137)*IF('3_Comparateur_detaille'!$C$15="cadre",L137,H137),AQ137*SUMIFS(Donnees_regimes!$J$3:$J$1118,Donnees_regimes!$A$3:$A$1118,'3_Comparateur_detaille'!$C$20,Donnees_regimes!$B$3:$B$1118,A137))</f>
        <v/>
      </c>
      <c r="AS137" s="112">
        <f>IF('3_Comparateur_detaille'!$C$20="Privé",MIN(AQ137,E137)*IF('3_Comparateur_detaille'!$C$15="cadre",K137,G137)+MAX(0,AQ137-E137)*IF('3_Comparateur_detaille'!$C$15="cadre",M137,I137),AQ137*SUMIFS(Donnees_regimes!$K$3:$K$1118,Donnees_regimes!$A$3:$A$1118,'3_Comparateur_detaille'!$C$20,Donnees_regimes!$B$3:$B$1118,A137))</f>
        <v/>
      </c>
      <c r="AT137" s="112">
        <f>IF('3_Comparateur_detaille'!$C$20="Privé",0,AQ137*SUMIFS(Donnees_regimes!$L$3:$L$1118,Donnees_regimes!$A$3:$A$1118,'3_Comparateur_detaille'!$C$20,Donnees_regimes!$B$3:$B$1118,A137))</f>
        <v/>
      </c>
      <c r="AU137" s="113">
        <f>(AR137+AS137)/AA137*AI137/AG137</f>
        <v/>
      </c>
      <c r="AV137" s="113">
        <f>(AR137+AS137)/AA137*AJ137/AH137</f>
        <v/>
      </c>
    </row>
    <row r="138">
      <c r="A138" s="101" t="n">
        <v>2080</v>
      </c>
      <c r="B138" s="102" t="inlineStr">
        <is>
          <t>Projection</t>
        </is>
      </c>
      <c r="C138" s="103" t="n"/>
      <c r="D138" s="104" t="n">
        <v>60752.06</v>
      </c>
      <c r="E138" s="104" t="n">
        <v>70044.67999999999</v>
      </c>
      <c r="F138" s="105" t="n">
        <v>0.11562</v>
      </c>
      <c r="G138" s="105" t="n">
        <v>0.1667</v>
      </c>
      <c r="H138" s="105" t="n">
        <v>0.10512</v>
      </c>
      <c r="I138" s="105" t="n">
        <v>0.1689</v>
      </c>
      <c r="J138" s="105" t="n">
        <v>0.11562</v>
      </c>
      <c r="K138" s="105" t="n">
        <v>0.1667</v>
      </c>
      <c r="L138" s="105" t="n">
        <v>0.10512</v>
      </c>
      <c r="M138" s="105" t="n">
        <v>0.1689</v>
      </c>
      <c r="N138" s="106">
        <f>MIN(D138,E138)*F138+MAX(0,D138-E138)*H138</f>
        <v/>
      </c>
      <c r="O138" s="106">
        <f>MIN(D138,E138)*G138+MAX(0,D138-E138)*I138</f>
        <v/>
      </c>
      <c r="P138" s="106">
        <f>N138+O138</f>
        <v/>
      </c>
      <c r="Q138" s="107">
        <f>P138/D138</f>
        <v/>
      </c>
      <c r="R138" s="106">
        <f>D138+O138</f>
        <v/>
      </c>
      <c r="S138" s="108" t="n">
        <v>35</v>
      </c>
      <c r="T138" s="108" t="n">
        <v>38.8</v>
      </c>
      <c r="U138" s="109" t="n">
        <v>227</v>
      </c>
      <c r="V138" s="110" t="n">
        <v>1596</v>
      </c>
      <c r="W138" s="110" t="n">
        <v>1768.5</v>
      </c>
      <c r="X138" s="104" t="n">
        <v>25109.29</v>
      </c>
      <c r="Y138" s="104" t="n">
        <v>24872.19</v>
      </c>
      <c r="Z138" s="108" t="n">
        <v>21.5</v>
      </c>
      <c r="AA138" s="103">
        <f>1/(1+Parametres!$B$12)^(A138-2026)</f>
        <v/>
      </c>
      <c r="AB138" s="111">
        <f>D138/AA138</f>
        <v/>
      </c>
      <c r="AC138" s="107" t="n"/>
      <c r="AD138" s="107" t="n"/>
      <c r="AE138" s="107">
        <f>((1+Parametres!$B$13)*(1+Parametres!$B$12)-1)</f>
        <v/>
      </c>
      <c r="AF138" s="107">
        <f>((1+Parametres!$B$14)*(1+Parametres!$B$12)-1)</f>
        <v/>
      </c>
      <c r="AG138" s="103">
        <f>AG137*(1+AE138)</f>
        <v/>
      </c>
      <c r="AH138" s="103">
        <f>AH137*(1+AF138)</f>
        <v/>
      </c>
      <c r="AI138" s="103">
        <f>IF(AE138=0,1,AE138/(12*((1+AE138)^(1/12)-1)))</f>
        <v/>
      </c>
      <c r="AJ138" s="103">
        <f>IF(AF138=0,1,AF138/(12*((1+AF138)^(1/12)-1)))</f>
        <v/>
      </c>
      <c r="AK138" s="112">
        <f>D138*'3_Comparateur_detaille'!$B$16</f>
        <v/>
      </c>
      <c r="AL138" s="112">
        <f>IF('3_Comparateur_detaille'!$B$20="Privé",MIN(AK138,E138)*IF('3_Comparateur_detaille'!$B$15="cadre",J138,F138)+MAX(0,AK138-E138)*IF('3_Comparateur_detaille'!$B$15="cadre",L138,H138),AK138*SUMIFS(Donnees_regimes!$J$3:$J$1118,Donnees_regimes!$A$3:$A$1118,'3_Comparateur_detaille'!$B$20,Donnees_regimes!$B$3:$B$1118,A138))</f>
        <v/>
      </c>
      <c r="AM138" s="112">
        <f>IF('3_Comparateur_detaille'!$B$20="Privé",MIN(AK138,E138)*IF('3_Comparateur_detaille'!$B$15="cadre",K138,G138)+MAX(0,AK138-E138)*IF('3_Comparateur_detaille'!$B$15="cadre",M138,I138),AK138*SUMIFS(Donnees_regimes!$K$3:$K$1118,Donnees_regimes!$A$3:$A$1118,'3_Comparateur_detaille'!$B$20,Donnees_regimes!$B$3:$B$1118,A138))</f>
        <v/>
      </c>
      <c r="AN138" s="112">
        <f>IF('3_Comparateur_detaille'!$B$20="Privé",0,AK138*SUMIFS(Donnees_regimes!$L$3:$L$1118,Donnees_regimes!$A$3:$A$1118,'3_Comparateur_detaille'!$B$20,Donnees_regimes!$B$3:$B$1118,A138))</f>
        <v/>
      </c>
      <c r="AO138" s="113">
        <f>(AL138+AM138)/AA138*AI138/AG138</f>
        <v/>
      </c>
      <c r="AP138" s="113">
        <f>(AL138+AM138)/AA138*AJ138/AH138</f>
        <v/>
      </c>
      <c r="AQ138" s="112">
        <f>D138*'3_Comparateur_detaille'!$C$16</f>
        <v/>
      </c>
      <c r="AR138" s="112">
        <f>IF('3_Comparateur_detaille'!$C$20="Privé",MIN(AQ138,E138)*IF('3_Comparateur_detaille'!$C$15="cadre",J138,F138)+MAX(0,AQ138-E138)*IF('3_Comparateur_detaille'!$C$15="cadre",L138,H138),AQ138*SUMIFS(Donnees_regimes!$J$3:$J$1118,Donnees_regimes!$A$3:$A$1118,'3_Comparateur_detaille'!$C$20,Donnees_regimes!$B$3:$B$1118,A138))</f>
        <v/>
      </c>
      <c r="AS138" s="112">
        <f>IF('3_Comparateur_detaille'!$C$20="Privé",MIN(AQ138,E138)*IF('3_Comparateur_detaille'!$C$15="cadre",K138,G138)+MAX(0,AQ138-E138)*IF('3_Comparateur_detaille'!$C$15="cadre",M138,I138),AQ138*SUMIFS(Donnees_regimes!$K$3:$K$1118,Donnees_regimes!$A$3:$A$1118,'3_Comparateur_detaille'!$C$20,Donnees_regimes!$B$3:$B$1118,A138))</f>
        <v/>
      </c>
      <c r="AT138" s="112">
        <f>IF('3_Comparateur_detaille'!$C$20="Privé",0,AQ138*SUMIFS(Donnees_regimes!$L$3:$L$1118,Donnees_regimes!$A$3:$A$1118,'3_Comparateur_detaille'!$C$20,Donnees_regimes!$B$3:$B$1118,A138))</f>
        <v/>
      </c>
      <c r="AU138" s="113">
        <f>(AR138+AS138)/AA138*AI138/AG138</f>
        <v/>
      </c>
      <c r="AV138" s="113">
        <f>(AR138+AS138)/AA138*AJ138/AH138</f>
        <v/>
      </c>
    </row>
    <row r="139">
      <c r="A139" s="101" t="n">
        <v>2081</v>
      </c>
      <c r="B139" s="102" t="inlineStr">
        <is>
          <t>Projection</t>
        </is>
      </c>
      <c r="C139" s="103" t="n"/>
      <c r="D139" s="104" t="n">
        <v>61177.33</v>
      </c>
      <c r="E139" s="104" t="n">
        <v>70535</v>
      </c>
      <c r="F139" s="105" t="n">
        <v>0.11562</v>
      </c>
      <c r="G139" s="105" t="n">
        <v>0.1667</v>
      </c>
      <c r="H139" s="105" t="n">
        <v>0.10512</v>
      </c>
      <c r="I139" s="105" t="n">
        <v>0.1689</v>
      </c>
      <c r="J139" s="105" t="n">
        <v>0.11562</v>
      </c>
      <c r="K139" s="105" t="n">
        <v>0.1667</v>
      </c>
      <c r="L139" s="105" t="n">
        <v>0.10512</v>
      </c>
      <c r="M139" s="105" t="n">
        <v>0.1689</v>
      </c>
      <c r="N139" s="106">
        <f>MIN(D139,E139)*F139+MAX(0,D139-E139)*H139</f>
        <v/>
      </c>
      <c r="O139" s="106">
        <f>MIN(D139,E139)*G139+MAX(0,D139-E139)*I139</f>
        <v/>
      </c>
      <c r="P139" s="106">
        <f>N139+O139</f>
        <v/>
      </c>
      <c r="Q139" s="107">
        <f>P139/D139</f>
        <v/>
      </c>
      <c r="R139" s="106">
        <f>D139+O139</f>
        <v/>
      </c>
      <c r="S139" s="108" t="n">
        <v>35</v>
      </c>
      <c r="T139" s="108" t="n">
        <v>38.8</v>
      </c>
      <c r="U139" s="109" t="n">
        <v>226</v>
      </c>
      <c r="V139" s="110" t="n">
        <v>1589</v>
      </c>
      <c r="W139" s="110" t="n">
        <v>1760.8</v>
      </c>
      <c r="X139" s="104" t="n">
        <v>25285.05</v>
      </c>
      <c r="Y139" s="104" t="n">
        <v>25046.29</v>
      </c>
      <c r="Z139" s="108" t="n">
        <v>21.5</v>
      </c>
      <c r="AA139" s="103">
        <f>1/(1+Parametres!$B$12)^(A139-2026)</f>
        <v/>
      </c>
      <c r="AB139" s="111">
        <f>D139/AA139</f>
        <v/>
      </c>
      <c r="AC139" s="107" t="n"/>
      <c r="AD139" s="107" t="n"/>
      <c r="AE139" s="107">
        <f>((1+Parametres!$B$13)*(1+Parametres!$B$12)-1)</f>
        <v/>
      </c>
      <c r="AF139" s="107">
        <f>((1+Parametres!$B$14)*(1+Parametres!$B$12)-1)</f>
        <v/>
      </c>
      <c r="AG139" s="103">
        <f>AG138*(1+AE139)</f>
        <v/>
      </c>
      <c r="AH139" s="103">
        <f>AH138*(1+AF139)</f>
        <v/>
      </c>
      <c r="AI139" s="103">
        <f>IF(AE139=0,1,AE139/(12*((1+AE139)^(1/12)-1)))</f>
        <v/>
      </c>
      <c r="AJ139" s="103">
        <f>IF(AF139=0,1,AF139/(12*((1+AF139)^(1/12)-1)))</f>
        <v/>
      </c>
      <c r="AK139" s="112">
        <f>D139*'3_Comparateur_detaille'!$B$16</f>
        <v/>
      </c>
      <c r="AL139" s="112">
        <f>IF('3_Comparateur_detaille'!$B$20="Privé",MIN(AK139,E139)*IF('3_Comparateur_detaille'!$B$15="cadre",J139,F139)+MAX(0,AK139-E139)*IF('3_Comparateur_detaille'!$B$15="cadre",L139,H139),AK139*SUMIFS(Donnees_regimes!$J$3:$J$1118,Donnees_regimes!$A$3:$A$1118,'3_Comparateur_detaille'!$B$20,Donnees_regimes!$B$3:$B$1118,A139))</f>
        <v/>
      </c>
      <c r="AM139" s="112">
        <f>IF('3_Comparateur_detaille'!$B$20="Privé",MIN(AK139,E139)*IF('3_Comparateur_detaille'!$B$15="cadre",K139,G139)+MAX(0,AK139-E139)*IF('3_Comparateur_detaille'!$B$15="cadre",M139,I139),AK139*SUMIFS(Donnees_regimes!$K$3:$K$1118,Donnees_regimes!$A$3:$A$1118,'3_Comparateur_detaille'!$B$20,Donnees_regimes!$B$3:$B$1118,A139))</f>
        <v/>
      </c>
      <c r="AN139" s="112">
        <f>IF('3_Comparateur_detaille'!$B$20="Privé",0,AK139*SUMIFS(Donnees_regimes!$L$3:$L$1118,Donnees_regimes!$A$3:$A$1118,'3_Comparateur_detaille'!$B$20,Donnees_regimes!$B$3:$B$1118,A139))</f>
        <v/>
      </c>
      <c r="AO139" s="113">
        <f>(AL139+AM139)/AA139*AI139/AG139</f>
        <v/>
      </c>
      <c r="AP139" s="113">
        <f>(AL139+AM139)/AA139*AJ139/AH139</f>
        <v/>
      </c>
      <c r="AQ139" s="112">
        <f>D139*'3_Comparateur_detaille'!$C$16</f>
        <v/>
      </c>
      <c r="AR139" s="112">
        <f>IF('3_Comparateur_detaille'!$C$20="Privé",MIN(AQ139,E139)*IF('3_Comparateur_detaille'!$C$15="cadre",J139,F139)+MAX(0,AQ139-E139)*IF('3_Comparateur_detaille'!$C$15="cadre",L139,H139),AQ139*SUMIFS(Donnees_regimes!$J$3:$J$1118,Donnees_regimes!$A$3:$A$1118,'3_Comparateur_detaille'!$C$20,Donnees_regimes!$B$3:$B$1118,A139))</f>
        <v/>
      </c>
      <c r="AS139" s="112">
        <f>IF('3_Comparateur_detaille'!$C$20="Privé",MIN(AQ139,E139)*IF('3_Comparateur_detaille'!$C$15="cadre",K139,G139)+MAX(0,AQ139-E139)*IF('3_Comparateur_detaille'!$C$15="cadre",M139,I139),AQ139*SUMIFS(Donnees_regimes!$K$3:$K$1118,Donnees_regimes!$A$3:$A$1118,'3_Comparateur_detaille'!$C$20,Donnees_regimes!$B$3:$B$1118,A139))</f>
        <v/>
      </c>
      <c r="AT139" s="112">
        <f>IF('3_Comparateur_detaille'!$C$20="Privé",0,AQ139*SUMIFS(Donnees_regimes!$L$3:$L$1118,Donnees_regimes!$A$3:$A$1118,'3_Comparateur_detaille'!$C$20,Donnees_regimes!$B$3:$B$1118,A139))</f>
        <v/>
      </c>
      <c r="AU139" s="113">
        <f>(AR139+AS139)/AA139*AI139/AG139</f>
        <v/>
      </c>
      <c r="AV139" s="113">
        <f>(AR139+AS139)/AA139*AJ139/AH139</f>
        <v/>
      </c>
    </row>
    <row r="140">
      <c r="A140" s="101" t="n">
        <v>2082</v>
      </c>
      <c r="B140" s="102" t="inlineStr">
        <is>
          <t>Projection</t>
        </is>
      </c>
      <c r="C140" s="103" t="n"/>
      <c r="D140" s="104" t="n">
        <v>61605.57</v>
      </c>
      <c r="E140" s="104" t="n">
        <v>71028.74000000001</v>
      </c>
      <c r="F140" s="105" t="n">
        <v>0.11562</v>
      </c>
      <c r="G140" s="105" t="n">
        <v>0.1667</v>
      </c>
      <c r="H140" s="105" t="n">
        <v>0.10512</v>
      </c>
      <c r="I140" s="105" t="n">
        <v>0.1689</v>
      </c>
      <c r="J140" s="105" t="n">
        <v>0.11562</v>
      </c>
      <c r="K140" s="105" t="n">
        <v>0.1667</v>
      </c>
      <c r="L140" s="105" t="n">
        <v>0.10512</v>
      </c>
      <c r="M140" s="105" t="n">
        <v>0.1689</v>
      </c>
      <c r="N140" s="106">
        <f>MIN(D140,E140)*F140+MAX(0,D140-E140)*H140</f>
        <v/>
      </c>
      <c r="O140" s="106">
        <f>MIN(D140,E140)*G140+MAX(0,D140-E140)*I140</f>
        <v/>
      </c>
      <c r="P140" s="106">
        <f>N140+O140</f>
        <v/>
      </c>
      <c r="Q140" s="107">
        <f>P140/D140</f>
        <v/>
      </c>
      <c r="R140" s="106">
        <f>D140+O140</f>
        <v/>
      </c>
      <c r="S140" s="108" t="n">
        <v>35</v>
      </c>
      <c r="T140" s="108" t="n">
        <v>38.8</v>
      </c>
      <c r="U140" s="109" t="n">
        <v>227</v>
      </c>
      <c r="V140" s="110" t="n">
        <v>1596</v>
      </c>
      <c r="W140" s="110" t="n">
        <v>1768.5</v>
      </c>
      <c r="X140" s="104" t="n">
        <v>25462.05</v>
      </c>
      <c r="Y140" s="104" t="n">
        <v>25221.62</v>
      </c>
      <c r="Z140" s="108" t="n">
        <v>21.5</v>
      </c>
      <c r="AA140" s="103">
        <f>1/(1+Parametres!$B$12)^(A140-2026)</f>
        <v/>
      </c>
      <c r="AB140" s="111">
        <f>D140/AA140</f>
        <v/>
      </c>
      <c r="AC140" s="107" t="n"/>
      <c r="AD140" s="107" t="n"/>
      <c r="AE140" s="107">
        <f>((1+Parametres!$B$13)*(1+Parametres!$B$12)-1)</f>
        <v/>
      </c>
      <c r="AF140" s="107">
        <f>((1+Parametres!$B$14)*(1+Parametres!$B$12)-1)</f>
        <v/>
      </c>
      <c r="AG140" s="103">
        <f>AG139*(1+AE140)</f>
        <v/>
      </c>
      <c r="AH140" s="103">
        <f>AH139*(1+AF140)</f>
        <v/>
      </c>
      <c r="AI140" s="103">
        <f>IF(AE140=0,1,AE140/(12*((1+AE140)^(1/12)-1)))</f>
        <v/>
      </c>
      <c r="AJ140" s="103">
        <f>IF(AF140=0,1,AF140/(12*((1+AF140)^(1/12)-1)))</f>
        <v/>
      </c>
      <c r="AK140" s="112">
        <f>D140*'3_Comparateur_detaille'!$B$16</f>
        <v/>
      </c>
      <c r="AL140" s="112">
        <f>IF('3_Comparateur_detaille'!$B$20="Privé",MIN(AK140,E140)*IF('3_Comparateur_detaille'!$B$15="cadre",J140,F140)+MAX(0,AK140-E140)*IF('3_Comparateur_detaille'!$B$15="cadre",L140,H140),AK140*SUMIFS(Donnees_regimes!$J$3:$J$1118,Donnees_regimes!$A$3:$A$1118,'3_Comparateur_detaille'!$B$20,Donnees_regimes!$B$3:$B$1118,A140))</f>
        <v/>
      </c>
      <c r="AM140" s="112">
        <f>IF('3_Comparateur_detaille'!$B$20="Privé",MIN(AK140,E140)*IF('3_Comparateur_detaille'!$B$15="cadre",K140,G140)+MAX(0,AK140-E140)*IF('3_Comparateur_detaille'!$B$15="cadre",M140,I140),AK140*SUMIFS(Donnees_regimes!$K$3:$K$1118,Donnees_regimes!$A$3:$A$1118,'3_Comparateur_detaille'!$B$20,Donnees_regimes!$B$3:$B$1118,A140))</f>
        <v/>
      </c>
      <c r="AN140" s="112">
        <f>IF('3_Comparateur_detaille'!$B$20="Privé",0,AK140*SUMIFS(Donnees_regimes!$L$3:$L$1118,Donnees_regimes!$A$3:$A$1118,'3_Comparateur_detaille'!$B$20,Donnees_regimes!$B$3:$B$1118,A140))</f>
        <v/>
      </c>
      <c r="AO140" s="113">
        <f>(AL140+AM140)/AA140*AI140/AG140</f>
        <v/>
      </c>
      <c r="AP140" s="113">
        <f>(AL140+AM140)/AA140*AJ140/AH140</f>
        <v/>
      </c>
      <c r="AQ140" s="112">
        <f>D140*'3_Comparateur_detaille'!$C$16</f>
        <v/>
      </c>
      <c r="AR140" s="112">
        <f>IF('3_Comparateur_detaille'!$C$20="Privé",MIN(AQ140,E140)*IF('3_Comparateur_detaille'!$C$15="cadre",J140,F140)+MAX(0,AQ140-E140)*IF('3_Comparateur_detaille'!$C$15="cadre",L140,H140),AQ140*SUMIFS(Donnees_regimes!$J$3:$J$1118,Donnees_regimes!$A$3:$A$1118,'3_Comparateur_detaille'!$C$20,Donnees_regimes!$B$3:$B$1118,A140))</f>
        <v/>
      </c>
      <c r="AS140" s="112">
        <f>IF('3_Comparateur_detaille'!$C$20="Privé",MIN(AQ140,E140)*IF('3_Comparateur_detaille'!$C$15="cadre",K140,G140)+MAX(0,AQ140-E140)*IF('3_Comparateur_detaille'!$C$15="cadre",M140,I140),AQ140*SUMIFS(Donnees_regimes!$K$3:$K$1118,Donnees_regimes!$A$3:$A$1118,'3_Comparateur_detaille'!$C$20,Donnees_regimes!$B$3:$B$1118,A140))</f>
        <v/>
      </c>
      <c r="AT140" s="112">
        <f>IF('3_Comparateur_detaille'!$C$20="Privé",0,AQ140*SUMIFS(Donnees_regimes!$L$3:$L$1118,Donnees_regimes!$A$3:$A$1118,'3_Comparateur_detaille'!$C$20,Donnees_regimes!$B$3:$B$1118,A140))</f>
        <v/>
      </c>
      <c r="AU140" s="113">
        <f>(AR140+AS140)/AA140*AI140/AG140</f>
        <v/>
      </c>
      <c r="AV140" s="113">
        <f>(AR140+AS140)/AA140*AJ140/AH140</f>
        <v/>
      </c>
    </row>
    <row r="141">
      <c r="A141" s="101" t="n">
        <v>2083</v>
      </c>
      <c r="B141" s="102" t="inlineStr">
        <is>
          <t>Projection</t>
        </is>
      </c>
      <c r="C141" s="103" t="n"/>
      <c r="D141" s="104" t="n">
        <v>62036.81</v>
      </c>
      <c r="E141" s="104" t="n">
        <v>71525.94</v>
      </c>
      <c r="F141" s="105" t="n">
        <v>0.11562</v>
      </c>
      <c r="G141" s="105" t="n">
        <v>0.1667</v>
      </c>
      <c r="H141" s="105" t="n">
        <v>0.10512</v>
      </c>
      <c r="I141" s="105" t="n">
        <v>0.1689</v>
      </c>
      <c r="J141" s="105" t="n">
        <v>0.11562</v>
      </c>
      <c r="K141" s="105" t="n">
        <v>0.1667</v>
      </c>
      <c r="L141" s="105" t="n">
        <v>0.10512</v>
      </c>
      <c r="M141" s="105" t="n">
        <v>0.1689</v>
      </c>
      <c r="N141" s="106">
        <f>MIN(D141,E141)*F141+MAX(0,D141-E141)*H141</f>
        <v/>
      </c>
      <c r="O141" s="106">
        <f>MIN(D141,E141)*G141+MAX(0,D141-E141)*I141</f>
        <v/>
      </c>
      <c r="P141" s="106">
        <f>N141+O141</f>
        <v/>
      </c>
      <c r="Q141" s="107">
        <f>P141/D141</f>
        <v/>
      </c>
      <c r="R141" s="106">
        <f>D141+O141</f>
        <v/>
      </c>
      <c r="S141" s="108" t="n">
        <v>35</v>
      </c>
      <c r="T141" s="108" t="n">
        <v>38.8</v>
      </c>
      <c r="U141" s="109" t="n">
        <v>229</v>
      </c>
      <c r="V141" s="110" t="n">
        <v>1610</v>
      </c>
      <c r="W141" s="110" t="n">
        <v>1784</v>
      </c>
      <c r="X141" s="104" t="n">
        <v>25640.28</v>
      </c>
      <c r="Y141" s="104" t="n">
        <v>25398.17</v>
      </c>
      <c r="Z141" s="108" t="n">
        <v>21.5</v>
      </c>
      <c r="AA141" s="103">
        <f>1/(1+Parametres!$B$12)^(A141-2026)</f>
        <v/>
      </c>
      <c r="AB141" s="111">
        <f>D141/AA141</f>
        <v/>
      </c>
      <c r="AC141" s="107" t="n"/>
      <c r="AD141" s="107" t="n"/>
      <c r="AE141" s="107">
        <f>((1+Parametres!$B$13)*(1+Parametres!$B$12)-1)</f>
        <v/>
      </c>
      <c r="AF141" s="107">
        <f>((1+Parametres!$B$14)*(1+Parametres!$B$12)-1)</f>
        <v/>
      </c>
      <c r="AG141" s="103">
        <f>AG140*(1+AE141)</f>
        <v/>
      </c>
      <c r="AH141" s="103">
        <f>AH140*(1+AF141)</f>
        <v/>
      </c>
      <c r="AI141" s="103">
        <f>IF(AE141=0,1,AE141/(12*((1+AE141)^(1/12)-1)))</f>
        <v/>
      </c>
      <c r="AJ141" s="103">
        <f>IF(AF141=0,1,AF141/(12*((1+AF141)^(1/12)-1)))</f>
        <v/>
      </c>
      <c r="AK141" s="112">
        <f>D141*'3_Comparateur_detaille'!$B$16</f>
        <v/>
      </c>
      <c r="AL141" s="112">
        <f>IF('3_Comparateur_detaille'!$B$20="Privé",MIN(AK141,E141)*IF('3_Comparateur_detaille'!$B$15="cadre",J141,F141)+MAX(0,AK141-E141)*IF('3_Comparateur_detaille'!$B$15="cadre",L141,H141),AK141*SUMIFS(Donnees_regimes!$J$3:$J$1118,Donnees_regimes!$A$3:$A$1118,'3_Comparateur_detaille'!$B$20,Donnees_regimes!$B$3:$B$1118,A141))</f>
        <v/>
      </c>
      <c r="AM141" s="112">
        <f>IF('3_Comparateur_detaille'!$B$20="Privé",MIN(AK141,E141)*IF('3_Comparateur_detaille'!$B$15="cadre",K141,G141)+MAX(0,AK141-E141)*IF('3_Comparateur_detaille'!$B$15="cadre",M141,I141),AK141*SUMIFS(Donnees_regimes!$K$3:$K$1118,Donnees_regimes!$A$3:$A$1118,'3_Comparateur_detaille'!$B$20,Donnees_regimes!$B$3:$B$1118,A141))</f>
        <v/>
      </c>
      <c r="AN141" s="112">
        <f>IF('3_Comparateur_detaille'!$B$20="Privé",0,AK141*SUMIFS(Donnees_regimes!$L$3:$L$1118,Donnees_regimes!$A$3:$A$1118,'3_Comparateur_detaille'!$B$20,Donnees_regimes!$B$3:$B$1118,A141))</f>
        <v/>
      </c>
      <c r="AO141" s="113">
        <f>(AL141+AM141)/AA141*AI141/AG141</f>
        <v/>
      </c>
      <c r="AP141" s="113">
        <f>(AL141+AM141)/AA141*AJ141/AH141</f>
        <v/>
      </c>
      <c r="AQ141" s="112">
        <f>D141*'3_Comparateur_detaille'!$C$16</f>
        <v/>
      </c>
      <c r="AR141" s="112">
        <f>IF('3_Comparateur_detaille'!$C$20="Privé",MIN(AQ141,E141)*IF('3_Comparateur_detaille'!$C$15="cadre",J141,F141)+MAX(0,AQ141-E141)*IF('3_Comparateur_detaille'!$C$15="cadre",L141,H141),AQ141*SUMIFS(Donnees_regimes!$J$3:$J$1118,Donnees_regimes!$A$3:$A$1118,'3_Comparateur_detaille'!$C$20,Donnees_regimes!$B$3:$B$1118,A141))</f>
        <v/>
      </c>
      <c r="AS141" s="112">
        <f>IF('3_Comparateur_detaille'!$C$20="Privé",MIN(AQ141,E141)*IF('3_Comparateur_detaille'!$C$15="cadre",K141,G141)+MAX(0,AQ141-E141)*IF('3_Comparateur_detaille'!$C$15="cadre",M141,I141),AQ141*SUMIFS(Donnees_regimes!$K$3:$K$1118,Donnees_regimes!$A$3:$A$1118,'3_Comparateur_detaille'!$C$20,Donnees_regimes!$B$3:$B$1118,A141))</f>
        <v/>
      </c>
      <c r="AT141" s="112">
        <f>IF('3_Comparateur_detaille'!$C$20="Privé",0,AQ141*SUMIFS(Donnees_regimes!$L$3:$L$1118,Donnees_regimes!$A$3:$A$1118,'3_Comparateur_detaille'!$C$20,Donnees_regimes!$B$3:$B$1118,A141))</f>
        <v/>
      </c>
      <c r="AU141" s="113">
        <f>(AR141+AS141)/AA141*AI141/AG141</f>
        <v/>
      </c>
      <c r="AV141" s="113">
        <f>(AR141+AS141)/AA141*AJ141/AH141</f>
        <v/>
      </c>
    </row>
    <row r="142">
      <c r="A142" s="101" t="n">
        <v>2084</v>
      </c>
      <c r="B142" s="102" t="inlineStr">
        <is>
          <t>Projection</t>
        </is>
      </c>
      <c r="C142" s="103" t="n"/>
      <c r="D142" s="104" t="n">
        <v>62471.06</v>
      </c>
      <c r="E142" s="104" t="n">
        <v>72026.62</v>
      </c>
      <c r="F142" s="105" t="n">
        <v>0.11562</v>
      </c>
      <c r="G142" s="105" t="n">
        <v>0.1667</v>
      </c>
      <c r="H142" s="105" t="n">
        <v>0.10512</v>
      </c>
      <c r="I142" s="105" t="n">
        <v>0.1689</v>
      </c>
      <c r="J142" s="105" t="n">
        <v>0.11562</v>
      </c>
      <c r="K142" s="105" t="n">
        <v>0.1667</v>
      </c>
      <c r="L142" s="105" t="n">
        <v>0.10512</v>
      </c>
      <c r="M142" s="105" t="n">
        <v>0.1689</v>
      </c>
      <c r="N142" s="106">
        <f>MIN(D142,E142)*F142+MAX(0,D142-E142)*H142</f>
        <v/>
      </c>
      <c r="O142" s="106">
        <f>MIN(D142,E142)*G142+MAX(0,D142-E142)*I142</f>
        <v/>
      </c>
      <c r="P142" s="106">
        <f>N142+O142</f>
        <v/>
      </c>
      <c r="Q142" s="107">
        <f>P142/D142</f>
        <v/>
      </c>
      <c r="R142" s="106">
        <f>D142+O142</f>
        <v/>
      </c>
      <c r="S142" s="108" t="n">
        <v>35</v>
      </c>
      <c r="T142" s="108" t="n">
        <v>38.8</v>
      </c>
      <c r="U142" s="109" t="n">
        <v>226</v>
      </c>
      <c r="V142" s="110" t="n">
        <v>1589</v>
      </c>
      <c r="W142" s="110" t="n">
        <v>1760.8</v>
      </c>
      <c r="X142" s="104" t="n">
        <v>25819.77</v>
      </c>
      <c r="Y142" s="104" t="n">
        <v>25575.95</v>
      </c>
      <c r="Z142" s="108" t="n">
        <v>21.5</v>
      </c>
      <c r="AA142" s="103">
        <f>1/(1+Parametres!$B$12)^(A142-2026)</f>
        <v/>
      </c>
      <c r="AB142" s="111">
        <f>D142/AA142</f>
        <v/>
      </c>
      <c r="AC142" s="107" t="n"/>
      <c r="AD142" s="107" t="n"/>
      <c r="AE142" s="107">
        <f>((1+Parametres!$B$13)*(1+Parametres!$B$12)-1)</f>
        <v/>
      </c>
      <c r="AF142" s="107">
        <f>((1+Parametres!$B$14)*(1+Parametres!$B$12)-1)</f>
        <v/>
      </c>
      <c r="AG142" s="103">
        <f>AG141*(1+AE142)</f>
        <v/>
      </c>
      <c r="AH142" s="103">
        <f>AH141*(1+AF142)</f>
        <v/>
      </c>
      <c r="AI142" s="103">
        <f>IF(AE142=0,1,AE142/(12*((1+AE142)^(1/12)-1)))</f>
        <v/>
      </c>
      <c r="AJ142" s="103">
        <f>IF(AF142=0,1,AF142/(12*((1+AF142)^(1/12)-1)))</f>
        <v/>
      </c>
      <c r="AK142" s="112">
        <f>D142*'3_Comparateur_detaille'!$B$16</f>
        <v/>
      </c>
      <c r="AL142" s="112">
        <f>IF('3_Comparateur_detaille'!$B$20="Privé",MIN(AK142,E142)*IF('3_Comparateur_detaille'!$B$15="cadre",J142,F142)+MAX(0,AK142-E142)*IF('3_Comparateur_detaille'!$B$15="cadre",L142,H142),AK142*SUMIFS(Donnees_regimes!$J$3:$J$1118,Donnees_regimes!$A$3:$A$1118,'3_Comparateur_detaille'!$B$20,Donnees_regimes!$B$3:$B$1118,A142))</f>
        <v/>
      </c>
      <c r="AM142" s="112">
        <f>IF('3_Comparateur_detaille'!$B$20="Privé",MIN(AK142,E142)*IF('3_Comparateur_detaille'!$B$15="cadre",K142,G142)+MAX(0,AK142-E142)*IF('3_Comparateur_detaille'!$B$15="cadre",M142,I142),AK142*SUMIFS(Donnees_regimes!$K$3:$K$1118,Donnees_regimes!$A$3:$A$1118,'3_Comparateur_detaille'!$B$20,Donnees_regimes!$B$3:$B$1118,A142))</f>
        <v/>
      </c>
      <c r="AN142" s="112">
        <f>IF('3_Comparateur_detaille'!$B$20="Privé",0,AK142*SUMIFS(Donnees_regimes!$L$3:$L$1118,Donnees_regimes!$A$3:$A$1118,'3_Comparateur_detaille'!$B$20,Donnees_regimes!$B$3:$B$1118,A142))</f>
        <v/>
      </c>
      <c r="AO142" s="113">
        <f>(AL142+AM142)/AA142*AI142/AG142</f>
        <v/>
      </c>
      <c r="AP142" s="113">
        <f>(AL142+AM142)/AA142*AJ142/AH142</f>
        <v/>
      </c>
      <c r="AQ142" s="112">
        <f>D142*'3_Comparateur_detaille'!$C$16</f>
        <v/>
      </c>
      <c r="AR142" s="112">
        <f>IF('3_Comparateur_detaille'!$C$20="Privé",MIN(AQ142,E142)*IF('3_Comparateur_detaille'!$C$15="cadre",J142,F142)+MAX(0,AQ142-E142)*IF('3_Comparateur_detaille'!$C$15="cadre",L142,H142),AQ142*SUMIFS(Donnees_regimes!$J$3:$J$1118,Donnees_regimes!$A$3:$A$1118,'3_Comparateur_detaille'!$C$20,Donnees_regimes!$B$3:$B$1118,A142))</f>
        <v/>
      </c>
      <c r="AS142" s="112">
        <f>IF('3_Comparateur_detaille'!$C$20="Privé",MIN(AQ142,E142)*IF('3_Comparateur_detaille'!$C$15="cadre",K142,G142)+MAX(0,AQ142-E142)*IF('3_Comparateur_detaille'!$C$15="cadre",M142,I142),AQ142*SUMIFS(Donnees_regimes!$K$3:$K$1118,Donnees_regimes!$A$3:$A$1118,'3_Comparateur_detaille'!$C$20,Donnees_regimes!$B$3:$B$1118,A142))</f>
        <v/>
      </c>
      <c r="AT142" s="112">
        <f>IF('3_Comparateur_detaille'!$C$20="Privé",0,AQ142*SUMIFS(Donnees_regimes!$L$3:$L$1118,Donnees_regimes!$A$3:$A$1118,'3_Comparateur_detaille'!$C$20,Donnees_regimes!$B$3:$B$1118,A142))</f>
        <v/>
      </c>
      <c r="AU142" s="113">
        <f>(AR142+AS142)/AA142*AI142/AG142</f>
        <v/>
      </c>
      <c r="AV142" s="113">
        <f>(AR142+AS142)/AA142*AJ142/AH142</f>
        <v/>
      </c>
    </row>
    <row r="143">
      <c r="A143" s="101" t="n">
        <v>2085</v>
      </c>
      <c r="B143" s="102" t="inlineStr">
        <is>
          <t>Projection</t>
        </is>
      </c>
      <c r="C143" s="103" t="n"/>
      <c r="D143" s="104" t="n">
        <v>62908.36</v>
      </c>
      <c r="E143" s="104" t="n">
        <v>72530.81</v>
      </c>
      <c r="F143" s="105" t="n">
        <v>0.11562</v>
      </c>
      <c r="G143" s="105" t="n">
        <v>0.1667</v>
      </c>
      <c r="H143" s="105" t="n">
        <v>0.10512</v>
      </c>
      <c r="I143" s="105" t="n">
        <v>0.1689</v>
      </c>
      <c r="J143" s="105" t="n">
        <v>0.11562</v>
      </c>
      <c r="K143" s="105" t="n">
        <v>0.1667</v>
      </c>
      <c r="L143" s="105" t="n">
        <v>0.10512</v>
      </c>
      <c r="M143" s="105" t="n">
        <v>0.1689</v>
      </c>
      <c r="N143" s="106">
        <f>MIN(D143,E143)*F143+MAX(0,D143-E143)*H143</f>
        <v/>
      </c>
      <c r="O143" s="106">
        <f>MIN(D143,E143)*G143+MAX(0,D143-E143)*I143</f>
        <v/>
      </c>
      <c r="P143" s="106">
        <f>N143+O143</f>
        <v/>
      </c>
      <c r="Q143" s="107">
        <f>P143/D143</f>
        <v/>
      </c>
      <c r="R143" s="106">
        <f>D143+O143</f>
        <v/>
      </c>
      <c r="S143" s="108" t="n">
        <v>35</v>
      </c>
      <c r="T143" s="108" t="n">
        <v>38.8</v>
      </c>
      <c r="U143" s="109" t="n">
        <v>227</v>
      </c>
      <c r="V143" s="110" t="n">
        <v>1596</v>
      </c>
      <c r="W143" s="110" t="n">
        <v>1768.5</v>
      </c>
      <c r="X143" s="104" t="n">
        <v>26000.5</v>
      </c>
      <c r="Y143" s="104" t="n">
        <v>25754.99</v>
      </c>
      <c r="Z143" s="108" t="n">
        <v>21.5</v>
      </c>
      <c r="AA143" s="103">
        <f>1/(1+Parametres!$B$12)^(A143-2026)</f>
        <v/>
      </c>
      <c r="AB143" s="111">
        <f>D143/AA143</f>
        <v/>
      </c>
      <c r="AC143" s="107" t="n"/>
      <c r="AD143" s="107" t="n"/>
      <c r="AE143" s="107">
        <f>((1+Parametres!$B$13)*(1+Parametres!$B$12)-1)</f>
        <v/>
      </c>
      <c r="AF143" s="107">
        <f>((1+Parametres!$B$14)*(1+Parametres!$B$12)-1)</f>
        <v/>
      </c>
      <c r="AG143" s="103">
        <f>AG142*(1+AE143)</f>
        <v/>
      </c>
      <c r="AH143" s="103">
        <f>AH142*(1+AF143)</f>
        <v/>
      </c>
      <c r="AI143" s="103">
        <f>IF(AE143=0,1,AE143/(12*((1+AE143)^(1/12)-1)))</f>
        <v/>
      </c>
      <c r="AJ143" s="103">
        <f>IF(AF143=0,1,AF143/(12*((1+AF143)^(1/12)-1)))</f>
        <v/>
      </c>
      <c r="AK143" s="112">
        <f>D143*'3_Comparateur_detaille'!$B$16</f>
        <v/>
      </c>
      <c r="AL143" s="112">
        <f>IF('3_Comparateur_detaille'!$B$20="Privé",MIN(AK143,E143)*IF('3_Comparateur_detaille'!$B$15="cadre",J143,F143)+MAX(0,AK143-E143)*IF('3_Comparateur_detaille'!$B$15="cadre",L143,H143),AK143*SUMIFS(Donnees_regimes!$J$3:$J$1118,Donnees_regimes!$A$3:$A$1118,'3_Comparateur_detaille'!$B$20,Donnees_regimes!$B$3:$B$1118,A143))</f>
        <v/>
      </c>
      <c r="AM143" s="112">
        <f>IF('3_Comparateur_detaille'!$B$20="Privé",MIN(AK143,E143)*IF('3_Comparateur_detaille'!$B$15="cadre",K143,G143)+MAX(0,AK143-E143)*IF('3_Comparateur_detaille'!$B$15="cadre",M143,I143),AK143*SUMIFS(Donnees_regimes!$K$3:$K$1118,Donnees_regimes!$A$3:$A$1118,'3_Comparateur_detaille'!$B$20,Donnees_regimes!$B$3:$B$1118,A143))</f>
        <v/>
      </c>
      <c r="AN143" s="112">
        <f>IF('3_Comparateur_detaille'!$B$20="Privé",0,AK143*SUMIFS(Donnees_regimes!$L$3:$L$1118,Donnees_regimes!$A$3:$A$1118,'3_Comparateur_detaille'!$B$20,Donnees_regimes!$B$3:$B$1118,A143))</f>
        <v/>
      </c>
      <c r="AO143" s="113">
        <f>(AL143+AM143)/AA143*AI143/AG143</f>
        <v/>
      </c>
      <c r="AP143" s="113">
        <f>(AL143+AM143)/AA143*AJ143/AH143</f>
        <v/>
      </c>
      <c r="AQ143" s="112">
        <f>D143*'3_Comparateur_detaille'!$C$16</f>
        <v/>
      </c>
      <c r="AR143" s="112">
        <f>IF('3_Comparateur_detaille'!$C$20="Privé",MIN(AQ143,E143)*IF('3_Comparateur_detaille'!$C$15="cadre",J143,F143)+MAX(0,AQ143-E143)*IF('3_Comparateur_detaille'!$C$15="cadre",L143,H143),AQ143*SUMIFS(Donnees_regimes!$J$3:$J$1118,Donnees_regimes!$A$3:$A$1118,'3_Comparateur_detaille'!$C$20,Donnees_regimes!$B$3:$B$1118,A143))</f>
        <v/>
      </c>
      <c r="AS143" s="112">
        <f>IF('3_Comparateur_detaille'!$C$20="Privé",MIN(AQ143,E143)*IF('3_Comparateur_detaille'!$C$15="cadre",K143,G143)+MAX(0,AQ143-E143)*IF('3_Comparateur_detaille'!$C$15="cadre",M143,I143),AQ143*SUMIFS(Donnees_regimes!$K$3:$K$1118,Donnees_regimes!$A$3:$A$1118,'3_Comparateur_detaille'!$C$20,Donnees_regimes!$B$3:$B$1118,A143))</f>
        <v/>
      </c>
      <c r="AT143" s="112">
        <f>IF('3_Comparateur_detaille'!$C$20="Privé",0,AQ143*SUMIFS(Donnees_regimes!$L$3:$L$1118,Donnees_regimes!$A$3:$A$1118,'3_Comparateur_detaille'!$C$20,Donnees_regimes!$B$3:$B$1118,A143))</f>
        <v/>
      </c>
      <c r="AU143" s="113">
        <f>(AR143+AS143)/AA143*AI143/AG143</f>
        <v/>
      </c>
      <c r="AV143" s="113">
        <f>(AR143+AS143)/AA143*AJ143/AH143</f>
        <v/>
      </c>
    </row>
    <row r="144">
      <c r="A144" s="101" t="n">
        <v>2086</v>
      </c>
      <c r="B144" s="102" t="inlineStr">
        <is>
          <t>Projection</t>
        </is>
      </c>
      <c r="C144" s="103" t="n"/>
      <c r="D144" s="104" t="n">
        <v>63348.72</v>
      </c>
      <c r="E144" s="104" t="n">
        <v>73038.53</v>
      </c>
      <c r="F144" s="105" t="n">
        <v>0.11562</v>
      </c>
      <c r="G144" s="105" t="n">
        <v>0.1667</v>
      </c>
      <c r="H144" s="105" t="n">
        <v>0.10512</v>
      </c>
      <c r="I144" s="105" t="n">
        <v>0.1689</v>
      </c>
      <c r="J144" s="105" t="n">
        <v>0.11562</v>
      </c>
      <c r="K144" s="105" t="n">
        <v>0.1667</v>
      </c>
      <c r="L144" s="105" t="n">
        <v>0.10512</v>
      </c>
      <c r="M144" s="105" t="n">
        <v>0.1689</v>
      </c>
      <c r="N144" s="106">
        <f>MIN(D144,E144)*F144+MAX(0,D144-E144)*H144</f>
        <v/>
      </c>
      <c r="O144" s="106">
        <f>MIN(D144,E144)*G144+MAX(0,D144-E144)*I144</f>
        <v/>
      </c>
      <c r="P144" s="106">
        <f>N144+O144</f>
        <v/>
      </c>
      <c r="Q144" s="107">
        <f>P144/D144</f>
        <v/>
      </c>
      <c r="R144" s="106">
        <f>D144+O144</f>
        <v/>
      </c>
      <c r="S144" s="108" t="n">
        <v>35</v>
      </c>
      <c r="T144" s="108" t="n">
        <v>38.8</v>
      </c>
      <c r="U144" s="109" t="n">
        <v>226</v>
      </c>
      <c r="V144" s="110" t="n">
        <v>1589</v>
      </c>
      <c r="W144" s="110" t="n">
        <v>1760.8</v>
      </c>
      <c r="X144" s="104" t="n">
        <v>26182.51</v>
      </c>
      <c r="Y144" s="104" t="n">
        <v>25935.27</v>
      </c>
      <c r="Z144" s="108" t="n">
        <v>21.5</v>
      </c>
      <c r="AA144" s="103">
        <f>1/(1+Parametres!$B$12)^(A144-2026)</f>
        <v/>
      </c>
      <c r="AB144" s="111">
        <f>D144/AA144</f>
        <v/>
      </c>
      <c r="AC144" s="107" t="n"/>
      <c r="AD144" s="107" t="n"/>
      <c r="AE144" s="107">
        <f>((1+Parametres!$B$13)*(1+Parametres!$B$12)-1)</f>
        <v/>
      </c>
      <c r="AF144" s="107">
        <f>((1+Parametres!$B$14)*(1+Parametres!$B$12)-1)</f>
        <v/>
      </c>
      <c r="AG144" s="103">
        <f>AG143*(1+AE144)</f>
        <v/>
      </c>
      <c r="AH144" s="103">
        <f>AH143*(1+AF144)</f>
        <v/>
      </c>
      <c r="AI144" s="103">
        <f>IF(AE144=0,1,AE144/(12*((1+AE144)^(1/12)-1)))</f>
        <v/>
      </c>
      <c r="AJ144" s="103">
        <f>IF(AF144=0,1,AF144/(12*((1+AF144)^(1/12)-1)))</f>
        <v/>
      </c>
      <c r="AK144" s="112">
        <f>D144*'3_Comparateur_detaille'!$B$16</f>
        <v/>
      </c>
      <c r="AL144" s="112">
        <f>IF('3_Comparateur_detaille'!$B$20="Privé",MIN(AK144,E144)*IF('3_Comparateur_detaille'!$B$15="cadre",J144,F144)+MAX(0,AK144-E144)*IF('3_Comparateur_detaille'!$B$15="cadre",L144,H144),AK144*SUMIFS(Donnees_regimes!$J$3:$J$1118,Donnees_regimes!$A$3:$A$1118,'3_Comparateur_detaille'!$B$20,Donnees_regimes!$B$3:$B$1118,A144))</f>
        <v/>
      </c>
      <c r="AM144" s="112">
        <f>IF('3_Comparateur_detaille'!$B$20="Privé",MIN(AK144,E144)*IF('3_Comparateur_detaille'!$B$15="cadre",K144,G144)+MAX(0,AK144-E144)*IF('3_Comparateur_detaille'!$B$15="cadre",M144,I144),AK144*SUMIFS(Donnees_regimes!$K$3:$K$1118,Donnees_regimes!$A$3:$A$1118,'3_Comparateur_detaille'!$B$20,Donnees_regimes!$B$3:$B$1118,A144))</f>
        <v/>
      </c>
      <c r="AN144" s="112">
        <f>IF('3_Comparateur_detaille'!$B$20="Privé",0,AK144*SUMIFS(Donnees_regimes!$L$3:$L$1118,Donnees_regimes!$A$3:$A$1118,'3_Comparateur_detaille'!$B$20,Donnees_regimes!$B$3:$B$1118,A144))</f>
        <v/>
      </c>
      <c r="AO144" s="113">
        <f>(AL144+AM144)/AA144*AI144/AG144</f>
        <v/>
      </c>
      <c r="AP144" s="113">
        <f>(AL144+AM144)/AA144*AJ144/AH144</f>
        <v/>
      </c>
      <c r="AQ144" s="112">
        <f>D144*'3_Comparateur_detaille'!$C$16</f>
        <v/>
      </c>
      <c r="AR144" s="112">
        <f>IF('3_Comparateur_detaille'!$C$20="Privé",MIN(AQ144,E144)*IF('3_Comparateur_detaille'!$C$15="cadre",J144,F144)+MAX(0,AQ144-E144)*IF('3_Comparateur_detaille'!$C$15="cadre",L144,H144),AQ144*SUMIFS(Donnees_regimes!$J$3:$J$1118,Donnees_regimes!$A$3:$A$1118,'3_Comparateur_detaille'!$C$20,Donnees_regimes!$B$3:$B$1118,A144))</f>
        <v/>
      </c>
      <c r="AS144" s="112">
        <f>IF('3_Comparateur_detaille'!$C$20="Privé",MIN(AQ144,E144)*IF('3_Comparateur_detaille'!$C$15="cadre",K144,G144)+MAX(0,AQ144-E144)*IF('3_Comparateur_detaille'!$C$15="cadre",M144,I144),AQ144*SUMIFS(Donnees_regimes!$K$3:$K$1118,Donnees_regimes!$A$3:$A$1118,'3_Comparateur_detaille'!$C$20,Donnees_regimes!$B$3:$B$1118,A144))</f>
        <v/>
      </c>
      <c r="AT144" s="112">
        <f>IF('3_Comparateur_detaille'!$C$20="Privé",0,AQ144*SUMIFS(Donnees_regimes!$L$3:$L$1118,Donnees_regimes!$A$3:$A$1118,'3_Comparateur_detaille'!$C$20,Donnees_regimes!$B$3:$B$1118,A144))</f>
        <v/>
      </c>
      <c r="AU144" s="113">
        <f>(AR144+AS144)/AA144*AI144/AG144</f>
        <v/>
      </c>
      <c r="AV144" s="113">
        <f>(AR144+AS144)/AA144*AJ144/AH144</f>
        <v/>
      </c>
    </row>
    <row r="145">
      <c r="A145" s="101" t="n">
        <v>2087</v>
      </c>
      <c r="B145" s="102" t="inlineStr">
        <is>
          <t>Projection</t>
        </is>
      </c>
      <c r="C145" s="103" t="n"/>
      <c r="D145" s="104" t="n">
        <v>63792.16</v>
      </c>
      <c r="E145" s="104" t="n">
        <v>73549.8</v>
      </c>
      <c r="F145" s="105" t="n">
        <v>0.11562</v>
      </c>
      <c r="G145" s="105" t="n">
        <v>0.1667</v>
      </c>
      <c r="H145" s="105" t="n">
        <v>0.10512</v>
      </c>
      <c r="I145" s="105" t="n">
        <v>0.1689</v>
      </c>
      <c r="J145" s="105" t="n">
        <v>0.11562</v>
      </c>
      <c r="K145" s="105" t="n">
        <v>0.1667</v>
      </c>
      <c r="L145" s="105" t="n">
        <v>0.10512</v>
      </c>
      <c r="M145" s="105" t="n">
        <v>0.1689</v>
      </c>
      <c r="N145" s="106">
        <f>MIN(D145,E145)*F145+MAX(0,D145-E145)*H145</f>
        <v/>
      </c>
      <c r="O145" s="106">
        <f>MIN(D145,E145)*G145+MAX(0,D145-E145)*I145</f>
        <v/>
      </c>
      <c r="P145" s="106">
        <f>N145+O145</f>
        <v/>
      </c>
      <c r="Q145" s="107">
        <f>P145/D145</f>
        <v/>
      </c>
      <c r="R145" s="106">
        <f>D145+O145</f>
        <v/>
      </c>
      <c r="S145" s="108" t="n">
        <v>35</v>
      </c>
      <c r="T145" s="108" t="n">
        <v>38.8</v>
      </c>
      <c r="U145" s="109" t="n">
        <v>226</v>
      </c>
      <c r="V145" s="110" t="n">
        <v>1589</v>
      </c>
      <c r="W145" s="110" t="n">
        <v>1760.8</v>
      </c>
      <c r="X145" s="104" t="n">
        <v>26365.79</v>
      </c>
      <c r="Y145" s="104" t="n">
        <v>26116.82</v>
      </c>
      <c r="Z145" s="108" t="n">
        <v>21.5</v>
      </c>
      <c r="AA145" s="103">
        <f>1/(1+Parametres!$B$12)^(A145-2026)</f>
        <v/>
      </c>
      <c r="AB145" s="111">
        <f>D145/AA145</f>
        <v/>
      </c>
      <c r="AC145" s="107" t="n"/>
      <c r="AD145" s="107" t="n"/>
      <c r="AE145" s="107">
        <f>((1+Parametres!$B$13)*(1+Parametres!$B$12)-1)</f>
        <v/>
      </c>
      <c r="AF145" s="107">
        <f>((1+Parametres!$B$14)*(1+Parametres!$B$12)-1)</f>
        <v/>
      </c>
      <c r="AG145" s="103">
        <f>AG144*(1+AE145)</f>
        <v/>
      </c>
      <c r="AH145" s="103">
        <f>AH144*(1+AF145)</f>
        <v/>
      </c>
      <c r="AI145" s="103">
        <f>IF(AE145=0,1,AE145/(12*((1+AE145)^(1/12)-1)))</f>
        <v/>
      </c>
      <c r="AJ145" s="103">
        <f>IF(AF145=0,1,AF145/(12*((1+AF145)^(1/12)-1)))</f>
        <v/>
      </c>
      <c r="AK145" s="112">
        <f>D145*'3_Comparateur_detaille'!$B$16</f>
        <v/>
      </c>
      <c r="AL145" s="112">
        <f>IF('3_Comparateur_detaille'!$B$20="Privé",MIN(AK145,E145)*IF('3_Comparateur_detaille'!$B$15="cadre",J145,F145)+MAX(0,AK145-E145)*IF('3_Comparateur_detaille'!$B$15="cadre",L145,H145),AK145*SUMIFS(Donnees_regimes!$J$3:$J$1118,Donnees_regimes!$A$3:$A$1118,'3_Comparateur_detaille'!$B$20,Donnees_regimes!$B$3:$B$1118,A145))</f>
        <v/>
      </c>
      <c r="AM145" s="112">
        <f>IF('3_Comparateur_detaille'!$B$20="Privé",MIN(AK145,E145)*IF('3_Comparateur_detaille'!$B$15="cadre",K145,G145)+MAX(0,AK145-E145)*IF('3_Comparateur_detaille'!$B$15="cadre",M145,I145),AK145*SUMIFS(Donnees_regimes!$K$3:$K$1118,Donnees_regimes!$A$3:$A$1118,'3_Comparateur_detaille'!$B$20,Donnees_regimes!$B$3:$B$1118,A145))</f>
        <v/>
      </c>
      <c r="AN145" s="112">
        <f>IF('3_Comparateur_detaille'!$B$20="Privé",0,AK145*SUMIFS(Donnees_regimes!$L$3:$L$1118,Donnees_regimes!$A$3:$A$1118,'3_Comparateur_detaille'!$B$20,Donnees_regimes!$B$3:$B$1118,A145))</f>
        <v/>
      </c>
      <c r="AO145" s="113">
        <f>(AL145+AM145)/AA145*AI145/AG145</f>
        <v/>
      </c>
      <c r="AP145" s="113">
        <f>(AL145+AM145)/AA145*AJ145/AH145</f>
        <v/>
      </c>
      <c r="AQ145" s="112">
        <f>D145*'3_Comparateur_detaille'!$C$16</f>
        <v/>
      </c>
      <c r="AR145" s="112">
        <f>IF('3_Comparateur_detaille'!$C$20="Privé",MIN(AQ145,E145)*IF('3_Comparateur_detaille'!$C$15="cadre",J145,F145)+MAX(0,AQ145-E145)*IF('3_Comparateur_detaille'!$C$15="cadre",L145,H145),AQ145*SUMIFS(Donnees_regimes!$J$3:$J$1118,Donnees_regimes!$A$3:$A$1118,'3_Comparateur_detaille'!$C$20,Donnees_regimes!$B$3:$B$1118,A145))</f>
        <v/>
      </c>
      <c r="AS145" s="112">
        <f>IF('3_Comparateur_detaille'!$C$20="Privé",MIN(AQ145,E145)*IF('3_Comparateur_detaille'!$C$15="cadre",K145,G145)+MAX(0,AQ145-E145)*IF('3_Comparateur_detaille'!$C$15="cadre",M145,I145),AQ145*SUMIFS(Donnees_regimes!$K$3:$K$1118,Donnees_regimes!$A$3:$A$1118,'3_Comparateur_detaille'!$C$20,Donnees_regimes!$B$3:$B$1118,A145))</f>
        <v/>
      </c>
      <c r="AT145" s="112">
        <f>IF('3_Comparateur_detaille'!$C$20="Privé",0,AQ145*SUMIFS(Donnees_regimes!$L$3:$L$1118,Donnees_regimes!$A$3:$A$1118,'3_Comparateur_detaille'!$C$20,Donnees_regimes!$B$3:$B$1118,A145))</f>
        <v/>
      </c>
      <c r="AU145" s="113">
        <f>(AR145+AS145)/AA145*AI145/AG145</f>
        <v/>
      </c>
      <c r="AV145" s="113">
        <f>(AR145+AS145)/AA145*AJ145/AH145</f>
        <v/>
      </c>
    </row>
    <row r="146">
      <c r="A146" s="101" t="n">
        <v>2088</v>
      </c>
      <c r="B146" s="102" t="inlineStr">
        <is>
          <t>Projection</t>
        </is>
      </c>
      <c r="C146" s="103" t="n"/>
      <c r="D146" s="104" t="n">
        <v>64238.71</v>
      </c>
      <c r="E146" s="104" t="n">
        <v>74064.64</v>
      </c>
      <c r="F146" s="105" t="n">
        <v>0.11562</v>
      </c>
      <c r="G146" s="105" t="n">
        <v>0.1667</v>
      </c>
      <c r="H146" s="105" t="n">
        <v>0.10512</v>
      </c>
      <c r="I146" s="105" t="n">
        <v>0.1689</v>
      </c>
      <c r="J146" s="105" t="n">
        <v>0.11562</v>
      </c>
      <c r="K146" s="105" t="n">
        <v>0.1667</v>
      </c>
      <c r="L146" s="105" t="n">
        <v>0.10512</v>
      </c>
      <c r="M146" s="105" t="n">
        <v>0.1689</v>
      </c>
      <c r="N146" s="106">
        <f>MIN(D146,E146)*F146+MAX(0,D146-E146)*H146</f>
        <v/>
      </c>
      <c r="O146" s="106">
        <f>MIN(D146,E146)*G146+MAX(0,D146-E146)*I146</f>
        <v/>
      </c>
      <c r="P146" s="106">
        <f>N146+O146</f>
        <v/>
      </c>
      <c r="Q146" s="107">
        <f>P146/D146</f>
        <v/>
      </c>
      <c r="R146" s="106">
        <f>D146+O146</f>
        <v/>
      </c>
      <c r="S146" s="108" t="n">
        <v>35</v>
      </c>
      <c r="T146" s="108" t="n">
        <v>38.8</v>
      </c>
      <c r="U146" s="109" t="n">
        <v>230</v>
      </c>
      <c r="V146" s="110" t="n">
        <v>1617</v>
      </c>
      <c r="W146" s="110" t="n">
        <v>1791.8</v>
      </c>
      <c r="X146" s="104" t="n">
        <v>26550.35</v>
      </c>
      <c r="Y146" s="104" t="n">
        <v>26299.64</v>
      </c>
      <c r="Z146" s="108" t="n">
        <v>21.5</v>
      </c>
      <c r="AA146" s="103">
        <f>1/(1+Parametres!$B$12)^(A146-2026)</f>
        <v/>
      </c>
      <c r="AB146" s="111">
        <f>D146/AA146</f>
        <v/>
      </c>
      <c r="AC146" s="107" t="n"/>
      <c r="AD146" s="107" t="n"/>
      <c r="AE146" s="107">
        <f>((1+Parametres!$B$13)*(1+Parametres!$B$12)-1)</f>
        <v/>
      </c>
      <c r="AF146" s="107">
        <f>((1+Parametres!$B$14)*(1+Parametres!$B$12)-1)</f>
        <v/>
      </c>
      <c r="AG146" s="103">
        <f>AG145*(1+AE146)</f>
        <v/>
      </c>
      <c r="AH146" s="103">
        <f>AH145*(1+AF146)</f>
        <v/>
      </c>
      <c r="AI146" s="103">
        <f>IF(AE146=0,1,AE146/(12*((1+AE146)^(1/12)-1)))</f>
        <v/>
      </c>
      <c r="AJ146" s="103">
        <f>IF(AF146=0,1,AF146/(12*((1+AF146)^(1/12)-1)))</f>
        <v/>
      </c>
      <c r="AK146" s="112">
        <f>D146*'3_Comparateur_detaille'!$B$16</f>
        <v/>
      </c>
      <c r="AL146" s="112">
        <f>IF('3_Comparateur_detaille'!$B$20="Privé",MIN(AK146,E146)*IF('3_Comparateur_detaille'!$B$15="cadre",J146,F146)+MAX(0,AK146-E146)*IF('3_Comparateur_detaille'!$B$15="cadre",L146,H146),AK146*SUMIFS(Donnees_regimes!$J$3:$J$1118,Donnees_regimes!$A$3:$A$1118,'3_Comparateur_detaille'!$B$20,Donnees_regimes!$B$3:$B$1118,A146))</f>
        <v/>
      </c>
      <c r="AM146" s="112">
        <f>IF('3_Comparateur_detaille'!$B$20="Privé",MIN(AK146,E146)*IF('3_Comparateur_detaille'!$B$15="cadre",K146,G146)+MAX(0,AK146-E146)*IF('3_Comparateur_detaille'!$B$15="cadre",M146,I146),AK146*SUMIFS(Donnees_regimes!$K$3:$K$1118,Donnees_regimes!$A$3:$A$1118,'3_Comparateur_detaille'!$B$20,Donnees_regimes!$B$3:$B$1118,A146))</f>
        <v/>
      </c>
      <c r="AN146" s="112">
        <f>IF('3_Comparateur_detaille'!$B$20="Privé",0,AK146*SUMIFS(Donnees_regimes!$L$3:$L$1118,Donnees_regimes!$A$3:$A$1118,'3_Comparateur_detaille'!$B$20,Donnees_regimes!$B$3:$B$1118,A146))</f>
        <v/>
      </c>
      <c r="AO146" s="113">
        <f>(AL146+AM146)/AA146*AI146/AG146</f>
        <v/>
      </c>
      <c r="AP146" s="113">
        <f>(AL146+AM146)/AA146*AJ146/AH146</f>
        <v/>
      </c>
      <c r="AQ146" s="112">
        <f>D146*'3_Comparateur_detaille'!$C$16</f>
        <v/>
      </c>
      <c r="AR146" s="112">
        <f>IF('3_Comparateur_detaille'!$C$20="Privé",MIN(AQ146,E146)*IF('3_Comparateur_detaille'!$C$15="cadre",J146,F146)+MAX(0,AQ146-E146)*IF('3_Comparateur_detaille'!$C$15="cadre",L146,H146),AQ146*SUMIFS(Donnees_regimes!$J$3:$J$1118,Donnees_regimes!$A$3:$A$1118,'3_Comparateur_detaille'!$C$20,Donnees_regimes!$B$3:$B$1118,A146))</f>
        <v/>
      </c>
      <c r="AS146" s="112">
        <f>IF('3_Comparateur_detaille'!$C$20="Privé",MIN(AQ146,E146)*IF('3_Comparateur_detaille'!$C$15="cadre",K146,G146)+MAX(0,AQ146-E146)*IF('3_Comparateur_detaille'!$C$15="cadre",M146,I146),AQ146*SUMIFS(Donnees_regimes!$K$3:$K$1118,Donnees_regimes!$A$3:$A$1118,'3_Comparateur_detaille'!$C$20,Donnees_regimes!$B$3:$B$1118,A146))</f>
        <v/>
      </c>
      <c r="AT146" s="112">
        <f>IF('3_Comparateur_detaille'!$C$20="Privé",0,AQ146*SUMIFS(Donnees_regimes!$L$3:$L$1118,Donnees_regimes!$A$3:$A$1118,'3_Comparateur_detaille'!$C$20,Donnees_regimes!$B$3:$B$1118,A146))</f>
        <v/>
      </c>
      <c r="AU146" s="113">
        <f>(AR146+AS146)/AA146*AI146/AG146</f>
        <v/>
      </c>
      <c r="AV146" s="113">
        <f>(AR146+AS146)/AA146*AJ146/AH146</f>
        <v/>
      </c>
    </row>
    <row r="147">
      <c r="A147" s="101" t="n">
        <v>2089</v>
      </c>
      <c r="B147" s="102" t="inlineStr">
        <is>
          <t>Projection</t>
        </is>
      </c>
      <c r="C147" s="103" t="n"/>
      <c r="D147" s="104" t="n">
        <v>64688.38</v>
      </c>
      <c r="E147" s="104" t="n">
        <v>74583.10000000001</v>
      </c>
      <c r="F147" s="105" t="n">
        <v>0.11562</v>
      </c>
      <c r="G147" s="105" t="n">
        <v>0.1667</v>
      </c>
      <c r="H147" s="105" t="n">
        <v>0.10512</v>
      </c>
      <c r="I147" s="105" t="n">
        <v>0.1689</v>
      </c>
      <c r="J147" s="105" t="n">
        <v>0.11562</v>
      </c>
      <c r="K147" s="105" t="n">
        <v>0.1667</v>
      </c>
      <c r="L147" s="105" t="n">
        <v>0.10512</v>
      </c>
      <c r="M147" s="105" t="n">
        <v>0.1689</v>
      </c>
      <c r="N147" s="106">
        <f>MIN(D147,E147)*F147+MAX(0,D147-E147)*H147</f>
        <v/>
      </c>
      <c r="O147" s="106">
        <f>MIN(D147,E147)*G147+MAX(0,D147-E147)*I147</f>
        <v/>
      </c>
      <c r="P147" s="106">
        <f>N147+O147</f>
        <v/>
      </c>
      <c r="Q147" s="107">
        <f>P147/D147</f>
        <v/>
      </c>
      <c r="R147" s="106">
        <f>D147+O147</f>
        <v/>
      </c>
      <c r="S147" s="108" t="n">
        <v>35</v>
      </c>
      <c r="T147" s="108" t="n">
        <v>38.8</v>
      </c>
      <c r="U147" s="109" t="n">
        <v>228</v>
      </c>
      <c r="V147" s="110" t="n">
        <v>1603</v>
      </c>
      <c r="W147" s="110" t="n">
        <v>1776.3</v>
      </c>
      <c r="X147" s="104" t="n">
        <v>26736.2</v>
      </c>
      <c r="Y147" s="104" t="n">
        <v>26483.73</v>
      </c>
      <c r="Z147" s="108" t="n">
        <v>21.5</v>
      </c>
      <c r="AA147" s="103">
        <f>1/(1+Parametres!$B$12)^(A147-2026)</f>
        <v/>
      </c>
      <c r="AB147" s="111">
        <f>D147/AA147</f>
        <v/>
      </c>
      <c r="AC147" s="107" t="n"/>
      <c r="AD147" s="107" t="n"/>
      <c r="AE147" s="107">
        <f>((1+Parametres!$B$13)*(1+Parametres!$B$12)-1)</f>
        <v/>
      </c>
      <c r="AF147" s="107">
        <f>((1+Parametres!$B$14)*(1+Parametres!$B$12)-1)</f>
        <v/>
      </c>
      <c r="AG147" s="103">
        <f>AG146*(1+AE147)</f>
        <v/>
      </c>
      <c r="AH147" s="103">
        <f>AH146*(1+AF147)</f>
        <v/>
      </c>
      <c r="AI147" s="103">
        <f>IF(AE147=0,1,AE147/(12*((1+AE147)^(1/12)-1)))</f>
        <v/>
      </c>
      <c r="AJ147" s="103">
        <f>IF(AF147=0,1,AF147/(12*((1+AF147)^(1/12)-1)))</f>
        <v/>
      </c>
      <c r="AK147" s="112">
        <f>D147*'3_Comparateur_detaille'!$B$16</f>
        <v/>
      </c>
      <c r="AL147" s="112">
        <f>IF('3_Comparateur_detaille'!$B$20="Privé",MIN(AK147,E147)*IF('3_Comparateur_detaille'!$B$15="cadre",J147,F147)+MAX(0,AK147-E147)*IF('3_Comparateur_detaille'!$B$15="cadre",L147,H147),AK147*SUMIFS(Donnees_regimes!$J$3:$J$1118,Donnees_regimes!$A$3:$A$1118,'3_Comparateur_detaille'!$B$20,Donnees_regimes!$B$3:$B$1118,A147))</f>
        <v/>
      </c>
      <c r="AM147" s="112">
        <f>IF('3_Comparateur_detaille'!$B$20="Privé",MIN(AK147,E147)*IF('3_Comparateur_detaille'!$B$15="cadre",K147,G147)+MAX(0,AK147-E147)*IF('3_Comparateur_detaille'!$B$15="cadre",M147,I147),AK147*SUMIFS(Donnees_regimes!$K$3:$K$1118,Donnees_regimes!$A$3:$A$1118,'3_Comparateur_detaille'!$B$20,Donnees_regimes!$B$3:$B$1118,A147))</f>
        <v/>
      </c>
      <c r="AN147" s="112">
        <f>IF('3_Comparateur_detaille'!$B$20="Privé",0,AK147*SUMIFS(Donnees_regimes!$L$3:$L$1118,Donnees_regimes!$A$3:$A$1118,'3_Comparateur_detaille'!$B$20,Donnees_regimes!$B$3:$B$1118,A147))</f>
        <v/>
      </c>
      <c r="AO147" s="113">
        <f>(AL147+AM147)/AA147*AI147/AG147</f>
        <v/>
      </c>
      <c r="AP147" s="113">
        <f>(AL147+AM147)/AA147*AJ147/AH147</f>
        <v/>
      </c>
      <c r="AQ147" s="112">
        <f>D147*'3_Comparateur_detaille'!$C$16</f>
        <v/>
      </c>
      <c r="AR147" s="112">
        <f>IF('3_Comparateur_detaille'!$C$20="Privé",MIN(AQ147,E147)*IF('3_Comparateur_detaille'!$C$15="cadre",J147,F147)+MAX(0,AQ147-E147)*IF('3_Comparateur_detaille'!$C$15="cadre",L147,H147),AQ147*SUMIFS(Donnees_regimes!$J$3:$J$1118,Donnees_regimes!$A$3:$A$1118,'3_Comparateur_detaille'!$C$20,Donnees_regimes!$B$3:$B$1118,A147))</f>
        <v/>
      </c>
      <c r="AS147" s="112">
        <f>IF('3_Comparateur_detaille'!$C$20="Privé",MIN(AQ147,E147)*IF('3_Comparateur_detaille'!$C$15="cadre",K147,G147)+MAX(0,AQ147-E147)*IF('3_Comparateur_detaille'!$C$15="cadre",M147,I147),AQ147*SUMIFS(Donnees_regimes!$K$3:$K$1118,Donnees_regimes!$A$3:$A$1118,'3_Comparateur_detaille'!$C$20,Donnees_regimes!$B$3:$B$1118,A147))</f>
        <v/>
      </c>
      <c r="AT147" s="112">
        <f>IF('3_Comparateur_detaille'!$C$20="Privé",0,AQ147*SUMIFS(Donnees_regimes!$L$3:$L$1118,Donnees_regimes!$A$3:$A$1118,'3_Comparateur_detaille'!$C$20,Donnees_regimes!$B$3:$B$1118,A147))</f>
        <v/>
      </c>
      <c r="AU147" s="113">
        <f>(AR147+AS147)/AA147*AI147/AG147</f>
        <v/>
      </c>
      <c r="AV147" s="113">
        <f>(AR147+AS147)/AA147*AJ147/AH147</f>
        <v/>
      </c>
    </row>
    <row r="148">
      <c r="A148" s="101" t="n">
        <v>2090</v>
      </c>
      <c r="B148" s="102" t="inlineStr">
        <is>
          <t>Projection</t>
        </is>
      </c>
      <c r="C148" s="103" t="n"/>
      <c r="D148" s="104" t="n">
        <v>65141.2</v>
      </c>
      <c r="E148" s="104" t="n">
        <v>75105.17999999999</v>
      </c>
      <c r="F148" s="105" t="n">
        <v>0.11562</v>
      </c>
      <c r="G148" s="105" t="n">
        <v>0.1667</v>
      </c>
      <c r="H148" s="105" t="n">
        <v>0.10512</v>
      </c>
      <c r="I148" s="105" t="n">
        <v>0.1689</v>
      </c>
      <c r="J148" s="105" t="n">
        <v>0.11562</v>
      </c>
      <c r="K148" s="105" t="n">
        <v>0.1667</v>
      </c>
      <c r="L148" s="105" t="n">
        <v>0.10512</v>
      </c>
      <c r="M148" s="105" t="n">
        <v>0.1689</v>
      </c>
      <c r="N148" s="106">
        <f>MIN(D148,E148)*F148+MAX(0,D148-E148)*H148</f>
        <v/>
      </c>
      <c r="O148" s="106">
        <f>MIN(D148,E148)*G148+MAX(0,D148-E148)*I148</f>
        <v/>
      </c>
      <c r="P148" s="106">
        <f>N148+O148</f>
        <v/>
      </c>
      <c r="Q148" s="107">
        <f>P148/D148</f>
        <v/>
      </c>
      <c r="R148" s="106">
        <f>D148+O148</f>
        <v/>
      </c>
      <c r="S148" s="108" t="n">
        <v>35</v>
      </c>
      <c r="T148" s="108" t="n">
        <v>38.8</v>
      </c>
      <c r="U148" s="109" t="n">
        <v>226</v>
      </c>
      <c r="V148" s="110" t="n">
        <v>1589</v>
      </c>
      <c r="W148" s="110" t="n">
        <v>1760.8</v>
      </c>
      <c r="X148" s="104" t="n">
        <v>26923.35</v>
      </c>
      <c r="Y148" s="104" t="n">
        <v>26669.12</v>
      </c>
      <c r="Z148" s="108" t="n">
        <v>21.5</v>
      </c>
      <c r="AA148" s="103">
        <f>1/(1+Parametres!$B$12)^(A148-2026)</f>
        <v/>
      </c>
      <c r="AB148" s="111">
        <f>D148/AA148</f>
        <v/>
      </c>
      <c r="AC148" s="107" t="n"/>
      <c r="AD148" s="107" t="n"/>
      <c r="AE148" s="107">
        <f>((1+Parametres!$B$13)*(1+Parametres!$B$12)-1)</f>
        <v/>
      </c>
      <c r="AF148" s="107">
        <f>((1+Parametres!$B$14)*(1+Parametres!$B$12)-1)</f>
        <v/>
      </c>
      <c r="AG148" s="103">
        <f>AG147*(1+AE148)</f>
        <v/>
      </c>
      <c r="AH148" s="103">
        <f>AH147*(1+AF148)</f>
        <v/>
      </c>
      <c r="AI148" s="103">
        <f>IF(AE148=0,1,AE148/(12*((1+AE148)^(1/12)-1)))</f>
        <v/>
      </c>
      <c r="AJ148" s="103">
        <f>IF(AF148=0,1,AF148/(12*((1+AF148)^(1/12)-1)))</f>
        <v/>
      </c>
      <c r="AK148" s="112">
        <f>D148*'3_Comparateur_detaille'!$B$16</f>
        <v/>
      </c>
      <c r="AL148" s="112">
        <f>IF('3_Comparateur_detaille'!$B$20="Privé",MIN(AK148,E148)*IF('3_Comparateur_detaille'!$B$15="cadre",J148,F148)+MAX(0,AK148-E148)*IF('3_Comparateur_detaille'!$B$15="cadre",L148,H148),AK148*SUMIFS(Donnees_regimes!$J$3:$J$1118,Donnees_regimes!$A$3:$A$1118,'3_Comparateur_detaille'!$B$20,Donnees_regimes!$B$3:$B$1118,A148))</f>
        <v/>
      </c>
      <c r="AM148" s="112">
        <f>IF('3_Comparateur_detaille'!$B$20="Privé",MIN(AK148,E148)*IF('3_Comparateur_detaille'!$B$15="cadre",K148,G148)+MAX(0,AK148-E148)*IF('3_Comparateur_detaille'!$B$15="cadre",M148,I148),AK148*SUMIFS(Donnees_regimes!$K$3:$K$1118,Donnees_regimes!$A$3:$A$1118,'3_Comparateur_detaille'!$B$20,Donnees_regimes!$B$3:$B$1118,A148))</f>
        <v/>
      </c>
      <c r="AN148" s="112">
        <f>IF('3_Comparateur_detaille'!$B$20="Privé",0,AK148*SUMIFS(Donnees_regimes!$L$3:$L$1118,Donnees_regimes!$A$3:$A$1118,'3_Comparateur_detaille'!$B$20,Donnees_regimes!$B$3:$B$1118,A148))</f>
        <v/>
      </c>
      <c r="AO148" s="113">
        <f>(AL148+AM148)/AA148*AI148/AG148</f>
        <v/>
      </c>
      <c r="AP148" s="113">
        <f>(AL148+AM148)/AA148*AJ148/AH148</f>
        <v/>
      </c>
      <c r="AQ148" s="112">
        <f>D148*'3_Comparateur_detaille'!$C$16</f>
        <v/>
      </c>
      <c r="AR148" s="112">
        <f>IF('3_Comparateur_detaille'!$C$20="Privé",MIN(AQ148,E148)*IF('3_Comparateur_detaille'!$C$15="cadre",J148,F148)+MAX(0,AQ148-E148)*IF('3_Comparateur_detaille'!$C$15="cadre",L148,H148),AQ148*SUMIFS(Donnees_regimes!$J$3:$J$1118,Donnees_regimes!$A$3:$A$1118,'3_Comparateur_detaille'!$C$20,Donnees_regimes!$B$3:$B$1118,A148))</f>
        <v/>
      </c>
      <c r="AS148" s="112">
        <f>IF('3_Comparateur_detaille'!$C$20="Privé",MIN(AQ148,E148)*IF('3_Comparateur_detaille'!$C$15="cadre",K148,G148)+MAX(0,AQ148-E148)*IF('3_Comparateur_detaille'!$C$15="cadre",M148,I148),AQ148*SUMIFS(Donnees_regimes!$K$3:$K$1118,Donnees_regimes!$A$3:$A$1118,'3_Comparateur_detaille'!$C$20,Donnees_regimes!$B$3:$B$1118,A148))</f>
        <v/>
      </c>
      <c r="AT148" s="112">
        <f>IF('3_Comparateur_detaille'!$C$20="Privé",0,AQ148*SUMIFS(Donnees_regimes!$L$3:$L$1118,Donnees_regimes!$A$3:$A$1118,'3_Comparateur_detaille'!$C$20,Donnees_regimes!$B$3:$B$1118,A148))</f>
        <v/>
      </c>
      <c r="AU148" s="113">
        <f>(AR148+AS148)/AA148*AI148/AG148</f>
        <v/>
      </c>
      <c r="AV148" s="113">
        <f>(AR148+AS148)/AA148*AJ148/AH148</f>
        <v/>
      </c>
    </row>
    <row r="149">
      <c r="A149" s="101" t="n">
        <v>2091</v>
      </c>
      <c r="B149" s="102" t="inlineStr">
        <is>
          <t>Projection</t>
        </is>
      </c>
      <c r="C149" s="103" t="n"/>
      <c r="D149" s="104" t="n">
        <v>65597.17999999999</v>
      </c>
      <c r="E149" s="104" t="n">
        <v>75630.91</v>
      </c>
      <c r="F149" s="105" t="n">
        <v>0.11562</v>
      </c>
      <c r="G149" s="105" t="n">
        <v>0.1667</v>
      </c>
      <c r="H149" s="105" t="n">
        <v>0.10512</v>
      </c>
      <c r="I149" s="105" t="n">
        <v>0.1689</v>
      </c>
      <c r="J149" s="105" t="n">
        <v>0.11562</v>
      </c>
      <c r="K149" s="105" t="n">
        <v>0.1667</v>
      </c>
      <c r="L149" s="105" t="n">
        <v>0.10512</v>
      </c>
      <c r="M149" s="105" t="n">
        <v>0.1689</v>
      </c>
      <c r="N149" s="106">
        <f>MIN(D149,E149)*F149+MAX(0,D149-E149)*H149</f>
        <v/>
      </c>
      <c r="O149" s="106">
        <f>MIN(D149,E149)*G149+MAX(0,D149-E149)*I149</f>
        <v/>
      </c>
      <c r="P149" s="106">
        <f>N149+O149</f>
        <v/>
      </c>
      <c r="Q149" s="107">
        <f>P149/D149</f>
        <v/>
      </c>
      <c r="R149" s="106">
        <f>D149+O149</f>
        <v/>
      </c>
      <c r="S149" s="108" t="n">
        <v>35</v>
      </c>
      <c r="T149" s="108" t="n">
        <v>38.8</v>
      </c>
      <c r="U149" s="109" t="n">
        <v>227</v>
      </c>
      <c r="V149" s="110" t="n">
        <v>1596</v>
      </c>
      <c r="W149" s="110" t="n">
        <v>1768.5</v>
      </c>
      <c r="X149" s="104" t="n">
        <v>27111.82</v>
      </c>
      <c r="Y149" s="104" t="n">
        <v>26855.8</v>
      </c>
      <c r="Z149" s="108" t="n">
        <v>21.5</v>
      </c>
      <c r="AA149" s="103">
        <f>1/(1+Parametres!$B$12)^(A149-2026)</f>
        <v/>
      </c>
      <c r="AB149" s="111">
        <f>D149/AA149</f>
        <v/>
      </c>
      <c r="AC149" s="107" t="n"/>
      <c r="AD149" s="107" t="n"/>
      <c r="AE149" s="107">
        <f>((1+Parametres!$B$13)*(1+Parametres!$B$12)-1)</f>
        <v/>
      </c>
      <c r="AF149" s="107">
        <f>((1+Parametres!$B$14)*(1+Parametres!$B$12)-1)</f>
        <v/>
      </c>
      <c r="AG149" s="103">
        <f>AG148*(1+AE149)</f>
        <v/>
      </c>
      <c r="AH149" s="103">
        <f>AH148*(1+AF149)</f>
        <v/>
      </c>
      <c r="AI149" s="103">
        <f>IF(AE149=0,1,AE149/(12*((1+AE149)^(1/12)-1)))</f>
        <v/>
      </c>
      <c r="AJ149" s="103">
        <f>IF(AF149=0,1,AF149/(12*((1+AF149)^(1/12)-1)))</f>
        <v/>
      </c>
      <c r="AK149" s="112">
        <f>D149*'3_Comparateur_detaille'!$B$16</f>
        <v/>
      </c>
      <c r="AL149" s="112">
        <f>IF('3_Comparateur_detaille'!$B$20="Privé",MIN(AK149,E149)*IF('3_Comparateur_detaille'!$B$15="cadre",J149,F149)+MAX(0,AK149-E149)*IF('3_Comparateur_detaille'!$B$15="cadre",L149,H149),AK149*SUMIFS(Donnees_regimes!$J$3:$J$1118,Donnees_regimes!$A$3:$A$1118,'3_Comparateur_detaille'!$B$20,Donnees_regimes!$B$3:$B$1118,A149))</f>
        <v/>
      </c>
      <c r="AM149" s="112">
        <f>IF('3_Comparateur_detaille'!$B$20="Privé",MIN(AK149,E149)*IF('3_Comparateur_detaille'!$B$15="cadre",K149,G149)+MAX(0,AK149-E149)*IF('3_Comparateur_detaille'!$B$15="cadre",M149,I149),AK149*SUMIFS(Donnees_regimes!$K$3:$K$1118,Donnees_regimes!$A$3:$A$1118,'3_Comparateur_detaille'!$B$20,Donnees_regimes!$B$3:$B$1118,A149))</f>
        <v/>
      </c>
      <c r="AN149" s="112">
        <f>IF('3_Comparateur_detaille'!$B$20="Privé",0,AK149*SUMIFS(Donnees_regimes!$L$3:$L$1118,Donnees_regimes!$A$3:$A$1118,'3_Comparateur_detaille'!$B$20,Donnees_regimes!$B$3:$B$1118,A149))</f>
        <v/>
      </c>
      <c r="AO149" s="113">
        <f>(AL149+AM149)/AA149*AI149/AG149</f>
        <v/>
      </c>
      <c r="AP149" s="113">
        <f>(AL149+AM149)/AA149*AJ149/AH149</f>
        <v/>
      </c>
      <c r="AQ149" s="112">
        <f>D149*'3_Comparateur_detaille'!$C$16</f>
        <v/>
      </c>
      <c r="AR149" s="112">
        <f>IF('3_Comparateur_detaille'!$C$20="Privé",MIN(AQ149,E149)*IF('3_Comparateur_detaille'!$C$15="cadre",J149,F149)+MAX(0,AQ149-E149)*IF('3_Comparateur_detaille'!$C$15="cadre",L149,H149),AQ149*SUMIFS(Donnees_regimes!$J$3:$J$1118,Donnees_regimes!$A$3:$A$1118,'3_Comparateur_detaille'!$C$20,Donnees_regimes!$B$3:$B$1118,A149))</f>
        <v/>
      </c>
      <c r="AS149" s="112">
        <f>IF('3_Comparateur_detaille'!$C$20="Privé",MIN(AQ149,E149)*IF('3_Comparateur_detaille'!$C$15="cadre",K149,G149)+MAX(0,AQ149-E149)*IF('3_Comparateur_detaille'!$C$15="cadre",M149,I149),AQ149*SUMIFS(Donnees_regimes!$K$3:$K$1118,Donnees_regimes!$A$3:$A$1118,'3_Comparateur_detaille'!$C$20,Donnees_regimes!$B$3:$B$1118,A149))</f>
        <v/>
      </c>
      <c r="AT149" s="112">
        <f>IF('3_Comparateur_detaille'!$C$20="Privé",0,AQ149*SUMIFS(Donnees_regimes!$L$3:$L$1118,Donnees_regimes!$A$3:$A$1118,'3_Comparateur_detaille'!$C$20,Donnees_regimes!$B$3:$B$1118,A149))</f>
        <v/>
      </c>
      <c r="AU149" s="113">
        <f>(AR149+AS149)/AA149*AI149/AG149</f>
        <v/>
      </c>
      <c r="AV149" s="113">
        <f>(AR149+AS149)/AA149*AJ149/AH149</f>
        <v/>
      </c>
    </row>
    <row r="150">
      <c r="A150" s="101" t="n">
        <v>2092</v>
      </c>
      <c r="B150" s="102" t="inlineStr">
        <is>
          <t>Projection</t>
        </is>
      </c>
      <c r="C150" s="103" t="n"/>
      <c r="D150" s="104" t="n">
        <v>66056.36</v>
      </c>
      <c r="E150" s="104" t="n">
        <v>76160.33</v>
      </c>
      <c r="F150" s="105" t="n">
        <v>0.11562</v>
      </c>
      <c r="G150" s="105" t="n">
        <v>0.1667</v>
      </c>
      <c r="H150" s="105" t="n">
        <v>0.10512</v>
      </c>
      <c r="I150" s="105" t="n">
        <v>0.1689</v>
      </c>
      <c r="J150" s="105" t="n">
        <v>0.11562</v>
      </c>
      <c r="K150" s="105" t="n">
        <v>0.1667</v>
      </c>
      <c r="L150" s="105" t="n">
        <v>0.10512</v>
      </c>
      <c r="M150" s="105" t="n">
        <v>0.1689</v>
      </c>
      <c r="N150" s="106">
        <f>MIN(D150,E150)*F150+MAX(0,D150-E150)*H150</f>
        <v/>
      </c>
      <c r="O150" s="106">
        <f>MIN(D150,E150)*G150+MAX(0,D150-E150)*I150</f>
        <v/>
      </c>
      <c r="P150" s="106">
        <f>N150+O150</f>
        <v/>
      </c>
      <c r="Q150" s="107">
        <f>P150/D150</f>
        <v/>
      </c>
      <c r="R150" s="106">
        <f>D150+O150</f>
        <v/>
      </c>
      <c r="S150" s="108" t="n">
        <v>35</v>
      </c>
      <c r="T150" s="108" t="n">
        <v>38.8</v>
      </c>
      <c r="U150" s="109" t="n">
        <v>227</v>
      </c>
      <c r="V150" s="110" t="n">
        <v>1596</v>
      </c>
      <c r="W150" s="110" t="n">
        <v>1768.5</v>
      </c>
      <c r="X150" s="104" t="n">
        <v>27301.6</v>
      </c>
      <c r="Y150" s="104" t="n">
        <v>27043.79</v>
      </c>
      <c r="Z150" s="108" t="n">
        <v>21.5</v>
      </c>
      <c r="AA150" s="103">
        <f>1/(1+Parametres!$B$12)^(A150-2026)</f>
        <v/>
      </c>
      <c r="AB150" s="111">
        <f>D150/AA150</f>
        <v/>
      </c>
      <c r="AC150" s="107" t="n"/>
      <c r="AD150" s="107" t="n"/>
      <c r="AE150" s="107">
        <f>((1+Parametres!$B$13)*(1+Parametres!$B$12)-1)</f>
        <v/>
      </c>
      <c r="AF150" s="107">
        <f>((1+Parametres!$B$14)*(1+Parametres!$B$12)-1)</f>
        <v/>
      </c>
      <c r="AG150" s="103">
        <f>AG149*(1+AE150)</f>
        <v/>
      </c>
      <c r="AH150" s="103">
        <f>AH149*(1+AF150)</f>
        <v/>
      </c>
      <c r="AI150" s="103">
        <f>IF(AE150=0,1,AE150/(12*((1+AE150)^(1/12)-1)))</f>
        <v/>
      </c>
      <c r="AJ150" s="103">
        <f>IF(AF150=0,1,AF150/(12*((1+AF150)^(1/12)-1)))</f>
        <v/>
      </c>
      <c r="AK150" s="112">
        <f>D150*'3_Comparateur_detaille'!$B$16</f>
        <v/>
      </c>
      <c r="AL150" s="112">
        <f>IF('3_Comparateur_detaille'!$B$20="Privé",MIN(AK150,E150)*IF('3_Comparateur_detaille'!$B$15="cadre",J150,F150)+MAX(0,AK150-E150)*IF('3_Comparateur_detaille'!$B$15="cadre",L150,H150),AK150*SUMIFS(Donnees_regimes!$J$3:$J$1118,Donnees_regimes!$A$3:$A$1118,'3_Comparateur_detaille'!$B$20,Donnees_regimes!$B$3:$B$1118,A150))</f>
        <v/>
      </c>
      <c r="AM150" s="112">
        <f>IF('3_Comparateur_detaille'!$B$20="Privé",MIN(AK150,E150)*IF('3_Comparateur_detaille'!$B$15="cadre",K150,G150)+MAX(0,AK150-E150)*IF('3_Comparateur_detaille'!$B$15="cadre",M150,I150),AK150*SUMIFS(Donnees_regimes!$K$3:$K$1118,Donnees_regimes!$A$3:$A$1118,'3_Comparateur_detaille'!$B$20,Donnees_regimes!$B$3:$B$1118,A150))</f>
        <v/>
      </c>
      <c r="AN150" s="112">
        <f>IF('3_Comparateur_detaille'!$B$20="Privé",0,AK150*SUMIFS(Donnees_regimes!$L$3:$L$1118,Donnees_regimes!$A$3:$A$1118,'3_Comparateur_detaille'!$B$20,Donnees_regimes!$B$3:$B$1118,A150))</f>
        <v/>
      </c>
      <c r="AO150" s="113">
        <f>(AL150+AM150)/AA150*AI150/AG150</f>
        <v/>
      </c>
      <c r="AP150" s="113">
        <f>(AL150+AM150)/AA150*AJ150/AH150</f>
        <v/>
      </c>
      <c r="AQ150" s="112">
        <f>D150*'3_Comparateur_detaille'!$C$16</f>
        <v/>
      </c>
      <c r="AR150" s="112">
        <f>IF('3_Comparateur_detaille'!$C$20="Privé",MIN(AQ150,E150)*IF('3_Comparateur_detaille'!$C$15="cadre",J150,F150)+MAX(0,AQ150-E150)*IF('3_Comparateur_detaille'!$C$15="cadre",L150,H150),AQ150*SUMIFS(Donnees_regimes!$J$3:$J$1118,Donnees_regimes!$A$3:$A$1118,'3_Comparateur_detaille'!$C$20,Donnees_regimes!$B$3:$B$1118,A150))</f>
        <v/>
      </c>
      <c r="AS150" s="112">
        <f>IF('3_Comparateur_detaille'!$C$20="Privé",MIN(AQ150,E150)*IF('3_Comparateur_detaille'!$C$15="cadre",K150,G150)+MAX(0,AQ150-E150)*IF('3_Comparateur_detaille'!$C$15="cadre",M150,I150),AQ150*SUMIFS(Donnees_regimes!$K$3:$K$1118,Donnees_regimes!$A$3:$A$1118,'3_Comparateur_detaille'!$C$20,Donnees_regimes!$B$3:$B$1118,A150))</f>
        <v/>
      </c>
      <c r="AT150" s="112">
        <f>IF('3_Comparateur_detaille'!$C$20="Privé",0,AQ150*SUMIFS(Donnees_regimes!$L$3:$L$1118,Donnees_regimes!$A$3:$A$1118,'3_Comparateur_detaille'!$C$20,Donnees_regimes!$B$3:$B$1118,A150))</f>
        <v/>
      </c>
      <c r="AU150" s="113">
        <f>(AR150+AS150)/AA150*AI150/AG150</f>
        <v/>
      </c>
      <c r="AV150" s="113">
        <f>(AR150+AS150)/AA150*AJ150/AH150</f>
        <v/>
      </c>
    </row>
    <row r="151">
      <c r="A151" s="101" t="n">
        <v>2093</v>
      </c>
      <c r="B151" s="102" t="inlineStr">
        <is>
          <t>Projection</t>
        </is>
      </c>
      <c r="C151" s="103" t="n"/>
      <c r="D151" s="104" t="n">
        <v>66518.75999999999</v>
      </c>
      <c r="E151" s="104" t="n">
        <v>76693.45</v>
      </c>
      <c r="F151" s="105" t="n">
        <v>0.11562</v>
      </c>
      <c r="G151" s="105" t="n">
        <v>0.1667</v>
      </c>
      <c r="H151" s="105" t="n">
        <v>0.10512</v>
      </c>
      <c r="I151" s="105" t="n">
        <v>0.1689</v>
      </c>
      <c r="J151" s="105" t="n">
        <v>0.11562</v>
      </c>
      <c r="K151" s="105" t="n">
        <v>0.1667</v>
      </c>
      <c r="L151" s="105" t="n">
        <v>0.10512</v>
      </c>
      <c r="M151" s="105" t="n">
        <v>0.1689</v>
      </c>
      <c r="N151" s="106">
        <f>MIN(D151,E151)*F151+MAX(0,D151-E151)*H151</f>
        <v/>
      </c>
      <c r="O151" s="106">
        <f>MIN(D151,E151)*G151+MAX(0,D151-E151)*I151</f>
        <v/>
      </c>
      <c r="P151" s="106">
        <f>N151+O151</f>
        <v/>
      </c>
      <c r="Q151" s="107">
        <f>P151/D151</f>
        <v/>
      </c>
      <c r="R151" s="106">
        <f>D151+O151</f>
        <v/>
      </c>
      <c r="S151" s="108" t="n">
        <v>35</v>
      </c>
      <c r="T151" s="108" t="n">
        <v>38.8</v>
      </c>
      <c r="U151" s="109" t="n">
        <v>227</v>
      </c>
      <c r="V151" s="110" t="n">
        <v>1596</v>
      </c>
      <c r="W151" s="110" t="n">
        <v>1768.5</v>
      </c>
      <c r="X151" s="104" t="n">
        <v>27492.71</v>
      </c>
      <c r="Y151" s="104" t="n">
        <v>27233.1</v>
      </c>
      <c r="Z151" s="108" t="n">
        <v>21.5</v>
      </c>
      <c r="AA151" s="103">
        <f>1/(1+Parametres!$B$12)^(A151-2026)</f>
        <v/>
      </c>
      <c r="AB151" s="111">
        <f>D151/AA151</f>
        <v/>
      </c>
      <c r="AC151" s="107" t="n"/>
      <c r="AD151" s="107" t="n"/>
      <c r="AE151" s="107">
        <f>((1+Parametres!$B$13)*(1+Parametres!$B$12)-1)</f>
        <v/>
      </c>
      <c r="AF151" s="107">
        <f>((1+Parametres!$B$14)*(1+Parametres!$B$12)-1)</f>
        <v/>
      </c>
      <c r="AG151" s="103">
        <f>AG150*(1+AE151)</f>
        <v/>
      </c>
      <c r="AH151" s="103">
        <f>AH150*(1+AF151)</f>
        <v/>
      </c>
      <c r="AI151" s="103">
        <f>IF(AE151=0,1,AE151/(12*((1+AE151)^(1/12)-1)))</f>
        <v/>
      </c>
      <c r="AJ151" s="103">
        <f>IF(AF151=0,1,AF151/(12*((1+AF151)^(1/12)-1)))</f>
        <v/>
      </c>
      <c r="AK151" s="112">
        <f>D151*'3_Comparateur_detaille'!$B$16</f>
        <v/>
      </c>
      <c r="AL151" s="112">
        <f>IF('3_Comparateur_detaille'!$B$20="Privé",MIN(AK151,E151)*IF('3_Comparateur_detaille'!$B$15="cadre",J151,F151)+MAX(0,AK151-E151)*IF('3_Comparateur_detaille'!$B$15="cadre",L151,H151),AK151*SUMIFS(Donnees_regimes!$J$3:$J$1118,Donnees_regimes!$A$3:$A$1118,'3_Comparateur_detaille'!$B$20,Donnees_regimes!$B$3:$B$1118,A151))</f>
        <v/>
      </c>
      <c r="AM151" s="112">
        <f>IF('3_Comparateur_detaille'!$B$20="Privé",MIN(AK151,E151)*IF('3_Comparateur_detaille'!$B$15="cadre",K151,G151)+MAX(0,AK151-E151)*IF('3_Comparateur_detaille'!$B$15="cadre",M151,I151),AK151*SUMIFS(Donnees_regimes!$K$3:$K$1118,Donnees_regimes!$A$3:$A$1118,'3_Comparateur_detaille'!$B$20,Donnees_regimes!$B$3:$B$1118,A151))</f>
        <v/>
      </c>
      <c r="AN151" s="112">
        <f>IF('3_Comparateur_detaille'!$B$20="Privé",0,AK151*SUMIFS(Donnees_regimes!$L$3:$L$1118,Donnees_regimes!$A$3:$A$1118,'3_Comparateur_detaille'!$B$20,Donnees_regimes!$B$3:$B$1118,A151))</f>
        <v/>
      </c>
      <c r="AO151" s="113">
        <f>(AL151+AM151)/AA151*AI151/AG151</f>
        <v/>
      </c>
      <c r="AP151" s="113">
        <f>(AL151+AM151)/AA151*AJ151/AH151</f>
        <v/>
      </c>
      <c r="AQ151" s="112">
        <f>D151*'3_Comparateur_detaille'!$C$16</f>
        <v/>
      </c>
      <c r="AR151" s="112">
        <f>IF('3_Comparateur_detaille'!$C$20="Privé",MIN(AQ151,E151)*IF('3_Comparateur_detaille'!$C$15="cadre",J151,F151)+MAX(0,AQ151-E151)*IF('3_Comparateur_detaille'!$C$15="cadre",L151,H151),AQ151*SUMIFS(Donnees_regimes!$J$3:$J$1118,Donnees_regimes!$A$3:$A$1118,'3_Comparateur_detaille'!$C$20,Donnees_regimes!$B$3:$B$1118,A151))</f>
        <v/>
      </c>
      <c r="AS151" s="112">
        <f>IF('3_Comparateur_detaille'!$C$20="Privé",MIN(AQ151,E151)*IF('3_Comparateur_detaille'!$C$15="cadre",K151,G151)+MAX(0,AQ151-E151)*IF('3_Comparateur_detaille'!$C$15="cadre",M151,I151),AQ151*SUMIFS(Donnees_regimes!$K$3:$K$1118,Donnees_regimes!$A$3:$A$1118,'3_Comparateur_detaille'!$C$20,Donnees_regimes!$B$3:$B$1118,A151))</f>
        <v/>
      </c>
      <c r="AT151" s="112">
        <f>IF('3_Comparateur_detaille'!$C$20="Privé",0,AQ151*SUMIFS(Donnees_regimes!$L$3:$L$1118,Donnees_regimes!$A$3:$A$1118,'3_Comparateur_detaille'!$C$20,Donnees_regimes!$B$3:$B$1118,A151))</f>
        <v/>
      </c>
      <c r="AU151" s="113">
        <f>(AR151+AS151)/AA151*AI151/AG151</f>
        <v/>
      </c>
      <c r="AV151" s="113">
        <f>(AR151+AS151)/AA151*AJ151/AH151</f>
        <v/>
      </c>
    </row>
    <row r="152">
      <c r="A152" s="101" t="n">
        <v>2094</v>
      </c>
      <c r="B152" s="102" t="inlineStr">
        <is>
          <t>Projection</t>
        </is>
      </c>
      <c r="C152" s="103" t="n"/>
      <c r="D152" s="104" t="n">
        <v>66984.39</v>
      </c>
      <c r="E152" s="104" t="n">
        <v>77230.31</v>
      </c>
      <c r="F152" s="105" t="n">
        <v>0.11562</v>
      </c>
      <c r="G152" s="105" t="n">
        <v>0.1667</v>
      </c>
      <c r="H152" s="105" t="n">
        <v>0.10512</v>
      </c>
      <c r="I152" s="105" t="n">
        <v>0.1689</v>
      </c>
      <c r="J152" s="105" t="n">
        <v>0.11562</v>
      </c>
      <c r="K152" s="105" t="n">
        <v>0.1667</v>
      </c>
      <c r="L152" s="105" t="n">
        <v>0.10512</v>
      </c>
      <c r="M152" s="105" t="n">
        <v>0.1689</v>
      </c>
      <c r="N152" s="106">
        <f>MIN(D152,E152)*F152+MAX(0,D152-E152)*H152</f>
        <v/>
      </c>
      <c r="O152" s="106">
        <f>MIN(D152,E152)*G152+MAX(0,D152-E152)*I152</f>
        <v/>
      </c>
      <c r="P152" s="106">
        <f>N152+O152</f>
        <v/>
      </c>
      <c r="Q152" s="107">
        <f>P152/D152</f>
        <v/>
      </c>
      <c r="R152" s="106">
        <f>D152+O152</f>
        <v/>
      </c>
      <c r="S152" s="108" t="n">
        <v>35</v>
      </c>
      <c r="T152" s="108" t="n">
        <v>38.8</v>
      </c>
      <c r="U152" s="109" t="n">
        <v>229</v>
      </c>
      <c r="V152" s="110" t="n">
        <v>1610</v>
      </c>
      <c r="W152" s="110" t="n">
        <v>1784</v>
      </c>
      <c r="X152" s="104" t="n">
        <v>27685.16</v>
      </c>
      <c r="Y152" s="104" t="n">
        <v>27423.73</v>
      </c>
      <c r="Z152" s="108" t="n">
        <v>21.5</v>
      </c>
      <c r="AA152" s="103">
        <f>1/(1+Parametres!$B$12)^(A152-2026)</f>
        <v/>
      </c>
      <c r="AB152" s="111">
        <f>D152/AA152</f>
        <v/>
      </c>
      <c r="AC152" s="107" t="n"/>
      <c r="AD152" s="107" t="n"/>
      <c r="AE152" s="107">
        <f>((1+Parametres!$B$13)*(1+Parametres!$B$12)-1)</f>
        <v/>
      </c>
      <c r="AF152" s="107">
        <f>((1+Parametres!$B$14)*(1+Parametres!$B$12)-1)</f>
        <v/>
      </c>
      <c r="AG152" s="103">
        <f>AG151*(1+AE152)</f>
        <v/>
      </c>
      <c r="AH152" s="103">
        <f>AH151*(1+AF152)</f>
        <v/>
      </c>
      <c r="AI152" s="103">
        <f>IF(AE152=0,1,AE152/(12*((1+AE152)^(1/12)-1)))</f>
        <v/>
      </c>
      <c r="AJ152" s="103">
        <f>IF(AF152=0,1,AF152/(12*((1+AF152)^(1/12)-1)))</f>
        <v/>
      </c>
      <c r="AK152" s="112">
        <f>D152*'3_Comparateur_detaille'!$B$16</f>
        <v/>
      </c>
      <c r="AL152" s="112">
        <f>IF('3_Comparateur_detaille'!$B$20="Privé",MIN(AK152,E152)*IF('3_Comparateur_detaille'!$B$15="cadre",J152,F152)+MAX(0,AK152-E152)*IF('3_Comparateur_detaille'!$B$15="cadre",L152,H152),AK152*SUMIFS(Donnees_regimes!$J$3:$J$1118,Donnees_regimes!$A$3:$A$1118,'3_Comparateur_detaille'!$B$20,Donnees_regimes!$B$3:$B$1118,A152))</f>
        <v/>
      </c>
      <c r="AM152" s="112">
        <f>IF('3_Comparateur_detaille'!$B$20="Privé",MIN(AK152,E152)*IF('3_Comparateur_detaille'!$B$15="cadre",K152,G152)+MAX(0,AK152-E152)*IF('3_Comparateur_detaille'!$B$15="cadre",M152,I152),AK152*SUMIFS(Donnees_regimes!$K$3:$K$1118,Donnees_regimes!$A$3:$A$1118,'3_Comparateur_detaille'!$B$20,Donnees_regimes!$B$3:$B$1118,A152))</f>
        <v/>
      </c>
      <c r="AN152" s="112">
        <f>IF('3_Comparateur_detaille'!$B$20="Privé",0,AK152*SUMIFS(Donnees_regimes!$L$3:$L$1118,Donnees_regimes!$A$3:$A$1118,'3_Comparateur_detaille'!$B$20,Donnees_regimes!$B$3:$B$1118,A152))</f>
        <v/>
      </c>
      <c r="AO152" s="113">
        <f>(AL152+AM152)/AA152*AI152/AG152</f>
        <v/>
      </c>
      <c r="AP152" s="113">
        <f>(AL152+AM152)/AA152*AJ152/AH152</f>
        <v/>
      </c>
      <c r="AQ152" s="112">
        <f>D152*'3_Comparateur_detaille'!$C$16</f>
        <v/>
      </c>
      <c r="AR152" s="112">
        <f>IF('3_Comparateur_detaille'!$C$20="Privé",MIN(AQ152,E152)*IF('3_Comparateur_detaille'!$C$15="cadre",J152,F152)+MAX(0,AQ152-E152)*IF('3_Comparateur_detaille'!$C$15="cadre",L152,H152),AQ152*SUMIFS(Donnees_regimes!$J$3:$J$1118,Donnees_regimes!$A$3:$A$1118,'3_Comparateur_detaille'!$C$20,Donnees_regimes!$B$3:$B$1118,A152))</f>
        <v/>
      </c>
      <c r="AS152" s="112">
        <f>IF('3_Comparateur_detaille'!$C$20="Privé",MIN(AQ152,E152)*IF('3_Comparateur_detaille'!$C$15="cadre",K152,G152)+MAX(0,AQ152-E152)*IF('3_Comparateur_detaille'!$C$15="cadre",M152,I152),AQ152*SUMIFS(Donnees_regimes!$K$3:$K$1118,Donnees_regimes!$A$3:$A$1118,'3_Comparateur_detaille'!$C$20,Donnees_regimes!$B$3:$B$1118,A152))</f>
        <v/>
      </c>
      <c r="AT152" s="112">
        <f>IF('3_Comparateur_detaille'!$C$20="Privé",0,AQ152*SUMIFS(Donnees_regimes!$L$3:$L$1118,Donnees_regimes!$A$3:$A$1118,'3_Comparateur_detaille'!$C$20,Donnees_regimes!$B$3:$B$1118,A152))</f>
        <v/>
      </c>
      <c r="AU152" s="113">
        <f>(AR152+AS152)/AA152*AI152/AG152</f>
        <v/>
      </c>
      <c r="AV152" s="113">
        <f>(AR152+AS152)/AA152*AJ152/AH152</f>
        <v/>
      </c>
    </row>
    <row r="153">
      <c r="A153" s="101" t="n">
        <v>2095</v>
      </c>
      <c r="B153" s="102" t="inlineStr">
        <is>
          <t>Projection</t>
        </is>
      </c>
      <c r="C153" s="103" t="n"/>
      <c r="D153" s="104" t="n">
        <v>67453.28</v>
      </c>
      <c r="E153" s="104" t="n">
        <v>77770.92</v>
      </c>
      <c r="F153" s="105" t="n">
        <v>0.11562</v>
      </c>
      <c r="G153" s="105" t="n">
        <v>0.1667</v>
      </c>
      <c r="H153" s="105" t="n">
        <v>0.10512</v>
      </c>
      <c r="I153" s="105" t="n">
        <v>0.1689</v>
      </c>
      <c r="J153" s="105" t="n">
        <v>0.11562</v>
      </c>
      <c r="K153" s="105" t="n">
        <v>0.1667</v>
      </c>
      <c r="L153" s="105" t="n">
        <v>0.10512</v>
      </c>
      <c r="M153" s="105" t="n">
        <v>0.1689</v>
      </c>
      <c r="N153" s="106">
        <f>MIN(D153,E153)*F153+MAX(0,D153-E153)*H153</f>
        <v/>
      </c>
      <c r="O153" s="106">
        <f>MIN(D153,E153)*G153+MAX(0,D153-E153)*I153</f>
        <v/>
      </c>
      <c r="P153" s="106">
        <f>N153+O153</f>
        <v/>
      </c>
      <c r="Q153" s="107">
        <f>P153/D153</f>
        <v/>
      </c>
      <c r="R153" s="106">
        <f>D153+O153</f>
        <v/>
      </c>
      <c r="S153" s="108" t="n">
        <v>35</v>
      </c>
      <c r="T153" s="108" t="n">
        <v>38.8</v>
      </c>
      <c r="U153" s="109" t="n">
        <v>228</v>
      </c>
      <c r="V153" s="110" t="n">
        <v>1603</v>
      </c>
      <c r="W153" s="110" t="n">
        <v>1776.3</v>
      </c>
      <c r="X153" s="104" t="n">
        <v>27878.95</v>
      </c>
      <c r="Y153" s="104" t="n">
        <v>27615.7</v>
      </c>
      <c r="Z153" s="108" t="n">
        <v>21.5</v>
      </c>
      <c r="AA153" s="103">
        <f>1/(1+Parametres!$B$12)^(A153-2026)</f>
        <v/>
      </c>
      <c r="AB153" s="111">
        <f>D153/AA153</f>
        <v/>
      </c>
      <c r="AC153" s="107" t="n"/>
      <c r="AD153" s="107" t="n"/>
      <c r="AE153" s="107">
        <f>((1+Parametres!$B$13)*(1+Parametres!$B$12)-1)</f>
        <v/>
      </c>
      <c r="AF153" s="107">
        <f>((1+Parametres!$B$14)*(1+Parametres!$B$12)-1)</f>
        <v/>
      </c>
      <c r="AG153" s="103">
        <f>AG152*(1+AE153)</f>
        <v/>
      </c>
      <c r="AH153" s="103">
        <f>AH152*(1+AF153)</f>
        <v/>
      </c>
      <c r="AI153" s="103">
        <f>IF(AE153=0,1,AE153/(12*((1+AE153)^(1/12)-1)))</f>
        <v/>
      </c>
      <c r="AJ153" s="103">
        <f>IF(AF153=0,1,AF153/(12*((1+AF153)^(1/12)-1)))</f>
        <v/>
      </c>
      <c r="AK153" s="112">
        <f>D153*'3_Comparateur_detaille'!$B$16</f>
        <v/>
      </c>
      <c r="AL153" s="112">
        <f>IF('3_Comparateur_detaille'!$B$20="Privé",MIN(AK153,E153)*IF('3_Comparateur_detaille'!$B$15="cadre",J153,F153)+MAX(0,AK153-E153)*IF('3_Comparateur_detaille'!$B$15="cadre",L153,H153),AK153*SUMIFS(Donnees_regimes!$J$3:$J$1118,Donnees_regimes!$A$3:$A$1118,'3_Comparateur_detaille'!$B$20,Donnees_regimes!$B$3:$B$1118,A153))</f>
        <v/>
      </c>
      <c r="AM153" s="112">
        <f>IF('3_Comparateur_detaille'!$B$20="Privé",MIN(AK153,E153)*IF('3_Comparateur_detaille'!$B$15="cadre",K153,G153)+MAX(0,AK153-E153)*IF('3_Comparateur_detaille'!$B$15="cadre",M153,I153),AK153*SUMIFS(Donnees_regimes!$K$3:$K$1118,Donnees_regimes!$A$3:$A$1118,'3_Comparateur_detaille'!$B$20,Donnees_regimes!$B$3:$B$1118,A153))</f>
        <v/>
      </c>
      <c r="AN153" s="112">
        <f>IF('3_Comparateur_detaille'!$B$20="Privé",0,AK153*SUMIFS(Donnees_regimes!$L$3:$L$1118,Donnees_regimes!$A$3:$A$1118,'3_Comparateur_detaille'!$B$20,Donnees_regimes!$B$3:$B$1118,A153))</f>
        <v/>
      </c>
      <c r="AO153" s="113">
        <f>(AL153+AM153)/AA153*AI153/AG153</f>
        <v/>
      </c>
      <c r="AP153" s="113">
        <f>(AL153+AM153)/AA153*AJ153/AH153</f>
        <v/>
      </c>
      <c r="AQ153" s="112">
        <f>D153*'3_Comparateur_detaille'!$C$16</f>
        <v/>
      </c>
      <c r="AR153" s="112">
        <f>IF('3_Comparateur_detaille'!$C$20="Privé",MIN(AQ153,E153)*IF('3_Comparateur_detaille'!$C$15="cadre",J153,F153)+MAX(0,AQ153-E153)*IF('3_Comparateur_detaille'!$C$15="cadre",L153,H153),AQ153*SUMIFS(Donnees_regimes!$J$3:$J$1118,Donnees_regimes!$A$3:$A$1118,'3_Comparateur_detaille'!$C$20,Donnees_regimes!$B$3:$B$1118,A153))</f>
        <v/>
      </c>
      <c r="AS153" s="112">
        <f>IF('3_Comparateur_detaille'!$C$20="Privé",MIN(AQ153,E153)*IF('3_Comparateur_detaille'!$C$15="cadre",K153,G153)+MAX(0,AQ153-E153)*IF('3_Comparateur_detaille'!$C$15="cadre",M153,I153),AQ153*SUMIFS(Donnees_regimes!$K$3:$K$1118,Donnees_regimes!$A$3:$A$1118,'3_Comparateur_detaille'!$C$20,Donnees_regimes!$B$3:$B$1118,A153))</f>
        <v/>
      </c>
      <c r="AT153" s="112">
        <f>IF('3_Comparateur_detaille'!$C$20="Privé",0,AQ153*SUMIFS(Donnees_regimes!$L$3:$L$1118,Donnees_regimes!$A$3:$A$1118,'3_Comparateur_detaille'!$C$20,Donnees_regimes!$B$3:$B$1118,A153))</f>
        <v/>
      </c>
      <c r="AU153" s="113">
        <f>(AR153+AS153)/AA153*AI153/AG153</f>
        <v/>
      </c>
      <c r="AV153" s="113">
        <f>(AR153+AS153)/AA153*AJ153/AH153</f>
        <v/>
      </c>
    </row>
    <row r="154">
      <c r="A154" s="101" t="n">
        <v>2096</v>
      </c>
      <c r="B154" s="102" t="inlineStr">
        <is>
          <t>Projection</t>
        </is>
      </c>
      <c r="C154" s="103" t="n"/>
      <c r="D154" s="104" t="n">
        <v>67925.45</v>
      </c>
      <c r="E154" s="104" t="n">
        <v>78315.32000000001</v>
      </c>
      <c r="F154" s="105" t="n">
        <v>0.11562</v>
      </c>
      <c r="G154" s="105" t="n">
        <v>0.1667</v>
      </c>
      <c r="H154" s="105" t="n">
        <v>0.10512</v>
      </c>
      <c r="I154" s="105" t="n">
        <v>0.1689</v>
      </c>
      <c r="J154" s="105" t="n">
        <v>0.11562</v>
      </c>
      <c r="K154" s="105" t="n">
        <v>0.1667</v>
      </c>
      <c r="L154" s="105" t="n">
        <v>0.10512</v>
      </c>
      <c r="M154" s="105" t="n">
        <v>0.1689</v>
      </c>
      <c r="N154" s="106">
        <f>MIN(D154,E154)*F154+MAX(0,D154-E154)*H154</f>
        <v/>
      </c>
      <c r="O154" s="106">
        <f>MIN(D154,E154)*G154+MAX(0,D154-E154)*I154</f>
        <v/>
      </c>
      <c r="P154" s="106">
        <f>N154+O154</f>
        <v/>
      </c>
      <c r="Q154" s="107">
        <f>P154/D154</f>
        <v/>
      </c>
      <c r="R154" s="106">
        <f>D154+O154</f>
        <v/>
      </c>
      <c r="S154" s="108" t="n">
        <v>35</v>
      </c>
      <c r="T154" s="108" t="n">
        <v>38.8</v>
      </c>
      <c r="U154" s="109" t="n">
        <v>228</v>
      </c>
      <c r="V154" s="110" t="n">
        <v>1603</v>
      </c>
      <c r="W154" s="110" t="n">
        <v>1776.3</v>
      </c>
      <c r="X154" s="104" t="n">
        <v>28074.11</v>
      </c>
      <c r="Y154" s="104" t="n">
        <v>27809.01</v>
      </c>
      <c r="Z154" s="108" t="n">
        <v>21.5</v>
      </c>
      <c r="AA154" s="103">
        <f>1/(1+Parametres!$B$12)^(A154-2026)</f>
        <v/>
      </c>
      <c r="AB154" s="111">
        <f>D154/AA154</f>
        <v/>
      </c>
      <c r="AC154" s="107" t="n"/>
      <c r="AD154" s="107" t="n"/>
      <c r="AE154" s="107">
        <f>((1+Parametres!$B$13)*(1+Parametres!$B$12)-1)</f>
        <v/>
      </c>
      <c r="AF154" s="107">
        <f>((1+Parametres!$B$14)*(1+Parametres!$B$12)-1)</f>
        <v/>
      </c>
      <c r="AG154" s="103">
        <f>AG153*(1+AE154)</f>
        <v/>
      </c>
      <c r="AH154" s="103">
        <f>AH153*(1+AF154)</f>
        <v/>
      </c>
      <c r="AI154" s="103">
        <f>IF(AE154=0,1,AE154/(12*((1+AE154)^(1/12)-1)))</f>
        <v/>
      </c>
      <c r="AJ154" s="103">
        <f>IF(AF154=0,1,AF154/(12*((1+AF154)^(1/12)-1)))</f>
        <v/>
      </c>
      <c r="AK154" s="112">
        <f>D154*'3_Comparateur_detaille'!$B$16</f>
        <v/>
      </c>
      <c r="AL154" s="112">
        <f>IF('3_Comparateur_detaille'!$B$20="Privé",MIN(AK154,E154)*IF('3_Comparateur_detaille'!$B$15="cadre",J154,F154)+MAX(0,AK154-E154)*IF('3_Comparateur_detaille'!$B$15="cadre",L154,H154),AK154*SUMIFS(Donnees_regimes!$J$3:$J$1118,Donnees_regimes!$A$3:$A$1118,'3_Comparateur_detaille'!$B$20,Donnees_regimes!$B$3:$B$1118,A154))</f>
        <v/>
      </c>
      <c r="AM154" s="112">
        <f>IF('3_Comparateur_detaille'!$B$20="Privé",MIN(AK154,E154)*IF('3_Comparateur_detaille'!$B$15="cadre",K154,G154)+MAX(0,AK154-E154)*IF('3_Comparateur_detaille'!$B$15="cadre",M154,I154),AK154*SUMIFS(Donnees_regimes!$K$3:$K$1118,Donnees_regimes!$A$3:$A$1118,'3_Comparateur_detaille'!$B$20,Donnees_regimes!$B$3:$B$1118,A154))</f>
        <v/>
      </c>
      <c r="AN154" s="112">
        <f>IF('3_Comparateur_detaille'!$B$20="Privé",0,AK154*SUMIFS(Donnees_regimes!$L$3:$L$1118,Donnees_regimes!$A$3:$A$1118,'3_Comparateur_detaille'!$B$20,Donnees_regimes!$B$3:$B$1118,A154))</f>
        <v/>
      </c>
      <c r="AO154" s="113">
        <f>(AL154+AM154)/AA154*AI154/AG154</f>
        <v/>
      </c>
      <c r="AP154" s="113">
        <f>(AL154+AM154)/AA154*AJ154/AH154</f>
        <v/>
      </c>
      <c r="AQ154" s="112">
        <f>D154*'3_Comparateur_detaille'!$C$16</f>
        <v/>
      </c>
      <c r="AR154" s="112">
        <f>IF('3_Comparateur_detaille'!$C$20="Privé",MIN(AQ154,E154)*IF('3_Comparateur_detaille'!$C$15="cadre",J154,F154)+MAX(0,AQ154-E154)*IF('3_Comparateur_detaille'!$C$15="cadre",L154,H154),AQ154*SUMIFS(Donnees_regimes!$J$3:$J$1118,Donnees_regimes!$A$3:$A$1118,'3_Comparateur_detaille'!$C$20,Donnees_regimes!$B$3:$B$1118,A154))</f>
        <v/>
      </c>
      <c r="AS154" s="112">
        <f>IF('3_Comparateur_detaille'!$C$20="Privé",MIN(AQ154,E154)*IF('3_Comparateur_detaille'!$C$15="cadre",K154,G154)+MAX(0,AQ154-E154)*IF('3_Comparateur_detaille'!$C$15="cadre",M154,I154),AQ154*SUMIFS(Donnees_regimes!$K$3:$K$1118,Donnees_regimes!$A$3:$A$1118,'3_Comparateur_detaille'!$C$20,Donnees_regimes!$B$3:$B$1118,A154))</f>
        <v/>
      </c>
      <c r="AT154" s="112">
        <f>IF('3_Comparateur_detaille'!$C$20="Privé",0,AQ154*SUMIFS(Donnees_regimes!$L$3:$L$1118,Donnees_regimes!$A$3:$A$1118,'3_Comparateur_detaille'!$C$20,Donnees_regimes!$B$3:$B$1118,A154))</f>
        <v/>
      </c>
      <c r="AU154" s="113">
        <f>(AR154+AS154)/AA154*AI154/AG154</f>
        <v/>
      </c>
      <c r="AV154" s="113">
        <f>(AR154+AS154)/AA154*AJ154/AH154</f>
        <v/>
      </c>
    </row>
    <row r="155">
      <c r="A155" s="101" t="n">
        <v>2097</v>
      </c>
      <c r="B155" s="102" t="inlineStr">
        <is>
          <t>Projection</t>
        </is>
      </c>
      <c r="C155" s="103" t="n"/>
      <c r="D155" s="104" t="n">
        <v>68400.92999999999</v>
      </c>
      <c r="E155" s="104" t="n">
        <v>78863.52</v>
      </c>
      <c r="F155" s="105" t="n">
        <v>0.11562</v>
      </c>
      <c r="G155" s="105" t="n">
        <v>0.1667</v>
      </c>
      <c r="H155" s="105" t="n">
        <v>0.10512</v>
      </c>
      <c r="I155" s="105" t="n">
        <v>0.1689</v>
      </c>
      <c r="J155" s="105" t="n">
        <v>0.11562</v>
      </c>
      <c r="K155" s="105" t="n">
        <v>0.1667</v>
      </c>
      <c r="L155" s="105" t="n">
        <v>0.10512</v>
      </c>
      <c r="M155" s="105" t="n">
        <v>0.1689</v>
      </c>
      <c r="N155" s="106">
        <f>MIN(D155,E155)*F155+MAX(0,D155-E155)*H155</f>
        <v/>
      </c>
      <c r="O155" s="106">
        <f>MIN(D155,E155)*G155+MAX(0,D155-E155)*I155</f>
        <v/>
      </c>
      <c r="P155" s="106">
        <f>N155+O155</f>
        <v/>
      </c>
      <c r="Q155" s="107">
        <f>P155/D155</f>
        <v/>
      </c>
      <c r="R155" s="106">
        <f>D155+O155</f>
        <v/>
      </c>
      <c r="S155" s="108" t="n">
        <v>35</v>
      </c>
      <c r="T155" s="108" t="n">
        <v>38.8</v>
      </c>
      <c r="U155" s="109" t="n">
        <v>226</v>
      </c>
      <c r="V155" s="110" t="n">
        <v>1589</v>
      </c>
      <c r="W155" s="110" t="n">
        <v>1760.8</v>
      </c>
      <c r="X155" s="104" t="n">
        <v>28270.63</v>
      </c>
      <c r="Y155" s="104" t="n">
        <v>28003.67</v>
      </c>
      <c r="Z155" s="108" t="n">
        <v>21.5</v>
      </c>
      <c r="AA155" s="103">
        <f>1/(1+Parametres!$B$12)^(A155-2026)</f>
        <v/>
      </c>
      <c r="AB155" s="111">
        <f>D155/AA155</f>
        <v/>
      </c>
      <c r="AC155" s="107" t="n"/>
      <c r="AD155" s="107" t="n"/>
      <c r="AE155" s="107">
        <f>((1+Parametres!$B$13)*(1+Parametres!$B$12)-1)</f>
        <v/>
      </c>
      <c r="AF155" s="107">
        <f>((1+Parametres!$B$14)*(1+Parametres!$B$12)-1)</f>
        <v/>
      </c>
      <c r="AG155" s="103">
        <f>AG154*(1+AE155)</f>
        <v/>
      </c>
      <c r="AH155" s="103">
        <f>AH154*(1+AF155)</f>
        <v/>
      </c>
      <c r="AI155" s="103">
        <f>IF(AE155=0,1,AE155/(12*((1+AE155)^(1/12)-1)))</f>
        <v/>
      </c>
      <c r="AJ155" s="103">
        <f>IF(AF155=0,1,AF155/(12*((1+AF155)^(1/12)-1)))</f>
        <v/>
      </c>
      <c r="AK155" s="112">
        <f>D155*'3_Comparateur_detaille'!$B$16</f>
        <v/>
      </c>
      <c r="AL155" s="112">
        <f>IF('3_Comparateur_detaille'!$B$20="Privé",MIN(AK155,E155)*IF('3_Comparateur_detaille'!$B$15="cadre",J155,F155)+MAX(0,AK155-E155)*IF('3_Comparateur_detaille'!$B$15="cadre",L155,H155),AK155*SUMIFS(Donnees_regimes!$J$3:$J$1118,Donnees_regimes!$A$3:$A$1118,'3_Comparateur_detaille'!$B$20,Donnees_regimes!$B$3:$B$1118,A155))</f>
        <v/>
      </c>
      <c r="AM155" s="112">
        <f>IF('3_Comparateur_detaille'!$B$20="Privé",MIN(AK155,E155)*IF('3_Comparateur_detaille'!$B$15="cadre",K155,G155)+MAX(0,AK155-E155)*IF('3_Comparateur_detaille'!$B$15="cadre",M155,I155),AK155*SUMIFS(Donnees_regimes!$K$3:$K$1118,Donnees_regimes!$A$3:$A$1118,'3_Comparateur_detaille'!$B$20,Donnees_regimes!$B$3:$B$1118,A155))</f>
        <v/>
      </c>
      <c r="AN155" s="112">
        <f>IF('3_Comparateur_detaille'!$B$20="Privé",0,AK155*SUMIFS(Donnees_regimes!$L$3:$L$1118,Donnees_regimes!$A$3:$A$1118,'3_Comparateur_detaille'!$B$20,Donnees_regimes!$B$3:$B$1118,A155))</f>
        <v/>
      </c>
      <c r="AO155" s="113">
        <f>(AL155+AM155)/AA155*AI155/AG155</f>
        <v/>
      </c>
      <c r="AP155" s="113">
        <f>(AL155+AM155)/AA155*AJ155/AH155</f>
        <v/>
      </c>
      <c r="AQ155" s="112">
        <f>D155*'3_Comparateur_detaille'!$C$16</f>
        <v/>
      </c>
      <c r="AR155" s="112">
        <f>IF('3_Comparateur_detaille'!$C$20="Privé",MIN(AQ155,E155)*IF('3_Comparateur_detaille'!$C$15="cadre",J155,F155)+MAX(0,AQ155-E155)*IF('3_Comparateur_detaille'!$C$15="cadre",L155,H155),AQ155*SUMIFS(Donnees_regimes!$J$3:$J$1118,Donnees_regimes!$A$3:$A$1118,'3_Comparateur_detaille'!$C$20,Donnees_regimes!$B$3:$B$1118,A155))</f>
        <v/>
      </c>
      <c r="AS155" s="112">
        <f>IF('3_Comparateur_detaille'!$C$20="Privé",MIN(AQ155,E155)*IF('3_Comparateur_detaille'!$C$15="cadre",K155,G155)+MAX(0,AQ155-E155)*IF('3_Comparateur_detaille'!$C$15="cadre",M155,I155),AQ155*SUMIFS(Donnees_regimes!$K$3:$K$1118,Donnees_regimes!$A$3:$A$1118,'3_Comparateur_detaille'!$C$20,Donnees_regimes!$B$3:$B$1118,A155))</f>
        <v/>
      </c>
      <c r="AT155" s="112">
        <f>IF('3_Comparateur_detaille'!$C$20="Privé",0,AQ155*SUMIFS(Donnees_regimes!$L$3:$L$1118,Donnees_regimes!$A$3:$A$1118,'3_Comparateur_detaille'!$C$20,Donnees_regimes!$B$3:$B$1118,A155))</f>
        <v/>
      </c>
      <c r="AU155" s="113">
        <f>(AR155+AS155)/AA155*AI155/AG155</f>
        <v/>
      </c>
      <c r="AV155" s="113">
        <f>(AR155+AS155)/AA155*AJ155/AH155</f>
        <v/>
      </c>
    </row>
    <row r="156">
      <c r="A156" s="101" t="n">
        <v>2098</v>
      </c>
      <c r="B156" s="102" t="inlineStr">
        <is>
          <t>Projection</t>
        </is>
      </c>
      <c r="C156" s="103" t="n"/>
      <c r="D156" s="104" t="n">
        <v>68879.74000000001</v>
      </c>
      <c r="E156" s="104" t="n">
        <v>79415.57000000001</v>
      </c>
      <c r="F156" s="105" t="n">
        <v>0.11562</v>
      </c>
      <c r="G156" s="105" t="n">
        <v>0.1667</v>
      </c>
      <c r="H156" s="105" t="n">
        <v>0.10512</v>
      </c>
      <c r="I156" s="105" t="n">
        <v>0.1689</v>
      </c>
      <c r="J156" s="105" t="n">
        <v>0.11562</v>
      </c>
      <c r="K156" s="105" t="n">
        <v>0.1667</v>
      </c>
      <c r="L156" s="105" t="n">
        <v>0.10512</v>
      </c>
      <c r="M156" s="105" t="n">
        <v>0.1689</v>
      </c>
      <c r="N156" s="106">
        <f>MIN(D156,E156)*F156+MAX(0,D156-E156)*H156</f>
        <v/>
      </c>
      <c r="O156" s="106">
        <f>MIN(D156,E156)*G156+MAX(0,D156-E156)*I156</f>
        <v/>
      </c>
      <c r="P156" s="106">
        <f>N156+O156</f>
        <v/>
      </c>
      <c r="Q156" s="107">
        <f>P156/D156</f>
        <v/>
      </c>
      <c r="R156" s="106">
        <f>D156+O156</f>
        <v/>
      </c>
      <c r="S156" s="108" t="n">
        <v>35</v>
      </c>
      <c r="T156" s="108" t="n">
        <v>38.8</v>
      </c>
      <c r="U156" s="109" t="n">
        <v>226</v>
      </c>
      <c r="V156" s="110" t="n">
        <v>1589</v>
      </c>
      <c r="W156" s="110" t="n">
        <v>1760.8</v>
      </c>
      <c r="X156" s="104" t="n">
        <v>28468.52</v>
      </c>
      <c r="Y156" s="104" t="n">
        <v>28199.7</v>
      </c>
      <c r="Z156" s="108" t="n">
        <v>21.5</v>
      </c>
      <c r="AA156" s="103">
        <f>1/(1+Parametres!$B$12)^(A156-2026)</f>
        <v/>
      </c>
      <c r="AB156" s="111">
        <f>D156/AA156</f>
        <v/>
      </c>
      <c r="AC156" s="107" t="n"/>
      <c r="AD156" s="107" t="n"/>
      <c r="AE156" s="107">
        <f>((1+Parametres!$B$13)*(1+Parametres!$B$12)-1)</f>
        <v/>
      </c>
      <c r="AF156" s="107">
        <f>((1+Parametres!$B$14)*(1+Parametres!$B$12)-1)</f>
        <v/>
      </c>
      <c r="AG156" s="103">
        <f>AG155*(1+AE156)</f>
        <v/>
      </c>
      <c r="AH156" s="103">
        <f>AH155*(1+AF156)</f>
        <v/>
      </c>
      <c r="AI156" s="103">
        <f>IF(AE156=0,1,AE156/(12*((1+AE156)^(1/12)-1)))</f>
        <v/>
      </c>
      <c r="AJ156" s="103">
        <f>IF(AF156=0,1,AF156/(12*((1+AF156)^(1/12)-1)))</f>
        <v/>
      </c>
      <c r="AK156" s="112">
        <f>D156*'3_Comparateur_detaille'!$B$16</f>
        <v/>
      </c>
      <c r="AL156" s="112">
        <f>IF('3_Comparateur_detaille'!$B$20="Privé",MIN(AK156,E156)*IF('3_Comparateur_detaille'!$B$15="cadre",J156,F156)+MAX(0,AK156-E156)*IF('3_Comparateur_detaille'!$B$15="cadre",L156,H156),AK156*SUMIFS(Donnees_regimes!$J$3:$J$1118,Donnees_regimes!$A$3:$A$1118,'3_Comparateur_detaille'!$B$20,Donnees_regimes!$B$3:$B$1118,A156))</f>
        <v/>
      </c>
      <c r="AM156" s="112">
        <f>IF('3_Comparateur_detaille'!$B$20="Privé",MIN(AK156,E156)*IF('3_Comparateur_detaille'!$B$15="cadre",K156,G156)+MAX(0,AK156-E156)*IF('3_Comparateur_detaille'!$B$15="cadre",M156,I156),AK156*SUMIFS(Donnees_regimes!$K$3:$K$1118,Donnees_regimes!$A$3:$A$1118,'3_Comparateur_detaille'!$B$20,Donnees_regimes!$B$3:$B$1118,A156))</f>
        <v/>
      </c>
      <c r="AN156" s="112">
        <f>IF('3_Comparateur_detaille'!$B$20="Privé",0,AK156*SUMIFS(Donnees_regimes!$L$3:$L$1118,Donnees_regimes!$A$3:$A$1118,'3_Comparateur_detaille'!$B$20,Donnees_regimes!$B$3:$B$1118,A156))</f>
        <v/>
      </c>
      <c r="AO156" s="113">
        <f>(AL156+AM156)/AA156*AI156/AG156</f>
        <v/>
      </c>
      <c r="AP156" s="113">
        <f>(AL156+AM156)/AA156*AJ156/AH156</f>
        <v/>
      </c>
      <c r="AQ156" s="112">
        <f>D156*'3_Comparateur_detaille'!$C$16</f>
        <v/>
      </c>
      <c r="AR156" s="112">
        <f>IF('3_Comparateur_detaille'!$C$20="Privé",MIN(AQ156,E156)*IF('3_Comparateur_detaille'!$C$15="cadre",J156,F156)+MAX(0,AQ156-E156)*IF('3_Comparateur_detaille'!$C$15="cadre",L156,H156),AQ156*SUMIFS(Donnees_regimes!$J$3:$J$1118,Donnees_regimes!$A$3:$A$1118,'3_Comparateur_detaille'!$C$20,Donnees_regimes!$B$3:$B$1118,A156))</f>
        <v/>
      </c>
      <c r="AS156" s="112">
        <f>IF('3_Comparateur_detaille'!$C$20="Privé",MIN(AQ156,E156)*IF('3_Comparateur_detaille'!$C$15="cadre",K156,G156)+MAX(0,AQ156-E156)*IF('3_Comparateur_detaille'!$C$15="cadre",M156,I156),AQ156*SUMIFS(Donnees_regimes!$K$3:$K$1118,Donnees_regimes!$A$3:$A$1118,'3_Comparateur_detaille'!$C$20,Donnees_regimes!$B$3:$B$1118,A156))</f>
        <v/>
      </c>
      <c r="AT156" s="112">
        <f>IF('3_Comparateur_detaille'!$C$20="Privé",0,AQ156*SUMIFS(Donnees_regimes!$L$3:$L$1118,Donnees_regimes!$A$3:$A$1118,'3_Comparateur_detaille'!$C$20,Donnees_regimes!$B$3:$B$1118,A156))</f>
        <v/>
      </c>
      <c r="AU156" s="113">
        <f>(AR156+AS156)/AA156*AI156/AG156</f>
        <v/>
      </c>
      <c r="AV156" s="113">
        <f>(AR156+AS156)/AA156*AJ156/AH156</f>
        <v/>
      </c>
    </row>
    <row r="157">
      <c r="A157" s="101" t="n">
        <v>2099</v>
      </c>
      <c r="B157" s="102" t="inlineStr">
        <is>
          <t>Projection</t>
        </is>
      </c>
      <c r="C157" s="103" t="n"/>
      <c r="D157" s="104" t="n">
        <v>69361.89999999999</v>
      </c>
      <c r="E157" s="104" t="n">
        <v>79971.48</v>
      </c>
      <c r="F157" s="105" t="n">
        <v>0.11562</v>
      </c>
      <c r="G157" s="105" t="n">
        <v>0.1667</v>
      </c>
      <c r="H157" s="105" t="n">
        <v>0.10512</v>
      </c>
      <c r="I157" s="105" t="n">
        <v>0.1689</v>
      </c>
      <c r="J157" s="105" t="n">
        <v>0.11562</v>
      </c>
      <c r="K157" s="105" t="n">
        <v>0.1667</v>
      </c>
      <c r="L157" s="105" t="n">
        <v>0.10512</v>
      </c>
      <c r="M157" s="105" t="n">
        <v>0.1689</v>
      </c>
      <c r="N157" s="106">
        <f>MIN(D157,E157)*F157+MAX(0,D157-E157)*H157</f>
        <v/>
      </c>
      <c r="O157" s="106">
        <f>MIN(D157,E157)*G157+MAX(0,D157-E157)*I157</f>
        <v/>
      </c>
      <c r="P157" s="106">
        <f>N157+O157</f>
        <v/>
      </c>
      <c r="Q157" s="107">
        <f>P157/D157</f>
        <v/>
      </c>
      <c r="R157" s="106">
        <f>D157+O157</f>
        <v/>
      </c>
      <c r="S157" s="108" t="n">
        <v>35</v>
      </c>
      <c r="T157" s="108" t="n">
        <v>38.8</v>
      </c>
      <c r="U157" s="109" t="n">
        <v>227</v>
      </c>
      <c r="V157" s="110" t="n">
        <v>1596</v>
      </c>
      <c r="W157" s="110" t="n">
        <v>1768.5</v>
      </c>
      <c r="X157" s="104" t="n">
        <v>28667.8</v>
      </c>
      <c r="Y157" s="104" t="n">
        <v>28397.09</v>
      </c>
      <c r="Z157" s="108" t="n">
        <v>21.5</v>
      </c>
      <c r="AA157" s="103">
        <f>1/(1+Parametres!$B$12)^(A157-2026)</f>
        <v/>
      </c>
      <c r="AB157" s="111">
        <f>D157/AA157</f>
        <v/>
      </c>
      <c r="AC157" s="107" t="n"/>
      <c r="AD157" s="107" t="n"/>
      <c r="AE157" s="107">
        <f>((1+Parametres!$B$13)*(1+Parametres!$B$12)-1)</f>
        <v/>
      </c>
      <c r="AF157" s="107">
        <f>((1+Parametres!$B$14)*(1+Parametres!$B$12)-1)</f>
        <v/>
      </c>
      <c r="AG157" s="103">
        <f>AG156*(1+AE157)</f>
        <v/>
      </c>
      <c r="AH157" s="103">
        <f>AH156*(1+AF157)</f>
        <v/>
      </c>
      <c r="AI157" s="103">
        <f>IF(AE157=0,1,AE157/(12*((1+AE157)^(1/12)-1)))</f>
        <v/>
      </c>
      <c r="AJ157" s="103">
        <f>IF(AF157=0,1,AF157/(12*((1+AF157)^(1/12)-1)))</f>
        <v/>
      </c>
      <c r="AK157" s="112">
        <f>D157*'3_Comparateur_detaille'!$B$16</f>
        <v/>
      </c>
      <c r="AL157" s="112">
        <f>IF('3_Comparateur_detaille'!$B$20="Privé",MIN(AK157,E157)*IF('3_Comparateur_detaille'!$B$15="cadre",J157,F157)+MAX(0,AK157-E157)*IF('3_Comparateur_detaille'!$B$15="cadre",L157,H157),AK157*SUMIFS(Donnees_regimes!$J$3:$J$1118,Donnees_regimes!$A$3:$A$1118,'3_Comparateur_detaille'!$B$20,Donnees_regimes!$B$3:$B$1118,A157))</f>
        <v/>
      </c>
      <c r="AM157" s="112">
        <f>IF('3_Comparateur_detaille'!$B$20="Privé",MIN(AK157,E157)*IF('3_Comparateur_detaille'!$B$15="cadre",K157,G157)+MAX(0,AK157-E157)*IF('3_Comparateur_detaille'!$B$15="cadre",M157,I157),AK157*SUMIFS(Donnees_regimes!$K$3:$K$1118,Donnees_regimes!$A$3:$A$1118,'3_Comparateur_detaille'!$B$20,Donnees_regimes!$B$3:$B$1118,A157))</f>
        <v/>
      </c>
      <c r="AN157" s="112">
        <f>IF('3_Comparateur_detaille'!$B$20="Privé",0,AK157*SUMIFS(Donnees_regimes!$L$3:$L$1118,Donnees_regimes!$A$3:$A$1118,'3_Comparateur_detaille'!$B$20,Donnees_regimes!$B$3:$B$1118,A157))</f>
        <v/>
      </c>
      <c r="AO157" s="113">
        <f>(AL157+AM157)/AA157*AI157/AG157</f>
        <v/>
      </c>
      <c r="AP157" s="113">
        <f>(AL157+AM157)/AA157*AJ157/AH157</f>
        <v/>
      </c>
      <c r="AQ157" s="112">
        <f>D157*'3_Comparateur_detaille'!$C$16</f>
        <v/>
      </c>
      <c r="AR157" s="112">
        <f>IF('3_Comparateur_detaille'!$C$20="Privé",MIN(AQ157,E157)*IF('3_Comparateur_detaille'!$C$15="cadre",J157,F157)+MAX(0,AQ157-E157)*IF('3_Comparateur_detaille'!$C$15="cadre",L157,H157),AQ157*SUMIFS(Donnees_regimes!$J$3:$J$1118,Donnees_regimes!$A$3:$A$1118,'3_Comparateur_detaille'!$C$20,Donnees_regimes!$B$3:$B$1118,A157))</f>
        <v/>
      </c>
      <c r="AS157" s="112">
        <f>IF('3_Comparateur_detaille'!$C$20="Privé",MIN(AQ157,E157)*IF('3_Comparateur_detaille'!$C$15="cadre",K157,G157)+MAX(0,AQ157-E157)*IF('3_Comparateur_detaille'!$C$15="cadre",M157,I157),AQ157*SUMIFS(Donnees_regimes!$K$3:$K$1118,Donnees_regimes!$A$3:$A$1118,'3_Comparateur_detaille'!$C$20,Donnees_regimes!$B$3:$B$1118,A157))</f>
        <v/>
      </c>
      <c r="AT157" s="112">
        <f>IF('3_Comparateur_detaille'!$C$20="Privé",0,AQ157*SUMIFS(Donnees_regimes!$L$3:$L$1118,Donnees_regimes!$A$3:$A$1118,'3_Comparateur_detaille'!$C$20,Donnees_regimes!$B$3:$B$1118,A157))</f>
        <v/>
      </c>
      <c r="AU157" s="113">
        <f>(AR157+AS157)/AA157*AI157/AG157</f>
        <v/>
      </c>
      <c r="AV157" s="113">
        <f>(AR157+AS157)/AA157*AJ157/AH157</f>
        <v/>
      </c>
    </row>
    <row r="158">
      <c r="A158" s="101" t="n">
        <v>2100</v>
      </c>
      <c r="B158" s="102" t="inlineStr">
        <is>
          <t>Projection</t>
        </is>
      </c>
      <c r="C158" s="103" t="n"/>
      <c r="D158" s="104" t="n">
        <v>69847.42999999999</v>
      </c>
      <c r="E158" s="104" t="n">
        <v>80531.28</v>
      </c>
      <c r="F158" s="105" t="n">
        <v>0.11562</v>
      </c>
      <c r="G158" s="105" t="n">
        <v>0.1667</v>
      </c>
      <c r="H158" s="105" t="n">
        <v>0.10512</v>
      </c>
      <c r="I158" s="105" t="n">
        <v>0.1689</v>
      </c>
      <c r="J158" s="105" t="n">
        <v>0.11562</v>
      </c>
      <c r="K158" s="105" t="n">
        <v>0.1667</v>
      </c>
      <c r="L158" s="105" t="n">
        <v>0.10512</v>
      </c>
      <c r="M158" s="105" t="n">
        <v>0.1689</v>
      </c>
      <c r="N158" s="106">
        <f>MIN(D158,E158)*F158+MAX(0,D158-E158)*H158</f>
        <v/>
      </c>
      <c r="O158" s="106">
        <f>MIN(D158,E158)*G158+MAX(0,D158-E158)*I158</f>
        <v/>
      </c>
      <c r="P158" s="106">
        <f>N158+O158</f>
        <v/>
      </c>
      <c r="Q158" s="107">
        <f>P158/D158</f>
        <v/>
      </c>
      <c r="R158" s="106">
        <f>D158+O158</f>
        <v/>
      </c>
      <c r="S158" s="108" t="n">
        <v>35</v>
      </c>
      <c r="T158" s="108" t="n">
        <v>38.8</v>
      </c>
      <c r="U158" s="109" t="n">
        <v>229</v>
      </c>
      <c r="V158" s="110" t="n">
        <v>1610</v>
      </c>
      <c r="W158" s="110" t="n">
        <v>1784</v>
      </c>
      <c r="X158" s="104" t="n">
        <v>28868.47</v>
      </c>
      <c r="Y158" s="104" t="n">
        <v>28595.87</v>
      </c>
      <c r="Z158" s="108" t="n">
        <v>21.5</v>
      </c>
      <c r="AA158" s="103">
        <f>1/(1+Parametres!$B$12)^(A158-2026)</f>
        <v/>
      </c>
      <c r="AB158" s="111">
        <f>D158/AA158</f>
        <v/>
      </c>
      <c r="AC158" s="107" t="n"/>
      <c r="AD158" s="107" t="n"/>
      <c r="AE158" s="107">
        <f>((1+Parametres!$B$13)*(1+Parametres!$B$12)-1)</f>
        <v/>
      </c>
      <c r="AF158" s="107">
        <f>((1+Parametres!$B$14)*(1+Parametres!$B$12)-1)</f>
        <v/>
      </c>
      <c r="AG158" s="103">
        <f>AG157*(1+AE158)</f>
        <v/>
      </c>
      <c r="AH158" s="103">
        <f>AH157*(1+AF158)</f>
        <v/>
      </c>
      <c r="AI158" s="103">
        <f>IF(AE158=0,1,AE158/(12*((1+AE158)^(1/12)-1)))</f>
        <v/>
      </c>
      <c r="AJ158" s="103">
        <f>IF(AF158=0,1,AF158/(12*((1+AF158)^(1/12)-1)))</f>
        <v/>
      </c>
      <c r="AK158" s="112">
        <f>D158*'3_Comparateur_detaille'!$B$16</f>
        <v/>
      </c>
      <c r="AL158" s="112">
        <f>IF('3_Comparateur_detaille'!$B$20="Privé",MIN(AK158,E158)*IF('3_Comparateur_detaille'!$B$15="cadre",J158,F158)+MAX(0,AK158-E158)*IF('3_Comparateur_detaille'!$B$15="cadre",L158,H158),AK158*SUMIFS(Donnees_regimes!$J$3:$J$1118,Donnees_regimes!$A$3:$A$1118,'3_Comparateur_detaille'!$B$20,Donnees_regimes!$B$3:$B$1118,A158))</f>
        <v/>
      </c>
      <c r="AM158" s="112">
        <f>IF('3_Comparateur_detaille'!$B$20="Privé",MIN(AK158,E158)*IF('3_Comparateur_detaille'!$B$15="cadre",K158,G158)+MAX(0,AK158-E158)*IF('3_Comparateur_detaille'!$B$15="cadre",M158,I158),AK158*SUMIFS(Donnees_regimes!$K$3:$K$1118,Donnees_regimes!$A$3:$A$1118,'3_Comparateur_detaille'!$B$20,Donnees_regimes!$B$3:$B$1118,A158))</f>
        <v/>
      </c>
      <c r="AN158" s="112">
        <f>IF('3_Comparateur_detaille'!$B$20="Privé",0,AK158*SUMIFS(Donnees_regimes!$L$3:$L$1118,Donnees_regimes!$A$3:$A$1118,'3_Comparateur_detaille'!$B$20,Donnees_regimes!$B$3:$B$1118,A158))</f>
        <v/>
      </c>
      <c r="AO158" s="113">
        <f>(AL158+AM158)/AA158*AI158/AG158</f>
        <v/>
      </c>
      <c r="AP158" s="113">
        <f>(AL158+AM158)/AA158*AJ158/AH158</f>
        <v/>
      </c>
      <c r="AQ158" s="112">
        <f>D158*'3_Comparateur_detaille'!$C$16</f>
        <v/>
      </c>
      <c r="AR158" s="112">
        <f>IF('3_Comparateur_detaille'!$C$20="Privé",MIN(AQ158,E158)*IF('3_Comparateur_detaille'!$C$15="cadre",J158,F158)+MAX(0,AQ158-E158)*IF('3_Comparateur_detaille'!$C$15="cadre",L158,H158),AQ158*SUMIFS(Donnees_regimes!$J$3:$J$1118,Donnees_regimes!$A$3:$A$1118,'3_Comparateur_detaille'!$C$20,Donnees_regimes!$B$3:$B$1118,A158))</f>
        <v/>
      </c>
      <c r="AS158" s="112">
        <f>IF('3_Comparateur_detaille'!$C$20="Privé",MIN(AQ158,E158)*IF('3_Comparateur_detaille'!$C$15="cadre",K158,G158)+MAX(0,AQ158-E158)*IF('3_Comparateur_detaille'!$C$15="cadre",M158,I158),AQ158*SUMIFS(Donnees_regimes!$K$3:$K$1118,Donnees_regimes!$A$3:$A$1118,'3_Comparateur_detaille'!$C$20,Donnees_regimes!$B$3:$B$1118,A158))</f>
        <v/>
      </c>
      <c r="AT158" s="112">
        <f>IF('3_Comparateur_detaille'!$C$20="Privé",0,AQ158*SUMIFS(Donnees_regimes!$L$3:$L$1118,Donnees_regimes!$A$3:$A$1118,'3_Comparateur_detaille'!$C$20,Donnees_regimes!$B$3:$B$1118,A158))</f>
        <v/>
      </c>
      <c r="AU158" s="113">
        <f>(AR158+AS158)/AA158*AI158/AG158</f>
        <v/>
      </c>
      <c r="AV158" s="113">
        <f>(AR158+AS158)/AA158*AJ158/AH158</f>
        <v/>
      </c>
    </row>
    <row r="159">
      <c r="A159" s="101" t="n">
        <v>2101</v>
      </c>
      <c r="B159" s="102" t="inlineStr">
        <is>
          <t>Projection</t>
        </is>
      </c>
      <c r="C159" s="103" t="n"/>
      <c r="D159" s="104" t="n">
        <v>70336.36</v>
      </c>
      <c r="E159" s="104" t="n">
        <v>81095</v>
      </c>
      <c r="F159" s="105" t="n">
        <v>0.11562</v>
      </c>
      <c r="G159" s="105" t="n">
        <v>0.1667</v>
      </c>
      <c r="H159" s="105" t="n">
        <v>0.10512</v>
      </c>
      <c r="I159" s="105" t="n">
        <v>0.1689</v>
      </c>
      <c r="J159" s="105" t="n">
        <v>0.11562</v>
      </c>
      <c r="K159" s="105" t="n">
        <v>0.1667</v>
      </c>
      <c r="L159" s="105" t="n">
        <v>0.10512</v>
      </c>
      <c r="M159" s="105" t="n">
        <v>0.1689</v>
      </c>
      <c r="N159" s="106">
        <f>MIN(D159,E159)*F159+MAX(0,D159-E159)*H159</f>
        <v/>
      </c>
      <c r="O159" s="106">
        <f>MIN(D159,E159)*G159+MAX(0,D159-E159)*I159</f>
        <v/>
      </c>
      <c r="P159" s="106">
        <f>N159+O159</f>
        <v/>
      </c>
      <c r="Q159" s="107">
        <f>P159/D159</f>
        <v/>
      </c>
      <c r="R159" s="106">
        <f>D159+O159</f>
        <v/>
      </c>
      <c r="S159" s="108" t="n">
        <v>35</v>
      </c>
      <c r="T159" s="108" t="n">
        <v>38.8</v>
      </c>
      <c r="U159" s="109" t="n">
        <v>228</v>
      </c>
      <c r="V159" s="110" t="n">
        <v>1603</v>
      </c>
      <c r="W159" s="110" t="n">
        <v>1776.3</v>
      </c>
      <c r="X159" s="104" t="n">
        <v>29070.55</v>
      </c>
      <c r="Y159" s="104" t="n">
        <v>28796.05</v>
      </c>
      <c r="Z159" s="108" t="n">
        <v>21.5</v>
      </c>
      <c r="AA159" s="103">
        <f>1/(1+Parametres!$B$12)^(A159-2026)</f>
        <v/>
      </c>
      <c r="AB159" s="111">
        <f>D159/AA159</f>
        <v/>
      </c>
      <c r="AC159" s="107" t="n"/>
      <c r="AD159" s="107" t="n"/>
      <c r="AE159" s="107">
        <f>((1+Parametres!$B$13)*(1+Parametres!$B$12)-1)</f>
        <v/>
      </c>
      <c r="AF159" s="107">
        <f>((1+Parametres!$B$14)*(1+Parametres!$B$12)-1)</f>
        <v/>
      </c>
      <c r="AG159" s="103">
        <f>AG158*(1+AE159)</f>
        <v/>
      </c>
      <c r="AH159" s="103">
        <f>AH158*(1+AF159)</f>
        <v/>
      </c>
      <c r="AI159" s="103">
        <f>IF(AE159=0,1,AE159/(12*((1+AE159)^(1/12)-1)))</f>
        <v/>
      </c>
      <c r="AJ159" s="103">
        <f>IF(AF159=0,1,AF159/(12*((1+AF159)^(1/12)-1)))</f>
        <v/>
      </c>
      <c r="AK159" s="112">
        <f>D159*'3_Comparateur_detaille'!$B$16</f>
        <v/>
      </c>
      <c r="AL159" s="112">
        <f>IF('3_Comparateur_detaille'!$B$20="Privé",MIN(AK159,E159)*IF('3_Comparateur_detaille'!$B$15="cadre",J159,F159)+MAX(0,AK159-E159)*IF('3_Comparateur_detaille'!$B$15="cadre",L159,H159),AK159*SUMIFS(Donnees_regimes!$J$3:$J$1118,Donnees_regimes!$A$3:$A$1118,'3_Comparateur_detaille'!$B$20,Donnees_regimes!$B$3:$B$1118,A159))</f>
        <v/>
      </c>
      <c r="AM159" s="112">
        <f>IF('3_Comparateur_detaille'!$B$20="Privé",MIN(AK159,E159)*IF('3_Comparateur_detaille'!$B$15="cadre",K159,G159)+MAX(0,AK159-E159)*IF('3_Comparateur_detaille'!$B$15="cadre",M159,I159),AK159*SUMIFS(Donnees_regimes!$K$3:$K$1118,Donnees_regimes!$A$3:$A$1118,'3_Comparateur_detaille'!$B$20,Donnees_regimes!$B$3:$B$1118,A159))</f>
        <v/>
      </c>
      <c r="AN159" s="112">
        <f>IF('3_Comparateur_detaille'!$B$20="Privé",0,AK159*SUMIFS(Donnees_regimes!$L$3:$L$1118,Donnees_regimes!$A$3:$A$1118,'3_Comparateur_detaille'!$B$20,Donnees_regimes!$B$3:$B$1118,A159))</f>
        <v/>
      </c>
      <c r="AO159" s="113">
        <f>(AL159+AM159)/AA159*AI159/AG159</f>
        <v/>
      </c>
      <c r="AP159" s="113">
        <f>(AL159+AM159)/AA159*AJ159/AH159</f>
        <v/>
      </c>
      <c r="AQ159" s="112">
        <f>D159*'3_Comparateur_detaille'!$C$16</f>
        <v/>
      </c>
      <c r="AR159" s="112">
        <f>IF('3_Comparateur_detaille'!$C$20="Privé",MIN(AQ159,E159)*IF('3_Comparateur_detaille'!$C$15="cadre",J159,F159)+MAX(0,AQ159-E159)*IF('3_Comparateur_detaille'!$C$15="cadre",L159,H159),AQ159*SUMIFS(Donnees_regimes!$J$3:$J$1118,Donnees_regimes!$A$3:$A$1118,'3_Comparateur_detaille'!$C$20,Donnees_regimes!$B$3:$B$1118,A159))</f>
        <v/>
      </c>
      <c r="AS159" s="112">
        <f>IF('3_Comparateur_detaille'!$C$20="Privé",MIN(AQ159,E159)*IF('3_Comparateur_detaille'!$C$15="cadre",K159,G159)+MAX(0,AQ159-E159)*IF('3_Comparateur_detaille'!$C$15="cadre",M159,I159),AQ159*SUMIFS(Donnees_regimes!$K$3:$K$1118,Donnees_regimes!$A$3:$A$1118,'3_Comparateur_detaille'!$C$20,Donnees_regimes!$B$3:$B$1118,A159))</f>
        <v/>
      </c>
      <c r="AT159" s="112">
        <f>IF('3_Comparateur_detaille'!$C$20="Privé",0,AQ159*SUMIFS(Donnees_regimes!$L$3:$L$1118,Donnees_regimes!$A$3:$A$1118,'3_Comparateur_detaille'!$C$20,Donnees_regimes!$B$3:$B$1118,A159))</f>
        <v/>
      </c>
      <c r="AU159" s="113">
        <f>(AR159+AS159)/AA159*AI159/AG159</f>
        <v/>
      </c>
      <c r="AV159" s="113">
        <f>(AR159+AS159)/AA159*AJ159/AH159</f>
        <v/>
      </c>
    </row>
    <row r="160">
      <c r="A160" s="101" t="n">
        <v>2102</v>
      </c>
      <c r="B160" s="102" t="inlineStr">
        <is>
          <t>Projection</t>
        </is>
      </c>
      <c r="C160" s="103" t="n"/>
      <c r="D160" s="104" t="n">
        <v>70828.72</v>
      </c>
      <c r="E160" s="104" t="n">
        <v>81662.66</v>
      </c>
      <c r="F160" s="105" t="n">
        <v>0.11562</v>
      </c>
      <c r="G160" s="105" t="n">
        <v>0.1667</v>
      </c>
      <c r="H160" s="105" t="n">
        <v>0.10512</v>
      </c>
      <c r="I160" s="105" t="n">
        <v>0.1689</v>
      </c>
      <c r="J160" s="105" t="n">
        <v>0.11562</v>
      </c>
      <c r="K160" s="105" t="n">
        <v>0.1667</v>
      </c>
      <c r="L160" s="105" t="n">
        <v>0.10512</v>
      </c>
      <c r="M160" s="105" t="n">
        <v>0.1689</v>
      </c>
      <c r="N160" s="106">
        <f>MIN(D160,E160)*F160+MAX(0,D160-E160)*H160</f>
        <v/>
      </c>
      <c r="O160" s="106">
        <f>MIN(D160,E160)*G160+MAX(0,D160-E160)*I160</f>
        <v/>
      </c>
      <c r="P160" s="106">
        <f>N160+O160</f>
        <v/>
      </c>
      <c r="Q160" s="107">
        <f>P160/D160</f>
        <v/>
      </c>
      <c r="R160" s="106">
        <f>D160+O160</f>
        <v/>
      </c>
      <c r="S160" s="108" t="n">
        <v>35</v>
      </c>
      <c r="T160" s="108" t="n">
        <v>38.8</v>
      </c>
      <c r="U160" s="109" t="n">
        <v>226</v>
      </c>
      <c r="V160" s="110" t="n">
        <v>1589</v>
      </c>
      <c r="W160" s="110" t="n">
        <v>1760.8</v>
      </c>
      <c r="X160" s="104" t="n">
        <v>29274.05</v>
      </c>
      <c r="Y160" s="104" t="n">
        <v>28997.62</v>
      </c>
      <c r="Z160" s="108" t="n">
        <v>21.5</v>
      </c>
      <c r="AA160" s="103">
        <f>1/(1+Parametres!$B$12)^(A160-2026)</f>
        <v/>
      </c>
      <c r="AB160" s="111">
        <f>D160/AA160</f>
        <v/>
      </c>
      <c r="AC160" s="107" t="n"/>
      <c r="AD160" s="107" t="n"/>
      <c r="AE160" s="107">
        <f>((1+Parametres!$B$13)*(1+Parametres!$B$12)-1)</f>
        <v/>
      </c>
      <c r="AF160" s="107">
        <f>((1+Parametres!$B$14)*(1+Parametres!$B$12)-1)</f>
        <v/>
      </c>
      <c r="AG160" s="103">
        <f>AG159*(1+AE160)</f>
        <v/>
      </c>
      <c r="AH160" s="103">
        <f>AH159*(1+AF160)</f>
        <v/>
      </c>
      <c r="AI160" s="103">
        <f>IF(AE160=0,1,AE160/(12*((1+AE160)^(1/12)-1)))</f>
        <v/>
      </c>
      <c r="AJ160" s="103">
        <f>IF(AF160=0,1,AF160/(12*((1+AF160)^(1/12)-1)))</f>
        <v/>
      </c>
      <c r="AK160" s="112">
        <f>D160*'3_Comparateur_detaille'!$B$16</f>
        <v/>
      </c>
      <c r="AL160" s="112">
        <f>IF('3_Comparateur_detaille'!$B$20="Privé",MIN(AK160,E160)*IF('3_Comparateur_detaille'!$B$15="cadre",J160,F160)+MAX(0,AK160-E160)*IF('3_Comparateur_detaille'!$B$15="cadre",L160,H160),AK160*SUMIFS(Donnees_regimes!$J$3:$J$1118,Donnees_regimes!$A$3:$A$1118,'3_Comparateur_detaille'!$B$20,Donnees_regimes!$B$3:$B$1118,A160))</f>
        <v/>
      </c>
      <c r="AM160" s="112">
        <f>IF('3_Comparateur_detaille'!$B$20="Privé",MIN(AK160,E160)*IF('3_Comparateur_detaille'!$B$15="cadre",K160,G160)+MAX(0,AK160-E160)*IF('3_Comparateur_detaille'!$B$15="cadre",M160,I160),AK160*SUMIFS(Donnees_regimes!$K$3:$K$1118,Donnees_regimes!$A$3:$A$1118,'3_Comparateur_detaille'!$B$20,Donnees_regimes!$B$3:$B$1118,A160))</f>
        <v/>
      </c>
      <c r="AN160" s="112">
        <f>IF('3_Comparateur_detaille'!$B$20="Privé",0,AK160*SUMIFS(Donnees_regimes!$L$3:$L$1118,Donnees_regimes!$A$3:$A$1118,'3_Comparateur_detaille'!$B$20,Donnees_regimes!$B$3:$B$1118,A160))</f>
        <v/>
      </c>
      <c r="AO160" s="113">
        <f>(AL160+AM160)/AA160*AI160/AG160</f>
        <v/>
      </c>
      <c r="AP160" s="113">
        <f>(AL160+AM160)/AA160*AJ160/AH160</f>
        <v/>
      </c>
      <c r="AQ160" s="112">
        <f>D160*'3_Comparateur_detaille'!$C$16</f>
        <v/>
      </c>
      <c r="AR160" s="112">
        <f>IF('3_Comparateur_detaille'!$C$20="Privé",MIN(AQ160,E160)*IF('3_Comparateur_detaille'!$C$15="cadre",J160,F160)+MAX(0,AQ160-E160)*IF('3_Comparateur_detaille'!$C$15="cadre",L160,H160),AQ160*SUMIFS(Donnees_regimes!$J$3:$J$1118,Donnees_regimes!$A$3:$A$1118,'3_Comparateur_detaille'!$C$20,Donnees_regimes!$B$3:$B$1118,A160))</f>
        <v/>
      </c>
      <c r="AS160" s="112">
        <f>IF('3_Comparateur_detaille'!$C$20="Privé",MIN(AQ160,E160)*IF('3_Comparateur_detaille'!$C$15="cadre",K160,G160)+MAX(0,AQ160-E160)*IF('3_Comparateur_detaille'!$C$15="cadre",M160,I160),AQ160*SUMIFS(Donnees_regimes!$K$3:$K$1118,Donnees_regimes!$A$3:$A$1118,'3_Comparateur_detaille'!$C$20,Donnees_regimes!$B$3:$B$1118,A160))</f>
        <v/>
      </c>
      <c r="AT160" s="112">
        <f>IF('3_Comparateur_detaille'!$C$20="Privé",0,AQ160*SUMIFS(Donnees_regimes!$L$3:$L$1118,Donnees_regimes!$A$3:$A$1118,'3_Comparateur_detaille'!$C$20,Donnees_regimes!$B$3:$B$1118,A160))</f>
        <v/>
      </c>
      <c r="AU160" s="113">
        <f>(AR160+AS160)/AA160*AI160/AG160</f>
        <v/>
      </c>
      <c r="AV160" s="113">
        <f>(AR160+AS160)/AA160*AJ160/AH160</f>
        <v/>
      </c>
    </row>
    <row r="161">
      <c r="A161" s="101" t="n">
        <v>2103</v>
      </c>
      <c r="B161" s="102" t="inlineStr">
        <is>
          <t>Projection</t>
        </is>
      </c>
      <c r="C161" s="103" t="n"/>
      <c r="D161" s="104" t="n">
        <v>71324.52</v>
      </c>
      <c r="E161" s="104" t="n">
        <v>82234.3</v>
      </c>
      <c r="F161" s="105" t="n">
        <v>0.11562</v>
      </c>
      <c r="G161" s="105" t="n">
        <v>0.1667</v>
      </c>
      <c r="H161" s="105" t="n">
        <v>0.10512</v>
      </c>
      <c r="I161" s="105" t="n">
        <v>0.1689</v>
      </c>
      <c r="J161" s="105" t="n">
        <v>0.11562</v>
      </c>
      <c r="K161" s="105" t="n">
        <v>0.1667</v>
      </c>
      <c r="L161" s="105" t="n">
        <v>0.10512</v>
      </c>
      <c r="M161" s="105" t="n">
        <v>0.1689</v>
      </c>
      <c r="N161" s="106">
        <f>MIN(D161,E161)*F161+MAX(0,D161-E161)*H161</f>
        <v/>
      </c>
      <c r="O161" s="106">
        <f>MIN(D161,E161)*G161+MAX(0,D161-E161)*I161</f>
        <v/>
      </c>
      <c r="P161" s="106">
        <f>N161+O161</f>
        <v/>
      </c>
      <c r="Q161" s="107">
        <f>P161/D161</f>
        <v/>
      </c>
      <c r="R161" s="106">
        <f>D161+O161</f>
        <v/>
      </c>
      <c r="S161" s="108" t="n">
        <v>35</v>
      </c>
      <c r="T161" s="108" t="n">
        <v>38.8</v>
      </c>
      <c r="U161" s="109" t="n">
        <v>227</v>
      </c>
      <c r="V161" s="110" t="n">
        <v>1596</v>
      </c>
      <c r="W161" s="110" t="n">
        <v>1768.5</v>
      </c>
      <c r="X161" s="104" t="n">
        <v>29478.97</v>
      </c>
      <c r="Y161" s="104" t="n">
        <v>29200.6</v>
      </c>
      <c r="Z161" s="108" t="n">
        <v>21.5</v>
      </c>
      <c r="AA161" s="103">
        <f>1/(1+Parametres!$B$12)^(A161-2026)</f>
        <v/>
      </c>
      <c r="AB161" s="111">
        <f>D161/AA161</f>
        <v/>
      </c>
      <c r="AC161" s="107" t="n"/>
      <c r="AD161" s="107" t="n"/>
      <c r="AE161" s="107">
        <f>((1+Parametres!$B$13)*(1+Parametres!$B$12)-1)</f>
        <v/>
      </c>
      <c r="AF161" s="107">
        <f>((1+Parametres!$B$14)*(1+Parametres!$B$12)-1)</f>
        <v/>
      </c>
      <c r="AG161" s="103">
        <f>AG160*(1+AE161)</f>
        <v/>
      </c>
      <c r="AH161" s="103">
        <f>AH160*(1+AF161)</f>
        <v/>
      </c>
      <c r="AI161" s="103">
        <f>IF(AE161=0,1,AE161/(12*((1+AE161)^(1/12)-1)))</f>
        <v/>
      </c>
      <c r="AJ161" s="103">
        <f>IF(AF161=0,1,AF161/(12*((1+AF161)^(1/12)-1)))</f>
        <v/>
      </c>
      <c r="AK161" s="112">
        <f>D161*'3_Comparateur_detaille'!$B$16</f>
        <v/>
      </c>
      <c r="AL161" s="112">
        <f>IF('3_Comparateur_detaille'!$B$20="Privé",MIN(AK161,E161)*IF('3_Comparateur_detaille'!$B$15="cadre",J161,F161)+MAX(0,AK161-E161)*IF('3_Comparateur_detaille'!$B$15="cadre",L161,H161),AK161*SUMIFS(Donnees_regimes!$J$3:$J$1118,Donnees_regimes!$A$3:$A$1118,'3_Comparateur_detaille'!$B$20,Donnees_regimes!$B$3:$B$1118,A161))</f>
        <v/>
      </c>
      <c r="AM161" s="112">
        <f>IF('3_Comparateur_detaille'!$B$20="Privé",MIN(AK161,E161)*IF('3_Comparateur_detaille'!$B$15="cadre",K161,G161)+MAX(0,AK161-E161)*IF('3_Comparateur_detaille'!$B$15="cadre",M161,I161),AK161*SUMIFS(Donnees_regimes!$K$3:$K$1118,Donnees_regimes!$A$3:$A$1118,'3_Comparateur_detaille'!$B$20,Donnees_regimes!$B$3:$B$1118,A161))</f>
        <v/>
      </c>
      <c r="AN161" s="112">
        <f>IF('3_Comparateur_detaille'!$B$20="Privé",0,AK161*SUMIFS(Donnees_regimes!$L$3:$L$1118,Donnees_regimes!$A$3:$A$1118,'3_Comparateur_detaille'!$B$20,Donnees_regimes!$B$3:$B$1118,A161))</f>
        <v/>
      </c>
      <c r="AO161" s="113">
        <f>(AL161+AM161)/AA161*AI161/AG161</f>
        <v/>
      </c>
      <c r="AP161" s="113">
        <f>(AL161+AM161)/AA161*AJ161/AH161</f>
        <v/>
      </c>
      <c r="AQ161" s="112">
        <f>D161*'3_Comparateur_detaille'!$C$16</f>
        <v/>
      </c>
      <c r="AR161" s="112">
        <f>IF('3_Comparateur_detaille'!$C$20="Privé",MIN(AQ161,E161)*IF('3_Comparateur_detaille'!$C$15="cadre",J161,F161)+MAX(0,AQ161-E161)*IF('3_Comparateur_detaille'!$C$15="cadre",L161,H161),AQ161*SUMIFS(Donnees_regimes!$J$3:$J$1118,Donnees_regimes!$A$3:$A$1118,'3_Comparateur_detaille'!$C$20,Donnees_regimes!$B$3:$B$1118,A161))</f>
        <v/>
      </c>
      <c r="AS161" s="112">
        <f>IF('3_Comparateur_detaille'!$C$20="Privé",MIN(AQ161,E161)*IF('3_Comparateur_detaille'!$C$15="cadre",K161,G161)+MAX(0,AQ161-E161)*IF('3_Comparateur_detaille'!$C$15="cadre",M161,I161),AQ161*SUMIFS(Donnees_regimes!$K$3:$K$1118,Donnees_regimes!$A$3:$A$1118,'3_Comparateur_detaille'!$C$20,Donnees_regimes!$B$3:$B$1118,A161))</f>
        <v/>
      </c>
      <c r="AT161" s="112">
        <f>IF('3_Comparateur_detaille'!$C$20="Privé",0,AQ161*SUMIFS(Donnees_regimes!$L$3:$L$1118,Donnees_regimes!$A$3:$A$1118,'3_Comparateur_detaille'!$C$20,Donnees_regimes!$B$3:$B$1118,A161))</f>
        <v/>
      </c>
      <c r="AU161" s="113">
        <f>(AR161+AS161)/AA161*AI161/AG161</f>
        <v/>
      </c>
      <c r="AV161" s="113">
        <f>(AR161+AS161)/AA161*AJ161/AH161</f>
        <v/>
      </c>
    </row>
    <row r="162">
      <c r="A162" s="101" t="n">
        <v>2104</v>
      </c>
      <c r="B162" s="102" t="inlineStr">
        <is>
          <t>Projection</t>
        </is>
      </c>
      <c r="C162" s="103" t="n"/>
      <c r="D162" s="104" t="n">
        <v>71823.78999999999</v>
      </c>
      <c r="E162" s="104" t="n">
        <v>82809.94</v>
      </c>
      <c r="F162" s="105" t="n">
        <v>0.11562</v>
      </c>
      <c r="G162" s="105" t="n">
        <v>0.1667</v>
      </c>
      <c r="H162" s="105" t="n">
        <v>0.10512</v>
      </c>
      <c r="I162" s="105" t="n">
        <v>0.1689</v>
      </c>
      <c r="J162" s="105" t="n">
        <v>0.11562</v>
      </c>
      <c r="K162" s="105" t="n">
        <v>0.1667</v>
      </c>
      <c r="L162" s="105" t="n">
        <v>0.10512</v>
      </c>
      <c r="M162" s="105" t="n">
        <v>0.1689</v>
      </c>
      <c r="N162" s="106">
        <f>MIN(D162,E162)*F162+MAX(0,D162-E162)*H162</f>
        <v/>
      </c>
      <c r="O162" s="106">
        <f>MIN(D162,E162)*G162+MAX(0,D162-E162)*I162</f>
        <v/>
      </c>
      <c r="P162" s="106">
        <f>N162+O162</f>
        <v/>
      </c>
      <c r="Q162" s="107">
        <f>P162/D162</f>
        <v/>
      </c>
      <c r="R162" s="106">
        <f>D162+O162</f>
        <v/>
      </c>
      <c r="S162" s="108" t="n">
        <v>35</v>
      </c>
      <c r="T162" s="108" t="n">
        <v>38.8</v>
      </c>
      <c r="U162" s="109" t="n">
        <v>227</v>
      </c>
      <c r="V162" s="110" t="n">
        <v>1596</v>
      </c>
      <c r="W162" s="110" t="n">
        <v>1768.5</v>
      </c>
      <c r="X162" s="104" t="n">
        <v>29685.32</v>
      </c>
      <c r="Y162" s="104" t="n">
        <v>29405.01</v>
      </c>
      <c r="Z162" s="108" t="n">
        <v>21.5</v>
      </c>
      <c r="AA162" s="103">
        <f>1/(1+Parametres!$B$12)^(A162-2026)</f>
        <v/>
      </c>
      <c r="AB162" s="111">
        <f>D162/AA162</f>
        <v/>
      </c>
      <c r="AC162" s="107" t="n"/>
      <c r="AD162" s="107" t="n"/>
      <c r="AE162" s="107">
        <f>((1+Parametres!$B$13)*(1+Parametres!$B$12)-1)</f>
        <v/>
      </c>
      <c r="AF162" s="107">
        <f>((1+Parametres!$B$14)*(1+Parametres!$B$12)-1)</f>
        <v/>
      </c>
      <c r="AG162" s="103">
        <f>AG161*(1+AE162)</f>
        <v/>
      </c>
      <c r="AH162" s="103">
        <f>AH161*(1+AF162)</f>
        <v/>
      </c>
      <c r="AI162" s="103">
        <f>IF(AE162=0,1,AE162/(12*((1+AE162)^(1/12)-1)))</f>
        <v/>
      </c>
      <c r="AJ162" s="103">
        <f>IF(AF162=0,1,AF162/(12*((1+AF162)^(1/12)-1)))</f>
        <v/>
      </c>
      <c r="AK162" s="112">
        <f>D162*'3_Comparateur_detaille'!$B$16</f>
        <v/>
      </c>
      <c r="AL162" s="112">
        <f>IF('3_Comparateur_detaille'!$B$20="Privé",MIN(AK162,E162)*IF('3_Comparateur_detaille'!$B$15="cadre",J162,F162)+MAX(0,AK162-E162)*IF('3_Comparateur_detaille'!$B$15="cadre",L162,H162),AK162*SUMIFS(Donnees_regimes!$J$3:$J$1118,Donnees_regimes!$A$3:$A$1118,'3_Comparateur_detaille'!$B$20,Donnees_regimes!$B$3:$B$1118,A162))</f>
        <v/>
      </c>
      <c r="AM162" s="112">
        <f>IF('3_Comparateur_detaille'!$B$20="Privé",MIN(AK162,E162)*IF('3_Comparateur_detaille'!$B$15="cadre",K162,G162)+MAX(0,AK162-E162)*IF('3_Comparateur_detaille'!$B$15="cadre",M162,I162),AK162*SUMIFS(Donnees_regimes!$K$3:$K$1118,Donnees_regimes!$A$3:$A$1118,'3_Comparateur_detaille'!$B$20,Donnees_regimes!$B$3:$B$1118,A162))</f>
        <v/>
      </c>
      <c r="AN162" s="112">
        <f>IF('3_Comparateur_detaille'!$B$20="Privé",0,AK162*SUMIFS(Donnees_regimes!$L$3:$L$1118,Donnees_regimes!$A$3:$A$1118,'3_Comparateur_detaille'!$B$20,Donnees_regimes!$B$3:$B$1118,A162))</f>
        <v/>
      </c>
      <c r="AO162" s="113">
        <f>(AL162+AM162)/AA162*AI162/AG162</f>
        <v/>
      </c>
      <c r="AP162" s="113">
        <f>(AL162+AM162)/AA162*AJ162/AH162</f>
        <v/>
      </c>
      <c r="AQ162" s="112">
        <f>D162*'3_Comparateur_detaille'!$C$16</f>
        <v/>
      </c>
      <c r="AR162" s="112">
        <f>IF('3_Comparateur_detaille'!$C$20="Privé",MIN(AQ162,E162)*IF('3_Comparateur_detaille'!$C$15="cadre",J162,F162)+MAX(0,AQ162-E162)*IF('3_Comparateur_detaille'!$C$15="cadre",L162,H162),AQ162*SUMIFS(Donnees_regimes!$J$3:$J$1118,Donnees_regimes!$A$3:$A$1118,'3_Comparateur_detaille'!$C$20,Donnees_regimes!$B$3:$B$1118,A162))</f>
        <v/>
      </c>
      <c r="AS162" s="112">
        <f>IF('3_Comparateur_detaille'!$C$20="Privé",MIN(AQ162,E162)*IF('3_Comparateur_detaille'!$C$15="cadre",K162,G162)+MAX(0,AQ162-E162)*IF('3_Comparateur_detaille'!$C$15="cadre",M162,I162),AQ162*SUMIFS(Donnees_regimes!$K$3:$K$1118,Donnees_regimes!$A$3:$A$1118,'3_Comparateur_detaille'!$C$20,Donnees_regimes!$B$3:$B$1118,A162))</f>
        <v/>
      </c>
      <c r="AT162" s="112">
        <f>IF('3_Comparateur_detaille'!$C$20="Privé",0,AQ162*SUMIFS(Donnees_regimes!$L$3:$L$1118,Donnees_regimes!$A$3:$A$1118,'3_Comparateur_detaille'!$C$20,Donnees_regimes!$B$3:$B$1118,A162))</f>
        <v/>
      </c>
      <c r="AU162" s="113">
        <f>(AR162+AS162)/AA162*AI162/AG162</f>
        <v/>
      </c>
      <c r="AV162" s="113">
        <f>(AR162+AS162)/AA162*AJ162/AH162</f>
        <v/>
      </c>
    </row>
    <row r="163">
      <c r="A163" s="101" t="n">
        <v>2105</v>
      </c>
      <c r="B163" s="102" t="inlineStr">
        <is>
          <t>Projection</t>
        </is>
      </c>
      <c r="C163" s="103" t="n"/>
      <c r="D163" s="104" t="n">
        <v>72326.56</v>
      </c>
      <c r="E163" s="104" t="n">
        <v>83389.61</v>
      </c>
      <c r="F163" s="105" t="n">
        <v>0.11562</v>
      </c>
      <c r="G163" s="105" t="n">
        <v>0.1667</v>
      </c>
      <c r="H163" s="105" t="n">
        <v>0.10512</v>
      </c>
      <c r="I163" s="105" t="n">
        <v>0.1689</v>
      </c>
      <c r="J163" s="105" t="n">
        <v>0.11562</v>
      </c>
      <c r="K163" s="105" t="n">
        <v>0.1667</v>
      </c>
      <c r="L163" s="105" t="n">
        <v>0.10512</v>
      </c>
      <c r="M163" s="105" t="n">
        <v>0.1689</v>
      </c>
      <c r="N163" s="106">
        <f>MIN(D163,E163)*F163+MAX(0,D163-E163)*H163</f>
        <v/>
      </c>
      <c r="O163" s="106">
        <f>MIN(D163,E163)*G163+MAX(0,D163-E163)*I163</f>
        <v/>
      </c>
      <c r="P163" s="106">
        <f>N163+O163</f>
        <v/>
      </c>
      <c r="Q163" s="107">
        <f>P163/D163</f>
        <v/>
      </c>
      <c r="R163" s="106">
        <f>D163+O163</f>
        <v/>
      </c>
      <c r="S163" s="108" t="n">
        <v>35</v>
      </c>
      <c r="T163" s="108" t="n">
        <v>38.8</v>
      </c>
      <c r="U163" s="109" t="n">
        <v>227</v>
      </c>
      <c r="V163" s="110" t="n">
        <v>1596</v>
      </c>
      <c r="W163" s="110" t="n">
        <v>1768.5</v>
      </c>
      <c r="X163" s="104" t="n">
        <v>29893.12</v>
      </c>
      <c r="Y163" s="104" t="n">
        <v>29610.84</v>
      </c>
      <c r="Z163" s="108" t="n">
        <v>21.5</v>
      </c>
      <c r="AA163" s="103">
        <f>1/(1+Parametres!$B$12)^(A163-2026)</f>
        <v/>
      </c>
      <c r="AB163" s="111">
        <f>D163/AA163</f>
        <v/>
      </c>
      <c r="AC163" s="107" t="n"/>
      <c r="AD163" s="107" t="n"/>
      <c r="AE163" s="107">
        <f>((1+Parametres!$B$13)*(1+Parametres!$B$12)-1)</f>
        <v/>
      </c>
      <c r="AF163" s="107">
        <f>((1+Parametres!$B$14)*(1+Parametres!$B$12)-1)</f>
        <v/>
      </c>
      <c r="AG163" s="103">
        <f>AG162*(1+AE163)</f>
        <v/>
      </c>
      <c r="AH163" s="103">
        <f>AH162*(1+AF163)</f>
        <v/>
      </c>
      <c r="AI163" s="103">
        <f>IF(AE163=0,1,AE163/(12*((1+AE163)^(1/12)-1)))</f>
        <v/>
      </c>
      <c r="AJ163" s="103">
        <f>IF(AF163=0,1,AF163/(12*((1+AF163)^(1/12)-1)))</f>
        <v/>
      </c>
      <c r="AK163" s="112">
        <f>D163*'3_Comparateur_detaille'!$B$16</f>
        <v/>
      </c>
      <c r="AL163" s="112">
        <f>IF('3_Comparateur_detaille'!$B$20="Privé",MIN(AK163,E163)*IF('3_Comparateur_detaille'!$B$15="cadre",J163,F163)+MAX(0,AK163-E163)*IF('3_Comparateur_detaille'!$B$15="cadre",L163,H163),AK163*SUMIFS(Donnees_regimes!$J$3:$J$1118,Donnees_regimes!$A$3:$A$1118,'3_Comparateur_detaille'!$B$20,Donnees_regimes!$B$3:$B$1118,A163))</f>
        <v/>
      </c>
      <c r="AM163" s="112">
        <f>IF('3_Comparateur_detaille'!$B$20="Privé",MIN(AK163,E163)*IF('3_Comparateur_detaille'!$B$15="cadre",K163,G163)+MAX(0,AK163-E163)*IF('3_Comparateur_detaille'!$B$15="cadre",M163,I163),AK163*SUMIFS(Donnees_regimes!$K$3:$K$1118,Donnees_regimes!$A$3:$A$1118,'3_Comparateur_detaille'!$B$20,Donnees_regimes!$B$3:$B$1118,A163))</f>
        <v/>
      </c>
      <c r="AN163" s="112">
        <f>IF('3_Comparateur_detaille'!$B$20="Privé",0,AK163*SUMIFS(Donnees_regimes!$L$3:$L$1118,Donnees_regimes!$A$3:$A$1118,'3_Comparateur_detaille'!$B$20,Donnees_regimes!$B$3:$B$1118,A163))</f>
        <v/>
      </c>
      <c r="AO163" s="113">
        <f>(AL163+AM163)/AA163*AI163/AG163</f>
        <v/>
      </c>
      <c r="AP163" s="113">
        <f>(AL163+AM163)/AA163*AJ163/AH163</f>
        <v/>
      </c>
      <c r="AQ163" s="112">
        <f>D163*'3_Comparateur_detaille'!$C$16</f>
        <v/>
      </c>
      <c r="AR163" s="112">
        <f>IF('3_Comparateur_detaille'!$C$20="Privé",MIN(AQ163,E163)*IF('3_Comparateur_detaille'!$C$15="cadre",J163,F163)+MAX(0,AQ163-E163)*IF('3_Comparateur_detaille'!$C$15="cadre",L163,H163),AQ163*SUMIFS(Donnees_regimes!$J$3:$J$1118,Donnees_regimes!$A$3:$A$1118,'3_Comparateur_detaille'!$C$20,Donnees_regimes!$B$3:$B$1118,A163))</f>
        <v/>
      </c>
      <c r="AS163" s="112">
        <f>IF('3_Comparateur_detaille'!$C$20="Privé",MIN(AQ163,E163)*IF('3_Comparateur_detaille'!$C$15="cadre",K163,G163)+MAX(0,AQ163-E163)*IF('3_Comparateur_detaille'!$C$15="cadre",M163,I163),AQ163*SUMIFS(Donnees_regimes!$K$3:$K$1118,Donnees_regimes!$A$3:$A$1118,'3_Comparateur_detaille'!$C$20,Donnees_regimes!$B$3:$B$1118,A163))</f>
        <v/>
      </c>
      <c r="AT163" s="112">
        <f>IF('3_Comparateur_detaille'!$C$20="Privé",0,AQ163*SUMIFS(Donnees_regimes!$L$3:$L$1118,Donnees_regimes!$A$3:$A$1118,'3_Comparateur_detaille'!$C$20,Donnees_regimes!$B$3:$B$1118,A163))</f>
        <v/>
      </c>
      <c r="AU163" s="113">
        <f>(AR163+AS163)/AA163*AI163/AG163</f>
        <v/>
      </c>
      <c r="AV163" s="113">
        <f>(AR163+AS163)/AA163*AJ163/AH163</f>
        <v/>
      </c>
    </row>
    <row r="164">
      <c r="A164" s="101" t="n">
        <v>2106</v>
      </c>
      <c r="B164" s="102" t="inlineStr">
        <is>
          <t>Projection</t>
        </is>
      </c>
      <c r="C164" s="103" t="n"/>
      <c r="D164" s="104" t="n">
        <v>72832.84</v>
      </c>
      <c r="E164" s="104" t="n">
        <v>83973.34</v>
      </c>
      <c r="F164" s="105" t="n">
        <v>0.11562</v>
      </c>
      <c r="G164" s="105" t="n">
        <v>0.1667</v>
      </c>
      <c r="H164" s="105" t="n">
        <v>0.10512</v>
      </c>
      <c r="I164" s="105" t="n">
        <v>0.1689</v>
      </c>
      <c r="J164" s="105" t="n">
        <v>0.11562</v>
      </c>
      <c r="K164" s="105" t="n">
        <v>0.1667</v>
      </c>
      <c r="L164" s="105" t="n">
        <v>0.10512</v>
      </c>
      <c r="M164" s="105" t="n">
        <v>0.1689</v>
      </c>
      <c r="N164" s="106">
        <f>MIN(D164,E164)*F164+MAX(0,D164-E164)*H164</f>
        <v/>
      </c>
      <c r="O164" s="106">
        <f>MIN(D164,E164)*G164+MAX(0,D164-E164)*I164</f>
        <v/>
      </c>
      <c r="P164" s="106">
        <f>N164+O164</f>
        <v/>
      </c>
      <c r="Q164" s="107">
        <f>P164/D164</f>
        <v/>
      </c>
      <c r="R164" s="106">
        <f>D164+O164</f>
        <v/>
      </c>
      <c r="S164" s="108" t="n">
        <v>35</v>
      </c>
      <c r="T164" s="108" t="n">
        <v>38.8</v>
      </c>
      <c r="U164" s="109" t="n">
        <v>229</v>
      </c>
      <c r="V164" s="110" t="n">
        <v>1610</v>
      </c>
      <c r="W164" s="110" t="n">
        <v>1784</v>
      </c>
      <c r="X164" s="104" t="n">
        <v>30102.37</v>
      </c>
      <c r="Y164" s="104" t="n">
        <v>29818.12</v>
      </c>
      <c r="Z164" s="108" t="n">
        <v>21.5</v>
      </c>
      <c r="AA164" s="103">
        <f>1/(1+Parametres!$B$12)^(A164-2026)</f>
        <v/>
      </c>
      <c r="AB164" s="111">
        <f>D164/AA164</f>
        <v/>
      </c>
      <c r="AC164" s="107" t="n"/>
      <c r="AD164" s="107" t="n"/>
      <c r="AE164" s="107">
        <f>((1+Parametres!$B$13)*(1+Parametres!$B$12)-1)</f>
        <v/>
      </c>
      <c r="AF164" s="107">
        <f>((1+Parametres!$B$14)*(1+Parametres!$B$12)-1)</f>
        <v/>
      </c>
      <c r="AG164" s="103">
        <f>AG163*(1+AE164)</f>
        <v/>
      </c>
      <c r="AH164" s="103">
        <f>AH163*(1+AF164)</f>
        <v/>
      </c>
      <c r="AI164" s="103">
        <f>IF(AE164=0,1,AE164/(12*((1+AE164)^(1/12)-1)))</f>
        <v/>
      </c>
      <c r="AJ164" s="103">
        <f>IF(AF164=0,1,AF164/(12*((1+AF164)^(1/12)-1)))</f>
        <v/>
      </c>
      <c r="AK164" s="112">
        <f>D164*'3_Comparateur_detaille'!$B$16</f>
        <v/>
      </c>
      <c r="AL164" s="112">
        <f>IF('3_Comparateur_detaille'!$B$20="Privé",MIN(AK164,E164)*IF('3_Comparateur_detaille'!$B$15="cadre",J164,F164)+MAX(0,AK164-E164)*IF('3_Comparateur_detaille'!$B$15="cadre",L164,H164),AK164*SUMIFS(Donnees_regimes!$J$3:$J$1118,Donnees_regimes!$A$3:$A$1118,'3_Comparateur_detaille'!$B$20,Donnees_regimes!$B$3:$B$1118,A164))</f>
        <v/>
      </c>
      <c r="AM164" s="112">
        <f>IF('3_Comparateur_detaille'!$B$20="Privé",MIN(AK164,E164)*IF('3_Comparateur_detaille'!$B$15="cadre",K164,G164)+MAX(0,AK164-E164)*IF('3_Comparateur_detaille'!$B$15="cadre",M164,I164),AK164*SUMIFS(Donnees_regimes!$K$3:$K$1118,Donnees_regimes!$A$3:$A$1118,'3_Comparateur_detaille'!$B$20,Donnees_regimes!$B$3:$B$1118,A164))</f>
        <v/>
      </c>
      <c r="AN164" s="112">
        <f>IF('3_Comparateur_detaille'!$B$20="Privé",0,AK164*SUMIFS(Donnees_regimes!$L$3:$L$1118,Donnees_regimes!$A$3:$A$1118,'3_Comparateur_detaille'!$B$20,Donnees_regimes!$B$3:$B$1118,A164))</f>
        <v/>
      </c>
      <c r="AO164" s="113">
        <f>(AL164+AM164)/AA164*AI164/AG164</f>
        <v/>
      </c>
      <c r="AP164" s="113">
        <f>(AL164+AM164)/AA164*AJ164/AH164</f>
        <v/>
      </c>
      <c r="AQ164" s="112">
        <f>D164*'3_Comparateur_detaille'!$C$16</f>
        <v/>
      </c>
      <c r="AR164" s="112">
        <f>IF('3_Comparateur_detaille'!$C$20="Privé",MIN(AQ164,E164)*IF('3_Comparateur_detaille'!$C$15="cadre",J164,F164)+MAX(0,AQ164-E164)*IF('3_Comparateur_detaille'!$C$15="cadre",L164,H164),AQ164*SUMIFS(Donnees_regimes!$J$3:$J$1118,Donnees_regimes!$A$3:$A$1118,'3_Comparateur_detaille'!$C$20,Donnees_regimes!$B$3:$B$1118,A164))</f>
        <v/>
      </c>
      <c r="AS164" s="112">
        <f>IF('3_Comparateur_detaille'!$C$20="Privé",MIN(AQ164,E164)*IF('3_Comparateur_detaille'!$C$15="cadre",K164,G164)+MAX(0,AQ164-E164)*IF('3_Comparateur_detaille'!$C$15="cadre",M164,I164),AQ164*SUMIFS(Donnees_regimes!$K$3:$K$1118,Donnees_regimes!$A$3:$A$1118,'3_Comparateur_detaille'!$C$20,Donnees_regimes!$B$3:$B$1118,A164))</f>
        <v/>
      </c>
      <c r="AT164" s="112">
        <f>IF('3_Comparateur_detaille'!$C$20="Privé",0,AQ164*SUMIFS(Donnees_regimes!$L$3:$L$1118,Donnees_regimes!$A$3:$A$1118,'3_Comparateur_detaille'!$C$20,Donnees_regimes!$B$3:$B$1118,A164))</f>
        <v/>
      </c>
      <c r="AU164" s="113">
        <f>(AR164+AS164)/AA164*AI164/AG164</f>
        <v/>
      </c>
      <c r="AV164" s="113">
        <f>(AR164+AS164)/AA164*AJ164/AH164</f>
        <v/>
      </c>
    </row>
    <row r="165">
      <c r="A165" s="101" t="n">
        <v>2107</v>
      </c>
      <c r="B165" s="102" t="inlineStr">
        <is>
          <t>Projection</t>
        </is>
      </c>
      <c r="C165" s="103" t="n"/>
      <c r="D165" s="104" t="n">
        <v>73342.67</v>
      </c>
      <c r="E165" s="104" t="n">
        <v>84561.14999999999</v>
      </c>
      <c r="F165" s="105" t="n">
        <v>0.11562</v>
      </c>
      <c r="G165" s="105" t="n">
        <v>0.1667</v>
      </c>
      <c r="H165" s="105" t="n">
        <v>0.10512</v>
      </c>
      <c r="I165" s="105" t="n">
        <v>0.1689</v>
      </c>
      <c r="J165" s="105" t="n">
        <v>0.11562</v>
      </c>
      <c r="K165" s="105" t="n">
        <v>0.1667</v>
      </c>
      <c r="L165" s="105" t="n">
        <v>0.10512</v>
      </c>
      <c r="M165" s="105" t="n">
        <v>0.1689</v>
      </c>
      <c r="N165" s="106">
        <f>MIN(D165,E165)*F165+MAX(0,D165-E165)*H165</f>
        <v/>
      </c>
      <c r="O165" s="106">
        <f>MIN(D165,E165)*G165+MAX(0,D165-E165)*I165</f>
        <v/>
      </c>
      <c r="P165" s="106">
        <f>N165+O165</f>
        <v/>
      </c>
      <c r="Q165" s="107">
        <f>P165/D165</f>
        <v/>
      </c>
      <c r="R165" s="106">
        <f>D165+O165</f>
        <v/>
      </c>
      <c r="S165" s="108" t="n">
        <v>35</v>
      </c>
      <c r="T165" s="108" t="n">
        <v>38.8</v>
      </c>
      <c r="U165" s="109" t="n">
        <v>228</v>
      </c>
      <c r="V165" s="110" t="n">
        <v>1603</v>
      </c>
      <c r="W165" s="110" t="n">
        <v>1776.3</v>
      </c>
      <c r="X165" s="104" t="n">
        <v>30313.08</v>
      </c>
      <c r="Y165" s="104" t="n">
        <v>30026.84</v>
      </c>
      <c r="Z165" s="108" t="n">
        <v>21.5</v>
      </c>
      <c r="AA165" s="103">
        <f>1/(1+Parametres!$B$12)^(A165-2026)</f>
        <v/>
      </c>
      <c r="AB165" s="111">
        <f>D165/AA165</f>
        <v/>
      </c>
      <c r="AC165" s="107" t="n"/>
      <c r="AD165" s="107" t="n"/>
      <c r="AE165" s="107">
        <f>((1+Parametres!$B$13)*(1+Parametres!$B$12)-1)</f>
        <v/>
      </c>
      <c r="AF165" s="107">
        <f>((1+Parametres!$B$14)*(1+Parametres!$B$12)-1)</f>
        <v/>
      </c>
      <c r="AG165" s="103">
        <f>AG164*(1+AE165)</f>
        <v/>
      </c>
      <c r="AH165" s="103">
        <f>AH164*(1+AF165)</f>
        <v/>
      </c>
      <c r="AI165" s="103">
        <f>IF(AE165=0,1,AE165/(12*((1+AE165)^(1/12)-1)))</f>
        <v/>
      </c>
      <c r="AJ165" s="103">
        <f>IF(AF165=0,1,AF165/(12*((1+AF165)^(1/12)-1)))</f>
        <v/>
      </c>
      <c r="AK165" s="112">
        <f>D165*'3_Comparateur_detaille'!$B$16</f>
        <v/>
      </c>
      <c r="AL165" s="112">
        <f>IF('3_Comparateur_detaille'!$B$20="Privé",MIN(AK165,E165)*IF('3_Comparateur_detaille'!$B$15="cadre",J165,F165)+MAX(0,AK165-E165)*IF('3_Comparateur_detaille'!$B$15="cadre",L165,H165),AK165*SUMIFS(Donnees_regimes!$J$3:$J$1118,Donnees_regimes!$A$3:$A$1118,'3_Comparateur_detaille'!$B$20,Donnees_regimes!$B$3:$B$1118,A165))</f>
        <v/>
      </c>
      <c r="AM165" s="112">
        <f>IF('3_Comparateur_detaille'!$B$20="Privé",MIN(AK165,E165)*IF('3_Comparateur_detaille'!$B$15="cadre",K165,G165)+MAX(0,AK165-E165)*IF('3_Comparateur_detaille'!$B$15="cadre",M165,I165),AK165*SUMIFS(Donnees_regimes!$K$3:$K$1118,Donnees_regimes!$A$3:$A$1118,'3_Comparateur_detaille'!$B$20,Donnees_regimes!$B$3:$B$1118,A165))</f>
        <v/>
      </c>
      <c r="AN165" s="112">
        <f>IF('3_Comparateur_detaille'!$B$20="Privé",0,AK165*SUMIFS(Donnees_regimes!$L$3:$L$1118,Donnees_regimes!$A$3:$A$1118,'3_Comparateur_detaille'!$B$20,Donnees_regimes!$B$3:$B$1118,A165))</f>
        <v/>
      </c>
      <c r="AO165" s="113">
        <f>(AL165+AM165)/AA165*AI165/AG165</f>
        <v/>
      </c>
      <c r="AP165" s="113">
        <f>(AL165+AM165)/AA165*AJ165/AH165</f>
        <v/>
      </c>
      <c r="AQ165" s="112">
        <f>D165*'3_Comparateur_detaille'!$C$16</f>
        <v/>
      </c>
      <c r="AR165" s="112">
        <f>IF('3_Comparateur_detaille'!$C$20="Privé",MIN(AQ165,E165)*IF('3_Comparateur_detaille'!$C$15="cadre",J165,F165)+MAX(0,AQ165-E165)*IF('3_Comparateur_detaille'!$C$15="cadre",L165,H165),AQ165*SUMIFS(Donnees_regimes!$J$3:$J$1118,Donnees_regimes!$A$3:$A$1118,'3_Comparateur_detaille'!$C$20,Donnees_regimes!$B$3:$B$1118,A165))</f>
        <v/>
      </c>
      <c r="AS165" s="112">
        <f>IF('3_Comparateur_detaille'!$C$20="Privé",MIN(AQ165,E165)*IF('3_Comparateur_detaille'!$C$15="cadre",K165,G165)+MAX(0,AQ165-E165)*IF('3_Comparateur_detaille'!$C$15="cadre",M165,I165),AQ165*SUMIFS(Donnees_regimes!$K$3:$K$1118,Donnees_regimes!$A$3:$A$1118,'3_Comparateur_detaille'!$C$20,Donnees_regimes!$B$3:$B$1118,A165))</f>
        <v/>
      </c>
      <c r="AT165" s="112">
        <f>IF('3_Comparateur_detaille'!$C$20="Privé",0,AQ165*SUMIFS(Donnees_regimes!$L$3:$L$1118,Donnees_regimes!$A$3:$A$1118,'3_Comparateur_detaille'!$C$20,Donnees_regimes!$B$3:$B$1118,A165))</f>
        <v/>
      </c>
      <c r="AU165" s="113">
        <f>(AR165+AS165)/AA165*AI165/AG165</f>
        <v/>
      </c>
      <c r="AV165" s="113">
        <f>(AR165+AS165)/AA165*AJ165/AH165</f>
        <v/>
      </c>
    </row>
    <row r="166">
      <c r="A166" s="101" t="n">
        <v>2108</v>
      </c>
      <c r="B166" s="102" t="inlineStr">
        <is>
          <t>Projection</t>
        </is>
      </c>
      <c r="C166" s="103" t="n"/>
      <c r="D166" s="104" t="n">
        <v>73856.07000000001</v>
      </c>
      <c r="E166" s="104" t="n">
        <v>85153.08</v>
      </c>
      <c r="F166" s="105" t="n">
        <v>0.11562</v>
      </c>
      <c r="G166" s="105" t="n">
        <v>0.1667</v>
      </c>
      <c r="H166" s="105" t="n">
        <v>0.10512</v>
      </c>
      <c r="I166" s="105" t="n">
        <v>0.1689</v>
      </c>
      <c r="J166" s="105" t="n">
        <v>0.11562</v>
      </c>
      <c r="K166" s="105" t="n">
        <v>0.1667</v>
      </c>
      <c r="L166" s="105" t="n">
        <v>0.10512</v>
      </c>
      <c r="M166" s="105" t="n">
        <v>0.1689</v>
      </c>
      <c r="N166" s="106">
        <f>MIN(D166,E166)*F166+MAX(0,D166-E166)*H166</f>
        <v/>
      </c>
      <c r="O166" s="106">
        <f>MIN(D166,E166)*G166+MAX(0,D166-E166)*I166</f>
        <v/>
      </c>
      <c r="P166" s="106">
        <f>N166+O166</f>
        <v/>
      </c>
      <c r="Q166" s="107">
        <f>P166/D166</f>
        <v/>
      </c>
      <c r="R166" s="106">
        <f>D166+O166</f>
        <v/>
      </c>
      <c r="S166" s="108" t="n">
        <v>35</v>
      </c>
      <c r="T166" s="108" t="n">
        <v>38.8</v>
      </c>
      <c r="U166" s="109" t="n">
        <v>228</v>
      </c>
      <c r="V166" s="110" t="n">
        <v>1603</v>
      </c>
      <c r="W166" s="110" t="n">
        <v>1776.3</v>
      </c>
      <c r="X166" s="104" t="n">
        <v>30525.28</v>
      </c>
      <c r="Y166" s="104" t="n">
        <v>30237.03</v>
      </c>
      <c r="Z166" s="108" t="n">
        <v>21.5</v>
      </c>
      <c r="AA166" s="103">
        <f>1/(1+Parametres!$B$12)^(A166-2026)</f>
        <v/>
      </c>
      <c r="AB166" s="111">
        <f>D166/AA166</f>
        <v/>
      </c>
      <c r="AC166" s="107" t="n"/>
      <c r="AD166" s="107" t="n"/>
      <c r="AE166" s="107">
        <f>((1+Parametres!$B$13)*(1+Parametres!$B$12)-1)</f>
        <v/>
      </c>
      <c r="AF166" s="107">
        <f>((1+Parametres!$B$14)*(1+Parametres!$B$12)-1)</f>
        <v/>
      </c>
      <c r="AG166" s="103">
        <f>AG165*(1+AE166)</f>
        <v/>
      </c>
      <c r="AH166" s="103">
        <f>AH165*(1+AF166)</f>
        <v/>
      </c>
      <c r="AI166" s="103">
        <f>IF(AE166=0,1,AE166/(12*((1+AE166)^(1/12)-1)))</f>
        <v/>
      </c>
      <c r="AJ166" s="103">
        <f>IF(AF166=0,1,AF166/(12*((1+AF166)^(1/12)-1)))</f>
        <v/>
      </c>
      <c r="AK166" s="112">
        <f>D166*'3_Comparateur_detaille'!$B$16</f>
        <v/>
      </c>
      <c r="AL166" s="112">
        <f>IF('3_Comparateur_detaille'!$B$20="Privé",MIN(AK166,E166)*IF('3_Comparateur_detaille'!$B$15="cadre",J166,F166)+MAX(0,AK166-E166)*IF('3_Comparateur_detaille'!$B$15="cadre",L166,H166),AK166*SUMIFS(Donnees_regimes!$J$3:$J$1118,Donnees_regimes!$A$3:$A$1118,'3_Comparateur_detaille'!$B$20,Donnees_regimes!$B$3:$B$1118,A166))</f>
        <v/>
      </c>
      <c r="AM166" s="112">
        <f>IF('3_Comparateur_detaille'!$B$20="Privé",MIN(AK166,E166)*IF('3_Comparateur_detaille'!$B$15="cadre",K166,G166)+MAX(0,AK166-E166)*IF('3_Comparateur_detaille'!$B$15="cadre",M166,I166),AK166*SUMIFS(Donnees_regimes!$K$3:$K$1118,Donnees_regimes!$A$3:$A$1118,'3_Comparateur_detaille'!$B$20,Donnees_regimes!$B$3:$B$1118,A166))</f>
        <v/>
      </c>
      <c r="AN166" s="112">
        <f>IF('3_Comparateur_detaille'!$B$20="Privé",0,AK166*SUMIFS(Donnees_regimes!$L$3:$L$1118,Donnees_regimes!$A$3:$A$1118,'3_Comparateur_detaille'!$B$20,Donnees_regimes!$B$3:$B$1118,A166))</f>
        <v/>
      </c>
      <c r="AO166" s="113">
        <f>(AL166+AM166)/AA166*AI166/AG166</f>
        <v/>
      </c>
      <c r="AP166" s="113">
        <f>(AL166+AM166)/AA166*AJ166/AH166</f>
        <v/>
      </c>
      <c r="AQ166" s="112">
        <f>D166*'3_Comparateur_detaille'!$C$16</f>
        <v/>
      </c>
      <c r="AR166" s="112">
        <f>IF('3_Comparateur_detaille'!$C$20="Privé",MIN(AQ166,E166)*IF('3_Comparateur_detaille'!$C$15="cadre",J166,F166)+MAX(0,AQ166-E166)*IF('3_Comparateur_detaille'!$C$15="cadre",L166,H166),AQ166*SUMIFS(Donnees_regimes!$J$3:$J$1118,Donnees_regimes!$A$3:$A$1118,'3_Comparateur_detaille'!$C$20,Donnees_regimes!$B$3:$B$1118,A166))</f>
        <v/>
      </c>
      <c r="AS166" s="112">
        <f>IF('3_Comparateur_detaille'!$C$20="Privé",MIN(AQ166,E166)*IF('3_Comparateur_detaille'!$C$15="cadre",K166,G166)+MAX(0,AQ166-E166)*IF('3_Comparateur_detaille'!$C$15="cadre",M166,I166),AQ166*SUMIFS(Donnees_regimes!$K$3:$K$1118,Donnees_regimes!$A$3:$A$1118,'3_Comparateur_detaille'!$C$20,Donnees_regimes!$B$3:$B$1118,A166))</f>
        <v/>
      </c>
      <c r="AT166" s="112">
        <f>IF('3_Comparateur_detaille'!$C$20="Privé",0,AQ166*SUMIFS(Donnees_regimes!$L$3:$L$1118,Donnees_regimes!$A$3:$A$1118,'3_Comparateur_detaille'!$C$20,Donnees_regimes!$B$3:$B$1118,A166))</f>
        <v/>
      </c>
      <c r="AU166" s="113">
        <f>(AR166+AS166)/AA166*AI166/AG166</f>
        <v/>
      </c>
      <c r="AV166" s="113">
        <f>(AR166+AS166)/AA166*AJ166/AH166</f>
        <v/>
      </c>
    </row>
    <row r="167">
      <c r="A167" s="101" t="n">
        <v>2109</v>
      </c>
      <c r="B167" s="102" t="inlineStr">
        <is>
          <t>Projection</t>
        </is>
      </c>
      <c r="C167" s="103" t="n"/>
      <c r="D167" s="104" t="n">
        <v>74373.06</v>
      </c>
      <c r="E167" s="104" t="n">
        <v>85749.14999999999</v>
      </c>
      <c r="F167" s="105" t="n">
        <v>0.11562</v>
      </c>
      <c r="G167" s="105" t="n">
        <v>0.1667</v>
      </c>
      <c r="H167" s="105" t="n">
        <v>0.10512</v>
      </c>
      <c r="I167" s="105" t="n">
        <v>0.1689</v>
      </c>
      <c r="J167" s="105" t="n">
        <v>0.11562</v>
      </c>
      <c r="K167" s="105" t="n">
        <v>0.1667</v>
      </c>
      <c r="L167" s="105" t="n">
        <v>0.10512</v>
      </c>
      <c r="M167" s="105" t="n">
        <v>0.1689</v>
      </c>
      <c r="N167" s="106">
        <f>MIN(D167,E167)*F167+MAX(0,D167-E167)*H167</f>
        <v/>
      </c>
      <c r="O167" s="106">
        <f>MIN(D167,E167)*G167+MAX(0,D167-E167)*I167</f>
        <v/>
      </c>
      <c r="P167" s="106">
        <f>N167+O167</f>
        <v/>
      </c>
      <c r="Q167" s="107">
        <f>P167/D167</f>
        <v/>
      </c>
      <c r="R167" s="106">
        <f>D167+O167</f>
        <v/>
      </c>
      <c r="S167" s="108" t="n">
        <v>35</v>
      </c>
      <c r="T167" s="108" t="n">
        <v>38.8</v>
      </c>
      <c r="U167" s="109" t="n">
        <v>226</v>
      </c>
      <c r="V167" s="110" t="n">
        <v>1589</v>
      </c>
      <c r="W167" s="110" t="n">
        <v>1760.8</v>
      </c>
      <c r="X167" s="104" t="n">
        <v>30738.95</v>
      </c>
      <c r="Y167" s="104" t="n">
        <v>30448.69</v>
      </c>
      <c r="Z167" s="108" t="n">
        <v>21.5</v>
      </c>
      <c r="AA167" s="103">
        <f>1/(1+Parametres!$B$12)^(A167-2026)</f>
        <v/>
      </c>
      <c r="AB167" s="111">
        <f>D167/AA167</f>
        <v/>
      </c>
      <c r="AC167" s="107" t="n"/>
      <c r="AD167" s="107" t="n"/>
      <c r="AE167" s="107">
        <f>((1+Parametres!$B$13)*(1+Parametres!$B$12)-1)</f>
        <v/>
      </c>
      <c r="AF167" s="107">
        <f>((1+Parametres!$B$14)*(1+Parametres!$B$12)-1)</f>
        <v/>
      </c>
      <c r="AG167" s="103">
        <f>AG166*(1+AE167)</f>
        <v/>
      </c>
      <c r="AH167" s="103">
        <f>AH166*(1+AF167)</f>
        <v/>
      </c>
      <c r="AI167" s="103">
        <f>IF(AE167=0,1,AE167/(12*((1+AE167)^(1/12)-1)))</f>
        <v/>
      </c>
      <c r="AJ167" s="103">
        <f>IF(AF167=0,1,AF167/(12*((1+AF167)^(1/12)-1)))</f>
        <v/>
      </c>
      <c r="AK167" s="112">
        <f>D167*'3_Comparateur_detaille'!$B$16</f>
        <v/>
      </c>
      <c r="AL167" s="112">
        <f>IF('3_Comparateur_detaille'!$B$20="Privé",MIN(AK167,E167)*IF('3_Comparateur_detaille'!$B$15="cadre",J167,F167)+MAX(0,AK167-E167)*IF('3_Comparateur_detaille'!$B$15="cadre",L167,H167),AK167*SUMIFS(Donnees_regimes!$J$3:$J$1118,Donnees_regimes!$A$3:$A$1118,'3_Comparateur_detaille'!$B$20,Donnees_regimes!$B$3:$B$1118,A167))</f>
        <v/>
      </c>
      <c r="AM167" s="112">
        <f>IF('3_Comparateur_detaille'!$B$20="Privé",MIN(AK167,E167)*IF('3_Comparateur_detaille'!$B$15="cadre",K167,G167)+MAX(0,AK167-E167)*IF('3_Comparateur_detaille'!$B$15="cadre",M167,I167),AK167*SUMIFS(Donnees_regimes!$K$3:$K$1118,Donnees_regimes!$A$3:$A$1118,'3_Comparateur_detaille'!$B$20,Donnees_regimes!$B$3:$B$1118,A167))</f>
        <v/>
      </c>
      <c r="AN167" s="112">
        <f>IF('3_Comparateur_detaille'!$B$20="Privé",0,AK167*SUMIFS(Donnees_regimes!$L$3:$L$1118,Donnees_regimes!$A$3:$A$1118,'3_Comparateur_detaille'!$B$20,Donnees_regimes!$B$3:$B$1118,A167))</f>
        <v/>
      </c>
      <c r="AO167" s="113">
        <f>(AL167+AM167)/AA167*AI167/AG167</f>
        <v/>
      </c>
      <c r="AP167" s="113">
        <f>(AL167+AM167)/AA167*AJ167/AH167</f>
        <v/>
      </c>
      <c r="AQ167" s="112">
        <f>D167*'3_Comparateur_detaille'!$C$16</f>
        <v/>
      </c>
      <c r="AR167" s="112">
        <f>IF('3_Comparateur_detaille'!$C$20="Privé",MIN(AQ167,E167)*IF('3_Comparateur_detaille'!$C$15="cadre",J167,F167)+MAX(0,AQ167-E167)*IF('3_Comparateur_detaille'!$C$15="cadre",L167,H167),AQ167*SUMIFS(Donnees_regimes!$J$3:$J$1118,Donnees_regimes!$A$3:$A$1118,'3_Comparateur_detaille'!$C$20,Donnees_regimes!$B$3:$B$1118,A167))</f>
        <v/>
      </c>
      <c r="AS167" s="112">
        <f>IF('3_Comparateur_detaille'!$C$20="Privé",MIN(AQ167,E167)*IF('3_Comparateur_detaille'!$C$15="cadre",K167,G167)+MAX(0,AQ167-E167)*IF('3_Comparateur_detaille'!$C$15="cadre",M167,I167),AQ167*SUMIFS(Donnees_regimes!$K$3:$K$1118,Donnees_regimes!$A$3:$A$1118,'3_Comparateur_detaille'!$C$20,Donnees_regimes!$B$3:$B$1118,A167))</f>
        <v/>
      </c>
      <c r="AT167" s="112">
        <f>IF('3_Comparateur_detaille'!$C$20="Privé",0,AQ167*SUMIFS(Donnees_regimes!$L$3:$L$1118,Donnees_regimes!$A$3:$A$1118,'3_Comparateur_detaille'!$C$20,Donnees_regimes!$B$3:$B$1118,A167))</f>
        <v/>
      </c>
      <c r="AU167" s="113">
        <f>(AR167+AS167)/AA167*AI167/AG167</f>
        <v/>
      </c>
      <c r="AV167" s="113">
        <f>(AR167+AS167)/AA167*AJ167/AH167</f>
        <v/>
      </c>
    </row>
    <row r="168">
      <c r="A168" s="101" t="n">
        <v>2110</v>
      </c>
      <c r="B168" s="102" t="inlineStr">
        <is>
          <t>Projection</t>
        </is>
      </c>
      <c r="C168" s="103" t="n"/>
      <c r="D168" s="104" t="n">
        <v>74893.67</v>
      </c>
      <c r="E168" s="104" t="n">
        <v>86349.39</v>
      </c>
      <c r="F168" s="105" t="n">
        <v>0.11562</v>
      </c>
      <c r="G168" s="105" t="n">
        <v>0.1667</v>
      </c>
      <c r="H168" s="105" t="n">
        <v>0.10512</v>
      </c>
      <c r="I168" s="105" t="n">
        <v>0.1689</v>
      </c>
      <c r="J168" s="105" t="n">
        <v>0.11562</v>
      </c>
      <c r="K168" s="105" t="n">
        <v>0.1667</v>
      </c>
      <c r="L168" s="105" t="n">
        <v>0.10512</v>
      </c>
      <c r="M168" s="105" t="n">
        <v>0.1689</v>
      </c>
      <c r="N168" s="106">
        <f>MIN(D168,E168)*F168+MAX(0,D168-E168)*H168</f>
        <v/>
      </c>
      <c r="O168" s="106">
        <f>MIN(D168,E168)*G168+MAX(0,D168-E168)*I168</f>
        <v/>
      </c>
      <c r="P168" s="106">
        <f>N168+O168</f>
        <v/>
      </c>
      <c r="Q168" s="107">
        <f>P168/D168</f>
        <v/>
      </c>
      <c r="R168" s="106">
        <f>D168+O168</f>
        <v/>
      </c>
      <c r="S168" s="108" t="n">
        <v>35</v>
      </c>
      <c r="T168" s="108" t="n">
        <v>38.8</v>
      </c>
      <c r="U168" s="109" t="n">
        <v>226</v>
      </c>
      <c r="V168" s="110" t="n">
        <v>1589</v>
      </c>
      <c r="W168" s="110" t="n">
        <v>1760.8</v>
      </c>
      <c r="X168" s="104" t="n">
        <v>30954.13</v>
      </c>
      <c r="Y168" s="104" t="n">
        <v>30661.83</v>
      </c>
      <c r="Z168" s="108" t="n">
        <v>21.5</v>
      </c>
      <c r="AA168" s="103">
        <f>1/(1+Parametres!$B$12)^(A168-2026)</f>
        <v/>
      </c>
      <c r="AB168" s="111">
        <f>D168/AA168</f>
        <v/>
      </c>
      <c r="AC168" s="107" t="n"/>
      <c r="AD168" s="107" t="n"/>
      <c r="AE168" s="107">
        <f>((1+Parametres!$B$13)*(1+Parametres!$B$12)-1)</f>
        <v/>
      </c>
      <c r="AF168" s="107">
        <f>((1+Parametres!$B$14)*(1+Parametres!$B$12)-1)</f>
        <v/>
      </c>
      <c r="AG168" s="103">
        <f>AG167*(1+AE168)</f>
        <v/>
      </c>
      <c r="AH168" s="103">
        <f>AH167*(1+AF168)</f>
        <v/>
      </c>
      <c r="AI168" s="103">
        <f>IF(AE168=0,1,AE168/(12*((1+AE168)^(1/12)-1)))</f>
        <v/>
      </c>
      <c r="AJ168" s="103">
        <f>IF(AF168=0,1,AF168/(12*((1+AF168)^(1/12)-1)))</f>
        <v/>
      </c>
      <c r="AK168" s="112">
        <f>D168*'3_Comparateur_detaille'!$B$16</f>
        <v/>
      </c>
      <c r="AL168" s="112">
        <f>IF('3_Comparateur_detaille'!$B$20="Privé",MIN(AK168,E168)*IF('3_Comparateur_detaille'!$B$15="cadre",J168,F168)+MAX(0,AK168-E168)*IF('3_Comparateur_detaille'!$B$15="cadre",L168,H168),AK168*SUMIFS(Donnees_regimes!$J$3:$J$1118,Donnees_regimes!$A$3:$A$1118,'3_Comparateur_detaille'!$B$20,Donnees_regimes!$B$3:$B$1118,A168))</f>
        <v/>
      </c>
      <c r="AM168" s="112">
        <f>IF('3_Comparateur_detaille'!$B$20="Privé",MIN(AK168,E168)*IF('3_Comparateur_detaille'!$B$15="cadre",K168,G168)+MAX(0,AK168-E168)*IF('3_Comparateur_detaille'!$B$15="cadre",M168,I168),AK168*SUMIFS(Donnees_regimes!$K$3:$K$1118,Donnees_regimes!$A$3:$A$1118,'3_Comparateur_detaille'!$B$20,Donnees_regimes!$B$3:$B$1118,A168))</f>
        <v/>
      </c>
      <c r="AN168" s="112">
        <f>IF('3_Comparateur_detaille'!$B$20="Privé",0,AK168*SUMIFS(Donnees_regimes!$L$3:$L$1118,Donnees_regimes!$A$3:$A$1118,'3_Comparateur_detaille'!$B$20,Donnees_regimes!$B$3:$B$1118,A168))</f>
        <v/>
      </c>
      <c r="AO168" s="113">
        <f>(AL168+AM168)/AA168*AI168/AG168</f>
        <v/>
      </c>
      <c r="AP168" s="113">
        <f>(AL168+AM168)/AA168*AJ168/AH168</f>
        <v/>
      </c>
      <c r="AQ168" s="112">
        <f>D168*'3_Comparateur_detaille'!$C$16</f>
        <v/>
      </c>
      <c r="AR168" s="112">
        <f>IF('3_Comparateur_detaille'!$C$20="Privé",MIN(AQ168,E168)*IF('3_Comparateur_detaille'!$C$15="cadre",J168,F168)+MAX(0,AQ168-E168)*IF('3_Comparateur_detaille'!$C$15="cadre",L168,H168),AQ168*SUMIFS(Donnees_regimes!$J$3:$J$1118,Donnees_regimes!$A$3:$A$1118,'3_Comparateur_detaille'!$C$20,Donnees_regimes!$B$3:$B$1118,A168))</f>
        <v/>
      </c>
      <c r="AS168" s="112">
        <f>IF('3_Comparateur_detaille'!$C$20="Privé",MIN(AQ168,E168)*IF('3_Comparateur_detaille'!$C$15="cadre",K168,G168)+MAX(0,AQ168-E168)*IF('3_Comparateur_detaille'!$C$15="cadre",M168,I168),AQ168*SUMIFS(Donnees_regimes!$K$3:$K$1118,Donnees_regimes!$A$3:$A$1118,'3_Comparateur_detaille'!$C$20,Donnees_regimes!$B$3:$B$1118,A168))</f>
        <v/>
      </c>
      <c r="AT168" s="112">
        <f>IF('3_Comparateur_detaille'!$C$20="Privé",0,AQ168*SUMIFS(Donnees_regimes!$L$3:$L$1118,Donnees_regimes!$A$3:$A$1118,'3_Comparateur_detaille'!$C$20,Donnees_regimes!$B$3:$B$1118,A168))</f>
        <v/>
      </c>
      <c r="AU168" s="113">
        <f>(AR168+AS168)/AA168*AI168/AG168</f>
        <v/>
      </c>
      <c r="AV168" s="113">
        <f>(AR168+AS168)/AA168*AJ168/AH168</f>
        <v/>
      </c>
    </row>
    <row r="169">
      <c r="A169" s="101" t="n">
        <v>2111</v>
      </c>
      <c r="B169" s="102" t="inlineStr">
        <is>
          <t>Projection</t>
        </is>
      </c>
      <c r="C169" s="103" t="n"/>
      <c r="D169" s="104" t="n">
        <v>75417.92999999999</v>
      </c>
      <c r="E169" s="104" t="n">
        <v>86953.84</v>
      </c>
      <c r="F169" s="105" t="n">
        <v>0.11562</v>
      </c>
      <c r="G169" s="105" t="n">
        <v>0.1667</v>
      </c>
      <c r="H169" s="105" t="n">
        <v>0.10512</v>
      </c>
      <c r="I169" s="105" t="n">
        <v>0.1689</v>
      </c>
      <c r="J169" s="105" t="n">
        <v>0.11562</v>
      </c>
      <c r="K169" s="105" t="n">
        <v>0.1667</v>
      </c>
      <c r="L169" s="105" t="n">
        <v>0.10512</v>
      </c>
      <c r="M169" s="105" t="n">
        <v>0.1689</v>
      </c>
      <c r="N169" s="106">
        <f>MIN(D169,E169)*F169+MAX(0,D169-E169)*H169</f>
        <v/>
      </c>
      <c r="O169" s="106">
        <f>MIN(D169,E169)*G169+MAX(0,D169-E169)*I169</f>
        <v/>
      </c>
      <c r="P169" s="106">
        <f>N169+O169</f>
        <v/>
      </c>
      <c r="Q169" s="107">
        <f>P169/D169</f>
        <v/>
      </c>
      <c r="R169" s="106">
        <f>D169+O169</f>
        <v/>
      </c>
      <c r="S169" s="108" t="n">
        <v>35</v>
      </c>
      <c r="T169" s="108" t="n">
        <v>38.8</v>
      </c>
      <c r="U169" s="109" t="n">
        <v>227</v>
      </c>
      <c r="V169" s="110" t="n">
        <v>1596</v>
      </c>
      <c r="W169" s="110" t="n">
        <v>1768.5</v>
      </c>
      <c r="X169" s="104" t="n">
        <v>31170.8</v>
      </c>
      <c r="Y169" s="104" t="n">
        <v>30876.46</v>
      </c>
      <c r="Z169" s="108" t="n">
        <v>21.5</v>
      </c>
      <c r="AA169" s="103">
        <f>1/(1+Parametres!$B$12)^(A169-2026)</f>
        <v/>
      </c>
      <c r="AB169" s="111">
        <f>D169/AA169</f>
        <v/>
      </c>
      <c r="AC169" s="107" t="n"/>
      <c r="AD169" s="107" t="n"/>
      <c r="AE169" s="107">
        <f>((1+Parametres!$B$13)*(1+Parametres!$B$12)-1)</f>
        <v/>
      </c>
      <c r="AF169" s="107">
        <f>((1+Parametres!$B$14)*(1+Parametres!$B$12)-1)</f>
        <v/>
      </c>
      <c r="AG169" s="103">
        <f>AG168*(1+AE169)</f>
        <v/>
      </c>
      <c r="AH169" s="103">
        <f>AH168*(1+AF169)</f>
        <v/>
      </c>
      <c r="AI169" s="103">
        <f>IF(AE169=0,1,AE169/(12*((1+AE169)^(1/12)-1)))</f>
        <v/>
      </c>
      <c r="AJ169" s="103">
        <f>IF(AF169=0,1,AF169/(12*((1+AF169)^(1/12)-1)))</f>
        <v/>
      </c>
      <c r="AK169" s="112">
        <f>D169*'3_Comparateur_detaille'!$B$16</f>
        <v/>
      </c>
      <c r="AL169" s="112">
        <f>IF('3_Comparateur_detaille'!$B$20="Privé",MIN(AK169,E169)*IF('3_Comparateur_detaille'!$B$15="cadre",J169,F169)+MAX(0,AK169-E169)*IF('3_Comparateur_detaille'!$B$15="cadre",L169,H169),AK169*SUMIFS(Donnees_regimes!$J$3:$J$1118,Donnees_regimes!$A$3:$A$1118,'3_Comparateur_detaille'!$B$20,Donnees_regimes!$B$3:$B$1118,A169))</f>
        <v/>
      </c>
      <c r="AM169" s="112">
        <f>IF('3_Comparateur_detaille'!$B$20="Privé",MIN(AK169,E169)*IF('3_Comparateur_detaille'!$B$15="cadre",K169,G169)+MAX(0,AK169-E169)*IF('3_Comparateur_detaille'!$B$15="cadre",M169,I169),AK169*SUMIFS(Donnees_regimes!$K$3:$K$1118,Donnees_regimes!$A$3:$A$1118,'3_Comparateur_detaille'!$B$20,Donnees_regimes!$B$3:$B$1118,A169))</f>
        <v/>
      </c>
      <c r="AN169" s="112">
        <f>IF('3_Comparateur_detaille'!$B$20="Privé",0,AK169*SUMIFS(Donnees_regimes!$L$3:$L$1118,Donnees_regimes!$A$3:$A$1118,'3_Comparateur_detaille'!$B$20,Donnees_regimes!$B$3:$B$1118,A169))</f>
        <v/>
      </c>
      <c r="AO169" s="113">
        <f>(AL169+AM169)/AA169*AI169/AG169</f>
        <v/>
      </c>
      <c r="AP169" s="113">
        <f>(AL169+AM169)/AA169*AJ169/AH169</f>
        <v/>
      </c>
      <c r="AQ169" s="112">
        <f>D169*'3_Comparateur_detaille'!$C$16</f>
        <v/>
      </c>
      <c r="AR169" s="112">
        <f>IF('3_Comparateur_detaille'!$C$20="Privé",MIN(AQ169,E169)*IF('3_Comparateur_detaille'!$C$15="cadre",J169,F169)+MAX(0,AQ169-E169)*IF('3_Comparateur_detaille'!$C$15="cadre",L169,H169),AQ169*SUMIFS(Donnees_regimes!$J$3:$J$1118,Donnees_regimes!$A$3:$A$1118,'3_Comparateur_detaille'!$C$20,Donnees_regimes!$B$3:$B$1118,A169))</f>
        <v/>
      </c>
      <c r="AS169" s="112">
        <f>IF('3_Comparateur_detaille'!$C$20="Privé",MIN(AQ169,E169)*IF('3_Comparateur_detaille'!$C$15="cadre",K169,G169)+MAX(0,AQ169-E169)*IF('3_Comparateur_detaille'!$C$15="cadre",M169,I169),AQ169*SUMIFS(Donnees_regimes!$K$3:$K$1118,Donnees_regimes!$A$3:$A$1118,'3_Comparateur_detaille'!$C$20,Donnees_regimes!$B$3:$B$1118,A169))</f>
        <v/>
      </c>
      <c r="AT169" s="112">
        <f>IF('3_Comparateur_detaille'!$C$20="Privé",0,AQ169*SUMIFS(Donnees_regimes!$L$3:$L$1118,Donnees_regimes!$A$3:$A$1118,'3_Comparateur_detaille'!$C$20,Donnees_regimes!$B$3:$B$1118,A169))</f>
        <v/>
      </c>
      <c r="AU169" s="113">
        <f>(AR169+AS169)/AA169*AI169/AG169</f>
        <v/>
      </c>
      <c r="AV169" s="113">
        <f>(AR169+AS169)/AA169*AJ169/AH169</f>
        <v/>
      </c>
    </row>
    <row r="170">
      <c r="A170" s="101" t="n">
        <v>2112</v>
      </c>
      <c r="B170" s="102" t="inlineStr">
        <is>
          <t>Projection</t>
        </is>
      </c>
      <c r="C170" s="103" t="n"/>
      <c r="D170" s="104" t="n">
        <v>75945.86</v>
      </c>
      <c r="E170" s="104" t="n">
        <v>87562.52</v>
      </c>
      <c r="F170" s="105" t="n">
        <v>0.11562</v>
      </c>
      <c r="G170" s="105" t="n">
        <v>0.1667</v>
      </c>
      <c r="H170" s="105" t="n">
        <v>0.10512</v>
      </c>
      <c r="I170" s="105" t="n">
        <v>0.1689</v>
      </c>
      <c r="J170" s="105" t="n">
        <v>0.11562</v>
      </c>
      <c r="K170" s="105" t="n">
        <v>0.1667</v>
      </c>
      <c r="L170" s="105" t="n">
        <v>0.10512</v>
      </c>
      <c r="M170" s="105" t="n">
        <v>0.1689</v>
      </c>
      <c r="N170" s="106">
        <f>MIN(D170,E170)*F170+MAX(0,D170-E170)*H170</f>
        <v/>
      </c>
      <c r="O170" s="106">
        <f>MIN(D170,E170)*G170+MAX(0,D170-E170)*I170</f>
        <v/>
      </c>
      <c r="P170" s="106">
        <f>N170+O170</f>
        <v/>
      </c>
      <c r="Q170" s="107">
        <f>P170/D170</f>
        <v/>
      </c>
      <c r="R170" s="106">
        <f>D170+O170</f>
        <v/>
      </c>
      <c r="S170" s="108" t="n">
        <v>35</v>
      </c>
      <c r="T170" s="108" t="n">
        <v>38.8</v>
      </c>
      <c r="U170" s="109" t="n">
        <v>228</v>
      </c>
      <c r="V170" s="110" t="n">
        <v>1603</v>
      </c>
      <c r="W170" s="110" t="n">
        <v>1776.3</v>
      </c>
      <c r="X170" s="104" t="n">
        <v>31389</v>
      </c>
      <c r="Y170" s="104" t="n">
        <v>31092.6</v>
      </c>
      <c r="Z170" s="108" t="n">
        <v>21.5</v>
      </c>
      <c r="AA170" s="103">
        <f>1/(1+Parametres!$B$12)^(A170-2026)</f>
        <v/>
      </c>
      <c r="AB170" s="111">
        <f>D170/AA170</f>
        <v/>
      </c>
      <c r="AC170" s="107" t="n"/>
      <c r="AD170" s="107" t="n"/>
      <c r="AE170" s="107">
        <f>((1+Parametres!$B$13)*(1+Parametres!$B$12)-1)</f>
        <v/>
      </c>
      <c r="AF170" s="107">
        <f>((1+Parametres!$B$14)*(1+Parametres!$B$12)-1)</f>
        <v/>
      </c>
      <c r="AG170" s="103">
        <f>AG169*(1+AE170)</f>
        <v/>
      </c>
      <c r="AH170" s="103">
        <f>AH169*(1+AF170)</f>
        <v/>
      </c>
      <c r="AI170" s="103">
        <f>IF(AE170=0,1,AE170/(12*((1+AE170)^(1/12)-1)))</f>
        <v/>
      </c>
      <c r="AJ170" s="103">
        <f>IF(AF170=0,1,AF170/(12*((1+AF170)^(1/12)-1)))</f>
        <v/>
      </c>
      <c r="AK170" s="112">
        <f>D170*'3_Comparateur_detaille'!$B$16</f>
        <v/>
      </c>
      <c r="AL170" s="112">
        <f>IF('3_Comparateur_detaille'!$B$20="Privé",MIN(AK170,E170)*IF('3_Comparateur_detaille'!$B$15="cadre",J170,F170)+MAX(0,AK170-E170)*IF('3_Comparateur_detaille'!$B$15="cadre",L170,H170),AK170*SUMIFS(Donnees_regimes!$J$3:$J$1118,Donnees_regimes!$A$3:$A$1118,'3_Comparateur_detaille'!$B$20,Donnees_regimes!$B$3:$B$1118,A170))</f>
        <v/>
      </c>
      <c r="AM170" s="112">
        <f>IF('3_Comparateur_detaille'!$B$20="Privé",MIN(AK170,E170)*IF('3_Comparateur_detaille'!$B$15="cadre",K170,G170)+MAX(0,AK170-E170)*IF('3_Comparateur_detaille'!$B$15="cadre",M170,I170),AK170*SUMIFS(Donnees_regimes!$K$3:$K$1118,Donnees_regimes!$A$3:$A$1118,'3_Comparateur_detaille'!$B$20,Donnees_regimes!$B$3:$B$1118,A170))</f>
        <v/>
      </c>
      <c r="AN170" s="112">
        <f>IF('3_Comparateur_detaille'!$B$20="Privé",0,AK170*SUMIFS(Donnees_regimes!$L$3:$L$1118,Donnees_regimes!$A$3:$A$1118,'3_Comparateur_detaille'!$B$20,Donnees_regimes!$B$3:$B$1118,A170))</f>
        <v/>
      </c>
      <c r="AO170" s="113">
        <f>(AL170+AM170)/AA170*AI170/AG170</f>
        <v/>
      </c>
      <c r="AP170" s="113">
        <f>(AL170+AM170)/AA170*AJ170/AH170</f>
        <v/>
      </c>
      <c r="AQ170" s="112">
        <f>D170*'3_Comparateur_detaille'!$C$16</f>
        <v/>
      </c>
      <c r="AR170" s="112">
        <f>IF('3_Comparateur_detaille'!$C$20="Privé",MIN(AQ170,E170)*IF('3_Comparateur_detaille'!$C$15="cadre",J170,F170)+MAX(0,AQ170-E170)*IF('3_Comparateur_detaille'!$C$15="cadre",L170,H170),AQ170*SUMIFS(Donnees_regimes!$J$3:$J$1118,Donnees_regimes!$A$3:$A$1118,'3_Comparateur_detaille'!$C$20,Donnees_regimes!$B$3:$B$1118,A170))</f>
        <v/>
      </c>
      <c r="AS170" s="112">
        <f>IF('3_Comparateur_detaille'!$C$20="Privé",MIN(AQ170,E170)*IF('3_Comparateur_detaille'!$C$15="cadre",K170,G170)+MAX(0,AQ170-E170)*IF('3_Comparateur_detaille'!$C$15="cadre",M170,I170),AQ170*SUMIFS(Donnees_regimes!$K$3:$K$1118,Donnees_regimes!$A$3:$A$1118,'3_Comparateur_detaille'!$C$20,Donnees_regimes!$B$3:$B$1118,A170))</f>
        <v/>
      </c>
      <c r="AT170" s="112">
        <f>IF('3_Comparateur_detaille'!$C$20="Privé",0,AQ170*SUMIFS(Donnees_regimes!$L$3:$L$1118,Donnees_regimes!$A$3:$A$1118,'3_Comparateur_detaille'!$C$20,Donnees_regimes!$B$3:$B$1118,A170))</f>
        <v/>
      </c>
      <c r="AU170" s="113">
        <f>(AR170+AS170)/AA170*AI170/AG170</f>
        <v/>
      </c>
      <c r="AV170" s="113">
        <f>(AR170+AS170)/AA170*AJ170/AH170</f>
        <v/>
      </c>
    </row>
    <row r="171">
      <c r="A171" s="101" t="n">
        <v>2113</v>
      </c>
      <c r="B171" s="102" t="inlineStr">
        <is>
          <t>Projection</t>
        </is>
      </c>
      <c r="C171" s="103" t="n"/>
      <c r="D171" s="104" t="n">
        <v>76477.48</v>
      </c>
      <c r="E171" s="104" t="n">
        <v>88175.45</v>
      </c>
      <c r="F171" s="105" t="n">
        <v>0.11562</v>
      </c>
      <c r="G171" s="105" t="n">
        <v>0.1667</v>
      </c>
      <c r="H171" s="105" t="n">
        <v>0.10512</v>
      </c>
      <c r="I171" s="105" t="n">
        <v>0.1689</v>
      </c>
      <c r="J171" s="105" t="n">
        <v>0.11562</v>
      </c>
      <c r="K171" s="105" t="n">
        <v>0.1667</v>
      </c>
      <c r="L171" s="105" t="n">
        <v>0.10512</v>
      </c>
      <c r="M171" s="105" t="n">
        <v>0.1689</v>
      </c>
      <c r="N171" s="106">
        <f>MIN(D171,E171)*F171+MAX(0,D171-E171)*H171</f>
        <v/>
      </c>
      <c r="O171" s="106">
        <f>MIN(D171,E171)*G171+MAX(0,D171-E171)*I171</f>
        <v/>
      </c>
      <c r="P171" s="106">
        <f>N171+O171</f>
        <v/>
      </c>
      <c r="Q171" s="107">
        <f>P171/D171</f>
        <v/>
      </c>
      <c r="R171" s="106">
        <f>D171+O171</f>
        <v/>
      </c>
      <c r="S171" s="108" t="n">
        <v>35</v>
      </c>
      <c r="T171" s="108" t="n">
        <v>38.8</v>
      </c>
      <c r="U171" s="109" t="n">
        <v>226</v>
      </c>
      <c r="V171" s="110" t="n">
        <v>1589</v>
      </c>
      <c r="W171" s="110" t="n">
        <v>1760.8</v>
      </c>
      <c r="X171" s="104" t="n">
        <v>31608.72</v>
      </c>
      <c r="Y171" s="104" t="n">
        <v>31310.25</v>
      </c>
      <c r="Z171" s="108" t="n">
        <v>21.5</v>
      </c>
      <c r="AA171" s="103">
        <f>1/(1+Parametres!$B$12)^(A171-2026)</f>
        <v/>
      </c>
      <c r="AB171" s="111">
        <f>D171/AA171</f>
        <v/>
      </c>
      <c r="AC171" s="107" t="n"/>
      <c r="AD171" s="107" t="n"/>
      <c r="AE171" s="107">
        <f>((1+Parametres!$B$13)*(1+Parametres!$B$12)-1)</f>
        <v/>
      </c>
      <c r="AF171" s="107">
        <f>((1+Parametres!$B$14)*(1+Parametres!$B$12)-1)</f>
        <v/>
      </c>
      <c r="AG171" s="103">
        <f>AG170*(1+AE171)</f>
        <v/>
      </c>
      <c r="AH171" s="103">
        <f>AH170*(1+AF171)</f>
        <v/>
      </c>
      <c r="AI171" s="103">
        <f>IF(AE171=0,1,AE171/(12*((1+AE171)^(1/12)-1)))</f>
        <v/>
      </c>
      <c r="AJ171" s="103">
        <f>IF(AF171=0,1,AF171/(12*((1+AF171)^(1/12)-1)))</f>
        <v/>
      </c>
      <c r="AK171" s="112">
        <f>D171*'3_Comparateur_detaille'!$B$16</f>
        <v/>
      </c>
      <c r="AL171" s="112">
        <f>IF('3_Comparateur_detaille'!$B$20="Privé",MIN(AK171,E171)*IF('3_Comparateur_detaille'!$B$15="cadre",J171,F171)+MAX(0,AK171-E171)*IF('3_Comparateur_detaille'!$B$15="cadre",L171,H171),AK171*SUMIFS(Donnees_regimes!$J$3:$J$1118,Donnees_regimes!$A$3:$A$1118,'3_Comparateur_detaille'!$B$20,Donnees_regimes!$B$3:$B$1118,A171))</f>
        <v/>
      </c>
      <c r="AM171" s="112">
        <f>IF('3_Comparateur_detaille'!$B$20="Privé",MIN(AK171,E171)*IF('3_Comparateur_detaille'!$B$15="cadre",K171,G171)+MAX(0,AK171-E171)*IF('3_Comparateur_detaille'!$B$15="cadre",M171,I171),AK171*SUMIFS(Donnees_regimes!$K$3:$K$1118,Donnees_regimes!$A$3:$A$1118,'3_Comparateur_detaille'!$B$20,Donnees_regimes!$B$3:$B$1118,A171))</f>
        <v/>
      </c>
      <c r="AN171" s="112">
        <f>IF('3_Comparateur_detaille'!$B$20="Privé",0,AK171*SUMIFS(Donnees_regimes!$L$3:$L$1118,Donnees_regimes!$A$3:$A$1118,'3_Comparateur_detaille'!$B$20,Donnees_regimes!$B$3:$B$1118,A171))</f>
        <v/>
      </c>
      <c r="AO171" s="113">
        <f>(AL171+AM171)/AA171*AI171/AG171</f>
        <v/>
      </c>
      <c r="AP171" s="113">
        <f>(AL171+AM171)/AA171*AJ171/AH171</f>
        <v/>
      </c>
      <c r="AQ171" s="112">
        <f>D171*'3_Comparateur_detaille'!$C$16</f>
        <v/>
      </c>
      <c r="AR171" s="112">
        <f>IF('3_Comparateur_detaille'!$C$20="Privé",MIN(AQ171,E171)*IF('3_Comparateur_detaille'!$C$15="cadre",J171,F171)+MAX(0,AQ171-E171)*IF('3_Comparateur_detaille'!$C$15="cadre",L171,H171),AQ171*SUMIFS(Donnees_regimes!$J$3:$J$1118,Donnees_regimes!$A$3:$A$1118,'3_Comparateur_detaille'!$C$20,Donnees_regimes!$B$3:$B$1118,A171))</f>
        <v/>
      </c>
      <c r="AS171" s="112">
        <f>IF('3_Comparateur_detaille'!$C$20="Privé",MIN(AQ171,E171)*IF('3_Comparateur_detaille'!$C$15="cadre",K171,G171)+MAX(0,AQ171-E171)*IF('3_Comparateur_detaille'!$C$15="cadre",M171,I171),AQ171*SUMIFS(Donnees_regimes!$K$3:$K$1118,Donnees_regimes!$A$3:$A$1118,'3_Comparateur_detaille'!$C$20,Donnees_regimes!$B$3:$B$1118,A171))</f>
        <v/>
      </c>
      <c r="AT171" s="112">
        <f>IF('3_Comparateur_detaille'!$C$20="Privé",0,AQ171*SUMIFS(Donnees_regimes!$L$3:$L$1118,Donnees_regimes!$A$3:$A$1118,'3_Comparateur_detaille'!$C$20,Donnees_regimes!$B$3:$B$1118,A171))</f>
        <v/>
      </c>
      <c r="AU171" s="113">
        <f>(AR171+AS171)/AA171*AI171/AG171</f>
        <v/>
      </c>
      <c r="AV171" s="113">
        <f>(AR171+AS171)/AA171*AJ171/AH171</f>
        <v/>
      </c>
    </row>
    <row r="172">
      <c r="A172" s="101" t="n">
        <v>2114</v>
      </c>
      <c r="B172" s="102" t="inlineStr">
        <is>
          <t>Projection</t>
        </is>
      </c>
      <c r="C172" s="103" t="n"/>
      <c r="D172" s="104" t="n">
        <v>77012.82000000001</v>
      </c>
      <c r="E172" s="104" t="n">
        <v>88792.67999999999</v>
      </c>
      <c r="F172" s="105" t="n">
        <v>0.11562</v>
      </c>
      <c r="G172" s="105" t="n">
        <v>0.1667</v>
      </c>
      <c r="H172" s="105" t="n">
        <v>0.10512</v>
      </c>
      <c r="I172" s="105" t="n">
        <v>0.1689</v>
      </c>
      <c r="J172" s="105" t="n">
        <v>0.11562</v>
      </c>
      <c r="K172" s="105" t="n">
        <v>0.1667</v>
      </c>
      <c r="L172" s="105" t="n">
        <v>0.10512</v>
      </c>
      <c r="M172" s="105" t="n">
        <v>0.1689</v>
      </c>
      <c r="N172" s="106">
        <f>MIN(D172,E172)*F172+MAX(0,D172-E172)*H172</f>
        <v/>
      </c>
      <c r="O172" s="106">
        <f>MIN(D172,E172)*G172+MAX(0,D172-E172)*I172</f>
        <v/>
      </c>
      <c r="P172" s="106">
        <f>N172+O172</f>
        <v/>
      </c>
      <c r="Q172" s="107">
        <f>P172/D172</f>
        <v/>
      </c>
      <c r="R172" s="106">
        <f>D172+O172</f>
        <v/>
      </c>
      <c r="S172" s="108" t="n">
        <v>35</v>
      </c>
      <c r="T172" s="108" t="n">
        <v>38.8</v>
      </c>
      <c r="U172" s="109" t="n">
        <v>227</v>
      </c>
      <c r="V172" s="110" t="n">
        <v>1596</v>
      </c>
      <c r="W172" s="110" t="n">
        <v>1768.5</v>
      </c>
      <c r="X172" s="104" t="n">
        <v>31829.98</v>
      </c>
      <c r="Y172" s="104" t="n">
        <v>31529.42</v>
      </c>
      <c r="Z172" s="108" t="n">
        <v>21.5</v>
      </c>
      <c r="AA172" s="103">
        <f>1/(1+Parametres!$B$12)^(A172-2026)</f>
        <v/>
      </c>
      <c r="AB172" s="111">
        <f>D172/AA172</f>
        <v/>
      </c>
      <c r="AC172" s="107" t="n"/>
      <c r="AD172" s="107" t="n"/>
      <c r="AE172" s="107">
        <f>((1+Parametres!$B$13)*(1+Parametres!$B$12)-1)</f>
        <v/>
      </c>
      <c r="AF172" s="107">
        <f>((1+Parametres!$B$14)*(1+Parametres!$B$12)-1)</f>
        <v/>
      </c>
      <c r="AG172" s="103">
        <f>AG171*(1+AE172)</f>
        <v/>
      </c>
      <c r="AH172" s="103">
        <f>AH171*(1+AF172)</f>
        <v/>
      </c>
      <c r="AI172" s="103">
        <f>IF(AE172=0,1,AE172/(12*((1+AE172)^(1/12)-1)))</f>
        <v/>
      </c>
      <c r="AJ172" s="103">
        <f>IF(AF172=0,1,AF172/(12*((1+AF172)^(1/12)-1)))</f>
        <v/>
      </c>
      <c r="AK172" s="112">
        <f>D172*'3_Comparateur_detaille'!$B$16</f>
        <v/>
      </c>
      <c r="AL172" s="112">
        <f>IF('3_Comparateur_detaille'!$B$20="Privé",MIN(AK172,E172)*IF('3_Comparateur_detaille'!$B$15="cadre",J172,F172)+MAX(0,AK172-E172)*IF('3_Comparateur_detaille'!$B$15="cadre",L172,H172),AK172*SUMIFS(Donnees_regimes!$J$3:$J$1118,Donnees_regimes!$A$3:$A$1118,'3_Comparateur_detaille'!$B$20,Donnees_regimes!$B$3:$B$1118,A172))</f>
        <v/>
      </c>
      <c r="AM172" s="112">
        <f>IF('3_Comparateur_detaille'!$B$20="Privé",MIN(AK172,E172)*IF('3_Comparateur_detaille'!$B$15="cadre",K172,G172)+MAX(0,AK172-E172)*IF('3_Comparateur_detaille'!$B$15="cadre",M172,I172),AK172*SUMIFS(Donnees_regimes!$K$3:$K$1118,Donnees_regimes!$A$3:$A$1118,'3_Comparateur_detaille'!$B$20,Donnees_regimes!$B$3:$B$1118,A172))</f>
        <v/>
      </c>
      <c r="AN172" s="112">
        <f>IF('3_Comparateur_detaille'!$B$20="Privé",0,AK172*SUMIFS(Donnees_regimes!$L$3:$L$1118,Donnees_regimes!$A$3:$A$1118,'3_Comparateur_detaille'!$B$20,Donnees_regimes!$B$3:$B$1118,A172))</f>
        <v/>
      </c>
      <c r="AO172" s="113">
        <f>(AL172+AM172)/AA172*AI172/AG172</f>
        <v/>
      </c>
      <c r="AP172" s="113">
        <f>(AL172+AM172)/AA172*AJ172/AH172</f>
        <v/>
      </c>
      <c r="AQ172" s="112">
        <f>D172*'3_Comparateur_detaille'!$C$16</f>
        <v/>
      </c>
      <c r="AR172" s="112">
        <f>IF('3_Comparateur_detaille'!$C$20="Privé",MIN(AQ172,E172)*IF('3_Comparateur_detaille'!$C$15="cadre",J172,F172)+MAX(0,AQ172-E172)*IF('3_Comparateur_detaille'!$C$15="cadre",L172,H172),AQ172*SUMIFS(Donnees_regimes!$J$3:$J$1118,Donnees_regimes!$A$3:$A$1118,'3_Comparateur_detaille'!$C$20,Donnees_regimes!$B$3:$B$1118,A172))</f>
        <v/>
      </c>
      <c r="AS172" s="112">
        <f>IF('3_Comparateur_detaille'!$C$20="Privé",MIN(AQ172,E172)*IF('3_Comparateur_detaille'!$C$15="cadre",K172,G172)+MAX(0,AQ172-E172)*IF('3_Comparateur_detaille'!$C$15="cadre",M172,I172),AQ172*SUMIFS(Donnees_regimes!$K$3:$K$1118,Donnees_regimes!$A$3:$A$1118,'3_Comparateur_detaille'!$C$20,Donnees_regimes!$B$3:$B$1118,A172))</f>
        <v/>
      </c>
      <c r="AT172" s="112">
        <f>IF('3_Comparateur_detaille'!$C$20="Privé",0,AQ172*SUMIFS(Donnees_regimes!$L$3:$L$1118,Donnees_regimes!$A$3:$A$1118,'3_Comparateur_detaille'!$C$20,Donnees_regimes!$B$3:$B$1118,A172))</f>
        <v/>
      </c>
      <c r="AU172" s="113">
        <f>(AR172+AS172)/AA172*AI172/AG172</f>
        <v/>
      </c>
      <c r="AV172" s="113">
        <f>(AR172+AS172)/AA172*AJ172/AH172</f>
        <v/>
      </c>
    </row>
    <row r="173">
      <c r="A173" s="101" t="n">
        <v>2115</v>
      </c>
      <c r="B173" s="102" t="inlineStr">
        <is>
          <t>Projection</t>
        </is>
      </c>
      <c r="C173" s="103" t="n"/>
      <c r="D173" s="104" t="n">
        <v>77551.91</v>
      </c>
      <c r="E173" s="104" t="n">
        <v>89414.23</v>
      </c>
      <c r="F173" s="105" t="n">
        <v>0.11562</v>
      </c>
      <c r="G173" s="105" t="n">
        <v>0.1667</v>
      </c>
      <c r="H173" s="105" t="n">
        <v>0.10512</v>
      </c>
      <c r="I173" s="105" t="n">
        <v>0.1689</v>
      </c>
      <c r="J173" s="105" t="n">
        <v>0.11562</v>
      </c>
      <c r="K173" s="105" t="n">
        <v>0.1667</v>
      </c>
      <c r="L173" s="105" t="n">
        <v>0.10512</v>
      </c>
      <c r="M173" s="105" t="n">
        <v>0.1689</v>
      </c>
      <c r="N173" s="106">
        <f>MIN(D173,E173)*F173+MAX(0,D173-E173)*H173</f>
        <v/>
      </c>
      <c r="O173" s="106">
        <f>MIN(D173,E173)*G173+MAX(0,D173-E173)*I173</f>
        <v/>
      </c>
      <c r="P173" s="106">
        <f>N173+O173</f>
        <v/>
      </c>
      <c r="Q173" s="107">
        <f>P173/D173</f>
        <v/>
      </c>
      <c r="R173" s="106">
        <f>D173+O173</f>
        <v/>
      </c>
      <c r="S173" s="108" t="n">
        <v>35</v>
      </c>
      <c r="T173" s="108" t="n">
        <v>38.8</v>
      </c>
      <c r="U173" s="109" t="n">
        <v>226</v>
      </c>
      <c r="V173" s="110" t="n">
        <v>1589</v>
      </c>
      <c r="W173" s="110" t="n">
        <v>1760.8</v>
      </c>
      <c r="X173" s="104" t="n">
        <v>32052.79</v>
      </c>
      <c r="Y173" s="104" t="n">
        <v>31750.12</v>
      </c>
      <c r="Z173" s="108" t="n">
        <v>21.5</v>
      </c>
      <c r="AA173" s="103">
        <f>1/(1+Parametres!$B$12)^(A173-2026)</f>
        <v/>
      </c>
      <c r="AB173" s="111">
        <f>D173/AA173</f>
        <v/>
      </c>
      <c r="AC173" s="107" t="n"/>
      <c r="AD173" s="107" t="n"/>
      <c r="AE173" s="107">
        <f>((1+Parametres!$B$13)*(1+Parametres!$B$12)-1)</f>
        <v/>
      </c>
      <c r="AF173" s="107">
        <f>((1+Parametres!$B$14)*(1+Parametres!$B$12)-1)</f>
        <v/>
      </c>
      <c r="AG173" s="103">
        <f>AG172*(1+AE173)</f>
        <v/>
      </c>
      <c r="AH173" s="103">
        <f>AH172*(1+AF173)</f>
        <v/>
      </c>
      <c r="AI173" s="103">
        <f>IF(AE173=0,1,AE173/(12*((1+AE173)^(1/12)-1)))</f>
        <v/>
      </c>
      <c r="AJ173" s="103">
        <f>IF(AF173=0,1,AF173/(12*((1+AF173)^(1/12)-1)))</f>
        <v/>
      </c>
      <c r="AK173" s="112">
        <f>D173*'3_Comparateur_detaille'!$B$16</f>
        <v/>
      </c>
      <c r="AL173" s="112">
        <f>IF('3_Comparateur_detaille'!$B$20="Privé",MIN(AK173,E173)*IF('3_Comparateur_detaille'!$B$15="cadre",J173,F173)+MAX(0,AK173-E173)*IF('3_Comparateur_detaille'!$B$15="cadre",L173,H173),AK173*SUMIFS(Donnees_regimes!$J$3:$J$1118,Donnees_regimes!$A$3:$A$1118,'3_Comparateur_detaille'!$B$20,Donnees_regimes!$B$3:$B$1118,A173))</f>
        <v/>
      </c>
      <c r="AM173" s="112">
        <f>IF('3_Comparateur_detaille'!$B$20="Privé",MIN(AK173,E173)*IF('3_Comparateur_detaille'!$B$15="cadre",K173,G173)+MAX(0,AK173-E173)*IF('3_Comparateur_detaille'!$B$15="cadre",M173,I173),AK173*SUMIFS(Donnees_regimes!$K$3:$K$1118,Donnees_regimes!$A$3:$A$1118,'3_Comparateur_detaille'!$B$20,Donnees_regimes!$B$3:$B$1118,A173))</f>
        <v/>
      </c>
      <c r="AN173" s="112">
        <f>IF('3_Comparateur_detaille'!$B$20="Privé",0,AK173*SUMIFS(Donnees_regimes!$L$3:$L$1118,Donnees_regimes!$A$3:$A$1118,'3_Comparateur_detaille'!$B$20,Donnees_regimes!$B$3:$B$1118,A173))</f>
        <v/>
      </c>
      <c r="AO173" s="113">
        <f>(AL173+AM173)/AA173*AI173/AG173</f>
        <v/>
      </c>
      <c r="AP173" s="113">
        <f>(AL173+AM173)/AA173*AJ173/AH173</f>
        <v/>
      </c>
      <c r="AQ173" s="112">
        <f>D173*'3_Comparateur_detaille'!$C$16</f>
        <v/>
      </c>
      <c r="AR173" s="112">
        <f>IF('3_Comparateur_detaille'!$C$20="Privé",MIN(AQ173,E173)*IF('3_Comparateur_detaille'!$C$15="cadre",J173,F173)+MAX(0,AQ173-E173)*IF('3_Comparateur_detaille'!$C$15="cadre",L173,H173),AQ173*SUMIFS(Donnees_regimes!$J$3:$J$1118,Donnees_regimes!$A$3:$A$1118,'3_Comparateur_detaille'!$C$20,Donnees_regimes!$B$3:$B$1118,A173))</f>
        <v/>
      </c>
      <c r="AS173" s="112">
        <f>IF('3_Comparateur_detaille'!$C$20="Privé",MIN(AQ173,E173)*IF('3_Comparateur_detaille'!$C$15="cadre",K173,G173)+MAX(0,AQ173-E173)*IF('3_Comparateur_detaille'!$C$15="cadre",M173,I173),AQ173*SUMIFS(Donnees_regimes!$K$3:$K$1118,Donnees_regimes!$A$3:$A$1118,'3_Comparateur_detaille'!$C$20,Donnees_regimes!$B$3:$B$1118,A173))</f>
        <v/>
      </c>
      <c r="AT173" s="112">
        <f>IF('3_Comparateur_detaille'!$C$20="Privé",0,AQ173*SUMIFS(Donnees_regimes!$L$3:$L$1118,Donnees_regimes!$A$3:$A$1118,'3_Comparateur_detaille'!$C$20,Donnees_regimes!$B$3:$B$1118,A173))</f>
        <v/>
      </c>
      <c r="AU173" s="113">
        <f>(AR173+AS173)/AA173*AI173/AG173</f>
        <v/>
      </c>
      <c r="AV173" s="113">
        <f>(AR173+AS173)/AA173*AJ173/AH173</f>
        <v/>
      </c>
    </row>
    <row r="174">
      <c r="A174" s="101" t="n">
        <v>2116</v>
      </c>
      <c r="B174" s="102" t="inlineStr">
        <is>
          <t>Projection</t>
        </is>
      </c>
      <c r="C174" s="103" t="n"/>
      <c r="D174" s="104" t="n">
        <v>78094.77</v>
      </c>
      <c r="E174" s="104" t="n">
        <v>90040.13</v>
      </c>
      <c r="F174" s="105" t="n">
        <v>0.11562</v>
      </c>
      <c r="G174" s="105" t="n">
        <v>0.1667</v>
      </c>
      <c r="H174" s="105" t="n">
        <v>0.10512</v>
      </c>
      <c r="I174" s="105" t="n">
        <v>0.1689</v>
      </c>
      <c r="J174" s="105" t="n">
        <v>0.11562</v>
      </c>
      <c r="K174" s="105" t="n">
        <v>0.1667</v>
      </c>
      <c r="L174" s="105" t="n">
        <v>0.10512</v>
      </c>
      <c r="M174" s="105" t="n">
        <v>0.1689</v>
      </c>
      <c r="N174" s="106">
        <f>MIN(D174,E174)*F174+MAX(0,D174-E174)*H174</f>
        <v/>
      </c>
      <c r="O174" s="106">
        <f>MIN(D174,E174)*G174+MAX(0,D174-E174)*I174</f>
        <v/>
      </c>
      <c r="P174" s="106">
        <f>N174+O174</f>
        <v/>
      </c>
      <c r="Q174" s="107">
        <f>P174/D174</f>
        <v/>
      </c>
      <c r="R174" s="106">
        <f>D174+O174</f>
        <v/>
      </c>
      <c r="S174" s="108" t="n">
        <v>35</v>
      </c>
      <c r="T174" s="108" t="n">
        <v>38.8</v>
      </c>
      <c r="U174" s="109" t="n">
        <v>228</v>
      </c>
      <c r="V174" s="110" t="n">
        <v>1603</v>
      </c>
      <c r="W174" s="110" t="n">
        <v>1776.3</v>
      </c>
      <c r="X174" s="104" t="n">
        <v>32277.16</v>
      </c>
      <c r="Y174" s="104" t="n">
        <v>31972.38</v>
      </c>
      <c r="Z174" s="108" t="n">
        <v>21.5</v>
      </c>
      <c r="AA174" s="103">
        <f>1/(1+Parametres!$B$12)^(A174-2026)</f>
        <v/>
      </c>
      <c r="AB174" s="111">
        <f>D174/AA174</f>
        <v/>
      </c>
      <c r="AC174" s="107" t="n"/>
      <c r="AD174" s="107" t="n"/>
      <c r="AE174" s="107">
        <f>((1+Parametres!$B$13)*(1+Parametres!$B$12)-1)</f>
        <v/>
      </c>
      <c r="AF174" s="107">
        <f>((1+Parametres!$B$14)*(1+Parametres!$B$12)-1)</f>
        <v/>
      </c>
      <c r="AG174" s="103">
        <f>AG173*(1+AE174)</f>
        <v/>
      </c>
      <c r="AH174" s="103">
        <f>AH173*(1+AF174)</f>
        <v/>
      </c>
      <c r="AI174" s="103">
        <f>IF(AE174=0,1,AE174/(12*((1+AE174)^(1/12)-1)))</f>
        <v/>
      </c>
      <c r="AJ174" s="103">
        <f>IF(AF174=0,1,AF174/(12*((1+AF174)^(1/12)-1)))</f>
        <v/>
      </c>
      <c r="AK174" s="112">
        <f>D174*'3_Comparateur_detaille'!$B$16</f>
        <v/>
      </c>
      <c r="AL174" s="112">
        <f>IF('3_Comparateur_detaille'!$B$20="Privé",MIN(AK174,E174)*IF('3_Comparateur_detaille'!$B$15="cadre",J174,F174)+MAX(0,AK174-E174)*IF('3_Comparateur_detaille'!$B$15="cadre",L174,H174),AK174*SUMIFS(Donnees_regimes!$J$3:$J$1118,Donnees_regimes!$A$3:$A$1118,'3_Comparateur_detaille'!$B$20,Donnees_regimes!$B$3:$B$1118,A174))</f>
        <v/>
      </c>
      <c r="AM174" s="112">
        <f>IF('3_Comparateur_detaille'!$B$20="Privé",MIN(AK174,E174)*IF('3_Comparateur_detaille'!$B$15="cadre",K174,G174)+MAX(0,AK174-E174)*IF('3_Comparateur_detaille'!$B$15="cadre",M174,I174),AK174*SUMIFS(Donnees_regimes!$K$3:$K$1118,Donnees_regimes!$A$3:$A$1118,'3_Comparateur_detaille'!$B$20,Donnees_regimes!$B$3:$B$1118,A174))</f>
        <v/>
      </c>
      <c r="AN174" s="112">
        <f>IF('3_Comparateur_detaille'!$B$20="Privé",0,AK174*SUMIFS(Donnees_regimes!$L$3:$L$1118,Donnees_regimes!$A$3:$A$1118,'3_Comparateur_detaille'!$B$20,Donnees_regimes!$B$3:$B$1118,A174))</f>
        <v/>
      </c>
      <c r="AO174" s="113">
        <f>(AL174+AM174)/AA174*AI174/AG174</f>
        <v/>
      </c>
      <c r="AP174" s="113">
        <f>(AL174+AM174)/AA174*AJ174/AH174</f>
        <v/>
      </c>
      <c r="AQ174" s="112">
        <f>D174*'3_Comparateur_detaille'!$C$16</f>
        <v/>
      </c>
      <c r="AR174" s="112">
        <f>IF('3_Comparateur_detaille'!$C$20="Privé",MIN(AQ174,E174)*IF('3_Comparateur_detaille'!$C$15="cadre",J174,F174)+MAX(0,AQ174-E174)*IF('3_Comparateur_detaille'!$C$15="cadre",L174,H174),AQ174*SUMIFS(Donnees_regimes!$J$3:$J$1118,Donnees_regimes!$A$3:$A$1118,'3_Comparateur_detaille'!$C$20,Donnees_regimes!$B$3:$B$1118,A174))</f>
        <v/>
      </c>
      <c r="AS174" s="112">
        <f>IF('3_Comparateur_detaille'!$C$20="Privé",MIN(AQ174,E174)*IF('3_Comparateur_detaille'!$C$15="cadre",K174,G174)+MAX(0,AQ174-E174)*IF('3_Comparateur_detaille'!$C$15="cadre",M174,I174),AQ174*SUMIFS(Donnees_regimes!$K$3:$K$1118,Donnees_regimes!$A$3:$A$1118,'3_Comparateur_detaille'!$C$20,Donnees_regimes!$B$3:$B$1118,A174))</f>
        <v/>
      </c>
      <c r="AT174" s="112">
        <f>IF('3_Comparateur_detaille'!$C$20="Privé",0,AQ174*SUMIFS(Donnees_regimes!$L$3:$L$1118,Donnees_regimes!$A$3:$A$1118,'3_Comparateur_detaille'!$C$20,Donnees_regimes!$B$3:$B$1118,A174))</f>
        <v/>
      </c>
      <c r="AU174" s="113">
        <f>(AR174+AS174)/AA174*AI174/AG174</f>
        <v/>
      </c>
      <c r="AV174" s="113">
        <f>(AR174+AS174)/AA174*AJ174/AH174</f>
        <v/>
      </c>
    </row>
    <row r="175">
      <c r="A175" s="101" t="n">
        <v>2117</v>
      </c>
      <c r="B175" s="102" t="inlineStr">
        <is>
          <t>Projection</t>
        </is>
      </c>
      <c r="C175" s="103" t="n"/>
      <c r="D175" s="104" t="n">
        <v>78641.44</v>
      </c>
      <c r="E175" s="104" t="n">
        <v>90670.41</v>
      </c>
      <c r="F175" s="105" t="n">
        <v>0.11562</v>
      </c>
      <c r="G175" s="105" t="n">
        <v>0.1667</v>
      </c>
      <c r="H175" s="105" t="n">
        <v>0.10512</v>
      </c>
      <c r="I175" s="105" t="n">
        <v>0.1689</v>
      </c>
      <c r="J175" s="105" t="n">
        <v>0.11562</v>
      </c>
      <c r="K175" s="105" t="n">
        <v>0.1667</v>
      </c>
      <c r="L175" s="105" t="n">
        <v>0.10512</v>
      </c>
      <c r="M175" s="105" t="n">
        <v>0.1689</v>
      </c>
      <c r="N175" s="106">
        <f>MIN(D175,E175)*F175+MAX(0,D175-E175)*H175</f>
        <v/>
      </c>
      <c r="O175" s="106">
        <f>MIN(D175,E175)*G175+MAX(0,D175-E175)*I175</f>
        <v/>
      </c>
      <c r="P175" s="106">
        <f>N175+O175</f>
        <v/>
      </c>
      <c r="Q175" s="107">
        <f>P175/D175</f>
        <v/>
      </c>
      <c r="R175" s="106">
        <f>D175+O175</f>
        <v/>
      </c>
      <c r="S175" s="108" t="n">
        <v>35</v>
      </c>
      <c r="T175" s="108" t="n">
        <v>38.8</v>
      </c>
      <c r="U175" s="109" t="n">
        <v>229</v>
      </c>
      <c r="V175" s="110" t="n">
        <v>1610</v>
      </c>
      <c r="W175" s="110" t="n">
        <v>1784</v>
      </c>
      <c r="X175" s="104" t="n">
        <v>32503.1</v>
      </c>
      <c r="Y175" s="104" t="n">
        <v>32196.18</v>
      </c>
      <c r="Z175" s="108" t="n">
        <v>21.5</v>
      </c>
      <c r="AA175" s="103">
        <f>1/(1+Parametres!$B$12)^(A175-2026)</f>
        <v/>
      </c>
      <c r="AB175" s="111">
        <f>D175/AA175</f>
        <v/>
      </c>
      <c r="AC175" s="107" t="n"/>
      <c r="AD175" s="107" t="n"/>
      <c r="AE175" s="107">
        <f>((1+Parametres!$B$13)*(1+Parametres!$B$12)-1)</f>
        <v/>
      </c>
      <c r="AF175" s="107">
        <f>((1+Parametres!$B$14)*(1+Parametres!$B$12)-1)</f>
        <v/>
      </c>
      <c r="AG175" s="103">
        <f>AG174*(1+AE175)</f>
        <v/>
      </c>
      <c r="AH175" s="103">
        <f>AH174*(1+AF175)</f>
        <v/>
      </c>
      <c r="AI175" s="103">
        <f>IF(AE175=0,1,AE175/(12*((1+AE175)^(1/12)-1)))</f>
        <v/>
      </c>
      <c r="AJ175" s="103">
        <f>IF(AF175=0,1,AF175/(12*((1+AF175)^(1/12)-1)))</f>
        <v/>
      </c>
      <c r="AK175" s="112">
        <f>D175*'3_Comparateur_detaille'!$B$16</f>
        <v/>
      </c>
      <c r="AL175" s="112">
        <f>IF('3_Comparateur_detaille'!$B$20="Privé",MIN(AK175,E175)*IF('3_Comparateur_detaille'!$B$15="cadre",J175,F175)+MAX(0,AK175-E175)*IF('3_Comparateur_detaille'!$B$15="cadre",L175,H175),AK175*SUMIFS(Donnees_regimes!$J$3:$J$1118,Donnees_regimes!$A$3:$A$1118,'3_Comparateur_detaille'!$B$20,Donnees_regimes!$B$3:$B$1118,A175))</f>
        <v/>
      </c>
      <c r="AM175" s="112">
        <f>IF('3_Comparateur_detaille'!$B$20="Privé",MIN(AK175,E175)*IF('3_Comparateur_detaille'!$B$15="cadre",K175,G175)+MAX(0,AK175-E175)*IF('3_Comparateur_detaille'!$B$15="cadre",M175,I175),AK175*SUMIFS(Donnees_regimes!$K$3:$K$1118,Donnees_regimes!$A$3:$A$1118,'3_Comparateur_detaille'!$B$20,Donnees_regimes!$B$3:$B$1118,A175))</f>
        <v/>
      </c>
      <c r="AN175" s="112">
        <f>IF('3_Comparateur_detaille'!$B$20="Privé",0,AK175*SUMIFS(Donnees_regimes!$L$3:$L$1118,Donnees_regimes!$A$3:$A$1118,'3_Comparateur_detaille'!$B$20,Donnees_regimes!$B$3:$B$1118,A175))</f>
        <v/>
      </c>
      <c r="AO175" s="113">
        <f>(AL175+AM175)/AA175*AI175/AG175</f>
        <v/>
      </c>
      <c r="AP175" s="113">
        <f>(AL175+AM175)/AA175*AJ175/AH175</f>
        <v/>
      </c>
      <c r="AQ175" s="112">
        <f>D175*'3_Comparateur_detaille'!$C$16</f>
        <v/>
      </c>
      <c r="AR175" s="112">
        <f>IF('3_Comparateur_detaille'!$C$20="Privé",MIN(AQ175,E175)*IF('3_Comparateur_detaille'!$C$15="cadre",J175,F175)+MAX(0,AQ175-E175)*IF('3_Comparateur_detaille'!$C$15="cadre",L175,H175),AQ175*SUMIFS(Donnees_regimes!$J$3:$J$1118,Donnees_regimes!$A$3:$A$1118,'3_Comparateur_detaille'!$C$20,Donnees_regimes!$B$3:$B$1118,A175))</f>
        <v/>
      </c>
      <c r="AS175" s="112">
        <f>IF('3_Comparateur_detaille'!$C$20="Privé",MIN(AQ175,E175)*IF('3_Comparateur_detaille'!$C$15="cadre",K175,G175)+MAX(0,AQ175-E175)*IF('3_Comparateur_detaille'!$C$15="cadre",M175,I175),AQ175*SUMIFS(Donnees_regimes!$K$3:$K$1118,Donnees_regimes!$A$3:$A$1118,'3_Comparateur_detaille'!$C$20,Donnees_regimes!$B$3:$B$1118,A175))</f>
        <v/>
      </c>
      <c r="AT175" s="112">
        <f>IF('3_Comparateur_detaille'!$C$20="Privé",0,AQ175*SUMIFS(Donnees_regimes!$L$3:$L$1118,Donnees_regimes!$A$3:$A$1118,'3_Comparateur_detaille'!$C$20,Donnees_regimes!$B$3:$B$1118,A175))</f>
        <v/>
      </c>
      <c r="AU175" s="113">
        <f>(AR175+AS175)/AA175*AI175/AG175</f>
        <v/>
      </c>
      <c r="AV175" s="113">
        <f>(AR175+AS175)/AA175*AJ175/AH175</f>
        <v/>
      </c>
    </row>
    <row r="176">
      <c r="A176" s="101" t="n">
        <v>2118</v>
      </c>
      <c r="B176" s="102" t="inlineStr">
        <is>
          <t>Projection</t>
        </is>
      </c>
      <c r="C176" s="103" t="n"/>
      <c r="D176" s="104" t="n">
        <v>79191.92999999999</v>
      </c>
      <c r="E176" s="104" t="n">
        <v>91305.10000000001</v>
      </c>
      <c r="F176" s="105" t="n">
        <v>0.11562</v>
      </c>
      <c r="G176" s="105" t="n">
        <v>0.1667</v>
      </c>
      <c r="H176" s="105" t="n">
        <v>0.10512</v>
      </c>
      <c r="I176" s="105" t="n">
        <v>0.1689</v>
      </c>
      <c r="J176" s="105" t="n">
        <v>0.11562</v>
      </c>
      <c r="K176" s="105" t="n">
        <v>0.1667</v>
      </c>
      <c r="L176" s="105" t="n">
        <v>0.10512</v>
      </c>
      <c r="M176" s="105" t="n">
        <v>0.1689</v>
      </c>
      <c r="N176" s="106">
        <f>MIN(D176,E176)*F176+MAX(0,D176-E176)*H176</f>
        <v/>
      </c>
      <c r="O176" s="106">
        <f>MIN(D176,E176)*G176+MAX(0,D176-E176)*I176</f>
        <v/>
      </c>
      <c r="P176" s="106">
        <f>N176+O176</f>
        <v/>
      </c>
      <c r="Q176" s="107">
        <f>P176/D176</f>
        <v/>
      </c>
      <c r="R176" s="106">
        <f>D176+O176</f>
        <v/>
      </c>
      <c r="S176" s="108" t="n">
        <v>35</v>
      </c>
      <c r="T176" s="108" t="n">
        <v>38.8</v>
      </c>
      <c r="U176" s="109" t="n">
        <v>228</v>
      </c>
      <c r="V176" s="110" t="n">
        <v>1603</v>
      </c>
      <c r="W176" s="110" t="n">
        <v>1776.3</v>
      </c>
      <c r="X176" s="104" t="n">
        <v>32730.62</v>
      </c>
      <c r="Y176" s="104" t="n">
        <v>32421.56</v>
      </c>
      <c r="Z176" s="108" t="n">
        <v>21.5</v>
      </c>
      <c r="AA176" s="103">
        <f>1/(1+Parametres!$B$12)^(A176-2026)</f>
        <v/>
      </c>
      <c r="AB176" s="111">
        <f>D176/AA176</f>
        <v/>
      </c>
      <c r="AC176" s="107" t="n"/>
      <c r="AD176" s="107" t="n"/>
      <c r="AE176" s="107">
        <f>((1+Parametres!$B$13)*(1+Parametres!$B$12)-1)</f>
        <v/>
      </c>
      <c r="AF176" s="107">
        <f>((1+Parametres!$B$14)*(1+Parametres!$B$12)-1)</f>
        <v/>
      </c>
      <c r="AG176" s="103">
        <f>AG175*(1+AE176)</f>
        <v/>
      </c>
      <c r="AH176" s="103">
        <f>AH175*(1+AF176)</f>
        <v/>
      </c>
      <c r="AI176" s="103">
        <f>IF(AE176=0,1,AE176/(12*((1+AE176)^(1/12)-1)))</f>
        <v/>
      </c>
      <c r="AJ176" s="103">
        <f>IF(AF176=0,1,AF176/(12*((1+AF176)^(1/12)-1)))</f>
        <v/>
      </c>
      <c r="AK176" s="112">
        <f>D176*'3_Comparateur_detaille'!$B$16</f>
        <v/>
      </c>
      <c r="AL176" s="112">
        <f>IF('3_Comparateur_detaille'!$B$20="Privé",MIN(AK176,E176)*IF('3_Comparateur_detaille'!$B$15="cadre",J176,F176)+MAX(0,AK176-E176)*IF('3_Comparateur_detaille'!$B$15="cadre",L176,H176),AK176*SUMIFS(Donnees_regimes!$J$3:$J$1118,Donnees_regimes!$A$3:$A$1118,'3_Comparateur_detaille'!$B$20,Donnees_regimes!$B$3:$B$1118,A176))</f>
        <v/>
      </c>
      <c r="AM176" s="112">
        <f>IF('3_Comparateur_detaille'!$B$20="Privé",MIN(AK176,E176)*IF('3_Comparateur_detaille'!$B$15="cadre",K176,G176)+MAX(0,AK176-E176)*IF('3_Comparateur_detaille'!$B$15="cadre",M176,I176),AK176*SUMIFS(Donnees_regimes!$K$3:$K$1118,Donnees_regimes!$A$3:$A$1118,'3_Comparateur_detaille'!$B$20,Donnees_regimes!$B$3:$B$1118,A176))</f>
        <v/>
      </c>
      <c r="AN176" s="112">
        <f>IF('3_Comparateur_detaille'!$B$20="Privé",0,AK176*SUMIFS(Donnees_regimes!$L$3:$L$1118,Donnees_regimes!$A$3:$A$1118,'3_Comparateur_detaille'!$B$20,Donnees_regimes!$B$3:$B$1118,A176))</f>
        <v/>
      </c>
      <c r="AO176" s="113">
        <f>(AL176+AM176)/AA176*AI176/AG176</f>
        <v/>
      </c>
      <c r="AP176" s="113">
        <f>(AL176+AM176)/AA176*AJ176/AH176</f>
        <v/>
      </c>
      <c r="AQ176" s="112">
        <f>D176*'3_Comparateur_detaille'!$C$16</f>
        <v/>
      </c>
      <c r="AR176" s="112">
        <f>IF('3_Comparateur_detaille'!$C$20="Privé",MIN(AQ176,E176)*IF('3_Comparateur_detaille'!$C$15="cadre",J176,F176)+MAX(0,AQ176-E176)*IF('3_Comparateur_detaille'!$C$15="cadre",L176,H176),AQ176*SUMIFS(Donnees_regimes!$J$3:$J$1118,Donnees_regimes!$A$3:$A$1118,'3_Comparateur_detaille'!$C$20,Donnees_regimes!$B$3:$B$1118,A176))</f>
        <v/>
      </c>
      <c r="AS176" s="112">
        <f>IF('3_Comparateur_detaille'!$C$20="Privé",MIN(AQ176,E176)*IF('3_Comparateur_detaille'!$C$15="cadre",K176,G176)+MAX(0,AQ176-E176)*IF('3_Comparateur_detaille'!$C$15="cadre",M176,I176),AQ176*SUMIFS(Donnees_regimes!$K$3:$K$1118,Donnees_regimes!$A$3:$A$1118,'3_Comparateur_detaille'!$C$20,Donnees_regimes!$B$3:$B$1118,A176))</f>
        <v/>
      </c>
      <c r="AT176" s="112">
        <f>IF('3_Comparateur_detaille'!$C$20="Privé",0,AQ176*SUMIFS(Donnees_regimes!$L$3:$L$1118,Donnees_regimes!$A$3:$A$1118,'3_Comparateur_detaille'!$C$20,Donnees_regimes!$B$3:$B$1118,A176))</f>
        <v/>
      </c>
      <c r="AU176" s="113">
        <f>(AR176+AS176)/AA176*AI176/AG176</f>
        <v/>
      </c>
      <c r="AV176" s="113">
        <f>(AR176+AS176)/AA176*AJ176/AH176</f>
        <v/>
      </c>
    </row>
    <row r="177">
      <c r="A177" s="101" t="n">
        <v>2119</v>
      </c>
      <c r="B177" s="102" t="inlineStr">
        <is>
          <t>Projection</t>
        </is>
      </c>
      <c r="C177" s="103" t="n"/>
      <c r="D177" s="104" t="n">
        <v>79746.27</v>
      </c>
      <c r="E177" s="104" t="n">
        <v>91944.24000000001</v>
      </c>
      <c r="F177" s="105" t="n">
        <v>0.11562</v>
      </c>
      <c r="G177" s="105" t="n">
        <v>0.1667</v>
      </c>
      <c r="H177" s="105" t="n">
        <v>0.10512</v>
      </c>
      <c r="I177" s="105" t="n">
        <v>0.1689</v>
      </c>
      <c r="J177" s="105" t="n">
        <v>0.11562</v>
      </c>
      <c r="K177" s="105" t="n">
        <v>0.1667</v>
      </c>
      <c r="L177" s="105" t="n">
        <v>0.10512</v>
      </c>
      <c r="M177" s="105" t="n">
        <v>0.1689</v>
      </c>
      <c r="N177" s="106">
        <f>MIN(D177,E177)*F177+MAX(0,D177-E177)*H177</f>
        <v/>
      </c>
      <c r="O177" s="106">
        <f>MIN(D177,E177)*G177+MAX(0,D177-E177)*I177</f>
        <v/>
      </c>
      <c r="P177" s="106">
        <f>N177+O177</f>
        <v/>
      </c>
      <c r="Q177" s="107">
        <f>P177/D177</f>
        <v/>
      </c>
      <c r="R177" s="106">
        <f>D177+O177</f>
        <v/>
      </c>
      <c r="S177" s="108" t="n">
        <v>35</v>
      </c>
      <c r="T177" s="108" t="n">
        <v>38.8</v>
      </c>
      <c r="U177" s="109" t="n">
        <v>226</v>
      </c>
      <c r="V177" s="110" t="n">
        <v>1589</v>
      </c>
      <c r="W177" s="110" t="n">
        <v>1760.8</v>
      </c>
      <c r="X177" s="104" t="n">
        <v>32959.74</v>
      </c>
      <c r="Y177" s="104" t="n">
        <v>32648.51</v>
      </c>
      <c r="Z177" s="108" t="n">
        <v>21.5</v>
      </c>
      <c r="AA177" s="103">
        <f>1/(1+Parametres!$B$12)^(A177-2026)</f>
        <v/>
      </c>
      <c r="AB177" s="111">
        <f>D177/AA177</f>
        <v/>
      </c>
      <c r="AC177" s="107" t="n"/>
      <c r="AD177" s="107" t="n"/>
      <c r="AE177" s="107">
        <f>((1+Parametres!$B$13)*(1+Parametres!$B$12)-1)</f>
        <v/>
      </c>
      <c r="AF177" s="107">
        <f>((1+Parametres!$B$14)*(1+Parametres!$B$12)-1)</f>
        <v/>
      </c>
      <c r="AG177" s="103">
        <f>AG176*(1+AE177)</f>
        <v/>
      </c>
      <c r="AH177" s="103">
        <f>AH176*(1+AF177)</f>
        <v/>
      </c>
      <c r="AI177" s="103">
        <f>IF(AE177=0,1,AE177/(12*((1+AE177)^(1/12)-1)))</f>
        <v/>
      </c>
      <c r="AJ177" s="103">
        <f>IF(AF177=0,1,AF177/(12*((1+AF177)^(1/12)-1)))</f>
        <v/>
      </c>
      <c r="AK177" s="112">
        <f>D177*'3_Comparateur_detaille'!$B$16</f>
        <v/>
      </c>
      <c r="AL177" s="112">
        <f>IF('3_Comparateur_detaille'!$B$20="Privé",MIN(AK177,E177)*IF('3_Comparateur_detaille'!$B$15="cadre",J177,F177)+MAX(0,AK177-E177)*IF('3_Comparateur_detaille'!$B$15="cadre",L177,H177),AK177*SUMIFS(Donnees_regimes!$J$3:$J$1118,Donnees_regimes!$A$3:$A$1118,'3_Comparateur_detaille'!$B$20,Donnees_regimes!$B$3:$B$1118,A177))</f>
        <v/>
      </c>
      <c r="AM177" s="112">
        <f>IF('3_Comparateur_detaille'!$B$20="Privé",MIN(AK177,E177)*IF('3_Comparateur_detaille'!$B$15="cadre",K177,G177)+MAX(0,AK177-E177)*IF('3_Comparateur_detaille'!$B$15="cadre",M177,I177),AK177*SUMIFS(Donnees_regimes!$K$3:$K$1118,Donnees_regimes!$A$3:$A$1118,'3_Comparateur_detaille'!$B$20,Donnees_regimes!$B$3:$B$1118,A177))</f>
        <v/>
      </c>
      <c r="AN177" s="112">
        <f>IF('3_Comparateur_detaille'!$B$20="Privé",0,AK177*SUMIFS(Donnees_regimes!$L$3:$L$1118,Donnees_regimes!$A$3:$A$1118,'3_Comparateur_detaille'!$B$20,Donnees_regimes!$B$3:$B$1118,A177))</f>
        <v/>
      </c>
      <c r="AO177" s="113">
        <f>(AL177+AM177)/AA177*AI177/AG177</f>
        <v/>
      </c>
      <c r="AP177" s="113">
        <f>(AL177+AM177)/AA177*AJ177/AH177</f>
        <v/>
      </c>
      <c r="AQ177" s="112">
        <f>D177*'3_Comparateur_detaille'!$C$16</f>
        <v/>
      </c>
      <c r="AR177" s="112">
        <f>IF('3_Comparateur_detaille'!$C$20="Privé",MIN(AQ177,E177)*IF('3_Comparateur_detaille'!$C$15="cadre",J177,F177)+MAX(0,AQ177-E177)*IF('3_Comparateur_detaille'!$C$15="cadre",L177,H177),AQ177*SUMIFS(Donnees_regimes!$J$3:$J$1118,Donnees_regimes!$A$3:$A$1118,'3_Comparateur_detaille'!$C$20,Donnees_regimes!$B$3:$B$1118,A177))</f>
        <v/>
      </c>
      <c r="AS177" s="112">
        <f>IF('3_Comparateur_detaille'!$C$20="Privé",MIN(AQ177,E177)*IF('3_Comparateur_detaille'!$C$15="cadre",K177,G177)+MAX(0,AQ177-E177)*IF('3_Comparateur_detaille'!$C$15="cadre",M177,I177),AQ177*SUMIFS(Donnees_regimes!$K$3:$K$1118,Donnees_regimes!$A$3:$A$1118,'3_Comparateur_detaille'!$C$20,Donnees_regimes!$B$3:$B$1118,A177))</f>
        <v/>
      </c>
      <c r="AT177" s="112">
        <f>IF('3_Comparateur_detaille'!$C$20="Privé",0,AQ177*SUMIFS(Donnees_regimes!$L$3:$L$1118,Donnees_regimes!$A$3:$A$1118,'3_Comparateur_detaille'!$C$20,Donnees_regimes!$B$3:$B$1118,A177))</f>
        <v/>
      </c>
      <c r="AU177" s="113">
        <f>(AR177+AS177)/AA177*AI177/AG177</f>
        <v/>
      </c>
      <c r="AV177" s="113">
        <f>(AR177+AS177)/AA177*AJ177/AH177</f>
        <v/>
      </c>
    </row>
    <row r="178">
      <c r="A178" s="101" t="n">
        <v>2120</v>
      </c>
      <c r="B178" s="102" t="inlineStr">
        <is>
          <t>Projection</t>
        </is>
      </c>
      <c r="C178" s="103" t="n"/>
      <c r="D178" s="104" t="n">
        <v>80304.49000000001</v>
      </c>
      <c r="E178" s="104" t="n">
        <v>92587.85000000001</v>
      </c>
      <c r="F178" s="105" t="n">
        <v>0.11562</v>
      </c>
      <c r="G178" s="105" t="n">
        <v>0.1667</v>
      </c>
      <c r="H178" s="105" t="n">
        <v>0.10512</v>
      </c>
      <c r="I178" s="105" t="n">
        <v>0.1689</v>
      </c>
      <c r="J178" s="105" t="n">
        <v>0.11562</v>
      </c>
      <c r="K178" s="105" t="n">
        <v>0.1667</v>
      </c>
      <c r="L178" s="105" t="n">
        <v>0.10512</v>
      </c>
      <c r="M178" s="105" t="n">
        <v>0.1689</v>
      </c>
      <c r="N178" s="106">
        <f>MIN(D178,E178)*F178+MAX(0,D178-E178)*H178</f>
        <v/>
      </c>
      <c r="O178" s="106">
        <f>MIN(D178,E178)*G178+MAX(0,D178-E178)*I178</f>
        <v/>
      </c>
      <c r="P178" s="106">
        <f>N178+O178</f>
        <v/>
      </c>
      <c r="Q178" s="107">
        <f>P178/D178</f>
        <v/>
      </c>
      <c r="R178" s="106">
        <f>D178+O178</f>
        <v/>
      </c>
      <c r="S178" s="108" t="n">
        <v>35</v>
      </c>
      <c r="T178" s="108" t="n">
        <v>38.8</v>
      </c>
      <c r="U178" s="109" t="n">
        <v>227</v>
      </c>
      <c r="V178" s="110" t="n">
        <v>1596</v>
      </c>
      <c r="W178" s="110" t="n">
        <v>1768.5</v>
      </c>
      <c r="X178" s="104" t="n">
        <v>33190.46</v>
      </c>
      <c r="Y178" s="104" t="n">
        <v>32877.05</v>
      </c>
      <c r="Z178" s="108" t="n">
        <v>21.5</v>
      </c>
      <c r="AA178" s="103">
        <f>1/(1+Parametres!$B$12)^(A178-2026)</f>
        <v/>
      </c>
      <c r="AB178" s="111">
        <f>D178/AA178</f>
        <v/>
      </c>
      <c r="AC178" s="107" t="n"/>
      <c r="AD178" s="107" t="n"/>
      <c r="AE178" s="107">
        <f>((1+Parametres!$B$13)*(1+Parametres!$B$12)-1)</f>
        <v/>
      </c>
      <c r="AF178" s="107">
        <f>((1+Parametres!$B$14)*(1+Parametres!$B$12)-1)</f>
        <v/>
      </c>
      <c r="AG178" s="103">
        <f>AG177*(1+AE178)</f>
        <v/>
      </c>
      <c r="AH178" s="103">
        <f>AH177*(1+AF178)</f>
        <v/>
      </c>
      <c r="AI178" s="103">
        <f>IF(AE178=0,1,AE178/(12*((1+AE178)^(1/12)-1)))</f>
        <v/>
      </c>
      <c r="AJ178" s="103">
        <f>IF(AF178=0,1,AF178/(12*((1+AF178)^(1/12)-1)))</f>
        <v/>
      </c>
      <c r="AK178" s="112">
        <f>D178*'3_Comparateur_detaille'!$B$16</f>
        <v/>
      </c>
      <c r="AL178" s="112">
        <f>IF('3_Comparateur_detaille'!$B$20="Privé",MIN(AK178,E178)*IF('3_Comparateur_detaille'!$B$15="cadre",J178,F178)+MAX(0,AK178-E178)*IF('3_Comparateur_detaille'!$B$15="cadre",L178,H178),AK178*SUMIFS(Donnees_regimes!$J$3:$J$1118,Donnees_regimes!$A$3:$A$1118,'3_Comparateur_detaille'!$B$20,Donnees_regimes!$B$3:$B$1118,A178))</f>
        <v/>
      </c>
      <c r="AM178" s="112">
        <f>IF('3_Comparateur_detaille'!$B$20="Privé",MIN(AK178,E178)*IF('3_Comparateur_detaille'!$B$15="cadre",K178,G178)+MAX(0,AK178-E178)*IF('3_Comparateur_detaille'!$B$15="cadre",M178,I178),AK178*SUMIFS(Donnees_regimes!$K$3:$K$1118,Donnees_regimes!$A$3:$A$1118,'3_Comparateur_detaille'!$B$20,Donnees_regimes!$B$3:$B$1118,A178))</f>
        <v/>
      </c>
      <c r="AN178" s="112">
        <f>IF('3_Comparateur_detaille'!$B$20="Privé",0,AK178*SUMIFS(Donnees_regimes!$L$3:$L$1118,Donnees_regimes!$A$3:$A$1118,'3_Comparateur_detaille'!$B$20,Donnees_regimes!$B$3:$B$1118,A178))</f>
        <v/>
      </c>
      <c r="AO178" s="113">
        <f>(AL178+AM178)/AA178*AI178/AG178</f>
        <v/>
      </c>
      <c r="AP178" s="113">
        <f>(AL178+AM178)/AA178*AJ178/AH178</f>
        <v/>
      </c>
      <c r="AQ178" s="112">
        <f>D178*'3_Comparateur_detaille'!$C$16</f>
        <v/>
      </c>
      <c r="AR178" s="112">
        <f>IF('3_Comparateur_detaille'!$C$20="Privé",MIN(AQ178,E178)*IF('3_Comparateur_detaille'!$C$15="cadre",J178,F178)+MAX(0,AQ178-E178)*IF('3_Comparateur_detaille'!$C$15="cadre",L178,H178),AQ178*SUMIFS(Donnees_regimes!$J$3:$J$1118,Donnees_regimes!$A$3:$A$1118,'3_Comparateur_detaille'!$C$20,Donnees_regimes!$B$3:$B$1118,A178))</f>
        <v/>
      </c>
      <c r="AS178" s="112">
        <f>IF('3_Comparateur_detaille'!$C$20="Privé",MIN(AQ178,E178)*IF('3_Comparateur_detaille'!$C$15="cadre",K178,G178)+MAX(0,AQ178-E178)*IF('3_Comparateur_detaille'!$C$15="cadre",M178,I178),AQ178*SUMIFS(Donnees_regimes!$K$3:$K$1118,Donnees_regimes!$A$3:$A$1118,'3_Comparateur_detaille'!$C$20,Donnees_regimes!$B$3:$B$1118,A178))</f>
        <v/>
      </c>
      <c r="AT178" s="112">
        <f>IF('3_Comparateur_detaille'!$C$20="Privé",0,AQ178*SUMIFS(Donnees_regimes!$L$3:$L$1118,Donnees_regimes!$A$3:$A$1118,'3_Comparateur_detaille'!$C$20,Donnees_regimes!$B$3:$B$1118,A178))</f>
        <v/>
      </c>
      <c r="AU178" s="113">
        <f>(AR178+AS178)/AA178*AI178/AG178</f>
        <v/>
      </c>
      <c r="AV178" s="113">
        <f>(AR178+AS178)/AA178*AJ178/AH178</f>
        <v/>
      </c>
    </row>
    <row r="179">
      <c r="A179" s="101" t="n">
        <v>2121</v>
      </c>
      <c r="B179" s="102" t="inlineStr">
        <is>
          <t>Projection</t>
        </is>
      </c>
      <c r="C179" s="103" t="n"/>
      <c r="D179" s="104" t="n">
        <v>80866.62</v>
      </c>
      <c r="E179" s="104" t="n">
        <v>93235.96000000001</v>
      </c>
      <c r="F179" s="105" t="n">
        <v>0.11562</v>
      </c>
      <c r="G179" s="105" t="n">
        <v>0.1667</v>
      </c>
      <c r="H179" s="105" t="n">
        <v>0.10512</v>
      </c>
      <c r="I179" s="105" t="n">
        <v>0.1689</v>
      </c>
      <c r="J179" s="105" t="n">
        <v>0.11562</v>
      </c>
      <c r="K179" s="105" t="n">
        <v>0.1667</v>
      </c>
      <c r="L179" s="105" t="n">
        <v>0.10512</v>
      </c>
      <c r="M179" s="105" t="n">
        <v>0.1689</v>
      </c>
      <c r="N179" s="106">
        <f>MIN(D179,E179)*F179+MAX(0,D179-E179)*H179</f>
        <v/>
      </c>
      <c r="O179" s="106">
        <f>MIN(D179,E179)*G179+MAX(0,D179-E179)*I179</f>
        <v/>
      </c>
      <c r="P179" s="106">
        <f>N179+O179</f>
        <v/>
      </c>
      <c r="Q179" s="107">
        <f>P179/D179</f>
        <v/>
      </c>
      <c r="R179" s="106">
        <f>D179+O179</f>
        <v/>
      </c>
      <c r="S179" s="108" t="n">
        <v>35</v>
      </c>
      <c r="T179" s="108" t="n">
        <v>38.8</v>
      </c>
      <c r="U179" s="109" t="n">
        <v>226</v>
      </c>
      <c r="V179" s="110" t="n">
        <v>1589</v>
      </c>
      <c r="W179" s="110" t="n">
        <v>1760.8</v>
      </c>
      <c r="X179" s="104" t="n">
        <v>33422.79</v>
      </c>
      <c r="Y179" s="104" t="n">
        <v>33107.19</v>
      </c>
      <c r="Z179" s="108" t="n">
        <v>21.5</v>
      </c>
      <c r="AA179" s="103">
        <f>1/(1+Parametres!$B$12)^(A179-2026)</f>
        <v/>
      </c>
      <c r="AB179" s="111">
        <f>D179/AA179</f>
        <v/>
      </c>
      <c r="AC179" s="107" t="n"/>
      <c r="AD179" s="107" t="n"/>
      <c r="AE179" s="107">
        <f>((1+Parametres!$B$13)*(1+Parametres!$B$12)-1)</f>
        <v/>
      </c>
      <c r="AF179" s="107">
        <f>((1+Parametres!$B$14)*(1+Parametres!$B$12)-1)</f>
        <v/>
      </c>
      <c r="AG179" s="103">
        <f>AG178*(1+AE179)</f>
        <v/>
      </c>
      <c r="AH179" s="103">
        <f>AH178*(1+AF179)</f>
        <v/>
      </c>
      <c r="AI179" s="103">
        <f>IF(AE179=0,1,AE179/(12*((1+AE179)^(1/12)-1)))</f>
        <v/>
      </c>
      <c r="AJ179" s="103">
        <f>IF(AF179=0,1,AF179/(12*((1+AF179)^(1/12)-1)))</f>
        <v/>
      </c>
      <c r="AK179" s="112">
        <f>D179*'3_Comparateur_detaille'!$B$16</f>
        <v/>
      </c>
      <c r="AL179" s="112">
        <f>IF('3_Comparateur_detaille'!$B$20="Privé",MIN(AK179,E179)*IF('3_Comparateur_detaille'!$B$15="cadre",J179,F179)+MAX(0,AK179-E179)*IF('3_Comparateur_detaille'!$B$15="cadre",L179,H179),AK179*SUMIFS(Donnees_regimes!$J$3:$J$1118,Donnees_regimes!$A$3:$A$1118,'3_Comparateur_detaille'!$B$20,Donnees_regimes!$B$3:$B$1118,A179))</f>
        <v/>
      </c>
      <c r="AM179" s="112">
        <f>IF('3_Comparateur_detaille'!$B$20="Privé",MIN(AK179,E179)*IF('3_Comparateur_detaille'!$B$15="cadre",K179,G179)+MAX(0,AK179-E179)*IF('3_Comparateur_detaille'!$B$15="cadre",M179,I179),AK179*SUMIFS(Donnees_regimes!$K$3:$K$1118,Donnees_regimes!$A$3:$A$1118,'3_Comparateur_detaille'!$B$20,Donnees_regimes!$B$3:$B$1118,A179))</f>
        <v/>
      </c>
      <c r="AN179" s="112">
        <f>IF('3_Comparateur_detaille'!$B$20="Privé",0,AK179*SUMIFS(Donnees_regimes!$L$3:$L$1118,Donnees_regimes!$A$3:$A$1118,'3_Comparateur_detaille'!$B$20,Donnees_regimes!$B$3:$B$1118,A179))</f>
        <v/>
      </c>
      <c r="AO179" s="113">
        <f>(AL179+AM179)/AA179*AI179/AG179</f>
        <v/>
      </c>
      <c r="AP179" s="113">
        <f>(AL179+AM179)/AA179*AJ179/AH179</f>
        <v/>
      </c>
      <c r="AQ179" s="112">
        <f>D179*'3_Comparateur_detaille'!$C$16</f>
        <v/>
      </c>
      <c r="AR179" s="112">
        <f>IF('3_Comparateur_detaille'!$C$20="Privé",MIN(AQ179,E179)*IF('3_Comparateur_detaille'!$C$15="cadre",J179,F179)+MAX(0,AQ179-E179)*IF('3_Comparateur_detaille'!$C$15="cadre",L179,H179),AQ179*SUMIFS(Donnees_regimes!$J$3:$J$1118,Donnees_regimes!$A$3:$A$1118,'3_Comparateur_detaille'!$C$20,Donnees_regimes!$B$3:$B$1118,A179))</f>
        <v/>
      </c>
      <c r="AS179" s="112">
        <f>IF('3_Comparateur_detaille'!$C$20="Privé",MIN(AQ179,E179)*IF('3_Comparateur_detaille'!$C$15="cadre",K179,G179)+MAX(0,AQ179-E179)*IF('3_Comparateur_detaille'!$C$15="cadre",M179,I179),AQ179*SUMIFS(Donnees_regimes!$K$3:$K$1118,Donnees_regimes!$A$3:$A$1118,'3_Comparateur_detaille'!$C$20,Donnees_regimes!$B$3:$B$1118,A179))</f>
        <v/>
      </c>
      <c r="AT179" s="112">
        <f>IF('3_Comparateur_detaille'!$C$20="Privé",0,AQ179*SUMIFS(Donnees_regimes!$L$3:$L$1118,Donnees_regimes!$A$3:$A$1118,'3_Comparateur_detaille'!$C$20,Donnees_regimes!$B$3:$B$1118,A179))</f>
        <v/>
      </c>
      <c r="AU179" s="113">
        <f>(AR179+AS179)/AA179*AI179/AG179</f>
        <v/>
      </c>
      <c r="AV179" s="113">
        <f>(AR179+AS179)/AA179*AJ179/AH179</f>
        <v/>
      </c>
    </row>
    <row r="180">
      <c r="A180" s="101" t="n">
        <v>2122</v>
      </c>
      <c r="B180" s="102" t="inlineStr">
        <is>
          <t>Projection</t>
        </is>
      </c>
      <c r="C180" s="103" t="n"/>
      <c r="D180" s="104" t="n">
        <v>81432.69</v>
      </c>
      <c r="E180" s="104" t="n">
        <v>93888.62</v>
      </c>
      <c r="F180" s="105" t="n">
        <v>0.11562</v>
      </c>
      <c r="G180" s="105" t="n">
        <v>0.1667</v>
      </c>
      <c r="H180" s="105" t="n">
        <v>0.10512</v>
      </c>
      <c r="I180" s="105" t="n">
        <v>0.1689</v>
      </c>
      <c r="J180" s="105" t="n">
        <v>0.11562</v>
      </c>
      <c r="K180" s="105" t="n">
        <v>0.1667</v>
      </c>
      <c r="L180" s="105" t="n">
        <v>0.10512</v>
      </c>
      <c r="M180" s="105" t="n">
        <v>0.1689</v>
      </c>
      <c r="N180" s="106">
        <f>MIN(D180,E180)*F180+MAX(0,D180-E180)*H180</f>
        <v/>
      </c>
      <c r="O180" s="106">
        <f>MIN(D180,E180)*G180+MAX(0,D180-E180)*I180</f>
        <v/>
      </c>
      <c r="P180" s="106">
        <f>N180+O180</f>
        <v/>
      </c>
      <c r="Q180" s="107">
        <f>P180/D180</f>
        <v/>
      </c>
      <c r="R180" s="106">
        <f>D180+O180</f>
        <v/>
      </c>
      <c r="S180" s="108" t="n">
        <v>35</v>
      </c>
      <c r="T180" s="108" t="n">
        <v>38.8</v>
      </c>
      <c r="U180" s="109" t="n">
        <v>227</v>
      </c>
      <c r="V180" s="110" t="n">
        <v>1596</v>
      </c>
      <c r="W180" s="110" t="n">
        <v>1768.5</v>
      </c>
      <c r="X180" s="104" t="n">
        <v>33656.75</v>
      </c>
      <c r="Y180" s="104" t="n">
        <v>33338.94</v>
      </c>
      <c r="Z180" s="108" t="n">
        <v>21.5</v>
      </c>
      <c r="AA180" s="103">
        <f>1/(1+Parametres!$B$12)^(A180-2026)</f>
        <v/>
      </c>
      <c r="AB180" s="111">
        <f>D180/AA180</f>
        <v/>
      </c>
      <c r="AC180" s="107" t="n"/>
      <c r="AD180" s="107" t="n"/>
      <c r="AE180" s="107">
        <f>((1+Parametres!$B$13)*(1+Parametres!$B$12)-1)</f>
        <v/>
      </c>
      <c r="AF180" s="107">
        <f>((1+Parametres!$B$14)*(1+Parametres!$B$12)-1)</f>
        <v/>
      </c>
      <c r="AG180" s="103">
        <f>AG179*(1+AE180)</f>
        <v/>
      </c>
      <c r="AH180" s="103">
        <f>AH179*(1+AF180)</f>
        <v/>
      </c>
      <c r="AI180" s="103">
        <f>IF(AE180=0,1,AE180/(12*((1+AE180)^(1/12)-1)))</f>
        <v/>
      </c>
      <c r="AJ180" s="103">
        <f>IF(AF180=0,1,AF180/(12*((1+AF180)^(1/12)-1)))</f>
        <v/>
      </c>
      <c r="AK180" s="112">
        <f>D180*'3_Comparateur_detaille'!$B$16</f>
        <v/>
      </c>
      <c r="AL180" s="112">
        <f>IF('3_Comparateur_detaille'!$B$20="Privé",MIN(AK180,E180)*IF('3_Comparateur_detaille'!$B$15="cadre",J180,F180)+MAX(0,AK180-E180)*IF('3_Comparateur_detaille'!$B$15="cadre",L180,H180),AK180*SUMIFS(Donnees_regimes!$J$3:$J$1118,Donnees_regimes!$A$3:$A$1118,'3_Comparateur_detaille'!$B$20,Donnees_regimes!$B$3:$B$1118,A180))</f>
        <v/>
      </c>
      <c r="AM180" s="112">
        <f>IF('3_Comparateur_detaille'!$B$20="Privé",MIN(AK180,E180)*IF('3_Comparateur_detaille'!$B$15="cadre",K180,G180)+MAX(0,AK180-E180)*IF('3_Comparateur_detaille'!$B$15="cadre",M180,I180),AK180*SUMIFS(Donnees_regimes!$K$3:$K$1118,Donnees_regimes!$A$3:$A$1118,'3_Comparateur_detaille'!$B$20,Donnees_regimes!$B$3:$B$1118,A180))</f>
        <v/>
      </c>
      <c r="AN180" s="112">
        <f>IF('3_Comparateur_detaille'!$B$20="Privé",0,AK180*SUMIFS(Donnees_regimes!$L$3:$L$1118,Donnees_regimes!$A$3:$A$1118,'3_Comparateur_detaille'!$B$20,Donnees_regimes!$B$3:$B$1118,A180))</f>
        <v/>
      </c>
      <c r="AO180" s="113">
        <f>(AL180+AM180)/AA180*AI180/AG180</f>
        <v/>
      </c>
      <c r="AP180" s="113">
        <f>(AL180+AM180)/AA180*AJ180/AH180</f>
        <v/>
      </c>
      <c r="AQ180" s="112">
        <f>D180*'3_Comparateur_detaille'!$C$16</f>
        <v/>
      </c>
      <c r="AR180" s="112">
        <f>IF('3_Comparateur_detaille'!$C$20="Privé",MIN(AQ180,E180)*IF('3_Comparateur_detaille'!$C$15="cadre",J180,F180)+MAX(0,AQ180-E180)*IF('3_Comparateur_detaille'!$C$15="cadre",L180,H180),AQ180*SUMIFS(Donnees_regimes!$J$3:$J$1118,Donnees_regimes!$A$3:$A$1118,'3_Comparateur_detaille'!$C$20,Donnees_regimes!$B$3:$B$1118,A180))</f>
        <v/>
      </c>
      <c r="AS180" s="112">
        <f>IF('3_Comparateur_detaille'!$C$20="Privé",MIN(AQ180,E180)*IF('3_Comparateur_detaille'!$C$15="cadre",K180,G180)+MAX(0,AQ180-E180)*IF('3_Comparateur_detaille'!$C$15="cadre",M180,I180),AQ180*SUMIFS(Donnees_regimes!$K$3:$K$1118,Donnees_regimes!$A$3:$A$1118,'3_Comparateur_detaille'!$C$20,Donnees_regimes!$B$3:$B$1118,A180))</f>
        <v/>
      </c>
      <c r="AT180" s="112">
        <f>IF('3_Comparateur_detaille'!$C$20="Privé",0,AQ180*SUMIFS(Donnees_regimes!$L$3:$L$1118,Donnees_regimes!$A$3:$A$1118,'3_Comparateur_detaille'!$C$20,Donnees_regimes!$B$3:$B$1118,A180))</f>
        <v/>
      </c>
      <c r="AU180" s="113">
        <f>(AR180+AS180)/AA180*AI180/AG180</f>
        <v/>
      </c>
      <c r="AV180" s="113">
        <f>(AR180+AS180)/AA180*AJ180/AH180</f>
        <v/>
      </c>
    </row>
    <row r="181">
      <c r="A181" s="101" t="n">
        <v>2123</v>
      </c>
      <c r="B181" s="102" t="inlineStr">
        <is>
          <t>Projection</t>
        </is>
      </c>
      <c r="C181" s="103" t="n"/>
      <c r="D181" s="104" t="n">
        <v>82002.72</v>
      </c>
      <c r="E181" s="104" t="n">
        <v>94545.84</v>
      </c>
      <c r="F181" s="105" t="n">
        <v>0.11562</v>
      </c>
      <c r="G181" s="105" t="n">
        <v>0.1667</v>
      </c>
      <c r="H181" s="105" t="n">
        <v>0.10512</v>
      </c>
      <c r="I181" s="105" t="n">
        <v>0.1689</v>
      </c>
      <c r="J181" s="105" t="n">
        <v>0.11562</v>
      </c>
      <c r="K181" s="105" t="n">
        <v>0.1667</v>
      </c>
      <c r="L181" s="105" t="n">
        <v>0.10512</v>
      </c>
      <c r="M181" s="105" t="n">
        <v>0.1689</v>
      </c>
      <c r="N181" s="106">
        <f>MIN(D181,E181)*F181+MAX(0,D181-E181)*H181</f>
        <v/>
      </c>
      <c r="O181" s="106">
        <f>MIN(D181,E181)*G181+MAX(0,D181-E181)*I181</f>
        <v/>
      </c>
      <c r="P181" s="106">
        <f>N181+O181</f>
        <v/>
      </c>
      <c r="Q181" s="107">
        <f>P181/D181</f>
        <v/>
      </c>
      <c r="R181" s="106">
        <f>D181+O181</f>
        <v/>
      </c>
      <c r="S181" s="108" t="n">
        <v>35</v>
      </c>
      <c r="T181" s="108" t="n">
        <v>38.8</v>
      </c>
      <c r="U181" s="109" t="n">
        <v>229</v>
      </c>
      <c r="V181" s="110" t="n">
        <v>1610</v>
      </c>
      <c r="W181" s="110" t="n">
        <v>1784</v>
      </c>
      <c r="X181" s="104" t="n">
        <v>33892.35</v>
      </c>
      <c r="Y181" s="104" t="n">
        <v>33572.31</v>
      </c>
      <c r="Z181" s="108" t="n">
        <v>21.5</v>
      </c>
      <c r="AA181" s="103">
        <f>1/(1+Parametres!$B$12)^(A181-2026)</f>
        <v/>
      </c>
      <c r="AB181" s="111">
        <f>D181/AA181</f>
        <v/>
      </c>
      <c r="AC181" s="107" t="n"/>
      <c r="AD181" s="107" t="n"/>
      <c r="AE181" s="107">
        <f>((1+Parametres!$B$13)*(1+Parametres!$B$12)-1)</f>
        <v/>
      </c>
      <c r="AF181" s="107">
        <f>((1+Parametres!$B$14)*(1+Parametres!$B$12)-1)</f>
        <v/>
      </c>
      <c r="AG181" s="103">
        <f>AG180*(1+AE181)</f>
        <v/>
      </c>
      <c r="AH181" s="103">
        <f>AH180*(1+AF181)</f>
        <v/>
      </c>
      <c r="AI181" s="103">
        <f>IF(AE181=0,1,AE181/(12*((1+AE181)^(1/12)-1)))</f>
        <v/>
      </c>
      <c r="AJ181" s="103">
        <f>IF(AF181=0,1,AF181/(12*((1+AF181)^(1/12)-1)))</f>
        <v/>
      </c>
      <c r="AK181" s="112">
        <f>D181*'3_Comparateur_detaille'!$B$16</f>
        <v/>
      </c>
      <c r="AL181" s="112">
        <f>IF('3_Comparateur_detaille'!$B$20="Privé",MIN(AK181,E181)*IF('3_Comparateur_detaille'!$B$15="cadre",J181,F181)+MAX(0,AK181-E181)*IF('3_Comparateur_detaille'!$B$15="cadre",L181,H181),AK181*SUMIFS(Donnees_regimes!$J$3:$J$1118,Donnees_regimes!$A$3:$A$1118,'3_Comparateur_detaille'!$B$20,Donnees_regimes!$B$3:$B$1118,A181))</f>
        <v/>
      </c>
      <c r="AM181" s="112">
        <f>IF('3_Comparateur_detaille'!$B$20="Privé",MIN(AK181,E181)*IF('3_Comparateur_detaille'!$B$15="cadre",K181,G181)+MAX(0,AK181-E181)*IF('3_Comparateur_detaille'!$B$15="cadre",M181,I181),AK181*SUMIFS(Donnees_regimes!$K$3:$K$1118,Donnees_regimes!$A$3:$A$1118,'3_Comparateur_detaille'!$B$20,Donnees_regimes!$B$3:$B$1118,A181))</f>
        <v/>
      </c>
      <c r="AN181" s="112">
        <f>IF('3_Comparateur_detaille'!$B$20="Privé",0,AK181*SUMIFS(Donnees_regimes!$L$3:$L$1118,Donnees_regimes!$A$3:$A$1118,'3_Comparateur_detaille'!$B$20,Donnees_regimes!$B$3:$B$1118,A181))</f>
        <v/>
      </c>
      <c r="AO181" s="113">
        <f>(AL181+AM181)/AA181*AI181/AG181</f>
        <v/>
      </c>
      <c r="AP181" s="113">
        <f>(AL181+AM181)/AA181*AJ181/AH181</f>
        <v/>
      </c>
      <c r="AQ181" s="112">
        <f>D181*'3_Comparateur_detaille'!$C$16</f>
        <v/>
      </c>
      <c r="AR181" s="112">
        <f>IF('3_Comparateur_detaille'!$C$20="Privé",MIN(AQ181,E181)*IF('3_Comparateur_detaille'!$C$15="cadre",J181,F181)+MAX(0,AQ181-E181)*IF('3_Comparateur_detaille'!$C$15="cadre",L181,H181),AQ181*SUMIFS(Donnees_regimes!$J$3:$J$1118,Donnees_regimes!$A$3:$A$1118,'3_Comparateur_detaille'!$C$20,Donnees_regimes!$B$3:$B$1118,A181))</f>
        <v/>
      </c>
      <c r="AS181" s="112">
        <f>IF('3_Comparateur_detaille'!$C$20="Privé",MIN(AQ181,E181)*IF('3_Comparateur_detaille'!$C$15="cadre",K181,G181)+MAX(0,AQ181-E181)*IF('3_Comparateur_detaille'!$C$15="cadre",M181,I181),AQ181*SUMIFS(Donnees_regimes!$K$3:$K$1118,Donnees_regimes!$A$3:$A$1118,'3_Comparateur_detaille'!$C$20,Donnees_regimes!$B$3:$B$1118,A181))</f>
        <v/>
      </c>
      <c r="AT181" s="112">
        <f>IF('3_Comparateur_detaille'!$C$20="Privé",0,AQ181*SUMIFS(Donnees_regimes!$L$3:$L$1118,Donnees_regimes!$A$3:$A$1118,'3_Comparateur_detaille'!$C$20,Donnees_regimes!$B$3:$B$1118,A181))</f>
        <v/>
      </c>
      <c r="AU181" s="113">
        <f>(AR181+AS181)/AA181*AI181/AG181</f>
        <v/>
      </c>
      <c r="AV181" s="113">
        <f>(AR181+AS181)/AA181*AJ181/AH181</f>
        <v/>
      </c>
    </row>
    <row r="182">
      <c r="A182" s="101" t="n">
        <v>2124</v>
      </c>
      <c r="B182" s="102" t="inlineStr">
        <is>
          <t>Projection</t>
        </is>
      </c>
      <c r="C182" s="103" t="n"/>
      <c r="D182" s="104" t="n">
        <v>82576.74000000001</v>
      </c>
      <c r="E182" s="104" t="n">
        <v>95207.66</v>
      </c>
      <c r="F182" s="105" t="n">
        <v>0.11562</v>
      </c>
      <c r="G182" s="105" t="n">
        <v>0.1667</v>
      </c>
      <c r="H182" s="105" t="n">
        <v>0.10512</v>
      </c>
      <c r="I182" s="105" t="n">
        <v>0.1689</v>
      </c>
      <c r="J182" s="105" t="n">
        <v>0.11562</v>
      </c>
      <c r="K182" s="105" t="n">
        <v>0.1667</v>
      </c>
      <c r="L182" s="105" t="n">
        <v>0.10512</v>
      </c>
      <c r="M182" s="105" t="n">
        <v>0.1689</v>
      </c>
      <c r="N182" s="106">
        <f>MIN(D182,E182)*F182+MAX(0,D182-E182)*H182</f>
        <v/>
      </c>
      <c r="O182" s="106">
        <f>MIN(D182,E182)*G182+MAX(0,D182-E182)*I182</f>
        <v/>
      </c>
      <c r="P182" s="106">
        <f>N182+O182</f>
        <v/>
      </c>
      <c r="Q182" s="107">
        <f>P182/D182</f>
        <v/>
      </c>
      <c r="R182" s="106">
        <f>D182+O182</f>
        <v/>
      </c>
      <c r="S182" s="108" t="n">
        <v>35</v>
      </c>
      <c r="T182" s="108" t="n">
        <v>38.8</v>
      </c>
      <c r="U182" s="109" t="n">
        <v>226</v>
      </c>
      <c r="V182" s="110" t="n">
        <v>1589</v>
      </c>
      <c r="W182" s="110" t="n">
        <v>1760.8</v>
      </c>
      <c r="X182" s="104" t="n">
        <v>34129.59</v>
      </c>
      <c r="Y182" s="104" t="n">
        <v>33807.31</v>
      </c>
      <c r="Z182" s="108" t="n">
        <v>21.5</v>
      </c>
      <c r="AA182" s="103">
        <f>1/(1+Parametres!$B$12)^(A182-2026)</f>
        <v/>
      </c>
      <c r="AB182" s="111">
        <f>D182/AA182</f>
        <v/>
      </c>
      <c r="AC182" s="107" t="n"/>
      <c r="AD182" s="107" t="n"/>
      <c r="AE182" s="107">
        <f>((1+Parametres!$B$13)*(1+Parametres!$B$12)-1)</f>
        <v/>
      </c>
      <c r="AF182" s="107">
        <f>((1+Parametres!$B$14)*(1+Parametres!$B$12)-1)</f>
        <v/>
      </c>
      <c r="AG182" s="103">
        <f>AG181*(1+AE182)</f>
        <v/>
      </c>
      <c r="AH182" s="103">
        <f>AH181*(1+AF182)</f>
        <v/>
      </c>
      <c r="AI182" s="103">
        <f>IF(AE182=0,1,AE182/(12*((1+AE182)^(1/12)-1)))</f>
        <v/>
      </c>
      <c r="AJ182" s="103">
        <f>IF(AF182=0,1,AF182/(12*((1+AF182)^(1/12)-1)))</f>
        <v/>
      </c>
      <c r="AK182" s="112">
        <f>D182*'3_Comparateur_detaille'!$B$16</f>
        <v/>
      </c>
      <c r="AL182" s="112">
        <f>IF('3_Comparateur_detaille'!$B$20="Privé",MIN(AK182,E182)*IF('3_Comparateur_detaille'!$B$15="cadre",J182,F182)+MAX(0,AK182-E182)*IF('3_Comparateur_detaille'!$B$15="cadre",L182,H182),AK182*SUMIFS(Donnees_regimes!$J$3:$J$1118,Donnees_regimes!$A$3:$A$1118,'3_Comparateur_detaille'!$B$20,Donnees_regimes!$B$3:$B$1118,A182))</f>
        <v/>
      </c>
      <c r="AM182" s="112">
        <f>IF('3_Comparateur_detaille'!$B$20="Privé",MIN(AK182,E182)*IF('3_Comparateur_detaille'!$B$15="cadre",K182,G182)+MAX(0,AK182-E182)*IF('3_Comparateur_detaille'!$B$15="cadre",M182,I182),AK182*SUMIFS(Donnees_regimes!$K$3:$K$1118,Donnees_regimes!$A$3:$A$1118,'3_Comparateur_detaille'!$B$20,Donnees_regimes!$B$3:$B$1118,A182))</f>
        <v/>
      </c>
      <c r="AN182" s="112">
        <f>IF('3_Comparateur_detaille'!$B$20="Privé",0,AK182*SUMIFS(Donnees_regimes!$L$3:$L$1118,Donnees_regimes!$A$3:$A$1118,'3_Comparateur_detaille'!$B$20,Donnees_regimes!$B$3:$B$1118,A182))</f>
        <v/>
      </c>
      <c r="AO182" s="113">
        <f>(AL182+AM182)/AA182*AI182/AG182</f>
        <v/>
      </c>
      <c r="AP182" s="113">
        <f>(AL182+AM182)/AA182*AJ182/AH182</f>
        <v/>
      </c>
      <c r="AQ182" s="112">
        <f>D182*'3_Comparateur_detaille'!$C$16</f>
        <v/>
      </c>
      <c r="AR182" s="112">
        <f>IF('3_Comparateur_detaille'!$C$20="Privé",MIN(AQ182,E182)*IF('3_Comparateur_detaille'!$C$15="cadre",J182,F182)+MAX(0,AQ182-E182)*IF('3_Comparateur_detaille'!$C$15="cadre",L182,H182),AQ182*SUMIFS(Donnees_regimes!$J$3:$J$1118,Donnees_regimes!$A$3:$A$1118,'3_Comparateur_detaille'!$C$20,Donnees_regimes!$B$3:$B$1118,A182))</f>
        <v/>
      </c>
      <c r="AS182" s="112">
        <f>IF('3_Comparateur_detaille'!$C$20="Privé",MIN(AQ182,E182)*IF('3_Comparateur_detaille'!$C$15="cadre",K182,G182)+MAX(0,AQ182-E182)*IF('3_Comparateur_detaille'!$C$15="cadre",M182,I182),AQ182*SUMIFS(Donnees_regimes!$K$3:$K$1118,Donnees_regimes!$A$3:$A$1118,'3_Comparateur_detaille'!$C$20,Donnees_regimes!$B$3:$B$1118,A182))</f>
        <v/>
      </c>
      <c r="AT182" s="112">
        <f>IF('3_Comparateur_detaille'!$C$20="Privé",0,AQ182*SUMIFS(Donnees_regimes!$L$3:$L$1118,Donnees_regimes!$A$3:$A$1118,'3_Comparateur_detaille'!$C$20,Donnees_regimes!$B$3:$B$1118,A182))</f>
        <v/>
      </c>
      <c r="AU182" s="113">
        <f>(AR182+AS182)/AA182*AI182/AG182</f>
        <v/>
      </c>
      <c r="AV182" s="113">
        <f>(AR182+AS182)/AA182*AJ182/AH182</f>
        <v/>
      </c>
    </row>
    <row r="183">
      <c r="A183" s="101" t="n">
        <v>2125</v>
      </c>
      <c r="B183" s="102" t="inlineStr">
        <is>
          <t>Projection</t>
        </is>
      </c>
      <c r="C183" s="103" t="n"/>
      <c r="D183" s="104" t="n">
        <v>83154.78</v>
      </c>
      <c r="E183" s="104" t="n">
        <v>95874.11</v>
      </c>
      <c r="F183" s="105" t="n">
        <v>0.11562</v>
      </c>
      <c r="G183" s="105" t="n">
        <v>0.1667</v>
      </c>
      <c r="H183" s="105" t="n">
        <v>0.10512</v>
      </c>
      <c r="I183" s="105" t="n">
        <v>0.1689</v>
      </c>
      <c r="J183" s="105" t="n">
        <v>0.11562</v>
      </c>
      <c r="K183" s="105" t="n">
        <v>0.1667</v>
      </c>
      <c r="L183" s="105" t="n">
        <v>0.10512</v>
      </c>
      <c r="M183" s="105" t="n">
        <v>0.1689</v>
      </c>
      <c r="N183" s="106">
        <f>MIN(D183,E183)*F183+MAX(0,D183-E183)*H183</f>
        <v/>
      </c>
      <c r="O183" s="106">
        <f>MIN(D183,E183)*G183+MAX(0,D183-E183)*I183</f>
        <v/>
      </c>
      <c r="P183" s="106">
        <f>N183+O183</f>
        <v/>
      </c>
      <c r="Q183" s="107">
        <f>P183/D183</f>
        <v/>
      </c>
      <c r="R183" s="106">
        <f>D183+O183</f>
        <v/>
      </c>
      <c r="S183" s="108" t="n">
        <v>35</v>
      </c>
      <c r="T183" s="108" t="n">
        <v>38.8</v>
      </c>
      <c r="U183" s="109" t="n">
        <v>227</v>
      </c>
      <c r="V183" s="110" t="n">
        <v>1596</v>
      </c>
      <c r="W183" s="110" t="n">
        <v>1768.5</v>
      </c>
      <c r="X183" s="104" t="n">
        <v>34368.5</v>
      </c>
      <c r="Y183" s="104" t="n">
        <v>34043.97</v>
      </c>
      <c r="Z183" s="108" t="n">
        <v>21.5</v>
      </c>
      <c r="AA183" s="103">
        <f>1/(1+Parametres!$B$12)^(A183-2026)</f>
        <v/>
      </c>
      <c r="AB183" s="111">
        <f>D183/AA183</f>
        <v/>
      </c>
      <c r="AC183" s="107" t="n"/>
      <c r="AD183" s="107" t="n"/>
      <c r="AE183" s="107">
        <f>((1+Parametres!$B$13)*(1+Parametres!$B$12)-1)</f>
        <v/>
      </c>
      <c r="AF183" s="107">
        <f>((1+Parametres!$B$14)*(1+Parametres!$B$12)-1)</f>
        <v/>
      </c>
      <c r="AG183" s="103">
        <f>AG182*(1+AE183)</f>
        <v/>
      </c>
      <c r="AH183" s="103">
        <f>AH182*(1+AF183)</f>
        <v/>
      </c>
      <c r="AI183" s="103">
        <f>IF(AE183=0,1,AE183/(12*((1+AE183)^(1/12)-1)))</f>
        <v/>
      </c>
      <c r="AJ183" s="103">
        <f>IF(AF183=0,1,AF183/(12*((1+AF183)^(1/12)-1)))</f>
        <v/>
      </c>
      <c r="AK183" s="112">
        <f>D183*'3_Comparateur_detaille'!$B$16</f>
        <v/>
      </c>
      <c r="AL183" s="112">
        <f>IF('3_Comparateur_detaille'!$B$20="Privé",MIN(AK183,E183)*IF('3_Comparateur_detaille'!$B$15="cadre",J183,F183)+MAX(0,AK183-E183)*IF('3_Comparateur_detaille'!$B$15="cadre",L183,H183),AK183*SUMIFS(Donnees_regimes!$J$3:$J$1118,Donnees_regimes!$A$3:$A$1118,'3_Comparateur_detaille'!$B$20,Donnees_regimes!$B$3:$B$1118,A183))</f>
        <v/>
      </c>
      <c r="AM183" s="112">
        <f>IF('3_Comparateur_detaille'!$B$20="Privé",MIN(AK183,E183)*IF('3_Comparateur_detaille'!$B$15="cadre",K183,G183)+MAX(0,AK183-E183)*IF('3_Comparateur_detaille'!$B$15="cadre",M183,I183),AK183*SUMIFS(Donnees_regimes!$K$3:$K$1118,Donnees_regimes!$A$3:$A$1118,'3_Comparateur_detaille'!$B$20,Donnees_regimes!$B$3:$B$1118,A183))</f>
        <v/>
      </c>
      <c r="AN183" s="112">
        <f>IF('3_Comparateur_detaille'!$B$20="Privé",0,AK183*SUMIFS(Donnees_regimes!$L$3:$L$1118,Donnees_regimes!$A$3:$A$1118,'3_Comparateur_detaille'!$B$20,Donnees_regimes!$B$3:$B$1118,A183))</f>
        <v/>
      </c>
      <c r="AO183" s="113">
        <f>(AL183+AM183)/AA183*AI183/AG183</f>
        <v/>
      </c>
      <c r="AP183" s="113">
        <f>(AL183+AM183)/AA183*AJ183/AH183</f>
        <v/>
      </c>
      <c r="AQ183" s="112">
        <f>D183*'3_Comparateur_detaille'!$C$16</f>
        <v/>
      </c>
      <c r="AR183" s="112">
        <f>IF('3_Comparateur_detaille'!$C$20="Privé",MIN(AQ183,E183)*IF('3_Comparateur_detaille'!$C$15="cadre",J183,F183)+MAX(0,AQ183-E183)*IF('3_Comparateur_detaille'!$C$15="cadre",L183,H183),AQ183*SUMIFS(Donnees_regimes!$J$3:$J$1118,Donnees_regimes!$A$3:$A$1118,'3_Comparateur_detaille'!$C$20,Donnees_regimes!$B$3:$B$1118,A183))</f>
        <v/>
      </c>
      <c r="AS183" s="112">
        <f>IF('3_Comparateur_detaille'!$C$20="Privé",MIN(AQ183,E183)*IF('3_Comparateur_detaille'!$C$15="cadre",K183,G183)+MAX(0,AQ183-E183)*IF('3_Comparateur_detaille'!$C$15="cadre",M183,I183),AQ183*SUMIFS(Donnees_regimes!$K$3:$K$1118,Donnees_regimes!$A$3:$A$1118,'3_Comparateur_detaille'!$C$20,Donnees_regimes!$B$3:$B$1118,A183))</f>
        <v/>
      </c>
      <c r="AT183" s="112">
        <f>IF('3_Comparateur_detaille'!$C$20="Privé",0,AQ183*SUMIFS(Donnees_regimes!$L$3:$L$1118,Donnees_regimes!$A$3:$A$1118,'3_Comparateur_detaille'!$C$20,Donnees_regimes!$B$3:$B$1118,A183))</f>
        <v/>
      </c>
      <c r="AU183" s="113">
        <f>(AR183+AS183)/AA183*AI183/AG183</f>
        <v/>
      </c>
      <c r="AV183" s="113">
        <f>(AR183+AS183)/AA183*AJ183/AH183</f>
        <v/>
      </c>
    </row>
    <row r="184">
      <c r="A184" s="101" t="n">
        <v>2126</v>
      </c>
      <c r="B184" s="102" t="inlineStr">
        <is>
          <t>Projection</t>
        </is>
      </c>
      <c r="C184" s="103" t="n"/>
      <c r="D184" s="104" t="n">
        <v>83736.86</v>
      </c>
      <c r="E184" s="104" t="n">
        <v>96545.23</v>
      </c>
      <c r="F184" s="105" t="n">
        <v>0.11562</v>
      </c>
      <c r="G184" s="105" t="n">
        <v>0.1667</v>
      </c>
      <c r="H184" s="105" t="n">
        <v>0.10512</v>
      </c>
      <c r="I184" s="105" t="n">
        <v>0.1689</v>
      </c>
      <c r="J184" s="105" t="n">
        <v>0.11562</v>
      </c>
      <c r="K184" s="105" t="n">
        <v>0.1667</v>
      </c>
      <c r="L184" s="105" t="n">
        <v>0.10512</v>
      </c>
      <c r="M184" s="105" t="n">
        <v>0.1689</v>
      </c>
      <c r="N184" s="106">
        <f>MIN(D184,E184)*F184+MAX(0,D184-E184)*H184</f>
        <v/>
      </c>
      <c r="O184" s="106">
        <f>MIN(D184,E184)*G184+MAX(0,D184-E184)*I184</f>
        <v/>
      </c>
      <c r="P184" s="106">
        <f>N184+O184</f>
        <v/>
      </c>
      <c r="Q184" s="107">
        <f>P184/D184</f>
        <v/>
      </c>
      <c r="R184" s="106">
        <f>D184+O184</f>
        <v/>
      </c>
      <c r="S184" s="108" t="n">
        <v>35</v>
      </c>
      <c r="T184" s="108" t="n">
        <v>38.8</v>
      </c>
      <c r="U184" s="109" t="n">
        <v>226</v>
      </c>
      <c r="V184" s="110" t="n">
        <v>1589</v>
      </c>
      <c r="W184" s="110" t="n">
        <v>1760.8</v>
      </c>
      <c r="X184" s="104" t="n">
        <v>34609.08</v>
      </c>
      <c r="Y184" s="104" t="n">
        <v>34282.27</v>
      </c>
      <c r="Z184" s="108" t="n">
        <v>21.5</v>
      </c>
      <c r="AA184" s="103">
        <f>1/(1+Parametres!$B$12)^(A184-2026)</f>
        <v/>
      </c>
      <c r="AB184" s="111">
        <f>D184/AA184</f>
        <v/>
      </c>
      <c r="AC184" s="107" t="n"/>
      <c r="AD184" s="107" t="n"/>
      <c r="AE184" s="107">
        <f>((1+Parametres!$B$13)*(1+Parametres!$B$12)-1)</f>
        <v/>
      </c>
      <c r="AF184" s="107">
        <f>((1+Parametres!$B$14)*(1+Parametres!$B$12)-1)</f>
        <v/>
      </c>
      <c r="AG184" s="103">
        <f>AG183*(1+AE184)</f>
        <v/>
      </c>
      <c r="AH184" s="103">
        <f>AH183*(1+AF184)</f>
        <v/>
      </c>
      <c r="AI184" s="103">
        <f>IF(AE184=0,1,AE184/(12*((1+AE184)^(1/12)-1)))</f>
        <v/>
      </c>
      <c r="AJ184" s="103">
        <f>IF(AF184=0,1,AF184/(12*((1+AF184)^(1/12)-1)))</f>
        <v/>
      </c>
      <c r="AK184" s="112">
        <f>D184*'3_Comparateur_detaille'!$B$16</f>
        <v/>
      </c>
      <c r="AL184" s="112">
        <f>IF('3_Comparateur_detaille'!$B$20="Privé",MIN(AK184,E184)*IF('3_Comparateur_detaille'!$B$15="cadre",J184,F184)+MAX(0,AK184-E184)*IF('3_Comparateur_detaille'!$B$15="cadre",L184,H184),AK184*SUMIFS(Donnees_regimes!$J$3:$J$1118,Donnees_regimes!$A$3:$A$1118,'3_Comparateur_detaille'!$B$20,Donnees_regimes!$B$3:$B$1118,A184))</f>
        <v/>
      </c>
      <c r="AM184" s="112">
        <f>IF('3_Comparateur_detaille'!$B$20="Privé",MIN(AK184,E184)*IF('3_Comparateur_detaille'!$B$15="cadre",K184,G184)+MAX(0,AK184-E184)*IF('3_Comparateur_detaille'!$B$15="cadre",M184,I184),AK184*SUMIFS(Donnees_regimes!$K$3:$K$1118,Donnees_regimes!$A$3:$A$1118,'3_Comparateur_detaille'!$B$20,Donnees_regimes!$B$3:$B$1118,A184))</f>
        <v/>
      </c>
      <c r="AN184" s="112">
        <f>IF('3_Comparateur_detaille'!$B$20="Privé",0,AK184*SUMIFS(Donnees_regimes!$L$3:$L$1118,Donnees_regimes!$A$3:$A$1118,'3_Comparateur_detaille'!$B$20,Donnees_regimes!$B$3:$B$1118,A184))</f>
        <v/>
      </c>
      <c r="AO184" s="113">
        <f>(AL184+AM184)/AA184*AI184/AG184</f>
        <v/>
      </c>
      <c r="AP184" s="113">
        <f>(AL184+AM184)/AA184*AJ184/AH184</f>
        <v/>
      </c>
      <c r="AQ184" s="112">
        <f>D184*'3_Comparateur_detaille'!$C$16</f>
        <v/>
      </c>
      <c r="AR184" s="112">
        <f>IF('3_Comparateur_detaille'!$C$20="Privé",MIN(AQ184,E184)*IF('3_Comparateur_detaille'!$C$15="cadre",J184,F184)+MAX(0,AQ184-E184)*IF('3_Comparateur_detaille'!$C$15="cadre",L184,H184),AQ184*SUMIFS(Donnees_regimes!$J$3:$J$1118,Donnees_regimes!$A$3:$A$1118,'3_Comparateur_detaille'!$C$20,Donnees_regimes!$B$3:$B$1118,A184))</f>
        <v/>
      </c>
      <c r="AS184" s="112">
        <f>IF('3_Comparateur_detaille'!$C$20="Privé",MIN(AQ184,E184)*IF('3_Comparateur_detaille'!$C$15="cadre",K184,G184)+MAX(0,AQ184-E184)*IF('3_Comparateur_detaille'!$C$15="cadre",M184,I184),AQ184*SUMIFS(Donnees_regimes!$K$3:$K$1118,Donnees_regimes!$A$3:$A$1118,'3_Comparateur_detaille'!$C$20,Donnees_regimes!$B$3:$B$1118,A184))</f>
        <v/>
      </c>
      <c r="AT184" s="112">
        <f>IF('3_Comparateur_detaille'!$C$20="Privé",0,AQ184*SUMIFS(Donnees_regimes!$L$3:$L$1118,Donnees_regimes!$A$3:$A$1118,'3_Comparateur_detaille'!$C$20,Donnees_regimes!$B$3:$B$1118,A184))</f>
        <v/>
      </c>
      <c r="AU184" s="113">
        <f>(AR184+AS184)/AA184*AI184/AG184</f>
        <v/>
      </c>
      <c r="AV184" s="113">
        <f>(AR184+AS184)/AA184*AJ184/AH184</f>
        <v/>
      </c>
    </row>
    <row r="185">
      <c r="A185" s="101" t="n">
        <v>2127</v>
      </c>
      <c r="B185" s="102" t="inlineStr">
        <is>
          <t>Projection</t>
        </is>
      </c>
      <c r="C185" s="103" t="n"/>
      <c r="D185" s="104" t="n">
        <v>84323.02</v>
      </c>
      <c r="E185" s="104" t="n">
        <v>97221.05</v>
      </c>
      <c r="F185" s="105" t="n">
        <v>0.11562</v>
      </c>
      <c r="G185" s="105" t="n">
        <v>0.1667</v>
      </c>
      <c r="H185" s="105" t="n">
        <v>0.10512</v>
      </c>
      <c r="I185" s="105" t="n">
        <v>0.1689</v>
      </c>
      <c r="J185" s="105" t="n">
        <v>0.11562</v>
      </c>
      <c r="K185" s="105" t="n">
        <v>0.1667</v>
      </c>
      <c r="L185" s="105" t="n">
        <v>0.10512</v>
      </c>
      <c r="M185" s="105" t="n">
        <v>0.1689</v>
      </c>
      <c r="N185" s="106">
        <f>MIN(D185,E185)*F185+MAX(0,D185-E185)*H185</f>
        <v/>
      </c>
      <c r="O185" s="106">
        <f>MIN(D185,E185)*G185+MAX(0,D185-E185)*I185</f>
        <v/>
      </c>
      <c r="P185" s="106">
        <f>N185+O185</f>
        <v/>
      </c>
      <c r="Q185" s="107">
        <f>P185/D185</f>
        <v/>
      </c>
      <c r="R185" s="106">
        <f>D185+O185</f>
        <v/>
      </c>
      <c r="S185" s="108" t="n">
        <v>35</v>
      </c>
      <c r="T185" s="108" t="n">
        <v>38.8</v>
      </c>
      <c r="U185" s="109" t="n">
        <v>226</v>
      </c>
      <c r="V185" s="110" t="n">
        <v>1589</v>
      </c>
      <c r="W185" s="110" t="n">
        <v>1760.8</v>
      </c>
      <c r="X185" s="104" t="n">
        <v>34851.34</v>
      </c>
      <c r="Y185" s="104" t="n">
        <v>34522.25</v>
      </c>
      <c r="Z185" s="108" t="n">
        <v>21.5</v>
      </c>
      <c r="AA185" s="103">
        <f>1/(1+Parametres!$B$12)^(A185-2026)</f>
        <v/>
      </c>
      <c r="AB185" s="111">
        <f>D185/AA185</f>
        <v/>
      </c>
      <c r="AC185" s="107" t="n"/>
      <c r="AD185" s="107" t="n"/>
      <c r="AE185" s="107">
        <f>((1+Parametres!$B$13)*(1+Parametres!$B$12)-1)</f>
        <v/>
      </c>
      <c r="AF185" s="107">
        <f>((1+Parametres!$B$14)*(1+Parametres!$B$12)-1)</f>
        <v/>
      </c>
      <c r="AG185" s="103">
        <f>AG184*(1+AE185)</f>
        <v/>
      </c>
      <c r="AH185" s="103">
        <f>AH184*(1+AF185)</f>
        <v/>
      </c>
      <c r="AI185" s="103">
        <f>IF(AE185=0,1,AE185/(12*((1+AE185)^(1/12)-1)))</f>
        <v/>
      </c>
      <c r="AJ185" s="103">
        <f>IF(AF185=0,1,AF185/(12*((1+AF185)^(1/12)-1)))</f>
        <v/>
      </c>
      <c r="AK185" s="112">
        <f>D185*'3_Comparateur_detaille'!$B$16</f>
        <v/>
      </c>
      <c r="AL185" s="112">
        <f>IF('3_Comparateur_detaille'!$B$20="Privé",MIN(AK185,E185)*IF('3_Comparateur_detaille'!$B$15="cadre",J185,F185)+MAX(0,AK185-E185)*IF('3_Comparateur_detaille'!$B$15="cadre",L185,H185),AK185*SUMIFS(Donnees_regimes!$J$3:$J$1118,Donnees_regimes!$A$3:$A$1118,'3_Comparateur_detaille'!$B$20,Donnees_regimes!$B$3:$B$1118,A185))</f>
        <v/>
      </c>
      <c r="AM185" s="112">
        <f>IF('3_Comparateur_detaille'!$B$20="Privé",MIN(AK185,E185)*IF('3_Comparateur_detaille'!$B$15="cadre",K185,G185)+MAX(0,AK185-E185)*IF('3_Comparateur_detaille'!$B$15="cadre",M185,I185),AK185*SUMIFS(Donnees_regimes!$K$3:$K$1118,Donnees_regimes!$A$3:$A$1118,'3_Comparateur_detaille'!$B$20,Donnees_regimes!$B$3:$B$1118,A185))</f>
        <v/>
      </c>
      <c r="AN185" s="112">
        <f>IF('3_Comparateur_detaille'!$B$20="Privé",0,AK185*SUMIFS(Donnees_regimes!$L$3:$L$1118,Donnees_regimes!$A$3:$A$1118,'3_Comparateur_detaille'!$B$20,Donnees_regimes!$B$3:$B$1118,A185))</f>
        <v/>
      </c>
      <c r="AO185" s="113">
        <f>(AL185+AM185)/AA185*AI185/AG185</f>
        <v/>
      </c>
      <c r="AP185" s="113">
        <f>(AL185+AM185)/AA185*AJ185/AH185</f>
        <v/>
      </c>
      <c r="AQ185" s="112">
        <f>D185*'3_Comparateur_detaille'!$C$16</f>
        <v/>
      </c>
      <c r="AR185" s="112">
        <f>IF('3_Comparateur_detaille'!$C$20="Privé",MIN(AQ185,E185)*IF('3_Comparateur_detaille'!$C$15="cadre",J185,F185)+MAX(0,AQ185-E185)*IF('3_Comparateur_detaille'!$C$15="cadre",L185,H185),AQ185*SUMIFS(Donnees_regimes!$J$3:$J$1118,Donnees_regimes!$A$3:$A$1118,'3_Comparateur_detaille'!$C$20,Donnees_regimes!$B$3:$B$1118,A185))</f>
        <v/>
      </c>
      <c r="AS185" s="112">
        <f>IF('3_Comparateur_detaille'!$C$20="Privé",MIN(AQ185,E185)*IF('3_Comparateur_detaille'!$C$15="cadre",K185,G185)+MAX(0,AQ185-E185)*IF('3_Comparateur_detaille'!$C$15="cadre",M185,I185),AQ185*SUMIFS(Donnees_regimes!$K$3:$K$1118,Donnees_regimes!$A$3:$A$1118,'3_Comparateur_detaille'!$C$20,Donnees_regimes!$B$3:$B$1118,A185))</f>
        <v/>
      </c>
      <c r="AT185" s="112">
        <f>IF('3_Comparateur_detaille'!$C$20="Privé",0,AQ185*SUMIFS(Donnees_regimes!$L$3:$L$1118,Donnees_regimes!$A$3:$A$1118,'3_Comparateur_detaille'!$C$20,Donnees_regimes!$B$3:$B$1118,A185))</f>
        <v/>
      </c>
      <c r="AU185" s="113">
        <f>(AR185+AS185)/AA185*AI185/AG185</f>
        <v/>
      </c>
      <c r="AV185" s="113">
        <f>(AR185+AS185)/AA185*AJ185/AH185</f>
        <v/>
      </c>
    </row>
    <row r="186">
      <c r="A186" s="101" t="n">
        <v>2128</v>
      </c>
      <c r="B186" s="102" t="inlineStr">
        <is>
          <t>Projection</t>
        </is>
      </c>
      <c r="C186" s="103" t="n"/>
      <c r="D186" s="104" t="n">
        <v>84913.28</v>
      </c>
      <c r="E186" s="104" t="n">
        <v>97901.59</v>
      </c>
      <c r="F186" s="105" t="n">
        <v>0.11562</v>
      </c>
      <c r="G186" s="105" t="n">
        <v>0.1667</v>
      </c>
      <c r="H186" s="105" t="n">
        <v>0.10512</v>
      </c>
      <c r="I186" s="105" t="n">
        <v>0.1689</v>
      </c>
      <c r="J186" s="105" t="n">
        <v>0.11562</v>
      </c>
      <c r="K186" s="105" t="n">
        <v>0.1667</v>
      </c>
      <c r="L186" s="105" t="n">
        <v>0.10512</v>
      </c>
      <c r="M186" s="105" t="n">
        <v>0.1689</v>
      </c>
      <c r="N186" s="106">
        <f>MIN(D186,E186)*F186+MAX(0,D186-E186)*H186</f>
        <v/>
      </c>
      <c r="O186" s="106">
        <f>MIN(D186,E186)*G186+MAX(0,D186-E186)*I186</f>
        <v/>
      </c>
      <c r="P186" s="106">
        <f>N186+O186</f>
        <v/>
      </c>
      <c r="Q186" s="107">
        <f>P186/D186</f>
        <v/>
      </c>
      <c r="R186" s="106">
        <f>D186+O186</f>
        <v/>
      </c>
      <c r="S186" s="108" t="n">
        <v>35</v>
      </c>
      <c r="T186" s="108" t="n">
        <v>38.8</v>
      </c>
      <c r="U186" s="109" t="n">
        <v>230</v>
      </c>
      <c r="V186" s="110" t="n">
        <v>1617</v>
      </c>
      <c r="W186" s="110" t="n">
        <v>1791.8</v>
      </c>
      <c r="X186" s="104" t="n">
        <v>35095.3</v>
      </c>
      <c r="Y186" s="104" t="n">
        <v>34763.91</v>
      </c>
      <c r="Z186" s="108" t="n">
        <v>21.5</v>
      </c>
      <c r="AA186" s="103">
        <f>1/(1+Parametres!$B$12)^(A186-2026)</f>
        <v/>
      </c>
      <c r="AB186" s="111">
        <f>D186/AA186</f>
        <v/>
      </c>
      <c r="AC186" s="107" t="n"/>
      <c r="AD186" s="107" t="n"/>
      <c r="AE186" s="107">
        <f>((1+Parametres!$B$13)*(1+Parametres!$B$12)-1)</f>
        <v/>
      </c>
      <c r="AF186" s="107">
        <f>((1+Parametres!$B$14)*(1+Parametres!$B$12)-1)</f>
        <v/>
      </c>
      <c r="AG186" s="103">
        <f>AG185*(1+AE186)</f>
        <v/>
      </c>
      <c r="AH186" s="103">
        <f>AH185*(1+AF186)</f>
        <v/>
      </c>
      <c r="AI186" s="103">
        <f>IF(AE186=0,1,AE186/(12*((1+AE186)^(1/12)-1)))</f>
        <v/>
      </c>
      <c r="AJ186" s="103">
        <f>IF(AF186=0,1,AF186/(12*((1+AF186)^(1/12)-1)))</f>
        <v/>
      </c>
      <c r="AK186" s="112">
        <f>D186*'3_Comparateur_detaille'!$B$16</f>
        <v/>
      </c>
      <c r="AL186" s="112">
        <f>IF('3_Comparateur_detaille'!$B$20="Privé",MIN(AK186,E186)*IF('3_Comparateur_detaille'!$B$15="cadre",J186,F186)+MAX(0,AK186-E186)*IF('3_Comparateur_detaille'!$B$15="cadre",L186,H186),AK186*SUMIFS(Donnees_regimes!$J$3:$J$1118,Donnees_regimes!$A$3:$A$1118,'3_Comparateur_detaille'!$B$20,Donnees_regimes!$B$3:$B$1118,A186))</f>
        <v/>
      </c>
      <c r="AM186" s="112">
        <f>IF('3_Comparateur_detaille'!$B$20="Privé",MIN(AK186,E186)*IF('3_Comparateur_detaille'!$B$15="cadre",K186,G186)+MAX(0,AK186-E186)*IF('3_Comparateur_detaille'!$B$15="cadre",M186,I186),AK186*SUMIFS(Donnees_regimes!$K$3:$K$1118,Donnees_regimes!$A$3:$A$1118,'3_Comparateur_detaille'!$B$20,Donnees_regimes!$B$3:$B$1118,A186))</f>
        <v/>
      </c>
      <c r="AN186" s="112">
        <f>IF('3_Comparateur_detaille'!$B$20="Privé",0,AK186*SUMIFS(Donnees_regimes!$L$3:$L$1118,Donnees_regimes!$A$3:$A$1118,'3_Comparateur_detaille'!$B$20,Donnees_regimes!$B$3:$B$1118,A186))</f>
        <v/>
      </c>
      <c r="AO186" s="113">
        <f>(AL186+AM186)/AA186*AI186/AG186</f>
        <v/>
      </c>
      <c r="AP186" s="113">
        <f>(AL186+AM186)/AA186*AJ186/AH186</f>
        <v/>
      </c>
      <c r="AQ186" s="112">
        <f>D186*'3_Comparateur_detaille'!$C$16</f>
        <v/>
      </c>
      <c r="AR186" s="112">
        <f>IF('3_Comparateur_detaille'!$C$20="Privé",MIN(AQ186,E186)*IF('3_Comparateur_detaille'!$C$15="cadre",J186,F186)+MAX(0,AQ186-E186)*IF('3_Comparateur_detaille'!$C$15="cadre",L186,H186),AQ186*SUMIFS(Donnees_regimes!$J$3:$J$1118,Donnees_regimes!$A$3:$A$1118,'3_Comparateur_detaille'!$C$20,Donnees_regimes!$B$3:$B$1118,A186))</f>
        <v/>
      </c>
      <c r="AS186" s="112">
        <f>IF('3_Comparateur_detaille'!$C$20="Privé",MIN(AQ186,E186)*IF('3_Comparateur_detaille'!$C$15="cadre",K186,G186)+MAX(0,AQ186-E186)*IF('3_Comparateur_detaille'!$C$15="cadre",M186,I186),AQ186*SUMIFS(Donnees_regimes!$K$3:$K$1118,Donnees_regimes!$A$3:$A$1118,'3_Comparateur_detaille'!$C$20,Donnees_regimes!$B$3:$B$1118,A186))</f>
        <v/>
      </c>
      <c r="AT186" s="112">
        <f>IF('3_Comparateur_detaille'!$C$20="Privé",0,AQ186*SUMIFS(Donnees_regimes!$L$3:$L$1118,Donnees_regimes!$A$3:$A$1118,'3_Comparateur_detaille'!$C$20,Donnees_regimes!$B$3:$B$1118,A186))</f>
        <v/>
      </c>
      <c r="AU186" s="113">
        <f>(AR186+AS186)/AA186*AI186/AG186</f>
        <v/>
      </c>
      <c r="AV186" s="113">
        <f>(AR186+AS186)/AA186*AJ186/AH186</f>
        <v/>
      </c>
    </row>
    <row r="187">
      <c r="A187" s="101" t="n">
        <v>2129</v>
      </c>
      <c r="B187" s="102" t="inlineStr">
        <is>
          <t>Projection</t>
        </is>
      </c>
      <c r="C187" s="103" t="n"/>
      <c r="D187" s="104" t="n">
        <v>85507.67</v>
      </c>
      <c r="E187" s="104" t="n">
        <v>98586.91</v>
      </c>
      <c r="F187" s="105" t="n">
        <v>0.11562</v>
      </c>
      <c r="G187" s="105" t="n">
        <v>0.1667</v>
      </c>
      <c r="H187" s="105" t="n">
        <v>0.10512</v>
      </c>
      <c r="I187" s="105" t="n">
        <v>0.1689</v>
      </c>
      <c r="J187" s="105" t="n">
        <v>0.11562</v>
      </c>
      <c r="K187" s="105" t="n">
        <v>0.1667</v>
      </c>
      <c r="L187" s="105" t="n">
        <v>0.10512</v>
      </c>
      <c r="M187" s="105" t="n">
        <v>0.1689</v>
      </c>
      <c r="N187" s="106">
        <f>MIN(D187,E187)*F187+MAX(0,D187-E187)*H187</f>
        <v/>
      </c>
      <c r="O187" s="106">
        <f>MIN(D187,E187)*G187+MAX(0,D187-E187)*I187</f>
        <v/>
      </c>
      <c r="P187" s="106">
        <f>N187+O187</f>
        <v/>
      </c>
      <c r="Q187" s="107">
        <f>P187/D187</f>
        <v/>
      </c>
      <c r="R187" s="106">
        <f>D187+O187</f>
        <v/>
      </c>
      <c r="S187" s="108" t="n">
        <v>35</v>
      </c>
      <c r="T187" s="108" t="n">
        <v>38.8</v>
      </c>
      <c r="U187" s="109" t="n">
        <v>228</v>
      </c>
      <c r="V187" s="110" t="n">
        <v>1603</v>
      </c>
      <c r="W187" s="110" t="n">
        <v>1776.3</v>
      </c>
      <c r="X187" s="104" t="n">
        <v>35340.97</v>
      </c>
      <c r="Y187" s="104" t="n">
        <v>35007.25</v>
      </c>
      <c r="Z187" s="108" t="n">
        <v>21.5</v>
      </c>
      <c r="AA187" s="103">
        <f>1/(1+Parametres!$B$12)^(A187-2026)</f>
        <v/>
      </c>
      <c r="AB187" s="111">
        <f>D187/AA187</f>
        <v/>
      </c>
      <c r="AC187" s="107" t="n"/>
      <c r="AD187" s="107" t="n"/>
      <c r="AE187" s="107">
        <f>((1+Parametres!$B$13)*(1+Parametres!$B$12)-1)</f>
        <v/>
      </c>
      <c r="AF187" s="107">
        <f>((1+Parametres!$B$14)*(1+Parametres!$B$12)-1)</f>
        <v/>
      </c>
      <c r="AG187" s="103">
        <f>AG186*(1+AE187)</f>
        <v/>
      </c>
      <c r="AH187" s="103">
        <f>AH186*(1+AF187)</f>
        <v/>
      </c>
      <c r="AI187" s="103">
        <f>IF(AE187=0,1,AE187/(12*((1+AE187)^(1/12)-1)))</f>
        <v/>
      </c>
      <c r="AJ187" s="103">
        <f>IF(AF187=0,1,AF187/(12*((1+AF187)^(1/12)-1)))</f>
        <v/>
      </c>
      <c r="AK187" s="112">
        <f>D187*'3_Comparateur_detaille'!$B$16</f>
        <v/>
      </c>
      <c r="AL187" s="112">
        <f>IF('3_Comparateur_detaille'!$B$20="Privé",MIN(AK187,E187)*IF('3_Comparateur_detaille'!$B$15="cadre",J187,F187)+MAX(0,AK187-E187)*IF('3_Comparateur_detaille'!$B$15="cadre",L187,H187),AK187*SUMIFS(Donnees_regimes!$J$3:$J$1118,Donnees_regimes!$A$3:$A$1118,'3_Comparateur_detaille'!$B$20,Donnees_regimes!$B$3:$B$1118,A187))</f>
        <v/>
      </c>
      <c r="AM187" s="112">
        <f>IF('3_Comparateur_detaille'!$B$20="Privé",MIN(AK187,E187)*IF('3_Comparateur_detaille'!$B$15="cadre",K187,G187)+MAX(0,AK187-E187)*IF('3_Comparateur_detaille'!$B$15="cadre",M187,I187),AK187*SUMIFS(Donnees_regimes!$K$3:$K$1118,Donnees_regimes!$A$3:$A$1118,'3_Comparateur_detaille'!$B$20,Donnees_regimes!$B$3:$B$1118,A187))</f>
        <v/>
      </c>
      <c r="AN187" s="112">
        <f>IF('3_Comparateur_detaille'!$B$20="Privé",0,AK187*SUMIFS(Donnees_regimes!$L$3:$L$1118,Donnees_regimes!$A$3:$A$1118,'3_Comparateur_detaille'!$B$20,Donnees_regimes!$B$3:$B$1118,A187))</f>
        <v/>
      </c>
      <c r="AO187" s="113">
        <f>(AL187+AM187)/AA187*AI187/AG187</f>
        <v/>
      </c>
      <c r="AP187" s="113">
        <f>(AL187+AM187)/AA187*AJ187/AH187</f>
        <v/>
      </c>
      <c r="AQ187" s="112">
        <f>D187*'3_Comparateur_detaille'!$C$16</f>
        <v/>
      </c>
      <c r="AR187" s="112">
        <f>IF('3_Comparateur_detaille'!$C$20="Privé",MIN(AQ187,E187)*IF('3_Comparateur_detaille'!$C$15="cadre",J187,F187)+MAX(0,AQ187-E187)*IF('3_Comparateur_detaille'!$C$15="cadre",L187,H187),AQ187*SUMIFS(Donnees_regimes!$J$3:$J$1118,Donnees_regimes!$A$3:$A$1118,'3_Comparateur_detaille'!$C$20,Donnees_regimes!$B$3:$B$1118,A187))</f>
        <v/>
      </c>
      <c r="AS187" s="112">
        <f>IF('3_Comparateur_detaille'!$C$20="Privé",MIN(AQ187,E187)*IF('3_Comparateur_detaille'!$C$15="cadre",K187,G187)+MAX(0,AQ187-E187)*IF('3_Comparateur_detaille'!$C$15="cadre",M187,I187),AQ187*SUMIFS(Donnees_regimes!$K$3:$K$1118,Donnees_regimes!$A$3:$A$1118,'3_Comparateur_detaille'!$C$20,Donnees_regimes!$B$3:$B$1118,A187))</f>
        <v/>
      </c>
      <c r="AT187" s="112">
        <f>IF('3_Comparateur_detaille'!$C$20="Privé",0,AQ187*SUMIFS(Donnees_regimes!$L$3:$L$1118,Donnees_regimes!$A$3:$A$1118,'3_Comparateur_detaille'!$C$20,Donnees_regimes!$B$3:$B$1118,A187))</f>
        <v/>
      </c>
      <c r="AU187" s="113">
        <f>(AR187+AS187)/AA187*AI187/AG187</f>
        <v/>
      </c>
      <c r="AV187" s="113">
        <f>(AR187+AS187)/AA187*AJ187/AH187</f>
        <v/>
      </c>
    </row>
    <row r="188">
      <c r="A188" s="101" t="n">
        <v>2130</v>
      </c>
      <c r="B188" s="102" t="inlineStr">
        <is>
          <t>Projection</t>
        </is>
      </c>
      <c r="C188" s="103" t="n"/>
      <c r="D188" s="104" t="n">
        <v>86106.23</v>
      </c>
      <c r="E188" s="104" t="n">
        <v>99277.00999999999</v>
      </c>
      <c r="F188" s="105" t="n">
        <v>0.11562</v>
      </c>
      <c r="G188" s="105" t="n">
        <v>0.1667</v>
      </c>
      <c r="H188" s="105" t="n">
        <v>0.10512</v>
      </c>
      <c r="I188" s="105" t="n">
        <v>0.1689</v>
      </c>
      <c r="J188" s="105" t="n">
        <v>0.11562</v>
      </c>
      <c r="K188" s="105" t="n">
        <v>0.1667</v>
      </c>
      <c r="L188" s="105" t="n">
        <v>0.10512</v>
      </c>
      <c r="M188" s="105" t="n">
        <v>0.1689</v>
      </c>
      <c r="N188" s="106">
        <f>MIN(D188,E188)*F188+MAX(0,D188-E188)*H188</f>
        <v/>
      </c>
      <c r="O188" s="106">
        <f>MIN(D188,E188)*G188+MAX(0,D188-E188)*I188</f>
        <v/>
      </c>
      <c r="P188" s="106">
        <f>N188+O188</f>
        <v/>
      </c>
      <c r="Q188" s="107">
        <f>P188/D188</f>
        <v/>
      </c>
      <c r="R188" s="106">
        <f>D188+O188</f>
        <v/>
      </c>
      <c r="S188" s="108" t="n">
        <v>35</v>
      </c>
      <c r="T188" s="108" t="n">
        <v>38.8</v>
      </c>
      <c r="U188" s="109" t="n">
        <v>226</v>
      </c>
      <c r="V188" s="110" t="n">
        <v>1589</v>
      </c>
      <c r="W188" s="110" t="n">
        <v>1760.8</v>
      </c>
      <c r="X188" s="104" t="n">
        <v>35588.36</v>
      </c>
      <c r="Y188" s="104" t="n">
        <v>35252.3</v>
      </c>
      <c r="Z188" s="108" t="n">
        <v>21.5</v>
      </c>
      <c r="AA188" s="103">
        <f>1/(1+Parametres!$B$12)^(A188-2026)</f>
        <v/>
      </c>
      <c r="AB188" s="111">
        <f>D188/AA188</f>
        <v/>
      </c>
      <c r="AC188" s="107" t="n"/>
      <c r="AD188" s="107" t="n"/>
      <c r="AE188" s="107">
        <f>((1+Parametres!$B$13)*(1+Parametres!$B$12)-1)</f>
        <v/>
      </c>
      <c r="AF188" s="107">
        <f>((1+Parametres!$B$14)*(1+Parametres!$B$12)-1)</f>
        <v/>
      </c>
      <c r="AG188" s="103">
        <f>AG187*(1+AE188)</f>
        <v/>
      </c>
      <c r="AH188" s="103">
        <f>AH187*(1+AF188)</f>
        <v/>
      </c>
      <c r="AI188" s="103">
        <f>IF(AE188=0,1,AE188/(12*((1+AE188)^(1/12)-1)))</f>
        <v/>
      </c>
      <c r="AJ188" s="103">
        <f>IF(AF188=0,1,AF188/(12*((1+AF188)^(1/12)-1)))</f>
        <v/>
      </c>
      <c r="AK188" s="112">
        <f>D188*'3_Comparateur_detaille'!$B$16</f>
        <v/>
      </c>
      <c r="AL188" s="112">
        <f>IF('3_Comparateur_detaille'!$B$20="Privé",MIN(AK188,E188)*IF('3_Comparateur_detaille'!$B$15="cadre",J188,F188)+MAX(0,AK188-E188)*IF('3_Comparateur_detaille'!$B$15="cadre",L188,H188),AK188*SUMIFS(Donnees_regimes!$J$3:$J$1118,Donnees_regimes!$A$3:$A$1118,'3_Comparateur_detaille'!$B$20,Donnees_regimes!$B$3:$B$1118,A188))</f>
        <v/>
      </c>
      <c r="AM188" s="112">
        <f>IF('3_Comparateur_detaille'!$B$20="Privé",MIN(AK188,E188)*IF('3_Comparateur_detaille'!$B$15="cadre",K188,G188)+MAX(0,AK188-E188)*IF('3_Comparateur_detaille'!$B$15="cadre",M188,I188),AK188*SUMIFS(Donnees_regimes!$K$3:$K$1118,Donnees_regimes!$A$3:$A$1118,'3_Comparateur_detaille'!$B$20,Donnees_regimes!$B$3:$B$1118,A188))</f>
        <v/>
      </c>
      <c r="AN188" s="112">
        <f>IF('3_Comparateur_detaille'!$B$20="Privé",0,AK188*SUMIFS(Donnees_regimes!$L$3:$L$1118,Donnees_regimes!$A$3:$A$1118,'3_Comparateur_detaille'!$B$20,Donnees_regimes!$B$3:$B$1118,A188))</f>
        <v/>
      </c>
      <c r="AO188" s="113">
        <f>(AL188+AM188)/AA188*AI188/AG188</f>
        <v/>
      </c>
      <c r="AP188" s="113">
        <f>(AL188+AM188)/AA188*AJ188/AH188</f>
        <v/>
      </c>
      <c r="AQ188" s="112">
        <f>D188*'3_Comparateur_detaille'!$C$16</f>
        <v/>
      </c>
      <c r="AR188" s="112">
        <f>IF('3_Comparateur_detaille'!$C$20="Privé",MIN(AQ188,E188)*IF('3_Comparateur_detaille'!$C$15="cadre",J188,F188)+MAX(0,AQ188-E188)*IF('3_Comparateur_detaille'!$C$15="cadre",L188,H188),AQ188*SUMIFS(Donnees_regimes!$J$3:$J$1118,Donnees_regimes!$A$3:$A$1118,'3_Comparateur_detaille'!$C$20,Donnees_regimes!$B$3:$B$1118,A188))</f>
        <v/>
      </c>
      <c r="AS188" s="112">
        <f>IF('3_Comparateur_detaille'!$C$20="Privé",MIN(AQ188,E188)*IF('3_Comparateur_detaille'!$C$15="cadre",K188,G188)+MAX(0,AQ188-E188)*IF('3_Comparateur_detaille'!$C$15="cadre",M188,I188),AQ188*SUMIFS(Donnees_regimes!$K$3:$K$1118,Donnees_regimes!$A$3:$A$1118,'3_Comparateur_detaille'!$C$20,Donnees_regimes!$B$3:$B$1118,A188))</f>
        <v/>
      </c>
      <c r="AT188" s="112">
        <f>IF('3_Comparateur_detaille'!$C$20="Privé",0,AQ188*SUMIFS(Donnees_regimes!$L$3:$L$1118,Donnees_regimes!$A$3:$A$1118,'3_Comparateur_detaille'!$C$20,Donnees_regimes!$B$3:$B$1118,A188))</f>
        <v/>
      </c>
      <c r="AU188" s="113">
        <f>(AR188+AS188)/AA188*AI188/AG188</f>
        <v/>
      </c>
      <c r="AV188" s="113">
        <f>(AR188+AS188)/AA188*AJ188/AH188</f>
        <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S1118"/>
  <sheetViews>
    <sheetView workbookViewId="0">
      <pane xSplit="2" ySplit="2" topLeftCell="C3" activePane="bottomRight" state="frozen"/>
      <selection pane="topRight"/>
      <selection pane="bottomLeft"/>
      <selection pane="bottomRight" activeCell="A1" sqref="A1"/>
    </sheetView>
  </sheetViews>
  <sheetFormatPr baseColWidth="8" defaultRowHeight="15"/>
  <cols>
    <col width="30"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s>
  <sheetData>
    <row r="1" ht="75" customHeight="1">
      <c r="A1" s="5" t="inlineStr">
        <is>
          <t>Régime</t>
        </is>
      </c>
      <c r="B1" s="5" t="inlineStr">
        <is>
          <t>Année</t>
        </is>
      </c>
      <c r="C1" s="5" t="inlineStr">
        <is>
          <t>Part des primes non soumises à cotisation retraite</t>
        </is>
      </c>
      <c r="D1" s="5" t="inlineStr">
        <is>
          <t>Taux de cotisation salarié du régime (sur le traitement ou le salaire soumis)</t>
        </is>
      </c>
      <c r="E1" s="5" t="inlineStr">
        <is>
          <t>Taux employeur du régime (légal, ou implicite estimé)</t>
        </is>
      </c>
      <c r="F1" s="5" t="inlineStr">
        <is>
          <t>Statut du taux employeur</t>
        </is>
      </c>
      <c r="G1" s="5" t="inlineStr">
        <is>
          <t>Taux RAFP salarié = employeur (sur les primes plafonnées à 20 % du traitement)</t>
        </is>
      </c>
      <c r="H1" s="5" t="inlineStr">
        <is>
          <t>Part vieillesse de la CSG et de la CRDS (sur le brut)</t>
        </is>
      </c>
      <c r="I1" s="5" t="inlineStr">
        <is>
          <t>Subvention d'équilibre rapportée à l'assiette soumise</t>
        </is>
      </c>
      <c r="J1" s="5" t="inlineStr">
        <is>
          <t>Taux salarial rapporté au salaire brut total</t>
        </is>
      </c>
      <c r="K1" s="5" t="inlineStr">
        <is>
          <t>Taux patronal compté comme cotisation, rapporté au brut total</t>
        </is>
      </c>
      <c r="L1" s="5" t="inlineStr">
        <is>
          <t>Subvention d'équilibre rapportée au brut total</t>
        </is>
      </c>
      <c r="M1" s="5" t="inlineStr">
        <is>
          <t>Coefficient de pension à salaire égal (carrière complète) l'année du départ</t>
        </is>
      </c>
      <c r="N1" s="5" t="inlineStr">
        <is>
          <t>Cotisations salariales au salaire moyen (€ 2026)</t>
        </is>
      </c>
      <c r="O1" s="5" t="inlineStr">
        <is>
          <t>Cotisations patronales au salaire moyen (€ 2026)</t>
        </is>
      </c>
      <c r="P1" s="5" t="inlineStr">
        <is>
          <t>Cotisations totales au salaire moyen (€ 2026)</t>
        </is>
      </c>
      <c r="Q1" s="5" t="inlineStr">
        <is>
          <t>Subvention d'équilibre rattachée au salaire moyen (€ 2026)</t>
        </is>
      </c>
      <c r="R1" s="5" t="inlineStr">
        <is>
          <t>Capitalisation : contribution de l'année (dividendes réinvestis)</t>
        </is>
      </c>
      <c r="S1" s="5" t="inlineStr">
        <is>
          <t>Capitalisation : contribution de l'année (cours seul)</t>
        </is>
      </c>
    </row>
    <row r="2" ht="30" customHeight="1">
      <c r="A2" s="83" t="inlineStr">
        <is>
          <t>regime</t>
        </is>
      </c>
      <c r="B2" s="83" t="inlineStr">
        <is>
          <t>annee</t>
        </is>
      </c>
      <c r="C2" s="83" t="inlineStr">
        <is>
          <t>part_primes_hors_assiette</t>
        </is>
      </c>
      <c r="D2" s="83" t="inlineStr">
        <is>
          <t>taux_salarie_regime</t>
        </is>
      </c>
      <c r="E2" s="83" t="inlineStr">
        <is>
          <t>taux_employeur_regime</t>
        </is>
      </c>
      <c r="F2" s="83" t="inlineStr">
        <is>
          <t>statut_taux_employeur</t>
        </is>
      </c>
      <c r="G2" s="83" t="inlineStr">
        <is>
          <t>taux_rafp</t>
        </is>
      </c>
      <c r="H2" s="83" t="inlineStr">
        <is>
          <t>taux_csg_crds_vieillesse</t>
        </is>
      </c>
      <c r="I2" s="83" t="inlineStr">
        <is>
          <t>taux_subvention_regime</t>
        </is>
      </c>
      <c r="J2" s="83" t="inlineStr">
        <is>
          <t>taux_salarial_equiv_brut</t>
        </is>
      </c>
      <c r="K2" s="83" t="inlineStr">
        <is>
          <t>taux_patronal_equiv_brut</t>
        </is>
      </c>
      <c r="L2" s="83" t="inlineStr">
        <is>
          <t>taux_subvention_equiv_brut</t>
        </is>
      </c>
      <c r="M2" s="83" t="inlineStr">
        <is>
          <t>coef_pension</t>
        </is>
      </c>
      <c r="N2" s="83" t="inlineStr">
        <is>
          <t>cotis_sal_salaire_moyen</t>
        </is>
      </c>
      <c r="O2" s="83" t="inlineStr">
        <is>
          <t>cotis_pat_salaire_moyen</t>
        </is>
      </c>
      <c r="P2" s="83" t="inlineStr">
        <is>
          <t>cotis_total_salaire_moyen</t>
        </is>
      </c>
      <c r="Q2" s="83" t="inlineStr">
        <is>
          <t>subvention_salaire_moyen</t>
        </is>
      </c>
      <c r="R2" s="83" t="inlineStr">
        <is>
          <t>cap_unite_dividendes</t>
        </is>
      </c>
      <c r="S2" s="83" t="inlineStr">
        <is>
          <t>cap_unite_cours</t>
        </is>
      </c>
    </row>
    <row r="3">
      <c r="A3" s="84" t="inlineStr">
        <is>
          <t>Privé</t>
        </is>
      </c>
      <c r="B3" s="88" t="n">
        <v>1945</v>
      </c>
      <c r="C3" s="94" t="n"/>
      <c r="D3" s="94" t="n"/>
      <c r="E3" s="94" t="n"/>
      <c r="F3" s="7" t="n"/>
      <c r="G3" s="94" t="n"/>
      <c r="H3" s="93" t="n">
        <v>0</v>
      </c>
      <c r="I3" s="94" t="n"/>
      <c r="J3" s="94">
        <f>N3/Donnees_annuelles!D3</f>
        <v/>
      </c>
      <c r="K3" s="94">
        <f>O3/Donnees_annuelles!D3</f>
        <v/>
      </c>
      <c r="L3" s="93" t="n">
        <v>0</v>
      </c>
      <c r="M3" s="87" t="n">
        <v>1</v>
      </c>
      <c r="N3" s="14">
        <f>Donnees_annuelles!N3</f>
        <v/>
      </c>
      <c r="O3" s="14">
        <f>Donnees_annuelles!O3</f>
        <v/>
      </c>
      <c r="P3" s="14">
        <f>N3+O3</f>
        <v/>
      </c>
      <c r="Q3" s="14">
        <f>Donnees_annuelles!D3*L3</f>
        <v/>
      </c>
      <c r="R3" s="114">
        <f>P3/Donnees_annuelles!AA3*Donnees_annuelles!AI3/Donnees_annuelles!AG3</f>
        <v/>
      </c>
      <c r="S3" s="114">
        <f>P3/Donnees_annuelles!AA3*Donnees_annuelles!AJ3/Donnees_annuelles!AH3</f>
        <v/>
      </c>
    </row>
    <row r="4">
      <c r="A4" s="84" t="inlineStr">
        <is>
          <t>Privé</t>
        </is>
      </c>
      <c r="B4" s="88" t="n">
        <v>1946</v>
      </c>
      <c r="C4" s="94" t="n"/>
      <c r="D4" s="94" t="n"/>
      <c r="E4" s="94" t="n"/>
      <c r="F4" s="7" t="n"/>
      <c r="G4" s="94" t="n"/>
      <c r="H4" s="93" t="n">
        <v>0</v>
      </c>
      <c r="I4" s="94" t="n"/>
      <c r="J4" s="94">
        <f>N4/Donnees_annuelles!D4</f>
        <v/>
      </c>
      <c r="K4" s="94">
        <f>O4/Donnees_annuelles!D4</f>
        <v/>
      </c>
      <c r="L4" s="93" t="n">
        <v>0</v>
      </c>
      <c r="M4" s="87" t="n">
        <v>1</v>
      </c>
      <c r="N4" s="14">
        <f>Donnees_annuelles!N4</f>
        <v/>
      </c>
      <c r="O4" s="14">
        <f>Donnees_annuelles!O4</f>
        <v/>
      </c>
      <c r="P4" s="14">
        <f>N4+O4</f>
        <v/>
      </c>
      <c r="Q4" s="14">
        <f>Donnees_annuelles!D4*L4</f>
        <v/>
      </c>
      <c r="R4" s="114">
        <f>P4/Donnees_annuelles!AA4*Donnees_annuelles!AI4/Donnees_annuelles!AG4</f>
        <v/>
      </c>
      <c r="S4" s="114">
        <f>P4/Donnees_annuelles!AA4*Donnees_annuelles!AJ4/Donnees_annuelles!AH4</f>
        <v/>
      </c>
    </row>
    <row r="5">
      <c r="A5" s="84" t="inlineStr">
        <is>
          <t>Privé</t>
        </is>
      </c>
      <c r="B5" s="88" t="n">
        <v>1947</v>
      </c>
      <c r="C5" s="94" t="n"/>
      <c r="D5" s="94" t="n"/>
      <c r="E5" s="94" t="n"/>
      <c r="F5" s="7" t="n"/>
      <c r="G5" s="94" t="n"/>
      <c r="H5" s="93" t="n">
        <v>0</v>
      </c>
      <c r="I5" s="94" t="n"/>
      <c r="J5" s="94">
        <f>N5/Donnees_annuelles!D5</f>
        <v/>
      </c>
      <c r="K5" s="94">
        <f>O5/Donnees_annuelles!D5</f>
        <v/>
      </c>
      <c r="L5" s="93" t="n">
        <v>0</v>
      </c>
      <c r="M5" s="87" t="n">
        <v>1</v>
      </c>
      <c r="N5" s="14">
        <f>Donnees_annuelles!N5</f>
        <v/>
      </c>
      <c r="O5" s="14">
        <f>Donnees_annuelles!O5</f>
        <v/>
      </c>
      <c r="P5" s="14">
        <f>N5+O5</f>
        <v/>
      </c>
      <c r="Q5" s="14">
        <f>Donnees_annuelles!D5*L5</f>
        <v/>
      </c>
      <c r="R5" s="114">
        <f>P5/Donnees_annuelles!AA5*Donnees_annuelles!AI5/Donnees_annuelles!AG5</f>
        <v/>
      </c>
      <c r="S5" s="114">
        <f>P5/Donnees_annuelles!AA5*Donnees_annuelles!AJ5/Donnees_annuelles!AH5</f>
        <v/>
      </c>
    </row>
    <row r="6">
      <c r="A6" s="84" t="inlineStr">
        <is>
          <t>Privé</t>
        </is>
      </c>
      <c r="B6" s="88" t="n">
        <v>1948</v>
      </c>
      <c r="C6" s="94" t="n"/>
      <c r="D6" s="94" t="n"/>
      <c r="E6" s="94" t="n"/>
      <c r="F6" s="7" t="n"/>
      <c r="G6" s="94" t="n"/>
      <c r="H6" s="93" t="n">
        <v>0</v>
      </c>
      <c r="I6" s="94" t="n"/>
      <c r="J6" s="94">
        <f>N6/Donnees_annuelles!D6</f>
        <v/>
      </c>
      <c r="K6" s="94">
        <f>O6/Donnees_annuelles!D6</f>
        <v/>
      </c>
      <c r="L6" s="93" t="n">
        <v>0</v>
      </c>
      <c r="M6" s="87" t="n">
        <v>1</v>
      </c>
      <c r="N6" s="14">
        <f>Donnees_annuelles!N6</f>
        <v/>
      </c>
      <c r="O6" s="14">
        <f>Donnees_annuelles!O6</f>
        <v/>
      </c>
      <c r="P6" s="14">
        <f>N6+O6</f>
        <v/>
      </c>
      <c r="Q6" s="14">
        <f>Donnees_annuelles!D6*L6</f>
        <v/>
      </c>
      <c r="R6" s="114">
        <f>P6/Donnees_annuelles!AA6*Donnees_annuelles!AI6/Donnees_annuelles!AG6</f>
        <v/>
      </c>
      <c r="S6" s="114">
        <f>P6/Donnees_annuelles!AA6*Donnees_annuelles!AJ6/Donnees_annuelles!AH6</f>
        <v/>
      </c>
    </row>
    <row r="7">
      <c r="A7" s="84" t="inlineStr">
        <is>
          <t>Privé</t>
        </is>
      </c>
      <c r="B7" s="88" t="n">
        <v>1949</v>
      </c>
      <c r="C7" s="94" t="n"/>
      <c r="D7" s="94" t="n"/>
      <c r="E7" s="94" t="n"/>
      <c r="F7" s="7" t="n"/>
      <c r="G7" s="94" t="n"/>
      <c r="H7" s="93" t="n">
        <v>0</v>
      </c>
      <c r="I7" s="94" t="n"/>
      <c r="J7" s="94">
        <f>N7/Donnees_annuelles!D7</f>
        <v/>
      </c>
      <c r="K7" s="94">
        <f>O7/Donnees_annuelles!D7</f>
        <v/>
      </c>
      <c r="L7" s="93" t="n">
        <v>0</v>
      </c>
      <c r="M7" s="87" t="n">
        <v>1</v>
      </c>
      <c r="N7" s="14">
        <f>Donnees_annuelles!N7</f>
        <v/>
      </c>
      <c r="O7" s="14">
        <f>Donnees_annuelles!O7</f>
        <v/>
      </c>
      <c r="P7" s="14">
        <f>N7+O7</f>
        <v/>
      </c>
      <c r="Q7" s="14">
        <f>Donnees_annuelles!D7*L7</f>
        <v/>
      </c>
      <c r="R7" s="114">
        <f>P7/Donnees_annuelles!AA7*Donnees_annuelles!AI7/Donnees_annuelles!AG7</f>
        <v/>
      </c>
      <c r="S7" s="114">
        <f>P7/Donnees_annuelles!AA7*Donnees_annuelles!AJ7/Donnees_annuelles!AH7</f>
        <v/>
      </c>
    </row>
    <row r="8">
      <c r="A8" s="84" t="inlineStr">
        <is>
          <t>Privé</t>
        </is>
      </c>
      <c r="B8" s="88" t="n">
        <v>1950</v>
      </c>
      <c r="C8" s="94" t="n"/>
      <c r="D8" s="94" t="n"/>
      <c r="E8" s="94" t="n"/>
      <c r="F8" s="7" t="n"/>
      <c r="G8" s="94" t="n"/>
      <c r="H8" s="93" t="n">
        <v>0</v>
      </c>
      <c r="I8" s="94" t="n"/>
      <c r="J8" s="94">
        <f>N8/Donnees_annuelles!D8</f>
        <v/>
      </c>
      <c r="K8" s="94">
        <f>O8/Donnees_annuelles!D8</f>
        <v/>
      </c>
      <c r="L8" s="93" t="n">
        <v>0</v>
      </c>
      <c r="M8" s="87" t="n">
        <v>1</v>
      </c>
      <c r="N8" s="14">
        <f>Donnees_annuelles!N8</f>
        <v/>
      </c>
      <c r="O8" s="14">
        <f>Donnees_annuelles!O8</f>
        <v/>
      </c>
      <c r="P8" s="14">
        <f>N8+O8</f>
        <v/>
      </c>
      <c r="Q8" s="14">
        <f>Donnees_annuelles!D8*L8</f>
        <v/>
      </c>
      <c r="R8" s="114">
        <f>P8/Donnees_annuelles!AA8*Donnees_annuelles!AI8/Donnees_annuelles!AG8</f>
        <v/>
      </c>
      <c r="S8" s="114">
        <f>P8/Donnees_annuelles!AA8*Donnees_annuelles!AJ8/Donnees_annuelles!AH8</f>
        <v/>
      </c>
    </row>
    <row r="9">
      <c r="A9" s="84" t="inlineStr">
        <is>
          <t>Privé</t>
        </is>
      </c>
      <c r="B9" s="88" t="n">
        <v>1951</v>
      </c>
      <c r="C9" s="94" t="n"/>
      <c r="D9" s="94" t="n"/>
      <c r="E9" s="94" t="n"/>
      <c r="F9" s="7" t="n"/>
      <c r="G9" s="94" t="n"/>
      <c r="H9" s="93" t="n">
        <v>0</v>
      </c>
      <c r="I9" s="94" t="n"/>
      <c r="J9" s="94">
        <f>N9/Donnees_annuelles!D9</f>
        <v/>
      </c>
      <c r="K9" s="94">
        <f>O9/Donnees_annuelles!D9</f>
        <v/>
      </c>
      <c r="L9" s="93" t="n">
        <v>0</v>
      </c>
      <c r="M9" s="87" t="n">
        <v>1</v>
      </c>
      <c r="N9" s="14">
        <f>Donnees_annuelles!N9</f>
        <v/>
      </c>
      <c r="O9" s="14">
        <f>Donnees_annuelles!O9</f>
        <v/>
      </c>
      <c r="P9" s="14">
        <f>N9+O9</f>
        <v/>
      </c>
      <c r="Q9" s="14">
        <f>Donnees_annuelles!D9*L9</f>
        <v/>
      </c>
      <c r="R9" s="114">
        <f>P9/Donnees_annuelles!AA9*Donnees_annuelles!AI9/Donnees_annuelles!AG9</f>
        <v/>
      </c>
      <c r="S9" s="114">
        <f>P9/Donnees_annuelles!AA9*Donnees_annuelles!AJ9/Donnees_annuelles!AH9</f>
        <v/>
      </c>
    </row>
    <row r="10">
      <c r="A10" s="84" t="inlineStr">
        <is>
          <t>Privé</t>
        </is>
      </c>
      <c r="B10" s="88" t="n">
        <v>1952</v>
      </c>
      <c r="C10" s="94" t="n"/>
      <c r="D10" s="94" t="n"/>
      <c r="E10" s="94" t="n"/>
      <c r="F10" s="7" t="n"/>
      <c r="G10" s="94" t="n"/>
      <c r="H10" s="93" t="n">
        <v>0</v>
      </c>
      <c r="I10" s="94" t="n"/>
      <c r="J10" s="94">
        <f>N10/Donnees_annuelles!D10</f>
        <v/>
      </c>
      <c r="K10" s="94">
        <f>O10/Donnees_annuelles!D10</f>
        <v/>
      </c>
      <c r="L10" s="93" t="n">
        <v>0</v>
      </c>
      <c r="M10" s="87" t="n">
        <v>1</v>
      </c>
      <c r="N10" s="14">
        <f>Donnees_annuelles!N10</f>
        <v/>
      </c>
      <c r="O10" s="14">
        <f>Donnees_annuelles!O10</f>
        <v/>
      </c>
      <c r="P10" s="14">
        <f>N10+O10</f>
        <v/>
      </c>
      <c r="Q10" s="14">
        <f>Donnees_annuelles!D10*L10</f>
        <v/>
      </c>
      <c r="R10" s="114">
        <f>P10/Donnees_annuelles!AA10*Donnees_annuelles!AI10/Donnees_annuelles!AG10</f>
        <v/>
      </c>
      <c r="S10" s="114">
        <f>P10/Donnees_annuelles!AA10*Donnees_annuelles!AJ10/Donnees_annuelles!AH10</f>
        <v/>
      </c>
    </row>
    <row r="11">
      <c r="A11" s="84" t="inlineStr">
        <is>
          <t>Privé</t>
        </is>
      </c>
      <c r="B11" s="88" t="n">
        <v>1953</v>
      </c>
      <c r="C11" s="94" t="n"/>
      <c r="D11" s="94" t="n"/>
      <c r="E11" s="94" t="n"/>
      <c r="F11" s="7" t="n"/>
      <c r="G11" s="94" t="n"/>
      <c r="H11" s="93" t="n">
        <v>0</v>
      </c>
      <c r="I11" s="94" t="n"/>
      <c r="J11" s="94">
        <f>N11/Donnees_annuelles!D11</f>
        <v/>
      </c>
      <c r="K11" s="94">
        <f>O11/Donnees_annuelles!D11</f>
        <v/>
      </c>
      <c r="L11" s="93" t="n">
        <v>0</v>
      </c>
      <c r="M11" s="87" t="n">
        <v>1</v>
      </c>
      <c r="N11" s="14">
        <f>Donnees_annuelles!N11</f>
        <v/>
      </c>
      <c r="O11" s="14">
        <f>Donnees_annuelles!O11</f>
        <v/>
      </c>
      <c r="P11" s="14">
        <f>N11+O11</f>
        <v/>
      </c>
      <c r="Q11" s="14">
        <f>Donnees_annuelles!D11*L11</f>
        <v/>
      </c>
      <c r="R11" s="114">
        <f>P11/Donnees_annuelles!AA11*Donnees_annuelles!AI11/Donnees_annuelles!AG11</f>
        <v/>
      </c>
      <c r="S11" s="114">
        <f>P11/Donnees_annuelles!AA11*Donnees_annuelles!AJ11/Donnees_annuelles!AH11</f>
        <v/>
      </c>
    </row>
    <row r="12">
      <c r="A12" s="84" t="inlineStr">
        <is>
          <t>Privé</t>
        </is>
      </c>
      <c r="B12" s="88" t="n">
        <v>1954</v>
      </c>
      <c r="C12" s="94" t="n"/>
      <c r="D12" s="94" t="n"/>
      <c r="E12" s="94" t="n"/>
      <c r="F12" s="7" t="n"/>
      <c r="G12" s="94" t="n"/>
      <c r="H12" s="93" t="n">
        <v>0</v>
      </c>
      <c r="I12" s="94" t="n"/>
      <c r="J12" s="94">
        <f>N12/Donnees_annuelles!D12</f>
        <v/>
      </c>
      <c r="K12" s="94">
        <f>O12/Donnees_annuelles!D12</f>
        <v/>
      </c>
      <c r="L12" s="93" t="n">
        <v>0</v>
      </c>
      <c r="M12" s="87" t="n">
        <v>1</v>
      </c>
      <c r="N12" s="14">
        <f>Donnees_annuelles!N12</f>
        <v/>
      </c>
      <c r="O12" s="14">
        <f>Donnees_annuelles!O12</f>
        <v/>
      </c>
      <c r="P12" s="14">
        <f>N12+O12</f>
        <v/>
      </c>
      <c r="Q12" s="14">
        <f>Donnees_annuelles!D12*L12</f>
        <v/>
      </c>
      <c r="R12" s="114">
        <f>P12/Donnees_annuelles!AA12*Donnees_annuelles!AI12/Donnees_annuelles!AG12</f>
        <v/>
      </c>
      <c r="S12" s="114">
        <f>P12/Donnees_annuelles!AA12*Donnees_annuelles!AJ12/Donnees_annuelles!AH12</f>
        <v/>
      </c>
    </row>
    <row r="13">
      <c r="A13" s="84" t="inlineStr">
        <is>
          <t>Privé</t>
        </is>
      </c>
      <c r="B13" s="88" t="n">
        <v>1955</v>
      </c>
      <c r="C13" s="94" t="n"/>
      <c r="D13" s="94" t="n"/>
      <c r="E13" s="94" t="n"/>
      <c r="F13" s="7" t="n"/>
      <c r="G13" s="94" t="n"/>
      <c r="H13" s="93" t="n">
        <v>0</v>
      </c>
      <c r="I13" s="94" t="n"/>
      <c r="J13" s="94">
        <f>N13/Donnees_annuelles!D13</f>
        <v/>
      </c>
      <c r="K13" s="94">
        <f>O13/Donnees_annuelles!D13</f>
        <v/>
      </c>
      <c r="L13" s="93" t="n">
        <v>0</v>
      </c>
      <c r="M13" s="87" t="n">
        <v>1</v>
      </c>
      <c r="N13" s="14">
        <f>Donnees_annuelles!N13</f>
        <v/>
      </c>
      <c r="O13" s="14">
        <f>Donnees_annuelles!O13</f>
        <v/>
      </c>
      <c r="P13" s="14">
        <f>N13+O13</f>
        <v/>
      </c>
      <c r="Q13" s="14">
        <f>Donnees_annuelles!D13*L13</f>
        <v/>
      </c>
      <c r="R13" s="114">
        <f>P13/Donnees_annuelles!AA13*Donnees_annuelles!AI13/Donnees_annuelles!AG13</f>
        <v/>
      </c>
      <c r="S13" s="114">
        <f>P13/Donnees_annuelles!AA13*Donnees_annuelles!AJ13/Donnees_annuelles!AH13</f>
        <v/>
      </c>
    </row>
    <row r="14">
      <c r="A14" s="84" t="inlineStr">
        <is>
          <t>Privé</t>
        </is>
      </c>
      <c r="B14" s="88" t="n">
        <v>1956</v>
      </c>
      <c r="C14" s="94" t="n"/>
      <c r="D14" s="94" t="n"/>
      <c r="E14" s="94" t="n"/>
      <c r="F14" s="7" t="n"/>
      <c r="G14" s="94" t="n"/>
      <c r="H14" s="93" t="n">
        <v>0</v>
      </c>
      <c r="I14" s="94" t="n"/>
      <c r="J14" s="94">
        <f>N14/Donnees_annuelles!D14</f>
        <v/>
      </c>
      <c r="K14" s="94">
        <f>O14/Donnees_annuelles!D14</f>
        <v/>
      </c>
      <c r="L14" s="93" t="n">
        <v>0</v>
      </c>
      <c r="M14" s="87" t="n">
        <v>1</v>
      </c>
      <c r="N14" s="14">
        <f>Donnees_annuelles!N14</f>
        <v/>
      </c>
      <c r="O14" s="14">
        <f>Donnees_annuelles!O14</f>
        <v/>
      </c>
      <c r="P14" s="14">
        <f>N14+O14</f>
        <v/>
      </c>
      <c r="Q14" s="14">
        <f>Donnees_annuelles!D14*L14</f>
        <v/>
      </c>
      <c r="R14" s="114">
        <f>P14/Donnees_annuelles!AA14*Donnees_annuelles!AI14/Donnees_annuelles!AG14</f>
        <v/>
      </c>
      <c r="S14" s="114">
        <f>P14/Donnees_annuelles!AA14*Donnees_annuelles!AJ14/Donnees_annuelles!AH14</f>
        <v/>
      </c>
    </row>
    <row r="15">
      <c r="A15" s="84" t="inlineStr">
        <is>
          <t>Privé</t>
        </is>
      </c>
      <c r="B15" s="88" t="n">
        <v>1957</v>
      </c>
      <c r="C15" s="94" t="n"/>
      <c r="D15" s="94" t="n"/>
      <c r="E15" s="94" t="n"/>
      <c r="F15" s="7" t="n"/>
      <c r="G15" s="94" t="n"/>
      <c r="H15" s="93" t="n">
        <v>0</v>
      </c>
      <c r="I15" s="94" t="n"/>
      <c r="J15" s="94">
        <f>N15/Donnees_annuelles!D15</f>
        <v/>
      </c>
      <c r="K15" s="94">
        <f>O15/Donnees_annuelles!D15</f>
        <v/>
      </c>
      <c r="L15" s="93" t="n">
        <v>0</v>
      </c>
      <c r="M15" s="87" t="n">
        <v>1</v>
      </c>
      <c r="N15" s="14">
        <f>Donnees_annuelles!N15</f>
        <v/>
      </c>
      <c r="O15" s="14">
        <f>Donnees_annuelles!O15</f>
        <v/>
      </c>
      <c r="P15" s="14">
        <f>N15+O15</f>
        <v/>
      </c>
      <c r="Q15" s="14">
        <f>Donnees_annuelles!D15*L15</f>
        <v/>
      </c>
      <c r="R15" s="114">
        <f>P15/Donnees_annuelles!AA15*Donnees_annuelles!AI15/Donnees_annuelles!AG15</f>
        <v/>
      </c>
      <c r="S15" s="114">
        <f>P15/Donnees_annuelles!AA15*Donnees_annuelles!AJ15/Donnees_annuelles!AH15</f>
        <v/>
      </c>
    </row>
    <row r="16">
      <c r="A16" s="84" t="inlineStr">
        <is>
          <t>Privé</t>
        </is>
      </c>
      <c r="B16" s="88" t="n">
        <v>1958</v>
      </c>
      <c r="C16" s="94" t="n"/>
      <c r="D16" s="94" t="n"/>
      <c r="E16" s="94" t="n"/>
      <c r="F16" s="7" t="n"/>
      <c r="G16" s="94" t="n"/>
      <c r="H16" s="93" t="n">
        <v>0</v>
      </c>
      <c r="I16" s="94" t="n"/>
      <c r="J16" s="94">
        <f>N16/Donnees_annuelles!D16</f>
        <v/>
      </c>
      <c r="K16" s="94">
        <f>O16/Donnees_annuelles!D16</f>
        <v/>
      </c>
      <c r="L16" s="93" t="n">
        <v>0</v>
      </c>
      <c r="M16" s="87" t="n">
        <v>1</v>
      </c>
      <c r="N16" s="14">
        <f>Donnees_annuelles!N16</f>
        <v/>
      </c>
      <c r="O16" s="14">
        <f>Donnees_annuelles!O16</f>
        <v/>
      </c>
      <c r="P16" s="14">
        <f>N16+O16</f>
        <v/>
      </c>
      <c r="Q16" s="14">
        <f>Donnees_annuelles!D16*L16</f>
        <v/>
      </c>
      <c r="R16" s="114">
        <f>P16/Donnees_annuelles!AA16*Donnees_annuelles!AI16/Donnees_annuelles!AG16</f>
        <v/>
      </c>
      <c r="S16" s="114">
        <f>P16/Donnees_annuelles!AA16*Donnees_annuelles!AJ16/Donnees_annuelles!AH16</f>
        <v/>
      </c>
    </row>
    <row r="17">
      <c r="A17" s="84" t="inlineStr">
        <is>
          <t>Privé</t>
        </is>
      </c>
      <c r="B17" s="88" t="n">
        <v>1959</v>
      </c>
      <c r="C17" s="94" t="n"/>
      <c r="D17" s="94" t="n"/>
      <c r="E17" s="94" t="n"/>
      <c r="F17" s="7" t="n"/>
      <c r="G17" s="94" t="n"/>
      <c r="H17" s="93" t="n">
        <v>0</v>
      </c>
      <c r="I17" s="94" t="n"/>
      <c r="J17" s="94">
        <f>N17/Donnees_annuelles!D17</f>
        <v/>
      </c>
      <c r="K17" s="94">
        <f>O17/Donnees_annuelles!D17</f>
        <v/>
      </c>
      <c r="L17" s="93" t="n">
        <v>0</v>
      </c>
      <c r="M17" s="87" t="n">
        <v>1</v>
      </c>
      <c r="N17" s="14">
        <f>Donnees_annuelles!N17</f>
        <v/>
      </c>
      <c r="O17" s="14">
        <f>Donnees_annuelles!O17</f>
        <v/>
      </c>
      <c r="P17" s="14">
        <f>N17+O17</f>
        <v/>
      </c>
      <c r="Q17" s="14">
        <f>Donnees_annuelles!D17*L17</f>
        <v/>
      </c>
      <c r="R17" s="114">
        <f>P17/Donnees_annuelles!AA17*Donnees_annuelles!AI17/Donnees_annuelles!AG17</f>
        <v/>
      </c>
      <c r="S17" s="114">
        <f>P17/Donnees_annuelles!AA17*Donnees_annuelles!AJ17/Donnees_annuelles!AH17</f>
        <v/>
      </c>
    </row>
    <row r="18">
      <c r="A18" s="84" t="inlineStr">
        <is>
          <t>Privé</t>
        </is>
      </c>
      <c r="B18" s="88" t="n">
        <v>1960</v>
      </c>
      <c r="C18" s="94" t="n"/>
      <c r="D18" s="94" t="n"/>
      <c r="E18" s="94" t="n"/>
      <c r="F18" s="7" t="n"/>
      <c r="G18" s="94" t="n"/>
      <c r="H18" s="93" t="n">
        <v>0</v>
      </c>
      <c r="I18" s="94" t="n"/>
      <c r="J18" s="94">
        <f>N18/Donnees_annuelles!D18</f>
        <v/>
      </c>
      <c r="K18" s="94">
        <f>O18/Donnees_annuelles!D18</f>
        <v/>
      </c>
      <c r="L18" s="93" t="n">
        <v>0</v>
      </c>
      <c r="M18" s="87" t="n">
        <v>1</v>
      </c>
      <c r="N18" s="14">
        <f>Donnees_annuelles!N18</f>
        <v/>
      </c>
      <c r="O18" s="14">
        <f>Donnees_annuelles!O18</f>
        <v/>
      </c>
      <c r="P18" s="14">
        <f>N18+O18</f>
        <v/>
      </c>
      <c r="Q18" s="14">
        <f>Donnees_annuelles!D18*L18</f>
        <v/>
      </c>
      <c r="R18" s="114">
        <f>P18/Donnees_annuelles!AA18*Donnees_annuelles!AI18/Donnees_annuelles!AG18</f>
        <v/>
      </c>
      <c r="S18" s="114">
        <f>P18/Donnees_annuelles!AA18*Donnees_annuelles!AJ18/Donnees_annuelles!AH18</f>
        <v/>
      </c>
    </row>
    <row r="19">
      <c r="A19" s="84" t="inlineStr">
        <is>
          <t>Privé</t>
        </is>
      </c>
      <c r="B19" s="88" t="n">
        <v>1961</v>
      </c>
      <c r="C19" s="94" t="n"/>
      <c r="D19" s="94" t="n"/>
      <c r="E19" s="94" t="n"/>
      <c r="F19" s="7" t="n"/>
      <c r="G19" s="94" t="n"/>
      <c r="H19" s="93" t="n">
        <v>0</v>
      </c>
      <c r="I19" s="94" t="n"/>
      <c r="J19" s="94">
        <f>N19/Donnees_annuelles!D19</f>
        <v/>
      </c>
      <c r="K19" s="94">
        <f>O19/Donnees_annuelles!D19</f>
        <v/>
      </c>
      <c r="L19" s="93" t="n">
        <v>0</v>
      </c>
      <c r="M19" s="87" t="n">
        <v>1</v>
      </c>
      <c r="N19" s="14">
        <f>Donnees_annuelles!N19</f>
        <v/>
      </c>
      <c r="O19" s="14">
        <f>Donnees_annuelles!O19</f>
        <v/>
      </c>
      <c r="P19" s="14">
        <f>N19+O19</f>
        <v/>
      </c>
      <c r="Q19" s="14">
        <f>Donnees_annuelles!D19*L19</f>
        <v/>
      </c>
      <c r="R19" s="114">
        <f>P19/Donnees_annuelles!AA19*Donnees_annuelles!AI19/Donnees_annuelles!AG19</f>
        <v/>
      </c>
      <c r="S19" s="114">
        <f>P19/Donnees_annuelles!AA19*Donnees_annuelles!AJ19/Donnees_annuelles!AH19</f>
        <v/>
      </c>
    </row>
    <row r="20">
      <c r="A20" s="84" t="inlineStr">
        <is>
          <t>Privé</t>
        </is>
      </c>
      <c r="B20" s="88" t="n">
        <v>1962</v>
      </c>
      <c r="C20" s="94" t="n"/>
      <c r="D20" s="94" t="n"/>
      <c r="E20" s="94" t="n"/>
      <c r="F20" s="7" t="n"/>
      <c r="G20" s="94" t="n"/>
      <c r="H20" s="93" t="n">
        <v>0</v>
      </c>
      <c r="I20" s="94" t="n"/>
      <c r="J20" s="94">
        <f>N20/Donnees_annuelles!D20</f>
        <v/>
      </c>
      <c r="K20" s="94">
        <f>O20/Donnees_annuelles!D20</f>
        <v/>
      </c>
      <c r="L20" s="93" t="n">
        <v>0</v>
      </c>
      <c r="M20" s="87" t="n">
        <v>1</v>
      </c>
      <c r="N20" s="14">
        <f>Donnees_annuelles!N20</f>
        <v/>
      </c>
      <c r="O20" s="14">
        <f>Donnees_annuelles!O20</f>
        <v/>
      </c>
      <c r="P20" s="14">
        <f>N20+O20</f>
        <v/>
      </c>
      <c r="Q20" s="14">
        <f>Donnees_annuelles!D20*L20</f>
        <v/>
      </c>
      <c r="R20" s="114">
        <f>P20/Donnees_annuelles!AA20*Donnees_annuelles!AI20/Donnees_annuelles!AG20</f>
        <v/>
      </c>
      <c r="S20" s="114">
        <f>P20/Donnees_annuelles!AA20*Donnees_annuelles!AJ20/Donnees_annuelles!AH20</f>
        <v/>
      </c>
    </row>
    <row r="21">
      <c r="A21" s="84" t="inlineStr">
        <is>
          <t>Privé</t>
        </is>
      </c>
      <c r="B21" s="88" t="n">
        <v>1963</v>
      </c>
      <c r="C21" s="94" t="n"/>
      <c r="D21" s="94" t="n"/>
      <c r="E21" s="94" t="n"/>
      <c r="F21" s="7" t="n"/>
      <c r="G21" s="94" t="n"/>
      <c r="H21" s="93" t="n">
        <v>0</v>
      </c>
      <c r="I21" s="94" t="n"/>
      <c r="J21" s="94">
        <f>N21/Donnees_annuelles!D21</f>
        <v/>
      </c>
      <c r="K21" s="94">
        <f>O21/Donnees_annuelles!D21</f>
        <v/>
      </c>
      <c r="L21" s="93" t="n">
        <v>0</v>
      </c>
      <c r="M21" s="87" t="n">
        <v>1</v>
      </c>
      <c r="N21" s="14">
        <f>Donnees_annuelles!N21</f>
        <v/>
      </c>
      <c r="O21" s="14">
        <f>Donnees_annuelles!O21</f>
        <v/>
      </c>
      <c r="P21" s="14">
        <f>N21+O21</f>
        <v/>
      </c>
      <c r="Q21" s="14">
        <f>Donnees_annuelles!D21*L21</f>
        <v/>
      </c>
      <c r="R21" s="114">
        <f>P21/Donnees_annuelles!AA21*Donnees_annuelles!AI21/Donnees_annuelles!AG21</f>
        <v/>
      </c>
      <c r="S21" s="114">
        <f>P21/Donnees_annuelles!AA21*Donnees_annuelles!AJ21/Donnees_annuelles!AH21</f>
        <v/>
      </c>
    </row>
    <row r="22">
      <c r="A22" s="84" t="inlineStr">
        <is>
          <t>Privé</t>
        </is>
      </c>
      <c r="B22" s="88" t="n">
        <v>1964</v>
      </c>
      <c r="C22" s="94" t="n"/>
      <c r="D22" s="94" t="n"/>
      <c r="E22" s="94" t="n"/>
      <c r="F22" s="7" t="n"/>
      <c r="G22" s="94" t="n"/>
      <c r="H22" s="93" t="n">
        <v>0</v>
      </c>
      <c r="I22" s="94" t="n"/>
      <c r="J22" s="94">
        <f>N22/Donnees_annuelles!D22</f>
        <v/>
      </c>
      <c r="K22" s="94">
        <f>O22/Donnees_annuelles!D22</f>
        <v/>
      </c>
      <c r="L22" s="93" t="n">
        <v>0</v>
      </c>
      <c r="M22" s="87" t="n">
        <v>1</v>
      </c>
      <c r="N22" s="14">
        <f>Donnees_annuelles!N22</f>
        <v/>
      </c>
      <c r="O22" s="14">
        <f>Donnees_annuelles!O22</f>
        <v/>
      </c>
      <c r="P22" s="14">
        <f>N22+O22</f>
        <v/>
      </c>
      <c r="Q22" s="14">
        <f>Donnees_annuelles!D22*L22</f>
        <v/>
      </c>
      <c r="R22" s="114">
        <f>P22/Donnees_annuelles!AA22*Donnees_annuelles!AI22/Donnees_annuelles!AG22</f>
        <v/>
      </c>
      <c r="S22" s="114">
        <f>P22/Donnees_annuelles!AA22*Donnees_annuelles!AJ22/Donnees_annuelles!AH22</f>
        <v/>
      </c>
    </row>
    <row r="23">
      <c r="A23" s="84" t="inlineStr">
        <is>
          <t>Privé</t>
        </is>
      </c>
      <c r="B23" s="88" t="n">
        <v>1965</v>
      </c>
      <c r="C23" s="94" t="n"/>
      <c r="D23" s="94" t="n"/>
      <c r="E23" s="94" t="n"/>
      <c r="F23" s="7" t="n"/>
      <c r="G23" s="94" t="n"/>
      <c r="H23" s="93" t="n">
        <v>0</v>
      </c>
      <c r="I23" s="94" t="n"/>
      <c r="J23" s="94">
        <f>N23/Donnees_annuelles!D23</f>
        <v/>
      </c>
      <c r="K23" s="94">
        <f>O23/Donnees_annuelles!D23</f>
        <v/>
      </c>
      <c r="L23" s="93" t="n">
        <v>0</v>
      </c>
      <c r="M23" s="87" t="n">
        <v>1</v>
      </c>
      <c r="N23" s="14">
        <f>Donnees_annuelles!N23</f>
        <v/>
      </c>
      <c r="O23" s="14">
        <f>Donnees_annuelles!O23</f>
        <v/>
      </c>
      <c r="P23" s="14">
        <f>N23+O23</f>
        <v/>
      </c>
      <c r="Q23" s="14">
        <f>Donnees_annuelles!D23*L23</f>
        <v/>
      </c>
      <c r="R23" s="114">
        <f>P23/Donnees_annuelles!AA23*Donnees_annuelles!AI23/Donnees_annuelles!AG23</f>
        <v/>
      </c>
      <c r="S23" s="114">
        <f>P23/Donnees_annuelles!AA23*Donnees_annuelles!AJ23/Donnees_annuelles!AH23</f>
        <v/>
      </c>
    </row>
    <row r="24">
      <c r="A24" s="84" t="inlineStr">
        <is>
          <t>Privé</t>
        </is>
      </c>
      <c r="B24" s="88" t="n">
        <v>1966</v>
      </c>
      <c r="C24" s="94" t="n"/>
      <c r="D24" s="94" t="n"/>
      <c r="E24" s="94" t="n"/>
      <c r="F24" s="7" t="n"/>
      <c r="G24" s="94" t="n"/>
      <c r="H24" s="93" t="n">
        <v>0</v>
      </c>
      <c r="I24" s="94" t="n"/>
      <c r="J24" s="94">
        <f>N24/Donnees_annuelles!D24</f>
        <v/>
      </c>
      <c r="K24" s="94">
        <f>O24/Donnees_annuelles!D24</f>
        <v/>
      </c>
      <c r="L24" s="93" t="n">
        <v>0</v>
      </c>
      <c r="M24" s="87" t="n">
        <v>1</v>
      </c>
      <c r="N24" s="14">
        <f>Donnees_annuelles!N24</f>
        <v/>
      </c>
      <c r="O24" s="14">
        <f>Donnees_annuelles!O24</f>
        <v/>
      </c>
      <c r="P24" s="14">
        <f>N24+O24</f>
        <v/>
      </c>
      <c r="Q24" s="14">
        <f>Donnees_annuelles!D24*L24</f>
        <v/>
      </c>
      <c r="R24" s="114">
        <f>P24/Donnees_annuelles!AA24*Donnees_annuelles!AI24/Donnees_annuelles!AG24</f>
        <v/>
      </c>
      <c r="S24" s="114">
        <f>P24/Donnees_annuelles!AA24*Donnees_annuelles!AJ24/Donnees_annuelles!AH24</f>
        <v/>
      </c>
    </row>
    <row r="25">
      <c r="A25" s="84" t="inlineStr">
        <is>
          <t>Privé</t>
        </is>
      </c>
      <c r="B25" s="88" t="n">
        <v>1967</v>
      </c>
      <c r="C25" s="94" t="n"/>
      <c r="D25" s="94" t="n"/>
      <c r="E25" s="94" t="n"/>
      <c r="F25" s="7" t="n"/>
      <c r="G25" s="94" t="n"/>
      <c r="H25" s="93" t="n">
        <v>0</v>
      </c>
      <c r="I25" s="94" t="n"/>
      <c r="J25" s="94">
        <f>N25/Donnees_annuelles!D25</f>
        <v/>
      </c>
      <c r="K25" s="94">
        <f>O25/Donnees_annuelles!D25</f>
        <v/>
      </c>
      <c r="L25" s="93" t="n">
        <v>0</v>
      </c>
      <c r="M25" s="87" t="n">
        <v>1</v>
      </c>
      <c r="N25" s="14">
        <f>Donnees_annuelles!N25</f>
        <v/>
      </c>
      <c r="O25" s="14">
        <f>Donnees_annuelles!O25</f>
        <v/>
      </c>
      <c r="P25" s="14">
        <f>N25+O25</f>
        <v/>
      </c>
      <c r="Q25" s="14">
        <f>Donnees_annuelles!D25*L25</f>
        <v/>
      </c>
      <c r="R25" s="114">
        <f>P25/Donnees_annuelles!AA25*Donnees_annuelles!AI25/Donnees_annuelles!AG25</f>
        <v/>
      </c>
      <c r="S25" s="114">
        <f>P25/Donnees_annuelles!AA25*Donnees_annuelles!AJ25/Donnees_annuelles!AH25</f>
        <v/>
      </c>
    </row>
    <row r="26">
      <c r="A26" s="84" t="inlineStr">
        <is>
          <t>Privé</t>
        </is>
      </c>
      <c r="B26" s="88" t="n">
        <v>1968</v>
      </c>
      <c r="C26" s="94" t="n"/>
      <c r="D26" s="94" t="n"/>
      <c r="E26" s="94" t="n"/>
      <c r="F26" s="7" t="n"/>
      <c r="G26" s="94" t="n"/>
      <c r="H26" s="93" t="n">
        <v>0</v>
      </c>
      <c r="I26" s="94" t="n"/>
      <c r="J26" s="94">
        <f>N26/Donnees_annuelles!D26</f>
        <v/>
      </c>
      <c r="K26" s="94">
        <f>O26/Donnees_annuelles!D26</f>
        <v/>
      </c>
      <c r="L26" s="93" t="n">
        <v>0</v>
      </c>
      <c r="M26" s="87" t="n">
        <v>1</v>
      </c>
      <c r="N26" s="14">
        <f>Donnees_annuelles!N26</f>
        <v/>
      </c>
      <c r="O26" s="14">
        <f>Donnees_annuelles!O26</f>
        <v/>
      </c>
      <c r="P26" s="14">
        <f>N26+O26</f>
        <v/>
      </c>
      <c r="Q26" s="14">
        <f>Donnees_annuelles!D26*L26</f>
        <v/>
      </c>
      <c r="R26" s="114">
        <f>P26/Donnees_annuelles!AA26*Donnees_annuelles!AI26/Donnees_annuelles!AG26</f>
        <v/>
      </c>
      <c r="S26" s="114">
        <f>P26/Donnees_annuelles!AA26*Donnees_annuelles!AJ26/Donnees_annuelles!AH26</f>
        <v/>
      </c>
    </row>
    <row r="27">
      <c r="A27" s="84" t="inlineStr">
        <is>
          <t>Privé</t>
        </is>
      </c>
      <c r="B27" s="88" t="n">
        <v>1969</v>
      </c>
      <c r="C27" s="94" t="n"/>
      <c r="D27" s="94" t="n"/>
      <c r="E27" s="94" t="n"/>
      <c r="F27" s="7" t="n"/>
      <c r="G27" s="94" t="n"/>
      <c r="H27" s="93" t="n">
        <v>0</v>
      </c>
      <c r="I27" s="94" t="n"/>
      <c r="J27" s="94">
        <f>N27/Donnees_annuelles!D27</f>
        <v/>
      </c>
      <c r="K27" s="94">
        <f>O27/Donnees_annuelles!D27</f>
        <v/>
      </c>
      <c r="L27" s="93" t="n">
        <v>0</v>
      </c>
      <c r="M27" s="87" t="n">
        <v>1</v>
      </c>
      <c r="N27" s="14">
        <f>Donnees_annuelles!N27</f>
        <v/>
      </c>
      <c r="O27" s="14">
        <f>Donnees_annuelles!O27</f>
        <v/>
      </c>
      <c r="P27" s="14">
        <f>N27+O27</f>
        <v/>
      </c>
      <c r="Q27" s="14">
        <f>Donnees_annuelles!D27*L27</f>
        <v/>
      </c>
      <c r="R27" s="114">
        <f>P27/Donnees_annuelles!AA27*Donnees_annuelles!AI27/Donnees_annuelles!AG27</f>
        <v/>
      </c>
      <c r="S27" s="114">
        <f>P27/Donnees_annuelles!AA27*Donnees_annuelles!AJ27/Donnees_annuelles!AH27</f>
        <v/>
      </c>
    </row>
    <row r="28">
      <c r="A28" s="84" t="inlineStr">
        <is>
          <t>Privé</t>
        </is>
      </c>
      <c r="B28" s="88" t="n">
        <v>1970</v>
      </c>
      <c r="C28" s="94" t="n"/>
      <c r="D28" s="94" t="n"/>
      <c r="E28" s="94" t="n"/>
      <c r="F28" s="7" t="n"/>
      <c r="G28" s="94" t="n"/>
      <c r="H28" s="93" t="n">
        <v>0</v>
      </c>
      <c r="I28" s="94" t="n"/>
      <c r="J28" s="94">
        <f>N28/Donnees_annuelles!D28</f>
        <v/>
      </c>
      <c r="K28" s="94">
        <f>O28/Donnees_annuelles!D28</f>
        <v/>
      </c>
      <c r="L28" s="93" t="n">
        <v>0</v>
      </c>
      <c r="M28" s="87" t="n">
        <v>1</v>
      </c>
      <c r="N28" s="14">
        <f>Donnees_annuelles!N28</f>
        <v/>
      </c>
      <c r="O28" s="14">
        <f>Donnees_annuelles!O28</f>
        <v/>
      </c>
      <c r="P28" s="14">
        <f>N28+O28</f>
        <v/>
      </c>
      <c r="Q28" s="14">
        <f>Donnees_annuelles!D28*L28</f>
        <v/>
      </c>
      <c r="R28" s="114">
        <f>P28/Donnees_annuelles!AA28*Donnees_annuelles!AI28/Donnees_annuelles!AG28</f>
        <v/>
      </c>
      <c r="S28" s="114">
        <f>P28/Donnees_annuelles!AA28*Donnees_annuelles!AJ28/Donnees_annuelles!AH28</f>
        <v/>
      </c>
    </row>
    <row r="29">
      <c r="A29" s="84" t="inlineStr">
        <is>
          <t>Privé</t>
        </is>
      </c>
      <c r="B29" s="88" t="n">
        <v>1971</v>
      </c>
      <c r="C29" s="94" t="n"/>
      <c r="D29" s="94" t="n"/>
      <c r="E29" s="94" t="n"/>
      <c r="F29" s="7" t="n"/>
      <c r="G29" s="94" t="n"/>
      <c r="H29" s="93" t="n">
        <v>0</v>
      </c>
      <c r="I29" s="94" t="n"/>
      <c r="J29" s="94">
        <f>N29/Donnees_annuelles!D29</f>
        <v/>
      </c>
      <c r="K29" s="94">
        <f>O29/Donnees_annuelles!D29</f>
        <v/>
      </c>
      <c r="L29" s="93" t="n">
        <v>0</v>
      </c>
      <c r="M29" s="87" t="n">
        <v>1</v>
      </c>
      <c r="N29" s="14">
        <f>Donnees_annuelles!N29</f>
        <v/>
      </c>
      <c r="O29" s="14">
        <f>Donnees_annuelles!O29</f>
        <v/>
      </c>
      <c r="P29" s="14">
        <f>N29+O29</f>
        <v/>
      </c>
      <c r="Q29" s="14">
        <f>Donnees_annuelles!D29*L29</f>
        <v/>
      </c>
      <c r="R29" s="114">
        <f>P29/Donnees_annuelles!AA29*Donnees_annuelles!AI29/Donnees_annuelles!AG29</f>
        <v/>
      </c>
      <c r="S29" s="114">
        <f>P29/Donnees_annuelles!AA29*Donnees_annuelles!AJ29/Donnees_annuelles!AH29</f>
        <v/>
      </c>
    </row>
    <row r="30">
      <c r="A30" s="84" t="inlineStr">
        <is>
          <t>Privé</t>
        </is>
      </c>
      <c r="B30" s="88" t="n">
        <v>1972</v>
      </c>
      <c r="C30" s="94" t="n"/>
      <c r="D30" s="94" t="n"/>
      <c r="E30" s="94" t="n"/>
      <c r="F30" s="7" t="n"/>
      <c r="G30" s="94" t="n"/>
      <c r="H30" s="93" t="n">
        <v>0</v>
      </c>
      <c r="I30" s="94" t="n"/>
      <c r="J30" s="94">
        <f>N30/Donnees_annuelles!D30</f>
        <v/>
      </c>
      <c r="K30" s="94">
        <f>O30/Donnees_annuelles!D30</f>
        <v/>
      </c>
      <c r="L30" s="93" t="n">
        <v>0</v>
      </c>
      <c r="M30" s="87" t="n">
        <v>1</v>
      </c>
      <c r="N30" s="14">
        <f>Donnees_annuelles!N30</f>
        <v/>
      </c>
      <c r="O30" s="14">
        <f>Donnees_annuelles!O30</f>
        <v/>
      </c>
      <c r="P30" s="14">
        <f>N30+O30</f>
        <v/>
      </c>
      <c r="Q30" s="14">
        <f>Donnees_annuelles!D30*L30</f>
        <v/>
      </c>
      <c r="R30" s="114">
        <f>P30/Donnees_annuelles!AA30*Donnees_annuelles!AI30/Donnees_annuelles!AG30</f>
        <v/>
      </c>
      <c r="S30" s="114">
        <f>P30/Donnees_annuelles!AA30*Donnees_annuelles!AJ30/Donnees_annuelles!AH30</f>
        <v/>
      </c>
    </row>
    <row r="31">
      <c r="A31" s="84" t="inlineStr">
        <is>
          <t>Privé</t>
        </is>
      </c>
      <c r="B31" s="88" t="n">
        <v>1973</v>
      </c>
      <c r="C31" s="94" t="n"/>
      <c r="D31" s="94" t="n"/>
      <c r="E31" s="94" t="n"/>
      <c r="F31" s="7" t="n"/>
      <c r="G31" s="94" t="n"/>
      <c r="H31" s="93" t="n">
        <v>0</v>
      </c>
      <c r="I31" s="94" t="n"/>
      <c r="J31" s="94">
        <f>N31/Donnees_annuelles!D31</f>
        <v/>
      </c>
      <c r="K31" s="94">
        <f>O31/Donnees_annuelles!D31</f>
        <v/>
      </c>
      <c r="L31" s="93" t="n">
        <v>0</v>
      </c>
      <c r="M31" s="87" t="n">
        <v>1</v>
      </c>
      <c r="N31" s="14">
        <f>Donnees_annuelles!N31</f>
        <v/>
      </c>
      <c r="O31" s="14">
        <f>Donnees_annuelles!O31</f>
        <v/>
      </c>
      <c r="P31" s="14">
        <f>N31+O31</f>
        <v/>
      </c>
      <c r="Q31" s="14">
        <f>Donnees_annuelles!D31*L31</f>
        <v/>
      </c>
      <c r="R31" s="114">
        <f>P31/Donnees_annuelles!AA31*Donnees_annuelles!AI31/Donnees_annuelles!AG31</f>
        <v/>
      </c>
      <c r="S31" s="114">
        <f>P31/Donnees_annuelles!AA31*Donnees_annuelles!AJ31/Donnees_annuelles!AH31</f>
        <v/>
      </c>
    </row>
    <row r="32">
      <c r="A32" s="84" t="inlineStr">
        <is>
          <t>Privé</t>
        </is>
      </c>
      <c r="B32" s="88" t="n">
        <v>1974</v>
      </c>
      <c r="C32" s="94" t="n"/>
      <c r="D32" s="94" t="n"/>
      <c r="E32" s="94" t="n"/>
      <c r="F32" s="7" t="n"/>
      <c r="G32" s="94" t="n"/>
      <c r="H32" s="93" t="n">
        <v>0</v>
      </c>
      <c r="I32" s="94" t="n"/>
      <c r="J32" s="94">
        <f>N32/Donnees_annuelles!D32</f>
        <v/>
      </c>
      <c r="K32" s="94">
        <f>O32/Donnees_annuelles!D32</f>
        <v/>
      </c>
      <c r="L32" s="93" t="n">
        <v>0</v>
      </c>
      <c r="M32" s="87" t="n">
        <v>1</v>
      </c>
      <c r="N32" s="14">
        <f>Donnees_annuelles!N32</f>
        <v/>
      </c>
      <c r="O32" s="14">
        <f>Donnees_annuelles!O32</f>
        <v/>
      </c>
      <c r="P32" s="14">
        <f>N32+O32</f>
        <v/>
      </c>
      <c r="Q32" s="14">
        <f>Donnees_annuelles!D32*L32</f>
        <v/>
      </c>
      <c r="R32" s="114">
        <f>P32/Donnees_annuelles!AA32*Donnees_annuelles!AI32/Donnees_annuelles!AG32</f>
        <v/>
      </c>
      <c r="S32" s="114">
        <f>P32/Donnees_annuelles!AA32*Donnees_annuelles!AJ32/Donnees_annuelles!AH32</f>
        <v/>
      </c>
    </row>
    <row r="33">
      <c r="A33" s="84" t="inlineStr">
        <is>
          <t>Privé</t>
        </is>
      </c>
      <c r="B33" s="88" t="n">
        <v>1975</v>
      </c>
      <c r="C33" s="94" t="n"/>
      <c r="D33" s="94" t="n"/>
      <c r="E33" s="94" t="n"/>
      <c r="F33" s="7" t="n"/>
      <c r="G33" s="94" t="n"/>
      <c r="H33" s="93" t="n">
        <v>0</v>
      </c>
      <c r="I33" s="94" t="n"/>
      <c r="J33" s="94">
        <f>N33/Donnees_annuelles!D33</f>
        <v/>
      </c>
      <c r="K33" s="94">
        <f>O33/Donnees_annuelles!D33</f>
        <v/>
      </c>
      <c r="L33" s="93" t="n">
        <v>0</v>
      </c>
      <c r="M33" s="87" t="n">
        <v>1</v>
      </c>
      <c r="N33" s="14">
        <f>Donnees_annuelles!N33</f>
        <v/>
      </c>
      <c r="O33" s="14">
        <f>Donnees_annuelles!O33</f>
        <v/>
      </c>
      <c r="P33" s="14">
        <f>N33+O33</f>
        <v/>
      </c>
      <c r="Q33" s="14">
        <f>Donnees_annuelles!D33*L33</f>
        <v/>
      </c>
      <c r="R33" s="114">
        <f>P33/Donnees_annuelles!AA33*Donnees_annuelles!AI33/Donnees_annuelles!AG33</f>
        <v/>
      </c>
      <c r="S33" s="114">
        <f>P33/Donnees_annuelles!AA33*Donnees_annuelles!AJ33/Donnees_annuelles!AH33</f>
        <v/>
      </c>
    </row>
    <row r="34">
      <c r="A34" s="84" t="inlineStr">
        <is>
          <t>Privé</t>
        </is>
      </c>
      <c r="B34" s="88" t="n">
        <v>1976</v>
      </c>
      <c r="C34" s="94" t="n"/>
      <c r="D34" s="94" t="n"/>
      <c r="E34" s="94" t="n"/>
      <c r="F34" s="7" t="n"/>
      <c r="G34" s="94" t="n"/>
      <c r="H34" s="93" t="n">
        <v>0</v>
      </c>
      <c r="I34" s="94" t="n"/>
      <c r="J34" s="94">
        <f>N34/Donnees_annuelles!D34</f>
        <v/>
      </c>
      <c r="K34" s="94">
        <f>O34/Donnees_annuelles!D34</f>
        <v/>
      </c>
      <c r="L34" s="93" t="n">
        <v>0</v>
      </c>
      <c r="M34" s="87" t="n">
        <v>1</v>
      </c>
      <c r="N34" s="14">
        <f>Donnees_annuelles!N34</f>
        <v/>
      </c>
      <c r="O34" s="14">
        <f>Donnees_annuelles!O34</f>
        <v/>
      </c>
      <c r="P34" s="14">
        <f>N34+O34</f>
        <v/>
      </c>
      <c r="Q34" s="14">
        <f>Donnees_annuelles!D34*L34</f>
        <v/>
      </c>
      <c r="R34" s="114">
        <f>P34/Donnees_annuelles!AA34*Donnees_annuelles!AI34/Donnees_annuelles!AG34</f>
        <v/>
      </c>
      <c r="S34" s="114">
        <f>P34/Donnees_annuelles!AA34*Donnees_annuelles!AJ34/Donnees_annuelles!AH34</f>
        <v/>
      </c>
    </row>
    <row r="35">
      <c r="A35" s="84" t="inlineStr">
        <is>
          <t>Privé</t>
        </is>
      </c>
      <c r="B35" s="88" t="n">
        <v>1977</v>
      </c>
      <c r="C35" s="94" t="n"/>
      <c r="D35" s="94" t="n"/>
      <c r="E35" s="94" t="n"/>
      <c r="F35" s="7" t="n"/>
      <c r="G35" s="94" t="n"/>
      <c r="H35" s="93" t="n">
        <v>0</v>
      </c>
      <c r="I35" s="94" t="n"/>
      <c r="J35" s="94">
        <f>N35/Donnees_annuelles!D35</f>
        <v/>
      </c>
      <c r="K35" s="94">
        <f>O35/Donnees_annuelles!D35</f>
        <v/>
      </c>
      <c r="L35" s="93" t="n">
        <v>0</v>
      </c>
      <c r="M35" s="87" t="n">
        <v>1</v>
      </c>
      <c r="N35" s="14">
        <f>Donnees_annuelles!N35</f>
        <v/>
      </c>
      <c r="O35" s="14">
        <f>Donnees_annuelles!O35</f>
        <v/>
      </c>
      <c r="P35" s="14">
        <f>N35+O35</f>
        <v/>
      </c>
      <c r="Q35" s="14">
        <f>Donnees_annuelles!D35*L35</f>
        <v/>
      </c>
      <c r="R35" s="114">
        <f>P35/Donnees_annuelles!AA35*Donnees_annuelles!AI35/Donnees_annuelles!AG35</f>
        <v/>
      </c>
      <c r="S35" s="114">
        <f>P35/Donnees_annuelles!AA35*Donnees_annuelles!AJ35/Donnees_annuelles!AH35</f>
        <v/>
      </c>
    </row>
    <row r="36">
      <c r="A36" s="84" t="inlineStr">
        <is>
          <t>Privé</t>
        </is>
      </c>
      <c r="B36" s="88" t="n">
        <v>1978</v>
      </c>
      <c r="C36" s="94" t="n"/>
      <c r="D36" s="94" t="n"/>
      <c r="E36" s="94" t="n"/>
      <c r="F36" s="7" t="n"/>
      <c r="G36" s="94" t="n"/>
      <c r="H36" s="93" t="n">
        <v>0</v>
      </c>
      <c r="I36" s="94" t="n"/>
      <c r="J36" s="94">
        <f>N36/Donnees_annuelles!D36</f>
        <v/>
      </c>
      <c r="K36" s="94">
        <f>O36/Donnees_annuelles!D36</f>
        <v/>
      </c>
      <c r="L36" s="93" t="n">
        <v>0</v>
      </c>
      <c r="M36" s="87" t="n">
        <v>1</v>
      </c>
      <c r="N36" s="14">
        <f>Donnees_annuelles!N36</f>
        <v/>
      </c>
      <c r="O36" s="14">
        <f>Donnees_annuelles!O36</f>
        <v/>
      </c>
      <c r="P36" s="14">
        <f>N36+O36</f>
        <v/>
      </c>
      <c r="Q36" s="14">
        <f>Donnees_annuelles!D36*L36</f>
        <v/>
      </c>
      <c r="R36" s="114">
        <f>P36/Donnees_annuelles!AA36*Donnees_annuelles!AI36/Donnees_annuelles!AG36</f>
        <v/>
      </c>
      <c r="S36" s="114">
        <f>P36/Donnees_annuelles!AA36*Donnees_annuelles!AJ36/Donnees_annuelles!AH36</f>
        <v/>
      </c>
    </row>
    <row r="37">
      <c r="A37" s="84" t="inlineStr">
        <is>
          <t>Privé</t>
        </is>
      </c>
      <c r="B37" s="88" t="n">
        <v>1979</v>
      </c>
      <c r="C37" s="94" t="n"/>
      <c r="D37" s="94" t="n"/>
      <c r="E37" s="94" t="n"/>
      <c r="F37" s="7" t="n"/>
      <c r="G37" s="94" t="n"/>
      <c r="H37" s="93" t="n">
        <v>0</v>
      </c>
      <c r="I37" s="94" t="n"/>
      <c r="J37" s="94">
        <f>N37/Donnees_annuelles!D37</f>
        <v/>
      </c>
      <c r="K37" s="94">
        <f>O37/Donnees_annuelles!D37</f>
        <v/>
      </c>
      <c r="L37" s="93" t="n">
        <v>0</v>
      </c>
      <c r="M37" s="87" t="n">
        <v>1</v>
      </c>
      <c r="N37" s="14">
        <f>Donnees_annuelles!N37</f>
        <v/>
      </c>
      <c r="O37" s="14">
        <f>Donnees_annuelles!O37</f>
        <v/>
      </c>
      <c r="P37" s="14">
        <f>N37+O37</f>
        <v/>
      </c>
      <c r="Q37" s="14">
        <f>Donnees_annuelles!D37*L37</f>
        <v/>
      </c>
      <c r="R37" s="114">
        <f>P37/Donnees_annuelles!AA37*Donnees_annuelles!AI37/Donnees_annuelles!AG37</f>
        <v/>
      </c>
      <c r="S37" s="114">
        <f>P37/Donnees_annuelles!AA37*Donnees_annuelles!AJ37/Donnees_annuelles!AH37</f>
        <v/>
      </c>
    </row>
    <row r="38">
      <c r="A38" s="84" t="inlineStr">
        <is>
          <t>Privé</t>
        </is>
      </c>
      <c r="B38" s="88" t="n">
        <v>1980</v>
      </c>
      <c r="C38" s="94" t="n"/>
      <c r="D38" s="94" t="n"/>
      <c r="E38" s="94" t="n"/>
      <c r="F38" s="7" t="n"/>
      <c r="G38" s="94" t="n"/>
      <c r="H38" s="93" t="n">
        <v>0</v>
      </c>
      <c r="I38" s="94" t="n"/>
      <c r="J38" s="94">
        <f>N38/Donnees_annuelles!D38</f>
        <v/>
      </c>
      <c r="K38" s="94">
        <f>O38/Donnees_annuelles!D38</f>
        <v/>
      </c>
      <c r="L38" s="93" t="n">
        <v>0</v>
      </c>
      <c r="M38" s="87" t="n">
        <v>1</v>
      </c>
      <c r="N38" s="14">
        <f>Donnees_annuelles!N38</f>
        <v/>
      </c>
      <c r="O38" s="14">
        <f>Donnees_annuelles!O38</f>
        <v/>
      </c>
      <c r="P38" s="14">
        <f>N38+O38</f>
        <v/>
      </c>
      <c r="Q38" s="14">
        <f>Donnees_annuelles!D38*L38</f>
        <v/>
      </c>
      <c r="R38" s="114">
        <f>P38/Donnees_annuelles!AA38*Donnees_annuelles!AI38/Donnees_annuelles!AG38</f>
        <v/>
      </c>
      <c r="S38" s="114">
        <f>P38/Donnees_annuelles!AA38*Donnees_annuelles!AJ38/Donnees_annuelles!AH38</f>
        <v/>
      </c>
    </row>
    <row r="39">
      <c r="A39" s="84" t="inlineStr">
        <is>
          <t>Privé</t>
        </is>
      </c>
      <c r="B39" s="88" t="n">
        <v>1981</v>
      </c>
      <c r="C39" s="94" t="n"/>
      <c r="D39" s="94" t="n"/>
      <c r="E39" s="94" t="n"/>
      <c r="F39" s="7" t="n"/>
      <c r="G39" s="94" t="n"/>
      <c r="H39" s="93" t="n">
        <v>0</v>
      </c>
      <c r="I39" s="94" t="n"/>
      <c r="J39" s="94">
        <f>N39/Donnees_annuelles!D39</f>
        <v/>
      </c>
      <c r="K39" s="94">
        <f>O39/Donnees_annuelles!D39</f>
        <v/>
      </c>
      <c r="L39" s="93" t="n">
        <v>0</v>
      </c>
      <c r="M39" s="87" t="n">
        <v>1</v>
      </c>
      <c r="N39" s="14">
        <f>Donnees_annuelles!N39</f>
        <v/>
      </c>
      <c r="O39" s="14">
        <f>Donnees_annuelles!O39</f>
        <v/>
      </c>
      <c r="P39" s="14">
        <f>N39+O39</f>
        <v/>
      </c>
      <c r="Q39" s="14">
        <f>Donnees_annuelles!D39*L39</f>
        <v/>
      </c>
      <c r="R39" s="114">
        <f>P39/Donnees_annuelles!AA39*Donnees_annuelles!AI39/Donnees_annuelles!AG39</f>
        <v/>
      </c>
      <c r="S39" s="114">
        <f>P39/Donnees_annuelles!AA39*Donnees_annuelles!AJ39/Donnees_annuelles!AH39</f>
        <v/>
      </c>
    </row>
    <row r="40">
      <c r="A40" s="84" t="inlineStr">
        <is>
          <t>Privé</t>
        </is>
      </c>
      <c r="B40" s="88" t="n">
        <v>1982</v>
      </c>
      <c r="C40" s="94" t="n"/>
      <c r="D40" s="94" t="n"/>
      <c r="E40" s="94" t="n"/>
      <c r="F40" s="7" t="n"/>
      <c r="G40" s="94" t="n"/>
      <c r="H40" s="93" t="n">
        <v>0</v>
      </c>
      <c r="I40" s="94" t="n"/>
      <c r="J40" s="94">
        <f>N40/Donnees_annuelles!D40</f>
        <v/>
      </c>
      <c r="K40" s="94">
        <f>O40/Donnees_annuelles!D40</f>
        <v/>
      </c>
      <c r="L40" s="93" t="n">
        <v>0</v>
      </c>
      <c r="M40" s="87" t="n">
        <v>1</v>
      </c>
      <c r="N40" s="14">
        <f>Donnees_annuelles!N40</f>
        <v/>
      </c>
      <c r="O40" s="14">
        <f>Donnees_annuelles!O40</f>
        <v/>
      </c>
      <c r="P40" s="14">
        <f>N40+O40</f>
        <v/>
      </c>
      <c r="Q40" s="14">
        <f>Donnees_annuelles!D40*L40</f>
        <v/>
      </c>
      <c r="R40" s="114">
        <f>P40/Donnees_annuelles!AA40*Donnees_annuelles!AI40/Donnees_annuelles!AG40</f>
        <v/>
      </c>
      <c r="S40" s="114">
        <f>P40/Donnees_annuelles!AA40*Donnees_annuelles!AJ40/Donnees_annuelles!AH40</f>
        <v/>
      </c>
    </row>
    <row r="41">
      <c r="A41" s="84" t="inlineStr">
        <is>
          <t>Privé</t>
        </is>
      </c>
      <c r="B41" s="88" t="n">
        <v>1983</v>
      </c>
      <c r="C41" s="94" t="n"/>
      <c r="D41" s="94" t="n"/>
      <c r="E41" s="94" t="n"/>
      <c r="F41" s="7" t="n"/>
      <c r="G41" s="94" t="n"/>
      <c r="H41" s="93" t="n">
        <v>0</v>
      </c>
      <c r="I41" s="94" t="n"/>
      <c r="J41" s="94">
        <f>N41/Donnees_annuelles!D41</f>
        <v/>
      </c>
      <c r="K41" s="94">
        <f>O41/Donnees_annuelles!D41</f>
        <v/>
      </c>
      <c r="L41" s="93" t="n">
        <v>0</v>
      </c>
      <c r="M41" s="87" t="n">
        <v>1</v>
      </c>
      <c r="N41" s="14">
        <f>Donnees_annuelles!N41</f>
        <v/>
      </c>
      <c r="O41" s="14">
        <f>Donnees_annuelles!O41</f>
        <v/>
      </c>
      <c r="P41" s="14">
        <f>N41+O41</f>
        <v/>
      </c>
      <c r="Q41" s="14">
        <f>Donnees_annuelles!D41*L41</f>
        <v/>
      </c>
      <c r="R41" s="114">
        <f>P41/Donnees_annuelles!AA41*Donnees_annuelles!AI41/Donnees_annuelles!AG41</f>
        <v/>
      </c>
      <c r="S41" s="114">
        <f>P41/Donnees_annuelles!AA41*Donnees_annuelles!AJ41/Donnees_annuelles!AH41</f>
        <v/>
      </c>
    </row>
    <row r="42">
      <c r="A42" s="84" t="inlineStr">
        <is>
          <t>Privé</t>
        </is>
      </c>
      <c r="B42" s="88" t="n">
        <v>1984</v>
      </c>
      <c r="C42" s="94" t="n"/>
      <c r="D42" s="94" t="n"/>
      <c r="E42" s="94" t="n"/>
      <c r="F42" s="7" t="n"/>
      <c r="G42" s="94" t="n"/>
      <c r="H42" s="93" t="n">
        <v>0</v>
      </c>
      <c r="I42" s="94" t="n"/>
      <c r="J42" s="94">
        <f>N42/Donnees_annuelles!D42</f>
        <v/>
      </c>
      <c r="K42" s="94">
        <f>O42/Donnees_annuelles!D42</f>
        <v/>
      </c>
      <c r="L42" s="93" t="n">
        <v>0</v>
      </c>
      <c r="M42" s="87" t="n">
        <v>1</v>
      </c>
      <c r="N42" s="14">
        <f>Donnees_annuelles!N42</f>
        <v/>
      </c>
      <c r="O42" s="14">
        <f>Donnees_annuelles!O42</f>
        <v/>
      </c>
      <c r="P42" s="14">
        <f>N42+O42</f>
        <v/>
      </c>
      <c r="Q42" s="14">
        <f>Donnees_annuelles!D42*L42</f>
        <v/>
      </c>
      <c r="R42" s="114">
        <f>P42/Donnees_annuelles!AA42*Donnees_annuelles!AI42/Donnees_annuelles!AG42</f>
        <v/>
      </c>
      <c r="S42" s="114">
        <f>P42/Donnees_annuelles!AA42*Donnees_annuelles!AJ42/Donnees_annuelles!AH42</f>
        <v/>
      </c>
    </row>
    <row r="43">
      <c r="A43" s="84" t="inlineStr">
        <is>
          <t>Privé</t>
        </is>
      </c>
      <c r="B43" s="88" t="n">
        <v>1985</v>
      </c>
      <c r="C43" s="94" t="n"/>
      <c r="D43" s="94" t="n"/>
      <c r="E43" s="94" t="n"/>
      <c r="F43" s="7" t="n"/>
      <c r="G43" s="94" t="n"/>
      <c r="H43" s="93" t="n">
        <v>0</v>
      </c>
      <c r="I43" s="94" t="n"/>
      <c r="J43" s="94">
        <f>N43/Donnees_annuelles!D43</f>
        <v/>
      </c>
      <c r="K43" s="94">
        <f>O43/Donnees_annuelles!D43</f>
        <v/>
      </c>
      <c r="L43" s="93" t="n">
        <v>0</v>
      </c>
      <c r="M43" s="87" t="n">
        <v>1</v>
      </c>
      <c r="N43" s="14">
        <f>Donnees_annuelles!N43</f>
        <v/>
      </c>
      <c r="O43" s="14">
        <f>Donnees_annuelles!O43</f>
        <v/>
      </c>
      <c r="P43" s="14">
        <f>N43+O43</f>
        <v/>
      </c>
      <c r="Q43" s="14">
        <f>Donnees_annuelles!D43*L43</f>
        <v/>
      </c>
      <c r="R43" s="114">
        <f>P43/Donnees_annuelles!AA43*Donnees_annuelles!AI43/Donnees_annuelles!AG43</f>
        <v/>
      </c>
      <c r="S43" s="114">
        <f>P43/Donnees_annuelles!AA43*Donnees_annuelles!AJ43/Donnees_annuelles!AH43</f>
        <v/>
      </c>
    </row>
    <row r="44">
      <c r="A44" s="84" t="inlineStr">
        <is>
          <t>Privé</t>
        </is>
      </c>
      <c r="B44" s="88" t="n">
        <v>1986</v>
      </c>
      <c r="C44" s="94" t="n"/>
      <c r="D44" s="94" t="n"/>
      <c r="E44" s="94" t="n"/>
      <c r="F44" s="7" t="n"/>
      <c r="G44" s="94" t="n"/>
      <c r="H44" s="93" t="n">
        <v>0</v>
      </c>
      <c r="I44" s="94" t="n"/>
      <c r="J44" s="94">
        <f>N44/Donnees_annuelles!D44</f>
        <v/>
      </c>
      <c r="K44" s="94">
        <f>O44/Donnees_annuelles!D44</f>
        <v/>
      </c>
      <c r="L44" s="93" t="n">
        <v>0</v>
      </c>
      <c r="M44" s="87" t="n">
        <v>1</v>
      </c>
      <c r="N44" s="14">
        <f>Donnees_annuelles!N44</f>
        <v/>
      </c>
      <c r="O44" s="14">
        <f>Donnees_annuelles!O44</f>
        <v/>
      </c>
      <c r="P44" s="14">
        <f>N44+O44</f>
        <v/>
      </c>
      <c r="Q44" s="14">
        <f>Donnees_annuelles!D44*L44</f>
        <v/>
      </c>
      <c r="R44" s="114">
        <f>P44/Donnees_annuelles!AA44*Donnees_annuelles!AI44/Donnees_annuelles!AG44</f>
        <v/>
      </c>
      <c r="S44" s="114">
        <f>P44/Donnees_annuelles!AA44*Donnees_annuelles!AJ44/Donnees_annuelles!AH44</f>
        <v/>
      </c>
    </row>
    <row r="45">
      <c r="A45" s="84" t="inlineStr">
        <is>
          <t>Privé</t>
        </is>
      </c>
      <c r="B45" s="88" t="n">
        <v>1987</v>
      </c>
      <c r="C45" s="94" t="n"/>
      <c r="D45" s="94" t="n"/>
      <c r="E45" s="94" t="n"/>
      <c r="F45" s="7" t="n"/>
      <c r="G45" s="94" t="n"/>
      <c r="H45" s="93" t="n">
        <v>0</v>
      </c>
      <c r="I45" s="94" t="n"/>
      <c r="J45" s="94">
        <f>N45/Donnees_annuelles!D45</f>
        <v/>
      </c>
      <c r="K45" s="94">
        <f>O45/Donnees_annuelles!D45</f>
        <v/>
      </c>
      <c r="L45" s="93" t="n">
        <v>0</v>
      </c>
      <c r="M45" s="87" t="n">
        <v>1</v>
      </c>
      <c r="N45" s="14">
        <f>Donnees_annuelles!N45</f>
        <v/>
      </c>
      <c r="O45" s="14">
        <f>Donnees_annuelles!O45</f>
        <v/>
      </c>
      <c r="P45" s="14">
        <f>N45+O45</f>
        <v/>
      </c>
      <c r="Q45" s="14">
        <f>Donnees_annuelles!D45*L45</f>
        <v/>
      </c>
      <c r="R45" s="114">
        <f>P45/Donnees_annuelles!AA45*Donnees_annuelles!AI45/Donnees_annuelles!AG45</f>
        <v/>
      </c>
      <c r="S45" s="114">
        <f>P45/Donnees_annuelles!AA45*Donnees_annuelles!AJ45/Donnees_annuelles!AH45</f>
        <v/>
      </c>
    </row>
    <row r="46">
      <c r="A46" s="84" t="inlineStr">
        <is>
          <t>Privé</t>
        </is>
      </c>
      <c r="B46" s="88" t="n">
        <v>1988</v>
      </c>
      <c r="C46" s="94" t="n"/>
      <c r="D46" s="94" t="n"/>
      <c r="E46" s="94" t="n"/>
      <c r="F46" s="7" t="n"/>
      <c r="G46" s="94" t="n"/>
      <c r="H46" s="93" t="n">
        <v>0</v>
      </c>
      <c r="I46" s="94" t="n"/>
      <c r="J46" s="94">
        <f>N46/Donnees_annuelles!D46</f>
        <v/>
      </c>
      <c r="K46" s="94">
        <f>O46/Donnees_annuelles!D46</f>
        <v/>
      </c>
      <c r="L46" s="93" t="n">
        <v>0</v>
      </c>
      <c r="M46" s="87" t="n">
        <v>1</v>
      </c>
      <c r="N46" s="14">
        <f>Donnees_annuelles!N46</f>
        <v/>
      </c>
      <c r="O46" s="14">
        <f>Donnees_annuelles!O46</f>
        <v/>
      </c>
      <c r="P46" s="14">
        <f>N46+O46</f>
        <v/>
      </c>
      <c r="Q46" s="14">
        <f>Donnees_annuelles!D46*L46</f>
        <v/>
      </c>
      <c r="R46" s="114">
        <f>P46/Donnees_annuelles!AA46*Donnees_annuelles!AI46/Donnees_annuelles!AG46</f>
        <v/>
      </c>
      <c r="S46" s="114">
        <f>P46/Donnees_annuelles!AA46*Donnees_annuelles!AJ46/Donnees_annuelles!AH46</f>
        <v/>
      </c>
    </row>
    <row r="47">
      <c r="A47" s="84" t="inlineStr">
        <is>
          <t>Privé</t>
        </is>
      </c>
      <c r="B47" s="88" t="n">
        <v>1989</v>
      </c>
      <c r="C47" s="94" t="n"/>
      <c r="D47" s="94" t="n"/>
      <c r="E47" s="94" t="n"/>
      <c r="F47" s="7" t="n"/>
      <c r="G47" s="94" t="n"/>
      <c r="H47" s="93" t="n">
        <v>0</v>
      </c>
      <c r="I47" s="94" t="n"/>
      <c r="J47" s="94">
        <f>N47/Donnees_annuelles!D47</f>
        <v/>
      </c>
      <c r="K47" s="94">
        <f>O47/Donnees_annuelles!D47</f>
        <v/>
      </c>
      <c r="L47" s="93" t="n">
        <v>0</v>
      </c>
      <c r="M47" s="87" t="n">
        <v>1</v>
      </c>
      <c r="N47" s="14">
        <f>Donnees_annuelles!N47</f>
        <v/>
      </c>
      <c r="O47" s="14">
        <f>Donnees_annuelles!O47</f>
        <v/>
      </c>
      <c r="P47" s="14">
        <f>N47+O47</f>
        <v/>
      </c>
      <c r="Q47" s="14">
        <f>Donnees_annuelles!D47*L47</f>
        <v/>
      </c>
      <c r="R47" s="114">
        <f>P47/Donnees_annuelles!AA47*Donnees_annuelles!AI47/Donnees_annuelles!AG47</f>
        <v/>
      </c>
      <c r="S47" s="114">
        <f>P47/Donnees_annuelles!AA47*Donnees_annuelles!AJ47/Donnees_annuelles!AH47</f>
        <v/>
      </c>
    </row>
    <row r="48">
      <c r="A48" s="84" t="inlineStr">
        <is>
          <t>Privé</t>
        </is>
      </c>
      <c r="B48" s="88" t="n">
        <v>1990</v>
      </c>
      <c r="C48" s="94" t="n"/>
      <c r="D48" s="94" t="n"/>
      <c r="E48" s="94" t="n"/>
      <c r="F48" s="7" t="n"/>
      <c r="G48" s="94" t="n"/>
      <c r="H48" s="93" t="n">
        <v>0</v>
      </c>
      <c r="I48" s="94" t="n"/>
      <c r="J48" s="94">
        <f>N48/Donnees_annuelles!D48</f>
        <v/>
      </c>
      <c r="K48" s="94">
        <f>O48/Donnees_annuelles!D48</f>
        <v/>
      </c>
      <c r="L48" s="93" t="n">
        <v>0</v>
      </c>
      <c r="M48" s="87" t="n">
        <v>1</v>
      </c>
      <c r="N48" s="14">
        <f>Donnees_annuelles!N48</f>
        <v/>
      </c>
      <c r="O48" s="14">
        <f>Donnees_annuelles!O48</f>
        <v/>
      </c>
      <c r="P48" s="14">
        <f>N48+O48</f>
        <v/>
      </c>
      <c r="Q48" s="14">
        <f>Donnees_annuelles!D48*L48</f>
        <v/>
      </c>
      <c r="R48" s="114">
        <f>P48/Donnees_annuelles!AA48*Donnees_annuelles!AI48/Donnees_annuelles!AG48</f>
        <v/>
      </c>
      <c r="S48" s="114">
        <f>P48/Donnees_annuelles!AA48*Donnees_annuelles!AJ48/Donnees_annuelles!AH48</f>
        <v/>
      </c>
    </row>
    <row r="49">
      <c r="A49" s="84" t="inlineStr">
        <is>
          <t>Privé</t>
        </is>
      </c>
      <c r="B49" s="88" t="n">
        <v>1991</v>
      </c>
      <c r="C49" s="94" t="n"/>
      <c r="D49" s="94" t="n"/>
      <c r="E49" s="94" t="n"/>
      <c r="F49" s="7" t="n"/>
      <c r="G49" s="94" t="n"/>
      <c r="H49" s="93" t="n">
        <v>0</v>
      </c>
      <c r="I49" s="94" t="n"/>
      <c r="J49" s="94">
        <f>N49/Donnees_annuelles!D49</f>
        <v/>
      </c>
      <c r="K49" s="94">
        <f>O49/Donnees_annuelles!D49</f>
        <v/>
      </c>
      <c r="L49" s="93" t="n">
        <v>0</v>
      </c>
      <c r="M49" s="87" t="n">
        <v>1</v>
      </c>
      <c r="N49" s="14">
        <f>Donnees_annuelles!N49</f>
        <v/>
      </c>
      <c r="O49" s="14">
        <f>Donnees_annuelles!O49</f>
        <v/>
      </c>
      <c r="P49" s="14">
        <f>N49+O49</f>
        <v/>
      </c>
      <c r="Q49" s="14">
        <f>Donnees_annuelles!D49*L49</f>
        <v/>
      </c>
      <c r="R49" s="114">
        <f>P49/Donnees_annuelles!AA49*Donnees_annuelles!AI49/Donnees_annuelles!AG49</f>
        <v/>
      </c>
      <c r="S49" s="114">
        <f>P49/Donnees_annuelles!AA49*Donnees_annuelles!AJ49/Donnees_annuelles!AH49</f>
        <v/>
      </c>
    </row>
    <row r="50">
      <c r="A50" s="84" t="inlineStr">
        <is>
          <t>Privé</t>
        </is>
      </c>
      <c r="B50" s="88" t="n">
        <v>1992</v>
      </c>
      <c r="C50" s="94" t="n"/>
      <c r="D50" s="94" t="n"/>
      <c r="E50" s="94" t="n"/>
      <c r="F50" s="7" t="n"/>
      <c r="G50" s="94" t="n"/>
      <c r="H50" s="93" t="n">
        <v>0</v>
      </c>
      <c r="I50" s="94" t="n"/>
      <c r="J50" s="94">
        <f>N50/Donnees_annuelles!D50</f>
        <v/>
      </c>
      <c r="K50" s="94">
        <f>O50/Donnees_annuelles!D50</f>
        <v/>
      </c>
      <c r="L50" s="93" t="n">
        <v>0</v>
      </c>
      <c r="M50" s="87" t="n">
        <v>1</v>
      </c>
      <c r="N50" s="14">
        <f>Donnees_annuelles!N50</f>
        <v/>
      </c>
      <c r="O50" s="14">
        <f>Donnees_annuelles!O50</f>
        <v/>
      </c>
      <c r="P50" s="14">
        <f>N50+O50</f>
        <v/>
      </c>
      <c r="Q50" s="14">
        <f>Donnees_annuelles!D50*L50</f>
        <v/>
      </c>
      <c r="R50" s="114">
        <f>P50/Donnees_annuelles!AA50*Donnees_annuelles!AI50/Donnees_annuelles!AG50</f>
        <v/>
      </c>
      <c r="S50" s="114">
        <f>P50/Donnees_annuelles!AA50*Donnees_annuelles!AJ50/Donnees_annuelles!AH50</f>
        <v/>
      </c>
    </row>
    <row r="51">
      <c r="A51" s="84" t="inlineStr">
        <is>
          <t>Privé</t>
        </is>
      </c>
      <c r="B51" s="88" t="n">
        <v>1993</v>
      </c>
      <c r="C51" s="94" t="n"/>
      <c r="D51" s="94" t="n"/>
      <c r="E51" s="94" t="n"/>
      <c r="F51" s="7" t="n"/>
      <c r="G51" s="94" t="n"/>
      <c r="H51" s="93" t="n">
        <v>0.006226</v>
      </c>
      <c r="I51" s="94" t="n"/>
      <c r="J51" s="94">
        <f>N51/Donnees_annuelles!D51</f>
        <v/>
      </c>
      <c r="K51" s="94">
        <f>O51/Donnees_annuelles!D51</f>
        <v/>
      </c>
      <c r="L51" s="93" t="n">
        <v>0</v>
      </c>
      <c r="M51" s="87" t="n">
        <v>1</v>
      </c>
      <c r="N51" s="14">
        <f>Donnees_annuelles!N51</f>
        <v/>
      </c>
      <c r="O51" s="14">
        <f>Donnees_annuelles!O51</f>
        <v/>
      </c>
      <c r="P51" s="14">
        <f>N51+O51</f>
        <v/>
      </c>
      <c r="Q51" s="14">
        <f>Donnees_annuelles!D51*L51</f>
        <v/>
      </c>
      <c r="R51" s="114">
        <f>P51/Donnees_annuelles!AA51*Donnees_annuelles!AI51/Donnees_annuelles!AG51</f>
        <v/>
      </c>
      <c r="S51" s="114">
        <f>P51/Donnees_annuelles!AA51*Donnees_annuelles!AJ51/Donnees_annuelles!AH51</f>
        <v/>
      </c>
    </row>
    <row r="52">
      <c r="A52" s="84" t="inlineStr">
        <is>
          <t>Privé</t>
        </is>
      </c>
      <c r="B52" s="88" t="n">
        <v>1994</v>
      </c>
      <c r="C52" s="94" t="n"/>
      <c r="D52" s="94" t="n"/>
      <c r="E52" s="94" t="n"/>
      <c r="F52" s="7" t="n"/>
      <c r="G52" s="94" t="n"/>
      <c r="H52" s="93" t="n">
        <v>0.01235</v>
      </c>
      <c r="I52" s="94" t="n"/>
      <c r="J52" s="94">
        <f>N52/Donnees_annuelles!D52</f>
        <v/>
      </c>
      <c r="K52" s="94">
        <f>O52/Donnees_annuelles!D52</f>
        <v/>
      </c>
      <c r="L52" s="93" t="n">
        <v>0</v>
      </c>
      <c r="M52" s="87" t="n">
        <v>1</v>
      </c>
      <c r="N52" s="14">
        <f>Donnees_annuelles!N52</f>
        <v/>
      </c>
      <c r="O52" s="14">
        <f>Donnees_annuelles!O52</f>
        <v/>
      </c>
      <c r="P52" s="14">
        <f>N52+O52</f>
        <v/>
      </c>
      <c r="Q52" s="14">
        <f>Donnees_annuelles!D52*L52</f>
        <v/>
      </c>
      <c r="R52" s="114">
        <f>P52/Donnees_annuelles!AA52*Donnees_annuelles!AI52/Donnees_annuelles!AG52</f>
        <v/>
      </c>
      <c r="S52" s="114">
        <f>P52/Donnees_annuelles!AA52*Donnees_annuelles!AJ52/Donnees_annuelles!AH52</f>
        <v/>
      </c>
    </row>
    <row r="53">
      <c r="A53" s="84" t="inlineStr">
        <is>
          <t>Privé</t>
        </is>
      </c>
      <c r="B53" s="88" t="n">
        <v>1995</v>
      </c>
      <c r="C53" s="94" t="n"/>
      <c r="D53" s="94" t="n"/>
      <c r="E53" s="94" t="n"/>
      <c r="F53" s="7" t="n"/>
      <c r="G53" s="94" t="n"/>
      <c r="H53" s="93" t="n">
        <v>0.01235</v>
      </c>
      <c r="I53" s="94" t="n"/>
      <c r="J53" s="94">
        <f>N53/Donnees_annuelles!D53</f>
        <v/>
      </c>
      <c r="K53" s="94">
        <f>O53/Donnees_annuelles!D53</f>
        <v/>
      </c>
      <c r="L53" s="93" t="n">
        <v>0</v>
      </c>
      <c r="M53" s="87" t="n">
        <v>1</v>
      </c>
      <c r="N53" s="14">
        <f>Donnees_annuelles!N53</f>
        <v/>
      </c>
      <c r="O53" s="14">
        <f>Donnees_annuelles!O53</f>
        <v/>
      </c>
      <c r="P53" s="14">
        <f>N53+O53</f>
        <v/>
      </c>
      <c r="Q53" s="14">
        <f>Donnees_annuelles!D53*L53</f>
        <v/>
      </c>
      <c r="R53" s="114">
        <f>P53/Donnees_annuelles!AA53*Donnees_annuelles!AI53/Donnees_annuelles!AG53</f>
        <v/>
      </c>
      <c r="S53" s="114">
        <f>P53/Donnees_annuelles!AA53*Donnees_annuelles!AJ53/Donnees_annuelles!AH53</f>
        <v/>
      </c>
    </row>
    <row r="54">
      <c r="A54" s="84" t="inlineStr">
        <is>
          <t>Privé</t>
        </is>
      </c>
      <c r="B54" s="88" t="n">
        <v>1996</v>
      </c>
      <c r="C54" s="94" t="n"/>
      <c r="D54" s="94" t="n"/>
      <c r="E54" s="94" t="n"/>
      <c r="F54" s="7" t="n"/>
      <c r="G54" s="94" t="n"/>
      <c r="H54" s="93" t="n">
        <v>0.013524</v>
      </c>
      <c r="I54" s="94" t="n"/>
      <c r="J54" s="94">
        <f>N54/Donnees_annuelles!D54</f>
        <v/>
      </c>
      <c r="K54" s="94">
        <f>O54/Donnees_annuelles!D54</f>
        <v/>
      </c>
      <c r="L54" s="93" t="n">
        <v>0</v>
      </c>
      <c r="M54" s="87" t="n">
        <v>1</v>
      </c>
      <c r="N54" s="14">
        <f>Donnees_annuelles!N54</f>
        <v/>
      </c>
      <c r="O54" s="14">
        <f>Donnees_annuelles!O54</f>
        <v/>
      </c>
      <c r="P54" s="14">
        <f>N54+O54</f>
        <v/>
      </c>
      <c r="Q54" s="14">
        <f>Donnees_annuelles!D54*L54</f>
        <v/>
      </c>
      <c r="R54" s="114">
        <f>P54/Donnees_annuelles!AA54*Donnees_annuelles!AI54/Donnees_annuelles!AG54</f>
        <v/>
      </c>
      <c r="S54" s="114">
        <f>P54/Donnees_annuelles!AA54*Donnees_annuelles!AJ54/Donnees_annuelles!AH54</f>
        <v/>
      </c>
    </row>
    <row r="55">
      <c r="A55" s="84" t="inlineStr">
        <is>
          <t>Privé</t>
        </is>
      </c>
      <c r="B55" s="88" t="n">
        <v>1997</v>
      </c>
      <c r="C55" s="94" t="n"/>
      <c r="D55" s="94" t="n"/>
      <c r="E55" s="94" t="n"/>
      <c r="F55" s="7" t="n"/>
      <c r="G55" s="94" t="n"/>
      <c r="H55" s="93" t="n">
        <v>0.013632</v>
      </c>
      <c r="I55" s="94" t="n"/>
      <c r="J55" s="94">
        <f>N55/Donnees_annuelles!D55</f>
        <v/>
      </c>
      <c r="K55" s="94">
        <f>O55/Donnees_annuelles!D55</f>
        <v/>
      </c>
      <c r="L55" s="93" t="n">
        <v>0</v>
      </c>
      <c r="M55" s="87" t="n">
        <v>1</v>
      </c>
      <c r="N55" s="14">
        <f>Donnees_annuelles!N55</f>
        <v/>
      </c>
      <c r="O55" s="14">
        <f>Donnees_annuelles!O55</f>
        <v/>
      </c>
      <c r="P55" s="14">
        <f>N55+O55</f>
        <v/>
      </c>
      <c r="Q55" s="14">
        <f>Donnees_annuelles!D55*L55</f>
        <v/>
      </c>
      <c r="R55" s="114">
        <f>P55/Donnees_annuelles!AA55*Donnees_annuelles!AI55/Donnees_annuelles!AG55</f>
        <v/>
      </c>
      <c r="S55" s="114">
        <f>P55/Donnees_annuelles!AA55*Donnees_annuelles!AJ55/Donnees_annuelles!AH55</f>
        <v/>
      </c>
    </row>
    <row r="56">
      <c r="A56" s="84" t="inlineStr">
        <is>
          <t>Privé</t>
        </is>
      </c>
      <c r="B56" s="88" t="n">
        <v>1998</v>
      </c>
      <c r="C56" s="94" t="n"/>
      <c r="D56" s="94" t="n"/>
      <c r="E56" s="94" t="n"/>
      <c r="F56" s="7" t="n"/>
      <c r="G56" s="94" t="n"/>
      <c r="H56" s="93" t="n">
        <v>0.013632</v>
      </c>
      <c r="I56" s="94" t="n"/>
      <c r="J56" s="94">
        <f>N56/Donnees_annuelles!D56</f>
        <v/>
      </c>
      <c r="K56" s="94">
        <f>O56/Donnees_annuelles!D56</f>
        <v/>
      </c>
      <c r="L56" s="93" t="n">
        <v>0</v>
      </c>
      <c r="M56" s="87" t="n">
        <v>1</v>
      </c>
      <c r="N56" s="14">
        <f>Donnees_annuelles!N56</f>
        <v/>
      </c>
      <c r="O56" s="14">
        <f>Donnees_annuelles!O56</f>
        <v/>
      </c>
      <c r="P56" s="14">
        <f>N56+O56</f>
        <v/>
      </c>
      <c r="Q56" s="14">
        <f>Donnees_annuelles!D56*L56</f>
        <v/>
      </c>
      <c r="R56" s="114">
        <f>P56/Donnees_annuelles!AA56*Donnees_annuelles!AI56/Donnees_annuelles!AG56</f>
        <v/>
      </c>
      <c r="S56" s="114">
        <f>P56/Donnees_annuelles!AA56*Donnees_annuelles!AJ56/Donnees_annuelles!AH56</f>
        <v/>
      </c>
    </row>
    <row r="57">
      <c r="A57" s="84" t="inlineStr">
        <is>
          <t>Privé</t>
        </is>
      </c>
      <c r="B57" s="88" t="n">
        <v>1999</v>
      </c>
      <c r="C57" s="94" t="n"/>
      <c r="D57" s="94" t="n"/>
      <c r="E57" s="94" t="n"/>
      <c r="F57" s="7" t="n"/>
      <c r="G57" s="94" t="n"/>
      <c r="H57" s="93" t="n">
        <v>0.013632</v>
      </c>
      <c r="I57" s="94" t="n"/>
      <c r="J57" s="94">
        <f>N57/Donnees_annuelles!D57</f>
        <v/>
      </c>
      <c r="K57" s="94">
        <f>O57/Donnees_annuelles!D57</f>
        <v/>
      </c>
      <c r="L57" s="93" t="n">
        <v>0</v>
      </c>
      <c r="M57" s="87" t="n">
        <v>1</v>
      </c>
      <c r="N57" s="14">
        <f>Donnees_annuelles!N57</f>
        <v/>
      </c>
      <c r="O57" s="14">
        <f>Donnees_annuelles!O57</f>
        <v/>
      </c>
      <c r="P57" s="14">
        <f>N57+O57</f>
        <v/>
      </c>
      <c r="Q57" s="14">
        <f>Donnees_annuelles!D57*L57</f>
        <v/>
      </c>
      <c r="R57" s="114">
        <f>P57/Donnees_annuelles!AA57*Donnees_annuelles!AI57/Donnees_annuelles!AG57</f>
        <v/>
      </c>
      <c r="S57" s="114">
        <f>P57/Donnees_annuelles!AA57*Donnees_annuelles!AJ57/Donnees_annuelles!AH57</f>
        <v/>
      </c>
    </row>
    <row r="58">
      <c r="A58" s="84" t="inlineStr">
        <is>
          <t>Privé</t>
        </is>
      </c>
      <c r="B58" s="88" t="n">
        <v>2000</v>
      </c>
      <c r="C58" s="94" t="n"/>
      <c r="D58" s="94" t="n"/>
      <c r="E58" s="94" t="n"/>
      <c r="F58" s="7" t="n"/>
      <c r="G58" s="94" t="n"/>
      <c r="H58" s="93" t="n">
        <v>0.013632</v>
      </c>
      <c r="I58" s="94" t="n"/>
      <c r="J58" s="94">
        <f>N58/Donnees_annuelles!D58</f>
        <v/>
      </c>
      <c r="K58" s="94">
        <f>O58/Donnees_annuelles!D58</f>
        <v/>
      </c>
      <c r="L58" s="93" t="n">
        <v>0</v>
      </c>
      <c r="M58" s="87" t="n">
        <v>1</v>
      </c>
      <c r="N58" s="14">
        <f>Donnees_annuelles!N58</f>
        <v/>
      </c>
      <c r="O58" s="14">
        <f>Donnees_annuelles!O58</f>
        <v/>
      </c>
      <c r="P58" s="14">
        <f>N58+O58</f>
        <v/>
      </c>
      <c r="Q58" s="14">
        <f>Donnees_annuelles!D58*L58</f>
        <v/>
      </c>
      <c r="R58" s="114">
        <f>P58/Donnees_annuelles!AA58*Donnees_annuelles!AI58/Donnees_annuelles!AG58</f>
        <v/>
      </c>
      <c r="S58" s="114">
        <f>P58/Donnees_annuelles!AA58*Donnees_annuelles!AJ58/Donnees_annuelles!AH58</f>
        <v/>
      </c>
    </row>
    <row r="59">
      <c r="A59" s="84" t="inlineStr">
        <is>
          <t>Privé</t>
        </is>
      </c>
      <c r="B59" s="88" t="n">
        <v>2001</v>
      </c>
      <c r="C59" s="94" t="n"/>
      <c r="D59" s="94" t="n"/>
      <c r="E59" s="94" t="n"/>
      <c r="F59" s="7" t="n"/>
      <c r="G59" s="94" t="n"/>
      <c r="H59" s="93" t="n">
        <v>0.012207</v>
      </c>
      <c r="I59" s="94" t="n"/>
      <c r="J59" s="94">
        <f>N59/Donnees_annuelles!D59</f>
        <v/>
      </c>
      <c r="K59" s="94">
        <f>O59/Donnees_annuelles!D59</f>
        <v/>
      </c>
      <c r="L59" s="93" t="n">
        <v>0</v>
      </c>
      <c r="M59" s="87" t="n">
        <v>1</v>
      </c>
      <c r="N59" s="14">
        <f>Donnees_annuelles!N59</f>
        <v/>
      </c>
      <c r="O59" s="14">
        <f>Donnees_annuelles!O59</f>
        <v/>
      </c>
      <c r="P59" s="14">
        <f>N59+O59</f>
        <v/>
      </c>
      <c r="Q59" s="14">
        <f>Donnees_annuelles!D59*L59</f>
        <v/>
      </c>
      <c r="R59" s="114">
        <f>P59/Donnees_annuelles!AA59*Donnees_annuelles!AI59/Donnees_annuelles!AG59</f>
        <v/>
      </c>
      <c r="S59" s="114">
        <f>P59/Donnees_annuelles!AA59*Donnees_annuelles!AJ59/Donnees_annuelles!AH59</f>
        <v/>
      </c>
    </row>
    <row r="60">
      <c r="A60" s="84" t="inlineStr">
        <is>
          <t>Privé</t>
        </is>
      </c>
      <c r="B60" s="88" t="n">
        <v>2002</v>
      </c>
      <c r="C60" s="94" t="n"/>
      <c r="D60" s="94" t="n"/>
      <c r="E60" s="94" t="n"/>
      <c r="F60" s="7" t="n"/>
      <c r="G60" s="94" t="n"/>
      <c r="H60" s="93" t="n">
        <v>0.011258</v>
      </c>
      <c r="I60" s="94" t="n"/>
      <c r="J60" s="94">
        <f>N60/Donnees_annuelles!D60</f>
        <v/>
      </c>
      <c r="K60" s="94">
        <f>O60/Donnees_annuelles!D60</f>
        <v/>
      </c>
      <c r="L60" s="93" t="n">
        <v>0</v>
      </c>
      <c r="M60" s="87" t="n">
        <v>1</v>
      </c>
      <c r="N60" s="14">
        <f>Donnees_annuelles!N60</f>
        <v/>
      </c>
      <c r="O60" s="14">
        <f>Donnees_annuelles!O60</f>
        <v/>
      </c>
      <c r="P60" s="14">
        <f>N60+O60</f>
        <v/>
      </c>
      <c r="Q60" s="14">
        <f>Donnees_annuelles!D60*L60</f>
        <v/>
      </c>
      <c r="R60" s="114">
        <f>P60/Donnees_annuelles!AA60*Donnees_annuelles!AI60/Donnees_annuelles!AG60</f>
        <v/>
      </c>
      <c r="S60" s="114">
        <f>P60/Donnees_annuelles!AA60*Donnees_annuelles!AJ60/Donnees_annuelles!AH60</f>
        <v/>
      </c>
    </row>
    <row r="61">
      <c r="A61" s="84" t="inlineStr">
        <is>
          <t>Privé</t>
        </is>
      </c>
      <c r="B61" s="88" t="n">
        <v>2003</v>
      </c>
      <c r="C61" s="94" t="n"/>
      <c r="D61" s="94" t="n"/>
      <c r="E61" s="94" t="n"/>
      <c r="F61" s="7" t="n"/>
      <c r="G61" s="94" t="n"/>
      <c r="H61" s="93" t="n">
        <v>0.011258</v>
      </c>
      <c r="I61" s="94" t="n"/>
      <c r="J61" s="94">
        <f>N61/Donnees_annuelles!D61</f>
        <v/>
      </c>
      <c r="K61" s="94">
        <f>O61/Donnees_annuelles!D61</f>
        <v/>
      </c>
      <c r="L61" s="93" t="n">
        <v>0</v>
      </c>
      <c r="M61" s="87" t="n">
        <v>1</v>
      </c>
      <c r="N61" s="14">
        <f>Donnees_annuelles!N61</f>
        <v/>
      </c>
      <c r="O61" s="14">
        <f>Donnees_annuelles!O61</f>
        <v/>
      </c>
      <c r="P61" s="14">
        <f>N61+O61</f>
        <v/>
      </c>
      <c r="Q61" s="14">
        <f>Donnees_annuelles!D61*L61</f>
        <v/>
      </c>
      <c r="R61" s="114">
        <f>P61/Donnees_annuelles!AA61*Donnees_annuelles!AI61/Donnees_annuelles!AG61</f>
        <v/>
      </c>
      <c r="S61" s="114">
        <f>P61/Donnees_annuelles!AA61*Donnees_annuelles!AJ61/Donnees_annuelles!AH61</f>
        <v/>
      </c>
    </row>
    <row r="62">
      <c r="A62" s="84" t="inlineStr">
        <is>
          <t>Privé</t>
        </is>
      </c>
      <c r="B62" s="88" t="n">
        <v>2004</v>
      </c>
      <c r="C62" s="94" t="n"/>
      <c r="D62" s="94" t="n"/>
      <c r="E62" s="94" t="n"/>
      <c r="F62" s="7" t="n"/>
      <c r="G62" s="94" t="n"/>
      <c r="H62" s="93" t="n">
        <v>0.011258</v>
      </c>
      <c r="I62" s="94" t="n"/>
      <c r="J62" s="94">
        <f>N62/Donnees_annuelles!D62</f>
        <v/>
      </c>
      <c r="K62" s="94">
        <f>O62/Donnees_annuelles!D62</f>
        <v/>
      </c>
      <c r="L62" s="93" t="n">
        <v>0</v>
      </c>
      <c r="M62" s="87" t="n">
        <v>1</v>
      </c>
      <c r="N62" s="14">
        <f>Donnees_annuelles!N62</f>
        <v/>
      </c>
      <c r="O62" s="14">
        <f>Donnees_annuelles!O62</f>
        <v/>
      </c>
      <c r="P62" s="14">
        <f>N62+O62</f>
        <v/>
      </c>
      <c r="Q62" s="14">
        <f>Donnees_annuelles!D62*L62</f>
        <v/>
      </c>
      <c r="R62" s="114">
        <f>P62/Donnees_annuelles!AA62*Donnees_annuelles!AI62/Donnees_annuelles!AG62</f>
        <v/>
      </c>
      <c r="S62" s="114">
        <f>P62/Donnees_annuelles!AA62*Donnees_annuelles!AJ62/Donnees_annuelles!AH62</f>
        <v/>
      </c>
    </row>
    <row r="63">
      <c r="A63" s="84" t="inlineStr">
        <is>
          <t>Privé</t>
        </is>
      </c>
      <c r="B63" s="88" t="n">
        <v>2005</v>
      </c>
      <c r="C63" s="94" t="n"/>
      <c r="D63" s="94" t="n"/>
      <c r="E63" s="94" t="n"/>
      <c r="F63" s="7" t="n"/>
      <c r="G63" s="94" t="n"/>
      <c r="H63" s="93" t="n">
        <v>0.011494</v>
      </c>
      <c r="I63" s="94" t="n"/>
      <c r="J63" s="94">
        <f>N63/Donnees_annuelles!D63</f>
        <v/>
      </c>
      <c r="K63" s="94">
        <f>O63/Donnees_annuelles!D63</f>
        <v/>
      </c>
      <c r="L63" s="93" t="n">
        <v>0</v>
      </c>
      <c r="M63" s="87" t="n">
        <v>1</v>
      </c>
      <c r="N63" s="14">
        <f>Donnees_annuelles!N63</f>
        <v/>
      </c>
      <c r="O63" s="14">
        <f>Donnees_annuelles!O63</f>
        <v/>
      </c>
      <c r="P63" s="14">
        <f>N63+O63</f>
        <v/>
      </c>
      <c r="Q63" s="14">
        <f>Donnees_annuelles!D63*L63</f>
        <v/>
      </c>
      <c r="R63" s="114">
        <f>P63/Donnees_annuelles!AA63*Donnees_annuelles!AI63/Donnees_annuelles!AG63</f>
        <v/>
      </c>
      <c r="S63" s="114">
        <f>P63/Donnees_annuelles!AA63*Donnees_annuelles!AJ63/Donnees_annuelles!AH63</f>
        <v/>
      </c>
    </row>
    <row r="64">
      <c r="A64" s="84" t="inlineStr">
        <is>
          <t>Privé</t>
        </is>
      </c>
      <c r="B64" s="88" t="n">
        <v>2006</v>
      </c>
      <c r="C64" s="94" t="n"/>
      <c r="D64" s="94" t="n"/>
      <c r="E64" s="94" t="n"/>
      <c r="F64" s="7" t="n"/>
      <c r="G64" s="94" t="n"/>
      <c r="H64" s="93" t="n">
        <v>0.011494</v>
      </c>
      <c r="I64" s="94" t="n"/>
      <c r="J64" s="94">
        <f>N64/Donnees_annuelles!D64</f>
        <v/>
      </c>
      <c r="K64" s="94">
        <f>O64/Donnees_annuelles!D64</f>
        <v/>
      </c>
      <c r="L64" s="93" t="n">
        <v>0</v>
      </c>
      <c r="M64" s="87" t="n">
        <v>1</v>
      </c>
      <c r="N64" s="14">
        <f>Donnees_annuelles!N64</f>
        <v/>
      </c>
      <c r="O64" s="14">
        <f>Donnees_annuelles!O64</f>
        <v/>
      </c>
      <c r="P64" s="14">
        <f>N64+O64</f>
        <v/>
      </c>
      <c r="Q64" s="14">
        <f>Donnees_annuelles!D64*L64</f>
        <v/>
      </c>
      <c r="R64" s="114">
        <f>P64/Donnees_annuelles!AA64*Donnees_annuelles!AI64/Donnees_annuelles!AG64</f>
        <v/>
      </c>
      <c r="S64" s="114">
        <f>P64/Donnees_annuelles!AA64*Donnees_annuelles!AJ64/Donnees_annuelles!AH64</f>
        <v/>
      </c>
    </row>
    <row r="65">
      <c r="A65" s="84" t="inlineStr">
        <is>
          <t>Privé</t>
        </is>
      </c>
      <c r="B65" s="88" t="n">
        <v>2007</v>
      </c>
      <c r="C65" s="94" t="n"/>
      <c r="D65" s="94" t="n"/>
      <c r="E65" s="94" t="n"/>
      <c r="F65" s="7" t="n"/>
      <c r="G65" s="94" t="n"/>
      <c r="H65" s="93" t="n">
        <v>0.011494</v>
      </c>
      <c r="I65" s="94" t="n"/>
      <c r="J65" s="94">
        <f>N65/Donnees_annuelles!D65</f>
        <v/>
      </c>
      <c r="K65" s="94">
        <f>O65/Donnees_annuelles!D65</f>
        <v/>
      </c>
      <c r="L65" s="93" t="n">
        <v>0</v>
      </c>
      <c r="M65" s="87" t="n">
        <v>1</v>
      </c>
      <c r="N65" s="14">
        <f>Donnees_annuelles!N65</f>
        <v/>
      </c>
      <c r="O65" s="14">
        <f>Donnees_annuelles!O65</f>
        <v/>
      </c>
      <c r="P65" s="14">
        <f>N65+O65</f>
        <v/>
      </c>
      <c r="Q65" s="14">
        <f>Donnees_annuelles!D65*L65</f>
        <v/>
      </c>
      <c r="R65" s="114">
        <f>P65/Donnees_annuelles!AA65*Donnees_annuelles!AI65/Donnees_annuelles!AG65</f>
        <v/>
      </c>
      <c r="S65" s="114">
        <f>P65/Donnees_annuelles!AA65*Donnees_annuelles!AJ65/Donnees_annuelles!AH65</f>
        <v/>
      </c>
    </row>
    <row r="66">
      <c r="A66" s="84" t="inlineStr">
        <is>
          <t>Privé</t>
        </is>
      </c>
      <c r="B66" s="88" t="n">
        <v>2008</v>
      </c>
      <c r="C66" s="94" t="n"/>
      <c r="D66" s="94" t="n"/>
      <c r="E66" s="94" t="n"/>
      <c r="F66" s="7" t="n"/>
      <c r="G66" s="94" t="n"/>
      <c r="H66" s="93" t="n">
        <v>0.011494</v>
      </c>
      <c r="I66" s="94" t="n"/>
      <c r="J66" s="94">
        <f>N66/Donnees_annuelles!D66</f>
        <v/>
      </c>
      <c r="K66" s="94">
        <f>O66/Donnees_annuelles!D66</f>
        <v/>
      </c>
      <c r="L66" s="93" t="n">
        <v>0</v>
      </c>
      <c r="M66" s="87" t="n">
        <v>1</v>
      </c>
      <c r="N66" s="14">
        <f>Donnees_annuelles!N66</f>
        <v/>
      </c>
      <c r="O66" s="14">
        <f>Donnees_annuelles!O66</f>
        <v/>
      </c>
      <c r="P66" s="14">
        <f>N66+O66</f>
        <v/>
      </c>
      <c r="Q66" s="14">
        <f>Donnees_annuelles!D66*L66</f>
        <v/>
      </c>
      <c r="R66" s="114">
        <f>P66/Donnees_annuelles!AA66*Donnees_annuelles!AI66/Donnees_annuelles!AG66</f>
        <v/>
      </c>
      <c r="S66" s="114">
        <f>P66/Donnees_annuelles!AA66*Donnees_annuelles!AJ66/Donnees_annuelles!AH66</f>
        <v/>
      </c>
    </row>
    <row r="67">
      <c r="A67" s="84" t="inlineStr">
        <is>
          <t>Privé</t>
        </is>
      </c>
      <c r="B67" s="88" t="n">
        <v>2009</v>
      </c>
      <c r="C67" s="94" t="n"/>
      <c r="D67" s="94" t="n"/>
      <c r="E67" s="94" t="n"/>
      <c r="F67" s="7" t="n"/>
      <c r="G67" s="94" t="n"/>
      <c r="H67" s="93" t="n">
        <v>0.010078</v>
      </c>
      <c r="I67" s="94" t="n"/>
      <c r="J67" s="94">
        <f>N67/Donnees_annuelles!D67</f>
        <v/>
      </c>
      <c r="K67" s="94">
        <f>O67/Donnees_annuelles!D67</f>
        <v/>
      </c>
      <c r="L67" s="93" t="n">
        <v>0</v>
      </c>
      <c r="M67" s="87" t="n">
        <v>1</v>
      </c>
      <c r="N67" s="14">
        <f>Donnees_annuelles!N67</f>
        <v/>
      </c>
      <c r="O67" s="14">
        <f>Donnees_annuelles!O67</f>
        <v/>
      </c>
      <c r="P67" s="14">
        <f>N67+O67</f>
        <v/>
      </c>
      <c r="Q67" s="14">
        <f>Donnees_annuelles!D67*L67</f>
        <v/>
      </c>
      <c r="R67" s="114">
        <f>P67/Donnees_annuelles!AA67*Donnees_annuelles!AI67/Donnees_annuelles!AG67</f>
        <v/>
      </c>
      <c r="S67" s="114">
        <f>P67/Donnees_annuelles!AA67*Donnees_annuelles!AJ67/Donnees_annuelles!AH67</f>
        <v/>
      </c>
    </row>
    <row r="68">
      <c r="A68" s="84" t="inlineStr">
        <is>
          <t>Privé</t>
        </is>
      </c>
      <c r="B68" s="88" t="n">
        <v>2010</v>
      </c>
      <c r="C68" s="94" t="n"/>
      <c r="D68" s="94" t="n"/>
      <c r="E68" s="94" t="n"/>
      <c r="F68" s="7" t="n"/>
      <c r="G68" s="94" t="n"/>
      <c r="H68" s="93" t="n">
        <v>0.010078</v>
      </c>
      <c r="I68" s="94" t="n"/>
      <c r="J68" s="94">
        <f>N68/Donnees_annuelles!D68</f>
        <v/>
      </c>
      <c r="K68" s="94">
        <f>O68/Donnees_annuelles!D68</f>
        <v/>
      </c>
      <c r="L68" s="93" t="n">
        <v>0</v>
      </c>
      <c r="M68" s="87" t="n">
        <v>1</v>
      </c>
      <c r="N68" s="14">
        <f>Donnees_annuelles!N68</f>
        <v/>
      </c>
      <c r="O68" s="14">
        <f>Donnees_annuelles!O68</f>
        <v/>
      </c>
      <c r="P68" s="14">
        <f>N68+O68</f>
        <v/>
      </c>
      <c r="Q68" s="14">
        <f>Donnees_annuelles!D68*L68</f>
        <v/>
      </c>
      <c r="R68" s="114">
        <f>P68/Donnees_annuelles!AA68*Donnees_annuelles!AI68/Donnees_annuelles!AG68</f>
        <v/>
      </c>
      <c r="S68" s="114">
        <f>P68/Donnees_annuelles!AA68*Donnees_annuelles!AJ68/Donnees_annuelles!AH68</f>
        <v/>
      </c>
    </row>
    <row r="69">
      <c r="A69" s="84" t="inlineStr">
        <is>
          <t>Privé</t>
        </is>
      </c>
      <c r="B69" s="88" t="n">
        <v>2011</v>
      </c>
      <c r="C69" s="94" t="n"/>
      <c r="D69" s="94" t="n"/>
      <c r="E69" s="94" t="n"/>
      <c r="F69" s="7" t="n"/>
      <c r="G69" s="94" t="n"/>
      <c r="H69" s="93" t="n">
        <v>0.010812</v>
      </c>
      <c r="I69" s="94" t="n"/>
      <c r="J69" s="94">
        <f>N69/Donnees_annuelles!D69</f>
        <v/>
      </c>
      <c r="K69" s="94">
        <f>O69/Donnees_annuelles!D69</f>
        <v/>
      </c>
      <c r="L69" s="93" t="n">
        <v>0</v>
      </c>
      <c r="M69" s="87" t="n">
        <v>1</v>
      </c>
      <c r="N69" s="14">
        <f>Donnees_annuelles!N69</f>
        <v/>
      </c>
      <c r="O69" s="14">
        <f>Donnees_annuelles!O69</f>
        <v/>
      </c>
      <c r="P69" s="14">
        <f>N69+O69</f>
        <v/>
      </c>
      <c r="Q69" s="14">
        <f>Donnees_annuelles!D69*L69</f>
        <v/>
      </c>
      <c r="R69" s="114">
        <f>P69/Donnees_annuelles!AA69*Donnees_annuelles!AI69/Donnees_annuelles!AG69</f>
        <v/>
      </c>
      <c r="S69" s="114">
        <f>P69/Donnees_annuelles!AA69*Donnees_annuelles!AJ69/Donnees_annuelles!AH69</f>
        <v/>
      </c>
    </row>
    <row r="70">
      <c r="A70" s="84" t="inlineStr">
        <is>
          <t>Privé</t>
        </is>
      </c>
      <c r="B70" s="88" t="n">
        <v>2012</v>
      </c>
      <c r="C70" s="94" t="n"/>
      <c r="D70" s="94" t="n"/>
      <c r="E70" s="94" t="n"/>
      <c r="F70" s="7" t="n"/>
      <c r="G70" s="94" t="n"/>
      <c r="H70" s="93" t="n">
        <v>0.010951</v>
      </c>
      <c r="I70" s="94" t="n"/>
      <c r="J70" s="94">
        <f>N70/Donnees_annuelles!D70</f>
        <v/>
      </c>
      <c r="K70" s="94">
        <f>O70/Donnees_annuelles!D70</f>
        <v/>
      </c>
      <c r="L70" s="93" t="n">
        <v>0</v>
      </c>
      <c r="M70" s="87" t="n">
        <v>1</v>
      </c>
      <c r="N70" s="14">
        <f>Donnees_annuelles!N70</f>
        <v/>
      </c>
      <c r="O70" s="14">
        <f>Donnees_annuelles!O70</f>
        <v/>
      </c>
      <c r="P70" s="14">
        <f>N70+O70</f>
        <v/>
      </c>
      <c r="Q70" s="14">
        <f>Donnees_annuelles!D70*L70</f>
        <v/>
      </c>
      <c r="R70" s="114">
        <f>P70/Donnees_annuelles!AA70*Donnees_annuelles!AI70/Donnees_annuelles!AG70</f>
        <v/>
      </c>
      <c r="S70" s="114">
        <f>P70/Donnees_annuelles!AA70*Donnees_annuelles!AJ70/Donnees_annuelles!AH70</f>
        <v/>
      </c>
    </row>
    <row r="71">
      <c r="A71" s="84" t="inlineStr">
        <is>
          <t>Privé</t>
        </is>
      </c>
      <c r="B71" s="88" t="n">
        <v>2013</v>
      </c>
      <c r="C71" s="94" t="n"/>
      <c r="D71" s="94" t="n"/>
      <c r="E71" s="94" t="n"/>
      <c r="F71" s="7" t="n"/>
      <c r="G71" s="94" t="n"/>
      <c r="H71" s="93" t="n">
        <v>0.010951</v>
      </c>
      <c r="I71" s="94" t="n"/>
      <c r="J71" s="94">
        <f>N71/Donnees_annuelles!D71</f>
        <v/>
      </c>
      <c r="K71" s="94">
        <f>O71/Donnees_annuelles!D71</f>
        <v/>
      </c>
      <c r="L71" s="93" t="n">
        <v>0</v>
      </c>
      <c r="M71" s="87" t="n">
        <v>1</v>
      </c>
      <c r="N71" s="14">
        <f>Donnees_annuelles!N71</f>
        <v/>
      </c>
      <c r="O71" s="14">
        <f>Donnees_annuelles!O71</f>
        <v/>
      </c>
      <c r="P71" s="14">
        <f>N71+O71</f>
        <v/>
      </c>
      <c r="Q71" s="14">
        <f>Donnees_annuelles!D71*L71</f>
        <v/>
      </c>
      <c r="R71" s="114">
        <f>P71/Donnees_annuelles!AA71*Donnees_annuelles!AI71/Donnees_annuelles!AG71</f>
        <v/>
      </c>
      <c r="S71" s="114">
        <f>P71/Donnees_annuelles!AA71*Donnees_annuelles!AJ71/Donnees_annuelles!AH71</f>
        <v/>
      </c>
    </row>
    <row r="72">
      <c r="A72" s="84" t="inlineStr">
        <is>
          <t>Privé</t>
        </is>
      </c>
      <c r="B72" s="88" t="n">
        <v>2014</v>
      </c>
      <c r="C72" s="94" t="n"/>
      <c r="D72" s="94" t="n"/>
      <c r="E72" s="94" t="n"/>
      <c r="F72" s="7" t="n"/>
      <c r="G72" s="94" t="n"/>
      <c r="H72" s="93" t="n">
        <v>0.010951</v>
      </c>
      <c r="I72" s="94" t="n"/>
      <c r="J72" s="94">
        <f>N72/Donnees_annuelles!D72</f>
        <v/>
      </c>
      <c r="K72" s="94">
        <f>O72/Donnees_annuelles!D72</f>
        <v/>
      </c>
      <c r="L72" s="93" t="n">
        <v>0</v>
      </c>
      <c r="M72" s="87" t="n">
        <v>1</v>
      </c>
      <c r="N72" s="14">
        <f>Donnees_annuelles!N72</f>
        <v/>
      </c>
      <c r="O72" s="14">
        <f>Donnees_annuelles!O72</f>
        <v/>
      </c>
      <c r="P72" s="14">
        <f>N72+O72</f>
        <v/>
      </c>
      <c r="Q72" s="14">
        <f>Donnees_annuelles!D72*L72</f>
        <v/>
      </c>
      <c r="R72" s="114">
        <f>P72/Donnees_annuelles!AA72*Donnees_annuelles!AI72/Donnees_annuelles!AG72</f>
        <v/>
      </c>
      <c r="S72" s="114">
        <f>P72/Donnees_annuelles!AA72*Donnees_annuelles!AJ72/Donnees_annuelles!AH72</f>
        <v/>
      </c>
    </row>
    <row r="73">
      <c r="A73" s="84" t="inlineStr">
        <is>
          <t>Privé</t>
        </is>
      </c>
      <c r="B73" s="88" t="n">
        <v>2015</v>
      </c>
      <c r="C73" s="94" t="n"/>
      <c r="D73" s="94" t="n"/>
      <c r="E73" s="94" t="n"/>
      <c r="F73" s="7" t="n"/>
      <c r="G73" s="94" t="n"/>
      <c r="H73" s="93" t="n">
        <v>0.010951</v>
      </c>
      <c r="I73" s="94" t="n"/>
      <c r="J73" s="94">
        <f>N73/Donnees_annuelles!D73</f>
        <v/>
      </c>
      <c r="K73" s="94">
        <f>O73/Donnees_annuelles!D73</f>
        <v/>
      </c>
      <c r="L73" s="93" t="n">
        <v>0</v>
      </c>
      <c r="M73" s="87" t="n">
        <v>1</v>
      </c>
      <c r="N73" s="14">
        <f>Donnees_annuelles!N73</f>
        <v/>
      </c>
      <c r="O73" s="14">
        <f>Donnees_annuelles!O73</f>
        <v/>
      </c>
      <c r="P73" s="14">
        <f>N73+O73</f>
        <v/>
      </c>
      <c r="Q73" s="14">
        <f>Donnees_annuelles!D73*L73</f>
        <v/>
      </c>
      <c r="R73" s="114">
        <f>P73/Donnees_annuelles!AA73*Donnees_annuelles!AI73/Donnees_annuelles!AG73</f>
        <v/>
      </c>
      <c r="S73" s="114">
        <f>P73/Donnees_annuelles!AA73*Donnees_annuelles!AJ73/Donnees_annuelles!AH73</f>
        <v/>
      </c>
    </row>
    <row r="74">
      <c r="A74" s="84" t="inlineStr">
        <is>
          <t>Privé</t>
        </is>
      </c>
      <c r="B74" s="88" t="n">
        <v>2016</v>
      </c>
      <c r="C74" s="94" t="n"/>
      <c r="D74" s="94" t="n"/>
      <c r="E74" s="94" t="n"/>
      <c r="F74" s="7" t="n"/>
      <c r="G74" s="94" t="n"/>
      <c r="H74" s="93" t="n">
        <v>0.002918</v>
      </c>
      <c r="I74" s="94" t="n"/>
      <c r="J74" s="94">
        <f>N74/Donnees_annuelles!D74</f>
        <v/>
      </c>
      <c r="K74" s="94">
        <f>O74/Donnees_annuelles!D74</f>
        <v/>
      </c>
      <c r="L74" s="93" t="n">
        <v>0</v>
      </c>
      <c r="M74" s="87" t="n">
        <v>1</v>
      </c>
      <c r="N74" s="14">
        <f>Donnees_annuelles!N74</f>
        <v/>
      </c>
      <c r="O74" s="14">
        <f>Donnees_annuelles!O74</f>
        <v/>
      </c>
      <c r="P74" s="14">
        <f>N74+O74</f>
        <v/>
      </c>
      <c r="Q74" s="14">
        <f>Donnees_annuelles!D74*L74</f>
        <v/>
      </c>
      <c r="R74" s="114">
        <f>P74/Donnees_annuelles!AA74*Donnees_annuelles!AI74/Donnees_annuelles!AG74</f>
        <v/>
      </c>
      <c r="S74" s="114">
        <f>P74/Donnees_annuelles!AA74*Donnees_annuelles!AJ74/Donnees_annuelles!AH74</f>
        <v/>
      </c>
    </row>
    <row r="75">
      <c r="A75" s="84" t="inlineStr">
        <is>
          <t>Privé</t>
        </is>
      </c>
      <c r="B75" s="88" t="n">
        <v>2017</v>
      </c>
      <c r="C75" s="94" t="n"/>
      <c r="D75" s="94" t="n"/>
      <c r="E75" s="94" t="n"/>
      <c r="F75" s="7" t="n"/>
      <c r="G75" s="94" t="n"/>
      <c r="H75" s="93" t="n">
        <v>0.002918</v>
      </c>
      <c r="I75" s="94" t="n"/>
      <c r="J75" s="94">
        <f>N75/Donnees_annuelles!D75</f>
        <v/>
      </c>
      <c r="K75" s="94">
        <f>O75/Donnees_annuelles!D75</f>
        <v/>
      </c>
      <c r="L75" s="93" t="n">
        <v>0</v>
      </c>
      <c r="M75" s="87" t="n">
        <v>1</v>
      </c>
      <c r="N75" s="14">
        <f>Donnees_annuelles!N75</f>
        <v/>
      </c>
      <c r="O75" s="14">
        <f>Donnees_annuelles!O75</f>
        <v/>
      </c>
      <c r="P75" s="14">
        <f>N75+O75</f>
        <v/>
      </c>
      <c r="Q75" s="14">
        <f>Donnees_annuelles!D75*L75</f>
        <v/>
      </c>
      <c r="R75" s="114">
        <f>P75/Donnees_annuelles!AA75*Donnees_annuelles!AI75/Donnees_annuelles!AG75</f>
        <v/>
      </c>
      <c r="S75" s="114">
        <f>P75/Donnees_annuelles!AA75*Donnees_annuelles!AJ75/Donnees_annuelles!AH75</f>
        <v/>
      </c>
    </row>
    <row r="76">
      <c r="A76" s="84" t="inlineStr">
        <is>
          <t>Privé</t>
        </is>
      </c>
      <c r="B76" s="88" t="n">
        <v>2018</v>
      </c>
      <c r="C76" s="94" t="n"/>
      <c r="D76" s="94" t="n"/>
      <c r="E76" s="94" t="n"/>
      <c r="F76" s="7" t="n"/>
      <c r="G76" s="94" t="n"/>
      <c r="H76" s="93" t="n">
        <v>0.002918</v>
      </c>
      <c r="I76" s="94" t="n"/>
      <c r="J76" s="94">
        <f>N76/Donnees_annuelles!D76</f>
        <v/>
      </c>
      <c r="K76" s="94">
        <f>O76/Donnees_annuelles!D76</f>
        <v/>
      </c>
      <c r="L76" s="93" t="n">
        <v>0</v>
      </c>
      <c r="M76" s="87" t="n">
        <v>1</v>
      </c>
      <c r="N76" s="14">
        <f>Donnees_annuelles!N76</f>
        <v/>
      </c>
      <c r="O76" s="14">
        <f>Donnees_annuelles!O76</f>
        <v/>
      </c>
      <c r="P76" s="14">
        <f>N76+O76</f>
        <v/>
      </c>
      <c r="Q76" s="14">
        <f>Donnees_annuelles!D76*L76</f>
        <v/>
      </c>
      <c r="R76" s="114">
        <f>P76/Donnees_annuelles!AA76*Donnees_annuelles!AI76/Donnees_annuelles!AG76</f>
        <v/>
      </c>
      <c r="S76" s="114">
        <f>P76/Donnees_annuelles!AA76*Donnees_annuelles!AJ76/Donnees_annuelles!AH76</f>
        <v/>
      </c>
    </row>
    <row r="77">
      <c r="A77" s="84" t="inlineStr">
        <is>
          <t>Privé</t>
        </is>
      </c>
      <c r="B77" s="88" t="n">
        <v>2019</v>
      </c>
      <c r="C77" s="94" t="n"/>
      <c r="D77" s="94" t="n"/>
      <c r="E77" s="94" t="n"/>
      <c r="F77" s="7" t="n"/>
      <c r="G77" s="94" t="n"/>
      <c r="H77" s="93" t="n">
        <v>0.002918</v>
      </c>
      <c r="I77" s="94" t="n"/>
      <c r="J77" s="94">
        <f>N77/Donnees_annuelles!D77</f>
        <v/>
      </c>
      <c r="K77" s="94">
        <f>O77/Donnees_annuelles!D77</f>
        <v/>
      </c>
      <c r="L77" s="93" t="n">
        <v>0</v>
      </c>
      <c r="M77" s="87" t="n">
        <v>1</v>
      </c>
      <c r="N77" s="14">
        <f>Donnees_annuelles!N77</f>
        <v/>
      </c>
      <c r="O77" s="14">
        <f>Donnees_annuelles!O77</f>
        <v/>
      </c>
      <c r="P77" s="14">
        <f>N77+O77</f>
        <v/>
      </c>
      <c r="Q77" s="14">
        <f>Donnees_annuelles!D77*L77</f>
        <v/>
      </c>
      <c r="R77" s="114">
        <f>P77/Donnees_annuelles!AA77*Donnees_annuelles!AI77/Donnees_annuelles!AG77</f>
        <v/>
      </c>
      <c r="S77" s="114">
        <f>P77/Donnees_annuelles!AA77*Donnees_annuelles!AJ77/Donnees_annuelles!AH77</f>
        <v/>
      </c>
    </row>
    <row r="78">
      <c r="A78" s="84" t="inlineStr">
        <is>
          <t>Privé</t>
        </is>
      </c>
      <c r="B78" s="88" t="n">
        <v>2020</v>
      </c>
      <c r="C78" s="94" t="n"/>
      <c r="D78" s="94" t="n"/>
      <c r="E78" s="94" t="n"/>
      <c r="F78" s="7" t="n"/>
      <c r="G78" s="94" t="n"/>
      <c r="H78" s="93" t="n">
        <v>0.002918</v>
      </c>
      <c r="I78" s="94" t="n"/>
      <c r="J78" s="94">
        <f>N78/Donnees_annuelles!D78</f>
        <v/>
      </c>
      <c r="K78" s="94">
        <f>O78/Donnees_annuelles!D78</f>
        <v/>
      </c>
      <c r="L78" s="93" t="n">
        <v>0</v>
      </c>
      <c r="M78" s="87" t="n">
        <v>1</v>
      </c>
      <c r="N78" s="14">
        <f>Donnees_annuelles!N78</f>
        <v/>
      </c>
      <c r="O78" s="14">
        <f>Donnees_annuelles!O78</f>
        <v/>
      </c>
      <c r="P78" s="14">
        <f>N78+O78</f>
        <v/>
      </c>
      <c r="Q78" s="14">
        <f>Donnees_annuelles!D78*L78</f>
        <v/>
      </c>
      <c r="R78" s="114">
        <f>P78/Donnees_annuelles!AA78*Donnees_annuelles!AI78/Donnees_annuelles!AG78</f>
        <v/>
      </c>
      <c r="S78" s="114">
        <f>P78/Donnees_annuelles!AA78*Donnees_annuelles!AJ78/Donnees_annuelles!AH78</f>
        <v/>
      </c>
    </row>
    <row r="79">
      <c r="A79" s="84" t="inlineStr">
        <is>
          <t>Privé</t>
        </is>
      </c>
      <c r="B79" s="88" t="n">
        <v>2021</v>
      </c>
      <c r="C79" s="94" t="n"/>
      <c r="D79" s="94" t="n"/>
      <c r="E79" s="94" t="n"/>
      <c r="F79" s="7" t="n"/>
      <c r="G79" s="94" t="n"/>
      <c r="H79" s="93" t="n">
        <v>0.002918</v>
      </c>
      <c r="I79" s="94" t="n"/>
      <c r="J79" s="94">
        <f>N79/Donnees_annuelles!D79</f>
        <v/>
      </c>
      <c r="K79" s="94">
        <f>O79/Donnees_annuelles!D79</f>
        <v/>
      </c>
      <c r="L79" s="93" t="n">
        <v>0</v>
      </c>
      <c r="M79" s="87" t="n">
        <v>1</v>
      </c>
      <c r="N79" s="14">
        <f>Donnees_annuelles!N79</f>
        <v/>
      </c>
      <c r="O79" s="14">
        <f>Donnees_annuelles!O79</f>
        <v/>
      </c>
      <c r="P79" s="14">
        <f>N79+O79</f>
        <v/>
      </c>
      <c r="Q79" s="14">
        <f>Donnees_annuelles!D79*L79</f>
        <v/>
      </c>
      <c r="R79" s="114">
        <f>P79/Donnees_annuelles!AA79*Donnees_annuelles!AI79/Donnees_annuelles!AG79</f>
        <v/>
      </c>
      <c r="S79" s="114">
        <f>P79/Donnees_annuelles!AA79*Donnees_annuelles!AJ79/Donnees_annuelles!AH79</f>
        <v/>
      </c>
    </row>
    <row r="80">
      <c r="A80" s="84" t="inlineStr">
        <is>
          <t>Privé</t>
        </is>
      </c>
      <c r="B80" s="88" t="n">
        <v>2022</v>
      </c>
      <c r="C80" s="94" t="n"/>
      <c r="D80" s="94" t="n"/>
      <c r="E80" s="94" t="n"/>
      <c r="F80" s="7" t="n"/>
      <c r="G80" s="94" t="n"/>
      <c r="H80" s="93" t="n">
        <v>0.002918</v>
      </c>
      <c r="I80" s="94" t="n"/>
      <c r="J80" s="94">
        <f>N80/Donnees_annuelles!D80</f>
        <v/>
      </c>
      <c r="K80" s="94">
        <f>O80/Donnees_annuelles!D80</f>
        <v/>
      </c>
      <c r="L80" s="93" t="n">
        <v>0</v>
      </c>
      <c r="M80" s="87" t="n">
        <v>1</v>
      </c>
      <c r="N80" s="14">
        <f>Donnees_annuelles!N80</f>
        <v/>
      </c>
      <c r="O80" s="14">
        <f>Donnees_annuelles!O80</f>
        <v/>
      </c>
      <c r="P80" s="14">
        <f>N80+O80</f>
        <v/>
      </c>
      <c r="Q80" s="14">
        <f>Donnees_annuelles!D80*L80</f>
        <v/>
      </c>
      <c r="R80" s="114">
        <f>P80/Donnees_annuelles!AA80*Donnees_annuelles!AI80/Donnees_annuelles!AG80</f>
        <v/>
      </c>
      <c r="S80" s="114">
        <f>P80/Donnees_annuelles!AA80*Donnees_annuelles!AJ80/Donnees_annuelles!AH80</f>
        <v/>
      </c>
    </row>
    <row r="81">
      <c r="A81" s="84" t="inlineStr">
        <is>
          <t>Privé</t>
        </is>
      </c>
      <c r="B81" s="88" t="n">
        <v>2023</v>
      </c>
      <c r="C81" s="94" t="n"/>
      <c r="D81" s="94" t="n"/>
      <c r="E81" s="94" t="n"/>
      <c r="F81" s="7" t="n"/>
      <c r="G81" s="94" t="n"/>
      <c r="H81" s="93" t="n">
        <v>0.002918</v>
      </c>
      <c r="I81" s="94" t="n"/>
      <c r="J81" s="94">
        <f>N81/Donnees_annuelles!D81</f>
        <v/>
      </c>
      <c r="K81" s="94">
        <f>O81/Donnees_annuelles!D81</f>
        <v/>
      </c>
      <c r="L81" s="93" t="n">
        <v>0</v>
      </c>
      <c r="M81" s="87" t="n">
        <v>1</v>
      </c>
      <c r="N81" s="14">
        <f>Donnees_annuelles!N81</f>
        <v/>
      </c>
      <c r="O81" s="14">
        <f>Donnees_annuelles!O81</f>
        <v/>
      </c>
      <c r="P81" s="14">
        <f>N81+O81</f>
        <v/>
      </c>
      <c r="Q81" s="14">
        <f>Donnees_annuelles!D81*L81</f>
        <v/>
      </c>
      <c r="R81" s="114">
        <f>P81/Donnees_annuelles!AA81*Donnees_annuelles!AI81/Donnees_annuelles!AG81</f>
        <v/>
      </c>
      <c r="S81" s="114">
        <f>P81/Donnees_annuelles!AA81*Donnees_annuelles!AJ81/Donnees_annuelles!AH81</f>
        <v/>
      </c>
    </row>
    <row r="82">
      <c r="A82" s="84" t="inlineStr">
        <is>
          <t>Privé</t>
        </is>
      </c>
      <c r="B82" s="88" t="n">
        <v>2024</v>
      </c>
      <c r="C82" s="94" t="n"/>
      <c r="D82" s="94" t="n"/>
      <c r="E82" s="94" t="n"/>
      <c r="F82" s="7" t="n"/>
      <c r="G82" s="94" t="n"/>
      <c r="H82" s="93" t="n">
        <v>0.00252</v>
      </c>
      <c r="I82" s="94" t="n"/>
      <c r="J82" s="94">
        <f>N82/Donnees_annuelles!D82</f>
        <v/>
      </c>
      <c r="K82" s="94">
        <f>O82/Donnees_annuelles!D82</f>
        <v/>
      </c>
      <c r="L82" s="93" t="n">
        <v>0</v>
      </c>
      <c r="M82" s="87" t="n">
        <v>1</v>
      </c>
      <c r="N82" s="14">
        <f>Donnees_annuelles!N82</f>
        <v/>
      </c>
      <c r="O82" s="14">
        <f>Donnees_annuelles!O82</f>
        <v/>
      </c>
      <c r="P82" s="14">
        <f>N82+O82</f>
        <v/>
      </c>
      <c r="Q82" s="14">
        <f>Donnees_annuelles!D82*L82</f>
        <v/>
      </c>
      <c r="R82" s="114">
        <f>P82/Donnees_annuelles!AA82*Donnees_annuelles!AI82/Donnees_annuelles!AG82</f>
        <v/>
      </c>
      <c r="S82" s="114">
        <f>P82/Donnees_annuelles!AA82*Donnees_annuelles!AJ82/Donnees_annuelles!AH82</f>
        <v/>
      </c>
    </row>
    <row r="83">
      <c r="A83" s="84" t="inlineStr">
        <is>
          <t>Privé</t>
        </is>
      </c>
      <c r="B83" s="88" t="n">
        <v>2025</v>
      </c>
      <c r="C83" s="94" t="n"/>
      <c r="D83" s="94" t="n"/>
      <c r="E83" s="94" t="n"/>
      <c r="F83" s="7" t="n"/>
      <c r="G83" s="94" t="n"/>
      <c r="H83" s="93" t="n">
        <v>0.00252</v>
      </c>
      <c r="I83" s="94" t="n"/>
      <c r="J83" s="94">
        <f>N83/Donnees_annuelles!D83</f>
        <v/>
      </c>
      <c r="K83" s="94">
        <f>O83/Donnees_annuelles!D83</f>
        <v/>
      </c>
      <c r="L83" s="93" t="n">
        <v>0</v>
      </c>
      <c r="M83" s="87" t="n">
        <v>1</v>
      </c>
      <c r="N83" s="14">
        <f>Donnees_annuelles!N83</f>
        <v/>
      </c>
      <c r="O83" s="14">
        <f>Donnees_annuelles!O83</f>
        <v/>
      </c>
      <c r="P83" s="14">
        <f>N83+O83</f>
        <v/>
      </c>
      <c r="Q83" s="14">
        <f>Donnees_annuelles!D83*L83</f>
        <v/>
      </c>
      <c r="R83" s="114">
        <f>P83/Donnees_annuelles!AA83*Donnees_annuelles!AI83/Donnees_annuelles!AG83</f>
        <v/>
      </c>
      <c r="S83" s="114">
        <f>P83/Donnees_annuelles!AA83*Donnees_annuelles!AJ83/Donnees_annuelles!AH83</f>
        <v/>
      </c>
    </row>
    <row r="84">
      <c r="A84" s="84" t="inlineStr">
        <is>
          <t>Privé</t>
        </is>
      </c>
      <c r="B84" s="88" t="n">
        <v>2026</v>
      </c>
      <c r="C84" s="94" t="n"/>
      <c r="D84" s="94" t="n"/>
      <c r="E84" s="94" t="n"/>
      <c r="F84" s="7" t="n"/>
      <c r="G84" s="94" t="n"/>
      <c r="H84" s="93" t="n">
        <v>0.00252</v>
      </c>
      <c r="I84" s="94" t="n"/>
      <c r="J84" s="94">
        <f>N84/Donnees_annuelles!D84</f>
        <v/>
      </c>
      <c r="K84" s="94">
        <f>O84/Donnees_annuelles!D84</f>
        <v/>
      </c>
      <c r="L84" s="93" t="n">
        <v>0</v>
      </c>
      <c r="M84" s="87" t="n">
        <v>1</v>
      </c>
      <c r="N84" s="14">
        <f>Donnees_annuelles!N84</f>
        <v/>
      </c>
      <c r="O84" s="14">
        <f>Donnees_annuelles!O84</f>
        <v/>
      </c>
      <c r="P84" s="14">
        <f>N84+O84</f>
        <v/>
      </c>
      <c r="Q84" s="14">
        <f>Donnees_annuelles!D84*L84</f>
        <v/>
      </c>
      <c r="R84" s="114">
        <f>P84/Donnees_annuelles!AA84*Donnees_annuelles!AI84/Donnees_annuelles!AG84</f>
        <v/>
      </c>
      <c r="S84" s="114">
        <f>P84/Donnees_annuelles!AA84*Donnees_annuelles!AJ84/Donnees_annuelles!AH84</f>
        <v/>
      </c>
    </row>
    <row r="85">
      <c r="A85" s="115" t="inlineStr">
        <is>
          <t>Privé</t>
        </is>
      </c>
      <c r="B85" s="101" t="n">
        <v>2027</v>
      </c>
      <c r="C85" s="107" t="n"/>
      <c r="D85" s="107" t="n"/>
      <c r="E85" s="107" t="n"/>
      <c r="F85" s="116" t="n"/>
      <c r="G85" s="107" t="n"/>
      <c r="H85" s="105" t="n">
        <v>0.00252</v>
      </c>
      <c r="I85" s="107" t="n"/>
      <c r="J85" s="107">
        <f>N85/Donnees_annuelles!D85</f>
        <v/>
      </c>
      <c r="K85" s="107">
        <f>O85/Donnees_annuelles!D85</f>
        <v/>
      </c>
      <c r="L85" s="105" t="n">
        <v>0</v>
      </c>
      <c r="M85" s="117" t="n">
        <v>1</v>
      </c>
      <c r="N85" s="106">
        <f>Donnees_annuelles!N85</f>
        <v/>
      </c>
      <c r="O85" s="106">
        <f>Donnees_annuelles!O85</f>
        <v/>
      </c>
      <c r="P85" s="106">
        <f>N85+O85</f>
        <v/>
      </c>
      <c r="Q85" s="106">
        <f>Donnees_annuelles!D85*L85</f>
        <v/>
      </c>
      <c r="R85" s="118">
        <f>P85/Donnees_annuelles!AA85*Donnees_annuelles!AI85/Donnees_annuelles!AG85</f>
        <v/>
      </c>
      <c r="S85" s="118">
        <f>P85/Donnees_annuelles!AA85*Donnees_annuelles!AJ85/Donnees_annuelles!AH85</f>
        <v/>
      </c>
    </row>
    <row r="86">
      <c r="A86" s="115" t="inlineStr">
        <is>
          <t>Privé</t>
        </is>
      </c>
      <c r="B86" s="101" t="n">
        <v>2028</v>
      </c>
      <c r="C86" s="107" t="n"/>
      <c r="D86" s="107" t="n"/>
      <c r="E86" s="107" t="n"/>
      <c r="F86" s="116" t="n"/>
      <c r="G86" s="107" t="n"/>
      <c r="H86" s="105" t="n">
        <v>0.00252</v>
      </c>
      <c r="I86" s="107" t="n"/>
      <c r="J86" s="107">
        <f>N86/Donnees_annuelles!D86</f>
        <v/>
      </c>
      <c r="K86" s="107">
        <f>O86/Donnees_annuelles!D86</f>
        <v/>
      </c>
      <c r="L86" s="105" t="n">
        <v>0</v>
      </c>
      <c r="M86" s="117" t="n">
        <v>1</v>
      </c>
      <c r="N86" s="106">
        <f>Donnees_annuelles!N86</f>
        <v/>
      </c>
      <c r="O86" s="106">
        <f>Donnees_annuelles!O86</f>
        <v/>
      </c>
      <c r="P86" s="106">
        <f>N86+O86</f>
        <v/>
      </c>
      <c r="Q86" s="106">
        <f>Donnees_annuelles!D86*L86</f>
        <v/>
      </c>
      <c r="R86" s="118">
        <f>P86/Donnees_annuelles!AA86*Donnees_annuelles!AI86/Donnees_annuelles!AG86</f>
        <v/>
      </c>
      <c r="S86" s="118">
        <f>P86/Donnees_annuelles!AA86*Donnees_annuelles!AJ86/Donnees_annuelles!AH86</f>
        <v/>
      </c>
    </row>
    <row r="87">
      <c r="A87" s="115" t="inlineStr">
        <is>
          <t>Privé</t>
        </is>
      </c>
      <c r="B87" s="101" t="n">
        <v>2029</v>
      </c>
      <c r="C87" s="107" t="n"/>
      <c r="D87" s="107" t="n"/>
      <c r="E87" s="107" t="n"/>
      <c r="F87" s="116" t="n"/>
      <c r="G87" s="107" t="n"/>
      <c r="H87" s="105" t="n">
        <v>0.00252</v>
      </c>
      <c r="I87" s="107" t="n"/>
      <c r="J87" s="107">
        <f>N87/Donnees_annuelles!D87</f>
        <v/>
      </c>
      <c r="K87" s="107">
        <f>O87/Donnees_annuelles!D87</f>
        <v/>
      </c>
      <c r="L87" s="105" t="n">
        <v>0</v>
      </c>
      <c r="M87" s="117" t="n">
        <v>1</v>
      </c>
      <c r="N87" s="106">
        <f>Donnees_annuelles!N87</f>
        <v/>
      </c>
      <c r="O87" s="106">
        <f>Donnees_annuelles!O87</f>
        <v/>
      </c>
      <c r="P87" s="106">
        <f>N87+O87</f>
        <v/>
      </c>
      <c r="Q87" s="106">
        <f>Donnees_annuelles!D87*L87</f>
        <v/>
      </c>
      <c r="R87" s="118">
        <f>P87/Donnees_annuelles!AA87*Donnees_annuelles!AI87/Donnees_annuelles!AG87</f>
        <v/>
      </c>
      <c r="S87" s="118">
        <f>P87/Donnees_annuelles!AA87*Donnees_annuelles!AJ87/Donnees_annuelles!AH87</f>
        <v/>
      </c>
    </row>
    <row r="88">
      <c r="A88" s="115" t="inlineStr">
        <is>
          <t>Privé</t>
        </is>
      </c>
      <c r="B88" s="101" t="n">
        <v>2030</v>
      </c>
      <c r="C88" s="107" t="n"/>
      <c r="D88" s="107" t="n"/>
      <c r="E88" s="107" t="n"/>
      <c r="F88" s="116" t="n"/>
      <c r="G88" s="107" t="n"/>
      <c r="H88" s="105" t="n">
        <v>0.00252</v>
      </c>
      <c r="I88" s="107" t="n"/>
      <c r="J88" s="107">
        <f>N88/Donnees_annuelles!D88</f>
        <v/>
      </c>
      <c r="K88" s="107">
        <f>O88/Donnees_annuelles!D88</f>
        <v/>
      </c>
      <c r="L88" s="105" t="n">
        <v>0</v>
      </c>
      <c r="M88" s="117" t="n">
        <v>1</v>
      </c>
      <c r="N88" s="106">
        <f>Donnees_annuelles!N88</f>
        <v/>
      </c>
      <c r="O88" s="106">
        <f>Donnees_annuelles!O88</f>
        <v/>
      </c>
      <c r="P88" s="106">
        <f>N88+O88</f>
        <v/>
      </c>
      <c r="Q88" s="106">
        <f>Donnees_annuelles!D88*L88</f>
        <v/>
      </c>
      <c r="R88" s="118">
        <f>P88/Donnees_annuelles!AA88*Donnees_annuelles!AI88/Donnees_annuelles!AG88</f>
        <v/>
      </c>
      <c r="S88" s="118">
        <f>P88/Donnees_annuelles!AA88*Donnees_annuelles!AJ88/Donnees_annuelles!AH88</f>
        <v/>
      </c>
    </row>
    <row r="89">
      <c r="A89" s="115" t="inlineStr">
        <is>
          <t>Privé</t>
        </is>
      </c>
      <c r="B89" s="101" t="n">
        <v>2031</v>
      </c>
      <c r="C89" s="107" t="n"/>
      <c r="D89" s="107" t="n"/>
      <c r="E89" s="107" t="n"/>
      <c r="F89" s="116" t="n"/>
      <c r="G89" s="107" t="n"/>
      <c r="H89" s="105" t="n">
        <v>0.00252</v>
      </c>
      <c r="I89" s="107" t="n"/>
      <c r="J89" s="107">
        <f>N89/Donnees_annuelles!D89</f>
        <v/>
      </c>
      <c r="K89" s="107">
        <f>O89/Donnees_annuelles!D89</f>
        <v/>
      </c>
      <c r="L89" s="105" t="n">
        <v>0</v>
      </c>
      <c r="M89" s="117" t="n">
        <v>1</v>
      </c>
      <c r="N89" s="106">
        <f>Donnees_annuelles!N89</f>
        <v/>
      </c>
      <c r="O89" s="106">
        <f>Donnees_annuelles!O89</f>
        <v/>
      </c>
      <c r="P89" s="106">
        <f>N89+O89</f>
        <v/>
      </c>
      <c r="Q89" s="106">
        <f>Donnees_annuelles!D89*L89</f>
        <v/>
      </c>
      <c r="R89" s="118">
        <f>P89/Donnees_annuelles!AA89*Donnees_annuelles!AI89/Donnees_annuelles!AG89</f>
        <v/>
      </c>
      <c r="S89" s="118">
        <f>P89/Donnees_annuelles!AA89*Donnees_annuelles!AJ89/Donnees_annuelles!AH89</f>
        <v/>
      </c>
    </row>
    <row r="90">
      <c r="A90" s="115" t="inlineStr">
        <is>
          <t>Privé</t>
        </is>
      </c>
      <c r="B90" s="101" t="n">
        <v>2032</v>
      </c>
      <c r="C90" s="107" t="n"/>
      <c r="D90" s="107" t="n"/>
      <c r="E90" s="107" t="n"/>
      <c r="F90" s="116" t="n"/>
      <c r="G90" s="107" t="n"/>
      <c r="H90" s="105" t="n">
        <v>0.00252</v>
      </c>
      <c r="I90" s="107" t="n"/>
      <c r="J90" s="107">
        <f>N90/Donnees_annuelles!D90</f>
        <v/>
      </c>
      <c r="K90" s="107">
        <f>O90/Donnees_annuelles!D90</f>
        <v/>
      </c>
      <c r="L90" s="105" t="n">
        <v>0</v>
      </c>
      <c r="M90" s="117" t="n">
        <v>1</v>
      </c>
      <c r="N90" s="106">
        <f>Donnees_annuelles!N90</f>
        <v/>
      </c>
      <c r="O90" s="106">
        <f>Donnees_annuelles!O90</f>
        <v/>
      </c>
      <c r="P90" s="106">
        <f>N90+O90</f>
        <v/>
      </c>
      <c r="Q90" s="106">
        <f>Donnees_annuelles!D90*L90</f>
        <v/>
      </c>
      <c r="R90" s="118">
        <f>P90/Donnees_annuelles!AA90*Donnees_annuelles!AI90/Donnees_annuelles!AG90</f>
        <v/>
      </c>
      <c r="S90" s="118">
        <f>P90/Donnees_annuelles!AA90*Donnees_annuelles!AJ90/Donnees_annuelles!AH90</f>
        <v/>
      </c>
    </row>
    <row r="91">
      <c r="A91" s="115" t="inlineStr">
        <is>
          <t>Privé</t>
        </is>
      </c>
      <c r="B91" s="101" t="n">
        <v>2033</v>
      </c>
      <c r="C91" s="107" t="n"/>
      <c r="D91" s="107" t="n"/>
      <c r="E91" s="107" t="n"/>
      <c r="F91" s="116" t="n"/>
      <c r="G91" s="107" t="n"/>
      <c r="H91" s="105" t="n">
        <v>0.00252</v>
      </c>
      <c r="I91" s="107" t="n"/>
      <c r="J91" s="107">
        <f>N91/Donnees_annuelles!D91</f>
        <v/>
      </c>
      <c r="K91" s="107">
        <f>O91/Donnees_annuelles!D91</f>
        <v/>
      </c>
      <c r="L91" s="105" t="n">
        <v>0</v>
      </c>
      <c r="M91" s="117" t="n">
        <v>1</v>
      </c>
      <c r="N91" s="106">
        <f>Donnees_annuelles!N91</f>
        <v/>
      </c>
      <c r="O91" s="106">
        <f>Donnees_annuelles!O91</f>
        <v/>
      </c>
      <c r="P91" s="106">
        <f>N91+O91</f>
        <v/>
      </c>
      <c r="Q91" s="106">
        <f>Donnees_annuelles!D91*L91</f>
        <v/>
      </c>
      <c r="R91" s="118">
        <f>P91/Donnees_annuelles!AA91*Donnees_annuelles!AI91/Donnees_annuelles!AG91</f>
        <v/>
      </c>
      <c r="S91" s="118">
        <f>P91/Donnees_annuelles!AA91*Donnees_annuelles!AJ91/Donnees_annuelles!AH91</f>
        <v/>
      </c>
    </row>
    <row r="92">
      <c r="A92" s="115" t="inlineStr">
        <is>
          <t>Privé</t>
        </is>
      </c>
      <c r="B92" s="101" t="n">
        <v>2034</v>
      </c>
      <c r="C92" s="107" t="n"/>
      <c r="D92" s="107" t="n"/>
      <c r="E92" s="107" t="n"/>
      <c r="F92" s="116" t="n"/>
      <c r="G92" s="107" t="n"/>
      <c r="H92" s="105" t="n">
        <v>0.00252</v>
      </c>
      <c r="I92" s="107" t="n"/>
      <c r="J92" s="107">
        <f>N92/Donnees_annuelles!D92</f>
        <v/>
      </c>
      <c r="K92" s="107">
        <f>O92/Donnees_annuelles!D92</f>
        <v/>
      </c>
      <c r="L92" s="105" t="n">
        <v>0</v>
      </c>
      <c r="M92" s="117" t="n">
        <v>1</v>
      </c>
      <c r="N92" s="106">
        <f>Donnees_annuelles!N92</f>
        <v/>
      </c>
      <c r="O92" s="106">
        <f>Donnees_annuelles!O92</f>
        <v/>
      </c>
      <c r="P92" s="106">
        <f>N92+O92</f>
        <v/>
      </c>
      <c r="Q92" s="106">
        <f>Donnees_annuelles!D92*L92</f>
        <v/>
      </c>
      <c r="R92" s="118">
        <f>P92/Donnees_annuelles!AA92*Donnees_annuelles!AI92/Donnees_annuelles!AG92</f>
        <v/>
      </c>
      <c r="S92" s="118">
        <f>P92/Donnees_annuelles!AA92*Donnees_annuelles!AJ92/Donnees_annuelles!AH92</f>
        <v/>
      </c>
    </row>
    <row r="93">
      <c r="A93" s="115" t="inlineStr">
        <is>
          <t>Privé</t>
        </is>
      </c>
      <c r="B93" s="101" t="n">
        <v>2035</v>
      </c>
      <c r="C93" s="107" t="n"/>
      <c r="D93" s="107" t="n"/>
      <c r="E93" s="107" t="n"/>
      <c r="F93" s="116" t="n"/>
      <c r="G93" s="107" t="n"/>
      <c r="H93" s="105" t="n">
        <v>0.00252</v>
      </c>
      <c r="I93" s="107" t="n"/>
      <c r="J93" s="107">
        <f>N93/Donnees_annuelles!D93</f>
        <v/>
      </c>
      <c r="K93" s="107">
        <f>O93/Donnees_annuelles!D93</f>
        <v/>
      </c>
      <c r="L93" s="105" t="n">
        <v>0</v>
      </c>
      <c r="M93" s="117" t="n">
        <v>1</v>
      </c>
      <c r="N93" s="106">
        <f>Donnees_annuelles!N93</f>
        <v/>
      </c>
      <c r="O93" s="106">
        <f>Donnees_annuelles!O93</f>
        <v/>
      </c>
      <c r="P93" s="106">
        <f>N93+O93</f>
        <v/>
      </c>
      <c r="Q93" s="106">
        <f>Donnees_annuelles!D93*L93</f>
        <v/>
      </c>
      <c r="R93" s="118">
        <f>P93/Donnees_annuelles!AA93*Donnees_annuelles!AI93/Donnees_annuelles!AG93</f>
        <v/>
      </c>
      <c r="S93" s="118">
        <f>P93/Donnees_annuelles!AA93*Donnees_annuelles!AJ93/Donnees_annuelles!AH93</f>
        <v/>
      </c>
    </row>
    <row r="94">
      <c r="A94" s="115" t="inlineStr">
        <is>
          <t>Privé</t>
        </is>
      </c>
      <c r="B94" s="101" t="n">
        <v>2036</v>
      </c>
      <c r="C94" s="107" t="n"/>
      <c r="D94" s="107" t="n"/>
      <c r="E94" s="107" t="n"/>
      <c r="F94" s="116" t="n"/>
      <c r="G94" s="107" t="n"/>
      <c r="H94" s="105" t="n">
        <v>0.00252</v>
      </c>
      <c r="I94" s="107" t="n"/>
      <c r="J94" s="107">
        <f>N94/Donnees_annuelles!D94</f>
        <v/>
      </c>
      <c r="K94" s="107">
        <f>O94/Donnees_annuelles!D94</f>
        <v/>
      </c>
      <c r="L94" s="105" t="n">
        <v>0</v>
      </c>
      <c r="M94" s="117" t="n">
        <v>1</v>
      </c>
      <c r="N94" s="106">
        <f>Donnees_annuelles!N94</f>
        <v/>
      </c>
      <c r="O94" s="106">
        <f>Donnees_annuelles!O94</f>
        <v/>
      </c>
      <c r="P94" s="106">
        <f>N94+O94</f>
        <v/>
      </c>
      <c r="Q94" s="106">
        <f>Donnees_annuelles!D94*L94</f>
        <v/>
      </c>
      <c r="R94" s="118">
        <f>P94/Donnees_annuelles!AA94*Donnees_annuelles!AI94/Donnees_annuelles!AG94</f>
        <v/>
      </c>
      <c r="S94" s="118">
        <f>P94/Donnees_annuelles!AA94*Donnees_annuelles!AJ94/Donnees_annuelles!AH94</f>
        <v/>
      </c>
    </row>
    <row r="95">
      <c r="A95" s="115" t="inlineStr">
        <is>
          <t>Privé</t>
        </is>
      </c>
      <c r="B95" s="101" t="n">
        <v>2037</v>
      </c>
      <c r="C95" s="107" t="n"/>
      <c r="D95" s="107" t="n"/>
      <c r="E95" s="107" t="n"/>
      <c r="F95" s="116" t="n"/>
      <c r="G95" s="107" t="n"/>
      <c r="H95" s="105" t="n">
        <v>0.00252</v>
      </c>
      <c r="I95" s="107" t="n"/>
      <c r="J95" s="107">
        <f>N95/Donnees_annuelles!D95</f>
        <v/>
      </c>
      <c r="K95" s="107">
        <f>O95/Donnees_annuelles!D95</f>
        <v/>
      </c>
      <c r="L95" s="105" t="n">
        <v>0</v>
      </c>
      <c r="M95" s="117" t="n">
        <v>1</v>
      </c>
      <c r="N95" s="106">
        <f>Donnees_annuelles!N95</f>
        <v/>
      </c>
      <c r="O95" s="106">
        <f>Donnees_annuelles!O95</f>
        <v/>
      </c>
      <c r="P95" s="106">
        <f>N95+O95</f>
        <v/>
      </c>
      <c r="Q95" s="106">
        <f>Donnees_annuelles!D95*L95</f>
        <v/>
      </c>
      <c r="R95" s="118">
        <f>P95/Donnees_annuelles!AA95*Donnees_annuelles!AI95/Donnees_annuelles!AG95</f>
        <v/>
      </c>
      <c r="S95" s="118">
        <f>P95/Donnees_annuelles!AA95*Donnees_annuelles!AJ95/Donnees_annuelles!AH95</f>
        <v/>
      </c>
    </row>
    <row r="96">
      <c r="A96" s="115" t="inlineStr">
        <is>
          <t>Privé</t>
        </is>
      </c>
      <c r="B96" s="101" t="n">
        <v>2038</v>
      </c>
      <c r="C96" s="107" t="n"/>
      <c r="D96" s="107" t="n"/>
      <c r="E96" s="107" t="n"/>
      <c r="F96" s="116" t="n"/>
      <c r="G96" s="107" t="n"/>
      <c r="H96" s="105" t="n">
        <v>0.00252</v>
      </c>
      <c r="I96" s="107" t="n"/>
      <c r="J96" s="107">
        <f>N96/Donnees_annuelles!D96</f>
        <v/>
      </c>
      <c r="K96" s="107">
        <f>O96/Donnees_annuelles!D96</f>
        <v/>
      </c>
      <c r="L96" s="105" t="n">
        <v>0</v>
      </c>
      <c r="M96" s="117" t="n">
        <v>1</v>
      </c>
      <c r="N96" s="106">
        <f>Donnees_annuelles!N96</f>
        <v/>
      </c>
      <c r="O96" s="106">
        <f>Donnees_annuelles!O96</f>
        <v/>
      </c>
      <c r="P96" s="106">
        <f>N96+O96</f>
        <v/>
      </c>
      <c r="Q96" s="106">
        <f>Donnees_annuelles!D96*L96</f>
        <v/>
      </c>
      <c r="R96" s="118">
        <f>P96/Donnees_annuelles!AA96*Donnees_annuelles!AI96/Donnees_annuelles!AG96</f>
        <v/>
      </c>
      <c r="S96" s="118">
        <f>P96/Donnees_annuelles!AA96*Donnees_annuelles!AJ96/Donnees_annuelles!AH96</f>
        <v/>
      </c>
    </row>
    <row r="97">
      <c r="A97" s="115" t="inlineStr">
        <is>
          <t>Privé</t>
        </is>
      </c>
      <c r="B97" s="101" t="n">
        <v>2039</v>
      </c>
      <c r="C97" s="107" t="n"/>
      <c r="D97" s="107" t="n"/>
      <c r="E97" s="107" t="n"/>
      <c r="F97" s="116" t="n"/>
      <c r="G97" s="107" t="n"/>
      <c r="H97" s="105" t="n">
        <v>0.00252</v>
      </c>
      <c r="I97" s="107" t="n"/>
      <c r="J97" s="107">
        <f>N97/Donnees_annuelles!D97</f>
        <v/>
      </c>
      <c r="K97" s="107">
        <f>O97/Donnees_annuelles!D97</f>
        <v/>
      </c>
      <c r="L97" s="105" t="n">
        <v>0</v>
      </c>
      <c r="M97" s="117" t="n">
        <v>1</v>
      </c>
      <c r="N97" s="106">
        <f>Donnees_annuelles!N97</f>
        <v/>
      </c>
      <c r="O97" s="106">
        <f>Donnees_annuelles!O97</f>
        <v/>
      </c>
      <c r="P97" s="106">
        <f>N97+O97</f>
        <v/>
      </c>
      <c r="Q97" s="106">
        <f>Donnees_annuelles!D97*L97</f>
        <v/>
      </c>
      <c r="R97" s="118">
        <f>P97/Donnees_annuelles!AA97*Donnees_annuelles!AI97/Donnees_annuelles!AG97</f>
        <v/>
      </c>
      <c r="S97" s="118">
        <f>P97/Donnees_annuelles!AA97*Donnees_annuelles!AJ97/Donnees_annuelles!AH97</f>
        <v/>
      </c>
    </row>
    <row r="98">
      <c r="A98" s="115" t="inlineStr">
        <is>
          <t>Privé</t>
        </is>
      </c>
      <c r="B98" s="101" t="n">
        <v>2040</v>
      </c>
      <c r="C98" s="107" t="n"/>
      <c r="D98" s="107" t="n"/>
      <c r="E98" s="107" t="n"/>
      <c r="F98" s="116" t="n"/>
      <c r="G98" s="107" t="n"/>
      <c r="H98" s="105" t="n">
        <v>0.00252</v>
      </c>
      <c r="I98" s="107" t="n"/>
      <c r="J98" s="107">
        <f>N98/Donnees_annuelles!D98</f>
        <v/>
      </c>
      <c r="K98" s="107">
        <f>O98/Donnees_annuelles!D98</f>
        <v/>
      </c>
      <c r="L98" s="105" t="n">
        <v>0</v>
      </c>
      <c r="M98" s="117" t="n">
        <v>1</v>
      </c>
      <c r="N98" s="106">
        <f>Donnees_annuelles!N98</f>
        <v/>
      </c>
      <c r="O98" s="106">
        <f>Donnees_annuelles!O98</f>
        <v/>
      </c>
      <c r="P98" s="106">
        <f>N98+O98</f>
        <v/>
      </c>
      <c r="Q98" s="106">
        <f>Donnees_annuelles!D98*L98</f>
        <v/>
      </c>
      <c r="R98" s="118">
        <f>P98/Donnees_annuelles!AA98*Donnees_annuelles!AI98/Donnees_annuelles!AG98</f>
        <v/>
      </c>
      <c r="S98" s="118">
        <f>P98/Donnees_annuelles!AA98*Donnees_annuelles!AJ98/Donnees_annuelles!AH98</f>
        <v/>
      </c>
    </row>
    <row r="99">
      <c r="A99" s="115" t="inlineStr">
        <is>
          <t>Privé</t>
        </is>
      </c>
      <c r="B99" s="101" t="n">
        <v>2041</v>
      </c>
      <c r="C99" s="107" t="n"/>
      <c r="D99" s="107" t="n"/>
      <c r="E99" s="107" t="n"/>
      <c r="F99" s="116" t="n"/>
      <c r="G99" s="107" t="n"/>
      <c r="H99" s="105" t="n">
        <v>0.00252</v>
      </c>
      <c r="I99" s="107" t="n"/>
      <c r="J99" s="107">
        <f>N99/Donnees_annuelles!D99</f>
        <v/>
      </c>
      <c r="K99" s="107">
        <f>O99/Donnees_annuelles!D99</f>
        <v/>
      </c>
      <c r="L99" s="105" t="n">
        <v>0</v>
      </c>
      <c r="M99" s="117" t="n">
        <v>1</v>
      </c>
      <c r="N99" s="106">
        <f>Donnees_annuelles!N99</f>
        <v/>
      </c>
      <c r="O99" s="106">
        <f>Donnees_annuelles!O99</f>
        <v/>
      </c>
      <c r="P99" s="106">
        <f>N99+O99</f>
        <v/>
      </c>
      <c r="Q99" s="106">
        <f>Donnees_annuelles!D99*L99</f>
        <v/>
      </c>
      <c r="R99" s="118">
        <f>P99/Donnees_annuelles!AA99*Donnees_annuelles!AI99/Donnees_annuelles!AG99</f>
        <v/>
      </c>
      <c r="S99" s="118">
        <f>P99/Donnees_annuelles!AA99*Donnees_annuelles!AJ99/Donnees_annuelles!AH99</f>
        <v/>
      </c>
    </row>
    <row r="100">
      <c r="A100" s="115" t="inlineStr">
        <is>
          <t>Privé</t>
        </is>
      </c>
      <c r="B100" s="101" t="n">
        <v>2042</v>
      </c>
      <c r="C100" s="107" t="n"/>
      <c r="D100" s="107" t="n"/>
      <c r="E100" s="107" t="n"/>
      <c r="F100" s="116" t="n"/>
      <c r="G100" s="107" t="n"/>
      <c r="H100" s="105" t="n">
        <v>0.00252</v>
      </c>
      <c r="I100" s="107" t="n"/>
      <c r="J100" s="107">
        <f>N100/Donnees_annuelles!D100</f>
        <v/>
      </c>
      <c r="K100" s="107">
        <f>O100/Donnees_annuelles!D100</f>
        <v/>
      </c>
      <c r="L100" s="105" t="n">
        <v>0</v>
      </c>
      <c r="M100" s="117" t="n">
        <v>1</v>
      </c>
      <c r="N100" s="106">
        <f>Donnees_annuelles!N100</f>
        <v/>
      </c>
      <c r="O100" s="106">
        <f>Donnees_annuelles!O100</f>
        <v/>
      </c>
      <c r="P100" s="106">
        <f>N100+O100</f>
        <v/>
      </c>
      <c r="Q100" s="106">
        <f>Donnees_annuelles!D100*L100</f>
        <v/>
      </c>
      <c r="R100" s="118">
        <f>P100/Donnees_annuelles!AA100*Donnees_annuelles!AI100/Donnees_annuelles!AG100</f>
        <v/>
      </c>
      <c r="S100" s="118">
        <f>P100/Donnees_annuelles!AA100*Donnees_annuelles!AJ100/Donnees_annuelles!AH100</f>
        <v/>
      </c>
    </row>
    <row r="101">
      <c r="A101" s="115" t="inlineStr">
        <is>
          <t>Privé</t>
        </is>
      </c>
      <c r="B101" s="101" t="n">
        <v>2043</v>
      </c>
      <c r="C101" s="107" t="n"/>
      <c r="D101" s="107" t="n"/>
      <c r="E101" s="107" t="n"/>
      <c r="F101" s="116" t="n"/>
      <c r="G101" s="107" t="n"/>
      <c r="H101" s="105" t="n">
        <v>0.00252</v>
      </c>
      <c r="I101" s="107" t="n"/>
      <c r="J101" s="107">
        <f>N101/Donnees_annuelles!D101</f>
        <v/>
      </c>
      <c r="K101" s="107">
        <f>O101/Donnees_annuelles!D101</f>
        <v/>
      </c>
      <c r="L101" s="105" t="n">
        <v>0</v>
      </c>
      <c r="M101" s="117" t="n">
        <v>1</v>
      </c>
      <c r="N101" s="106">
        <f>Donnees_annuelles!N101</f>
        <v/>
      </c>
      <c r="O101" s="106">
        <f>Donnees_annuelles!O101</f>
        <v/>
      </c>
      <c r="P101" s="106">
        <f>N101+O101</f>
        <v/>
      </c>
      <c r="Q101" s="106">
        <f>Donnees_annuelles!D101*L101</f>
        <v/>
      </c>
      <c r="R101" s="118">
        <f>P101/Donnees_annuelles!AA101*Donnees_annuelles!AI101/Donnees_annuelles!AG101</f>
        <v/>
      </c>
      <c r="S101" s="118">
        <f>P101/Donnees_annuelles!AA101*Donnees_annuelles!AJ101/Donnees_annuelles!AH101</f>
        <v/>
      </c>
    </row>
    <row r="102">
      <c r="A102" s="115" t="inlineStr">
        <is>
          <t>Privé</t>
        </is>
      </c>
      <c r="B102" s="101" t="n">
        <v>2044</v>
      </c>
      <c r="C102" s="107" t="n"/>
      <c r="D102" s="107" t="n"/>
      <c r="E102" s="107" t="n"/>
      <c r="F102" s="116" t="n"/>
      <c r="G102" s="107" t="n"/>
      <c r="H102" s="105" t="n">
        <v>0.00252</v>
      </c>
      <c r="I102" s="107" t="n"/>
      <c r="J102" s="107">
        <f>N102/Donnees_annuelles!D102</f>
        <v/>
      </c>
      <c r="K102" s="107">
        <f>O102/Donnees_annuelles!D102</f>
        <v/>
      </c>
      <c r="L102" s="105" t="n">
        <v>0</v>
      </c>
      <c r="M102" s="117" t="n">
        <v>1</v>
      </c>
      <c r="N102" s="106">
        <f>Donnees_annuelles!N102</f>
        <v/>
      </c>
      <c r="O102" s="106">
        <f>Donnees_annuelles!O102</f>
        <v/>
      </c>
      <c r="P102" s="106">
        <f>N102+O102</f>
        <v/>
      </c>
      <c r="Q102" s="106">
        <f>Donnees_annuelles!D102*L102</f>
        <v/>
      </c>
      <c r="R102" s="118">
        <f>P102/Donnees_annuelles!AA102*Donnees_annuelles!AI102/Donnees_annuelles!AG102</f>
        <v/>
      </c>
      <c r="S102" s="118">
        <f>P102/Donnees_annuelles!AA102*Donnees_annuelles!AJ102/Donnees_annuelles!AH102</f>
        <v/>
      </c>
    </row>
    <row r="103">
      <c r="A103" s="115" t="inlineStr">
        <is>
          <t>Privé</t>
        </is>
      </c>
      <c r="B103" s="101" t="n">
        <v>2045</v>
      </c>
      <c r="C103" s="107" t="n"/>
      <c r="D103" s="107" t="n"/>
      <c r="E103" s="107" t="n"/>
      <c r="F103" s="116" t="n"/>
      <c r="G103" s="107" t="n"/>
      <c r="H103" s="105" t="n">
        <v>0.00252</v>
      </c>
      <c r="I103" s="107" t="n"/>
      <c r="J103" s="107">
        <f>N103/Donnees_annuelles!D103</f>
        <v/>
      </c>
      <c r="K103" s="107">
        <f>O103/Donnees_annuelles!D103</f>
        <v/>
      </c>
      <c r="L103" s="105" t="n">
        <v>0</v>
      </c>
      <c r="M103" s="117" t="n">
        <v>1</v>
      </c>
      <c r="N103" s="106">
        <f>Donnees_annuelles!N103</f>
        <v/>
      </c>
      <c r="O103" s="106">
        <f>Donnees_annuelles!O103</f>
        <v/>
      </c>
      <c r="P103" s="106">
        <f>N103+O103</f>
        <v/>
      </c>
      <c r="Q103" s="106">
        <f>Donnees_annuelles!D103*L103</f>
        <v/>
      </c>
      <c r="R103" s="118">
        <f>P103/Donnees_annuelles!AA103*Donnees_annuelles!AI103/Donnees_annuelles!AG103</f>
        <v/>
      </c>
      <c r="S103" s="118">
        <f>P103/Donnees_annuelles!AA103*Donnees_annuelles!AJ103/Donnees_annuelles!AH103</f>
        <v/>
      </c>
    </row>
    <row r="104">
      <c r="A104" s="115" t="inlineStr">
        <is>
          <t>Privé</t>
        </is>
      </c>
      <c r="B104" s="101" t="n">
        <v>2046</v>
      </c>
      <c r="C104" s="107" t="n"/>
      <c r="D104" s="107" t="n"/>
      <c r="E104" s="107" t="n"/>
      <c r="F104" s="116" t="n"/>
      <c r="G104" s="107" t="n"/>
      <c r="H104" s="105" t="n">
        <v>0.00252</v>
      </c>
      <c r="I104" s="107" t="n"/>
      <c r="J104" s="107">
        <f>N104/Donnees_annuelles!D104</f>
        <v/>
      </c>
      <c r="K104" s="107">
        <f>O104/Donnees_annuelles!D104</f>
        <v/>
      </c>
      <c r="L104" s="105" t="n">
        <v>0</v>
      </c>
      <c r="M104" s="117" t="n">
        <v>1</v>
      </c>
      <c r="N104" s="106">
        <f>Donnees_annuelles!N104</f>
        <v/>
      </c>
      <c r="O104" s="106">
        <f>Donnees_annuelles!O104</f>
        <v/>
      </c>
      <c r="P104" s="106">
        <f>N104+O104</f>
        <v/>
      </c>
      <c r="Q104" s="106">
        <f>Donnees_annuelles!D104*L104</f>
        <v/>
      </c>
      <c r="R104" s="118">
        <f>P104/Donnees_annuelles!AA104*Donnees_annuelles!AI104/Donnees_annuelles!AG104</f>
        <v/>
      </c>
      <c r="S104" s="118">
        <f>P104/Donnees_annuelles!AA104*Donnees_annuelles!AJ104/Donnees_annuelles!AH104</f>
        <v/>
      </c>
    </row>
    <row r="105">
      <c r="A105" s="115" t="inlineStr">
        <is>
          <t>Privé</t>
        </is>
      </c>
      <c r="B105" s="101" t="n">
        <v>2047</v>
      </c>
      <c r="C105" s="107" t="n"/>
      <c r="D105" s="107" t="n"/>
      <c r="E105" s="107" t="n"/>
      <c r="F105" s="116" t="n"/>
      <c r="G105" s="107" t="n"/>
      <c r="H105" s="105" t="n">
        <v>0.00252</v>
      </c>
      <c r="I105" s="107" t="n"/>
      <c r="J105" s="107">
        <f>N105/Donnees_annuelles!D105</f>
        <v/>
      </c>
      <c r="K105" s="107">
        <f>O105/Donnees_annuelles!D105</f>
        <v/>
      </c>
      <c r="L105" s="105" t="n">
        <v>0</v>
      </c>
      <c r="M105" s="117" t="n">
        <v>1</v>
      </c>
      <c r="N105" s="106">
        <f>Donnees_annuelles!N105</f>
        <v/>
      </c>
      <c r="O105" s="106">
        <f>Donnees_annuelles!O105</f>
        <v/>
      </c>
      <c r="P105" s="106">
        <f>N105+O105</f>
        <v/>
      </c>
      <c r="Q105" s="106">
        <f>Donnees_annuelles!D105*L105</f>
        <v/>
      </c>
      <c r="R105" s="118">
        <f>P105/Donnees_annuelles!AA105*Donnees_annuelles!AI105/Donnees_annuelles!AG105</f>
        <v/>
      </c>
      <c r="S105" s="118">
        <f>P105/Donnees_annuelles!AA105*Donnees_annuelles!AJ105/Donnees_annuelles!AH105</f>
        <v/>
      </c>
    </row>
    <row r="106">
      <c r="A106" s="115" t="inlineStr">
        <is>
          <t>Privé</t>
        </is>
      </c>
      <c r="B106" s="101" t="n">
        <v>2048</v>
      </c>
      <c r="C106" s="107" t="n"/>
      <c r="D106" s="107" t="n"/>
      <c r="E106" s="107" t="n"/>
      <c r="F106" s="116" t="n"/>
      <c r="G106" s="107" t="n"/>
      <c r="H106" s="105" t="n">
        <v>0.00252</v>
      </c>
      <c r="I106" s="107" t="n"/>
      <c r="J106" s="107">
        <f>N106/Donnees_annuelles!D106</f>
        <v/>
      </c>
      <c r="K106" s="107">
        <f>O106/Donnees_annuelles!D106</f>
        <v/>
      </c>
      <c r="L106" s="105" t="n">
        <v>0</v>
      </c>
      <c r="M106" s="117" t="n">
        <v>1</v>
      </c>
      <c r="N106" s="106">
        <f>Donnees_annuelles!N106</f>
        <v/>
      </c>
      <c r="O106" s="106">
        <f>Donnees_annuelles!O106</f>
        <v/>
      </c>
      <c r="P106" s="106">
        <f>N106+O106</f>
        <v/>
      </c>
      <c r="Q106" s="106">
        <f>Donnees_annuelles!D106*L106</f>
        <v/>
      </c>
      <c r="R106" s="118">
        <f>P106/Donnees_annuelles!AA106*Donnees_annuelles!AI106/Donnees_annuelles!AG106</f>
        <v/>
      </c>
      <c r="S106" s="118">
        <f>P106/Donnees_annuelles!AA106*Donnees_annuelles!AJ106/Donnees_annuelles!AH106</f>
        <v/>
      </c>
    </row>
    <row r="107">
      <c r="A107" s="115" t="inlineStr">
        <is>
          <t>Privé</t>
        </is>
      </c>
      <c r="B107" s="101" t="n">
        <v>2049</v>
      </c>
      <c r="C107" s="107" t="n"/>
      <c r="D107" s="107" t="n"/>
      <c r="E107" s="107" t="n"/>
      <c r="F107" s="116" t="n"/>
      <c r="G107" s="107" t="n"/>
      <c r="H107" s="105" t="n">
        <v>0.00252</v>
      </c>
      <c r="I107" s="107" t="n"/>
      <c r="J107" s="107">
        <f>N107/Donnees_annuelles!D107</f>
        <v/>
      </c>
      <c r="K107" s="107">
        <f>O107/Donnees_annuelles!D107</f>
        <v/>
      </c>
      <c r="L107" s="105" t="n">
        <v>0</v>
      </c>
      <c r="M107" s="117" t="n">
        <v>1</v>
      </c>
      <c r="N107" s="106">
        <f>Donnees_annuelles!N107</f>
        <v/>
      </c>
      <c r="O107" s="106">
        <f>Donnees_annuelles!O107</f>
        <v/>
      </c>
      <c r="P107" s="106">
        <f>N107+O107</f>
        <v/>
      </c>
      <c r="Q107" s="106">
        <f>Donnees_annuelles!D107*L107</f>
        <v/>
      </c>
      <c r="R107" s="118">
        <f>P107/Donnees_annuelles!AA107*Donnees_annuelles!AI107/Donnees_annuelles!AG107</f>
        <v/>
      </c>
      <c r="S107" s="118">
        <f>P107/Donnees_annuelles!AA107*Donnees_annuelles!AJ107/Donnees_annuelles!AH107</f>
        <v/>
      </c>
    </row>
    <row r="108">
      <c r="A108" s="115" t="inlineStr">
        <is>
          <t>Privé</t>
        </is>
      </c>
      <c r="B108" s="101" t="n">
        <v>2050</v>
      </c>
      <c r="C108" s="107" t="n"/>
      <c r="D108" s="107" t="n"/>
      <c r="E108" s="107" t="n"/>
      <c r="F108" s="116" t="n"/>
      <c r="G108" s="107" t="n"/>
      <c r="H108" s="105" t="n">
        <v>0.00252</v>
      </c>
      <c r="I108" s="107" t="n"/>
      <c r="J108" s="107">
        <f>N108/Donnees_annuelles!D108</f>
        <v/>
      </c>
      <c r="K108" s="107">
        <f>O108/Donnees_annuelles!D108</f>
        <v/>
      </c>
      <c r="L108" s="105" t="n">
        <v>0</v>
      </c>
      <c r="M108" s="117" t="n">
        <v>1</v>
      </c>
      <c r="N108" s="106">
        <f>Donnees_annuelles!N108</f>
        <v/>
      </c>
      <c r="O108" s="106">
        <f>Donnees_annuelles!O108</f>
        <v/>
      </c>
      <c r="P108" s="106">
        <f>N108+O108</f>
        <v/>
      </c>
      <c r="Q108" s="106">
        <f>Donnees_annuelles!D108*L108</f>
        <v/>
      </c>
      <c r="R108" s="118">
        <f>P108/Donnees_annuelles!AA108*Donnees_annuelles!AI108/Donnees_annuelles!AG108</f>
        <v/>
      </c>
      <c r="S108" s="118">
        <f>P108/Donnees_annuelles!AA108*Donnees_annuelles!AJ108/Donnees_annuelles!AH108</f>
        <v/>
      </c>
    </row>
    <row r="109">
      <c r="A109" s="115" t="inlineStr">
        <is>
          <t>Privé</t>
        </is>
      </c>
      <c r="B109" s="101" t="n">
        <v>2051</v>
      </c>
      <c r="C109" s="107" t="n"/>
      <c r="D109" s="107" t="n"/>
      <c r="E109" s="107" t="n"/>
      <c r="F109" s="116" t="n"/>
      <c r="G109" s="107" t="n"/>
      <c r="H109" s="105" t="n">
        <v>0.00252</v>
      </c>
      <c r="I109" s="107" t="n"/>
      <c r="J109" s="107">
        <f>N109/Donnees_annuelles!D109</f>
        <v/>
      </c>
      <c r="K109" s="107">
        <f>O109/Donnees_annuelles!D109</f>
        <v/>
      </c>
      <c r="L109" s="105" t="n">
        <v>0</v>
      </c>
      <c r="M109" s="117" t="n">
        <v>1</v>
      </c>
      <c r="N109" s="106">
        <f>Donnees_annuelles!N109</f>
        <v/>
      </c>
      <c r="O109" s="106">
        <f>Donnees_annuelles!O109</f>
        <v/>
      </c>
      <c r="P109" s="106">
        <f>N109+O109</f>
        <v/>
      </c>
      <c r="Q109" s="106">
        <f>Donnees_annuelles!D109*L109</f>
        <v/>
      </c>
      <c r="R109" s="118">
        <f>P109/Donnees_annuelles!AA109*Donnees_annuelles!AI109/Donnees_annuelles!AG109</f>
        <v/>
      </c>
      <c r="S109" s="118">
        <f>P109/Donnees_annuelles!AA109*Donnees_annuelles!AJ109/Donnees_annuelles!AH109</f>
        <v/>
      </c>
    </row>
    <row r="110">
      <c r="A110" s="115" t="inlineStr">
        <is>
          <t>Privé</t>
        </is>
      </c>
      <c r="B110" s="101" t="n">
        <v>2052</v>
      </c>
      <c r="C110" s="107" t="n"/>
      <c r="D110" s="107" t="n"/>
      <c r="E110" s="107" t="n"/>
      <c r="F110" s="116" t="n"/>
      <c r="G110" s="107" t="n"/>
      <c r="H110" s="105" t="n">
        <v>0.00252</v>
      </c>
      <c r="I110" s="107" t="n"/>
      <c r="J110" s="107">
        <f>N110/Donnees_annuelles!D110</f>
        <v/>
      </c>
      <c r="K110" s="107">
        <f>O110/Donnees_annuelles!D110</f>
        <v/>
      </c>
      <c r="L110" s="105" t="n">
        <v>0</v>
      </c>
      <c r="M110" s="117" t="n">
        <v>1</v>
      </c>
      <c r="N110" s="106">
        <f>Donnees_annuelles!N110</f>
        <v/>
      </c>
      <c r="O110" s="106">
        <f>Donnees_annuelles!O110</f>
        <v/>
      </c>
      <c r="P110" s="106">
        <f>N110+O110</f>
        <v/>
      </c>
      <c r="Q110" s="106">
        <f>Donnees_annuelles!D110*L110</f>
        <v/>
      </c>
      <c r="R110" s="118">
        <f>P110/Donnees_annuelles!AA110*Donnees_annuelles!AI110/Donnees_annuelles!AG110</f>
        <v/>
      </c>
      <c r="S110" s="118">
        <f>P110/Donnees_annuelles!AA110*Donnees_annuelles!AJ110/Donnees_annuelles!AH110</f>
        <v/>
      </c>
    </row>
    <row r="111">
      <c r="A111" s="115" t="inlineStr">
        <is>
          <t>Privé</t>
        </is>
      </c>
      <c r="B111" s="101" t="n">
        <v>2053</v>
      </c>
      <c r="C111" s="107" t="n"/>
      <c r="D111" s="107" t="n"/>
      <c r="E111" s="107" t="n"/>
      <c r="F111" s="116" t="n"/>
      <c r="G111" s="107" t="n"/>
      <c r="H111" s="105" t="n">
        <v>0.00252</v>
      </c>
      <c r="I111" s="107" t="n"/>
      <c r="J111" s="107">
        <f>N111/Donnees_annuelles!D111</f>
        <v/>
      </c>
      <c r="K111" s="107">
        <f>O111/Donnees_annuelles!D111</f>
        <v/>
      </c>
      <c r="L111" s="105" t="n">
        <v>0</v>
      </c>
      <c r="M111" s="117" t="n">
        <v>1</v>
      </c>
      <c r="N111" s="106">
        <f>Donnees_annuelles!N111</f>
        <v/>
      </c>
      <c r="O111" s="106">
        <f>Donnees_annuelles!O111</f>
        <v/>
      </c>
      <c r="P111" s="106">
        <f>N111+O111</f>
        <v/>
      </c>
      <c r="Q111" s="106">
        <f>Donnees_annuelles!D111*L111</f>
        <v/>
      </c>
      <c r="R111" s="118">
        <f>P111/Donnees_annuelles!AA111*Donnees_annuelles!AI111/Donnees_annuelles!AG111</f>
        <v/>
      </c>
      <c r="S111" s="118">
        <f>P111/Donnees_annuelles!AA111*Donnees_annuelles!AJ111/Donnees_annuelles!AH111</f>
        <v/>
      </c>
    </row>
    <row r="112">
      <c r="A112" s="115" t="inlineStr">
        <is>
          <t>Privé</t>
        </is>
      </c>
      <c r="B112" s="101" t="n">
        <v>2054</v>
      </c>
      <c r="C112" s="107" t="n"/>
      <c r="D112" s="107" t="n"/>
      <c r="E112" s="107" t="n"/>
      <c r="F112" s="116" t="n"/>
      <c r="G112" s="107" t="n"/>
      <c r="H112" s="105" t="n">
        <v>0.00252</v>
      </c>
      <c r="I112" s="107" t="n"/>
      <c r="J112" s="107">
        <f>N112/Donnees_annuelles!D112</f>
        <v/>
      </c>
      <c r="K112" s="107">
        <f>O112/Donnees_annuelles!D112</f>
        <v/>
      </c>
      <c r="L112" s="105" t="n">
        <v>0</v>
      </c>
      <c r="M112" s="117" t="n">
        <v>1</v>
      </c>
      <c r="N112" s="106">
        <f>Donnees_annuelles!N112</f>
        <v/>
      </c>
      <c r="O112" s="106">
        <f>Donnees_annuelles!O112</f>
        <v/>
      </c>
      <c r="P112" s="106">
        <f>N112+O112</f>
        <v/>
      </c>
      <c r="Q112" s="106">
        <f>Donnees_annuelles!D112*L112</f>
        <v/>
      </c>
      <c r="R112" s="118">
        <f>P112/Donnees_annuelles!AA112*Donnees_annuelles!AI112/Donnees_annuelles!AG112</f>
        <v/>
      </c>
      <c r="S112" s="118">
        <f>P112/Donnees_annuelles!AA112*Donnees_annuelles!AJ112/Donnees_annuelles!AH112</f>
        <v/>
      </c>
    </row>
    <row r="113">
      <c r="A113" s="115" t="inlineStr">
        <is>
          <t>Privé</t>
        </is>
      </c>
      <c r="B113" s="101" t="n">
        <v>2055</v>
      </c>
      <c r="C113" s="107" t="n"/>
      <c r="D113" s="107" t="n"/>
      <c r="E113" s="107" t="n"/>
      <c r="F113" s="116" t="n"/>
      <c r="G113" s="107" t="n"/>
      <c r="H113" s="105" t="n">
        <v>0.00252</v>
      </c>
      <c r="I113" s="107" t="n"/>
      <c r="J113" s="107">
        <f>N113/Donnees_annuelles!D113</f>
        <v/>
      </c>
      <c r="K113" s="107">
        <f>O113/Donnees_annuelles!D113</f>
        <v/>
      </c>
      <c r="L113" s="105" t="n">
        <v>0</v>
      </c>
      <c r="M113" s="117" t="n">
        <v>1</v>
      </c>
      <c r="N113" s="106">
        <f>Donnees_annuelles!N113</f>
        <v/>
      </c>
      <c r="O113" s="106">
        <f>Donnees_annuelles!O113</f>
        <v/>
      </c>
      <c r="P113" s="106">
        <f>N113+O113</f>
        <v/>
      </c>
      <c r="Q113" s="106">
        <f>Donnees_annuelles!D113*L113</f>
        <v/>
      </c>
      <c r="R113" s="118">
        <f>P113/Donnees_annuelles!AA113*Donnees_annuelles!AI113/Donnees_annuelles!AG113</f>
        <v/>
      </c>
      <c r="S113" s="118">
        <f>P113/Donnees_annuelles!AA113*Donnees_annuelles!AJ113/Donnees_annuelles!AH113</f>
        <v/>
      </c>
    </row>
    <row r="114">
      <c r="A114" s="115" t="inlineStr">
        <is>
          <t>Privé</t>
        </is>
      </c>
      <c r="B114" s="101" t="n">
        <v>2056</v>
      </c>
      <c r="C114" s="107" t="n"/>
      <c r="D114" s="107" t="n"/>
      <c r="E114" s="107" t="n"/>
      <c r="F114" s="116" t="n"/>
      <c r="G114" s="107" t="n"/>
      <c r="H114" s="105" t="n">
        <v>0.00252</v>
      </c>
      <c r="I114" s="107" t="n"/>
      <c r="J114" s="107">
        <f>N114/Donnees_annuelles!D114</f>
        <v/>
      </c>
      <c r="K114" s="107">
        <f>O114/Donnees_annuelles!D114</f>
        <v/>
      </c>
      <c r="L114" s="105" t="n">
        <v>0</v>
      </c>
      <c r="M114" s="117" t="n">
        <v>1</v>
      </c>
      <c r="N114" s="106">
        <f>Donnees_annuelles!N114</f>
        <v/>
      </c>
      <c r="O114" s="106">
        <f>Donnees_annuelles!O114</f>
        <v/>
      </c>
      <c r="P114" s="106">
        <f>N114+O114</f>
        <v/>
      </c>
      <c r="Q114" s="106">
        <f>Donnees_annuelles!D114*L114</f>
        <v/>
      </c>
      <c r="R114" s="118">
        <f>P114/Donnees_annuelles!AA114*Donnees_annuelles!AI114/Donnees_annuelles!AG114</f>
        <v/>
      </c>
      <c r="S114" s="118">
        <f>P114/Donnees_annuelles!AA114*Donnees_annuelles!AJ114/Donnees_annuelles!AH114</f>
        <v/>
      </c>
    </row>
    <row r="115">
      <c r="A115" s="115" t="inlineStr">
        <is>
          <t>Privé</t>
        </is>
      </c>
      <c r="B115" s="101" t="n">
        <v>2057</v>
      </c>
      <c r="C115" s="107" t="n"/>
      <c r="D115" s="107" t="n"/>
      <c r="E115" s="107" t="n"/>
      <c r="F115" s="116" t="n"/>
      <c r="G115" s="107" t="n"/>
      <c r="H115" s="105" t="n">
        <v>0.00252</v>
      </c>
      <c r="I115" s="107" t="n"/>
      <c r="J115" s="107">
        <f>N115/Donnees_annuelles!D115</f>
        <v/>
      </c>
      <c r="K115" s="107">
        <f>O115/Donnees_annuelles!D115</f>
        <v/>
      </c>
      <c r="L115" s="105" t="n">
        <v>0</v>
      </c>
      <c r="M115" s="117" t="n">
        <v>1</v>
      </c>
      <c r="N115" s="106">
        <f>Donnees_annuelles!N115</f>
        <v/>
      </c>
      <c r="O115" s="106">
        <f>Donnees_annuelles!O115</f>
        <v/>
      </c>
      <c r="P115" s="106">
        <f>N115+O115</f>
        <v/>
      </c>
      <c r="Q115" s="106">
        <f>Donnees_annuelles!D115*L115</f>
        <v/>
      </c>
      <c r="R115" s="118">
        <f>P115/Donnees_annuelles!AA115*Donnees_annuelles!AI115/Donnees_annuelles!AG115</f>
        <v/>
      </c>
      <c r="S115" s="118">
        <f>P115/Donnees_annuelles!AA115*Donnees_annuelles!AJ115/Donnees_annuelles!AH115</f>
        <v/>
      </c>
    </row>
    <row r="116">
      <c r="A116" s="115" t="inlineStr">
        <is>
          <t>Privé</t>
        </is>
      </c>
      <c r="B116" s="101" t="n">
        <v>2058</v>
      </c>
      <c r="C116" s="107" t="n"/>
      <c r="D116" s="107" t="n"/>
      <c r="E116" s="107" t="n"/>
      <c r="F116" s="116" t="n"/>
      <c r="G116" s="107" t="n"/>
      <c r="H116" s="105" t="n">
        <v>0.00252</v>
      </c>
      <c r="I116" s="107" t="n"/>
      <c r="J116" s="107">
        <f>N116/Donnees_annuelles!D116</f>
        <v/>
      </c>
      <c r="K116" s="107">
        <f>O116/Donnees_annuelles!D116</f>
        <v/>
      </c>
      <c r="L116" s="105" t="n">
        <v>0</v>
      </c>
      <c r="M116" s="117" t="n">
        <v>1</v>
      </c>
      <c r="N116" s="106">
        <f>Donnees_annuelles!N116</f>
        <v/>
      </c>
      <c r="O116" s="106">
        <f>Donnees_annuelles!O116</f>
        <v/>
      </c>
      <c r="P116" s="106">
        <f>N116+O116</f>
        <v/>
      </c>
      <c r="Q116" s="106">
        <f>Donnees_annuelles!D116*L116</f>
        <v/>
      </c>
      <c r="R116" s="118">
        <f>P116/Donnees_annuelles!AA116*Donnees_annuelles!AI116/Donnees_annuelles!AG116</f>
        <v/>
      </c>
      <c r="S116" s="118">
        <f>P116/Donnees_annuelles!AA116*Donnees_annuelles!AJ116/Donnees_annuelles!AH116</f>
        <v/>
      </c>
    </row>
    <row r="117">
      <c r="A117" s="115" t="inlineStr">
        <is>
          <t>Privé</t>
        </is>
      </c>
      <c r="B117" s="101" t="n">
        <v>2059</v>
      </c>
      <c r="C117" s="107" t="n"/>
      <c r="D117" s="107" t="n"/>
      <c r="E117" s="107" t="n"/>
      <c r="F117" s="116" t="n"/>
      <c r="G117" s="107" t="n"/>
      <c r="H117" s="105" t="n">
        <v>0.00252</v>
      </c>
      <c r="I117" s="107" t="n"/>
      <c r="J117" s="107">
        <f>N117/Donnees_annuelles!D117</f>
        <v/>
      </c>
      <c r="K117" s="107">
        <f>O117/Donnees_annuelles!D117</f>
        <v/>
      </c>
      <c r="L117" s="105" t="n">
        <v>0</v>
      </c>
      <c r="M117" s="117" t="n">
        <v>1</v>
      </c>
      <c r="N117" s="106">
        <f>Donnees_annuelles!N117</f>
        <v/>
      </c>
      <c r="O117" s="106">
        <f>Donnees_annuelles!O117</f>
        <v/>
      </c>
      <c r="P117" s="106">
        <f>N117+O117</f>
        <v/>
      </c>
      <c r="Q117" s="106">
        <f>Donnees_annuelles!D117*L117</f>
        <v/>
      </c>
      <c r="R117" s="118">
        <f>P117/Donnees_annuelles!AA117*Donnees_annuelles!AI117/Donnees_annuelles!AG117</f>
        <v/>
      </c>
      <c r="S117" s="118">
        <f>P117/Donnees_annuelles!AA117*Donnees_annuelles!AJ117/Donnees_annuelles!AH117</f>
        <v/>
      </c>
    </row>
    <row r="118">
      <c r="A118" s="115" t="inlineStr">
        <is>
          <t>Privé</t>
        </is>
      </c>
      <c r="B118" s="101" t="n">
        <v>2060</v>
      </c>
      <c r="C118" s="107" t="n"/>
      <c r="D118" s="107" t="n"/>
      <c r="E118" s="107" t="n"/>
      <c r="F118" s="116" t="n"/>
      <c r="G118" s="107" t="n"/>
      <c r="H118" s="105" t="n">
        <v>0.00252</v>
      </c>
      <c r="I118" s="107" t="n"/>
      <c r="J118" s="107">
        <f>N118/Donnees_annuelles!D118</f>
        <v/>
      </c>
      <c r="K118" s="107">
        <f>O118/Donnees_annuelles!D118</f>
        <v/>
      </c>
      <c r="L118" s="105" t="n">
        <v>0</v>
      </c>
      <c r="M118" s="117" t="n">
        <v>1</v>
      </c>
      <c r="N118" s="106">
        <f>Donnees_annuelles!N118</f>
        <v/>
      </c>
      <c r="O118" s="106">
        <f>Donnees_annuelles!O118</f>
        <v/>
      </c>
      <c r="P118" s="106">
        <f>N118+O118</f>
        <v/>
      </c>
      <c r="Q118" s="106">
        <f>Donnees_annuelles!D118*L118</f>
        <v/>
      </c>
      <c r="R118" s="118">
        <f>P118/Donnees_annuelles!AA118*Donnees_annuelles!AI118/Donnees_annuelles!AG118</f>
        <v/>
      </c>
      <c r="S118" s="118">
        <f>P118/Donnees_annuelles!AA118*Donnees_annuelles!AJ118/Donnees_annuelles!AH118</f>
        <v/>
      </c>
    </row>
    <row r="119">
      <c r="A119" s="115" t="inlineStr">
        <is>
          <t>Privé</t>
        </is>
      </c>
      <c r="B119" s="101" t="n">
        <v>2061</v>
      </c>
      <c r="C119" s="107" t="n"/>
      <c r="D119" s="107" t="n"/>
      <c r="E119" s="107" t="n"/>
      <c r="F119" s="116" t="n"/>
      <c r="G119" s="107" t="n"/>
      <c r="H119" s="105" t="n">
        <v>0.00252</v>
      </c>
      <c r="I119" s="107" t="n"/>
      <c r="J119" s="107">
        <f>N119/Donnees_annuelles!D119</f>
        <v/>
      </c>
      <c r="K119" s="107">
        <f>O119/Donnees_annuelles!D119</f>
        <v/>
      </c>
      <c r="L119" s="105" t="n">
        <v>0</v>
      </c>
      <c r="M119" s="117" t="n">
        <v>1</v>
      </c>
      <c r="N119" s="106">
        <f>Donnees_annuelles!N119</f>
        <v/>
      </c>
      <c r="O119" s="106">
        <f>Donnees_annuelles!O119</f>
        <v/>
      </c>
      <c r="P119" s="106">
        <f>N119+O119</f>
        <v/>
      </c>
      <c r="Q119" s="106">
        <f>Donnees_annuelles!D119*L119</f>
        <v/>
      </c>
      <c r="R119" s="118">
        <f>P119/Donnees_annuelles!AA119*Donnees_annuelles!AI119/Donnees_annuelles!AG119</f>
        <v/>
      </c>
      <c r="S119" s="118">
        <f>P119/Donnees_annuelles!AA119*Donnees_annuelles!AJ119/Donnees_annuelles!AH119</f>
        <v/>
      </c>
    </row>
    <row r="120">
      <c r="A120" s="115" t="inlineStr">
        <is>
          <t>Privé</t>
        </is>
      </c>
      <c r="B120" s="101" t="n">
        <v>2062</v>
      </c>
      <c r="C120" s="107" t="n"/>
      <c r="D120" s="107" t="n"/>
      <c r="E120" s="107" t="n"/>
      <c r="F120" s="116" t="n"/>
      <c r="G120" s="107" t="n"/>
      <c r="H120" s="105" t="n">
        <v>0.00252</v>
      </c>
      <c r="I120" s="107" t="n"/>
      <c r="J120" s="107">
        <f>N120/Donnees_annuelles!D120</f>
        <v/>
      </c>
      <c r="K120" s="107">
        <f>O120/Donnees_annuelles!D120</f>
        <v/>
      </c>
      <c r="L120" s="105" t="n">
        <v>0</v>
      </c>
      <c r="M120" s="117" t="n">
        <v>1</v>
      </c>
      <c r="N120" s="106">
        <f>Donnees_annuelles!N120</f>
        <v/>
      </c>
      <c r="O120" s="106">
        <f>Donnees_annuelles!O120</f>
        <v/>
      </c>
      <c r="P120" s="106">
        <f>N120+O120</f>
        <v/>
      </c>
      <c r="Q120" s="106">
        <f>Donnees_annuelles!D120*L120</f>
        <v/>
      </c>
      <c r="R120" s="118">
        <f>P120/Donnees_annuelles!AA120*Donnees_annuelles!AI120/Donnees_annuelles!AG120</f>
        <v/>
      </c>
      <c r="S120" s="118">
        <f>P120/Donnees_annuelles!AA120*Donnees_annuelles!AJ120/Donnees_annuelles!AH120</f>
        <v/>
      </c>
    </row>
    <row r="121">
      <c r="A121" s="115" t="inlineStr">
        <is>
          <t>Privé</t>
        </is>
      </c>
      <c r="B121" s="101" t="n">
        <v>2063</v>
      </c>
      <c r="C121" s="107" t="n"/>
      <c r="D121" s="107" t="n"/>
      <c r="E121" s="107" t="n"/>
      <c r="F121" s="116" t="n"/>
      <c r="G121" s="107" t="n"/>
      <c r="H121" s="105" t="n">
        <v>0.00252</v>
      </c>
      <c r="I121" s="107" t="n"/>
      <c r="J121" s="107">
        <f>N121/Donnees_annuelles!D121</f>
        <v/>
      </c>
      <c r="K121" s="107">
        <f>O121/Donnees_annuelles!D121</f>
        <v/>
      </c>
      <c r="L121" s="105" t="n">
        <v>0</v>
      </c>
      <c r="M121" s="117" t="n">
        <v>1</v>
      </c>
      <c r="N121" s="106">
        <f>Donnees_annuelles!N121</f>
        <v/>
      </c>
      <c r="O121" s="106">
        <f>Donnees_annuelles!O121</f>
        <v/>
      </c>
      <c r="P121" s="106">
        <f>N121+O121</f>
        <v/>
      </c>
      <c r="Q121" s="106">
        <f>Donnees_annuelles!D121*L121</f>
        <v/>
      </c>
      <c r="R121" s="118">
        <f>P121/Donnees_annuelles!AA121*Donnees_annuelles!AI121/Donnees_annuelles!AG121</f>
        <v/>
      </c>
      <c r="S121" s="118">
        <f>P121/Donnees_annuelles!AA121*Donnees_annuelles!AJ121/Donnees_annuelles!AH121</f>
        <v/>
      </c>
    </row>
    <row r="122">
      <c r="A122" s="115" t="inlineStr">
        <is>
          <t>Privé</t>
        </is>
      </c>
      <c r="B122" s="101" t="n">
        <v>2064</v>
      </c>
      <c r="C122" s="107" t="n"/>
      <c r="D122" s="107" t="n"/>
      <c r="E122" s="107" t="n"/>
      <c r="F122" s="116" t="n"/>
      <c r="G122" s="107" t="n"/>
      <c r="H122" s="105" t="n">
        <v>0.00252</v>
      </c>
      <c r="I122" s="107" t="n"/>
      <c r="J122" s="107">
        <f>N122/Donnees_annuelles!D122</f>
        <v/>
      </c>
      <c r="K122" s="107">
        <f>O122/Donnees_annuelles!D122</f>
        <v/>
      </c>
      <c r="L122" s="105" t="n">
        <v>0</v>
      </c>
      <c r="M122" s="117" t="n">
        <v>1</v>
      </c>
      <c r="N122" s="106">
        <f>Donnees_annuelles!N122</f>
        <v/>
      </c>
      <c r="O122" s="106">
        <f>Donnees_annuelles!O122</f>
        <v/>
      </c>
      <c r="P122" s="106">
        <f>N122+O122</f>
        <v/>
      </c>
      <c r="Q122" s="106">
        <f>Donnees_annuelles!D122*L122</f>
        <v/>
      </c>
      <c r="R122" s="118">
        <f>P122/Donnees_annuelles!AA122*Donnees_annuelles!AI122/Donnees_annuelles!AG122</f>
        <v/>
      </c>
      <c r="S122" s="118">
        <f>P122/Donnees_annuelles!AA122*Donnees_annuelles!AJ122/Donnees_annuelles!AH122</f>
        <v/>
      </c>
    </row>
    <row r="123">
      <c r="A123" s="115" t="inlineStr">
        <is>
          <t>Privé</t>
        </is>
      </c>
      <c r="B123" s="101" t="n">
        <v>2065</v>
      </c>
      <c r="C123" s="107" t="n"/>
      <c r="D123" s="107" t="n"/>
      <c r="E123" s="107" t="n"/>
      <c r="F123" s="116" t="n"/>
      <c r="G123" s="107" t="n"/>
      <c r="H123" s="105" t="n">
        <v>0.00252</v>
      </c>
      <c r="I123" s="107" t="n"/>
      <c r="J123" s="107">
        <f>N123/Donnees_annuelles!D123</f>
        <v/>
      </c>
      <c r="K123" s="107">
        <f>O123/Donnees_annuelles!D123</f>
        <v/>
      </c>
      <c r="L123" s="105" t="n">
        <v>0</v>
      </c>
      <c r="M123" s="117" t="n">
        <v>1</v>
      </c>
      <c r="N123" s="106">
        <f>Donnees_annuelles!N123</f>
        <v/>
      </c>
      <c r="O123" s="106">
        <f>Donnees_annuelles!O123</f>
        <v/>
      </c>
      <c r="P123" s="106">
        <f>N123+O123</f>
        <v/>
      </c>
      <c r="Q123" s="106">
        <f>Donnees_annuelles!D123*L123</f>
        <v/>
      </c>
      <c r="R123" s="118">
        <f>P123/Donnees_annuelles!AA123*Donnees_annuelles!AI123/Donnees_annuelles!AG123</f>
        <v/>
      </c>
      <c r="S123" s="118">
        <f>P123/Donnees_annuelles!AA123*Donnees_annuelles!AJ123/Donnees_annuelles!AH123</f>
        <v/>
      </c>
    </row>
    <row r="124">
      <c r="A124" s="115" t="inlineStr">
        <is>
          <t>Privé</t>
        </is>
      </c>
      <c r="B124" s="101" t="n">
        <v>2066</v>
      </c>
      <c r="C124" s="107" t="n"/>
      <c r="D124" s="107" t="n"/>
      <c r="E124" s="107" t="n"/>
      <c r="F124" s="116" t="n"/>
      <c r="G124" s="107" t="n"/>
      <c r="H124" s="105" t="n">
        <v>0.00252</v>
      </c>
      <c r="I124" s="107" t="n"/>
      <c r="J124" s="107">
        <f>N124/Donnees_annuelles!D124</f>
        <v/>
      </c>
      <c r="K124" s="107">
        <f>O124/Donnees_annuelles!D124</f>
        <v/>
      </c>
      <c r="L124" s="105" t="n">
        <v>0</v>
      </c>
      <c r="M124" s="117" t="n">
        <v>1</v>
      </c>
      <c r="N124" s="106">
        <f>Donnees_annuelles!N124</f>
        <v/>
      </c>
      <c r="O124" s="106">
        <f>Donnees_annuelles!O124</f>
        <v/>
      </c>
      <c r="P124" s="106">
        <f>N124+O124</f>
        <v/>
      </c>
      <c r="Q124" s="106">
        <f>Donnees_annuelles!D124*L124</f>
        <v/>
      </c>
      <c r="R124" s="118">
        <f>P124/Donnees_annuelles!AA124*Donnees_annuelles!AI124/Donnees_annuelles!AG124</f>
        <v/>
      </c>
      <c r="S124" s="118">
        <f>P124/Donnees_annuelles!AA124*Donnees_annuelles!AJ124/Donnees_annuelles!AH124</f>
        <v/>
      </c>
    </row>
    <row r="125">
      <c r="A125" s="115" t="inlineStr">
        <is>
          <t>Privé</t>
        </is>
      </c>
      <c r="B125" s="101" t="n">
        <v>2067</v>
      </c>
      <c r="C125" s="107" t="n"/>
      <c r="D125" s="107" t="n"/>
      <c r="E125" s="107" t="n"/>
      <c r="F125" s="116" t="n"/>
      <c r="G125" s="107" t="n"/>
      <c r="H125" s="105" t="n">
        <v>0.00252</v>
      </c>
      <c r="I125" s="107" t="n"/>
      <c r="J125" s="107">
        <f>N125/Donnees_annuelles!D125</f>
        <v/>
      </c>
      <c r="K125" s="107">
        <f>O125/Donnees_annuelles!D125</f>
        <v/>
      </c>
      <c r="L125" s="105" t="n">
        <v>0</v>
      </c>
      <c r="M125" s="117" t="n">
        <v>1</v>
      </c>
      <c r="N125" s="106">
        <f>Donnees_annuelles!N125</f>
        <v/>
      </c>
      <c r="O125" s="106">
        <f>Donnees_annuelles!O125</f>
        <v/>
      </c>
      <c r="P125" s="106">
        <f>N125+O125</f>
        <v/>
      </c>
      <c r="Q125" s="106">
        <f>Donnees_annuelles!D125*L125</f>
        <v/>
      </c>
      <c r="R125" s="118">
        <f>P125/Donnees_annuelles!AA125*Donnees_annuelles!AI125/Donnees_annuelles!AG125</f>
        <v/>
      </c>
      <c r="S125" s="118">
        <f>P125/Donnees_annuelles!AA125*Donnees_annuelles!AJ125/Donnees_annuelles!AH125</f>
        <v/>
      </c>
    </row>
    <row r="126">
      <c r="A126" s="115" t="inlineStr">
        <is>
          <t>Privé</t>
        </is>
      </c>
      <c r="B126" s="101" t="n">
        <v>2068</v>
      </c>
      <c r="C126" s="107" t="n"/>
      <c r="D126" s="107" t="n"/>
      <c r="E126" s="107" t="n"/>
      <c r="F126" s="116" t="n"/>
      <c r="G126" s="107" t="n"/>
      <c r="H126" s="105" t="n">
        <v>0.00252</v>
      </c>
      <c r="I126" s="107" t="n"/>
      <c r="J126" s="107">
        <f>N126/Donnees_annuelles!D126</f>
        <v/>
      </c>
      <c r="K126" s="107">
        <f>O126/Donnees_annuelles!D126</f>
        <v/>
      </c>
      <c r="L126" s="105" t="n">
        <v>0</v>
      </c>
      <c r="M126" s="117" t="n">
        <v>1</v>
      </c>
      <c r="N126" s="106">
        <f>Donnees_annuelles!N126</f>
        <v/>
      </c>
      <c r="O126" s="106">
        <f>Donnees_annuelles!O126</f>
        <v/>
      </c>
      <c r="P126" s="106">
        <f>N126+O126</f>
        <v/>
      </c>
      <c r="Q126" s="106">
        <f>Donnees_annuelles!D126*L126</f>
        <v/>
      </c>
      <c r="R126" s="118">
        <f>P126/Donnees_annuelles!AA126*Donnees_annuelles!AI126/Donnees_annuelles!AG126</f>
        <v/>
      </c>
      <c r="S126" s="118">
        <f>P126/Donnees_annuelles!AA126*Donnees_annuelles!AJ126/Donnees_annuelles!AH126</f>
        <v/>
      </c>
    </row>
    <row r="127">
      <c r="A127" s="115" t="inlineStr">
        <is>
          <t>Privé</t>
        </is>
      </c>
      <c r="B127" s="101" t="n">
        <v>2069</v>
      </c>
      <c r="C127" s="107" t="n"/>
      <c r="D127" s="107" t="n"/>
      <c r="E127" s="107" t="n"/>
      <c r="F127" s="116" t="n"/>
      <c r="G127" s="107" t="n"/>
      <c r="H127" s="105" t="n">
        <v>0.00252</v>
      </c>
      <c r="I127" s="107" t="n"/>
      <c r="J127" s="107">
        <f>N127/Donnees_annuelles!D127</f>
        <v/>
      </c>
      <c r="K127" s="107">
        <f>O127/Donnees_annuelles!D127</f>
        <v/>
      </c>
      <c r="L127" s="105" t="n">
        <v>0</v>
      </c>
      <c r="M127" s="117" t="n">
        <v>1</v>
      </c>
      <c r="N127" s="106">
        <f>Donnees_annuelles!N127</f>
        <v/>
      </c>
      <c r="O127" s="106">
        <f>Donnees_annuelles!O127</f>
        <v/>
      </c>
      <c r="P127" s="106">
        <f>N127+O127</f>
        <v/>
      </c>
      <c r="Q127" s="106">
        <f>Donnees_annuelles!D127*L127</f>
        <v/>
      </c>
      <c r="R127" s="118">
        <f>P127/Donnees_annuelles!AA127*Donnees_annuelles!AI127/Donnees_annuelles!AG127</f>
        <v/>
      </c>
      <c r="S127" s="118">
        <f>P127/Donnees_annuelles!AA127*Donnees_annuelles!AJ127/Donnees_annuelles!AH127</f>
        <v/>
      </c>
    </row>
    <row r="128">
      <c r="A128" s="115" t="inlineStr">
        <is>
          <t>Privé</t>
        </is>
      </c>
      <c r="B128" s="101" t="n">
        <v>2070</v>
      </c>
      <c r="C128" s="107" t="n"/>
      <c r="D128" s="107" t="n"/>
      <c r="E128" s="107" t="n"/>
      <c r="F128" s="116" t="n"/>
      <c r="G128" s="107" t="n"/>
      <c r="H128" s="105" t="n">
        <v>0.00252</v>
      </c>
      <c r="I128" s="107" t="n"/>
      <c r="J128" s="107">
        <f>N128/Donnees_annuelles!D128</f>
        <v/>
      </c>
      <c r="K128" s="107">
        <f>O128/Donnees_annuelles!D128</f>
        <v/>
      </c>
      <c r="L128" s="105" t="n">
        <v>0</v>
      </c>
      <c r="M128" s="117" t="n">
        <v>1</v>
      </c>
      <c r="N128" s="106">
        <f>Donnees_annuelles!N128</f>
        <v/>
      </c>
      <c r="O128" s="106">
        <f>Donnees_annuelles!O128</f>
        <v/>
      </c>
      <c r="P128" s="106">
        <f>N128+O128</f>
        <v/>
      </c>
      <c r="Q128" s="106">
        <f>Donnees_annuelles!D128*L128</f>
        <v/>
      </c>
      <c r="R128" s="118">
        <f>P128/Donnees_annuelles!AA128*Donnees_annuelles!AI128/Donnees_annuelles!AG128</f>
        <v/>
      </c>
      <c r="S128" s="118">
        <f>P128/Donnees_annuelles!AA128*Donnees_annuelles!AJ128/Donnees_annuelles!AH128</f>
        <v/>
      </c>
    </row>
    <row r="129">
      <c r="A129" s="115" t="inlineStr">
        <is>
          <t>Privé</t>
        </is>
      </c>
      <c r="B129" s="101" t="n">
        <v>2071</v>
      </c>
      <c r="C129" s="107" t="n"/>
      <c r="D129" s="107" t="n"/>
      <c r="E129" s="107" t="n"/>
      <c r="F129" s="116" t="n"/>
      <c r="G129" s="107" t="n"/>
      <c r="H129" s="105" t="n">
        <v>0.00252</v>
      </c>
      <c r="I129" s="107" t="n"/>
      <c r="J129" s="107">
        <f>N129/Donnees_annuelles!D129</f>
        <v/>
      </c>
      <c r="K129" s="107">
        <f>O129/Donnees_annuelles!D129</f>
        <v/>
      </c>
      <c r="L129" s="105" t="n">
        <v>0</v>
      </c>
      <c r="M129" s="117" t="n">
        <v>1</v>
      </c>
      <c r="N129" s="106">
        <f>Donnees_annuelles!N129</f>
        <v/>
      </c>
      <c r="O129" s="106">
        <f>Donnees_annuelles!O129</f>
        <v/>
      </c>
      <c r="P129" s="106">
        <f>N129+O129</f>
        <v/>
      </c>
      <c r="Q129" s="106">
        <f>Donnees_annuelles!D129*L129</f>
        <v/>
      </c>
      <c r="R129" s="118">
        <f>P129/Donnees_annuelles!AA129*Donnees_annuelles!AI129/Donnees_annuelles!AG129</f>
        <v/>
      </c>
      <c r="S129" s="118">
        <f>P129/Donnees_annuelles!AA129*Donnees_annuelles!AJ129/Donnees_annuelles!AH129</f>
        <v/>
      </c>
    </row>
    <row r="130">
      <c r="A130" s="115" t="inlineStr">
        <is>
          <t>Privé</t>
        </is>
      </c>
      <c r="B130" s="101" t="n">
        <v>2072</v>
      </c>
      <c r="C130" s="107" t="n"/>
      <c r="D130" s="107" t="n"/>
      <c r="E130" s="107" t="n"/>
      <c r="F130" s="116" t="n"/>
      <c r="G130" s="107" t="n"/>
      <c r="H130" s="105" t="n">
        <v>0.00252</v>
      </c>
      <c r="I130" s="107" t="n"/>
      <c r="J130" s="107">
        <f>N130/Donnees_annuelles!D130</f>
        <v/>
      </c>
      <c r="K130" s="107">
        <f>O130/Donnees_annuelles!D130</f>
        <v/>
      </c>
      <c r="L130" s="105" t="n">
        <v>0</v>
      </c>
      <c r="M130" s="117" t="n">
        <v>1</v>
      </c>
      <c r="N130" s="106">
        <f>Donnees_annuelles!N130</f>
        <v/>
      </c>
      <c r="O130" s="106">
        <f>Donnees_annuelles!O130</f>
        <v/>
      </c>
      <c r="P130" s="106">
        <f>N130+O130</f>
        <v/>
      </c>
      <c r="Q130" s="106">
        <f>Donnees_annuelles!D130*L130</f>
        <v/>
      </c>
      <c r="R130" s="118">
        <f>P130/Donnees_annuelles!AA130*Donnees_annuelles!AI130/Donnees_annuelles!AG130</f>
        <v/>
      </c>
      <c r="S130" s="118">
        <f>P130/Donnees_annuelles!AA130*Donnees_annuelles!AJ130/Donnees_annuelles!AH130</f>
        <v/>
      </c>
    </row>
    <row r="131">
      <c r="A131" s="115" t="inlineStr">
        <is>
          <t>Privé</t>
        </is>
      </c>
      <c r="B131" s="101" t="n">
        <v>2073</v>
      </c>
      <c r="C131" s="107" t="n"/>
      <c r="D131" s="107" t="n"/>
      <c r="E131" s="107" t="n"/>
      <c r="F131" s="116" t="n"/>
      <c r="G131" s="107" t="n"/>
      <c r="H131" s="105" t="n">
        <v>0.00252</v>
      </c>
      <c r="I131" s="107" t="n"/>
      <c r="J131" s="107">
        <f>N131/Donnees_annuelles!D131</f>
        <v/>
      </c>
      <c r="K131" s="107">
        <f>O131/Donnees_annuelles!D131</f>
        <v/>
      </c>
      <c r="L131" s="105" t="n">
        <v>0</v>
      </c>
      <c r="M131" s="117" t="n">
        <v>1</v>
      </c>
      <c r="N131" s="106">
        <f>Donnees_annuelles!N131</f>
        <v/>
      </c>
      <c r="O131" s="106">
        <f>Donnees_annuelles!O131</f>
        <v/>
      </c>
      <c r="P131" s="106">
        <f>N131+O131</f>
        <v/>
      </c>
      <c r="Q131" s="106">
        <f>Donnees_annuelles!D131*L131</f>
        <v/>
      </c>
      <c r="R131" s="118">
        <f>P131/Donnees_annuelles!AA131*Donnees_annuelles!AI131/Donnees_annuelles!AG131</f>
        <v/>
      </c>
      <c r="S131" s="118">
        <f>P131/Donnees_annuelles!AA131*Donnees_annuelles!AJ131/Donnees_annuelles!AH131</f>
        <v/>
      </c>
    </row>
    <row r="132">
      <c r="A132" s="115" t="inlineStr">
        <is>
          <t>Privé</t>
        </is>
      </c>
      <c r="B132" s="101" t="n">
        <v>2074</v>
      </c>
      <c r="C132" s="107" t="n"/>
      <c r="D132" s="107" t="n"/>
      <c r="E132" s="107" t="n"/>
      <c r="F132" s="116" t="n"/>
      <c r="G132" s="107" t="n"/>
      <c r="H132" s="105" t="n">
        <v>0.00252</v>
      </c>
      <c r="I132" s="107" t="n"/>
      <c r="J132" s="107">
        <f>N132/Donnees_annuelles!D132</f>
        <v/>
      </c>
      <c r="K132" s="107">
        <f>O132/Donnees_annuelles!D132</f>
        <v/>
      </c>
      <c r="L132" s="105" t="n">
        <v>0</v>
      </c>
      <c r="M132" s="117" t="n">
        <v>1</v>
      </c>
      <c r="N132" s="106">
        <f>Donnees_annuelles!N132</f>
        <v/>
      </c>
      <c r="O132" s="106">
        <f>Donnees_annuelles!O132</f>
        <v/>
      </c>
      <c r="P132" s="106">
        <f>N132+O132</f>
        <v/>
      </c>
      <c r="Q132" s="106">
        <f>Donnees_annuelles!D132*L132</f>
        <v/>
      </c>
      <c r="R132" s="118">
        <f>P132/Donnees_annuelles!AA132*Donnees_annuelles!AI132/Donnees_annuelles!AG132</f>
        <v/>
      </c>
      <c r="S132" s="118">
        <f>P132/Donnees_annuelles!AA132*Donnees_annuelles!AJ132/Donnees_annuelles!AH132</f>
        <v/>
      </c>
    </row>
    <row r="133">
      <c r="A133" s="115" t="inlineStr">
        <is>
          <t>Privé</t>
        </is>
      </c>
      <c r="B133" s="101" t="n">
        <v>2075</v>
      </c>
      <c r="C133" s="107" t="n"/>
      <c r="D133" s="107" t="n"/>
      <c r="E133" s="107" t="n"/>
      <c r="F133" s="116" t="n"/>
      <c r="G133" s="107" t="n"/>
      <c r="H133" s="105" t="n">
        <v>0.00252</v>
      </c>
      <c r="I133" s="107" t="n"/>
      <c r="J133" s="107">
        <f>N133/Donnees_annuelles!D133</f>
        <v/>
      </c>
      <c r="K133" s="107">
        <f>O133/Donnees_annuelles!D133</f>
        <v/>
      </c>
      <c r="L133" s="105" t="n">
        <v>0</v>
      </c>
      <c r="M133" s="117" t="n">
        <v>1</v>
      </c>
      <c r="N133" s="106">
        <f>Donnees_annuelles!N133</f>
        <v/>
      </c>
      <c r="O133" s="106">
        <f>Donnees_annuelles!O133</f>
        <v/>
      </c>
      <c r="P133" s="106">
        <f>N133+O133</f>
        <v/>
      </c>
      <c r="Q133" s="106">
        <f>Donnees_annuelles!D133*L133</f>
        <v/>
      </c>
      <c r="R133" s="118">
        <f>P133/Donnees_annuelles!AA133*Donnees_annuelles!AI133/Donnees_annuelles!AG133</f>
        <v/>
      </c>
      <c r="S133" s="118">
        <f>P133/Donnees_annuelles!AA133*Donnees_annuelles!AJ133/Donnees_annuelles!AH133</f>
        <v/>
      </c>
    </row>
    <row r="134">
      <c r="A134" s="115" t="inlineStr">
        <is>
          <t>Privé</t>
        </is>
      </c>
      <c r="B134" s="101" t="n">
        <v>2076</v>
      </c>
      <c r="C134" s="107" t="n"/>
      <c r="D134" s="107" t="n"/>
      <c r="E134" s="107" t="n"/>
      <c r="F134" s="116" t="n"/>
      <c r="G134" s="107" t="n"/>
      <c r="H134" s="105" t="n">
        <v>0.00252</v>
      </c>
      <c r="I134" s="107" t="n"/>
      <c r="J134" s="107">
        <f>N134/Donnees_annuelles!D134</f>
        <v/>
      </c>
      <c r="K134" s="107">
        <f>O134/Donnees_annuelles!D134</f>
        <v/>
      </c>
      <c r="L134" s="105" t="n">
        <v>0</v>
      </c>
      <c r="M134" s="117" t="n">
        <v>1</v>
      </c>
      <c r="N134" s="106">
        <f>Donnees_annuelles!N134</f>
        <v/>
      </c>
      <c r="O134" s="106">
        <f>Donnees_annuelles!O134</f>
        <v/>
      </c>
      <c r="P134" s="106">
        <f>N134+O134</f>
        <v/>
      </c>
      <c r="Q134" s="106">
        <f>Donnees_annuelles!D134*L134</f>
        <v/>
      </c>
      <c r="R134" s="118">
        <f>P134/Donnees_annuelles!AA134*Donnees_annuelles!AI134/Donnees_annuelles!AG134</f>
        <v/>
      </c>
      <c r="S134" s="118">
        <f>P134/Donnees_annuelles!AA134*Donnees_annuelles!AJ134/Donnees_annuelles!AH134</f>
        <v/>
      </c>
    </row>
    <row r="135">
      <c r="A135" s="115" t="inlineStr">
        <is>
          <t>Privé</t>
        </is>
      </c>
      <c r="B135" s="101" t="n">
        <v>2077</v>
      </c>
      <c r="C135" s="107" t="n"/>
      <c r="D135" s="107" t="n"/>
      <c r="E135" s="107" t="n"/>
      <c r="F135" s="116" t="n"/>
      <c r="G135" s="107" t="n"/>
      <c r="H135" s="105" t="n">
        <v>0.00252</v>
      </c>
      <c r="I135" s="107" t="n"/>
      <c r="J135" s="107">
        <f>N135/Donnees_annuelles!D135</f>
        <v/>
      </c>
      <c r="K135" s="107">
        <f>O135/Donnees_annuelles!D135</f>
        <v/>
      </c>
      <c r="L135" s="105" t="n">
        <v>0</v>
      </c>
      <c r="M135" s="117" t="n">
        <v>1</v>
      </c>
      <c r="N135" s="106">
        <f>Donnees_annuelles!N135</f>
        <v/>
      </c>
      <c r="O135" s="106">
        <f>Donnees_annuelles!O135</f>
        <v/>
      </c>
      <c r="P135" s="106">
        <f>N135+O135</f>
        <v/>
      </c>
      <c r="Q135" s="106">
        <f>Donnees_annuelles!D135*L135</f>
        <v/>
      </c>
      <c r="R135" s="118">
        <f>P135/Donnees_annuelles!AA135*Donnees_annuelles!AI135/Donnees_annuelles!AG135</f>
        <v/>
      </c>
      <c r="S135" s="118">
        <f>P135/Donnees_annuelles!AA135*Donnees_annuelles!AJ135/Donnees_annuelles!AH135</f>
        <v/>
      </c>
    </row>
    <row r="136">
      <c r="A136" s="115" t="inlineStr">
        <is>
          <t>Privé</t>
        </is>
      </c>
      <c r="B136" s="101" t="n">
        <v>2078</v>
      </c>
      <c r="C136" s="107" t="n"/>
      <c r="D136" s="107" t="n"/>
      <c r="E136" s="107" t="n"/>
      <c r="F136" s="116" t="n"/>
      <c r="G136" s="107" t="n"/>
      <c r="H136" s="105" t="n">
        <v>0.00252</v>
      </c>
      <c r="I136" s="107" t="n"/>
      <c r="J136" s="107">
        <f>N136/Donnees_annuelles!D136</f>
        <v/>
      </c>
      <c r="K136" s="107">
        <f>O136/Donnees_annuelles!D136</f>
        <v/>
      </c>
      <c r="L136" s="105" t="n">
        <v>0</v>
      </c>
      <c r="M136" s="117" t="n">
        <v>1</v>
      </c>
      <c r="N136" s="106">
        <f>Donnees_annuelles!N136</f>
        <v/>
      </c>
      <c r="O136" s="106">
        <f>Donnees_annuelles!O136</f>
        <v/>
      </c>
      <c r="P136" s="106">
        <f>N136+O136</f>
        <v/>
      </c>
      <c r="Q136" s="106">
        <f>Donnees_annuelles!D136*L136</f>
        <v/>
      </c>
      <c r="R136" s="118">
        <f>P136/Donnees_annuelles!AA136*Donnees_annuelles!AI136/Donnees_annuelles!AG136</f>
        <v/>
      </c>
      <c r="S136" s="118">
        <f>P136/Donnees_annuelles!AA136*Donnees_annuelles!AJ136/Donnees_annuelles!AH136</f>
        <v/>
      </c>
    </row>
    <row r="137">
      <c r="A137" s="115" t="inlineStr">
        <is>
          <t>Privé</t>
        </is>
      </c>
      <c r="B137" s="101" t="n">
        <v>2079</v>
      </c>
      <c r="C137" s="107" t="n"/>
      <c r="D137" s="107" t="n"/>
      <c r="E137" s="107" t="n"/>
      <c r="F137" s="116" t="n"/>
      <c r="G137" s="107" t="n"/>
      <c r="H137" s="105" t="n">
        <v>0.00252</v>
      </c>
      <c r="I137" s="107" t="n"/>
      <c r="J137" s="107">
        <f>N137/Donnees_annuelles!D137</f>
        <v/>
      </c>
      <c r="K137" s="107">
        <f>O137/Donnees_annuelles!D137</f>
        <v/>
      </c>
      <c r="L137" s="105" t="n">
        <v>0</v>
      </c>
      <c r="M137" s="117" t="n">
        <v>1</v>
      </c>
      <c r="N137" s="106">
        <f>Donnees_annuelles!N137</f>
        <v/>
      </c>
      <c r="O137" s="106">
        <f>Donnees_annuelles!O137</f>
        <v/>
      </c>
      <c r="P137" s="106">
        <f>N137+O137</f>
        <v/>
      </c>
      <c r="Q137" s="106">
        <f>Donnees_annuelles!D137*L137</f>
        <v/>
      </c>
      <c r="R137" s="118">
        <f>P137/Donnees_annuelles!AA137*Donnees_annuelles!AI137/Donnees_annuelles!AG137</f>
        <v/>
      </c>
      <c r="S137" s="118">
        <f>P137/Donnees_annuelles!AA137*Donnees_annuelles!AJ137/Donnees_annuelles!AH137</f>
        <v/>
      </c>
    </row>
    <row r="138">
      <c r="A138" s="115" t="inlineStr">
        <is>
          <t>Privé</t>
        </is>
      </c>
      <c r="B138" s="101" t="n">
        <v>2080</v>
      </c>
      <c r="C138" s="107" t="n"/>
      <c r="D138" s="107" t="n"/>
      <c r="E138" s="107" t="n"/>
      <c r="F138" s="116" t="n"/>
      <c r="G138" s="107" t="n"/>
      <c r="H138" s="105" t="n">
        <v>0.00252</v>
      </c>
      <c r="I138" s="107" t="n"/>
      <c r="J138" s="107">
        <f>N138/Donnees_annuelles!D138</f>
        <v/>
      </c>
      <c r="K138" s="107">
        <f>O138/Donnees_annuelles!D138</f>
        <v/>
      </c>
      <c r="L138" s="105" t="n">
        <v>0</v>
      </c>
      <c r="M138" s="117" t="n">
        <v>1</v>
      </c>
      <c r="N138" s="106">
        <f>Donnees_annuelles!N138</f>
        <v/>
      </c>
      <c r="O138" s="106">
        <f>Donnees_annuelles!O138</f>
        <v/>
      </c>
      <c r="P138" s="106">
        <f>N138+O138</f>
        <v/>
      </c>
      <c r="Q138" s="106">
        <f>Donnees_annuelles!D138*L138</f>
        <v/>
      </c>
      <c r="R138" s="118">
        <f>P138/Donnees_annuelles!AA138*Donnees_annuelles!AI138/Donnees_annuelles!AG138</f>
        <v/>
      </c>
      <c r="S138" s="118">
        <f>P138/Donnees_annuelles!AA138*Donnees_annuelles!AJ138/Donnees_annuelles!AH138</f>
        <v/>
      </c>
    </row>
    <row r="139">
      <c r="A139" s="115" t="inlineStr">
        <is>
          <t>Privé</t>
        </is>
      </c>
      <c r="B139" s="101" t="n">
        <v>2081</v>
      </c>
      <c r="C139" s="107" t="n"/>
      <c r="D139" s="107" t="n"/>
      <c r="E139" s="107" t="n"/>
      <c r="F139" s="116" t="n"/>
      <c r="G139" s="107" t="n"/>
      <c r="H139" s="105" t="n">
        <v>0.00252</v>
      </c>
      <c r="I139" s="107" t="n"/>
      <c r="J139" s="107">
        <f>N139/Donnees_annuelles!D139</f>
        <v/>
      </c>
      <c r="K139" s="107">
        <f>O139/Donnees_annuelles!D139</f>
        <v/>
      </c>
      <c r="L139" s="105" t="n">
        <v>0</v>
      </c>
      <c r="M139" s="117" t="n">
        <v>1</v>
      </c>
      <c r="N139" s="106">
        <f>Donnees_annuelles!N139</f>
        <v/>
      </c>
      <c r="O139" s="106">
        <f>Donnees_annuelles!O139</f>
        <v/>
      </c>
      <c r="P139" s="106">
        <f>N139+O139</f>
        <v/>
      </c>
      <c r="Q139" s="106">
        <f>Donnees_annuelles!D139*L139</f>
        <v/>
      </c>
      <c r="R139" s="118">
        <f>P139/Donnees_annuelles!AA139*Donnees_annuelles!AI139/Donnees_annuelles!AG139</f>
        <v/>
      </c>
      <c r="S139" s="118">
        <f>P139/Donnees_annuelles!AA139*Donnees_annuelles!AJ139/Donnees_annuelles!AH139</f>
        <v/>
      </c>
    </row>
    <row r="140">
      <c r="A140" s="115" t="inlineStr">
        <is>
          <t>Privé</t>
        </is>
      </c>
      <c r="B140" s="101" t="n">
        <v>2082</v>
      </c>
      <c r="C140" s="107" t="n"/>
      <c r="D140" s="107" t="n"/>
      <c r="E140" s="107" t="n"/>
      <c r="F140" s="116" t="n"/>
      <c r="G140" s="107" t="n"/>
      <c r="H140" s="105" t="n">
        <v>0.00252</v>
      </c>
      <c r="I140" s="107" t="n"/>
      <c r="J140" s="107">
        <f>N140/Donnees_annuelles!D140</f>
        <v/>
      </c>
      <c r="K140" s="107">
        <f>O140/Donnees_annuelles!D140</f>
        <v/>
      </c>
      <c r="L140" s="105" t="n">
        <v>0</v>
      </c>
      <c r="M140" s="117" t="n">
        <v>1</v>
      </c>
      <c r="N140" s="106">
        <f>Donnees_annuelles!N140</f>
        <v/>
      </c>
      <c r="O140" s="106">
        <f>Donnees_annuelles!O140</f>
        <v/>
      </c>
      <c r="P140" s="106">
        <f>N140+O140</f>
        <v/>
      </c>
      <c r="Q140" s="106">
        <f>Donnees_annuelles!D140*L140</f>
        <v/>
      </c>
      <c r="R140" s="118">
        <f>P140/Donnees_annuelles!AA140*Donnees_annuelles!AI140/Donnees_annuelles!AG140</f>
        <v/>
      </c>
      <c r="S140" s="118">
        <f>P140/Donnees_annuelles!AA140*Donnees_annuelles!AJ140/Donnees_annuelles!AH140</f>
        <v/>
      </c>
    </row>
    <row r="141">
      <c r="A141" s="115" t="inlineStr">
        <is>
          <t>Privé</t>
        </is>
      </c>
      <c r="B141" s="101" t="n">
        <v>2083</v>
      </c>
      <c r="C141" s="107" t="n"/>
      <c r="D141" s="107" t="n"/>
      <c r="E141" s="107" t="n"/>
      <c r="F141" s="116" t="n"/>
      <c r="G141" s="107" t="n"/>
      <c r="H141" s="105" t="n">
        <v>0.00252</v>
      </c>
      <c r="I141" s="107" t="n"/>
      <c r="J141" s="107">
        <f>N141/Donnees_annuelles!D141</f>
        <v/>
      </c>
      <c r="K141" s="107">
        <f>O141/Donnees_annuelles!D141</f>
        <v/>
      </c>
      <c r="L141" s="105" t="n">
        <v>0</v>
      </c>
      <c r="M141" s="117" t="n">
        <v>1</v>
      </c>
      <c r="N141" s="106">
        <f>Donnees_annuelles!N141</f>
        <v/>
      </c>
      <c r="O141" s="106">
        <f>Donnees_annuelles!O141</f>
        <v/>
      </c>
      <c r="P141" s="106">
        <f>N141+O141</f>
        <v/>
      </c>
      <c r="Q141" s="106">
        <f>Donnees_annuelles!D141*L141</f>
        <v/>
      </c>
      <c r="R141" s="118">
        <f>P141/Donnees_annuelles!AA141*Donnees_annuelles!AI141/Donnees_annuelles!AG141</f>
        <v/>
      </c>
      <c r="S141" s="118">
        <f>P141/Donnees_annuelles!AA141*Donnees_annuelles!AJ141/Donnees_annuelles!AH141</f>
        <v/>
      </c>
    </row>
    <row r="142">
      <c r="A142" s="115" t="inlineStr">
        <is>
          <t>Privé</t>
        </is>
      </c>
      <c r="B142" s="101" t="n">
        <v>2084</v>
      </c>
      <c r="C142" s="107" t="n"/>
      <c r="D142" s="107" t="n"/>
      <c r="E142" s="107" t="n"/>
      <c r="F142" s="116" t="n"/>
      <c r="G142" s="107" t="n"/>
      <c r="H142" s="105" t="n">
        <v>0.00252</v>
      </c>
      <c r="I142" s="107" t="n"/>
      <c r="J142" s="107">
        <f>N142/Donnees_annuelles!D142</f>
        <v/>
      </c>
      <c r="K142" s="107">
        <f>O142/Donnees_annuelles!D142</f>
        <v/>
      </c>
      <c r="L142" s="105" t="n">
        <v>0</v>
      </c>
      <c r="M142" s="117" t="n">
        <v>1</v>
      </c>
      <c r="N142" s="106">
        <f>Donnees_annuelles!N142</f>
        <v/>
      </c>
      <c r="O142" s="106">
        <f>Donnees_annuelles!O142</f>
        <v/>
      </c>
      <c r="P142" s="106">
        <f>N142+O142</f>
        <v/>
      </c>
      <c r="Q142" s="106">
        <f>Donnees_annuelles!D142*L142</f>
        <v/>
      </c>
      <c r="R142" s="118">
        <f>P142/Donnees_annuelles!AA142*Donnees_annuelles!AI142/Donnees_annuelles!AG142</f>
        <v/>
      </c>
      <c r="S142" s="118">
        <f>P142/Donnees_annuelles!AA142*Donnees_annuelles!AJ142/Donnees_annuelles!AH142</f>
        <v/>
      </c>
    </row>
    <row r="143">
      <c r="A143" s="115" t="inlineStr">
        <is>
          <t>Privé</t>
        </is>
      </c>
      <c r="B143" s="101" t="n">
        <v>2085</v>
      </c>
      <c r="C143" s="107" t="n"/>
      <c r="D143" s="107" t="n"/>
      <c r="E143" s="107" t="n"/>
      <c r="F143" s="116" t="n"/>
      <c r="G143" s="107" t="n"/>
      <c r="H143" s="105" t="n">
        <v>0.00252</v>
      </c>
      <c r="I143" s="107" t="n"/>
      <c r="J143" s="107">
        <f>N143/Donnees_annuelles!D143</f>
        <v/>
      </c>
      <c r="K143" s="107">
        <f>O143/Donnees_annuelles!D143</f>
        <v/>
      </c>
      <c r="L143" s="105" t="n">
        <v>0</v>
      </c>
      <c r="M143" s="117" t="n">
        <v>1</v>
      </c>
      <c r="N143" s="106">
        <f>Donnees_annuelles!N143</f>
        <v/>
      </c>
      <c r="O143" s="106">
        <f>Donnees_annuelles!O143</f>
        <v/>
      </c>
      <c r="P143" s="106">
        <f>N143+O143</f>
        <v/>
      </c>
      <c r="Q143" s="106">
        <f>Donnees_annuelles!D143*L143</f>
        <v/>
      </c>
      <c r="R143" s="118">
        <f>P143/Donnees_annuelles!AA143*Donnees_annuelles!AI143/Donnees_annuelles!AG143</f>
        <v/>
      </c>
      <c r="S143" s="118">
        <f>P143/Donnees_annuelles!AA143*Donnees_annuelles!AJ143/Donnees_annuelles!AH143</f>
        <v/>
      </c>
    </row>
    <row r="144">
      <c r="A144" s="115" t="inlineStr">
        <is>
          <t>Privé</t>
        </is>
      </c>
      <c r="B144" s="101" t="n">
        <v>2086</v>
      </c>
      <c r="C144" s="107" t="n"/>
      <c r="D144" s="107" t="n"/>
      <c r="E144" s="107" t="n"/>
      <c r="F144" s="116" t="n"/>
      <c r="G144" s="107" t="n"/>
      <c r="H144" s="105" t="n">
        <v>0.00252</v>
      </c>
      <c r="I144" s="107" t="n"/>
      <c r="J144" s="107">
        <f>N144/Donnees_annuelles!D144</f>
        <v/>
      </c>
      <c r="K144" s="107">
        <f>O144/Donnees_annuelles!D144</f>
        <v/>
      </c>
      <c r="L144" s="105" t="n">
        <v>0</v>
      </c>
      <c r="M144" s="117" t="n">
        <v>1</v>
      </c>
      <c r="N144" s="106">
        <f>Donnees_annuelles!N144</f>
        <v/>
      </c>
      <c r="O144" s="106">
        <f>Donnees_annuelles!O144</f>
        <v/>
      </c>
      <c r="P144" s="106">
        <f>N144+O144</f>
        <v/>
      </c>
      <c r="Q144" s="106">
        <f>Donnees_annuelles!D144*L144</f>
        <v/>
      </c>
      <c r="R144" s="118">
        <f>P144/Donnees_annuelles!AA144*Donnees_annuelles!AI144/Donnees_annuelles!AG144</f>
        <v/>
      </c>
      <c r="S144" s="118">
        <f>P144/Donnees_annuelles!AA144*Donnees_annuelles!AJ144/Donnees_annuelles!AH144</f>
        <v/>
      </c>
    </row>
    <row r="145">
      <c r="A145" s="115" t="inlineStr">
        <is>
          <t>Privé</t>
        </is>
      </c>
      <c r="B145" s="101" t="n">
        <v>2087</v>
      </c>
      <c r="C145" s="107" t="n"/>
      <c r="D145" s="107" t="n"/>
      <c r="E145" s="107" t="n"/>
      <c r="F145" s="116" t="n"/>
      <c r="G145" s="107" t="n"/>
      <c r="H145" s="105" t="n">
        <v>0.00252</v>
      </c>
      <c r="I145" s="107" t="n"/>
      <c r="J145" s="107">
        <f>N145/Donnees_annuelles!D145</f>
        <v/>
      </c>
      <c r="K145" s="107">
        <f>O145/Donnees_annuelles!D145</f>
        <v/>
      </c>
      <c r="L145" s="105" t="n">
        <v>0</v>
      </c>
      <c r="M145" s="117" t="n">
        <v>1</v>
      </c>
      <c r="N145" s="106">
        <f>Donnees_annuelles!N145</f>
        <v/>
      </c>
      <c r="O145" s="106">
        <f>Donnees_annuelles!O145</f>
        <v/>
      </c>
      <c r="P145" s="106">
        <f>N145+O145</f>
        <v/>
      </c>
      <c r="Q145" s="106">
        <f>Donnees_annuelles!D145*L145</f>
        <v/>
      </c>
      <c r="R145" s="118">
        <f>P145/Donnees_annuelles!AA145*Donnees_annuelles!AI145/Donnees_annuelles!AG145</f>
        <v/>
      </c>
      <c r="S145" s="118">
        <f>P145/Donnees_annuelles!AA145*Donnees_annuelles!AJ145/Donnees_annuelles!AH145</f>
        <v/>
      </c>
    </row>
    <row r="146">
      <c r="A146" s="115" t="inlineStr">
        <is>
          <t>Privé</t>
        </is>
      </c>
      <c r="B146" s="101" t="n">
        <v>2088</v>
      </c>
      <c r="C146" s="107" t="n"/>
      <c r="D146" s="107" t="n"/>
      <c r="E146" s="107" t="n"/>
      <c r="F146" s="116" t="n"/>
      <c r="G146" s="107" t="n"/>
      <c r="H146" s="105" t="n">
        <v>0.00252</v>
      </c>
      <c r="I146" s="107" t="n"/>
      <c r="J146" s="107">
        <f>N146/Donnees_annuelles!D146</f>
        <v/>
      </c>
      <c r="K146" s="107">
        <f>O146/Donnees_annuelles!D146</f>
        <v/>
      </c>
      <c r="L146" s="105" t="n">
        <v>0</v>
      </c>
      <c r="M146" s="117" t="n">
        <v>1</v>
      </c>
      <c r="N146" s="106">
        <f>Donnees_annuelles!N146</f>
        <v/>
      </c>
      <c r="O146" s="106">
        <f>Donnees_annuelles!O146</f>
        <v/>
      </c>
      <c r="P146" s="106">
        <f>N146+O146</f>
        <v/>
      </c>
      <c r="Q146" s="106">
        <f>Donnees_annuelles!D146*L146</f>
        <v/>
      </c>
      <c r="R146" s="118">
        <f>P146/Donnees_annuelles!AA146*Donnees_annuelles!AI146/Donnees_annuelles!AG146</f>
        <v/>
      </c>
      <c r="S146" s="118">
        <f>P146/Donnees_annuelles!AA146*Donnees_annuelles!AJ146/Donnees_annuelles!AH146</f>
        <v/>
      </c>
    </row>
    <row r="147">
      <c r="A147" s="115" t="inlineStr">
        <is>
          <t>Privé</t>
        </is>
      </c>
      <c r="B147" s="101" t="n">
        <v>2089</v>
      </c>
      <c r="C147" s="107" t="n"/>
      <c r="D147" s="107" t="n"/>
      <c r="E147" s="107" t="n"/>
      <c r="F147" s="116" t="n"/>
      <c r="G147" s="107" t="n"/>
      <c r="H147" s="105" t="n">
        <v>0.00252</v>
      </c>
      <c r="I147" s="107" t="n"/>
      <c r="J147" s="107">
        <f>N147/Donnees_annuelles!D147</f>
        <v/>
      </c>
      <c r="K147" s="107">
        <f>O147/Donnees_annuelles!D147</f>
        <v/>
      </c>
      <c r="L147" s="105" t="n">
        <v>0</v>
      </c>
      <c r="M147" s="117" t="n">
        <v>1</v>
      </c>
      <c r="N147" s="106">
        <f>Donnees_annuelles!N147</f>
        <v/>
      </c>
      <c r="O147" s="106">
        <f>Donnees_annuelles!O147</f>
        <v/>
      </c>
      <c r="P147" s="106">
        <f>N147+O147</f>
        <v/>
      </c>
      <c r="Q147" s="106">
        <f>Donnees_annuelles!D147*L147</f>
        <v/>
      </c>
      <c r="R147" s="118">
        <f>P147/Donnees_annuelles!AA147*Donnees_annuelles!AI147/Donnees_annuelles!AG147</f>
        <v/>
      </c>
      <c r="S147" s="118">
        <f>P147/Donnees_annuelles!AA147*Donnees_annuelles!AJ147/Donnees_annuelles!AH147</f>
        <v/>
      </c>
    </row>
    <row r="148">
      <c r="A148" s="115" t="inlineStr">
        <is>
          <t>Privé</t>
        </is>
      </c>
      <c r="B148" s="101" t="n">
        <v>2090</v>
      </c>
      <c r="C148" s="107" t="n"/>
      <c r="D148" s="107" t="n"/>
      <c r="E148" s="107" t="n"/>
      <c r="F148" s="116" t="n"/>
      <c r="G148" s="107" t="n"/>
      <c r="H148" s="105" t="n">
        <v>0.00252</v>
      </c>
      <c r="I148" s="107" t="n"/>
      <c r="J148" s="107">
        <f>N148/Donnees_annuelles!D148</f>
        <v/>
      </c>
      <c r="K148" s="107">
        <f>O148/Donnees_annuelles!D148</f>
        <v/>
      </c>
      <c r="L148" s="105" t="n">
        <v>0</v>
      </c>
      <c r="M148" s="117" t="n">
        <v>1</v>
      </c>
      <c r="N148" s="106">
        <f>Donnees_annuelles!N148</f>
        <v/>
      </c>
      <c r="O148" s="106">
        <f>Donnees_annuelles!O148</f>
        <v/>
      </c>
      <c r="P148" s="106">
        <f>N148+O148</f>
        <v/>
      </c>
      <c r="Q148" s="106">
        <f>Donnees_annuelles!D148*L148</f>
        <v/>
      </c>
      <c r="R148" s="118">
        <f>P148/Donnees_annuelles!AA148*Donnees_annuelles!AI148/Donnees_annuelles!AG148</f>
        <v/>
      </c>
      <c r="S148" s="118">
        <f>P148/Donnees_annuelles!AA148*Donnees_annuelles!AJ148/Donnees_annuelles!AH148</f>
        <v/>
      </c>
    </row>
    <row r="149">
      <c r="A149" s="115" t="inlineStr">
        <is>
          <t>Privé</t>
        </is>
      </c>
      <c r="B149" s="101" t="n">
        <v>2091</v>
      </c>
      <c r="C149" s="107" t="n"/>
      <c r="D149" s="107" t="n"/>
      <c r="E149" s="107" t="n"/>
      <c r="F149" s="116" t="n"/>
      <c r="G149" s="107" t="n"/>
      <c r="H149" s="105" t="n">
        <v>0.00252</v>
      </c>
      <c r="I149" s="107" t="n"/>
      <c r="J149" s="107">
        <f>N149/Donnees_annuelles!D149</f>
        <v/>
      </c>
      <c r="K149" s="107">
        <f>O149/Donnees_annuelles!D149</f>
        <v/>
      </c>
      <c r="L149" s="105" t="n">
        <v>0</v>
      </c>
      <c r="M149" s="117" t="n">
        <v>1</v>
      </c>
      <c r="N149" s="106">
        <f>Donnees_annuelles!N149</f>
        <v/>
      </c>
      <c r="O149" s="106">
        <f>Donnees_annuelles!O149</f>
        <v/>
      </c>
      <c r="P149" s="106">
        <f>N149+O149</f>
        <v/>
      </c>
      <c r="Q149" s="106">
        <f>Donnees_annuelles!D149*L149</f>
        <v/>
      </c>
      <c r="R149" s="118">
        <f>P149/Donnees_annuelles!AA149*Donnees_annuelles!AI149/Donnees_annuelles!AG149</f>
        <v/>
      </c>
      <c r="S149" s="118">
        <f>P149/Donnees_annuelles!AA149*Donnees_annuelles!AJ149/Donnees_annuelles!AH149</f>
        <v/>
      </c>
    </row>
    <row r="150">
      <c r="A150" s="115" t="inlineStr">
        <is>
          <t>Privé</t>
        </is>
      </c>
      <c r="B150" s="101" t="n">
        <v>2092</v>
      </c>
      <c r="C150" s="107" t="n"/>
      <c r="D150" s="107" t="n"/>
      <c r="E150" s="107" t="n"/>
      <c r="F150" s="116" t="n"/>
      <c r="G150" s="107" t="n"/>
      <c r="H150" s="105" t="n">
        <v>0.00252</v>
      </c>
      <c r="I150" s="107" t="n"/>
      <c r="J150" s="107">
        <f>N150/Donnees_annuelles!D150</f>
        <v/>
      </c>
      <c r="K150" s="107">
        <f>O150/Donnees_annuelles!D150</f>
        <v/>
      </c>
      <c r="L150" s="105" t="n">
        <v>0</v>
      </c>
      <c r="M150" s="117" t="n">
        <v>1</v>
      </c>
      <c r="N150" s="106">
        <f>Donnees_annuelles!N150</f>
        <v/>
      </c>
      <c r="O150" s="106">
        <f>Donnees_annuelles!O150</f>
        <v/>
      </c>
      <c r="P150" s="106">
        <f>N150+O150</f>
        <v/>
      </c>
      <c r="Q150" s="106">
        <f>Donnees_annuelles!D150*L150</f>
        <v/>
      </c>
      <c r="R150" s="118">
        <f>P150/Donnees_annuelles!AA150*Donnees_annuelles!AI150/Donnees_annuelles!AG150</f>
        <v/>
      </c>
      <c r="S150" s="118">
        <f>P150/Donnees_annuelles!AA150*Donnees_annuelles!AJ150/Donnees_annuelles!AH150</f>
        <v/>
      </c>
    </row>
    <row r="151">
      <c r="A151" s="115" t="inlineStr">
        <is>
          <t>Privé</t>
        </is>
      </c>
      <c r="B151" s="101" t="n">
        <v>2093</v>
      </c>
      <c r="C151" s="107" t="n"/>
      <c r="D151" s="107" t="n"/>
      <c r="E151" s="107" t="n"/>
      <c r="F151" s="116" t="n"/>
      <c r="G151" s="107" t="n"/>
      <c r="H151" s="105" t="n">
        <v>0.00252</v>
      </c>
      <c r="I151" s="107" t="n"/>
      <c r="J151" s="107">
        <f>N151/Donnees_annuelles!D151</f>
        <v/>
      </c>
      <c r="K151" s="107">
        <f>O151/Donnees_annuelles!D151</f>
        <v/>
      </c>
      <c r="L151" s="105" t="n">
        <v>0</v>
      </c>
      <c r="M151" s="117" t="n">
        <v>1</v>
      </c>
      <c r="N151" s="106">
        <f>Donnees_annuelles!N151</f>
        <v/>
      </c>
      <c r="O151" s="106">
        <f>Donnees_annuelles!O151</f>
        <v/>
      </c>
      <c r="P151" s="106">
        <f>N151+O151</f>
        <v/>
      </c>
      <c r="Q151" s="106">
        <f>Donnees_annuelles!D151*L151</f>
        <v/>
      </c>
      <c r="R151" s="118">
        <f>P151/Donnees_annuelles!AA151*Donnees_annuelles!AI151/Donnees_annuelles!AG151</f>
        <v/>
      </c>
      <c r="S151" s="118">
        <f>P151/Donnees_annuelles!AA151*Donnees_annuelles!AJ151/Donnees_annuelles!AH151</f>
        <v/>
      </c>
    </row>
    <row r="152">
      <c r="A152" s="115" t="inlineStr">
        <is>
          <t>Privé</t>
        </is>
      </c>
      <c r="B152" s="101" t="n">
        <v>2094</v>
      </c>
      <c r="C152" s="107" t="n"/>
      <c r="D152" s="107" t="n"/>
      <c r="E152" s="107" t="n"/>
      <c r="F152" s="116" t="n"/>
      <c r="G152" s="107" t="n"/>
      <c r="H152" s="105" t="n">
        <v>0.00252</v>
      </c>
      <c r="I152" s="107" t="n"/>
      <c r="J152" s="107">
        <f>N152/Donnees_annuelles!D152</f>
        <v/>
      </c>
      <c r="K152" s="107">
        <f>O152/Donnees_annuelles!D152</f>
        <v/>
      </c>
      <c r="L152" s="105" t="n">
        <v>0</v>
      </c>
      <c r="M152" s="117" t="n">
        <v>1</v>
      </c>
      <c r="N152" s="106">
        <f>Donnees_annuelles!N152</f>
        <v/>
      </c>
      <c r="O152" s="106">
        <f>Donnees_annuelles!O152</f>
        <v/>
      </c>
      <c r="P152" s="106">
        <f>N152+O152</f>
        <v/>
      </c>
      <c r="Q152" s="106">
        <f>Donnees_annuelles!D152*L152</f>
        <v/>
      </c>
      <c r="R152" s="118">
        <f>P152/Donnees_annuelles!AA152*Donnees_annuelles!AI152/Donnees_annuelles!AG152</f>
        <v/>
      </c>
      <c r="S152" s="118">
        <f>P152/Donnees_annuelles!AA152*Donnees_annuelles!AJ152/Donnees_annuelles!AH152</f>
        <v/>
      </c>
    </row>
    <row r="153">
      <c r="A153" s="115" t="inlineStr">
        <is>
          <t>Privé</t>
        </is>
      </c>
      <c r="B153" s="101" t="n">
        <v>2095</v>
      </c>
      <c r="C153" s="107" t="n"/>
      <c r="D153" s="107" t="n"/>
      <c r="E153" s="107" t="n"/>
      <c r="F153" s="116" t="n"/>
      <c r="G153" s="107" t="n"/>
      <c r="H153" s="105" t="n">
        <v>0.00252</v>
      </c>
      <c r="I153" s="107" t="n"/>
      <c r="J153" s="107">
        <f>N153/Donnees_annuelles!D153</f>
        <v/>
      </c>
      <c r="K153" s="107">
        <f>O153/Donnees_annuelles!D153</f>
        <v/>
      </c>
      <c r="L153" s="105" t="n">
        <v>0</v>
      </c>
      <c r="M153" s="117" t="n">
        <v>1</v>
      </c>
      <c r="N153" s="106">
        <f>Donnees_annuelles!N153</f>
        <v/>
      </c>
      <c r="O153" s="106">
        <f>Donnees_annuelles!O153</f>
        <v/>
      </c>
      <c r="P153" s="106">
        <f>N153+O153</f>
        <v/>
      </c>
      <c r="Q153" s="106">
        <f>Donnees_annuelles!D153*L153</f>
        <v/>
      </c>
      <c r="R153" s="118">
        <f>P153/Donnees_annuelles!AA153*Donnees_annuelles!AI153/Donnees_annuelles!AG153</f>
        <v/>
      </c>
      <c r="S153" s="118">
        <f>P153/Donnees_annuelles!AA153*Donnees_annuelles!AJ153/Donnees_annuelles!AH153</f>
        <v/>
      </c>
    </row>
    <row r="154">
      <c r="A154" s="115" t="inlineStr">
        <is>
          <t>Privé</t>
        </is>
      </c>
      <c r="B154" s="101" t="n">
        <v>2096</v>
      </c>
      <c r="C154" s="107" t="n"/>
      <c r="D154" s="107" t="n"/>
      <c r="E154" s="107" t="n"/>
      <c r="F154" s="116" t="n"/>
      <c r="G154" s="107" t="n"/>
      <c r="H154" s="105" t="n">
        <v>0.00252</v>
      </c>
      <c r="I154" s="107" t="n"/>
      <c r="J154" s="107">
        <f>N154/Donnees_annuelles!D154</f>
        <v/>
      </c>
      <c r="K154" s="107">
        <f>O154/Donnees_annuelles!D154</f>
        <v/>
      </c>
      <c r="L154" s="105" t="n">
        <v>0</v>
      </c>
      <c r="M154" s="117" t="n">
        <v>1</v>
      </c>
      <c r="N154" s="106">
        <f>Donnees_annuelles!N154</f>
        <v/>
      </c>
      <c r="O154" s="106">
        <f>Donnees_annuelles!O154</f>
        <v/>
      </c>
      <c r="P154" s="106">
        <f>N154+O154</f>
        <v/>
      </c>
      <c r="Q154" s="106">
        <f>Donnees_annuelles!D154*L154</f>
        <v/>
      </c>
      <c r="R154" s="118">
        <f>P154/Donnees_annuelles!AA154*Donnees_annuelles!AI154/Donnees_annuelles!AG154</f>
        <v/>
      </c>
      <c r="S154" s="118">
        <f>P154/Donnees_annuelles!AA154*Donnees_annuelles!AJ154/Donnees_annuelles!AH154</f>
        <v/>
      </c>
    </row>
    <row r="155">
      <c r="A155" s="115" t="inlineStr">
        <is>
          <t>Privé</t>
        </is>
      </c>
      <c r="B155" s="101" t="n">
        <v>2097</v>
      </c>
      <c r="C155" s="107" t="n"/>
      <c r="D155" s="107" t="n"/>
      <c r="E155" s="107" t="n"/>
      <c r="F155" s="116" t="n"/>
      <c r="G155" s="107" t="n"/>
      <c r="H155" s="105" t="n">
        <v>0.00252</v>
      </c>
      <c r="I155" s="107" t="n"/>
      <c r="J155" s="107">
        <f>N155/Donnees_annuelles!D155</f>
        <v/>
      </c>
      <c r="K155" s="107">
        <f>O155/Donnees_annuelles!D155</f>
        <v/>
      </c>
      <c r="L155" s="105" t="n">
        <v>0</v>
      </c>
      <c r="M155" s="117" t="n">
        <v>1</v>
      </c>
      <c r="N155" s="106">
        <f>Donnees_annuelles!N155</f>
        <v/>
      </c>
      <c r="O155" s="106">
        <f>Donnees_annuelles!O155</f>
        <v/>
      </c>
      <c r="P155" s="106">
        <f>N155+O155</f>
        <v/>
      </c>
      <c r="Q155" s="106">
        <f>Donnees_annuelles!D155*L155</f>
        <v/>
      </c>
      <c r="R155" s="118">
        <f>P155/Donnees_annuelles!AA155*Donnees_annuelles!AI155/Donnees_annuelles!AG155</f>
        <v/>
      </c>
      <c r="S155" s="118">
        <f>P155/Donnees_annuelles!AA155*Donnees_annuelles!AJ155/Donnees_annuelles!AH155</f>
        <v/>
      </c>
    </row>
    <row r="156">
      <c r="A156" s="115" t="inlineStr">
        <is>
          <t>Privé</t>
        </is>
      </c>
      <c r="B156" s="101" t="n">
        <v>2098</v>
      </c>
      <c r="C156" s="107" t="n"/>
      <c r="D156" s="107" t="n"/>
      <c r="E156" s="107" t="n"/>
      <c r="F156" s="116" t="n"/>
      <c r="G156" s="107" t="n"/>
      <c r="H156" s="105" t="n">
        <v>0.00252</v>
      </c>
      <c r="I156" s="107" t="n"/>
      <c r="J156" s="107">
        <f>N156/Donnees_annuelles!D156</f>
        <v/>
      </c>
      <c r="K156" s="107">
        <f>O156/Donnees_annuelles!D156</f>
        <v/>
      </c>
      <c r="L156" s="105" t="n">
        <v>0</v>
      </c>
      <c r="M156" s="117" t="n">
        <v>1</v>
      </c>
      <c r="N156" s="106">
        <f>Donnees_annuelles!N156</f>
        <v/>
      </c>
      <c r="O156" s="106">
        <f>Donnees_annuelles!O156</f>
        <v/>
      </c>
      <c r="P156" s="106">
        <f>N156+O156</f>
        <v/>
      </c>
      <c r="Q156" s="106">
        <f>Donnees_annuelles!D156*L156</f>
        <v/>
      </c>
      <c r="R156" s="118">
        <f>P156/Donnees_annuelles!AA156*Donnees_annuelles!AI156/Donnees_annuelles!AG156</f>
        <v/>
      </c>
      <c r="S156" s="118">
        <f>P156/Donnees_annuelles!AA156*Donnees_annuelles!AJ156/Donnees_annuelles!AH156</f>
        <v/>
      </c>
    </row>
    <row r="157">
      <c r="A157" s="115" t="inlineStr">
        <is>
          <t>Privé</t>
        </is>
      </c>
      <c r="B157" s="101" t="n">
        <v>2099</v>
      </c>
      <c r="C157" s="107" t="n"/>
      <c r="D157" s="107" t="n"/>
      <c r="E157" s="107" t="n"/>
      <c r="F157" s="116" t="n"/>
      <c r="G157" s="107" t="n"/>
      <c r="H157" s="105" t="n">
        <v>0.00252</v>
      </c>
      <c r="I157" s="107" t="n"/>
      <c r="J157" s="107">
        <f>N157/Donnees_annuelles!D157</f>
        <v/>
      </c>
      <c r="K157" s="107">
        <f>O157/Donnees_annuelles!D157</f>
        <v/>
      </c>
      <c r="L157" s="105" t="n">
        <v>0</v>
      </c>
      <c r="M157" s="117" t="n">
        <v>1</v>
      </c>
      <c r="N157" s="106">
        <f>Donnees_annuelles!N157</f>
        <v/>
      </c>
      <c r="O157" s="106">
        <f>Donnees_annuelles!O157</f>
        <v/>
      </c>
      <c r="P157" s="106">
        <f>N157+O157</f>
        <v/>
      </c>
      <c r="Q157" s="106">
        <f>Donnees_annuelles!D157*L157</f>
        <v/>
      </c>
      <c r="R157" s="118">
        <f>P157/Donnees_annuelles!AA157*Donnees_annuelles!AI157/Donnees_annuelles!AG157</f>
        <v/>
      </c>
      <c r="S157" s="118">
        <f>P157/Donnees_annuelles!AA157*Donnees_annuelles!AJ157/Donnees_annuelles!AH157</f>
        <v/>
      </c>
    </row>
    <row r="158">
      <c r="A158" s="115" t="inlineStr">
        <is>
          <t>Privé</t>
        </is>
      </c>
      <c r="B158" s="101" t="n">
        <v>2100</v>
      </c>
      <c r="C158" s="107" t="n"/>
      <c r="D158" s="107" t="n"/>
      <c r="E158" s="107" t="n"/>
      <c r="F158" s="116" t="n"/>
      <c r="G158" s="107" t="n"/>
      <c r="H158" s="105" t="n">
        <v>0.00252</v>
      </c>
      <c r="I158" s="107" t="n"/>
      <c r="J158" s="107">
        <f>N158/Donnees_annuelles!D158</f>
        <v/>
      </c>
      <c r="K158" s="107">
        <f>O158/Donnees_annuelles!D158</f>
        <v/>
      </c>
      <c r="L158" s="105" t="n">
        <v>0</v>
      </c>
      <c r="M158" s="117" t="n">
        <v>1</v>
      </c>
      <c r="N158" s="106">
        <f>Donnees_annuelles!N158</f>
        <v/>
      </c>
      <c r="O158" s="106">
        <f>Donnees_annuelles!O158</f>
        <v/>
      </c>
      <c r="P158" s="106">
        <f>N158+O158</f>
        <v/>
      </c>
      <c r="Q158" s="106">
        <f>Donnees_annuelles!D158*L158</f>
        <v/>
      </c>
      <c r="R158" s="118">
        <f>P158/Donnees_annuelles!AA158*Donnees_annuelles!AI158/Donnees_annuelles!AG158</f>
        <v/>
      </c>
      <c r="S158" s="118">
        <f>P158/Donnees_annuelles!AA158*Donnees_annuelles!AJ158/Donnees_annuelles!AH158</f>
        <v/>
      </c>
    </row>
    <row r="159">
      <c r="A159" s="115" t="inlineStr">
        <is>
          <t>Privé</t>
        </is>
      </c>
      <c r="B159" s="101" t="n">
        <v>2101</v>
      </c>
      <c r="C159" s="107" t="n"/>
      <c r="D159" s="107" t="n"/>
      <c r="E159" s="107" t="n"/>
      <c r="F159" s="116" t="n"/>
      <c r="G159" s="107" t="n"/>
      <c r="H159" s="105" t="n">
        <v>0.00252</v>
      </c>
      <c r="I159" s="107" t="n"/>
      <c r="J159" s="107">
        <f>N159/Donnees_annuelles!D159</f>
        <v/>
      </c>
      <c r="K159" s="107">
        <f>O159/Donnees_annuelles!D159</f>
        <v/>
      </c>
      <c r="L159" s="105" t="n">
        <v>0</v>
      </c>
      <c r="M159" s="117" t="n">
        <v>1</v>
      </c>
      <c r="N159" s="106">
        <f>Donnees_annuelles!N159</f>
        <v/>
      </c>
      <c r="O159" s="106">
        <f>Donnees_annuelles!O159</f>
        <v/>
      </c>
      <c r="P159" s="106">
        <f>N159+O159</f>
        <v/>
      </c>
      <c r="Q159" s="106">
        <f>Donnees_annuelles!D159*L159</f>
        <v/>
      </c>
      <c r="R159" s="118">
        <f>P159/Donnees_annuelles!AA159*Donnees_annuelles!AI159/Donnees_annuelles!AG159</f>
        <v/>
      </c>
      <c r="S159" s="118">
        <f>P159/Donnees_annuelles!AA159*Donnees_annuelles!AJ159/Donnees_annuelles!AH159</f>
        <v/>
      </c>
    </row>
    <row r="160">
      <c r="A160" s="115" t="inlineStr">
        <is>
          <t>Privé</t>
        </is>
      </c>
      <c r="B160" s="101" t="n">
        <v>2102</v>
      </c>
      <c r="C160" s="107" t="n"/>
      <c r="D160" s="107" t="n"/>
      <c r="E160" s="107" t="n"/>
      <c r="F160" s="116" t="n"/>
      <c r="G160" s="107" t="n"/>
      <c r="H160" s="105" t="n">
        <v>0.00252</v>
      </c>
      <c r="I160" s="107" t="n"/>
      <c r="J160" s="107">
        <f>N160/Donnees_annuelles!D160</f>
        <v/>
      </c>
      <c r="K160" s="107">
        <f>O160/Donnees_annuelles!D160</f>
        <v/>
      </c>
      <c r="L160" s="105" t="n">
        <v>0</v>
      </c>
      <c r="M160" s="117" t="n">
        <v>1</v>
      </c>
      <c r="N160" s="106">
        <f>Donnees_annuelles!N160</f>
        <v/>
      </c>
      <c r="O160" s="106">
        <f>Donnees_annuelles!O160</f>
        <v/>
      </c>
      <c r="P160" s="106">
        <f>N160+O160</f>
        <v/>
      </c>
      <c r="Q160" s="106">
        <f>Donnees_annuelles!D160*L160</f>
        <v/>
      </c>
      <c r="R160" s="118">
        <f>P160/Donnees_annuelles!AA160*Donnees_annuelles!AI160/Donnees_annuelles!AG160</f>
        <v/>
      </c>
      <c r="S160" s="118">
        <f>P160/Donnees_annuelles!AA160*Donnees_annuelles!AJ160/Donnees_annuelles!AH160</f>
        <v/>
      </c>
    </row>
    <row r="161">
      <c r="A161" s="115" t="inlineStr">
        <is>
          <t>Privé</t>
        </is>
      </c>
      <c r="B161" s="101" t="n">
        <v>2103</v>
      </c>
      <c r="C161" s="107" t="n"/>
      <c r="D161" s="107" t="n"/>
      <c r="E161" s="107" t="n"/>
      <c r="F161" s="116" t="n"/>
      <c r="G161" s="107" t="n"/>
      <c r="H161" s="105" t="n">
        <v>0.00252</v>
      </c>
      <c r="I161" s="107" t="n"/>
      <c r="J161" s="107">
        <f>N161/Donnees_annuelles!D161</f>
        <v/>
      </c>
      <c r="K161" s="107">
        <f>O161/Donnees_annuelles!D161</f>
        <v/>
      </c>
      <c r="L161" s="105" t="n">
        <v>0</v>
      </c>
      <c r="M161" s="117" t="n">
        <v>1</v>
      </c>
      <c r="N161" s="106">
        <f>Donnees_annuelles!N161</f>
        <v/>
      </c>
      <c r="O161" s="106">
        <f>Donnees_annuelles!O161</f>
        <v/>
      </c>
      <c r="P161" s="106">
        <f>N161+O161</f>
        <v/>
      </c>
      <c r="Q161" s="106">
        <f>Donnees_annuelles!D161*L161</f>
        <v/>
      </c>
      <c r="R161" s="118">
        <f>P161/Donnees_annuelles!AA161*Donnees_annuelles!AI161/Donnees_annuelles!AG161</f>
        <v/>
      </c>
      <c r="S161" s="118">
        <f>P161/Donnees_annuelles!AA161*Donnees_annuelles!AJ161/Donnees_annuelles!AH161</f>
        <v/>
      </c>
    </row>
    <row r="162">
      <c r="A162" s="115" t="inlineStr">
        <is>
          <t>Privé</t>
        </is>
      </c>
      <c r="B162" s="101" t="n">
        <v>2104</v>
      </c>
      <c r="C162" s="107" t="n"/>
      <c r="D162" s="107" t="n"/>
      <c r="E162" s="107" t="n"/>
      <c r="F162" s="116" t="n"/>
      <c r="G162" s="107" t="n"/>
      <c r="H162" s="105" t="n">
        <v>0.00252</v>
      </c>
      <c r="I162" s="107" t="n"/>
      <c r="J162" s="107">
        <f>N162/Donnees_annuelles!D162</f>
        <v/>
      </c>
      <c r="K162" s="107">
        <f>O162/Donnees_annuelles!D162</f>
        <v/>
      </c>
      <c r="L162" s="105" t="n">
        <v>0</v>
      </c>
      <c r="M162" s="117" t="n">
        <v>1</v>
      </c>
      <c r="N162" s="106">
        <f>Donnees_annuelles!N162</f>
        <v/>
      </c>
      <c r="O162" s="106">
        <f>Donnees_annuelles!O162</f>
        <v/>
      </c>
      <c r="P162" s="106">
        <f>N162+O162</f>
        <v/>
      </c>
      <c r="Q162" s="106">
        <f>Donnees_annuelles!D162*L162</f>
        <v/>
      </c>
      <c r="R162" s="118">
        <f>P162/Donnees_annuelles!AA162*Donnees_annuelles!AI162/Donnees_annuelles!AG162</f>
        <v/>
      </c>
      <c r="S162" s="118">
        <f>P162/Donnees_annuelles!AA162*Donnees_annuelles!AJ162/Donnees_annuelles!AH162</f>
        <v/>
      </c>
    </row>
    <row r="163">
      <c r="A163" s="115" t="inlineStr">
        <is>
          <t>Privé</t>
        </is>
      </c>
      <c r="B163" s="101" t="n">
        <v>2105</v>
      </c>
      <c r="C163" s="107" t="n"/>
      <c r="D163" s="107" t="n"/>
      <c r="E163" s="107" t="n"/>
      <c r="F163" s="116" t="n"/>
      <c r="G163" s="107" t="n"/>
      <c r="H163" s="105" t="n">
        <v>0.00252</v>
      </c>
      <c r="I163" s="107" t="n"/>
      <c r="J163" s="107">
        <f>N163/Donnees_annuelles!D163</f>
        <v/>
      </c>
      <c r="K163" s="107">
        <f>O163/Donnees_annuelles!D163</f>
        <v/>
      </c>
      <c r="L163" s="105" t="n">
        <v>0</v>
      </c>
      <c r="M163" s="117" t="n">
        <v>1</v>
      </c>
      <c r="N163" s="106">
        <f>Donnees_annuelles!N163</f>
        <v/>
      </c>
      <c r="O163" s="106">
        <f>Donnees_annuelles!O163</f>
        <v/>
      </c>
      <c r="P163" s="106">
        <f>N163+O163</f>
        <v/>
      </c>
      <c r="Q163" s="106">
        <f>Donnees_annuelles!D163*L163</f>
        <v/>
      </c>
      <c r="R163" s="118">
        <f>P163/Donnees_annuelles!AA163*Donnees_annuelles!AI163/Donnees_annuelles!AG163</f>
        <v/>
      </c>
      <c r="S163" s="118">
        <f>P163/Donnees_annuelles!AA163*Donnees_annuelles!AJ163/Donnees_annuelles!AH163</f>
        <v/>
      </c>
    </row>
    <row r="164">
      <c r="A164" s="115" t="inlineStr">
        <is>
          <t>Privé</t>
        </is>
      </c>
      <c r="B164" s="101" t="n">
        <v>2106</v>
      </c>
      <c r="C164" s="107" t="n"/>
      <c r="D164" s="107" t="n"/>
      <c r="E164" s="107" t="n"/>
      <c r="F164" s="116" t="n"/>
      <c r="G164" s="107" t="n"/>
      <c r="H164" s="105" t="n">
        <v>0.00252</v>
      </c>
      <c r="I164" s="107" t="n"/>
      <c r="J164" s="107">
        <f>N164/Donnees_annuelles!D164</f>
        <v/>
      </c>
      <c r="K164" s="107">
        <f>O164/Donnees_annuelles!D164</f>
        <v/>
      </c>
      <c r="L164" s="105" t="n">
        <v>0</v>
      </c>
      <c r="M164" s="117" t="n">
        <v>1</v>
      </c>
      <c r="N164" s="106">
        <f>Donnees_annuelles!N164</f>
        <v/>
      </c>
      <c r="O164" s="106">
        <f>Donnees_annuelles!O164</f>
        <v/>
      </c>
      <c r="P164" s="106">
        <f>N164+O164</f>
        <v/>
      </c>
      <c r="Q164" s="106">
        <f>Donnees_annuelles!D164*L164</f>
        <v/>
      </c>
      <c r="R164" s="118">
        <f>P164/Donnees_annuelles!AA164*Donnees_annuelles!AI164/Donnees_annuelles!AG164</f>
        <v/>
      </c>
      <c r="S164" s="118">
        <f>P164/Donnees_annuelles!AA164*Donnees_annuelles!AJ164/Donnees_annuelles!AH164</f>
        <v/>
      </c>
    </row>
    <row r="165">
      <c r="A165" s="115" t="inlineStr">
        <is>
          <t>Privé</t>
        </is>
      </c>
      <c r="B165" s="101" t="n">
        <v>2107</v>
      </c>
      <c r="C165" s="107" t="n"/>
      <c r="D165" s="107" t="n"/>
      <c r="E165" s="107" t="n"/>
      <c r="F165" s="116" t="n"/>
      <c r="G165" s="107" t="n"/>
      <c r="H165" s="105" t="n">
        <v>0.00252</v>
      </c>
      <c r="I165" s="107" t="n"/>
      <c r="J165" s="107">
        <f>N165/Donnees_annuelles!D165</f>
        <v/>
      </c>
      <c r="K165" s="107">
        <f>O165/Donnees_annuelles!D165</f>
        <v/>
      </c>
      <c r="L165" s="105" t="n">
        <v>0</v>
      </c>
      <c r="M165" s="117" t="n">
        <v>1</v>
      </c>
      <c r="N165" s="106">
        <f>Donnees_annuelles!N165</f>
        <v/>
      </c>
      <c r="O165" s="106">
        <f>Donnees_annuelles!O165</f>
        <v/>
      </c>
      <c r="P165" s="106">
        <f>N165+O165</f>
        <v/>
      </c>
      <c r="Q165" s="106">
        <f>Donnees_annuelles!D165*L165</f>
        <v/>
      </c>
      <c r="R165" s="118">
        <f>P165/Donnees_annuelles!AA165*Donnees_annuelles!AI165/Donnees_annuelles!AG165</f>
        <v/>
      </c>
      <c r="S165" s="118">
        <f>P165/Donnees_annuelles!AA165*Donnees_annuelles!AJ165/Donnees_annuelles!AH165</f>
        <v/>
      </c>
    </row>
    <row r="166">
      <c r="A166" s="115" t="inlineStr">
        <is>
          <t>Privé</t>
        </is>
      </c>
      <c r="B166" s="101" t="n">
        <v>2108</v>
      </c>
      <c r="C166" s="107" t="n"/>
      <c r="D166" s="107" t="n"/>
      <c r="E166" s="107" t="n"/>
      <c r="F166" s="116" t="n"/>
      <c r="G166" s="107" t="n"/>
      <c r="H166" s="105" t="n">
        <v>0.00252</v>
      </c>
      <c r="I166" s="107" t="n"/>
      <c r="J166" s="107">
        <f>N166/Donnees_annuelles!D166</f>
        <v/>
      </c>
      <c r="K166" s="107">
        <f>O166/Donnees_annuelles!D166</f>
        <v/>
      </c>
      <c r="L166" s="105" t="n">
        <v>0</v>
      </c>
      <c r="M166" s="117" t="n">
        <v>1</v>
      </c>
      <c r="N166" s="106">
        <f>Donnees_annuelles!N166</f>
        <v/>
      </c>
      <c r="O166" s="106">
        <f>Donnees_annuelles!O166</f>
        <v/>
      </c>
      <c r="P166" s="106">
        <f>N166+O166</f>
        <v/>
      </c>
      <c r="Q166" s="106">
        <f>Donnees_annuelles!D166*L166</f>
        <v/>
      </c>
      <c r="R166" s="118">
        <f>P166/Donnees_annuelles!AA166*Donnees_annuelles!AI166/Donnees_annuelles!AG166</f>
        <v/>
      </c>
      <c r="S166" s="118">
        <f>P166/Donnees_annuelles!AA166*Donnees_annuelles!AJ166/Donnees_annuelles!AH166</f>
        <v/>
      </c>
    </row>
    <row r="167">
      <c r="A167" s="115" t="inlineStr">
        <is>
          <t>Privé</t>
        </is>
      </c>
      <c r="B167" s="101" t="n">
        <v>2109</v>
      </c>
      <c r="C167" s="107" t="n"/>
      <c r="D167" s="107" t="n"/>
      <c r="E167" s="107" t="n"/>
      <c r="F167" s="116" t="n"/>
      <c r="G167" s="107" t="n"/>
      <c r="H167" s="105" t="n">
        <v>0.00252</v>
      </c>
      <c r="I167" s="107" t="n"/>
      <c r="J167" s="107">
        <f>N167/Donnees_annuelles!D167</f>
        <v/>
      </c>
      <c r="K167" s="107">
        <f>O167/Donnees_annuelles!D167</f>
        <v/>
      </c>
      <c r="L167" s="105" t="n">
        <v>0</v>
      </c>
      <c r="M167" s="117" t="n">
        <v>1</v>
      </c>
      <c r="N167" s="106">
        <f>Donnees_annuelles!N167</f>
        <v/>
      </c>
      <c r="O167" s="106">
        <f>Donnees_annuelles!O167</f>
        <v/>
      </c>
      <c r="P167" s="106">
        <f>N167+O167</f>
        <v/>
      </c>
      <c r="Q167" s="106">
        <f>Donnees_annuelles!D167*L167</f>
        <v/>
      </c>
      <c r="R167" s="118">
        <f>P167/Donnees_annuelles!AA167*Donnees_annuelles!AI167/Donnees_annuelles!AG167</f>
        <v/>
      </c>
      <c r="S167" s="118">
        <f>P167/Donnees_annuelles!AA167*Donnees_annuelles!AJ167/Donnees_annuelles!AH167</f>
        <v/>
      </c>
    </row>
    <row r="168">
      <c r="A168" s="115" t="inlineStr">
        <is>
          <t>Privé</t>
        </is>
      </c>
      <c r="B168" s="101" t="n">
        <v>2110</v>
      </c>
      <c r="C168" s="107" t="n"/>
      <c r="D168" s="107" t="n"/>
      <c r="E168" s="107" t="n"/>
      <c r="F168" s="116" t="n"/>
      <c r="G168" s="107" t="n"/>
      <c r="H168" s="105" t="n">
        <v>0.00252</v>
      </c>
      <c r="I168" s="107" t="n"/>
      <c r="J168" s="107">
        <f>N168/Donnees_annuelles!D168</f>
        <v/>
      </c>
      <c r="K168" s="107">
        <f>O168/Donnees_annuelles!D168</f>
        <v/>
      </c>
      <c r="L168" s="105" t="n">
        <v>0</v>
      </c>
      <c r="M168" s="117" t="n">
        <v>1</v>
      </c>
      <c r="N168" s="106">
        <f>Donnees_annuelles!N168</f>
        <v/>
      </c>
      <c r="O168" s="106">
        <f>Donnees_annuelles!O168</f>
        <v/>
      </c>
      <c r="P168" s="106">
        <f>N168+O168</f>
        <v/>
      </c>
      <c r="Q168" s="106">
        <f>Donnees_annuelles!D168*L168</f>
        <v/>
      </c>
      <c r="R168" s="118">
        <f>P168/Donnees_annuelles!AA168*Donnees_annuelles!AI168/Donnees_annuelles!AG168</f>
        <v/>
      </c>
      <c r="S168" s="118">
        <f>P168/Donnees_annuelles!AA168*Donnees_annuelles!AJ168/Donnees_annuelles!AH168</f>
        <v/>
      </c>
    </row>
    <row r="169">
      <c r="A169" s="115" t="inlineStr">
        <is>
          <t>Privé</t>
        </is>
      </c>
      <c r="B169" s="101" t="n">
        <v>2111</v>
      </c>
      <c r="C169" s="107" t="n"/>
      <c r="D169" s="107" t="n"/>
      <c r="E169" s="107" t="n"/>
      <c r="F169" s="116" t="n"/>
      <c r="G169" s="107" t="n"/>
      <c r="H169" s="105" t="n">
        <v>0.00252</v>
      </c>
      <c r="I169" s="107" t="n"/>
      <c r="J169" s="107">
        <f>N169/Donnees_annuelles!D169</f>
        <v/>
      </c>
      <c r="K169" s="107">
        <f>O169/Donnees_annuelles!D169</f>
        <v/>
      </c>
      <c r="L169" s="105" t="n">
        <v>0</v>
      </c>
      <c r="M169" s="117" t="n">
        <v>1</v>
      </c>
      <c r="N169" s="106">
        <f>Donnees_annuelles!N169</f>
        <v/>
      </c>
      <c r="O169" s="106">
        <f>Donnees_annuelles!O169</f>
        <v/>
      </c>
      <c r="P169" s="106">
        <f>N169+O169</f>
        <v/>
      </c>
      <c r="Q169" s="106">
        <f>Donnees_annuelles!D169*L169</f>
        <v/>
      </c>
      <c r="R169" s="118">
        <f>P169/Donnees_annuelles!AA169*Donnees_annuelles!AI169/Donnees_annuelles!AG169</f>
        <v/>
      </c>
      <c r="S169" s="118">
        <f>P169/Donnees_annuelles!AA169*Donnees_annuelles!AJ169/Donnees_annuelles!AH169</f>
        <v/>
      </c>
    </row>
    <row r="170">
      <c r="A170" s="115" t="inlineStr">
        <is>
          <t>Privé</t>
        </is>
      </c>
      <c r="B170" s="101" t="n">
        <v>2112</v>
      </c>
      <c r="C170" s="107" t="n"/>
      <c r="D170" s="107" t="n"/>
      <c r="E170" s="107" t="n"/>
      <c r="F170" s="116" t="n"/>
      <c r="G170" s="107" t="n"/>
      <c r="H170" s="105" t="n">
        <v>0.00252</v>
      </c>
      <c r="I170" s="107" t="n"/>
      <c r="J170" s="107">
        <f>N170/Donnees_annuelles!D170</f>
        <v/>
      </c>
      <c r="K170" s="107">
        <f>O170/Donnees_annuelles!D170</f>
        <v/>
      </c>
      <c r="L170" s="105" t="n">
        <v>0</v>
      </c>
      <c r="M170" s="117" t="n">
        <v>1</v>
      </c>
      <c r="N170" s="106">
        <f>Donnees_annuelles!N170</f>
        <v/>
      </c>
      <c r="O170" s="106">
        <f>Donnees_annuelles!O170</f>
        <v/>
      </c>
      <c r="P170" s="106">
        <f>N170+O170</f>
        <v/>
      </c>
      <c r="Q170" s="106">
        <f>Donnees_annuelles!D170*L170</f>
        <v/>
      </c>
      <c r="R170" s="118">
        <f>P170/Donnees_annuelles!AA170*Donnees_annuelles!AI170/Donnees_annuelles!AG170</f>
        <v/>
      </c>
      <c r="S170" s="118">
        <f>P170/Donnees_annuelles!AA170*Donnees_annuelles!AJ170/Donnees_annuelles!AH170</f>
        <v/>
      </c>
    </row>
    <row r="171">
      <c r="A171" s="115" t="inlineStr">
        <is>
          <t>Privé</t>
        </is>
      </c>
      <c r="B171" s="101" t="n">
        <v>2113</v>
      </c>
      <c r="C171" s="107" t="n"/>
      <c r="D171" s="107" t="n"/>
      <c r="E171" s="107" t="n"/>
      <c r="F171" s="116" t="n"/>
      <c r="G171" s="107" t="n"/>
      <c r="H171" s="105" t="n">
        <v>0.00252</v>
      </c>
      <c r="I171" s="107" t="n"/>
      <c r="J171" s="107">
        <f>N171/Donnees_annuelles!D171</f>
        <v/>
      </c>
      <c r="K171" s="107">
        <f>O171/Donnees_annuelles!D171</f>
        <v/>
      </c>
      <c r="L171" s="105" t="n">
        <v>0</v>
      </c>
      <c r="M171" s="117" t="n">
        <v>1</v>
      </c>
      <c r="N171" s="106">
        <f>Donnees_annuelles!N171</f>
        <v/>
      </c>
      <c r="O171" s="106">
        <f>Donnees_annuelles!O171</f>
        <v/>
      </c>
      <c r="P171" s="106">
        <f>N171+O171</f>
        <v/>
      </c>
      <c r="Q171" s="106">
        <f>Donnees_annuelles!D171*L171</f>
        <v/>
      </c>
      <c r="R171" s="118">
        <f>P171/Donnees_annuelles!AA171*Donnees_annuelles!AI171/Donnees_annuelles!AG171</f>
        <v/>
      </c>
      <c r="S171" s="118">
        <f>P171/Donnees_annuelles!AA171*Donnees_annuelles!AJ171/Donnees_annuelles!AH171</f>
        <v/>
      </c>
    </row>
    <row r="172">
      <c r="A172" s="115" t="inlineStr">
        <is>
          <t>Privé</t>
        </is>
      </c>
      <c r="B172" s="101" t="n">
        <v>2114</v>
      </c>
      <c r="C172" s="107" t="n"/>
      <c r="D172" s="107" t="n"/>
      <c r="E172" s="107" t="n"/>
      <c r="F172" s="116" t="n"/>
      <c r="G172" s="107" t="n"/>
      <c r="H172" s="105" t="n">
        <v>0.00252</v>
      </c>
      <c r="I172" s="107" t="n"/>
      <c r="J172" s="107">
        <f>N172/Donnees_annuelles!D172</f>
        <v/>
      </c>
      <c r="K172" s="107">
        <f>O172/Donnees_annuelles!D172</f>
        <v/>
      </c>
      <c r="L172" s="105" t="n">
        <v>0</v>
      </c>
      <c r="M172" s="117" t="n">
        <v>1</v>
      </c>
      <c r="N172" s="106">
        <f>Donnees_annuelles!N172</f>
        <v/>
      </c>
      <c r="O172" s="106">
        <f>Donnees_annuelles!O172</f>
        <v/>
      </c>
      <c r="P172" s="106">
        <f>N172+O172</f>
        <v/>
      </c>
      <c r="Q172" s="106">
        <f>Donnees_annuelles!D172*L172</f>
        <v/>
      </c>
      <c r="R172" s="118">
        <f>P172/Donnees_annuelles!AA172*Donnees_annuelles!AI172/Donnees_annuelles!AG172</f>
        <v/>
      </c>
      <c r="S172" s="118">
        <f>P172/Donnees_annuelles!AA172*Donnees_annuelles!AJ172/Donnees_annuelles!AH172</f>
        <v/>
      </c>
    </row>
    <row r="173">
      <c r="A173" s="115" t="inlineStr">
        <is>
          <t>Privé</t>
        </is>
      </c>
      <c r="B173" s="101" t="n">
        <v>2115</v>
      </c>
      <c r="C173" s="107" t="n"/>
      <c r="D173" s="107" t="n"/>
      <c r="E173" s="107" t="n"/>
      <c r="F173" s="116" t="n"/>
      <c r="G173" s="107" t="n"/>
      <c r="H173" s="105" t="n">
        <v>0.00252</v>
      </c>
      <c r="I173" s="107" t="n"/>
      <c r="J173" s="107">
        <f>N173/Donnees_annuelles!D173</f>
        <v/>
      </c>
      <c r="K173" s="107">
        <f>O173/Donnees_annuelles!D173</f>
        <v/>
      </c>
      <c r="L173" s="105" t="n">
        <v>0</v>
      </c>
      <c r="M173" s="117" t="n">
        <v>1</v>
      </c>
      <c r="N173" s="106">
        <f>Donnees_annuelles!N173</f>
        <v/>
      </c>
      <c r="O173" s="106">
        <f>Donnees_annuelles!O173</f>
        <v/>
      </c>
      <c r="P173" s="106">
        <f>N173+O173</f>
        <v/>
      </c>
      <c r="Q173" s="106">
        <f>Donnees_annuelles!D173*L173</f>
        <v/>
      </c>
      <c r="R173" s="118">
        <f>P173/Donnees_annuelles!AA173*Donnees_annuelles!AI173/Donnees_annuelles!AG173</f>
        <v/>
      </c>
      <c r="S173" s="118">
        <f>P173/Donnees_annuelles!AA173*Donnees_annuelles!AJ173/Donnees_annuelles!AH173</f>
        <v/>
      </c>
    </row>
    <row r="174">
      <c r="A174" s="115" t="inlineStr">
        <is>
          <t>Privé</t>
        </is>
      </c>
      <c r="B174" s="101" t="n">
        <v>2116</v>
      </c>
      <c r="C174" s="107" t="n"/>
      <c r="D174" s="107" t="n"/>
      <c r="E174" s="107" t="n"/>
      <c r="F174" s="116" t="n"/>
      <c r="G174" s="107" t="n"/>
      <c r="H174" s="105" t="n">
        <v>0.00252</v>
      </c>
      <c r="I174" s="107" t="n"/>
      <c r="J174" s="107">
        <f>N174/Donnees_annuelles!D174</f>
        <v/>
      </c>
      <c r="K174" s="107">
        <f>O174/Donnees_annuelles!D174</f>
        <v/>
      </c>
      <c r="L174" s="105" t="n">
        <v>0</v>
      </c>
      <c r="M174" s="117" t="n">
        <v>1</v>
      </c>
      <c r="N174" s="106">
        <f>Donnees_annuelles!N174</f>
        <v/>
      </c>
      <c r="O174" s="106">
        <f>Donnees_annuelles!O174</f>
        <v/>
      </c>
      <c r="P174" s="106">
        <f>N174+O174</f>
        <v/>
      </c>
      <c r="Q174" s="106">
        <f>Donnees_annuelles!D174*L174</f>
        <v/>
      </c>
      <c r="R174" s="118">
        <f>P174/Donnees_annuelles!AA174*Donnees_annuelles!AI174/Donnees_annuelles!AG174</f>
        <v/>
      </c>
      <c r="S174" s="118">
        <f>P174/Donnees_annuelles!AA174*Donnees_annuelles!AJ174/Donnees_annuelles!AH174</f>
        <v/>
      </c>
    </row>
    <row r="175">
      <c r="A175" s="115" t="inlineStr">
        <is>
          <t>Privé</t>
        </is>
      </c>
      <c r="B175" s="101" t="n">
        <v>2117</v>
      </c>
      <c r="C175" s="107" t="n"/>
      <c r="D175" s="107" t="n"/>
      <c r="E175" s="107" t="n"/>
      <c r="F175" s="116" t="n"/>
      <c r="G175" s="107" t="n"/>
      <c r="H175" s="105" t="n">
        <v>0.00252</v>
      </c>
      <c r="I175" s="107" t="n"/>
      <c r="J175" s="107">
        <f>N175/Donnees_annuelles!D175</f>
        <v/>
      </c>
      <c r="K175" s="107">
        <f>O175/Donnees_annuelles!D175</f>
        <v/>
      </c>
      <c r="L175" s="105" t="n">
        <v>0</v>
      </c>
      <c r="M175" s="117" t="n">
        <v>1</v>
      </c>
      <c r="N175" s="106">
        <f>Donnees_annuelles!N175</f>
        <v/>
      </c>
      <c r="O175" s="106">
        <f>Donnees_annuelles!O175</f>
        <v/>
      </c>
      <c r="P175" s="106">
        <f>N175+O175</f>
        <v/>
      </c>
      <c r="Q175" s="106">
        <f>Donnees_annuelles!D175*L175</f>
        <v/>
      </c>
      <c r="R175" s="118">
        <f>P175/Donnees_annuelles!AA175*Donnees_annuelles!AI175/Donnees_annuelles!AG175</f>
        <v/>
      </c>
      <c r="S175" s="118">
        <f>P175/Donnees_annuelles!AA175*Donnees_annuelles!AJ175/Donnees_annuelles!AH175</f>
        <v/>
      </c>
    </row>
    <row r="176">
      <c r="A176" s="115" t="inlineStr">
        <is>
          <t>Privé</t>
        </is>
      </c>
      <c r="B176" s="101" t="n">
        <v>2118</v>
      </c>
      <c r="C176" s="107" t="n"/>
      <c r="D176" s="107" t="n"/>
      <c r="E176" s="107" t="n"/>
      <c r="F176" s="116" t="n"/>
      <c r="G176" s="107" t="n"/>
      <c r="H176" s="105" t="n">
        <v>0.00252</v>
      </c>
      <c r="I176" s="107" t="n"/>
      <c r="J176" s="107">
        <f>N176/Donnees_annuelles!D176</f>
        <v/>
      </c>
      <c r="K176" s="107">
        <f>O176/Donnees_annuelles!D176</f>
        <v/>
      </c>
      <c r="L176" s="105" t="n">
        <v>0</v>
      </c>
      <c r="M176" s="117" t="n">
        <v>1</v>
      </c>
      <c r="N176" s="106">
        <f>Donnees_annuelles!N176</f>
        <v/>
      </c>
      <c r="O176" s="106">
        <f>Donnees_annuelles!O176</f>
        <v/>
      </c>
      <c r="P176" s="106">
        <f>N176+O176</f>
        <v/>
      </c>
      <c r="Q176" s="106">
        <f>Donnees_annuelles!D176*L176</f>
        <v/>
      </c>
      <c r="R176" s="118">
        <f>P176/Donnees_annuelles!AA176*Donnees_annuelles!AI176/Donnees_annuelles!AG176</f>
        <v/>
      </c>
      <c r="S176" s="118">
        <f>P176/Donnees_annuelles!AA176*Donnees_annuelles!AJ176/Donnees_annuelles!AH176</f>
        <v/>
      </c>
    </row>
    <row r="177">
      <c r="A177" s="115" t="inlineStr">
        <is>
          <t>Privé</t>
        </is>
      </c>
      <c r="B177" s="101" t="n">
        <v>2119</v>
      </c>
      <c r="C177" s="107" t="n"/>
      <c r="D177" s="107" t="n"/>
      <c r="E177" s="107" t="n"/>
      <c r="F177" s="116" t="n"/>
      <c r="G177" s="107" t="n"/>
      <c r="H177" s="105" t="n">
        <v>0.00252</v>
      </c>
      <c r="I177" s="107" t="n"/>
      <c r="J177" s="107">
        <f>N177/Donnees_annuelles!D177</f>
        <v/>
      </c>
      <c r="K177" s="107">
        <f>O177/Donnees_annuelles!D177</f>
        <v/>
      </c>
      <c r="L177" s="105" t="n">
        <v>0</v>
      </c>
      <c r="M177" s="117" t="n">
        <v>1</v>
      </c>
      <c r="N177" s="106">
        <f>Donnees_annuelles!N177</f>
        <v/>
      </c>
      <c r="O177" s="106">
        <f>Donnees_annuelles!O177</f>
        <v/>
      </c>
      <c r="P177" s="106">
        <f>N177+O177</f>
        <v/>
      </c>
      <c r="Q177" s="106">
        <f>Donnees_annuelles!D177*L177</f>
        <v/>
      </c>
      <c r="R177" s="118">
        <f>P177/Donnees_annuelles!AA177*Donnees_annuelles!AI177/Donnees_annuelles!AG177</f>
        <v/>
      </c>
      <c r="S177" s="118">
        <f>P177/Donnees_annuelles!AA177*Donnees_annuelles!AJ177/Donnees_annuelles!AH177</f>
        <v/>
      </c>
    </row>
    <row r="178">
      <c r="A178" s="115" t="inlineStr">
        <is>
          <t>Privé</t>
        </is>
      </c>
      <c r="B178" s="101" t="n">
        <v>2120</v>
      </c>
      <c r="C178" s="107" t="n"/>
      <c r="D178" s="107" t="n"/>
      <c r="E178" s="107" t="n"/>
      <c r="F178" s="116" t="n"/>
      <c r="G178" s="107" t="n"/>
      <c r="H178" s="105" t="n">
        <v>0.00252</v>
      </c>
      <c r="I178" s="107" t="n"/>
      <c r="J178" s="107">
        <f>N178/Donnees_annuelles!D178</f>
        <v/>
      </c>
      <c r="K178" s="107">
        <f>O178/Donnees_annuelles!D178</f>
        <v/>
      </c>
      <c r="L178" s="105" t="n">
        <v>0</v>
      </c>
      <c r="M178" s="117" t="n">
        <v>1</v>
      </c>
      <c r="N178" s="106">
        <f>Donnees_annuelles!N178</f>
        <v/>
      </c>
      <c r="O178" s="106">
        <f>Donnees_annuelles!O178</f>
        <v/>
      </c>
      <c r="P178" s="106">
        <f>N178+O178</f>
        <v/>
      </c>
      <c r="Q178" s="106">
        <f>Donnees_annuelles!D178*L178</f>
        <v/>
      </c>
      <c r="R178" s="118">
        <f>P178/Donnees_annuelles!AA178*Donnees_annuelles!AI178/Donnees_annuelles!AG178</f>
        <v/>
      </c>
      <c r="S178" s="118">
        <f>P178/Donnees_annuelles!AA178*Donnees_annuelles!AJ178/Donnees_annuelles!AH178</f>
        <v/>
      </c>
    </row>
    <row r="179">
      <c r="A179" s="115" t="inlineStr">
        <is>
          <t>Privé</t>
        </is>
      </c>
      <c r="B179" s="101" t="n">
        <v>2121</v>
      </c>
      <c r="C179" s="107" t="n"/>
      <c r="D179" s="107" t="n"/>
      <c r="E179" s="107" t="n"/>
      <c r="F179" s="116" t="n"/>
      <c r="G179" s="107" t="n"/>
      <c r="H179" s="105" t="n">
        <v>0.00252</v>
      </c>
      <c r="I179" s="107" t="n"/>
      <c r="J179" s="107">
        <f>N179/Donnees_annuelles!D179</f>
        <v/>
      </c>
      <c r="K179" s="107">
        <f>O179/Donnees_annuelles!D179</f>
        <v/>
      </c>
      <c r="L179" s="105" t="n">
        <v>0</v>
      </c>
      <c r="M179" s="117" t="n">
        <v>1</v>
      </c>
      <c r="N179" s="106">
        <f>Donnees_annuelles!N179</f>
        <v/>
      </c>
      <c r="O179" s="106">
        <f>Donnees_annuelles!O179</f>
        <v/>
      </c>
      <c r="P179" s="106">
        <f>N179+O179</f>
        <v/>
      </c>
      <c r="Q179" s="106">
        <f>Donnees_annuelles!D179*L179</f>
        <v/>
      </c>
      <c r="R179" s="118">
        <f>P179/Donnees_annuelles!AA179*Donnees_annuelles!AI179/Donnees_annuelles!AG179</f>
        <v/>
      </c>
      <c r="S179" s="118">
        <f>P179/Donnees_annuelles!AA179*Donnees_annuelles!AJ179/Donnees_annuelles!AH179</f>
        <v/>
      </c>
    </row>
    <row r="180">
      <c r="A180" s="115" t="inlineStr">
        <is>
          <t>Privé</t>
        </is>
      </c>
      <c r="B180" s="101" t="n">
        <v>2122</v>
      </c>
      <c r="C180" s="107" t="n"/>
      <c r="D180" s="107" t="n"/>
      <c r="E180" s="107" t="n"/>
      <c r="F180" s="116" t="n"/>
      <c r="G180" s="107" t="n"/>
      <c r="H180" s="105" t="n">
        <v>0.00252</v>
      </c>
      <c r="I180" s="107" t="n"/>
      <c r="J180" s="107">
        <f>N180/Donnees_annuelles!D180</f>
        <v/>
      </c>
      <c r="K180" s="107">
        <f>O180/Donnees_annuelles!D180</f>
        <v/>
      </c>
      <c r="L180" s="105" t="n">
        <v>0</v>
      </c>
      <c r="M180" s="117" t="n">
        <v>1</v>
      </c>
      <c r="N180" s="106">
        <f>Donnees_annuelles!N180</f>
        <v/>
      </c>
      <c r="O180" s="106">
        <f>Donnees_annuelles!O180</f>
        <v/>
      </c>
      <c r="P180" s="106">
        <f>N180+O180</f>
        <v/>
      </c>
      <c r="Q180" s="106">
        <f>Donnees_annuelles!D180*L180</f>
        <v/>
      </c>
      <c r="R180" s="118">
        <f>P180/Donnees_annuelles!AA180*Donnees_annuelles!AI180/Donnees_annuelles!AG180</f>
        <v/>
      </c>
      <c r="S180" s="118">
        <f>P180/Donnees_annuelles!AA180*Donnees_annuelles!AJ180/Donnees_annuelles!AH180</f>
        <v/>
      </c>
    </row>
    <row r="181">
      <c r="A181" s="115" t="inlineStr">
        <is>
          <t>Privé</t>
        </is>
      </c>
      <c r="B181" s="101" t="n">
        <v>2123</v>
      </c>
      <c r="C181" s="107" t="n"/>
      <c r="D181" s="107" t="n"/>
      <c r="E181" s="107" t="n"/>
      <c r="F181" s="116" t="n"/>
      <c r="G181" s="107" t="n"/>
      <c r="H181" s="105" t="n">
        <v>0.00252</v>
      </c>
      <c r="I181" s="107" t="n"/>
      <c r="J181" s="107">
        <f>N181/Donnees_annuelles!D181</f>
        <v/>
      </c>
      <c r="K181" s="107">
        <f>O181/Donnees_annuelles!D181</f>
        <v/>
      </c>
      <c r="L181" s="105" t="n">
        <v>0</v>
      </c>
      <c r="M181" s="117" t="n">
        <v>1</v>
      </c>
      <c r="N181" s="106">
        <f>Donnees_annuelles!N181</f>
        <v/>
      </c>
      <c r="O181" s="106">
        <f>Donnees_annuelles!O181</f>
        <v/>
      </c>
      <c r="P181" s="106">
        <f>N181+O181</f>
        <v/>
      </c>
      <c r="Q181" s="106">
        <f>Donnees_annuelles!D181*L181</f>
        <v/>
      </c>
      <c r="R181" s="118">
        <f>P181/Donnees_annuelles!AA181*Donnees_annuelles!AI181/Donnees_annuelles!AG181</f>
        <v/>
      </c>
      <c r="S181" s="118">
        <f>P181/Donnees_annuelles!AA181*Donnees_annuelles!AJ181/Donnees_annuelles!AH181</f>
        <v/>
      </c>
    </row>
    <row r="182">
      <c r="A182" s="115" t="inlineStr">
        <is>
          <t>Privé</t>
        </is>
      </c>
      <c r="B182" s="101" t="n">
        <v>2124</v>
      </c>
      <c r="C182" s="107" t="n"/>
      <c r="D182" s="107" t="n"/>
      <c r="E182" s="107" t="n"/>
      <c r="F182" s="116" t="n"/>
      <c r="G182" s="107" t="n"/>
      <c r="H182" s="105" t="n">
        <v>0.00252</v>
      </c>
      <c r="I182" s="107" t="n"/>
      <c r="J182" s="107">
        <f>N182/Donnees_annuelles!D182</f>
        <v/>
      </c>
      <c r="K182" s="107">
        <f>O182/Donnees_annuelles!D182</f>
        <v/>
      </c>
      <c r="L182" s="105" t="n">
        <v>0</v>
      </c>
      <c r="M182" s="117" t="n">
        <v>1</v>
      </c>
      <c r="N182" s="106">
        <f>Donnees_annuelles!N182</f>
        <v/>
      </c>
      <c r="O182" s="106">
        <f>Donnees_annuelles!O182</f>
        <v/>
      </c>
      <c r="P182" s="106">
        <f>N182+O182</f>
        <v/>
      </c>
      <c r="Q182" s="106">
        <f>Donnees_annuelles!D182*L182</f>
        <v/>
      </c>
      <c r="R182" s="118">
        <f>P182/Donnees_annuelles!AA182*Donnees_annuelles!AI182/Donnees_annuelles!AG182</f>
        <v/>
      </c>
      <c r="S182" s="118">
        <f>P182/Donnees_annuelles!AA182*Donnees_annuelles!AJ182/Donnees_annuelles!AH182</f>
        <v/>
      </c>
    </row>
    <row r="183">
      <c r="A183" s="115" t="inlineStr">
        <is>
          <t>Privé</t>
        </is>
      </c>
      <c r="B183" s="101" t="n">
        <v>2125</v>
      </c>
      <c r="C183" s="107" t="n"/>
      <c r="D183" s="107" t="n"/>
      <c r="E183" s="107" t="n"/>
      <c r="F183" s="116" t="n"/>
      <c r="G183" s="107" t="n"/>
      <c r="H183" s="105" t="n">
        <v>0.00252</v>
      </c>
      <c r="I183" s="107" t="n"/>
      <c r="J183" s="107">
        <f>N183/Donnees_annuelles!D183</f>
        <v/>
      </c>
      <c r="K183" s="107">
        <f>O183/Donnees_annuelles!D183</f>
        <v/>
      </c>
      <c r="L183" s="105" t="n">
        <v>0</v>
      </c>
      <c r="M183" s="117" t="n">
        <v>1</v>
      </c>
      <c r="N183" s="106">
        <f>Donnees_annuelles!N183</f>
        <v/>
      </c>
      <c r="O183" s="106">
        <f>Donnees_annuelles!O183</f>
        <v/>
      </c>
      <c r="P183" s="106">
        <f>N183+O183</f>
        <v/>
      </c>
      <c r="Q183" s="106">
        <f>Donnees_annuelles!D183*L183</f>
        <v/>
      </c>
      <c r="R183" s="118">
        <f>P183/Donnees_annuelles!AA183*Donnees_annuelles!AI183/Donnees_annuelles!AG183</f>
        <v/>
      </c>
      <c r="S183" s="118">
        <f>P183/Donnees_annuelles!AA183*Donnees_annuelles!AJ183/Donnees_annuelles!AH183</f>
        <v/>
      </c>
    </row>
    <row r="184">
      <c r="A184" s="115" t="inlineStr">
        <is>
          <t>Privé</t>
        </is>
      </c>
      <c r="B184" s="101" t="n">
        <v>2126</v>
      </c>
      <c r="C184" s="107" t="n"/>
      <c r="D184" s="107" t="n"/>
      <c r="E184" s="107" t="n"/>
      <c r="F184" s="116" t="n"/>
      <c r="G184" s="107" t="n"/>
      <c r="H184" s="105" t="n">
        <v>0.00252</v>
      </c>
      <c r="I184" s="107" t="n"/>
      <c r="J184" s="107">
        <f>N184/Donnees_annuelles!D184</f>
        <v/>
      </c>
      <c r="K184" s="107">
        <f>O184/Donnees_annuelles!D184</f>
        <v/>
      </c>
      <c r="L184" s="105" t="n">
        <v>0</v>
      </c>
      <c r="M184" s="117" t="n">
        <v>1</v>
      </c>
      <c r="N184" s="106">
        <f>Donnees_annuelles!N184</f>
        <v/>
      </c>
      <c r="O184" s="106">
        <f>Donnees_annuelles!O184</f>
        <v/>
      </c>
      <c r="P184" s="106">
        <f>N184+O184</f>
        <v/>
      </c>
      <c r="Q184" s="106">
        <f>Donnees_annuelles!D184*L184</f>
        <v/>
      </c>
      <c r="R184" s="118">
        <f>P184/Donnees_annuelles!AA184*Donnees_annuelles!AI184/Donnees_annuelles!AG184</f>
        <v/>
      </c>
      <c r="S184" s="118">
        <f>P184/Donnees_annuelles!AA184*Donnees_annuelles!AJ184/Donnees_annuelles!AH184</f>
        <v/>
      </c>
    </row>
    <row r="185">
      <c r="A185" s="115" t="inlineStr">
        <is>
          <t>Privé</t>
        </is>
      </c>
      <c r="B185" s="101" t="n">
        <v>2127</v>
      </c>
      <c r="C185" s="107" t="n"/>
      <c r="D185" s="107" t="n"/>
      <c r="E185" s="107" t="n"/>
      <c r="F185" s="116" t="n"/>
      <c r="G185" s="107" t="n"/>
      <c r="H185" s="105" t="n">
        <v>0.00252</v>
      </c>
      <c r="I185" s="107" t="n"/>
      <c r="J185" s="107">
        <f>N185/Donnees_annuelles!D185</f>
        <v/>
      </c>
      <c r="K185" s="107">
        <f>O185/Donnees_annuelles!D185</f>
        <v/>
      </c>
      <c r="L185" s="105" t="n">
        <v>0</v>
      </c>
      <c r="M185" s="117" t="n">
        <v>1</v>
      </c>
      <c r="N185" s="106">
        <f>Donnees_annuelles!N185</f>
        <v/>
      </c>
      <c r="O185" s="106">
        <f>Donnees_annuelles!O185</f>
        <v/>
      </c>
      <c r="P185" s="106">
        <f>N185+O185</f>
        <v/>
      </c>
      <c r="Q185" s="106">
        <f>Donnees_annuelles!D185*L185</f>
        <v/>
      </c>
      <c r="R185" s="118">
        <f>P185/Donnees_annuelles!AA185*Donnees_annuelles!AI185/Donnees_annuelles!AG185</f>
        <v/>
      </c>
      <c r="S185" s="118">
        <f>P185/Donnees_annuelles!AA185*Donnees_annuelles!AJ185/Donnees_annuelles!AH185</f>
        <v/>
      </c>
    </row>
    <row r="186">
      <c r="A186" s="115" t="inlineStr">
        <is>
          <t>Privé</t>
        </is>
      </c>
      <c r="B186" s="101" t="n">
        <v>2128</v>
      </c>
      <c r="C186" s="107" t="n"/>
      <c r="D186" s="107" t="n"/>
      <c r="E186" s="107" t="n"/>
      <c r="F186" s="116" t="n"/>
      <c r="G186" s="107" t="n"/>
      <c r="H186" s="105" t="n">
        <v>0.00252</v>
      </c>
      <c r="I186" s="107" t="n"/>
      <c r="J186" s="107">
        <f>N186/Donnees_annuelles!D186</f>
        <v/>
      </c>
      <c r="K186" s="107">
        <f>O186/Donnees_annuelles!D186</f>
        <v/>
      </c>
      <c r="L186" s="105" t="n">
        <v>0</v>
      </c>
      <c r="M186" s="117" t="n">
        <v>1</v>
      </c>
      <c r="N186" s="106">
        <f>Donnees_annuelles!N186</f>
        <v/>
      </c>
      <c r="O186" s="106">
        <f>Donnees_annuelles!O186</f>
        <v/>
      </c>
      <c r="P186" s="106">
        <f>N186+O186</f>
        <v/>
      </c>
      <c r="Q186" s="106">
        <f>Donnees_annuelles!D186*L186</f>
        <v/>
      </c>
      <c r="R186" s="118">
        <f>P186/Donnees_annuelles!AA186*Donnees_annuelles!AI186/Donnees_annuelles!AG186</f>
        <v/>
      </c>
      <c r="S186" s="118">
        <f>P186/Donnees_annuelles!AA186*Donnees_annuelles!AJ186/Donnees_annuelles!AH186</f>
        <v/>
      </c>
    </row>
    <row r="187">
      <c r="A187" s="115" t="inlineStr">
        <is>
          <t>Privé</t>
        </is>
      </c>
      <c r="B187" s="101" t="n">
        <v>2129</v>
      </c>
      <c r="C187" s="107" t="n"/>
      <c r="D187" s="107" t="n"/>
      <c r="E187" s="107" t="n"/>
      <c r="F187" s="116" t="n"/>
      <c r="G187" s="107" t="n"/>
      <c r="H187" s="105" t="n">
        <v>0.00252</v>
      </c>
      <c r="I187" s="107" t="n"/>
      <c r="J187" s="107">
        <f>N187/Donnees_annuelles!D187</f>
        <v/>
      </c>
      <c r="K187" s="107">
        <f>O187/Donnees_annuelles!D187</f>
        <v/>
      </c>
      <c r="L187" s="105" t="n">
        <v>0</v>
      </c>
      <c r="M187" s="117" t="n">
        <v>1</v>
      </c>
      <c r="N187" s="106">
        <f>Donnees_annuelles!N187</f>
        <v/>
      </c>
      <c r="O187" s="106">
        <f>Donnees_annuelles!O187</f>
        <v/>
      </c>
      <c r="P187" s="106">
        <f>N187+O187</f>
        <v/>
      </c>
      <c r="Q187" s="106">
        <f>Donnees_annuelles!D187*L187</f>
        <v/>
      </c>
      <c r="R187" s="118">
        <f>P187/Donnees_annuelles!AA187*Donnees_annuelles!AI187/Donnees_annuelles!AG187</f>
        <v/>
      </c>
      <c r="S187" s="118">
        <f>P187/Donnees_annuelles!AA187*Donnees_annuelles!AJ187/Donnees_annuelles!AH187</f>
        <v/>
      </c>
    </row>
    <row r="188">
      <c r="A188" s="115" t="inlineStr">
        <is>
          <t>Privé</t>
        </is>
      </c>
      <c r="B188" s="101" t="n">
        <v>2130</v>
      </c>
      <c r="C188" s="107" t="n"/>
      <c r="D188" s="107" t="n"/>
      <c r="E188" s="107" t="n"/>
      <c r="F188" s="116" t="n"/>
      <c r="G188" s="107" t="n"/>
      <c r="H188" s="105" t="n">
        <v>0.00252</v>
      </c>
      <c r="I188" s="107" t="n"/>
      <c r="J188" s="107">
        <f>N188/Donnees_annuelles!D188</f>
        <v/>
      </c>
      <c r="K188" s="107">
        <f>O188/Donnees_annuelles!D188</f>
        <v/>
      </c>
      <c r="L188" s="105" t="n">
        <v>0</v>
      </c>
      <c r="M188" s="117" t="n">
        <v>1</v>
      </c>
      <c r="N188" s="106">
        <f>Donnees_annuelles!N188</f>
        <v/>
      </c>
      <c r="O188" s="106">
        <f>Donnees_annuelles!O188</f>
        <v/>
      </c>
      <c r="P188" s="106">
        <f>N188+O188</f>
        <v/>
      </c>
      <c r="Q188" s="106">
        <f>Donnees_annuelles!D188*L188</f>
        <v/>
      </c>
      <c r="R188" s="118">
        <f>P188/Donnees_annuelles!AA188*Donnees_annuelles!AI188/Donnees_annuelles!AG188</f>
        <v/>
      </c>
      <c r="S188" s="118">
        <f>P188/Donnees_annuelles!AA188*Donnees_annuelles!AJ188/Donnees_annuelles!AH188</f>
        <v/>
      </c>
    </row>
    <row r="189">
      <c r="A189" s="84" t="inlineStr">
        <is>
          <t>Fonction publique d'État</t>
        </is>
      </c>
      <c r="B189" s="88" t="n">
        <v>1945</v>
      </c>
      <c r="C189" s="93" t="n">
        <v>0.12</v>
      </c>
      <c r="D189" s="93" t="n">
        <v>0.06</v>
      </c>
      <c r="E189" s="93" t="n">
        <v>0.371</v>
      </c>
      <c r="F189" s="7" t="inlineStr">
        <is>
          <t>implicite estimé (analogie SNCF)</t>
        </is>
      </c>
      <c r="G189" s="93" t="n">
        <v>0</v>
      </c>
      <c r="H189" s="93" t="n">
        <v>0</v>
      </c>
      <c r="I189" s="93" t="n">
        <v>0</v>
      </c>
      <c r="J189" s="94">
        <f>D189*(1-C189)+G189*MIN(C189,0.2*(1-C189))+H189</f>
        <v/>
      </c>
      <c r="K189" s="94">
        <f>MIN(E189*(1-C189),Donnees_annuelles!G3)+G189*MIN(C189,0.2*(1-C189))</f>
        <v/>
      </c>
      <c r="L189" s="94">
        <f>I189*(1-C189)+MAX(0,E189*(1-C189)-Donnees_annuelles!G3)</f>
        <v/>
      </c>
      <c r="M189" s="89">
        <f>SUMIFS(Regimes!$G$5:$G$10,Regimes!$A$5:$A$10,A189)*(1-C189)/(1-0.23917)</f>
        <v/>
      </c>
      <c r="N189" s="14">
        <f>Donnees_annuelles!D3*J189</f>
        <v/>
      </c>
      <c r="O189" s="14">
        <f>Donnees_annuelles!D3*K189</f>
        <v/>
      </c>
      <c r="P189" s="14">
        <f>N189+O189</f>
        <v/>
      </c>
      <c r="Q189" s="14">
        <f>Donnees_annuelles!D3*L189</f>
        <v/>
      </c>
      <c r="R189" s="114">
        <f>P189/Donnees_annuelles!AA3*Donnees_annuelles!AI3/Donnees_annuelles!AG3</f>
        <v/>
      </c>
      <c r="S189" s="114">
        <f>P189/Donnees_annuelles!AA3*Donnees_annuelles!AJ3/Donnees_annuelles!AH3</f>
        <v/>
      </c>
    </row>
    <row r="190">
      <c r="A190" s="84" t="inlineStr">
        <is>
          <t>Fonction publique d'État</t>
        </is>
      </c>
      <c r="B190" s="88" t="n">
        <v>1946</v>
      </c>
      <c r="C190" s="93" t="n">
        <v>0.12</v>
      </c>
      <c r="D190" s="93" t="n">
        <v>0.06</v>
      </c>
      <c r="E190" s="93" t="n">
        <v>0.371</v>
      </c>
      <c r="F190" s="7" t="inlineStr">
        <is>
          <t>implicite estimé (analogie SNCF)</t>
        </is>
      </c>
      <c r="G190" s="93" t="n">
        <v>0</v>
      </c>
      <c r="H190" s="93" t="n">
        <v>0</v>
      </c>
      <c r="I190" s="93" t="n">
        <v>0</v>
      </c>
      <c r="J190" s="94">
        <f>D190*(1-C190)+G190*MIN(C190,0.2*(1-C190))+H190</f>
        <v/>
      </c>
      <c r="K190" s="94">
        <f>MIN(E190*(1-C190),Donnees_annuelles!G4)+G190*MIN(C190,0.2*(1-C190))</f>
        <v/>
      </c>
      <c r="L190" s="94">
        <f>I190*(1-C190)+MAX(0,E190*(1-C190)-Donnees_annuelles!G4)</f>
        <v/>
      </c>
      <c r="M190" s="89">
        <f>SUMIFS(Regimes!$G$5:$G$10,Regimes!$A$5:$A$10,A190)*(1-C190)/(1-0.23917)</f>
        <v/>
      </c>
      <c r="N190" s="14">
        <f>Donnees_annuelles!D4*J190</f>
        <v/>
      </c>
      <c r="O190" s="14">
        <f>Donnees_annuelles!D4*K190</f>
        <v/>
      </c>
      <c r="P190" s="14">
        <f>N190+O190</f>
        <v/>
      </c>
      <c r="Q190" s="14">
        <f>Donnees_annuelles!D4*L190</f>
        <v/>
      </c>
      <c r="R190" s="114">
        <f>P190/Donnees_annuelles!AA4*Donnees_annuelles!AI4/Donnees_annuelles!AG4</f>
        <v/>
      </c>
      <c r="S190" s="114">
        <f>P190/Donnees_annuelles!AA4*Donnees_annuelles!AJ4/Donnees_annuelles!AH4</f>
        <v/>
      </c>
    </row>
    <row r="191">
      <c r="A191" s="84" t="inlineStr">
        <is>
          <t>Fonction publique d'État</t>
        </is>
      </c>
      <c r="B191" s="88" t="n">
        <v>1947</v>
      </c>
      <c r="C191" s="93" t="n">
        <v>0.12</v>
      </c>
      <c r="D191" s="93" t="n">
        <v>0.06</v>
      </c>
      <c r="E191" s="93" t="n">
        <v>0.371</v>
      </c>
      <c r="F191" s="7" t="inlineStr">
        <is>
          <t>implicite estimé (analogie SNCF)</t>
        </is>
      </c>
      <c r="G191" s="93" t="n">
        <v>0</v>
      </c>
      <c r="H191" s="93" t="n">
        <v>0</v>
      </c>
      <c r="I191" s="93" t="n">
        <v>0</v>
      </c>
      <c r="J191" s="94">
        <f>D191*(1-C191)+G191*MIN(C191,0.2*(1-C191))+H191</f>
        <v/>
      </c>
      <c r="K191" s="94">
        <f>MIN(E191*(1-C191),Donnees_annuelles!G5)+G191*MIN(C191,0.2*(1-C191))</f>
        <v/>
      </c>
      <c r="L191" s="94">
        <f>I191*(1-C191)+MAX(0,E191*(1-C191)-Donnees_annuelles!G5)</f>
        <v/>
      </c>
      <c r="M191" s="89">
        <f>SUMIFS(Regimes!$G$5:$G$10,Regimes!$A$5:$A$10,A191)*(1-C191)/(1-0.23917)</f>
        <v/>
      </c>
      <c r="N191" s="14">
        <f>Donnees_annuelles!D5*J191</f>
        <v/>
      </c>
      <c r="O191" s="14">
        <f>Donnees_annuelles!D5*K191</f>
        <v/>
      </c>
      <c r="P191" s="14">
        <f>N191+O191</f>
        <v/>
      </c>
      <c r="Q191" s="14">
        <f>Donnees_annuelles!D5*L191</f>
        <v/>
      </c>
      <c r="R191" s="114">
        <f>P191/Donnees_annuelles!AA5*Donnees_annuelles!AI5/Donnees_annuelles!AG5</f>
        <v/>
      </c>
      <c r="S191" s="114">
        <f>P191/Donnees_annuelles!AA5*Donnees_annuelles!AJ5/Donnees_annuelles!AH5</f>
        <v/>
      </c>
    </row>
    <row r="192">
      <c r="A192" s="84" t="inlineStr">
        <is>
          <t>Fonction publique d'État</t>
        </is>
      </c>
      <c r="B192" s="88" t="n">
        <v>1948</v>
      </c>
      <c r="C192" s="93" t="n">
        <v>0.12</v>
      </c>
      <c r="D192" s="93" t="n">
        <v>0.06</v>
      </c>
      <c r="E192" s="93" t="n">
        <v>0.371</v>
      </c>
      <c r="F192" s="7" t="inlineStr">
        <is>
          <t>implicite estimé (analogie SNCF)</t>
        </is>
      </c>
      <c r="G192" s="93" t="n">
        <v>0</v>
      </c>
      <c r="H192" s="93" t="n">
        <v>0</v>
      </c>
      <c r="I192" s="93" t="n">
        <v>0</v>
      </c>
      <c r="J192" s="94">
        <f>D192*(1-C192)+G192*MIN(C192,0.2*(1-C192))+H192</f>
        <v/>
      </c>
      <c r="K192" s="94">
        <f>MIN(E192*(1-C192),Donnees_annuelles!G6)+G192*MIN(C192,0.2*(1-C192))</f>
        <v/>
      </c>
      <c r="L192" s="94">
        <f>I192*(1-C192)+MAX(0,E192*(1-C192)-Donnees_annuelles!G6)</f>
        <v/>
      </c>
      <c r="M192" s="89">
        <f>SUMIFS(Regimes!$G$5:$G$10,Regimes!$A$5:$A$10,A192)*(1-C192)/(1-0.23917)</f>
        <v/>
      </c>
      <c r="N192" s="14">
        <f>Donnees_annuelles!D6*J192</f>
        <v/>
      </c>
      <c r="O192" s="14">
        <f>Donnees_annuelles!D6*K192</f>
        <v/>
      </c>
      <c r="P192" s="14">
        <f>N192+O192</f>
        <v/>
      </c>
      <c r="Q192" s="14">
        <f>Donnees_annuelles!D6*L192</f>
        <v/>
      </c>
      <c r="R192" s="114">
        <f>P192/Donnees_annuelles!AA6*Donnees_annuelles!AI6/Donnees_annuelles!AG6</f>
        <v/>
      </c>
      <c r="S192" s="114">
        <f>P192/Donnees_annuelles!AA6*Donnees_annuelles!AJ6/Donnees_annuelles!AH6</f>
        <v/>
      </c>
    </row>
    <row r="193">
      <c r="A193" s="84" t="inlineStr">
        <is>
          <t>Fonction publique d'État</t>
        </is>
      </c>
      <c r="B193" s="88" t="n">
        <v>1949</v>
      </c>
      <c r="C193" s="93" t="n">
        <v>0.12</v>
      </c>
      <c r="D193" s="93" t="n">
        <v>0.06</v>
      </c>
      <c r="E193" s="93" t="n">
        <v>0.371</v>
      </c>
      <c r="F193" s="7" t="inlineStr">
        <is>
          <t>implicite estimé (analogie SNCF)</t>
        </is>
      </c>
      <c r="G193" s="93" t="n">
        <v>0</v>
      </c>
      <c r="H193" s="93" t="n">
        <v>0</v>
      </c>
      <c r="I193" s="93" t="n">
        <v>0</v>
      </c>
      <c r="J193" s="94">
        <f>D193*(1-C193)+G193*MIN(C193,0.2*(1-C193))+H193</f>
        <v/>
      </c>
      <c r="K193" s="94">
        <f>MIN(E193*(1-C193),Donnees_annuelles!G7)+G193*MIN(C193,0.2*(1-C193))</f>
        <v/>
      </c>
      <c r="L193" s="94">
        <f>I193*(1-C193)+MAX(0,E193*(1-C193)-Donnees_annuelles!G7)</f>
        <v/>
      </c>
      <c r="M193" s="89">
        <f>SUMIFS(Regimes!$G$5:$G$10,Regimes!$A$5:$A$10,A193)*(1-C193)/(1-0.23917)</f>
        <v/>
      </c>
      <c r="N193" s="14">
        <f>Donnees_annuelles!D7*J193</f>
        <v/>
      </c>
      <c r="O193" s="14">
        <f>Donnees_annuelles!D7*K193</f>
        <v/>
      </c>
      <c r="P193" s="14">
        <f>N193+O193</f>
        <v/>
      </c>
      <c r="Q193" s="14">
        <f>Donnees_annuelles!D7*L193</f>
        <v/>
      </c>
      <c r="R193" s="114">
        <f>P193/Donnees_annuelles!AA7*Donnees_annuelles!AI7/Donnees_annuelles!AG7</f>
        <v/>
      </c>
      <c r="S193" s="114">
        <f>P193/Donnees_annuelles!AA7*Donnees_annuelles!AJ7/Donnees_annuelles!AH7</f>
        <v/>
      </c>
    </row>
    <row r="194">
      <c r="A194" s="84" t="inlineStr">
        <is>
          <t>Fonction publique d'État</t>
        </is>
      </c>
      <c r="B194" s="88" t="n">
        <v>1950</v>
      </c>
      <c r="C194" s="93" t="n">
        <v>0.12</v>
      </c>
      <c r="D194" s="93" t="n">
        <v>0.06</v>
      </c>
      <c r="E194" s="93" t="n">
        <v>0.371</v>
      </c>
      <c r="F194" s="7" t="inlineStr">
        <is>
          <t>implicite estimé (analogie SNCF)</t>
        </is>
      </c>
      <c r="G194" s="93" t="n">
        <v>0</v>
      </c>
      <c r="H194" s="93" t="n">
        <v>0</v>
      </c>
      <c r="I194" s="93" t="n">
        <v>0</v>
      </c>
      <c r="J194" s="94">
        <f>D194*(1-C194)+G194*MIN(C194,0.2*(1-C194))+H194</f>
        <v/>
      </c>
      <c r="K194" s="94">
        <f>MIN(E194*(1-C194),Donnees_annuelles!G8)+G194*MIN(C194,0.2*(1-C194))</f>
        <v/>
      </c>
      <c r="L194" s="94">
        <f>I194*(1-C194)+MAX(0,E194*(1-C194)-Donnees_annuelles!G8)</f>
        <v/>
      </c>
      <c r="M194" s="89">
        <f>SUMIFS(Regimes!$G$5:$G$10,Regimes!$A$5:$A$10,A194)*(1-C194)/(1-0.23917)</f>
        <v/>
      </c>
      <c r="N194" s="14">
        <f>Donnees_annuelles!D8*J194</f>
        <v/>
      </c>
      <c r="O194" s="14">
        <f>Donnees_annuelles!D8*K194</f>
        <v/>
      </c>
      <c r="P194" s="14">
        <f>N194+O194</f>
        <v/>
      </c>
      <c r="Q194" s="14">
        <f>Donnees_annuelles!D8*L194</f>
        <v/>
      </c>
      <c r="R194" s="114">
        <f>P194/Donnees_annuelles!AA8*Donnees_annuelles!AI8/Donnees_annuelles!AG8</f>
        <v/>
      </c>
      <c r="S194" s="114">
        <f>P194/Donnees_annuelles!AA8*Donnees_annuelles!AJ8/Donnees_annuelles!AH8</f>
        <v/>
      </c>
    </row>
    <row r="195">
      <c r="A195" s="84" t="inlineStr">
        <is>
          <t>Fonction publique d'État</t>
        </is>
      </c>
      <c r="B195" s="88" t="n">
        <v>1951</v>
      </c>
      <c r="C195" s="93" t="n">
        <v>0.12</v>
      </c>
      <c r="D195" s="93" t="n">
        <v>0.06</v>
      </c>
      <c r="E195" s="93" t="n">
        <v>0.371</v>
      </c>
      <c r="F195" s="7" t="inlineStr">
        <is>
          <t>implicite estimé (analogie SNCF)</t>
        </is>
      </c>
      <c r="G195" s="93" t="n">
        <v>0</v>
      </c>
      <c r="H195" s="93" t="n">
        <v>0</v>
      </c>
      <c r="I195" s="93" t="n">
        <v>0</v>
      </c>
      <c r="J195" s="94">
        <f>D195*(1-C195)+G195*MIN(C195,0.2*(1-C195))+H195</f>
        <v/>
      </c>
      <c r="K195" s="94">
        <f>MIN(E195*(1-C195),Donnees_annuelles!G9)+G195*MIN(C195,0.2*(1-C195))</f>
        <v/>
      </c>
      <c r="L195" s="94">
        <f>I195*(1-C195)+MAX(0,E195*(1-C195)-Donnees_annuelles!G9)</f>
        <v/>
      </c>
      <c r="M195" s="89">
        <f>SUMIFS(Regimes!$G$5:$G$10,Regimes!$A$5:$A$10,A195)*(1-C195)/(1-0.23917)</f>
        <v/>
      </c>
      <c r="N195" s="14">
        <f>Donnees_annuelles!D9*J195</f>
        <v/>
      </c>
      <c r="O195" s="14">
        <f>Donnees_annuelles!D9*K195</f>
        <v/>
      </c>
      <c r="P195" s="14">
        <f>N195+O195</f>
        <v/>
      </c>
      <c r="Q195" s="14">
        <f>Donnees_annuelles!D9*L195</f>
        <v/>
      </c>
      <c r="R195" s="114">
        <f>P195/Donnees_annuelles!AA9*Donnees_annuelles!AI9/Donnees_annuelles!AG9</f>
        <v/>
      </c>
      <c r="S195" s="114">
        <f>P195/Donnees_annuelles!AA9*Donnees_annuelles!AJ9/Donnees_annuelles!AH9</f>
        <v/>
      </c>
    </row>
    <row r="196">
      <c r="A196" s="84" t="inlineStr">
        <is>
          <t>Fonction publique d'État</t>
        </is>
      </c>
      <c r="B196" s="88" t="n">
        <v>1952</v>
      </c>
      <c r="C196" s="93" t="n">
        <v>0.12</v>
      </c>
      <c r="D196" s="93" t="n">
        <v>0.06</v>
      </c>
      <c r="E196" s="93" t="n">
        <v>0.371</v>
      </c>
      <c r="F196" s="7" t="inlineStr">
        <is>
          <t>implicite estimé (analogie SNCF)</t>
        </is>
      </c>
      <c r="G196" s="93" t="n">
        <v>0</v>
      </c>
      <c r="H196" s="93" t="n">
        <v>0</v>
      </c>
      <c r="I196" s="93" t="n">
        <v>0</v>
      </c>
      <c r="J196" s="94">
        <f>D196*(1-C196)+G196*MIN(C196,0.2*(1-C196))+H196</f>
        <v/>
      </c>
      <c r="K196" s="94">
        <f>MIN(E196*(1-C196),Donnees_annuelles!G10)+G196*MIN(C196,0.2*(1-C196))</f>
        <v/>
      </c>
      <c r="L196" s="94">
        <f>I196*(1-C196)+MAX(0,E196*(1-C196)-Donnees_annuelles!G10)</f>
        <v/>
      </c>
      <c r="M196" s="89">
        <f>SUMIFS(Regimes!$G$5:$G$10,Regimes!$A$5:$A$10,A196)*(1-C196)/(1-0.23917)</f>
        <v/>
      </c>
      <c r="N196" s="14">
        <f>Donnees_annuelles!D10*J196</f>
        <v/>
      </c>
      <c r="O196" s="14">
        <f>Donnees_annuelles!D10*K196</f>
        <v/>
      </c>
      <c r="P196" s="14">
        <f>N196+O196</f>
        <v/>
      </c>
      <c r="Q196" s="14">
        <f>Donnees_annuelles!D10*L196</f>
        <v/>
      </c>
      <c r="R196" s="114">
        <f>P196/Donnees_annuelles!AA10*Donnees_annuelles!AI10/Donnees_annuelles!AG10</f>
        <v/>
      </c>
      <c r="S196" s="114">
        <f>P196/Donnees_annuelles!AA10*Donnees_annuelles!AJ10/Donnees_annuelles!AH10</f>
        <v/>
      </c>
    </row>
    <row r="197">
      <c r="A197" s="84" t="inlineStr">
        <is>
          <t>Fonction publique d'État</t>
        </is>
      </c>
      <c r="B197" s="88" t="n">
        <v>1953</v>
      </c>
      <c r="C197" s="93" t="n">
        <v>0.12</v>
      </c>
      <c r="D197" s="93" t="n">
        <v>0.06</v>
      </c>
      <c r="E197" s="93" t="n">
        <v>0.371</v>
      </c>
      <c r="F197" s="7" t="inlineStr">
        <is>
          <t>implicite estimé (analogie SNCF)</t>
        </is>
      </c>
      <c r="G197" s="93" t="n">
        <v>0</v>
      </c>
      <c r="H197" s="93" t="n">
        <v>0</v>
      </c>
      <c r="I197" s="93" t="n">
        <v>0</v>
      </c>
      <c r="J197" s="94">
        <f>D197*(1-C197)+G197*MIN(C197,0.2*(1-C197))+H197</f>
        <v/>
      </c>
      <c r="K197" s="94">
        <f>MIN(E197*(1-C197),Donnees_annuelles!G11)+G197*MIN(C197,0.2*(1-C197))</f>
        <v/>
      </c>
      <c r="L197" s="94">
        <f>I197*(1-C197)+MAX(0,E197*(1-C197)-Donnees_annuelles!G11)</f>
        <v/>
      </c>
      <c r="M197" s="89">
        <f>SUMIFS(Regimes!$G$5:$G$10,Regimes!$A$5:$A$10,A197)*(1-C197)/(1-0.23917)</f>
        <v/>
      </c>
      <c r="N197" s="14">
        <f>Donnees_annuelles!D11*J197</f>
        <v/>
      </c>
      <c r="O197" s="14">
        <f>Donnees_annuelles!D11*K197</f>
        <v/>
      </c>
      <c r="P197" s="14">
        <f>N197+O197</f>
        <v/>
      </c>
      <c r="Q197" s="14">
        <f>Donnees_annuelles!D11*L197</f>
        <v/>
      </c>
      <c r="R197" s="114">
        <f>P197/Donnees_annuelles!AA11*Donnees_annuelles!AI11/Donnees_annuelles!AG11</f>
        <v/>
      </c>
      <c r="S197" s="114">
        <f>P197/Donnees_annuelles!AA11*Donnees_annuelles!AJ11/Donnees_annuelles!AH11</f>
        <v/>
      </c>
    </row>
    <row r="198">
      <c r="A198" s="84" t="inlineStr">
        <is>
          <t>Fonction publique d'État</t>
        </is>
      </c>
      <c r="B198" s="88" t="n">
        <v>1954</v>
      </c>
      <c r="C198" s="93" t="n">
        <v>0.12</v>
      </c>
      <c r="D198" s="93" t="n">
        <v>0.06</v>
      </c>
      <c r="E198" s="93" t="n">
        <v>0.371</v>
      </c>
      <c r="F198" s="7" t="inlineStr">
        <is>
          <t>implicite estimé (analogie SNCF)</t>
        </is>
      </c>
      <c r="G198" s="93" t="n">
        <v>0</v>
      </c>
      <c r="H198" s="93" t="n">
        <v>0</v>
      </c>
      <c r="I198" s="93" t="n">
        <v>0</v>
      </c>
      <c r="J198" s="94">
        <f>D198*(1-C198)+G198*MIN(C198,0.2*(1-C198))+H198</f>
        <v/>
      </c>
      <c r="K198" s="94">
        <f>MIN(E198*(1-C198),Donnees_annuelles!G12)+G198*MIN(C198,0.2*(1-C198))</f>
        <v/>
      </c>
      <c r="L198" s="94">
        <f>I198*(1-C198)+MAX(0,E198*(1-C198)-Donnees_annuelles!G12)</f>
        <v/>
      </c>
      <c r="M198" s="89">
        <f>SUMIFS(Regimes!$G$5:$G$10,Regimes!$A$5:$A$10,A198)*(1-C198)/(1-0.23917)</f>
        <v/>
      </c>
      <c r="N198" s="14">
        <f>Donnees_annuelles!D12*J198</f>
        <v/>
      </c>
      <c r="O198" s="14">
        <f>Donnees_annuelles!D12*K198</f>
        <v/>
      </c>
      <c r="P198" s="14">
        <f>N198+O198</f>
        <v/>
      </c>
      <c r="Q198" s="14">
        <f>Donnees_annuelles!D12*L198</f>
        <v/>
      </c>
      <c r="R198" s="114">
        <f>P198/Donnees_annuelles!AA12*Donnees_annuelles!AI12/Donnees_annuelles!AG12</f>
        <v/>
      </c>
      <c r="S198" s="114">
        <f>P198/Donnees_annuelles!AA12*Donnees_annuelles!AJ12/Donnees_annuelles!AH12</f>
        <v/>
      </c>
    </row>
    <row r="199">
      <c r="A199" s="84" t="inlineStr">
        <is>
          <t>Fonction publique d'État</t>
        </is>
      </c>
      <c r="B199" s="88" t="n">
        <v>1955</v>
      </c>
      <c r="C199" s="93" t="n">
        <v>0.12</v>
      </c>
      <c r="D199" s="93" t="n">
        <v>0.06</v>
      </c>
      <c r="E199" s="93" t="n">
        <v>0.371</v>
      </c>
      <c r="F199" s="7" t="inlineStr">
        <is>
          <t>implicite estimé (analogie SNCF)</t>
        </is>
      </c>
      <c r="G199" s="93" t="n">
        <v>0</v>
      </c>
      <c r="H199" s="93" t="n">
        <v>0</v>
      </c>
      <c r="I199" s="93" t="n">
        <v>0</v>
      </c>
      <c r="J199" s="94">
        <f>D199*(1-C199)+G199*MIN(C199,0.2*(1-C199))+H199</f>
        <v/>
      </c>
      <c r="K199" s="94">
        <f>MIN(E199*(1-C199),Donnees_annuelles!G13)+G199*MIN(C199,0.2*(1-C199))</f>
        <v/>
      </c>
      <c r="L199" s="94">
        <f>I199*(1-C199)+MAX(0,E199*(1-C199)-Donnees_annuelles!G13)</f>
        <v/>
      </c>
      <c r="M199" s="89">
        <f>SUMIFS(Regimes!$G$5:$G$10,Regimes!$A$5:$A$10,A199)*(1-C199)/(1-0.23917)</f>
        <v/>
      </c>
      <c r="N199" s="14">
        <f>Donnees_annuelles!D13*J199</f>
        <v/>
      </c>
      <c r="O199" s="14">
        <f>Donnees_annuelles!D13*K199</f>
        <v/>
      </c>
      <c r="P199" s="14">
        <f>N199+O199</f>
        <v/>
      </c>
      <c r="Q199" s="14">
        <f>Donnees_annuelles!D13*L199</f>
        <v/>
      </c>
      <c r="R199" s="114">
        <f>P199/Donnees_annuelles!AA13*Donnees_annuelles!AI13/Donnees_annuelles!AG13</f>
        <v/>
      </c>
      <c r="S199" s="114">
        <f>P199/Donnees_annuelles!AA13*Donnees_annuelles!AJ13/Donnees_annuelles!AH13</f>
        <v/>
      </c>
    </row>
    <row r="200">
      <c r="A200" s="84" t="inlineStr">
        <is>
          <t>Fonction publique d'État</t>
        </is>
      </c>
      <c r="B200" s="88" t="n">
        <v>1956</v>
      </c>
      <c r="C200" s="93" t="n">
        <v>0.12</v>
      </c>
      <c r="D200" s="93" t="n">
        <v>0.06</v>
      </c>
      <c r="E200" s="93" t="n">
        <v>0.371</v>
      </c>
      <c r="F200" s="7" t="inlineStr">
        <is>
          <t>implicite estimé (analogie SNCF)</t>
        </is>
      </c>
      <c r="G200" s="93" t="n">
        <v>0</v>
      </c>
      <c r="H200" s="93" t="n">
        <v>0</v>
      </c>
      <c r="I200" s="93" t="n">
        <v>0</v>
      </c>
      <c r="J200" s="94">
        <f>D200*(1-C200)+G200*MIN(C200,0.2*(1-C200))+H200</f>
        <v/>
      </c>
      <c r="K200" s="94">
        <f>MIN(E200*(1-C200),Donnees_annuelles!G14)+G200*MIN(C200,0.2*(1-C200))</f>
        <v/>
      </c>
      <c r="L200" s="94">
        <f>I200*(1-C200)+MAX(0,E200*(1-C200)-Donnees_annuelles!G14)</f>
        <v/>
      </c>
      <c r="M200" s="89">
        <f>SUMIFS(Regimes!$G$5:$G$10,Regimes!$A$5:$A$10,A200)*(1-C200)/(1-0.23917)</f>
        <v/>
      </c>
      <c r="N200" s="14">
        <f>Donnees_annuelles!D14*J200</f>
        <v/>
      </c>
      <c r="O200" s="14">
        <f>Donnees_annuelles!D14*K200</f>
        <v/>
      </c>
      <c r="P200" s="14">
        <f>N200+O200</f>
        <v/>
      </c>
      <c r="Q200" s="14">
        <f>Donnees_annuelles!D14*L200</f>
        <v/>
      </c>
      <c r="R200" s="114">
        <f>P200/Donnees_annuelles!AA14*Donnees_annuelles!AI14/Donnees_annuelles!AG14</f>
        <v/>
      </c>
      <c r="S200" s="114">
        <f>P200/Donnees_annuelles!AA14*Donnees_annuelles!AJ14/Donnees_annuelles!AH14</f>
        <v/>
      </c>
    </row>
    <row r="201">
      <c r="A201" s="84" t="inlineStr">
        <is>
          <t>Fonction publique d'État</t>
        </is>
      </c>
      <c r="B201" s="88" t="n">
        <v>1957</v>
      </c>
      <c r="C201" s="93" t="n">
        <v>0.12</v>
      </c>
      <c r="D201" s="93" t="n">
        <v>0.06</v>
      </c>
      <c r="E201" s="93" t="n">
        <v>0.371</v>
      </c>
      <c r="F201" s="7" t="inlineStr">
        <is>
          <t>implicite estimé (analogie SNCF)</t>
        </is>
      </c>
      <c r="G201" s="93" t="n">
        <v>0</v>
      </c>
      <c r="H201" s="93" t="n">
        <v>0</v>
      </c>
      <c r="I201" s="93" t="n">
        <v>0</v>
      </c>
      <c r="J201" s="94">
        <f>D201*(1-C201)+G201*MIN(C201,0.2*(1-C201))+H201</f>
        <v/>
      </c>
      <c r="K201" s="94">
        <f>MIN(E201*(1-C201),Donnees_annuelles!G15)+G201*MIN(C201,0.2*(1-C201))</f>
        <v/>
      </c>
      <c r="L201" s="94">
        <f>I201*(1-C201)+MAX(0,E201*(1-C201)-Donnees_annuelles!G15)</f>
        <v/>
      </c>
      <c r="M201" s="89">
        <f>SUMIFS(Regimes!$G$5:$G$10,Regimes!$A$5:$A$10,A201)*(1-C201)/(1-0.23917)</f>
        <v/>
      </c>
      <c r="N201" s="14">
        <f>Donnees_annuelles!D15*J201</f>
        <v/>
      </c>
      <c r="O201" s="14">
        <f>Donnees_annuelles!D15*K201</f>
        <v/>
      </c>
      <c r="P201" s="14">
        <f>N201+O201</f>
        <v/>
      </c>
      <c r="Q201" s="14">
        <f>Donnees_annuelles!D15*L201</f>
        <v/>
      </c>
      <c r="R201" s="114">
        <f>P201/Donnees_annuelles!AA15*Donnees_annuelles!AI15/Donnees_annuelles!AG15</f>
        <v/>
      </c>
      <c r="S201" s="114">
        <f>P201/Donnees_annuelles!AA15*Donnees_annuelles!AJ15/Donnees_annuelles!AH15</f>
        <v/>
      </c>
    </row>
    <row r="202">
      <c r="A202" s="84" t="inlineStr">
        <is>
          <t>Fonction publique d'État</t>
        </is>
      </c>
      <c r="B202" s="88" t="n">
        <v>1958</v>
      </c>
      <c r="C202" s="93" t="n">
        <v>0.12</v>
      </c>
      <c r="D202" s="93" t="n">
        <v>0.06</v>
      </c>
      <c r="E202" s="93" t="n">
        <v>0.371</v>
      </c>
      <c r="F202" s="7" t="inlineStr">
        <is>
          <t>implicite estimé (analogie SNCF)</t>
        </is>
      </c>
      <c r="G202" s="93" t="n">
        <v>0</v>
      </c>
      <c r="H202" s="93" t="n">
        <v>0</v>
      </c>
      <c r="I202" s="93" t="n">
        <v>0</v>
      </c>
      <c r="J202" s="94">
        <f>D202*(1-C202)+G202*MIN(C202,0.2*(1-C202))+H202</f>
        <v/>
      </c>
      <c r="K202" s="94">
        <f>MIN(E202*(1-C202),Donnees_annuelles!G16)+G202*MIN(C202,0.2*(1-C202))</f>
        <v/>
      </c>
      <c r="L202" s="94">
        <f>I202*(1-C202)+MAX(0,E202*(1-C202)-Donnees_annuelles!G16)</f>
        <v/>
      </c>
      <c r="M202" s="89">
        <f>SUMIFS(Regimes!$G$5:$G$10,Regimes!$A$5:$A$10,A202)*(1-C202)/(1-0.23917)</f>
        <v/>
      </c>
      <c r="N202" s="14">
        <f>Donnees_annuelles!D16*J202</f>
        <v/>
      </c>
      <c r="O202" s="14">
        <f>Donnees_annuelles!D16*K202</f>
        <v/>
      </c>
      <c r="P202" s="14">
        <f>N202+O202</f>
        <v/>
      </c>
      <c r="Q202" s="14">
        <f>Donnees_annuelles!D16*L202</f>
        <v/>
      </c>
      <c r="R202" s="114">
        <f>P202/Donnees_annuelles!AA16*Donnees_annuelles!AI16/Donnees_annuelles!AG16</f>
        <v/>
      </c>
      <c r="S202" s="114">
        <f>P202/Donnees_annuelles!AA16*Donnees_annuelles!AJ16/Donnees_annuelles!AH16</f>
        <v/>
      </c>
    </row>
    <row r="203">
      <c r="A203" s="84" t="inlineStr">
        <is>
          <t>Fonction publique d'État</t>
        </is>
      </c>
      <c r="B203" s="88" t="n">
        <v>1959</v>
      </c>
      <c r="C203" s="93" t="n">
        <v>0.12</v>
      </c>
      <c r="D203" s="93" t="n">
        <v>0.06</v>
      </c>
      <c r="E203" s="93" t="n">
        <v>0.371</v>
      </c>
      <c r="F203" s="7" t="inlineStr">
        <is>
          <t>implicite estimé (analogie SNCF)</t>
        </is>
      </c>
      <c r="G203" s="93" t="n">
        <v>0</v>
      </c>
      <c r="H203" s="93" t="n">
        <v>0</v>
      </c>
      <c r="I203" s="93" t="n">
        <v>0</v>
      </c>
      <c r="J203" s="94">
        <f>D203*(1-C203)+G203*MIN(C203,0.2*(1-C203))+H203</f>
        <v/>
      </c>
      <c r="K203" s="94">
        <f>MIN(E203*(1-C203),Donnees_annuelles!G17)+G203*MIN(C203,0.2*(1-C203))</f>
        <v/>
      </c>
      <c r="L203" s="94">
        <f>I203*(1-C203)+MAX(0,E203*(1-C203)-Donnees_annuelles!G17)</f>
        <v/>
      </c>
      <c r="M203" s="89">
        <f>SUMIFS(Regimes!$G$5:$G$10,Regimes!$A$5:$A$10,A203)*(1-C203)/(1-0.23917)</f>
        <v/>
      </c>
      <c r="N203" s="14">
        <f>Donnees_annuelles!D17*J203</f>
        <v/>
      </c>
      <c r="O203" s="14">
        <f>Donnees_annuelles!D17*K203</f>
        <v/>
      </c>
      <c r="P203" s="14">
        <f>N203+O203</f>
        <v/>
      </c>
      <c r="Q203" s="14">
        <f>Donnees_annuelles!D17*L203</f>
        <v/>
      </c>
      <c r="R203" s="114">
        <f>P203/Donnees_annuelles!AA17*Donnees_annuelles!AI17/Donnees_annuelles!AG17</f>
        <v/>
      </c>
      <c r="S203" s="114">
        <f>P203/Donnees_annuelles!AA17*Donnees_annuelles!AJ17/Donnees_annuelles!AH17</f>
        <v/>
      </c>
    </row>
    <row r="204">
      <c r="A204" s="84" t="inlineStr">
        <is>
          <t>Fonction publique d'État</t>
        </is>
      </c>
      <c r="B204" s="88" t="n">
        <v>1960</v>
      </c>
      <c r="C204" s="93" t="n">
        <v>0.12</v>
      </c>
      <c r="D204" s="93" t="n">
        <v>0.06</v>
      </c>
      <c r="E204" s="93" t="n">
        <v>0.371</v>
      </c>
      <c r="F204" s="7" t="inlineStr">
        <is>
          <t>implicite estimé (analogie SNCF)</t>
        </is>
      </c>
      <c r="G204" s="93" t="n">
        <v>0</v>
      </c>
      <c r="H204" s="93" t="n">
        <v>0</v>
      </c>
      <c r="I204" s="93" t="n">
        <v>0</v>
      </c>
      <c r="J204" s="94">
        <f>D204*(1-C204)+G204*MIN(C204,0.2*(1-C204))+H204</f>
        <v/>
      </c>
      <c r="K204" s="94">
        <f>MIN(E204*(1-C204),Donnees_annuelles!G18)+G204*MIN(C204,0.2*(1-C204))</f>
        <v/>
      </c>
      <c r="L204" s="94">
        <f>I204*(1-C204)+MAX(0,E204*(1-C204)-Donnees_annuelles!G18)</f>
        <v/>
      </c>
      <c r="M204" s="89">
        <f>SUMIFS(Regimes!$G$5:$G$10,Regimes!$A$5:$A$10,A204)*(1-C204)/(1-0.23917)</f>
        <v/>
      </c>
      <c r="N204" s="14">
        <f>Donnees_annuelles!D18*J204</f>
        <v/>
      </c>
      <c r="O204" s="14">
        <f>Donnees_annuelles!D18*K204</f>
        <v/>
      </c>
      <c r="P204" s="14">
        <f>N204+O204</f>
        <v/>
      </c>
      <c r="Q204" s="14">
        <f>Donnees_annuelles!D18*L204</f>
        <v/>
      </c>
      <c r="R204" s="114">
        <f>P204/Donnees_annuelles!AA18*Donnees_annuelles!AI18/Donnees_annuelles!AG18</f>
        <v/>
      </c>
      <c r="S204" s="114">
        <f>P204/Donnees_annuelles!AA18*Donnees_annuelles!AJ18/Donnees_annuelles!AH18</f>
        <v/>
      </c>
    </row>
    <row r="205">
      <c r="A205" s="84" t="inlineStr">
        <is>
          <t>Fonction publique d'État</t>
        </is>
      </c>
      <c r="B205" s="88" t="n">
        <v>1961</v>
      </c>
      <c r="C205" s="93" t="n">
        <v>0.12</v>
      </c>
      <c r="D205" s="93" t="n">
        <v>0.06</v>
      </c>
      <c r="E205" s="93" t="n">
        <v>0.371</v>
      </c>
      <c r="F205" s="7" t="inlineStr">
        <is>
          <t>implicite estimé (analogie SNCF)</t>
        </is>
      </c>
      <c r="G205" s="93" t="n">
        <v>0</v>
      </c>
      <c r="H205" s="93" t="n">
        <v>0</v>
      </c>
      <c r="I205" s="93" t="n">
        <v>0</v>
      </c>
      <c r="J205" s="94">
        <f>D205*(1-C205)+G205*MIN(C205,0.2*(1-C205))+H205</f>
        <v/>
      </c>
      <c r="K205" s="94">
        <f>MIN(E205*(1-C205),Donnees_annuelles!G19)+G205*MIN(C205,0.2*(1-C205))</f>
        <v/>
      </c>
      <c r="L205" s="94">
        <f>I205*(1-C205)+MAX(0,E205*(1-C205)-Donnees_annuelles!G19)</f>
        <v/>
      </c>
      <c r="M205" s="89">
        <f>SUMIFS(Regimes!$G$5:$G$10,Regimes!$A$5:$A$10,A205)*(1-C205)/(1-0.23917)</f>
        <v/>
      </c>
      <c r="N205" s="14">
        <f>Donnees_annuelles!D19*J205</f>
        <v/>
      </c>
      <c r="O205" s="14">
        <f>Donnees_annuelles!D19*K205</f>
        <v/>
      </c>
      <c r="P205" s="14">
        <f>N205+O205</f>
        <v/>
      </c>
      <c r="Q205" s="14">
        <f>Donnees_annuelles!D19*L205</f>
        <v/>
      </c>
      <c r="R205" s="114">
        <f>P205/Donnees_annuelles!AA19*Donnees_annuelles!AI19/Donnees_annuelles!AG19</f>
        <v/>
      </c>
      <c r="S205" s="114">
        <f>P205/Donnees_annuelles!AA19*Donnees_annuelles!AJ19/Donnees_annuelles!AH19</f>
        <v/>
      </c>
    </row>
    <row r="206">
      <c r="A206" s="84" t="inlineStr">
        <is>
          <t>Fonction publique d'État</t>
        </is>
      </c>
      <c r="B206" s="88" t="n">
        <v>1962</v>
      </c>
      <c r="C206" s="93" t="n">
        <v>0.12</v>
      </c>
      <c r="D206" s="93" t="n">
        <v>0.06</v>
      </c>
      <c r="E206" s="93" t="n">
        <v>0.371</v>
      </c>
      <c r="F206" s="7" t="inlineStr">
        <is>
          <t>implicite estimé (analogie SNCF)</t>
        </is>
      </c>
      <c r="G206" s="93" t="n">
        <v>0</v>
      </c>
      <c r="H206" s="93" t="n">
        <v>0</v>
      </c>
      <c r="I206" s="93" t="n">
        <v>0</v>
      </c>
      <c r="J206" s="94">
        <f>D206*(1-C206)+G206*MIN(C206,0.2*(1-C206))+H206</f>
        <v/>
      </c>
      <c r="K206" s="94">
        <f>MIN(E206*(1-C206),Donnees_annuelles!G20)+G206*MIN(C206,0.2*(1-C206))</f>
        <v/>
      </c>
      <c r="L206" s="94">
        <f>I206*(1-C206)+MAX(0,E206*(1-C206)-Donnees_annuelles!G20)</f>
        <v/>
      </c>
      <c r="M206" s="89">
        <f>SUMIFS(Regimes!$G$5:$G$10,Regimes!$A$5:$A$10,A206)*(1-C206)/(1-0.23917)</f>
        <v/>
      </c>
      <c r="N206" s="14">
        <f>Donnees_annuelles!D20*J206</f>
        <v/>
      </c>
      <c r="O206" s="14">
        <f>Donnees_annuelles!D20*K206</f>
        <v/>
      </c>
      <c r="P206" s="14">
        <f>N206+O206</f>
        <v/>
      </c>
      <c r="Q206" s="14">
        <f>Donnees_annuelles!D20*L206</f>
        <v/>
      </c>
      <c r="R206" s="114">
        <f>P206/Donnees_annuelles!AA20*Donnees_annuelles!AI20/Donnees_annuelles!AG20</f>
        <v/>
      </c>
      <c r="S206" s="114">
        <f>P206/Donnees_annuelles!AA20*Donnees_annuelles!AJ20/Donnees_annuelles!AH20</f>
        <v/>
      </c>
    </row>
    <row r="207">
      <c r="A207" s="84" t="inlineStr">
        <is>
          <t>Fonction publique d'État</t>
        </is>
      </c>
      <c r="B207" s="88" t="n">
        <v>1963</v>
      </c>
      <c r="C207" s="93" t="n">
        <v>0.12</v>
      </c>
      <c r="D207" s="93" t="n">
        <v>0.06</v>
      </c>
      <c r="E207" s="93" t="n">
        <v>0.371</v>
      </c>
      <c r="F207" s="7" t="inlineStr">
        <is>
          <t>implicite estimé (analogie SNCF)</t>
        </is>
      </c>
      <c r="G207" s="93" t="n">
        <v>0</v>
      </c>
      <c r="H207" s="93" t="n">
        <v>0</v>
      </c>
      <c r="I207" s="93" t="n">
        <v>0</v>
      </c>
      <c r="J207" s="94">
        <f>D207*(1-C207)+G207*MIN(C207,0.2*(1-C207))+H207</f>
        <v/>
      </c>
      <c r="K207" s="94">
        <f>MIN(E207*(1-C207),Donnees_annuelles!G21)+G207*MIN(C207,0.2*(1-C207))</f>
        <v/>
      </c>
      <c r="L207" s="94">
        <f>I207*(1-C207)+MAX(0,E207*(1-C207)-Donnees_annuelles!G21)</f>
        <v/>
      </c>
      <c r="M207" s="89">
        <f>SUMIFS(Regimes!$G$5:$G$10,Regimes!$A$5:$A$10,A207)*(1-C207)/(1-0.23917)</f>
        <v/>
      </c>
      <c r="N207" s="14">
        <f>Donnees_annuelles!D21*J207</f>
        <v/>
      </c>
      <c r="O207" s="14">
        <f>Donnees_annuelles!D21*K207</f>
        <v/>
      </c>
      <c r="P207" s="14">
        <f>N207+O207</f>
        <v/>
      </c>
      <c r="Q207" s="14">
        <f>Donnees_annuelles!D21*L207</f>
        <v/>
      </c>
      <c r="R207" s="114">
        <f>P207/Donnees_annuelles!AA21*Donnees_annuelles!AI21/Donnees_annuelles!AG21</f>
        <v/>
      </c>
      <c r="S207" s="114">
        <f>P207/Donnees_annuelles!AA21*Donnees_annuelles!AJ21/Donnees_annuelles!AH21</f>
        <v/>
      </c>
    </row>
    <row r="208">
      <c r="A208" s="84" t="inlineStr">
        <is>
          <t>Fonction publique d'État</t>
        </is>
      </c>
      <c r="B208" s="88" t="n">
        <v>1964</v>
      </c>
      <c r="C208" s="93" t="n">
        <v>0.12</v>
      </c>
      <c r="D208" s="93" t="n">
        <v>0.06</v>
      </c>
      <c r="E208" s="93" t="n">
        <v>0.371</v>
      </c>
      <c r="F208" s="7" t="inlineStr">
        <is>
          <t>implicite estimé (analogie SNCF)</t>
        </is>
      </c>
      <c r="G208" s="93" t="n">
        <v>0</v>
      </c>
      <c r="H208" s="93" t="n">
        <v>0</v>
      </c>
      <c r="I208" s="93" t="n">
        <v>0</v>
      </c>
      <c r="J208" s="94">
        <f>D208*(1-C208)+G208*MIN(C208,0.2*(1-C208))+H208</f>
        <v/>
      </c>
      <c r="K208" s="94">
        <f>MIN(E208*(1-C208),Donnees_annuelles!G22)+G208*MIN(C208,0.2*(1-C208))</f>
        <v/>
      </c>
      <c r="L208" s="94">
        <f>I208*(1-C208)+MAX(0,E208*(1-C208)-Donnees_annuelles!G22)</f>
        <v/>
      </c>
      <c r="M208" s="89">
        <f>SUMIFS(Regimes!$G$5:$G$10,Regimes!$A$5:$A$10,A208)*(1-C208)/(1-0.23917)</f>
        <v/>
      </c>
      <c r="N208" s="14">
        <f>Donnees_annuelles!D22*J208</f>
        <v/>
      </c>
      <c r="O208" s="14">
        <f>Donnees_annuelles!D22*K208</f>
        <v/>
      </c>
      <c r="P208" s="14">
        <f>N208+O208</f>
        <v/>
      </c>
      <c r="Q208" s="14">
        <f>Donnees_annuelles!D22*L208</f>
        <v/>
      </c>
      <c r="R208" s="114">
        <f>P208/Donnees_annuelles!AA22*Donnees_annuelles!AI22/Donnees_annuelles!AG22</f>
        <v/>
      </c>
      <c r="S208" s="114">
        <f>P208/Donnees_annuelles!AA22*Donnees_annuelles!AJ22/Donnees_annuelles!AH22</f>
        <v/>
      </c>
    </row>
    <row r="209">
      <c r="A209" s="84" t="inlineStr">
        <is>
          <t>Fonction publique d'État</t>
        </is>
      </c>
      <c r="B209" s="88" t="n">
        <v>1965</v>
      </c>
      <c r="C209" s="93" t="n">
        <v>0.12</v>
      </c>
      <c r="D209" s="93" t="n">
        <v>0.06</v>
      </c>
      <c r="E209" s="93" t="n">
        <v>0.371</v>
      </c>
      <c r="F209" s="7" t="inlineStr">
        <is>
          <t>implicite estimé (analogie SNCF)</t>
        </is>
      </c>
      <c r="G209" s="93" t="n">
        <v>0</v>
      </c>
      <c r="H209" s="93" t="n">
        <v>0</v>
      </c>
      <c r="I209" s="93" t="n">
        <v>0</v>
      </c>
      <c r="J209" s="94">
        <f>D209*(1-C209)+G209*MIN(C209,0.2*(1-C209))+H209</f>
        <v/>
      </c>
      <c r="K209" s="94">
        <f>MIN(E209*(1-C209),Donnees_annuelles!G23)+G209*MIN(C209,0.2*(1-C209))</f>
        <v/>
      </c>
      <c r="L209" s="94">
        <f>I209*(1-C209)+MAX(0,E209*(1-C209)-Donnees_annuelles!G23)</f>
        <v/>
      </c>
      <c r="M209" s="89">
        <f>SUMIFS(Regimes!$G$5:$G$10,Regimes!$A$5:$A$10,A209)*(1-C209)/(1-0.23917)</f>
        <v/>
      </c>
      <c r="N209" s="14">
        <f>Donnees_annuelles!D23*J209</f>
        <v/>
      </c>
      <c r="O209" s="14">
        <f>Donnees_annuelles!D23*K209</f>
        <v/>
      </c>
      <c r="P209" s="14">
        <f>N209+O209</f>
        <v/>
      </c>
      <c r="Q209" s="14">
        <f>Donnees_annuelles!D23*L209</f>
        <v/>
      </c>
      <c r="R209" s="114">
        <f>P209/Donnees_annuelles!AA23*Donnees_annuelles!AI23/Donnees_annuelles!AG23</f>
        <v/>
      </c>
      <c r="S209" s="114">
        <f>P209/Donnees_annuelles!AA23*Donnees_annuelles!AJ23/Donnees_annuelles!AH23</f>
        <v/>
      </c>
    </row>
    <row r="210">
      <c r="A210" s="84" t="inlineStr">
        <is>
          <t>Fonction publique d'État</t>
        </is>
      </c>
      <c r="B210" s="88" t="n">
        <v>1966</v>
      </c>
      <c r="C210" s="93" t="n">
        <v>0.12</v>
      </c>
      <c r="D210" s="93" t="n">
        <v>0.06</v>
      </c>
      <c r="E210" s="93" t="n">
        <v>0.371</v>
      </c>
      <c r="F210" s="7" t="inlineStr">
        <is>
          <t>implicite estimé (analogie SNCF)</t>
        </is>
      </c>
      <c r="G210" s="93" t="n">
        <v>0</v>
      </c>
      <c r="H210" s="93" t="n">
        <v>0</v>
      </c>
      <c r="I210" s="93" t="n">
        <v>0</v>
      </c>
      <c r="J210" s="94">
        <f>D210*(1-C210)+G210*MIN(C210,0.2*(1-C210))+H210</f>
        <v/>
      </c>
      <c r="K210" s="94">
        <f>MIN(E210*(1-C210),Donnees_annuelles!G24)+G210*MIN(C210,0.2*(1-C210))</f>
        <v/>
      </c>
      <c r="L210" s="94">
        <f>I210*(1-C210)+MAX(0,E210*(1-C210)-Donnees_annuelles!G24)</f>
        <v/>
      </c>
      <c r="M210" s="89">
        <f>SUMIFS(Regimes!$G$5:$G$10,Regimes!$A$5:$A$10,A210)*(1-C210)/(1-0.23917)</f>
        <v/>
      </c>
      <c r="N210" s="14">
        <f>Donnees_annuelles!D24*J210</f>
        <v/>
      </c>
      <c r="O210" s="14">
        <f>Donnees_annuelles!D24*K210</f>
        <v/>
      </c>
      <c r="P210" s="14">
        <f>N210+O210</f>
        <v/>
      </c>
      <c r="Q210" s="14">
        <f>Donnees_annuelles!D24*L210</f>
        <v/>
      </c>
      <c r="R210" s="114">
        <f>P210/Donnees_annuelles!AA24*Donnees_annuelles!AI24/Donnees_annuelles!AG24</f>
        <v/>
      </c>
      <c r="S210" s="114">
        <f>P210/Donnees_annuelles!AA24*Donnees_annuelles!AJ24/Donnees_annuelles!AH24</f>
        <v/>
      </c>
    </row>
    <row r="211">
      <c r="A211" s="84" t="inlineStr">
        <is>
          <t>Fonction publique d'État</t>
        </is>
      </c>
      <c r="B211" s="88" t="n">
        <v>1967</v>
      </c>
      <c r="C211" s="93" t="n">
        <v>0.12</v>
      </c>
      <c r="D211" s="93" t="n">
        <v>0.06</v>
      </c>
      <c r="E211" s="93" t="n">
        <v>0.371</v>
      </c>
      <c r="F211" s="7" t="inlineStr">
        <is>
          <t>implicite estimé (analogie SNCF)</t>
        </is>
      </c>
      <c r="G211" s="93" t="n">
        <v>0</v>
      </c>
      <c r="H211" s="93" t="n">
        <v>0</v>
      </c>
      <c r="I211" s="93" t="n">
        <v>0</v>
      </c>
      <c r="J211" s="94">
        <f>D211*(1-C211)+G211*MIN(C211,0.2*(1-C211))+H211</f>
        <v/>
      </c>
      <c r="K211" s="94">
        <f>MIN(E211*(1-C211),Donnees_annuelles!G25)+G211*MIN(C211,0.2*(1-C211))</f>
        <v/>
      </c>
      <c r="L211" s="94">
        <f>I211*(1-C211)+MAX(0,E211*(1-C211)-Donnees_annuelles!G25)</f>
        <v/>
      </c>
      <c r="M211" s="89">
        <f>SUMIFS(Regimes!$G$5:$G$10,Regimes!$A$5:$A$10,A211)*(1-C211)/(1-0.23917)</f>
        <v/>
      </c>
      <c r="N211" s="14">
        <f>Donnees_annuelles!D25*J211</f>
        <v/>
      </c>
      <c r="O211" s="14">
        <f>Donnees_annuelles!D25*K211</f>
        <v/>
      </c>
      <c r="P211" s="14">
        <f>N211+O211</f>
        <v/>
      </c>
      <c r="Q211" s="14">
        <f>Donnees_annuelles!D25*L211</f>
        <v/>
      </c>
      <c r="R211" s="114">
        <f>P211/Donnees_annuelles!AA25*Donnees_annuelles!AI25/Donnees_annuelles!AG25</f>
        <v/>
      </c>
      <c r="S211" s="114">
        <f>P211/Donnees_annuelles!AA25*Donnees_annuelles!AJ25/Donnees_annuelles!AH25</f>
        <v/>
      </c>
    </row>
    <row r="212">
      <c r="A212" s="84" t="inlineStr">
        <is>
          <t>Fonction publique d'État</t>
        </is>
      </c>
      <c r="B212" s="88" t="n">
        <v>1968</v>
      </c>
      <c r="C212" s="93" t="n">
        <v>0.12</v>
      </c>
      <c r="D212" s="93" t="n">
        <v>0.06</v>
      </c>
      <c r="E212" s="93" t="n">
        <v>0.371</v>
      </c>
      <c r="F212" s="7" t="inlineStr">
        <is>
          <t>implicite estimé (analogie SNCF)</t>
        </is>
      </c>
      <c r="G212" s="93" t="n">
        <v>0</v>
      </c>
      <c r="H212" s="93" t="n">
        <v>0</v>
      </c>
      <c r="I212" s="93" t="n">
        <v>0</v>
      </c>
      <c r="J212" s="94">
        <f>D212*(1-C212)+G212*MIN(C212,0.2*(1-C212))+H212</f>
        <v/>
      </c>
      <c r="K212" s="94">
        <f>MIN(E212*(1-C212),Donnees_annuelles!G26)+G212*MIN(C212,0.2*(1-C212))</f>
        <v/>
      </c>
      <c r="L212" s="94">
        <f>I212*(1-C212)+MAX(0,E212*(1-C212)-Donnees_annuelles!G26)</f>
        <v/>
      </c>
      <c r="M212" s="89">
        <f>SUMIFS(Regimes!$G$5:$G$10,Regimes!$A$5:$A$10,A212)*(1-C212)/(1-0.23917)</f>
        <v/>
      </c>
      <c r="N212" s="14">
        <f>Donnees_annuelles!D26*J212</f>
        <v/>
      </c>
      <c r="O212" s="14">
        <f>Donnees_annuelles!D26*K212</f>
        <v/>
      </c>
      <c r="P212" s="14">
        <f>N212+O212</f>
        <v/>
      </c>
      <c r="Q212" s="14">
        <f>Donnees_annuelles!D26*L212</f>
        <v/>
      </c>
      <c r="R212" s="114">
        <f>P212/Donnees_annuelles!AA26*Donnees_annuelles!AI26/Donnees_annuelles!AG26</f>
        <v/>
      </c>
      <c r="S212" s="114">
        <f>P212/Donnees_annuelles!AA26*Donnees_annuelles!AJ26/Donnees_annuelles!AH26</f>
        <v/>
      </c>
    </row>
    <row r="213">
      <c r="A213" s="84" t="inlineStr">
        <is>
          <t>Fonction publique d'État</t>
        </is>
      </c>
      <c r="B213" s="88" t="n">
        <v>1969</v>
      </c>
      <c r="C213" s="93" t="n">
        <v>0.12</v>
      </c>
      <c r="D213" s="93" t="n">
        <v>0.06</v>
      </c>
      <c r="E213" s="93" t="n">
        <v>0.371</v>
      </c>
      <c r="F213" s="7" t="inlineStr">
        <is>
          <t>implicite estimé (analogie SNCF)</t>
        </is>
      </c>
      <c r="G213" s="93" t="n">
        <v>0</v>
      </c>
      <c r="H213" s="93" t="n">
        <v>0</v>
      </c>
      <c r="I213" s="93" t="n">
        <v>0</v>
      </c>
      <c r="J213" s="94">
        <f>D213*(1-C213)+G213*MIN(C213,0.2*(1-C213))+H213</f>
        <v/>
      </c>
      <c r="K213" s="94">
        <f>MIN(E213*(1-C213),Donnees_annuelles!G27)+G213*MIN(C213,0.2*(1-C213))</f>
        <v/>
      </c>
      <c r="L213" s="94">
        <f>I213*(1-C213)+MAX(0,E213*(1-C213)-Donnees_annuelles!G27)</f>
        <v/>
      </c>
      <c r="M213" s="89">
        <f>SUMIFS(Regimes!$G$5:$G$10,Regimes!$A$5:$A$10,A213)*(1-C213)/(1-0.23917)</f>
        <v/>
      </c>
      <c r="N213" s="14">
        <f>Donnees_annuelles!D27*J213</f>
        <v/>
      </c>
      <c r="O213" s="14">
        <f>Donnees_annuelles!D27*K213</f>
        <v/>
      </c>
      <c r="P213" s="14">
        <f>N213+O213</f>
        <v/>
      </c>
      <c r="Q213" s="14">
        <f>Donnees_annuelles!D27*L213</f>
        <v/>
      </c>
      <c r="R213" s="114">
        <f>P213/Donnees_annuelles!AA27*Donnees_annuelles!AI27/Donnees_annuelles!AG27</f>
        <v/>
      </c>
      <c r="S213" s="114">
        <f>P213/Donnees_annuelles!AA27*Donnees_annuelles!AJ27/Donnees_annuelles!AH27</f>
        <v/>
      </c>
    </row>
    <row r="214">
      <c r="A214" s="84" t="inlineStr">
        <is>
          <t>Fonction publique d'État</t>
        </is>
      </c>
      <c r="B214" s="88" t="n">
        <v>1970</v>
      </c>
      <c r="C214" s="93" t="n">
        <v>0.12</v>
      </c>
      <c r="D214" s="93" t="n">
        <v>0.06</v>
      </c>
      <c r="E214" s="93" t="n">
        <v>0.371</v>
      </c>
      <c r="F214" s="7" t="inlineStr">
        <is>
          <t>implicite estimé (interpolation 1970-1995)</t>
        </is>
      </c>
      <c r="G214" s="93" t="n">
        <v>0</v>
      </c>
      <c r="H214" s="93" t="n">
        <v>0</v>
      </c>
      <c r="I214" s="93" t="n">
        <v>0</v>
      </c>
      <c r="J214" s="94">
        <f>D214*(1-C214)+G214*MIN(C214,0.2*(1-C214))+H214</f>
        <v/>
      </c>
      <c r="K214" s="94">
        <f>MIN(E214*(1-C214),Donnees_annuelles!G28)+G214*MIN(C214,0.2*(1-C214))</f>
        <v/>
      </c>
      <c r="L214" s="94">
        <f>I214*(1-C214)+MAX(0,E214*(1-C214)-Donnees_annuelles!G28)</f>
        <v/>
      </c>
      <c r="M214" s="89">
        <f>SUMIFS(Regimes!$G$5:$G$10,Regimes!$A$5:$A$10,A214)*(1-C214)/(1-0.23917)</f>
        <v/>
      </c>
      <c r="N214" s="14">
        <f>Donnees_annuelles!D28*J214</f>
        <v/>
      </c>
      <c r="O214" s="14">
        <f>Donnees_annuelles!D28*K214</f>
        <v/>
      </c>
      <c r="P214" s="14">
        <f>N214+O214</f>
        <v/>
      </c>
      <c r="Q214" s="14">
        <f>Donnees_annuelles!D28*L214</f>
        <v/>
      </c>
      <c r="R214" s="114">
        <f>P214/Donnees_annuelles!AA28*Donnees_annuelles!AI28/Donnees_annuelles!AG28</f>
        <v/>
      </c>
      <c r="S214" s="114">
        <f>P214/Donnees_annuelles!AA28*Donnees_annuelles!AJ28/Donnees_annuelles!AH28</f>
        <v/>
      </c>
    </row>
    <row r="215">
      <c r="A215" s="84" t="inlineStr">
        <is>
          <t>Fonction publique d'État</t>
        </is>
      </c>
      <c r="B215" s="88" t="n">
        <v>1971</v>
      </c>
      <c r="C215" s="93" t="n">
        <v>0.12</v>
      </c>
      <c r="D215" s="93" t="n">
        <v>0.06</v>
      </c>
      <c r="E215" s="93" t="n">
        <v>0.3756</v>
      </c>
      <c r="F215" s="7" t="inlineStr">
        <is>
          <t>implicite estimé (interpolation 1970-1995)</t>
        </is>
      </c>
      <c r="G215" s="93" t="n">
        <v>0</v>
      </c>
      <c r="H215" s="93" t="n">
        <v>0</v>
      </c>
      <c r="I215" s="93" t="n">
        <v>0</v>
      </c>
      <c r="J215" s="94">
        <f>D215*(1-C215)+G215*MIN(C215,0.2*(1-C215))+H215</f>
        <v/>
      </c>
      <c r="K215" s="94">
        <f>MIN(E215*(1-C215),Donnees_annuelles!G29)+G215*MIN(C215,0.2*(1-C215))</f>
        <v/>
      </c>
      <c r="L215" s="94">
        <f>I215*(1-C215)+MAX(0,E215*(1-C215)-Donnees_annuelles!G29)</f>
        <v/>
      </c>
      <c r="M215" s="89">
        <f>SUMIFS(Regimes!$G$5:$G$10,Regimes!$A$5:$A$10,A215)*(1-C215)/(1-0.23917)</f>
        <v/>
      </c>
      <c r="N215" s="14">
        <f>Donnees_annuelles!D29*J215</f>
        <v/>
      </c>
      <c r="O215" s="14">
        <f>Donnees_annuelles!D29*K215</f>
        <v/>
      </c>
      <c r="P215" s="14">
        <f>N215+O215</f>
        <v/>
      </c>
      <c r="Q215" s="14">
        <f>Donnees_annuelles!D29*L215</f>
        <v/>
      </c>
      <c r="R215" s="114">
        <f>P215/Donnees_annuelles!AA29*Donnees_annuelles!AI29/Donnees_annuelles!AG29</f>
        <v/>
      </c>
      <c r="S215" s="114">
        <f>P215/Donnees_annuelles!AA29*Donnees_annuelles!AJ29/Donnees_annuelles!AH29</f>
        <v/>
      </c>
    </row>
    <row r="216">
      <c r="A216" s="84" t="inlineStr">
        <is>
          <t>Fonction publique d'État</t>
        </is>
      </c>
      <c r="B216" s="88" t="n">
        <v>1972</v>
      </c>
      <c r="C216" s="93" t="n">
        <v>0.12</v>
      </c>
      <c r="D216" s="93" t="n">
        <v>0.06</v>
      </c>
      <c r="E216" s="93" t="n">
        <v>0.3802</v>
      </c>
      <c r="F216" s="7" t="inlineStr">
        <is>
          <t>implicite estimé (interpolation 1970-1995)</t>
        </is>
      </c>
      <c r="G216" s="93" t="n">
        <v>0</v>
      </c>
      <c r="H216" s="93" t="n">
        <v>0</v>
      </c>
      <c r="I216" s="93" t="n">
        <v>0</v>
      </c>
      <c r="J216" s="94">
        <f>D216*(1-C216)+G216*MIN(C216,0.2*(1-C216))+H216</f>
        <v/>
      </c>
      <c r="K216" s="94">
        <f>MIN(E216*(1-C216),Donnees_annuelles!G30)+G216*MIN(C216,0.2*(1-C216))</f>
        <v/>
      </c>
      <c r="L216" s="94">
        <f>I216*(1-C216)+MAX(0,E216*(1-C216)-Donnees_annuelles!G30)</f>
        <v/>
      </c>
      <c r="M216" s="89">
        <f>SUMIFS(Regimes!$G$5:$G$10,Regimes!$A$5:$A$10,A216)*(1-C216)/(1-0.23917)</f>
        <v/>
      </c>
      <c r="N216" s="14">
        <f>Donnees_annuelles!D30*J216</f>
        <v/>
      </c>
      <c r="O216" s="14">
        <f>Donnees_annuelles!D30*K216</f>
        <v/>
      </c>
      <c r="P216" s="14">
        <f>N216+O216</f>
        <v/>
      </c>
      <c r="Q216" s="14">
        <f>Donnees_annuelles!D30*L216</f>
        <v/>
      </c>
      <c r="R216" s="114">
        <f>P216/Donnees_annuelles!AA30*Donnees_annuelles!AI30/Donnees_annuelles!AG30</f>
        <v/>
      </c>
      <c r="S216" s="114">
        <f>P216/Donnees_annuelles!AA30*Donnees_annuelles!AJ30/Donnees_annuelles!AH30</f>
        <v/>
      </c>
    </row>
    <row r="217">
      <c r="A217" s="84" t="inlineStr">
        <is>
          <t>Fonction publique d'État</t>
        </is>
      </c>
      <c r="B217" s="88" t="n">
        <v>1973</v>
      </c>
      <c r="C217" s="93" t="n">
        <v>0.12</v>
      </c>
      <c r="D217" s="93" t="n">
        <v>0.06</v>
      </c>
      <c r="E217" s="93" t="n">
        <v>0.3848</v>
      </c>
      <c r="F217" s="7" t="inlineStr">
        <is>
          <t>implicite estimé (interpolation 1970-1995)</t>
        </is>
      </c>
      <c r="G217" s="93" t="n">
        <v>0</v>
      </c>
      <c r="H217" s="93" t="n">
        <v>0</v>
      </c>
      <c r="I217" s="93" t="n">
        <v>0</v>
      </c>
      <c r="J217" s="94">
        <f>D217*(1-C217)+G217*MIN(C217,0.2*(1-C217))+H217</f>
        <v/>
      </c>
      <c r="K217" s="94">
        <f>MIN(E217*(1-C217),Donnees_annuelles!G31)+G217*MIN(C217,0.2*(1-C217))</f>
        <v/>
      </c>
      <c r="L217" s="94">
        <f>I217*(1-C217)+MAX(0,E217*(1-C217)-Donnees_annuelles!G31)</f>
        <v/>
      </c>
      <c r="M217" s="89">
        <f>SUMIFS(Regimes!$G$5:$G$10,Regimes!$A$5:$A$10,A217)*(1-C217)/(1-0.23917)</f>
        <v/>
      </c>
      <c r="N217" s="14">
        <f>Donnees_annuelles!D31*J217</f>
        <v/>
      </c>
      <c r="O217" s="14">
        <f>Donnees_annuelles!D31*K217</f>
        <v/>
      </c>
      <c r="P217" s="14">
        <f>N217+O217</f>
        <v/>
      </c>
      <c r="Q217" s="14">
        <f>Donnees_annuelles!D31*L217</f>
        <v/>
      </c>
      <c r="R217" s="114">
        <f>P217/Donnees_annuelles!AA31*Donnees_annuelles!AI31/Donnees_annuelles!AG31</f>
        <v/>
      </c>
      <c r="S217" s="114">
        <f>P217/Donnees_annuelles!AA31*Donnees_annuelles!AJ31/Donnees_annuelles!AH31</f>
        <v/>
      </c>
    </row>
    <row r="218">
      <c r="A218" s="84" t="inlineStr">
        <is>
          <t>Fonction publique d'État</t>
        </is>
      </c>
      <c r="B218" s="88" t="n">
        <v>1974</v>
      </c>
      <c r="C218" s="93" t="n">
        <v>0.12</v>
      </c>
      <c r="D218" s="93" t="n">
        <v>0.06</v>
      </c>
      <c r="E218" s="93" t="n">
        <v>0.3894</v>
      </c>
      <c r="F218" s="7" t="inlineStr">
        <is>
          <t>implicite estimé (interpolation 1970-1995)</t>
        </is>
      </c>
      <c r="G218" s="93" t="n">
        <v>0</v>
      </c>
      <c r="H218" s="93" t="n">
        <v>0</v>
      </c>
      <c r="I218" s="93" t="n">
        <v>0</v>
      </c>
      <c r="J218" s="94">
        <f>D218*(1-C218)+G218*MIN(C218,0.2*(1-C218))+H218</f>
        <v/>
      </c>
      <c r="K218" s="94">
        <f>MIN(E218*(1-C218),Donnees_annuelles!G32)+G218*MIN(C218,0.2*(1-C218))</f>
        <v/>
      </c>
      <c r="L218" s="94">
        <f>I218*(1-C218)+MAX(0,E218*(1-C218)-Donnees_annuelles!G32)</f>
        <v/>
      </c>
      <c r="M218" s="89">
        <f>SUMIFS(Regimes!$G$5:$G$10,Regimes!$A$5:$A$10,A218)*(1-C218)/(1-0.23917)</f>
        <v/>
      </c>
      <c r="N218" s="14">
        <f>Donnees_annuelles!D32*J218</f>
        <v/>
      </c>
      <c r="O218" s="14">
        <f>Donnees_annuelles!D32*K218</f>
        <v/>
      </c>
      <c r="P218" s="14">
        <f>N218+O218</f>
        <v/>
      </c>
      <c r="Q218" s="14">
        <f>Donnees_annuelles!D32*L218</f>
        <v/>
      </c>
      <c r="R218" s="114">
        <f>P218/Donnees_annuelles!AA32*Donnees_annuelles!AI32/Donnees_annuelles!AG32</f>
        <v/>
      </c>
      <c r="S218" s="114">
        <f>P218/Donnees_annuelles!AA32*Donnees_annuelles!AJ32/Donnees_annuelles!AH32</f>
        <v/>
      </c>
    </row>
    <row r="219">
      <c r="A219" s="84" t="inlineStr">
        <is>
          <t>Fonction publique d'État</t>
        </is>
      </c>
      <c r="B219" s="88" t="n">
        <v>1975</v>
      </c>
      <c r="C219" s="93" t="n">
        <v>0.12</v>
      </c>
      <c r="D219" s="93" t="n">
        <v>0.06</v>
      </c>
      <c r="E219" s="93" t="n">
        <v>0.394</v>
      </c>
      <c r="F219" s="7" t="inlineStr">
        <is>
          <t>implicite estimé (interpolation 1970-1995)</t>
        </is>
      </c>
      <c r="G219" s="93" t="n">
        <v>0</v>
      </c>
      <c r="H219" s="93" t="n">
        <v>0</v>
      </c>
      <c r="I219" s="93" t="n">
        <v>0</v>
      </c>
      <c r="J219" s="94">
        <f>D219*(1-C219)+G219*MIN(C219,0.2*(1-C219))+H219</f>
        <v/>
      </c>
      <c r="K219" s="94">
        <f>MIN(E219*(1-C219),Donnees_annuelles!G33)+G219*MIN(C219,0.2*(1-C219))</f>
        <v/>
      </c>
      <c r="L219" s="94">
        <f>I219*(1-C219)+MAX(0,E219*(1-C219)-Donnees_annuelles!G33)</f>
        <v/>
      </c>
      <c r="M219" s="89">
        <f>SUMIFS(Regimes!$G$5:$G$10,Regimes!$A$5:$A$10,A219)*(1-C219)/(1-0.23917)</f>
        <v/>
      </c>
      <c r="N219" s="14">
        <f>Donnees_annuelles!D33*J219</f>
        <v/>
      </c>
      <c r="O219" s="14">
        <f>Donnees_annuelles!D33*K219</f>
        <v/>
      </c>
      <c r="P219" s="14">
        <f>N219+O219</f>
        <v/>
      </c>
      <c r="Q219" s="14">
        <f>Donnees_annuelles!D33*L219</f>
        <v/>
      </c>
      <c r="R219" s="114">
        <f>P219/Donnees_annuelles!AA33*Donnees_annuelles!AI33/Donnees_annuelles!AG33</f>
        <v/>
      </c>
      <c r="S219" s="114">
        <f>P219/Donnees_annuelles!AA33*Donnees_annuelles!AJ33/Donnees_annuelles!AH33</f>
        <v/>
      </c>
    </row>
    <row r="220">
      <c r="A220" s="84" t="inlineStr">
        <is>
          <t>Fonction publique d'État</t>
        </is>
      </c>
      <c r="B220" s="88" t="n">
        <v>1976</v>
      </c>
      <c r="C220" s="93" t="n">
        <v>0.12</v>
      </c>
      <c r="D220" s="93" t="n">
        <v>0.06</v>
      </c>
      <c r="E220" s="93" t="n">
        <v>0.3986</v>
      </c>
      <c r="F220" s="7" t="inlineStr">
        <is>
          <t>implicite estimé (interpolation 1970-1995)</t>
        </is>
      </c>
      <c r="G220" s="93" t="n">
        <v>0</v>
      </c>
      <c r="H220" s="93" t="n">
        <v>0</v>
      </c>
      <c r="I220" s="93" t="n">
        <v>0</v>
      </c>
      <c r="J220" s="94">
        <f>D220*(1-C220)+G220*MIN(C220,0.2*(1-C220))+H220</f>
        <v/>
      </c>
      <c r="K220" s="94">
        <f>MIN(E220*(1-C220),Donnees_annuelles!G34)+G220*MIN(C220,0.2*(1-C220))</f>
        <v/>
      </c>
      <c r="L220" s="94">
        <f>I220*(1-C220)+MAX(0,E220*(1-C220)-Donnees_annuelles!G34)</f>
        <v/>
      </c>
      <c r="M220" s="89">
        <f>SUMIFS(Regimes!$G$5:$G$10,Regimes!$A$5:$A$10,A220)*(1-C220)/(1-0.23917)</f>
        <v/>
      </c>
      <c r="N220" s="14">
        <f>Donnees_annuelles!D34*J220</f>
        <v/>
      </c>
      <c r="O220" s="14">
        <f>Donnees_annuelles!D34*K220</f>
        <v/>
      </c>
      <c r="P220" s="14">
        <f>N220+O220</f>
        <v/>
      </c>
      <c r="Q220" s="14">
        <f>Donnees_annuelles!D34*L220</f>
        <v/>
      </c>
      <c r="R220" s="114">
        <f>P220/Donnees_annuelles!AA34*Donnees_annuelles!AI34/Donnees_annuelles!AG34</f>
        <v/>
      </c>
      <c r="S220" s="114">
        <f>P220/Donnees_annuelles!AA34*Donnees_annuelles!AJ34/Donnees_annuelles!AH34</f>
        <v/>
      </c>
    </row>
    <row r="221">
      <c r="A221" s="84" t="inlineStr">
        <is>
          <t>Fonction publique d'État</t>
        </is>
      </c>
      <c r="B221" s="88" t="n">
        <v>1977</v>
      </c>
      <c r="C221" s="93" t="n">
        <v>0.12</v>
      </c>
      <c r="D221" s="93" t="n">
        <v>0.06</v>
      </c>
      <c r="E221" s="93" t="n">
        <v>0.4032</v>
      </c>
      <c r="F221" s="7" t="inlineStr">
        <is>
          <t>implicite estimé (interpolation 1970-1995)</t>
        </is>
      </c>
      <c r="G221" s="93" t="n">
        <v>0</v>
      </c>
      <c r="H221" s="93" t="n">
        <v>0</v>
      </c>
      <c r="I221" s="93" t="n">
        <v>0</v>
      </c>
      <c r="J221" s="94">
        <f>D221*(1-C221)+G221*MIN(C221,0.2*(1-C221))+H221</f>
        <v/>
      </c>
      <c r="K221" s="94">
        <f>MIN(E221*(1-C221),Donnees_annuelles!G35)+G221*MIN(C221,0.2*(1-C221))</f>
        <v/>
      </c>
      <c r="L221" s="94">
        <f>I221*(1-C221)+MAX(0,E221*(1-C221)-Donnees_annuelles!G35)</f>
        <v/>
      </c>
      <c r="M221" s="89">
        <f>SUMIFS(Regimes!$G$5:$G$10,Regimes!$A$5:$A$10,A221)*(1-C221)/(1-0.23917)</f>
        <v/>
      </c>
      <c r="N221" s="14">
        <f>Donnees_annuelles!D35*J221</f>
        <v/>
      </c>
      <c r="O221" s="14">
        <f>Donnees_annuelles!D35*K221</f>
        <v/>
      </c>
      <c r="P221" s="14">
        <f>N221+O221</f>
        <v/>
      </c>
      <c r="Q221" s="14">
        <f>Donnees_annuelles!D35*L221</f>
        <v/>
      </c>
      <c r="R221" s="114">
        <f>P221/Donnees_annuelles!AA35*Donnees_annuelles!AI35/Donnees_annuelles!AG35</f>
        <v/>
      </c>
      <c r="S221" s="114">
        <f>P221/Donnees_annuelles!AA35*Donnees_annuelles!AJ35/Donnees_annuelles!AH35</f>
        <v/>
      </c>
    </row>
    <row r="222">
      <c r="A222" s="84" t="inlineStr">
        <is>
          <t>Fonction publique d'État</t>
        </is>
      </c>
      <c r="B222" s="88" t="n">
        <v>1978</v>
      </c>
      <c r="C222" s="93" t="n">
        <v>0.12</v>
      </c>
      <c r="D222" s="93" t="n">
        <v>0.06</v>
      </c>
      <c r="E222" s="93" t="n">
        <v>0.4078</v>
      </c>
      <c r="F222" s="7" t="inlineStr">
        <is>
          <t>implicite estimé (interpolation 1970-1995)</t>
        </is>
      </c>
      <c r="G222" s="93" t="n">
        <v>0</v>
      </c>
      <c r="H222" s="93" t="n">
        <v>0</v>
      </c>
      <c r="I222" s="93" t="n">
        <v>0</v>
      </c>
      <c r="J222" s="94">
        <f>D222*(1-C222)+G222*MIN(C222,0.2*(1-C222))+H222</f>
        <v/>
      </c>
      <c r="K222" s="94">
        <f>MIN(E222*(1-C222),Donnees_annuelles!G36)+G222*MIN(C222,0.2*(1-C222))</f>
        <v/>
      </c>
      <c r="L222" s="94">
        <f>I222*(1-C222)+MAX(0,E222*(1-C222)-Donnees_annuelles!G36)</f>
        <v/>
      </c>
      <c r="M222" s="89">
        <f>SUMIFS(Regimes!$G$5:$G$10,Regimes!$A$5:$A$10,A222)*(1-C222)/(1-0.23917)</f>
        <v/>
      </c>
      <c r="N222" s="14">
        <f>Donnees_annuelles!D36*J222</f>
        <v/>
      </c>
      <c r="O222" s="14">
        <f>Donnees_annuelles!D36*K222</f>
        <v/>
      </c>
      <c r="P222" s="14">
        <f>N222+O222</f>
        <v/>
      </c>
      <c r="Q222" s="14">
        <f>Donnees_annuelles!D36*L222</f>
        <v/>
      </c>
      <c r="R222" s="114">
        <f>P222/Donnees_annuelles!AA36*Donnees_annuelles!AI36/Donnees_annuelles!AG36</f>
        <v/>
      </c>
      <c r="S222" s="114">
        <f>P222/Donnees_annuelles!AA36*Donnees_annuelles!AJ36/Donnees_annuelles!AH36</f>
        <v/>
      </c>
    </row>
    <row r="223">
      <c r="A223" s="84" t="inlineStr">
        <is>
          <t>Fonction publique d'État</t>
        </is>
      </c>
      <c r="B223" s="88" t="n">
        <v>1979</v>
      </c>
      <c r="C223" s="93" t="n">
        <v>0.12</v>
      </c>
      <c r="D223" s="93" t="n">
        <v>0.06</v>
      </c>
      <c r="E223" s="93" t="n">
        <v>0.4124</v>
      </c>
      <c r="F223" s="7" t="inlineStr">
        <is>
          <t>implicite estimé (interpolation 1970-1995)</t>
        </is>
      </c>
      <c r="G223" s="93" t="n">
        <v>0</v>
      </c>
      <c r="H223" s="93" t="n">
        <v>0</v>
      </c>
      <c r="I223" s="93" t="n">
        <v>0</v>
      </c>
      <c r="J223" s="94">
        <f>D223*(1-C223)+G223*MIN(C223,0.2*(1-C223))+H223</f>
        <v/>
      </c>
      <c r="K223" s="94">
        <f>MIN(E223*(1-C223),Donnees_annuelles!G37)+G223*MIN(C223,0.2*(1-C223))</f>
        <v/>
      </c>
      <c r="L223" s="94">
        <f>I223*(1-C223)+MAX(0,E223*(1-C223)-Donnees_annuelles!G37)</f>
        <v/>
      </c>
      <c r="M223" s="89">
        <f>SUMIFS(Regimes!$G$5:$G$10,Regimes!$A$5:$A$10,A223)*(1-C223)/(1-0.23917)</f>
        <v/>
      </c>
      <c r="N223" s="14">
        <f>Donnees_annuelles!D37*J223</f>
        <v/>
      </c>
      <c r="O223" s="14">
        <f>Donnees_annuelles!D37*K223</f>
        <v/>
      </c>
      <c r="P223" s="14">
        <f>N223+O223</f>
        <v/>
      </c>
      <c r="Q223" s="14">
        <f>Donnees_annuelles!D37*L223</f>
        <v/>
      </c>
      <c r="R223" s="114">
        <f>P223/Donnees_annuelles!AA37*Donnees_annuelles!AI37/Donnees_annuelles!AG37</f>
        <v/>
      </c>
      <c r="S223" s="114">
        <f>P223/Donnees_annuelles!AA37*Donnees_annuelles!AJ37/Donnees_annuelles!AH37</f>
        <v/>
      </c>
    </row>
    <row r="224">
      <c r="A224" s="84" t="inlineStr">
        <is>
          <t>Fonction publique d'État</t>
        </is>
      </c>
      <c r="B224" s="88" t="n">
        <v>1980</v>
      </c>
      <c r="C224" s="93" t="n">
        <v>0.12</v>
      </c>
      <c r="D224" s="93" t="n">
        <v>0.06</v>
      </c>
      <c r="E224" s="93" t="n">
        <v>0.417</v>
      </c>
      <c r="F224" s="7" t="inlineStr">
        <is>
          <t>implicite estimé (interpolation 1970-1995)</t>
        </is>
      </c>
      <c r="G224" s="93" t="n">
        <v>0</v>
      </c>
      <c r="H224" s="93" t="n">
        <v>0</v>
      </c>
      <c r="I224" s="93" t="n">
        <v>0</v>
      </c>
      <c r="J224" s="94">
        <f>D224*(1-C224)+G224*MIN(C224,0.2*(1-C224))+H224</f>
        <v/>
      </c>
      <c r="K224" s="94">
        <f>MIN(E224*(1-C224),Donnees_annuelles!G38)+G224*MIN(C224,0.2*(1-C224))</f>
        <v/>
      </c>
      <c r="L224" s="94">
        <f>I224*(1-C224)+MAX(0,E224*(1-C224)-Donnees_annuelles!G38)</f>
        <v/>
      </c>
      <c r="M224" s="89">
        <f>SUMIFS(Regimes!$G$5:$G$10,Regimes!$A$5:$A$10,A224)*(1-C224)/(1-0.23917)</f>
        <v/>
      </c>
      <c r="N224" s="14">
        <f>Donnees_annuelles!D38*J224</f>
        <v/>
      </c>
      <c r="O224" s="14">
        <f>Donnees_annuelles!D38*K224</f>
        <v/>
      </c>
      <c r="P224" s="14">
        <f>N224+O224</f>
        <v/>
      </c>
      <c r="Q224" s="14">
        <f>Donnees_annuelles!D38*L224</f>
        <v/>
      </c>
      <c r="R224" s="114">
        <f>P224/Donnees_annuelles!AA38*Donnees_annuelles!AI38/Donnees_annuelles!AG38</f>
        <v/>
      </c>
      <c r="S224" s="114">
        <f>P224/Donnees_annuelles!AA38*Donnees_annuelles!AJ38/Donnees_annuelles!AH38</f>
        <v/>
      </c>
    </row>
    <row r="225">
      <c r="A225" s="84" t="inlineStr">
        <is>
          <t>Fonction publique d'État</t>
        </is>
      </c>
      <c r="B225" s="88" t="n">
        <v>1981</v>
      </c>
      <c r="C225" s="93" t="n">
        <v>0.12</v>
      </c>
      <c r="D225" s="93" t="n">
        <v>0.06</v>
      </c>
      <c r="E225" s="93" t="n">
        <v>0.4216</v>
      </c>
      <c r="F225" s="7" t="inlineStr">
        <is>
          <t>implicite estimé (interpolation 1970-1995)</t>
        </is>
      </c>
      <c r="G225" s="93" t="n">
        <v>0</v>
      </c>
      <c r="H225" s="93" t="n">
        <v>0</v>
      </c>
      <c r="I225" s="93" t="n">
        <v>0</v>
      </c>
      <c r="J225" s="94">
        <f>D225*(1-C225)+G225*MIN(C225,0.2*(1-C225))+H225</f>
        <v/>
      </c>
      <c r="K225" s="94">
        <f>MIN(E225*(1-C225),Donnees_annuelles!G39)+G225*MIN(C225,0.2*(1-C225))</f>
        <v/>
      </c>
      <c r="L225" s="94">
        <f>I225*(1-C225)+MAX(0,E225*(1-C225)-Donnees_annuelles!G39)</f>
        <v/>
      </c>
      <c r="M225" s="89">
        <f>SUMIFS(Regimes!$G$5:$G$10,Regimes!$A$5:$A$10,A225)*(1-C225)/(1-0.23917)</f>
        <v/>
      </c>
      <c r="N225" s="14">
        <f>Donnees_annuelles!D39*J225</f>
        <v/>
      </c>
      <c r="O225" s="14">
        <f>Donnees_annuelles!D39*K225</f>
        <v/>
      </c>
      <c r="P225" s="14">
        <f>N225+O225</f>
        <v/>
      </c>
      <c r="Q225" s="14">
        <f>Donnees_annuelles!D39*L225</f>
        <v/>
      </c>
      <c r="R225" s="114">
        <f>P225/Donnees_annuelles!AA39*Donnees_annuelles!AI39/Donnees_annuelles!AG39</f>
        <v/>
      </c>
      <c r="S225" s="114">
        <f>P225/Donnees_annuelles!AA39*Donnees_annuelles!AJ39/Donnees_annuelles!AH39</f>
        <v/>
      </c>
    </row>
    <row r="226">
      <c r="A226" s="84" t="inlineStr">
        <is>
          <t>Fonction publique d'État</t>
        </is>
      </c>
      <c r="B226" s="88" t="n">
        <v>1982</v>
      </c>
      <c r="C226" s="93" t="n">
        <v>0.12</v>
      </c>
      <c r="D226" s="93" t="n">
        <v>0.06</v>
      </c>
      <c r="E226" s="93" t="n">
        <v>0.4262</v>
      </c>
      <c r="F226" s="7" t="inlineStr">
        <is>
          <t>implicite estimé (interpolation 1970-1995)</t>
        </is>
      </c>
      <c r="G226" s="93" t="n">
        <v>0</v>
      </c>
      <c r="H226" s="93" t="n">
        <v>0</v>
      </c>
      <c r="I226" s="93" t="n">
        <v>0</v>
      </c>
      <c r="J226" s="94">
        <f>D226*(1-C226)+G226*MIN(C226,0.2*(1-C226))+H226</f>
        <v/>
      </c>
      <c r="K226" s="94">
        <f>MIN(E226*(1-C226),Donnees_annuelles!G40)+G226*MIN(C226,0.2*(1-C226))</f>
        <v/>
      </c>
      <c r="L226" s="94">
        <f>I226*(1-C226)+MAX(0,E226*(1-C226)-Donnees_annuelles!G40)</f>
        <v/>
      </c>
      <c r="M226" s="89">
        <f>SUMIFS(Regimes!$G$5:$G$10,Regimes!$A$5:$A$10,A226)*(1-C226)/(1-0.23917)</f>
        <v/>
      </c>
      <c r="N226" s="14">
        <f>Donnees_annuelles!D40*J226</f>
        <v/>
      </c>
      <c r="O226" s="14">
        <f>Donnees_annuelles!D40*K226</f>
        <v/>
      </c>
      <c r="P226" s="14">
        <f>N226+O226</f>
        <v/>
      </c>
      <c r="Q226" s="14">
        <f>Donnees_annuelles!D40*L226</f>
        <v/>
      </c>
      <c r="R226" s="114">
        <f>P226/Donnees_annuelles!AA40*Donnees_annuelles!AI40/Donnees_annuelles!AG40</f>
        <v/>
      </c>
      <c r="S226" s="114">
        <f>P226/Donnees_annuelles!AA40*Donnees_annuelles!AJ40/Donnees_annuelles!AH40</f>
        <v/>
      </c>
    </row>
    <row r="227">
      <c r="A227" s="84" t="inlineStr">
        <is>
          <t>Fonction publique d'État</t>
        </is>
      </c>
      <c r="B227" s="88" t="n">
        <v>1983</v>
      </c>
      <c r="C227" s="93" t="n">
        <v>0.12</v>
      </c>
      <c r="D227" s="93" t="n">
        <v>0.06</v>
      </c>
      <c r="E227" s="93" t="n">
        <v>0.4308</v>
      </c>
      <c r="F227" s="7" t="inlineStr">
        <is>
          <t>implicite estimé (interpolation 1970-1995)</t>
        </is>
      </c>
      <c r="G227" s="93" t="n">
        <v>0</v>
      </c>
      <c r="H227" s="93" t="n">
        <v>0</v>
      </c>
      <c r="I227" s="93" t="n">
        <v>0</v>
      </c>
      <c r="J227" s="94">
        <f>D227*(1-C227)+G227*MIN(C227,0.2*(1-C227))+H227</f>
        <v/>
      </c>
      <c r="K227" s="94">
        <f>MIN(E227*(1-C227),Donnees_annuelles!G41)+G227*MIN(C227,0.2*(1-C227))</f>
        <v/>
      </c>
      <c r="L227" s="94">
        <f>I227*(1-C227)+MAX(0,E227*(1-C227)-Donnees_annuelles!G41)</f>
        <v/>
      </c>
      <c r="M227" s="89">
        <f>SUMIFS(Regimes!$G$5:$G$10,Regimes!$A$5:$A$10,A227)*(1-C227)/(1-0.23917)</f>
        <v/>
      </c>
      <c r="N227" s="14">
        <f>Donnees_annuelles!D41*J227</f>
        <v/>
      </c>
      <c r="O227" s="14">
        <f>Donnees_annuelles!D41*K227</f>
        <v/>
      </c>
      <c r="P227" s="14">
        <f>N227+O227</f>
        <v/>
      </c>
      <c r="Q227" s="14">
        <f>Donnees_annuelles!D41*L227</f>
        <v/>
      </c>
      <c r="R227" s="114">
        <f>P227/Donnees_annuelles!AA41*Donnees_annuelles!AI41/Donnees_annuelles!AG41</f>
        <v/>
      </c>
      <c r="S227" s="114">
        <f>P227/Donnees_annuelles!AA41*Donnees_annuelles!AJ41/Donnees_annuelles!AH41</f>
        <v/>
      </c>
    </row>
    <row r="228">
      <c r="A228" s="84" t="inlineStr">
        <is>
          <t>Fonction publique d'État</t>
        </is>
      </c>
      <c r="B228" s="88" t="n">
        <v>1984</v>
      </c>
      <c r="C228" s="93" t="n">
        <v>0.12</v>
      </c>
      <c r="D228" s="93" t="n">
        <v>0.07000000000000001</v>
      </c>
      <c r="E228" s="93" t="n">
        <v>0.4354</v>
      </c>
      <c r="F228" s="7" t="inlineStr">
        <is>
          <t>implicite estimé (interpolation 1970-1995)</t>
        </is>
      </c>
      <c r="G228" s="93" t="n">
        <v>0</v>
      </c>
      <c r="H228" s="93" t="n">
        <v>0</v>
      </c>
      <c r="I228" s="93" t="n">
        <v>0</v>
      </c>
      <c r="J228" s="94">
        <f>D228*(1-C228)+G228*MIN(C228,0.2*(1-C228))+H228</f>
        <v/>
      </c>
      <c r="K228" s="94">
        <f>MIN(E228*(1-C228),Donnees_annuelles!G42)+G228*MIN(C228,0.2*(1-C228))</f>
        <v/>
      </c>
      <c r="L228" s="94">
        <f>I228*(1-C228)+MAX(0,E228*(1-C228)-Donnees_annuelles!G42)</f>
        <v/>
      </c>
      <c r="M228" s="89">
        <f>SUMIFS(Regimes!$G$5:$G$10,Regimes!$A$5:$A$10,A228)*(1-C228)/(1-0.23917)</f>
        <v/>
      </c>
      <c r="N228" s="14">
        <f>Donnees_annuelles!D42*J228</f>
        <v/>
      </c>
      <c r="O228" s="14">
        <f>Donnees_annuelles!D42*K228</f>
        <v/>
      </c>
      <c r="P228" s="14">
        <f>N228+O228</f>
        <v/>
      </c>
      <c r="Q228" s="14">
        <f>Donnees_annuelles!D42*L228</f>
        <v/>
      </c>
      <c r="R228" s="114">
        <f>P228/Donnees_annuelles!AA42*Donnees_annuelles!AI42/Donnees_annuelles!AG42</f>
        <v/>
      </c>
      <c r="S228" s="114">
        <f>P228/Donnees_annuelles!AA42*Donnees_annuelles!AJ42/Donnees_annuelles!AH42</f>
        <v/>
      </c>
    </row>
    <row r="229">
      <c r="A229" s="84" t="inlineStr">
        <is>
          <t>Fonction publique d'État</t>
        </is>
      </c>
      <c r="B229" s="88" t="n">
        <v>1985</v>
      </c>
      <c r="C229" s="93" t="n">
        <v>0.12</v>
      </c>
      <c r="D229" s="93" t="n">
        <v>0.07000000000000001</v>
      </c>
      <c r="E229" s="93" t="n">
        <v>0.44</v>
      </c>
      <c r="F229" s="7" t="inlineStr">
        <is>
          <t>implicite estimé (interpolation 1970-1995)</t>
        </is>
      </c>
      <c r="G229" s="93" t="n">
        <v>0</v>
      </c>
      <c r="H229" s="93" t="n">
        <v>0</v>
      </c>
      <c r="I229" s="93" t="n">
        <v>0</v>
      </c>
      <c r="J229" s="94">
        <f>D229*(1-C229)+G229*MIN(C229,0.2*(1-C229))+H229</f>
        <v/>
      </c>
      <c r="K229" s="94">
        <f>MIN(E229*(1-C229),Donnees_annuelles!G43)+G229*MIN(C229,0.2*(1-C229))</f>
        <v/>
      </c>
      <c r="L229" s="94">
        <f>I229*(1-C229)+MAX(0,E229*(1-C229)-Donnees_annuelles!G43)</f>
        <v/>
      </c>
      <c r="M229" s="89">
        <f>SUMIFS(Regimes!$G$5:$G$10,Regimes!$A$5:$A$10,A229)*(1-C229)/(1-0.23917)</f>
        <v/>
      </c>
      <c r="N229" s="14">
        <f>Donnees_annuelles!D43*J229</f>
        <v/>
      </c>
      <c r="O229" s="14">
        <f>Donnees_annuelles!D43*K229</f>
        <v/>
      </c>
      <c r="P229" s="14">
        <f>N229+O229</f>
        <v/>
      </c>
      <c r="Q229" s="14">
        <f>Donnees_annuelles!D43*L229</f>
        <v/>
      </c>
      <c r="R229" s="114">
        <f>P229/Donnees_annuelles!AA43*Donnees_annuelles!AI43/Donnees_annuelles!AG43</f>
        <v/>
      </c>
      <c r="S229" s="114">
        <f>P229/Donnees_annuelles!AA43*Donnees_annuelles!AJ43/Donnees_annuelles!AH43</f>
        <v/>
      </c>
    </row>
    <row r="230">
      <c r="A230" s="84" t="inlineStr">
        <is>
          <t>Fonction publique d'État</t>
        </is>
      </c>
      <c r="B230" s="88" t="n">
        <v>1986</v>
      </c>
      <c r="C230" s="93" t="n">
        <v>0.124</v>
      </c>
      <c r="D230" s="93" t="n">
        <v>0.07292999999999999</v>
      </c>
      <c r="E230" s="93" t="n">
        <v>0.4446</v>
      </c>
      <c r="F230" s="7" t="inlineStr">
        <is>
          <t>implicite estimé (interpolation 1970-1995)</t>
        </is>
      </c>
      <c r="G230" s="93" t="n">
        <v>0</v>
      </c>
      <c r="H230" s="93" t="n">
        <v>0</v>
      </c>
      <c r="I230" s="93" t="n">
        <v>0</v>
      </c>
      <c r="J230" s="94">
        <f>D230*(1-C230)+G230*MIN(C230,0.2*(1-C230))+H230</f>
        <v/>
      </c>
      <c r="K230" s="94">
        <f>MIN(E230*(1-C230),Donnees_annuelles!G44)+G230*MIN(C230,0.2*(1-C230))</f>
        <v/>
      </c>
      <c r="L230" s="94">
        <f>I230*(1-C230)+MAX(0,E230*(1-C230)-Donnees_annuelles!G44)</f>
        <v/>
      </c>
      <c r="M230" s="89">
        <f>SUMIFS(Regimes!$G$5:$G$10,Regimes!$A$5:$A$10,A230)*(1-C230)/(1-0.23917)</f>
        <v/>
      </c>
      <c r="N230" s="14">
        <f>Donnees_annuelles!D44*J230</f>
        <v/>
      </c>
      <c r="O230" s="14">
        <f>Donnees_annuelles!D44*K230</f>
        <v/>
      </c>
      <c r="P230" s="14">
        <f>N230+O230</f>
        <v/>
      </c>
      <c r="Q230" s="14">
        <f>Donnees_annuelles!D44*L230</f>
        <v/>
      </c>
      <c r="R230" s="114">
        <f>P230/Donnees_annuelles!AA44*Donnees_annuelles!AI44/Donnees_annuelles!AG44</f>
        <v/>
      </c>
      <c r="S230" s="114">
        <f>P230/Donnees_annuelles!AA44*Donnees_annuelles!AJ44/Donnees_annuelles!AH44</f>
        <v/>
      </c>
    </row>
    <row r="231">
      <c r="A231" s="84" t="inlineStr">
        <is>
          <t>Fonction publique d'État</t>
        </is>
      </c>
      <c r="B231" s="88" t="n">
        <v>1987</v>
      </c>
      <c r="C231" s="93" t="n">
        <v>0.128</v>
      </c>
      <c r="D231" s="93" t="n">
        <v>0.07801</v>
      </c>
      <c r="E231" s="93" t="n">
        <v>0.4492</v>
      </c>
      <c r="F231" s="7" t="inlineStr">
        <is>
          <t>implicite estimé (interpolation 1970-1995)</t>
        </is>
      </c>
      <c r="G231" s="93" t="n">
        <v>0</v>
      </c>
      <c r="H231" s="93" t="n">
        <v>0</v>
      </c>
      <c r="I231" s="93" t="n">
        <v>0</v>
      </c>
      <c r="J231" s="94">
        <f>D231*(1-C231)+G231*MIN(C231,0.2*(1-C231))+H231</f>
        <v/>
      </c>
      <c r="K231" s="94">
        <f>MIN(E231*(1-C231),Donnees_annuelles!G45)+G231*MIN(C231,0.2*(1-C231))</f>
        <v/>
      </c>
      <c r="L231" s="94">
        <f>I231*(1-C231)+MAX(0,E231*(1-C231)-Donnees_annuelles!G45)</f>
        <v/>
      </c>
      <c r="M231" s="89">
        <f>SUMIFS(Regimes!$G$5:$G$10,Regimes!$A$5:$A$10,A231)*(1-C231)/(1-0.23917)</f>
        <v/>
      </c>
      <c r="N231" s="14">
        <f>Donnees_annuelles!D45*J231</f>
        <v/>
      </c>
      <c r="O231" s="14">
        <f>Donnees_annuelles!D45*K231</f>
        <v/>
      </c>
      <c r="P231" s="14">
        <f>N231+O231</f>
        <v/>
      </c>
      <c r="Q231" s="14">
        <f>Donnees_annuelles!D45*L231</f>
        <v/>
      </c>
      <c r="R231" s="114">
        <f>P231/Donnees_annuelles!AA45*Donnees_annuelles!AI45/Donnees_annuelles!AG45</f>
        <v/>
      </c>
      <c r="S231" s="114">
        <f>P231/Donnees_annuelles!AA45*Donnees_annuelles!AJ45/Donnees_annuelles!AH45</f>
        <v/>
      </c>
    </row>
    <row r="232">
      <c r="A232" s="84" t="inlineStr">
        <is>
          <t>Fonction publique d'État</t>
        </is>
      </c>
      <c r="B232" s="88" t="n">
        <v>1988</v>
      </c>
      <c r="C232" s="93" t="n">
        <v>0.132</v>
      </c>
      <c r="D232" s="93" t="n">
        <v>0.079</v>
      </c>
      <c r="E232" s="93" t="n">
        <v>0.4538</v>
      </c>
      <c r="F232" s="7" t="inlineStr">
        <is>
          <t>implicite estimé (interpolation 1970-1995)</t>
        </is>
      </c>
      <c r="G232" s="93" t="n">
        <v>0</v>
      </c>
      <c r="H232" s="93" t="n">
        <v>0</v>
      </c>
      <c r="I232" s="93" t="n">
        <v>0</v>
      </c>
      <c r="J232" s="94">
        <f>D232*(1-C232)+G232*MIN(C232,0.2*(1-C232))+H232</f>
        <v/>
      </c>
      <c r="K232" s="94">
        <f>MIN(E232*(1-C232),Donnees_annuelles!G46)+G232*MIN(C232,0.2*(1-C232))</f>
        <v/>
      </c>
      <c r="L232" s="94">
        <f>I232*(1-C232)+MAX(0,E232*(1-C232)-Donnees_annuelles!G46)</f>
        <v/>
      </c>
      <c r="M232" s="89">
        <f>SUMIFS(Regimes!$G$5:$G$10,Regimes!$A$5:$A$10,A232)*(1-C232)/(1-0.23917)</f>
        <v/>
      </c>
      <c r="N232" s="14">
        <f>Donnees_annuelles!D46*J232</f>
        <v/>
      </c>
      <c r="O232" s="14">
        <f>Donnees_annuelles!D46*K232</f>
        <v/>
      </c>
      <c r="P232" s="14">
        <f>N232+O232</f>
        <v/>
      </c>
      <c r="Q232" s="14">
        <f>Donnees_annuelles!D46*L232</f>
        <v/>
      </c>
      <c r="R232" s="114">
        <f>P232/Donnees_annuelles!AA46*Donnees_annuelles!AI46/Donnees_annuelles!AG46</f>
        <v/>
      </c>
      <c r="S232" s="114">
        <f>P232/Donnees_annuelles!AA46*Donnees_annuelles!AJ46/Donnees_annuelles!AH46</f>
        <v/>
      </c>
    </row>
    <row r="233">
      <c r="A233" s="84" t="inlineStr">
        <is>
          <t>Fonction publique d'État</t>
        </is>
      </c>
      <c r="B233" s="88" t="n">
        <v>1989</v>
      </c>
      <c r="C233" s="93" t="n">
        <v>0.136</v>
      </c>
      <c r="D233" s="93" t="n">
        <v>0.089</v>
      </c>
      <c r="E233" s="93" t="n">
        <v>0.4584</v>
      </c>
      <c r="F233" s="7" t="inlineStr">
        <is>
          <t>implicite estimé (interpolation 1970-1995)</t>
        </is>
      </c>
      <c r="G233" s="93" t="n">
        <v>0</v>
      </c>
      <c r="H233" s="93" t="n">
        <v>0</v>
      </c>
      <c r="I233" s="93" t="n">
        <v>0</v>
      </c>
      <c r="J233" s="94">
        <f>D233*(1-C233)+G233*MIN(C233,0.2*(1-C233))+H233</f>
        <v/>
      </c>
      <c r="K233" s="94">
        <f>MIN(E233*(1-C233),Donnees_annuelles!G47)+G233*MIN(C233,0.2*(1-C233))</f>
        <v/>
      </c>
      <c r="L233" s="94">
        <f>I233*(1-C233)+MAX(0,E233*(1-C233)-Donnees_annuelles!G47)</f>
        <v/>
      </c>
      <c r="M233" s="89">
        <f>SUMIFS(Regimes!$G$5:$G$10,Regimes!$A$5:$A$10,A233)*(1-C233)/(1-0.23917)</f>
        <v/>
      </c>
      <c r="N233" s="14">
        <f>Donnees_annuelles!D47*J233</f>
        <v/>
      </c>
      <c r="O233" s="14">
        <f>Donnees_annuelles!D47*K233</f>
        <v/>
      </c>
      <c r="P233" s="14">
        <f>N233+O233</f>
        <v/>
      </c>
      <c r="Q233" s="14">
        <f>Donnees_annuelles!D47*L233</f>
        <v/>
      </c>
      <c r="R233" s="114">
        <f>P233/Donnees_annuelles!AA47*Donnees_annuelles!AI47/Donnees_annuelles!AG47</f>
        <v/>
      </c>
      <c r="S233" s="114">
        <f>P233/Donnees_annuelles!AA47*Donnees_annuelles!AJ47/Donnees_annuelles!AH47</f>
        <v/>
      </c>
    </row>
    <row r="234">
      <c r="A234" s="84" t="inlineStr">
        <is>
          <t>Fonction publique d'État</t>
        </is>
      </c>
      <c r="B234" s="88" t="n">
        <v>1990</v>
      </c>
      <c r="C234" s="93" t="n">
        <v>0.14</v>
      </c>
      <c r="D234" s="93" t="n">
        <v>0.089</v>
      </c>
      <c r="E234" s="93" t="n">
        <v>0.463</v>
      </c>
      <c r="F234" s="7" t="inlineStr">
        <is>
          <t>implicite estimé (interpolation 1970-1995)</t>
        </is>
      </c>
      <c r="G234" s="93" t="n">
        <v>0</v>
      </c>
      <c r="H234" s="93" t="n">
        <v>0</v>
      </c>
      <c r="I234" s="93" t="n">
        <v>0</v>
      </c>
      <c r="J234" s="94">
        <f>D234*(1-C234)+G234*MIN(C234,0.2*(1-C234))+H234</f>
        <v/>
      </c>
      <c r="K234" s="94">
        <f>MIN(E234*(1-C234),Donnees_annuelles!G48)+G234*MIN(C234,0.2*(1-C234))</f>
        <v/>
      </c>
      <c r="L234" s="94">
        <f>I234*(1-C234)+MAX(0,E234*(1-C234)-Donnees_annuelles!G48)</f>
        <v/>
      </c>
      <c r="M234" s="89">
        <f>SUMIFS(Regimes!$G$5:$G$10,Regimes!$A$5:$A$10,A234)*(1-C234)/(1-0.23917)</f>
        <v/>
      </c>
      <c r="N234" s="14">
        <f>Donnees_annuelles!D48*J234</f>
        <v/>
      </c>
      <c r="O234" s="14">
        <f>Donnees_annuelles!D48*K234</f>
        <v/>
      </c>
      <c r="P234" s="14">
        <f>N234+O234</f>
        <v/>
      </c>
      <c r="Q234" s="14">
        <f>Donnees_annuelles!D48*L234</f>
        <v/>
      </c>
      <c r="R234" s="114">
        <f>P234/Donnees_annuelles!AA48*Donnees_annuelles!AI48/Donnees_annuelles!AG48</f>
        <v/>
      </c>
      <c r="S234" s="114">
        <f>P234/Donnees_annuelles!AA48*Donnees_annuelles!AJ48/Donnees_annuelles!AH48</f>
        <v/>
      </c>
    </row>
    <row r="235">
      <c r="A235" s="84" t="inlineStr">
        <is>
          <t>Fonction publique d'État</t>
        </is>
      </c>
      <c r="B235" s="88" t="n">
        <v>1991</v>
      </c>
      <c r="C235" s="93" t="n">
        <v>0.144</v>
      </c>
      <c r="D235" s="93" t="n">
        <v>0.07939</v>
      </c>
      <c r="E235" s="93" t="n">
        <v>0.4676</v>
      </c>
      <c r="F235" s="7" t="inlineStr">
        <is>
          <t>implicite estimé (interpolation 1970-1995)</t>
        </is>
      </c>
      <c r="G235" s="93" t="n">
        <v>0</v>
      </c>
      <c r="H235" s="93" t="n">
        <v>0</v>
      </c>
      <c r="I235" s="93" t="n">
        <v>0</v>
      </c>
      <c r="J235" s="94">
        <f>D235*(1-C235)+G235*MIN(C235,0.2*(1-C235))+H235</f>
        <v/>
      </c>
      <c r="K235" s="94">
        <f>MIN(E235*(1-C235),Donnees_annuelles!G49)+G235*MIN(C235,0.2*(1-C235))</f>
        <v/>
      </c>
      <c r="L235" s="94">
        <f>I235*(1-C235)+MAX(0,E235*(1-C235)-Donnees_annuelles!G49)</f>
        <v/>
      </c>
      <c r="M235" s="89">
        <f>SUMIFS(Regimes!$G$5:$G$10,Regimes!$A$5:$A$10,A235)*(1-C235)/(1-0.23917)</f>
        <v/>
      </c>
      <c r="N235" s="14">
        <f>Donnees_annuelles!D49*J235</f>
        <v/>
      </c>
      <c r="O235" s="14">
        <f>Donnees_annuelles!D49*K235</f>
        <v/>
      </c>
      <c r="P235" s="14">
        <f>N235+O235</f>
        <v/>
      </c>
      <c r="Q235" s="14">
        <f>Donnees_annuelles!D49*L235</f>
        <v/>
      </c>
      <c r="R235" s="114">
        <f>P235/Donnees_annuelles!AA49*Donnees_annuelles!AI49/Donnees_annuelles!AG49</f>
        <v/>
      </c>
      <c r="S235" s="114">
        <f>P235/Donnees_annuelles!AA49*Donnees_annuelles!AJ49/Donnees_annuelles!AH49</f>
        <v/>
      </c>
    </row>
    <row r="236">
      <c r="A236" s="84" t="inlineStr">
        <is>
          <t>Fonction publique d'État</t>
        </is>
      </c>
      <c r="B236" s="88" t="n">
        <v>1992</v>
      </c>
      <c r="C236" s="93" t="n">
        <v>0.148</v>
      </c>
      <c r="D236" s="93" t="n">
        <v>0.0785</v>
      </c>
      <c r="E236" s="93" t="n">
        <v>0.4722</v>
      </c>
      <c r="F236" s="7" t="inlineStr">
        <is>
          <t>implicite estimé (interpolation 1970-1995)</t>
        </is>
      </c>
      <c r="G236" s="93" t="n">
        <v>0</v>
      </c>
      <c r="H236" s="93" t="n">
        <v>0</v>
      </c>
      <c r="I236" s="93" t="n">
        <v>0</v>
      </c>
      <c r="J236" s="94">
        <f>D236*(1-C236)+G236*MIN(C236,0.2*(1-C236))+H236</f>
        <v/>
      </c>
      <c r="K236" s="94">
        <f>MIN(E236*(1-C236),Donnees_annuelles!G50)+G236*MIN(C236,0.2*(1-C236))</f>
        <v/>
      </c>
      <c r="L236" s="94">
        <f>I236*(1-C236)+MAX(0,E236*(1-C236)-Donnees_annuelles!G50)</f>
        <v/>
      </c>
      <c r="M236" s="89">
        <f>SUMIFS(Regimes!$G$5:$G$10,Regimes!$A$5:$A$10,A236)*(1-C236)/(1-0.23917)</f>
        <v/>
      </c>
      <c r="N236" s="14">
        <f>Donnees_annuelles!D50*J236</f>
        <v/>
      </c>
      <c r="O236" s="14">
        <f>Donnees_annuelles!D50*K236</f>
        <v/>
      </c>
      <c r="P236" s="14">
        <f>N236+O236</f>
        <v/>
      </c>
      <c r="Q236" s="14">
        <f>Donnees_annuelles!D50*L236</f>
        <v/>
      </c>
      <c r="R236" s="114">
        <f>P236/Donnees_annuelles!AA50*Donnees_annuelles!AI50/Donnees_annuelles!AG50</f>
        <v/>
      </c>
      <c r="S236" s="114">
        <f>P236/Donnees_annuelles!AA50*Donnees_annuelles!AJ50/Donnees_annuelles!AH50</f>
        <v/>
      </c>
    </row>
    <row r="237">
      <c r="A237" s="84" t="inlineStr">
        <is>
          <t>Fonction publique d'État</t>
        </is>
      </c>
      <c r="B237" s="88" t="n">
        <v>1993</v>
      </c>
      <c r="C237" s="93" t="n">
        <v>0.152</v>
      </c>
      <c r="D237" s="93" t="n">
        <v>0.0785</v>
      </c>
      <c r="E237" s="93" t="n">
        <v>0.4768</v>
      </c>
      <c r="F237" s="7" t="inlineStr">
        <is>
          <t>implicite estimé (interpolation 1970-1995)</t>
        </is>
      </c>
      <c r="G237" s="93" t="n">
        <v>0</v>
      </c>
      <c r="H237" s="93" t="n">
        <v>0.006226</v>
      </c>
      <c r="I237" s="93" t="n">
        <v>0</v>
      </c>
      <c r="J237" s="94">
        <f>D237*(1-C237)+G237*MIN(C237,0.2*(1-C237))+H237</f>
        <v/>
      </c>
      <c r="K237" s="94">
        <f>MIN(E237*(1-C237),Donnees_annuelles!G51)+G237*MIN(C237,0.2*(1-C237))</f>
        <v/>
      </c>
      <c r="L237" s="94">
        <f>I237*(1-C237)+MAX(0,E237*(1-C237)-Donnees_annuelles!G51)</f>
        <v/>
      </c>
      <c r="M237" s="89">
        <f>SUMIFS(Regimes!$G$5:$G$10,Regimes!$A$5:$A$10,A237)*(1-C237)/(1-0.23917)</f>
        <v/>
      </c>
      <c r="N237" s="14">
        <f>Donnees_annuelles!D51*J237</f>
        <v/>
      </c>
      <c r="O237" s="14">
        <f>Donnees_annuelles!D51*K237</f>
        <v/>
      </c>
      <c r="P237" s="14">
        <f>N237+O237</f>
        <v/>
      </c>
      <c r="Q237" s="14">
        <f>Donnees_annuelles!D51*L237</f>
        <v/>
      </c>
      <c r="R237" s="114">
        <f>P237/Donnees_annuelles!AA51*Donnees_annuelles!AI51/Donnees_annuelles!AG51</f>
        <v/>
      </c>
      <c r="S237" s="114">
        <f>P237/Donnees_annuelles!AA51*Donnees_annuelles!AJ51/Donnees_annuelles!AH51</f>
        <v/>
      </c>
    </row>
    <row r="238">
      <c r="A238" s="84" t="inlineStr">
        <is>
          <t>Fonction publique d'État</t>
        </is>
      </c>
      <c r="B238" s="88" t="n">
        <v>1994</v>
      </c>
      <c r="C238" s="93" t="n">
        <v>0.156</v>
      </c>
      <c r="D238" s="93" t="n">
        <v>0.0785</v>
      </c>
      <c r="E238" s="93" t="n">
        <v>0.4814</v>
      </c>
      <c r="F238" s="7" t="inlineStr">
        <is>
          <t>implicite estimé (interpolation 1970-1995)</t>
        </is>
      </c>
      <c r="G238" s="93" t="n">
        <v>0</v>
      </c>
      <c r="H238" s="93" t="n">
        <v>0.01235</v>
      </c>
      <c r="I238" s="93" t="n">
        <v>0</v>
      </c>
      <c r="J238" s="94">
        <f>D238*(1-C238)+G238*MIN(C238,0.2*(1-C238))+H238</f>
        <v/>
      </c>
      <c r="K238" s="94">
        <f>MIN(E238*(1-C238),Donnees_annuelles!G52)+G238*MIN(C238,0.2*(1-C238))</f>
        <v/>
      </c>
      <c r="L238" s="94">
        <f>I238*(1-C238)+MAX(0,E238*(1-C238)-Donnees_annuelles!G52)</f>
        <v/>
      </c>
      <c r="M238" s="89">
        <f>SUMIFS(Regimes!$G$5:$G$10,Regimes!$A$5:$A$10,A238)*(1-C238)/(1-0.23917)</f>
        <v/>
      </c>
      <c r="N238" s="14">
        <f>Donnees_annuelles!D52*J238</f>
        <v/>
      </c>
      <c r="O238" s="14">
        <f>Donnees_annuelles!D52*K238</f>
        <v/>
      </c>
      <c r="P238" s="14">
        <f>N238+O238</f>
        <v/>
      </c>
      <c r="Q238" s="14">
        <f>Donnees_annuelles!D52*L238</f>
        <v/>
      </c>
      <c r="R238" s="114">
        <f>P238/Donnees_annuelles!AA52*Donnees_annuelles!AI52/Donnees_annuelles!AG52</f>
        <v/>
      </c>
      <c r="S238" s="114">
        <f>P238/Donnees_annuelles!AA52*Donnees_annuelles!AJ52/Donnees_annuelles!AH52</f>
        <v/>
      </c>
    </row>
    <row r="239">
      <c r="A239" s="84" t="inlineStr">
        <is>
          <t>Fonction publique d'État</t>
        </is>
      </c>
      <c r="B239" s="88" t="n">
        <v>1995</v>
      </c>
      <c r="C239" s="93" t="n">
        <v>0.16</v>
      </c>
      <c r="D239" s="93" t="n">
        <v>0.0785</v>
      </c>
      <c r="E239" s="93" t="n">
        <v>0.486</v>
      </c>
      <c r="F239" s="7" t="inlineStr">
        <is>
          <t>implicite (IPP)</t>
        </is>
      </c>
      <c r="G239" s="93" t="n">
        <v>0</v>
      </c>
      <c r="H239" s="93" t="n">
        <v>0.01235</v>
      </c>
      <c r="I239" s="93" t="n">
        <v>0</v>
      </c>
      <c r="J239" s="94">
        <f>D239*(1-C239)+G239*MIN(C239,0.2*(1-C239))+H239</f>
        <v/>
      </c>
      <c r="K239" s="94">
        <f>MIN(E239*(1-C239),Donnees_annuelles!G53)+G239*MIN(C239,0.2*(1-C239))</f>
        <v/>
      </c>
      <c r="L239" s="94">
        <f>I239*(1-C239)+MAX(0,E239*(1-C239)-Donnees_annuelles!G53)</f>
        <v/>
      </c>
      <c r="M239" s="89">
        <f>SUMIFS(Regimes!$G$5:$G$10,Regimes!$A$5:$A$10,A239)*(1-C239)/(1-0.23917)</f>
        <v/>
      </c>
      <c r="N239" s="14">
        <f>Donnees_annuelles!D53*J239</f>
        <v/>
      </c>
      <c r="O239" s="14">
        <f>Donnees_annuelles!D53*K239</f>
        <v/>
      </c>
      <c r="P239" s="14">
        <f>N239+O239</f>
        <v/>
      </c>
      <c r="Q239" s="14">
        <f>Donnees_annuelles!D53*L239</f>
        <v/>
      </c>
      <c r="R239" s="114">
        <f>P239/Donnees_annuelles!AA53*Donnees_annuelles!AI53/Donnees_annuelles!AG53</f>
        <v/>
      </c>
      <c r="S239" s="114">
        <f>P239/Donnees_annuelles!AA53*Donnees_annuelles!AJ53/Donnees_annuelles!AH53</f>
        <v/>
      </c>
    </row>
    <row r="240">
      <c r="A240" s="84" t="inlineStr">
        <is>
          <t>Fonction publique d'État</t>
        </is>
      </c>
      <c r="B240" s="88" t="n">
        <v>1996</v>
      </c>
      <c r="C240" s="93" t="n">
        <v>0.164</v>
      </c>
      <c r="D240" s="93" t="n">
        <v>0.0785</v>
      </c>
      <c r="E240" s="93" t="n">
        <v>0.462</v>
      </c>
      <c r="F240" s="7" t="inlineStr">
        <is>
          <t>implicite (IPP)</t>
        </is>
      </c>
      <c r="G240" s="93" t="n">
        <v>0</v>
      </c>
      <c r="H240" s="93" t="n">
        <v>0.013524</v>
      </c>
      <c r="I240" s="93" t="n">
        <v>0</v>
      </c>
      <c r="J240" s="94">
        <f>D240*(1-C240)+G240*MIN(C240,0.2*(1-C240))+H240</f>
        <v/>
      </c>
      <c r="K240" s="94">
        <f>MIN(E240*(1-C240),Donnees_annuelles!G54)+G240*MIN(C240,0.2*(1-C240))</f>
        <v/>
      </c>
      <c r="L240" s="94">
        <f>I240*(1-C240)+MAX(0,E240*(1-C240)-Donnees_annuelles!G54)</f>
        <v/>
      </c>
      <c r="M240" s="89">
        <f>SUMIFS(Regimes!$G$5:$G$10,Regimes!$A$5:$A$10,A240)*(1-C240)/(1-0.23917)</f>
        <v/>
      </c>
      <c r="N240" s="14">
        <f>Donnees_annuelles!D54*J240</f>
        <v/>
      </c>
      <c r="O240" s="14">
        <f>Donnees_annuelles!D54*K240</f>
        <v/>
      </c>
      <c r="P240" s="14">
        <f>N240+O240</f>
        <v/>
      </c>
      <c r="Q240" s="14">
        <f>Donnees_annuelles!D54*L240</f>
        <v/>
      </c>
      <c r="R240" s="114">
        <f>P240/Donnees_annuelles!AA54*Donnees_annuelles!AI54/Donnees_annuelles!AG54</f>
        <v/>
      </c>
      <c r="S240" s="114">
        <f>P240/Donnees_annuelles!AA54*Donnees_annuelles!AJ54/Donnees_annuelles!AH54</f>
        <v/>
      </c>
    </row>
    <row r="241">
      <c r="A241" s="84" t="inlineStr">
        <is>
          <t>Fonction publique d'État</t>
        </is>
      </c>
      <c r="B241" s="88" t="n">
        <v>1997</v>
      </c>
      <c r="C241" s="93" t="n">
        <v>0.168</v>
      </c>
      <c r="D241" s="93" t="n">
        <v>0.0785</v>
      </c>
      <c r="E241" s="93" t="n">
        <v>0.474</v>
      </c>
      <c r="F241" s="7" t="inlineStr">
        <is>
          <t>implicite (IPP)</t>
        </is>
      </c>
      <c r="G241" s="93" t="n">
        <v>0</v>
      </c>
      <c r="H241" s="93" t="n">
        <v>0.013632</v>
      </c>
      <c r="I241" s="93" t="n">
        <v>0</v>
      </c>
      <c r="J241" s="94">
        <f>D241*(1-C241)+G241*MIN(C241,0.2*(1-C241))+H241</f>
        <v/>
      </c>
      <c r="K241" s="94">
        <f>MIN(E241*(1-C241),Donnees_annuelles!G55)+G241*MIN(C241,0.2*(1-C241))</f>
        <v/>
      </c>
      <c r="L241" s="94">
        <f>I241*(1-C241)+MAX(0,E241*(1-C241)-Donnees_annuelles!G55)</f>
        <v/>
      </c>
      <c r="M241" s="89">
        <f>SUMIFS(Regimes!$G$5:$G$10,Regimes!$A$5:$A$10,A241)*(1-C241)/(1-0.23917)</f>
        <v/>
      </c>
      <c r="N241" s="14">
        <f>Donnees_annuelles!D55*J241</f>
        <v/>
      </c>
      <c r="O241" s="14">
        <f>Donnees_annuelles!D55*K241</f>
        <v/>
      </c>
      <c r="P241" s="14">
        <f>N241+O241</f>
        <v/>
      </c>
      <c r="Q241" s="14">
        <f>Donnees_annuelles!D55*L241</f>
        <v/>
      </c>
      <c r="R241" s="114">
        <f>P241/Donnees_annuelles!AA55*Donnees_annuelles!AI55/Donnees_annuelles!AG55</f>
        <v/>
      </c>
      <c r="S241" s="114">
        <f>P241/Donnees_annuelles!AA55*Donnees_annuelles!AJ55/Donnees_annuelles!AH55</f>
        <v/>
      </c>
    </row>
    <row r="242">
      <c r="A242" s="84" t="inlineStr">
        <is>
          <t>Fonction publique d'État</t>
        </is>
      </c>
      <c r="B242" s="88" t="n">
        <v>1998</v>
      </c>
      <c r="C242" s="93" t="n">
        <v>0.172</v>
      </c>
      <c r="D242" s="93" t="n">
        <v>0.0785</v>
      </c>
      <c r="E242" s="93" t="n">
        <v>0.474</v>
      </c>
      <c r="F242" s="7" t="inlineStr">
        <is>
          <t>implicite (IPP)</t>
        </is>
      </c>
      <c r="G242" s="93" t="n">
        <v>0</v>
      </c>
      <c r="H242" s="93" t="n">
        <v>0.013632</v>
      </c>
      <c r="I242" s="93" t="n">
        <v>0</v>
      </c>
      <c r="J242" s="94">
        <f>D242*(1-C242)+G242*MIN(C242,0.2*(1-C242))+H242</f>
        <v/>
      </c>
      <c r="K242" s="94">
        <f>MIN(E242*(1-C242),Donnees_annuelles!G56)+G242*MIN(C242,0.2*(1-C242))</f>
        <v/>
      </c>
      <c r="L242" s="94">
        <f>I242*(1-C242)+MAX(0,E242*(1-C242)-Donnees_annuelles!G56)</f>
        <v/>
      </c>
      <c r="M242" s="89">
        <f>SUMIFS(Regimes!$G$5:$G$10,Regimes!$A$5:$A$10,A242)*(1-C242)/(1-0.23917)</f>
        <v/>
      </c>
      <c r="N242" s="14">
        <f>Donnees_annuelles!D56*J242</f>
        <v/>
      </c>
      <c r="O242" s="14">
        <f>Donnees_annuelles!D56*K242</f>
        <v/>
      </c>
      <c r="P242" s="14">
        <f>N242+O242</f>
        <v/>
      </c>
      <c r="Q242" s="14">
        <f>Donnees_annuelles!D56*L242</f>
        <v/>
      </c>
      <c r="R242" s="114">
        <f>P242/Donnees_annuelles!AA56*Donnees_annuelles!AI56/Donnees_annuelles!AG56</f>
        <v/>
      </c>
      <c r="S242" s="114">
        <f>P242/Donnees_annuelles!AA56*Donnees_annuelles!AJ56/Donnees_annuelles!AH56</f>
        <v/>
      </c>
    </row>
    <row r="243">
      <c r="A243" s="84" t="inlineStr">
        <is>
          <t>Fonction publique d'État</t>
        </is>
      </c>
      <c r="B243" s="88" t="n">
        <v>1999</v>
      </c>
      <c r="C243" s="93" t="n">
        <v>0.176</v>
      </c>
      <c r="D243" s="93" t="n">
        <v>0.0785</v>
      </c>
      <c r="E243" s="93" t="n">
        <v>0.486</v>
      </c>
      <c r="F243" s="7" t="inlineStr">
        <is>
          <t>implicite (IPP)</t>
        </is>
      </c>
      <c r="G243" s="93" t="n">
        <v>0</v>
      </c>
      <c r="H243" s="93" t="n">
        <v>0.013632</v>
      </c>
      <c r="I243" s="93" t="n">
        <v>0</v>
      </c>
      <c r="J243" s="94">
        <f>D243*(1-C243)+G243*MIN(C243,0.2*(1-C243))+H243</f>
        <v/>
      </c>
      <c r="K243" s="94">
        <f>MIN(E243*(1-C243),Donnees_annuelles!G57)+G243*MIN(C243,0.2*(1-C243))</f>
        <v/>
      </c>
      <c r="L243" s="94">
        <f>I243*(1-C243)+MAX(0,E243*(1-C243)-Donnees_annuelles!G57)</f>
        <v/>
      </c>
      <c r="M243" s="89">
        <f>SUMIFS(Regimes!$G$5:$G$10,Regimes!$A$5:$A$10,A243)*(1-C243)/(1-0.23917)</f>
        <v/>
      </c>
      <c r="N243" s="14">
        <f>Donnees_annuelles!D57*J243</f>
        <v/>
      </c>
      <c r="O243" s="14">
        <f>Donnees_annuelles!D57*K243</f>
        <v/>
      </c>
      <c r="P243" s="14">
        <f>N243+O243</f>
        <v/>
      </c>
      <c r="Q243" s="14">
        <f>Donnees_annuelles!D57*L243</f>
        <v/>
      </c>
      <c r="R243" s="114">
        <f>P243/Donnees_annuelles!AA57*Donnees_annuelles!AI57/Donnees_annuelles!AG57</f>
        <v/>
      </c>
      <c r="S243" s="114">
        <f>P243/Donnees_annuelles!AA57*Donnees_annuelles!AJ57/Donnees_annuelles!AH57</f>
        <v/>
      </c>
    </row>
    <row r="244">
      <c r="A244" s="84" t="inlineStr">
        <is>
          <t>Fonction publique d'État</t>
        </is>
      </c>
      <c r="B244" s="88" t="n">
        <v>2000</v>
      </c>
      <c r="C244" s="93" t="n">
        <v>0.18</v>
      </c>
      <c r="D244" s="93" t="n">
        <v>0.0785</v>
      </c>
      <c r="E244" s="93" t="n">
        <v>0.492</v>
      </c>
      <c r="F244" s="7" t="inlineStr">
        <is>
          <t>implicite (IPP)</t>
        </is>
      </c>
      <c r="G244" s="93" t="n">
        <v>0</v>
      </c>
      <c r="H244" s="93" t="n">
        <v>0.013632</v>
      </c>
      <c r="I244" s="93" t="n">
        <v>0</v>
      </c>
      <c r="J244" s="94">
        <f>D244*(1-C244)+G244*MIN(C244,0.2*(1-C244))+H244</f>
        <v/>
      </c>
      <c r="K244" s="94">
        <f>MIN(E244*(1-C244),Donnees_annuelles!G58)+G244*MIN(C244,0.2*(1-C244))</f>
        <v/>
      </c>
      <c r="L244" s="94">
        <f>I244*(1-C244)+MAX(0,E244*(1-C244)-Donnees_annuelles!G58)</f>
        <v/>
      </c>
      <c r="M244" s="89">
        <f>SUMIFS(Regimes!$G$5:$G$10,Regimes!$A$5:$A$10,A244)*(1-C244)/(1-0.23917)</f>
        <v/>
      </c>
      <c r="N244" s="14">
        <f>Donnees_annuelles!D58*J244</f>
        <v/>
      </c>
      <c r="O244" s="14">
        <f>Donnees_annuelles!D58*K244</f>
        <v/>
      </c>
      <c r="P244" s="14">
        <f>N244+O244</f>
        <v/>
      </c>
      <c r="Q244" s="14">
        <f>Donnees_annuelles!D58*L244</f>
        <v/>
      </c>
      <c r="R244" s="114">
        <f>P244/Donnees_annuelles!AA58*Donnees_annuelles!AI58/Donnees_annuelles!AG58</f>
        <v/>
      </c>
      <c r="S244" s="114">
        <f>P244/Donnees_annuelles!AA58*Donnees_annuelles!AJ58/Donnees_annuelles!AH58</f>
        <v/>
      </c>
    </row>
    <row r="245">
      <c r="A245" s="84" t="inlineStr">
        <is>
          <t>Fonction publique d'État</t>
        </is>
      </c>
      <c r="B245" s="88" t="n">
        <v>2001</v>
      </c>
      <c r="C245" s="93" t="n">
        <v>0.184</v>
      </c>
      <c r="D245" s="93" t="n">
        <v>0.0785</v>
      </c>
      <c r="E245" s="93" t="n">
        <v>0.487</v>
      </c>
      <c r="F245" s="7" t="inlineStr">
        <is>
          <t>implicite (IPP)</t>
        </is>
      </c>
      <c r="G245" s="93" t="n">
        <v>0</v>
      </c>
      <c r="H245" s="93" t="n">
        <v>0.012207</v>
      </c>
      <c r="I245" s="93" t="n">
        <v>0</v>
      </c>
      <c r="J245" s="94">
        <f>D245*(1-C245)+G245*MIN(C245,0.2*(1-C245))+H245</f>
        <v/>
      </c>
      <c r="K245" s="94">
        <f>MIN(E245*(1-C245),Donnees_annuelles!G59)+G245*MIN(C245,0.2*(1-C245))</f>
        <v/>
      </c>
      <c r="L245" s="94">
        <f>I245*(1-C245)+MAX(0,E245*(1-C245)-Donnees_annuelles!G59)</f>
        <v/>
      </c>
      <c r="M245" s="89">
        <f>SUMIFS(Regimes!$G$5:$G$10,Regimes!$A$5:$A$10,A245)*(1-C245)/(1-0.23917)</f>
        <v/>
      </c>
      <c r="N245" s="14">
        <f>Donnees_annuelles!D59*J245</f>
        <v/>
      </c>
      <c r="O245" s="14">
        <f>Donnees_annuelles!D59*K245</f>
        <v/>
      </c>
      <c r="P245" s="14">
        <f>N245+O245</f>
        <v/>
      </c>
      <c r="Q245" s="14">
        <f>Donnees_annuelles!D59*L245</f>
        <v/>
      </c>
      <c r="R245" s="114">
        <f>P245/Donnees_annuelles!AA59*Donnees_annuelles!AI59/Donnees_annuelles!AG59</f>
        <v/>
      </c>
      <c r="S245" s="114">
        <f>P245/Donnees_annuelles!AA59*Donnees_annuelles!AJ59/Donnees_annuelles!AH59</f>
        <v/>
      </c>
    </row>
    <row r="246">
      <c r="A246" s="84" t="inlineStr">
        <is>
          <t>Fonction publique d'État</t>
        </is>
      </c>
      <c r="B246" s="88" t="n">
        <v>2002</v>
      </c>
      <c r="C246" s="93" t="n">
        <v>0.188</v>
      </c>
      <c r="D246" s="93" t="n">
        <v>0.0785</v>
      </c>
      <c r="E246" s="93" t="n">
        <v>0.523</v>
      </c>
      <c r="F246" s="7" t="inlineStr">
        <is>
          <t>implicite (IPP)</t>
        </is>
      </c>
      <c r="G246" s="93" t="n">
        <v>0</v>
      </c>
      <c r="H246" s="93" t="n">
        <v>0.011258</v>
      </c>
      <c r="I246" s="93" t="n">
        <v>0</v>
      </c>
      <c r="J246" s="94">
        <f>D246*(1-C246)+G246*MIN(C246,0.2*(1-C246))+H246</f>
        <v/>
      </c>
      <c r="K246" s="94">
        <f>MIN(E246*(1-C246),Donnees_annuelles!G60)+G246*MIN(C246,0.2*(1-C246))</f>
        <v/>
      </c>
      <c r="L246" s="94">
        <f>I246*(1-C246)+MAX(0,E246*(1-C246)-Donnees_annuelles!G60)</f>
        <v/>
      </c>
      <c r="M246" s="89">
        <f>SUMIFS(Regimes!$G$5:$G$10,Regimes!$A$5:$A$10,A246)*(1-C246)/(1-0.23917)</f>
        <v/>
      </c>
      <c r="N246" s="14">
        <f>Donnees_annuelles!D60*J246</f>
        <v/>
      </c>
      <c r="O246" s="14">
        <f>Donnees_annuelles!D60*K246</f>
        <v/>
      </c>
      <c r="P246" s="14">
        <f>N246+O246</f>
        <v/>
      </c>
      <c r="Q246" s="14">
        <f>Donnees_annuelles!D60*L246</f>
        <v/>
      </c>
      <c r="R246" s="114">
        <f>P246/Donnees_annuelles!AA60*Donnees_annuelles!AI60/Donnees_annuelles!AG60</f>
        <v/>
      </c>
      <c r="S246" s="114">
        <f>P246/Donnees_annuelles!AA60*Donnees_annuelles!AJ60/Donnees_annuelles!AH60</f>
        <v/>
      </c>
    </row>
    <row r="247">
      <c r="A247" s="84" t="inlineStr">
        <is>
          <t>Fonction publique d'État</t>
        </is>
      </c>
      <c r="B247" s="88" t="n">
        <v>2003</v>
      </c>
      <c r="C247" s="93" t="n">
        <v>0.192</v>
      </c>
      <c r="D247" s="93" t="n">
        <v>0.0785</v>
      </c>
      <c r="E247" s="93" t="n">
        <v>0.527</v>
      </c>
      <c r="F247" s="7" t="inlineStr">
        <is>
          <t>implicite (IPP)</t>
        </is>
      </c>
      <c r="G247" s="93" t="n">
        <v>0</v>
      </c>
      <c r="H247" s="93" t="n">
        <v>0.011258</v>
      </c>
      <c r="I247" s="93" t="n">
        <v>0</v>
      </c>
      <c r="J247" s="94">
        <f>D247*(1-C247)+G247*MIN(C247,0.2*(1-C247))+H247</f>
        <v/>
      </c>
      <c r="K247" s="94">
        <f>MIN(E247*(1-C247),Donnees_annuelles!G61)+G247*MIN(C247,0.2*(1-C247))</f>
        <v/>
      </c>
      <c r="L247" s="94">
        <f>I247*(1-C247)+MAX(0,E247*(1-C247)-Donnees_annuelles!G61)</f>
        <v/>
      </c>
      <c r="M247" s="89">
        <f>SUMIFS(Regimes!$G$5:$G$10,Regimes!$A$5:$A$10,A247)*(1-C247)/(1-0.23917)</f>
        <v/>
      </c>
      <c r="N247" s="14">
        <f>Donnees_annuelles!D61*J247</f>
        <v/>
      </c>
      <c r="O247" s="14">
        <f>Donnees_annuelles!D61*K247</f>
        <v/>
      </c>
      <c r="P247" s="14">
        <f>N247+O247</f>
        <v/>
      </c>
      <c r="Q247" s="14">
        <f>Donnees_annuelles!D61*L247</f>
        <v/>
      </c>
      <c r="R247" s="114">
        <f>P247/Donnees_annuelles!AA61*Donnees_annuelles!AI61/Donnees_annuelles!AG61</f>
        <v/>
      </c>
      <c r="S247" s="114">
        <f>P247/Donnees_annuelles!AA61*Donnees_annuelles!AJ61/Donnees_annuelles!AH61</f>
        <v/>
      </c>
    </row>
    <row r="248">
      <c r="A248" s="84" t="inlineStr">
        <is>
          <t>Fonction publique d'État</t>
        </is>
      </c>
      <c r="B248" s="88" t="n">
        <v>2004</v>
      </c>
      <c r="C248" s="93" t="n">
        <v>0.196</v>
      </c>
      <c r="D248" s="93" t="n">
        <v>0.0785</v>
      </c>
      <c r="E248" s="93" t="n">
        <v>0.5679999999999999</v>
      </c>
      <c r="F248" s="7" t="inlineStr">
        <is>
          <t>implicite (IPP)</t>
        </is>
      </c>
      <c r="G248" s="93" t="n">
        <v>0</v>
      </c>
      <c r="H248" s="93" t="n">
        <v>0.011258</v>
      </c>
      <c r="I248" s="93" t="n">
        <v>0</v>
      </c>
      <c r="J248" s="94">
        <f>D248*(1-C248)+G248*MIN(C248,0.2*(1-C248))+H248</f>
        <v/>
      </c>
      <c r="K248" s="94">
        <f>MIN(E248*(1-C248),Donnees_annuelles!G62)+G248*MIN(C248,0.2*(1-C248))</f>
        <v/>
      </c>
      <c r="L248" s="94">
        <f>I248*(1-C248)+MAX(0,E248*(1-C248)-Donnees_annuelles!G62)</f>
        <v/>
      </c>
      <c r="M248" s="89">
        <f>SUMIFS(Regimes!$G$5:$G$10,Regimes!$A$5:$A$10,A248)*(1-C248)/(1-0.23917)</f>
        <v/>
      </c>
      <c r="N248" s="14">
        <f>Donnees_annuelles!D62*J248</f>
        <v/>
      </c>
      <c r="O248" s="14">
        <f>Donnees_annuelles!D62*K248</f>
        <v/>
      </c>
      <c r="P248" s="14">
        <f>N248+O248</f>
        <v/>
      </c>
      <c r="Q248" s="14">
        <f>Donnees_annuelles!D62*L248</f>
        <v/>
      </c>
      <c r="R248" s="114">
        <f>P248/Donnees_annuelles!AA62*Donnees_annuelles!AI62/Donnees_annuelles!AG62</f>
        <v/>
      </c>
      <c r="S248" s="114">
        <f>P248/Donnees_annuelles!AA62*Donnees_annuelles!AJ62/Donnees_annuelles!AH62</f>
        <v/>
      </c>
    </row>
    <row r="249">
      <c r="A249" s="84" t="inlineStr">
        <is>
          <t>Fonction publique d'État</t>
        </is>
      </c>
      <c r="B249" s="88" t="n">
        <v>2005</v>
      </c>
      <c r="C249" s="93" t="n">
        <v>0.2</v>
      </c>
      <c r="D249" s="93" t="n">
        <v>0.0785</v>
      </c>
      <c r="E249" s="93" t="n">
        <v>0.594</v>
      </c>
      <c r="F249" s="7" t="inlineStr">
        <is>
          <t>implicite (IPP)</t>
        </is>
      </c>
      <c r="G249" s="93" t="n">
        <v>0.05</v>
      </c>
      <c r="H249" s="93" t="n">
        <v>0.011494</v>
      </c>
      <c r="I249" s="93" t="n">
        <v>0</v>
      </c>
      <c r="J249" s="94">
        <f>D249*(1-C249)+G249*MIN(C249,0.2*(1-C249))+H249</f>
        <v/>
      </c>
      <c r="K249" s="94">
        <f>MIN(E249*(1-C249),Donnees_annuelles!G63)+G249*MIN(C249,0.2*(1-C249))</f>
        <v/>
      </c>
      <c r="L249" s="94">
        <f>I249*(1-C249)+MAX(0,E249*(1-C249)-Donnees_annuelles!G63)</f>
        <v/>
      </c>
      <c r="M249" s="89">
        <f>SUMIFS(Regimes!$G$5:$G$10,Regimes!$A$5:$A$10,A249)*(1-C249)/(1-0.23917)</f>
        <v/>
      </c>
      <c r="N249" s="14">
        <f>Donnees_annuelles!D63*J249</f>
        <v/>
      </c>
      <c r="O249" s="14">
        <f>Donnees_annuelles!D63*K249</f>
        <v/>
      </c>
      <c r="P249" s="14">
        <f>N249+O249</f>
        <v/>
      </c>
      <c r="Q249" s="14">
        <f>Donnees_annuelles!D63*L249</f>
        <v/>
      </c>
      <c r="R249" s="114">
        <f>P249/Donnees_annuelles!AA63*Donnees_annuelles!AI63/Donnees_annuelles!AG63</f>
        <v/>
      </c>
      <c r="S249" s="114">
        <f>P249/Donnees_annuelles!AA63*Donnees_annuelles!AJ63/Donnees_annuelles!AH63</f>
        <v/>
      </c>
    </row>
    <row r="250">
      <c r="A250" s="84" t="inlineStr">
        <is>
          <t>Fonction publique d'État</t>
        </is>
      </c>
      <c r="B250" s="88" t="n">
        <v>2006</v>
      </c>
      <c r="C250" s="93" t="n">
        <v>0.2026</v>
      </c>
      <c r="D250" s="93" t="n">
        <v>0.0785</v>
      </c>
      <c r="E250" s="93" t="n">
        <v>0.502</v>
      </c>
      <c r="F250" s="7" t="inlineStr">
        <is>
          <t>légal</t>
        </is>
      </c>
      <c r="G250" s="93" t="n">
        <v>0.05</v>
      </c>
      <c r="H250" s="93" t="n">
        <v>0.011494</v>
      </c>
      <c r="I250" s="93" t="n">
        <v>0</v>
      </c>
      <c r="J250" s="94">
        <f>D250*(1-C250)+G250*MIN(C250,0.2*(1-C250))+H250</f>
        <v/>
      </c>
      <c r="K250" s="94">
        <f>MIN(E250*(1-C250),Donnees_annuelles!G64)+G250*MIN(C250,0.2*(1-C250))</f>
        <v/>
      </c>
      <c r="L250" s="94">
        <f>I250*(1-C250)+MAX(0,E250*(1-C250)-Donnees_annuelles!G64)</f>
        <v/>
      </c>
      <c r="M250" s="89">
        <f>SUMIFS(Regimes!$G$5:$G$10,Regimes!$A$5:$A$10,A250)*(1-C250)/(1-0.23917)</f>
        <v/>
      </c>
      <c r="N250" s="14">
        <f>Donnees_annuelles!D64*J250</f>
        <v/>
      </c>
      <c r="O250" s="14">
        <f>Donnees_annuelles!D64*K250</f>
        <v/>
      </c>
      <c r="P250" s="14">
        <f>N250+O250</f>
        <v/>
      </c>
      <c r="Q250" s="14">
        <f>Donnees_annuelles!D64*L250</f>
        <v/>
      </c>
      <c r="R250" s="114">
        <f>P250/Donnees_annuelles!AA64*Donnees_annuelles!AI64/Donnees_annuelles!AG64</f>
        <v/>
      </c>
      <c r="S250" s="114">
        <f>P250/Donnees_annuelles!AA64*Donnees_annuelles!AJ64/Donnees_annuelles!AH64</f>
        <v/>
      </c>
    </row>
    <row r="251">
      <c r="A251" s="84" t="inlineStr">
        <is>
          <t>Fonction publique d'État</t>
        </is>
      </c>
      <c r="B251" s="88" t="n">
        <v>2007</v>
      </c>
      <c r="C251" s="93" t="n">
        <v>0.2052</v>
      </c>
      <c r="D251" s="93" t="n">
        <v>0.0785</v>
      </c>
      <c r="E251" s="93" t="n">
        <v>0.5105</v>
      </c>
      <c r="F251" s="7" t="inlineStr">
        <is>
          <t>légal</t>
        </is>
      </c>
      <c r="G251" s="93" t="n">
        <v>0.05</v>
      </c>
      <c r="H251" s="93" t="n">
        <v>0.011494</v>
      </c>
      <c r="I251" s="93" t="n">
        <v>0</v>
      </c>
      <c r="J251" s="94">
        <f>D251*(1-C251)+G251*MIN(C251,0.2*(1-C251))+H251</f>
        <v/>
      </c>
      <c r="K251" s="94">
        <f>MIN(E251*(1-C251),Donnees_annuelles!G65)+G251*MIN(C251,0.2*(1-C251))</f>
        <v/>
      </c>
      <c r="L251" s="94">
        <f>I251*(1-C251)+MAX(0,E251*(1-C251)-Donnees_annuelles!G65)</f>
        <v/>
      </c>
      <c r="M251" s="89">
        <f>SUMIFS(Regimes!$G$5:$G$10,Regimes!$A$5:$A$10,A251)*(1-C251)/(1-0.23917)</f>
        <v/>
      </c>
      <c r="N251" s="14">
        <f>Donnees_annuelles!D65*J251</f>
        <v/>
      </c>
      <c r="O251" s="14">
        <f>Donnees_annuelles!D65*K251</f>
        <v/>
      </c>
      <c r="P251" s="14">
        <f>N251+O251</f>
        <v/>
      </c>
      <c r="Q251" s="14">
        <f>Donnees_annuelles!D65*L251</f>
        <v/>
      </c>
      <c r="R251" s="114">
        <f>P251/Donnees_annuelles!AA65*Donnees_annuelles!AI65/Donnees_annuelles!AG65</f>
        <v/>
      </c>
      <c r="S251" s="114">
        <f>P251/Donnees_annuelles!AA65*Donnees_annuelles!AJ65/Donnees_annuelles!AH65</f>
        <v/>
      </c>
    </row>
    <row r="252">
      <c r="A252" s="84" t="inlineStr">
        <is>
          <t>Fonction publique d'État</t>
        </is>
      </c>
      <c r="B252" s="88" t="n">
        <v>2008</v>
      </c>
      <c r="C252" s="93" t="n">
        <v>0.2078</v>
      </c>
      <c r="D252" s="93" t="n">
        <v>0.0785</v>
      </c>
      <c r="E252" s="93" t="n">
        <v>0.5602</v>
      </c>
      <c r="F252" s="7" t="inlineStr">
        <is>
          <t>légal</t>
        </is>
      </c>
      <c r="G252" s="93" t="n">
        <v>0.05</v>
      </c>
      <c r="H252" s="93" t="n">
        <v>0.011494</v>
      </c>
      <c r="I252" s="93" t="n">
        <v>0</v>
      </c>
      <c r="J252" s="94">
        <f>D252*(1-C252)+G252*MIN(C252,0.2*(1-C252))+H252</f>
        <v/>
      </c>
      <c r="K252" s="94">
        <f>MIN(E252*(1-C252),Donnees_annuelles!G66)+G252*MIN(C252,0.2*(1-C252))</f>
        <v/>
      </c>
      <c r="L252" s="94">
        <f>I252*(1-C252)+MAX(0,E252*(1-C252)-Donnees_annuelles!G66)</f>
        <v/>
      </c>
      <c r="M252" s="89">
        <f>SUMIFS(Regimes!$G$5:$G$10,Regimes!$A$5:$A$10,A252)*(1-C252)/(1-0.23917)</f>
        <v/>
      </c>
      <c r="N252" s="14">
        <f>Donnees_annuelles!D66*J252</f>
        <v/>
      </c>
      <c r="O252" s="14">
        <f>Donnees_annuelles!D66*K252</f>
        <v/>
      </c>
      <c r="P252" s="14">
        <f>N252+O252</f>
        <v/>
      </c>
      <c r="Q252" s="14">
        <f>Donnees_annuelles!D66*L252</f>
        <v/>
      </c>
      <c r="R252" s="114">
        <f>P252/Donnees_annuelles!AA66*Donnees_annuelles!AI66/Donnees_annuelles!AG66</f>
        <v/>
      </c>
      <c r="S252" s="114">
        <f>P252/Donnees_annuelles!AA66*Donnees_annuelles!AJ66/Donnees_annuelles!AH66</f>
        <v/>
      </c>
    </row>
    <row r="253">
      <c r="A253" s="84" t="inlineStr">
        <is>
          <t>Fonction publique d'État</t>
        </is>
      </c>
      <c r="B253" s="88" t="n">
        <v>2009</v>
      </c>
      <c r="C253" s="93" t="n">
        <v>0.2104</v>
      </c>
      <c r="D253" s="93" t="n">
        <v>0.0785</v>
      </c>
      <c r="E253" s="93" t="n">
        <v>0.58761</v>
      </c>
      <c r="F253" s="7" t="inlineStr">
        <is>
          <t>légal</t>
        </is>
      </c>
      <c r="G253" s="93" t="n">
        <v>0.05</v>
      </c>
      <c r="H253" s="93" t="n">
        <v>0.010078</v>
      </c>
      <c r="I253" s="93" t="n">
        <v>0</v>
      </c>
      <c r="J253" s="94">
        <f>D253*(1-C253)+G253*MIN(C253,0.2*(1-C253))+H253</f>
        <v/>
      </c>
      <c r="K253" s="94">
        <f>MIN(E253*(1-C253),Donnees_annuelles!G67)+G253*MIN(C253,0.2*(1-C253))</f>
        <v/>
      </c>
      <c r="L253" s="94">
        <f>I253*(1-C253)+MAX(0,E253*(1-C253)-Donnees_annuelles!G67)</f>
        <v/>
      </c>
      <c r="M253" s="89">
        <f>SUMIFS(Regimes!$G$5:$G$10,Regimes!$A$5:$A$10,A253)*(1-C253)/(1-0.23917)</f>
        <v/>
      </c>
      <c r="N253" s="14">
        <f>Donnees_annuelles!D67*J253</f>
        <v/>
      </c>
      <c r="O253" s="14">
        <f>Donnees_annuelles!D67*K253</f>
        <v/>
      </c>
      <c r="P253" s="14">
        <f>N253+O253</f>
        <v/>
      </c>
      <c r="Q253" s="14">
        <f>Donnees_annuelles!D67*L253</f>
        <v/>
      </c>
      <c r="R253" s="114">
        <f>P253/Donnees_annuelles!AA67*Donnees_annuelles!AI67/Donnees_annuelles!AG67</f>
        <v/>
      </c>
      <c r="S253" s="114">
        <f>P253/Donnees_annuelles!AA67*Donnees_annuelles!AJ67/Donnees_annuelles!AH67</f>
        <v/>
      </c>
    </row>
    <row r="254">
      <c r="A254" s="84" t="inlineStr">
        <is>
          <t>Fonction publique d'État</t>
        </is>
      </c>
      <c r="B254" s="88" t="n">
        <v>2010</v>
      </c>
      <c r="C254" s="93" t="n">
        <v>0.2131</v>
      </c>
      <c r="D254" s="93" t="n">
        <v>0.0785</v>
      </c>
      <c r="E254" s="93" t="n">
        <v>0.6247</v>
      </c>
      <c r="F254" s="7" t="inlineStr">
        <is>
          <t>légal</t>
        </is>
      </c>
      <c r="G254" s="93" t="n">
        <v>0.05</v>
      </c>
      <c r="H254" s="93" t="n">
        <v>0.010078</v>
      </c>
      <c r="I254" s="93" t="n">
        <v>0</v>
      </c>
      <c r="J254" s="94">
        <f>D254*(1-C254)+G254*MIN(C254,0.2*(1-C254))+H254</f>
        <v/>
      </c>
      <c r="K254" s="94">
        <f>MIN(E254*(1-C254),Donnees_annuelles!G68)+G254*MIN(C254,0.2*(1-C254))</f>
        <v/>
      </c>
      <c r="L254" s="94">
        <f>I254*(1-C254)+MAX(0,E254*(1-C254)-Donnees_annuelles!G68)</f>
        <v/>
      </c>
      <c r="M254" s="89">
        <f>SUMIFS(Regimes!$G$5:$G$10,Regimes!$A$5:$A$10,A254)*(1-C254)/(1-0.23917)</f>
        <v/>
      </c>
      <c r="N254" s="14">
        <f>Donnees_annuelles!D68*J254</f>
        <v/>
      </c>
      <c r="O254" s="14">
        <f>Donnees_annuelles!D68*K254</f>
        <v/>
      </c>
      <c r="P254" s="14">
        <f>N254+O254</f>
        <v/>
      </c>
      <c r="Q254" s="14">
        <f>Donnees_annuelles!D68*L254</f>
        <v/>
      </c>
      <c r="R254" s="114">
        <f>P254/Donnees_annuelles!AA68*Donnees_annuelles!AI68/Donnees_annuelles!AG68</f>
        <v/>
      </c>
      <c r="S254" s="114">
        <f>P254/Donnees_annuelles!AA68*Donnees_annuelles!AJ68/Donnees_annuelles!AH68</f>
        <v/>
      </c>
    </row>
    <row r="255">
      <c r="A255" s="84" t="inlineStr">
        <is>
          <t>Fonction publique d'État</t>
        </is>
      </c>
      <c r="B255" s="88" t="n">
        <v>2011</v>
      </c>
      <c r="C255" s="93" t="n">
        <v>0.2157</v>
      </c>
      <c r="D255" s="93" t="n">
        <v>0.08119999999999999</v>
      </c>
      <c r="E255" s="93" t="n">
        <v>0.6572</v>
      </c>
      <c r="F255" s="7" t="inlineStr">
        <is>
          <t>légal</t>
        </is>
      </c>
      <c r="G255" s="93" t="n">
        <v>0.05</v>
      </c>
      <c r="H255" s="93" t="n">
        <v>0.010812</v>
      </c>
      <c r="I255" s="93" t="n">
        <v>0</v>
      </c>
      <c r="J255" s="94">
        <f>D255*(1-C255)+G255*MIN(C255,0.2*(1-C255))+H255</f>
        <v/>
      </c>
      <c r="K255" s="94">
        <f>MIN(E255*(1-C255),Donnees_annuelles!G69)+G255*MIN(C255,0.2*(1-C255))</f>
        <v/>
      </c>
      <c r="L255" s="94">
        <f>I255*(1-C255)+MAX(0,E255*(1-C255)-Donnees_annuelles!G69)</f>
        <v/>
      </c>
      <c r="M255" s="89">
        <f>SUMIFS(Regimes!$G$5:$G$10,Regimes!$A$5:$A$10,A255)*(1-C255)/(1-0.23917)</f>
        <v/>
      </c>
      <c r="N255" s="14">
        <f>Donnees_annuelles!D69*J255</f>
        <v/>
      </c>
      <c r="O255" s="14">
        <f>Donnees_annuelles!D69*K255</f>
        <v/>
      </c>
      <c r="P255" s="14">
        <f>N255+O255</f>
        <v/>
      </c>
      <c r="Q255" s="14">
        <f>Donnees_annuelles!D69*L255</f>
        <v/>
      </c>
      <c r="R255" s="114">
        <f>P255/Donnees_annuelles!AA69*Donnees_annuelles!AI69/Donnees_annuelles!AG69</f>
        <v/>
      </c>
      <c r="S255" s="114">
        <f>P255/Donnees_annuelles!AA69*Donnees_annuelles!AJ69/Donnees_annuelles!AH69</f>
        <v/>
      </c>
    </row>
    <row r="256">
      <c r="A256" s="84" t="inlineStr">
        <is>
          <t>Fonction publique d'État</t>
        </is>
      </c>
      <c r="B256" s="88" t="n">
        <v>2012</v>
      </c>
      <c r="C256" s="93" t="n">
        <v>0.2183</v>
      </c>
      <c r="D256" s="93" t="n">
        <v>0.08407000000000001</v>
      </c>
      <c r="E256" s="93" t="n">
        <v>0.6892</v>
      </c>
      <c r="F256" s="7" t="inlineStr">
        <is>
          <t>légal</t>
        </is>
      </c>
      <c r="G256" s="93" t="n">
        <v>0.05</v>
      </c>
      <c r="H256" s="93" t="n">
        <v>0.010951</v>
      </c>
      <c r="I256" s="93" t="n">
        <v>0</v>
      </c>
      <c r="J256" s="94">
        <f>D256*(1-C256)+G256*MIN(C256,0.2*(1-C256))+H256</f>
        <v/>
      </c>
      <c r="K256" s="94">
        <f>MIN(E256*(1-C256),Donnees_annuelles!G70)+G256*MIN(C256,0.2*(1-C256))</f>
        <v/>
      </c>
      <c r="L256" s="94">
        <f>I256*(1-C256)+MAX(0,E256*(1-C256)-Donnees_annuelles!G70)</f>
        <v/>
      </c>
      <c r="M256" s="89">
        <f>SUMIFS(Regimes!$G$5:$G$10,Regimes!$A$5:$A$10,A256)*(1-C256)/(1-0.23917)</f>
        <v/>
      </c>
      <c r="N256" s="14">
        <f>Donnees_annuelles!D70*J256</f>
        <v/>
      </c>
      <c r="O256" s="14">
        <f>Donnees_annuelles!D70*K256</f>
        <v/>
      </c>
      <c r="P256" s="14">
        <f>N256+O256</f>
        <v/>
      </c>
      <c r="Q256" s="14">
        <f>Donnees_annuelles!D70*L256</f>
        <v/>
      </c>
      <c r="R256" s="114">
        <f>P256/Donnees_annuelles!AA70*Donnees_annuelles!AI70/Donnees_annuelles!AG70</f>
        <v/>
      </c>
      <c r="S256" s="114">
        <f>P256/Donnees_annuelles!AA70*Donnees_annuelles!AJ70/Donnees_annuelles!AH70</f>
        <v/>
      </c>
    </row>
    <row r="257">
      <c r="A257" s="84" t="inlineStr">
        <is>
          <t>Fonction publique d'État</t>
        </is>
      </c>
      <c r="B257" s="88" t="n">
        <v>2013</v>
      </c>
      <c r="C257" s="93" t="n">
        <v>0.2209</v>
      </c>
      <c r="D257" s="93" t="n">
        <v>0.0876</v>
      </c>
      <c r="E257" s="93" t="n">
        <v>0.72052</v>
      </c>
      <c r="F257" s="7" t="inlineStr">
        <is>
          <t>légal</t>
        </is>
      </c>
      <c r="G257" s="93" t="n">
        <v>0.05</v>
      </c>
      <c r="H257" s="93" t="n">
        <v>0.010951</v>
      </c>
      <c r="I257" s="93" t="n">
        <v>0</v>
      </c>
      <c r="J257" s="94">
        <f>D257*(1-C257)+G257*MIN(C257,0.2*(1-C257))+H257</f>
        <v/>
      </c>
      <c r="K257" s="94">
        <f>MIN(E257*(1-C257),Donnees_annuelles!G71)+G257*MIN(C257,0.2*(1-C257))</f>
        <v/>
      </c>
      <c r="L257" s="94">
        <f>I257*(1-C257)+MAX(0,E257*(1-C257)-Donnees_annuelles!G71)</f>
        <v/>
      </c>
      <c r="M257" s="89">
        <f>SUMIFS(Regimes!$G$5:$G$10,Regimes!$A$5:$A$10,A257)*(1-C257)/(1-0.23917)</f>
        <v/>
      </c>
      <c r="N257" s="14">
        <f>Donnees_annuelles!D71*J257</f>
        <v/>
      </c>
      <c r="O257" s="14">
        <f>Donnees_annuelles!D71*K257</f>
        <v/>
      </c>
      <c r="P257" s="14">
        <f>N257+O257</f>
        <v/>
      </c>
      <c r="Q257" s="14">
        <f>Donnees_annuelles!D71*L257</f>
        <v/>
      </c>
      <c r="R257" s="114">
        <f>P257/Donnees_annuelles!AA71*Donnees_annuelles!AI71/Donnees_annuelles!AG71</f>
        <v/>
      </c>
      <c r="S257" s="114">
        <f>P257/Donnees_annuelles!AA71*Donnees_annuelles!AJ71/Donnees_annuelles!AH71</f>
        <v/>
      </c>
    </row>
    <row r="258">
      <c r="A258" s="84" t="inlineStr">
        <is>
          <t>Fonction publique d'État</t>
        </is>
      </c>
      <c r="B258" s="88" t="n">
        <v>2014</v>
      </c>
      <c r="C258" s="93" t="n">
        <v>0.2235</v>
      </c>
      <c r="D258" s="93" t="n">
        <v>0.0914</v>
      </c>
      <c r="E258" s="93" t="n">
        <v>0.746</v>
      </c>
      <c r="F258" s="7" t="inlineStr">
        <is>
          <t>légal</t>
        </is>
      </c>
      <c r="G258" s="93" t="n">
        <v>0.05</v>
      </c>
      <c r="H258" s="93" t="n">
        <v>0.010951</v>
      </c>
      <c r="I258" s="93" t="n">
        <v>0</v>
      </c>
      <c r="J258" s="94">
        <f>D258*(1-C258)+G258*MIN(C258,0.2*(1-C258))+H258</f>
        <v/>
      </c>
      <c r="K258" s="94">
        <f>MIN(E258*(1-C258),Donnees_annuelles!G72)+G258*MIN(C258,0.2*(1-C258))</f>
        <v/>
      </c>
      <c r="L258" s="94">
        <f>I258*(1-C258)+MAX(0,E258*(1-C258)-Donnees_annuelles!G72)</f>
        <v/>
      </c>
      <c r="M258" s="89">
        <f>SUMIFS(Regimes!$G$5:$G$10,Regimes!$A$5:$A$10,A258)*(1-C258)/(1-0.23917)</f>
        <v/>
      </c>
      <c r="N258" s="14">
        <f>Donnees_annuelles!D72*J258</f>
        <v/>
      </c>
      <c r="O258" s="14">
        <f>Donnees_annuelles!D72*K258</f>
        <v/>
      </c>
      <c r="P258" s="14">
        <f>N258+O258</f>
        <v/>
      </c>
      <c r="Q258" s="14">
        <f>Donnees_annuelles!D72*L258</f>
        <v/>
      </c>
      <c r="R258" s="114">
        <f>P258/Donnees_annuelles!AA72*Donnees_annuelles!AI72/Donnees_annuelles!AG72</f>
        <v/>
      </c>
      <c r="S258" s="114">
        <f>P258/Donnees_annuelles!AA72*Donnees_annuelles!AJ72/Donnees_annuelles!AH72</f>
        <v/>
      </c>
    </row>
    <row r="259">
      <c r="A259" s="84" t="inlineStr">
        <is>
          <t>Fonction publique d'État</t>
        </is>
      </c>
      <c r="B259" s="88" t="n">
        <v>2015</v>
      </c>
      <c r="C259" s="93" t="n">
        <v>0.2261</v>
      </c>
      <c r="D259" s="93" t="n">
        <v>0.0954</v>
      </c>
      <c r="E259" s="93" t="n">
        <v>0.746</v>
      </c>
      <c r="F259" s="7" t="inlineStr">
        <is>
          <t>légal</t>
        </is>
      </c>
      <c r="G259" s="93" t="n">
        <v>0.05</v>
      </c>
      <c r="H259" s="93" t="n">
        <v>0.010951</v>
      </c>
      <c r="I259" s="93" t="n">
        <v>0</v>
      </c>
      <c r="J259" s="94">
        <f>D259*(1-C259)+G259*MIN(C259,0.2*(1-C259))+H259</f>
        <v/>
      </c>
      <c r="K259" s="94">
        <f>MIN(E259*(1-C259),Donnees_annuelles!G73)+G259*MIN(C259,0.2*(1-C259))</f>
        <v/>
      </c>
      <c r="L259" s="94">
        <f>I259*(1-C259)+MAX(0,E259*(1-C259)-Donnees_annuelles!G73)</f>
        <v/>
      </c>
      <c r="M259" s="89">
        <f>SUMIFS(Regimes!$G$5:$G$10,Regimes!$A$5:$A$10,A259)*(1-C259)/(1-0.23917)</f>
        <v/>
      </c>
      <c r="N259" s="14">
        <f>Donnees_annuelles!D73*J259</f>
        <v/>
      </c>
      <c r="O259" s="14">
        <f>Donnees_annuelles!D73*K259</f>
        <v/>
      </c>
      <c r="P259" s="14">
        <f>N259+O259</f>
        <v/>
      </c>
      <c r="Q259" s="14">
        <f>Donnees_annuelles!D73*L259</f>
        <v/>
      </c>
      <c r="R259" s="114">
        <f>P259/Donnees_annuelles!AA73*Donnees_annuelles!AI73/Donnees_annuelles!AG73</f>
        <v/>
      </c>
      <c r="S259" s="114">
        <f>P259/Donnees_annuelles!AA73*Donnees_annuelles!AJ73/Donnees_annuelles!AH73</f>
        <v/>
      </c>
    </row>
    <row r="260">
      <c r="A260" s="84" t="inlineStr">
        <is>
          <t>Fonction publique d'État</t>
        </is>
      </c>
      <c r="B260" s="88" t="n">
        <v>2016</v>
      </c>
      <c r="C260" s="93" t="n">
        <v>0.2287</v>
      </c>
      <c r="D260" s="93" t="n">
        <v>0.0994</v>
      </c>
      <c r="E260" s="93" t="n">
        <v>0.746</v>
      </c>
      <c r="F260" s="7" t="inlineStr">
        <is>
          <t>légal</t>
        </is>
      </c>
      <c r="G260" s="93" t="n">
        <v>0.05</v>
      </c>
      <c r="H260" s="93" t="n">
        <v>0.002918</v>
      </c>
      <c r="I260" s="93" t="n">
        <v>0</v>
      </c>
      <c r="J260" s="94">
        <f>D260*(1-C260)+G260*MIN(C260,0.2*(1-C260))+H260</f>
        <v/>
      </c>
      <c r="K260" s="94">
        <f>MIN(E260*(1-C260),Donnees_annuelles!G74)+G260*MIN(C260,0.2*(1-C260))</f>
        <v/>
      </c>
      <c r="L260" s="94">
        <f>I260*(1-C260)+MAX(0,E260*(1-C260)-Donnees_annuelles!G74)</f>
        <v/>
      </c>
      <c r="M260" s="89">
        <f>SUMIFS(Regimes!$G$5:$G$10,Regimes!$A$5:$A$10,A260)*(1-C260)/(1-0.23917)</f>
        <v/>
      </c>
      <c r="N260" s="14">
        <f>Donnees_annuelles!D74*J260</f>
        <v/>
      </c>
      <c r="O260" s="14">
        <f>Donnees_annuelles!D74*K260</f>
        <v/>
      </c>
      <c r="P260" s="14">
        <f>N260+O260</f>
        <v/>
      </c>
      <c r="Q260" s="14">
        <f>Donnees_annuelles!D74*L260</f>
        <v/>
      </c>
      <c r="R260" s="114">
        <f>P260/Donnees_annuelles!AA74*Donnees_annuelles!AI74/Donnees_annuelles!AG74</f>
        <v/>
      </c>
      <c r="S260" s="114">
        <f>P260/Donnees_annuelles!AA74*Donnees_annuelles!AJ74/Donnees_annuelles!AH74</f>
        <v/>
      </c>
    </row>
    <row r="261">
      <c r="A261" s="84" t="inlineStr">
        <is>
          <t>Fonction publique d'État</t>
        </is>
      </c>
      <c r="B261" s="88" t="n">
        <v>2017</v>
      </c>
      <c r="C261" s="93" t="n">
        <v>0.2313</v>
      </c>
      <c r="D261" s="93" t="n">
        <v>0.1029</v>
      </c>
      <c r="E261" s="93" t="n">
        <v>0.746</v>
      </c>
      <c r="F261" s="7" t="inlineStr">
        <is>
          <t>légal</t>
        </is>
      </c>
      <c r="G261" s="93" t="n">
        <v>0.05</v>
      </c>
      <c r="H261" s="93" t="n">
        <v>0.002918</v>
      </c>
      <c r="I261" s="93" t="n">
        <v>0</v>
      </c>
      <c r="J261" s="94">
        <f>D261*(1-C261)+G261*MIN(C261,0.2*(1-C261))+H261</f>
        <v/>
      </c>
      <c r="K261" s="94">
        <f>MIN(E261*(1-C261),Donnees_annuelles!G75)+G261*MIN(C261,0.2*(1-C261))</f>
        <v/>
      </c>
      <c r="L261" s="94">
        <f>I261*(1-C261)+MAX(0,E261*(1-C261)-Donnees_annuelles!G75)</f>
        <v/>
      </c>
      <c r="M261" s="89">
        <f>SUMIFS(Regimes!$G$5:$G$10,Regimes!$A$5:$A$10,A261)*(1-C261)/(1-0.23917)</f>
        <v/>
      </c>
      <c r="N261" s="14">
        <f>Donnees_annuelles!D75*J261</f>
        <v/>
      </c>
      <c r="O261" s="14">
        <f>Donnees_annuelles!D75*K261</f>
        <v/>
      </c>
      <c r="P261" s="14">
        <f>N261+O261</f>
        <v/>
      </c>
      <c r="Q261" s="14">
        <f>Donnees_annuelles!D75*L261</f>
        <v/>
      </c>
      <c r="R261" s="114">
        <f>P261/Donnees_annuelles!AA75*Donnees_annuelles!AI75/Donnees_annuelles!AG75</f>
        <v/>
      </c>
      <c r="S261" s="114">
        <f>P261/Donnees_annuelles!AA75*Donnees_annuelles!AJ75/Donnees_annuelles!AH75</f>
        <v/>
      </c>
    </row>
    <row r="262">
      <c r="A262" s="84" t="inlineStr">
        <is>
          <t>Fonction publique d'État</t>
        </is>
      </c>
      <c r="B262" s="88" t="n">
        <v>2018</v>
      </c>
      <c r="C262" s="93" t="n">
        <v>0.2339</v>
      </c>
      <c r="D262" s="93" t="n">
        <v>0.1056</v>
      </c>
      <c r="E262" s="93" t="n">
        <v>0.746</v>
      </c>
      <c r="F262" s="7" t="inlineStr">
        <is>
          <t>légal</t>
        </is>
      </c>
      <c r="G262" s="93" t="n">
        <v>0.05</v>
      </c>
      <c r="H262" s="93" t="n">
        <v>0.002918</v>
      </c>
      <c r="I262" s="93" t="n">
        <v>0</v>
      </c>
      <c r="J262" s="94">
        <f>D262*(1-C262)+G262*MIN(C262,0.2*(1-C262))+H262</f>
        <v/>
      </c>
      <c r="K262" s="94">
        <f>MIN(E262*(1-C262),Donnees_annuelles!G76)+G262*MIN(C262,0.2*(1-C262))</f>
        <v/>
      </c>
      <c r="L262" s="94">
        <f>I262*(1-C262)+MAX(0,E262*(1-C262)-Donnees_annuelles!G76)</f>
        <v/>
      </c>
      <c r="M262" s="89">
        <f>SUMIFS(Regimes!$G$5:$G$10,Regimes!$A$5:$A$10,A262)*(1-C262)/(1-0.23917)</f>
        <v/>
      </c>
      <c r="N262" s="14">
        <f>Donnees_annuelles!D76*J262</f>
        <v/>
      </c>
      <c r="O262" s="14">
        <f>Donnees_annuelles!D76*K262</f>
        <v/>
      </c>
      <c r="P262" s="14">
        <f>N262+O262</f>
        <v/>
      </c>
      <c r="Q262" s="14">
        <f>Donnees_annuelles!D76*L262</f>
        <v/>
      </c>
      <c r="R262" s="114">
        <f>P262/Donnees_annuelles!AA76*Donnees_annuelles!AI76/Donnees_annuelles!AG76</f>
        <v/>
      </c>
      <c r="S262" s="114">
        <f>P262/Donnees_annuelles!AA76*Donnees_annuelles!AJ76/Donnees_annuelles!AH76</f>
        <v/>
      </c>
    </row>
    <row r="263">
      <c r="A263" s="84" t="inlineStr">
        <is>
          <t>Fonction publique d'État</t>
        </is>
      </c>
      <c r="B263" s="88" t="n">
        <v>2019</v>
      </c>
      <c r="C263" s="93" t="n">
        <v>0.2366</v>
      </c>
      <c r="D263" s="93" t="n">
        <v>0.1083</v>
      </c>
      <c r="E263" s="93" t="n">
        <v>0.746</v>
      </c>
      <c r="F263" s="7" t="inlineStr">
        <is>
          <t>légal</t>
        </is>
      </c>
      <c r="G263" s="93" t="n">
        <v>0.05</v>
      </c>
      <c r="H263" s="93" t="n">
        <v>0.002918</v>
      </c>
      <c r="I263" s="93" t="n">
        <v>0</v>
      </c>
      <c r="J263" s="94">
        <f>D263*(1-C263)+G263*MIN(C263,0.2*(1-C263))+H263</f>
        <v/>
      </c>
      <c r="K263" s="94">
        <f>MIN(E263*(1-C263),Donnees_annuelles!G77)+G263*MIN(C263,0.2*(1-C263))</f>
        <v/>
      </c>
      <c r="L263" s="94">
        <f>I263*(1-C263)+MAX(0,E263*(1-C263)-Donnees_annuelles!G77)</f>
        <v/>
      </c>
      <c r="M263" s="89">
        <f>SUMIFS(Regimes!$G$5:$G$10,Regimes!$A$5:$A$10,A263)*(1-C263)/(1-0.23917)</f>
        <v/>
      </c>
      <c r="N263" s="14">
        <f>Donnees_annuelles!D77*J263</f>
        <v/>
      </c>
      <c r="O263" s="14">
        <f>Donnees_annuelles!D77*K263</f>
        <v/>
      </c>
      <c r="P263" s="14">
        <f>N263+O263</f>
        <v/>
      </c>
      <c r="Q263" s="14">
        <f>Donnees_annuelles!D77*L263</f>
        <v/>
      </c>
      <c r="R263" s="114">
        <f>P263/Donnees_annuelles!AA77*Donnees_annuelles!AI77/Donnees_annuelles!AG77</f>
        <v/>
      </c>
      <c r="S263" s="114">
        <f>P263/Donnees_annuelles!AA77*Donnees_annuelles!AJ77/Donnees_annuelles!AH77</f>
        <v/>
      </c>
    </row>
    <row r="264">
      <c r="A264" s="84" t="inlineStr">
        <is>
          <t>Fonction publique d'État</t>
        </is>
      </c>
      <c r="B264" s="88" t="n">
        <v>2020</v>
      </c>
      <c r="C264" s="93" t="n">
        <v>0.2392</v>
      </c>
      <c r="D264" s="93" t="n">
        <v>0.111</v>
      </c>
      <c r="E264" s="93" t="n">
        <v>0.746</v>
      </c>
      <c r="F264" s="7" t="inlineStr">
        <is>
          <t>légal</t>
        </is>
      </c>
      <c r="G264" s="93" t="n">
        <v>0.05</v>
      </c>
      <c r="H264" s="93" t="n">
        <v>0.002918</v>
      </c>
      <c r="I264" s="93" t="n">
        <v>0</v>
      </c>
      <c r="J264" s="94">
        <f>D264*(1-C264)+G264*MIN(C264,0.2*(1-C264))+H264</f>
        <v/>
      </c>
      <c r="K264" s="94">
        <f>MIN(E264*(1-C264),Donnees_annuelles!G78)+G264*MIN(C264,0.2*(1-C264))</f>
        <v/>
      </c>
      <c r="L264" s="94">
        <f>I264*(1-C264)+MAX(0,E264*(1-C264)-Donnees_annuelles!G78)</f>
        <v/>
      </c>
      <c r="M264" s="89">
        <f>SUMIFS(Regimes!$G$5:$G$10,Regimes!$A$5:$A$10,A264)*(1-C264)/(1-0.23917)</f>
        <v/>
      </c>
      <c r="N264" s="14">
        <f>Donnees_annuelles!D78*J264</f>
        <v/>
      </c>
      <c r="O264" s="14">
        <f>Donnees_annuelles!D78*K264</f>
        <v/>
      </c>
      <c r="P264" s="14">
        <f>N264+O264</f>
        <v/>
      </c>
      <c r="Q264" s="14">
        <f>Donnees_annuelles!D78*L264</f>
        <v/>
      </c>
      <c r="R264" s="114">
        <f>P264/Donnees_annuelles!AA78*Donnees_annuelles!AI78/Donnees_annuelles!AG78</f>
        <v/>
      </c>
      <c r="S264" s="114">
        <f>P264/Donnees_annuelles!AA78*Donnees_annuelles!AJ78/Donnees_annuelles!AH78</f>
        <v/>
      </c>
    </row>
    <row r="265">
      <c r="A265" s="84" t="inlineStr">
        <is>
          <t>Fonction publique d'État</t>
        </is>
      </c>
      <c r="B265" s="88" t="n">
        <v>2021</v>
      </c>
      <c r="C265" s="93" t="n">
        <v>0.2418</v>
      </c>
      <c r="D265" s="93" t="n">
        <v>0.111</v>
      </c>
      <c r="E265" s="93" t="n">
        <v>0.746</v>
      </c>
      <c r="F265" s="7" t="inlineStr">
        <is>
          <t>légal</t>
        </is>
      </c>
      <c r="G265" s="93" t="n">
        <v>0.05</v>
      </c>
      <c r="H265" s="93" t="n">
        <v>0.002918</v>
      </c>
      <c r="I265" s="93" t="n">
        <v>0</v>
      </c>
      <c r="J265" s="94">
        <f>D265*(1-C265)+G265*MIN(C265,0.2*(1-C265))+H265</f>
        <v/>
      </c>
      <c r="K265" s="94">
        <f>MIN(E265*(1-C265),Donnees_annuelles!G79)+G265*MIN(C265,0.2*(1-C265))</f>
        <v/>
      </c>
      <c r="L265" s="94">
        <f>I265*(1-C265)+MAX(0,E265*(1-C265)-Donnees_annuelles!G79)</f>
        <v/>
      </c>
      <c r="M265" s="89">
        <f>SUMIFS(Regimes!$G$5:$G$10,Regimes!$A$5:$A$10,A265)*(1-C265)/(1-0.23917)</f>
        <v/>
      </c>
      <c r="N265" s="14">
        <f>Donnees_annuelles!D79*J265</f>
        <v/>
      </c>
      <c r="O265" s="14">
        <f>Donnees_annuelles!D79*K265</f>
        <v/>
      </c>
      <c r="P265" s="14">
        <f>N265+O265</f>
        <v/>
      </c>
      <c r="Q265" s="14">
        <f>Donnees_annuelles!D79*L265</f>
        <v/>
      </c>
      <c r="R265" s="114">
        <f>P265/Donnees_annuelles!AA79*Donnees_annuelles!AI79/Donnees_annuelles!AG79</f>
        <v/>
      </c>
      <c r="S265" s="114">
        <f>P265/Donnees_annuelles!AA79*Donnees_annuelles!AJ79/Donnees_annuelles!AH79</f>
        <v/>
      </c>
    </row>
    <row r="266">
      <c r="A266" s="84" t="inlineStr">
        <is>
          <t>Fonction publique d'État</t>
        </is>
      </c>
      <c r="B266" s="88" t="n">
        <v>2022</v>
      </c>
      <c r="C266" s="93" t="n">
        <v>0.2444</v>
      </c>
      <c r="D266" s="93" t="n">
        <v>0.111</v>
      </c>
      <c r="E266" s="93" t="n">
        <v>0.746</v>
      </c>
      <c r="F266" s="7" t="inlineStr">
        <is>
          <t>légal</t>
        </is>
      </c>
      <c r="G266" s="93" t="n">
        <v>0.05</v>
      </c>
      <c r="H266" s="93" t="n">
        <v>0.002918</v>
      </c>
      <c r="I266" s="93" t="n">
        <v>0</v>
      </c>
      <c r="J266" s="94">
        <f>D266*(1-C266)+G266*MIN(C266,0.2*(1-C266))+H266</f>
        <v/>
      </c>
      <c r="K266" s="94">
        <f>MIN(E266*(1-C266),Donnees_annuelles!G80)+G266*MIN(C266,0.2*(1-C266))</f>
        <v/>
      </c>
      <c r="L266" s="94">
        <f>I266*(1-C266)+MAX(0,E266*(1-C266)-Donnees_annuelles!G80)</f>
        <v/>
      </c>
      <c r="M266" s="89">
        <f>SUMIFS(Regimes!$G$5:$G$10,Regimes!$A$5:$A$10,A266)*(1-C266)/(1-0.23917)</f>
        <v/>
      </c>
      <c r="N266" s="14">
        <f>Donnees_annuelles!D80*J266</f>
        <v/>
      </c>
      <c r="O266" s="14">
        <f>Donnees_annuelles!D80*K266</f>
        <v/>
      </c>
      <c r="P266" s="14">
        <f>N266+O266</f>
        <v/>
      </c>
      <c r="Q266" s="14">
        <f>Donnees_annuelles!D80*L266</f>
        <v/>
      </c>
      <c r="R266" s="114">
        <f>P266/Donnees_annuelles!AA80*Donnees_annuelles!AI80/Donnees_annuelles!AG80</f>
        <v/>
      </c>
      <c r="S266" s="114">
        <f>P266/Donnees_annuelles!AA80*Donnees_annuelles!AJ80/Donnees_annuelles!AH80</f>
        <v/>
      </c>
    </row>
    <row r="267">
      <c r="A267" s="84" t="inlineStr">
        <is>
          <t>Fonction publique d'État</t>
        </is>
      </c>
      <c r="B267" s="88" t="n">
        <v>2023</v>
      </c>
      <c r="C267" s="93" t="n">
        <v>0.247</v>
      </c>
      <c r="D267" s="93" t="n">
        <v>0.111</v>
      </c>
      <c r="E267" s="93" t="n">
        <v>0.746</v>
      </c>
      <c r="F267" s="7" t="inlineStr">
        <is>
          <t>légal</t>
        </is>
      </c>
      <c r="G267" s="93" t="n">
        <v>0.05</v>
      </c>
      <c r="H267" s="93" t="n">
        <v>0.002918</v>
      </c>
      <c r="I267" s="93" t="n">
        <v>0</v>
      </c>
      <c r="J267" s="94">
        <f>D267*(1-C267)+G267*MIN(C267,0.2*(1-C267))+H267</f>
        <v/>
      </c>
      <c r="K267" s="94">
        <f>MIN(E267*(1-C267),Donnees_annuelles!G81)+G267*MIN(C267,0.2*(1-C267))</f>
        <v/>
      </c>
      <c r="L267" s="94">
        <f>I267*(1-C267)+MAX(0,E267*(1-C267)-Donnees_annuelles!G81)</f>
        <v/>
      </c>
      <c r="M267" s="89">
        <f>SUMIFS(Regimes!$G$5:$G$10,Regimes!$A$5:$A$10,A267)*(1-C267)/(1-0.23917)</f>
        <v/>
      </c>
      <c r="N267" s="14">
        <f>Donnees_annuelles!D81*J267</f>
        <v/>
      </c>
      <c r="O267" s="14">
        <f>Donnees_annuelles!D81*K267</f>
        <v/>
      </c>
      <c r="P267" s="14">
        <f>N267+O267</f>
        <v/>
      </c>
      <c r="Q267" s="14">
        <f>Donnees_annuelles!D81*L267</f>
        <v/>
      </c>
      <c r="R267" s="114">
        <f>P267/Donnees_annuelles!AA81*Donnees_annuelles!AI81/Donnees_annuelles!AG81</f>
        <v/>
      </c>
      <c r="S267" s="114">
        <f>P267/Donnees_annuelles!AA81*Donnees_annuelles!AJ81/Donnees_annuelles!AH81</f>
        <v/>
      </c>
    </row>
    <row r="268">
      <c r="A268" s="84" t="inlineStr">
        <is>
          <t>Fonction publique d'État</t>
        </is>
      </c>
      <c r="B268" s="88" t="n">
        <v>2024</v>
      </c>
      <c r="C268" s="93" t="n">
        <v>0.247</v>
      </c>
      <c r="D268" s="93" t="n">
        <v>0.111</v>
      </c>
      <c r="E268" s="93" t="n">
        <v>0.746</v>
      </c>
      <c r="F268" s="7" t="inlineStr">
        <is>
          <t>légal</t>
        </is>
      </c>
      <c r="G268" s="93" t="n">
        <v>0.05</v>
      </c>
      <c r="H268" s="93" t="n">
        <v>0.00252</v>
      </c>
      <c r="I268" s="93" t="n">
        <v>0</v>
      </c>
      <c r="J268" s="94">
        <f>D268*(1-C268)+G268*MIN(C268,0.2*(1-C268))+H268</f>
        <v/>
      </c>
      <c r="K268" s="94">
        <f>MIN(E268*(1-C268),Donnees_annuelles!G82)+G268*MIN(C268,0.2*(1-C268))</f>
        <v/>
      </c>
      <c r="L268" s="94">
        <f>I268*(1-C268)+MAX(0,E268*(1-C268)-Donnees_annuelles!G82)</f>
        <v/>
      </c>
      <c r="M268" s="89">
        <f>SUMIFS(Regimes!$G$5:$G$10,Regimes!$A$5:$A$10,A268)*(1-C268)/(1-0.23917)</f>
        <v/>
      </c>
      <c r="N268" s="14">
        <f>Donnees_annuelles!D82*J268</f>
        <v/>
      </c>
      <c r="O268" s="14">
        <f>Donnees_annuelles!D82*K268</f>
        <v/>
      </c>
      <c r="P268" s="14">
        <f>N268+O268</f>
        <v/>
      </c>
      <c r="Q268" s="14">
        <f>Donnees_annuelles!D82*L268</f>
        <v/>
      </c>
      <c r="R268" s="114">
        <f>P268/Donnees_annuelles!AA82*Donnees_annuelles!AI82/Donnees_annuelles!AG82</f>
        <v/>
      </c>
      <c r="S268" s="114">
        <f>P268/Donnees_annuelles!AA82*Donnees_annuelles!AJ82/Donnees_annuelles!AH82</f>
        <v/>
      </c>
    </row>
    <row r="269">
      <c r="A269" s="84" t="inlineStr">
        <is>
          <t>Fonction publique d'État</t>
        </is>
      </c>
      <c r="B269" s="88" t="n">
        <v>2025</v>
      </c>
      <c r="C269" s="93" t="n">
        <v>0.247</v>
      </c>
      <c r="D269" s="93" t="n">
        <v>0.111</v>
      </c>
      <c r="E269" s="93" t="n">
        <v>0.786</v>
      </c>
      <c r="F269" s="7" t="inlineStr">
        <is>
          <t>légal</t>
        </is>
      </c>
      <c r="G269" s="93" t="n">
        <v>0.05</v>
      </c>
      <c r="H269" s="93" t="n">
        <v>0.00252</v>
      </c>
      <c r="I269" s="93" t="n">
        <v>0</v>
      </c>
      <c r="J269" s="94">
        <f>D269*(1-C269)+G269*MIN(C269,0.2*(1-C269))+H269</f>
        <v/>
      </c>
      <c r="K269" s="94">
        <f>MIN(E269*(1-C269),Donnees_annuelles!G83)+G269*MIN(C269,0.2*(1-C269))</f>
        <v/>
      </c>
      <c r="L269" s="94">
        <f>I269*(1-C269)+MAX(0,E269*(1-C269)-Donnees_annuelles!G83)</f>
        <v/>
      </c>
      <c r="M269" s="89">
        <f>SUMIFS(Regimes!$G$5:$G$10,Regimes!$A$5:$A$10,A269)*(1-C269)/(1-0.23917)</f>
        <v/>
      </c>
      <c r="N269" s="14">
        <f>Donnees_annuelles!D83*J269</f>
        <v/>
      </c>
      <c r="O269" s="14">
        <f>Donnees_annuelles!D83*K269</f>
        <v/>
      </c>
      <c r="P269" s="14">
        <f>N269+O269</f>
        <v/>
      </c>
      <c r="Q269" s="14">
        <f>Donnees_annuelles!D83*L269</f>
        <v/>
      </c>
      <c r="R269" s="114">
        <f>P269/Donnees_annuelles!AA83*Donnees_annuelles!AI83/Donnees_annuelles!AG83</f>
        <v/>
      </c>
      <c r="S269" s="114">
        <f>P269/Donnees_annuelles!AA83*Donnees_annuelles!AJ83/Donnees_annuelles!AH83</f>
        <v/>
      </c>
    </row>
    <row r="270">
      <c r="A270" s="84" t="inlineStr">
        <is>
          <t>Fonction publique d'État</t>
        </is>
      </c>
      <c r="B270" s="88" t="n">
        <v>2026</v>
      </c>
      <c r="C270" s="93" t="n">
        <v>0.247</v>
      </c>
      <c r="D270" s="93" t="n">
        <v>0.111</v>
      </c>
      <c r="E270" s="93" t="n">
        <v>0.826</v>
      </c>
      <c r="F270" s="7" t="inlineStr">
        <is>
          <t>légal</t>
        </is>
      </c>
      <c r="G270" s="93" t="n">
        <v>0.05</v>
      </c>
      <c r="H270" s="93" t="n">
        <v>0.00252</v>
      </c>
      <c r="I270" s="93" t="n">
        <v>0</v>
      </c>
      <c r="J270" s="94">
        <f>D270*(1-C270)+G270*MIN(C270,0.2*(1-C270))+H270</f>
        <v/>
      </c>
      <c r="K270" s="94">
        <f>MIN(E270*(1-C270),Donnees_annuelles!G84)+G270*MIN(C270,0.2*(1-C270))</f>
        <v/>
      </c>
      <c r="L270" s="94">
        <f>I270*(1-C270)+MAX(0,E270*(1-C270)-Donnees_annuelles!G84)</f>
        <v/>
      </c>
      <c r="M270" s="89">
        <f>SUMIFS(Regimes!$G$5:$G$10,Regimes!$A$5:$A$10,A270)*(1-C270)/(1-0.23917)</f>
        <v/>
      </c>
      <c r="N270" s="14">
        <f>Donnees_annuelles!D84*J270</f>
        <v/>
      </c>
      <c r="O270" s="14">
        <f>Donnees_annuelles!D84*K270</f>
        <v/>
      </c>
      <c r="P270" s="14">
        <f>N270+O270</f>
        <v/>
      </c>
      <c r="Q270" s="14">
        <f>Donnees_annuelles!D84*L270</f>
        <v/>
      </c>
      <c r="R270" s="114">
        <f>P270/Donnees_annuelles!AA84*Donnees_annuelles!AI84/Donnees_annuelles!AG84</f>
        <v/>
      </c>
      <c r="S270" s="114">
        <f>P270/Donnees_annuelles!AA84*Donnees_annuelles!AJ84/Donnees_annuelles!AH84</f>
        <v/>
      </c>
    </row>
    <row r="271">
      <c r="A271" s="115" t="inlineStr">
        <is>
          <t>Fonction publique d'État</t>
        </is>
      </c>
      <c r="B271" s="101" t="n">
        <v>2027</v>
      </c>
      <c r="C271" s="105" t="n">
        <v>0.247</v>
      </c>
      <c r="D271" s="105" t="n">
        <v>0.111</v>
      </c>
      <c r="E271" s="105" t="n">
        <v>0.826</v>
      </c>
      <c r="F271" s="116" t="inlineStr">
        <is>
          <t>légal</t>
        </is>
      </c>
      <c r="G271" s="105" t="n">
        <v>0.05</v>
      </c>
      <c r="H271" s="105" t="n">
        <v>0.00252</v>
      </c>
      <c r="I271" s="105" t="n">
        <v>0</v>
      </c>
      <c r="J271" s="107">
        <f>D271*(1-C271)+G271*MIN(C271,0.2*(1-C271))+H271</f>
        <v/>
      </c>
      <c r="K271" s="107">
        <f>MIN(E271*(1-C271),Donnees_annuelles!G85)+G271*MIN(C271,0.2*(1-C271))</f>
        <v/>
      </c>
      <c r="L271" s="107">
        <f>I271*(1-C271)+MAX(0,E271*(1-C271)-Donnees_annuelles!G85)</f>
        <v/>
      </c>
      <c r="M271" s="119">
        <f>SUMIFS(Regimes!$G$5:$G$10,Regimes!$A$5:$A$10,A271)*(1-C271)/(1-0.23917)</f>
        <v/>
      </c>
      <c r="N271" s="106">
        <f>Donnees_annuelles!D85*J271</f>
        <v/>
      </c>
      <c r="O271" s="106">
        <f>Donnees_annuelles!D85*K271</f>
        <v/>
      </c>
      <c r="P271" s="106">
        <f>N271+O271</f>
        <v/>
      </c>
      <c r="Q271" s="106">
        <f>Donnees_annuelles!D85*L271</f>
        <v/>
      </c>
      <c r="R271" s="118">
        <f>P271/Donnees_annuelles!AA85*Donnees_annuelles!AI85/Donnees_annuelles!AG85</f>
        <v/>
      </c>
      <c r="S271" s="118">
        <f>P271/Donnees_annuelles!AA85*Donnees_annuelles!AJ85/Donnees_annuelles!AH85</f>
        <v/>
      </c>
    </row>
    <row r="272">
      <c r="A272" s="115" t="inlineStr">
        <is>
          <t>Fonction publique d'État</t>
        </is>
      </c>
      <c r="B272" s="101" t="n">
        <v>2028</v>
      </c>
      <c r="C272" s="105" t="n">
        <v>0.247</v>
      </c>
      <c r="D272" s="105" t="n">
        <v>0.111</v>
      </c>
      <c r="E272" s="105" t="n">
        <v>0.826</v>
      </c>
      <c r="F272" s="116" t="inlineStr">
        <is>
          <t>légal</t>
        </is>
      </c>
      <c r="G272" s="105" t="n">
        <v>0.05</v>
      </c>
      <c r="H272" s="105" t="n">
        <v>0.00252</v>
      </c>
      <c r="I272" s="105" t="n">
        <v>0</v>
      </c>
      <c r="J272" s="107">
        <f>D272*(1-C272)+G272*MIN(C272,0.2*(1-C272))+H272</f>
        <v/>
      </c>
      <c r="K272" s="107">
        <f>MIN(E272*(1-C272),Donnees_annuelles!G86)+G272*MIN(C272,0.2*(1-C272))</f>
        <v/>
      </c>
      <c r="L272" s="107">
        <f>I272*(1-C272)+MAX(0,E272*(1-C272)-Donnees_annuelles!G86)</f>
        <v/>
      </c>
      <c r="M272" s="119">
        <f>SUMIFS(Regimes!$G$5:$G$10,Regimes!$A$5:$A$10,A272)*(1-C272)/(1-0.23917)</f>
        <v/>
      </c>
      <c r="N272" s="106">
        <f>Donnees_annuelles!D86*J272</f>
        <v/>
      </c>
      <c r="O272" s="106">
        <f>Donnees_annuelles!D86*K272</f>
        <v/>
      </c>
      <c r="P272" s="106">
        <f>N272+O272</f>
        <v/>
      </c>
      <c r="Q272" s="106">
        <f>Donnees_annuelles!D86*L272</f>
        <v/>
      </c>
      <c r="R272" s="118">
        <f>P272/Donnees_annuelles!AA86*Donnees_annuelles!AI86/Donnees_annuelles!AG86</f>
        <v/>
      </c>
      <c r="S272" s="118">
        <f>P272/Donnees_annuelles!AA86*Donnees_annuelles!AJ86/Donnees_annuelles!AH86</f>
        <v/>
      </c>
    </row>
    <row r="273">
      <c r="A273" s="115" t="inlineStr">
        <is>
          <t>Fonction publique d'État</t>
        </is>
      </c>
      <c r="B273" s="101" t="n">
        <v>2029</v>
      </c>
      <c r="C273" s="105" t="n">
        <v>0.247</v>
      </c>
      <c r="D273" s="105" t="n">
        <v>0.111</v>
      </c>
      <c r="E273" s="105" t="n">
        <v>0.826</v>
      </c>
      <c r="F273" s="116" t="inlineStr">
        <is>
          <t>légal</t>
        </is>
      </c>
      <c r="G273" s="105" t="n">
        <v>0.05</v>
      </c>
      <c r="H273" s="105" t="n">
        <v>0.00252</v>
      </c>
      <c r="I273" s="105" t="n">
        <v>0</v>
      </c>
      <c r="J273" s="107">
        <f>D273*(1-C273)+G273*MIN(C273,0.2*(1-C273))+H273</f>
        <v/>
      </c>
      <c r="K273" s="107">
        <f>MIN(E273*(1-C273),Donnees_annuelles!G87)+G273*MIN(C273,0.2*(1-C273))</f>
        <v/>
      </c>
      <c r="L273" s="107">
        <f>I273*(1-C273)+MAX(0,E273*(1-C273)-Donnees_annuelles!G87)</f>
        <v/>
      </c>
      <c r="M273" s="119">
        <f>SUMIFS(Regimes!$G$5:$G$10,Regimes!$A$5:$A$10,A273)*(1-C273)/(1-0.23917)</f>
        <v/>
      </c>
      <c r="N273" s="106">
        <f>Donnees_annuelles!D87*J273</f>
        <v/>
      </c>
      <c r="O273" s="106">
        <f>Donnees_annuelles!D87*K273</f>
        <v/>
      </c>
      <c r="P273" s="106">
        <f>N273+O273</f>
        <v/>
      </c>
      <c r="Q273" s="106">
        <f>Donnees_annuelles!D87*L273</f>
        <v/>
      </c>
      <c r="R273" s="118">
        <f>P273/Donnees_annuelles!AA87*Donnees_annuelles!AI87/Donnees_annuelles!AG87</f>
        <v/>
      </c>
      <c r="S273" s="118">
        <f>P273/Donnees_annuelles!AA87*Donnees_annuelles!AJ87/Donnees_annuelles!AH87</f>
        <v/>
      </c>
    </row>
    <row r="274">
      <c r="A274" s="115" t="inlineStr">
        <is>
          <t>Fonction publique d'État</t>
        </is>
      </c>
      <c r="B274" s="101" t="n">
        <v>2030</v>
      </c>
      <c r="C274" s="105" t="n">
        <v>0.247</v>
      </c>
      <c r="D274" s="105" t="n">
        <v>0.111</v>
      </c>
      <c r="E274" s="105" t="n">
        <v>0.826</v>
      </c>
      <c r="F274" s="116" t="inlineStr">
        <is>
          <t>légal</t>
        </is>
      </c>
      <c r="G274" s="105" t="n">
        <v>0.05</v>
      </c>
      <c r="H274" s="105" t="n">
        <v>0.00252</v>
      </c>
      <c r="I274" s="105" t="n">
        <v>0</v>
      </c>
      <c r="J274" s="107">
        <f>D274*(1-C274)+G274*MIN(C274,0.2*(1-C274))+H274</f>
        <v/>
      </c>
      <c r="K274" s="107">
        <f>MIN(E274*(1-C274),Donnees_annuelles!G88)+G274*MIN(C274,0.2*(1-C274))</f>
        <v/>
      </c>
      <c r="L274" s="107">
        <f>I274*(1-C274)+MAX(0,E274*(1-C274)-Donnees_annuelles!G88)</f>
        <v/>
      </c>
      <c r="M274" s="119">
        <f>SUMIFS(Regimes!$G$5:$G$10,Regimes!$A$5:$A$10,A274)*(1-C274)/(1-0.23917)</f>
        <v/>
      </c>
      <c r="N274" s="106">
        <f>Donnees_annuelles!D88*J274</f>
        <v/>
      </c>
      <c r="O274" s="106">
        <f>Donnees_annuelles!D88*K274</f>
        <v/>
      </c>
      <c r="P274" s="106">
        <f>N274+O274</f>
        <v/>
      </c>
      <c r="Q274" s="106">
        <f>Donnees_annuelles!D88*L274</f>
        <v/>
      </c>
      <c r="R274" s="118">
        <f>P274/Donnees_annuelles!AA88*Donnees_annuelles!AI88/Donnees_annuelles!AG88</f>
        <v/>
      </c>
      <c r="S274" s="118">
        <f>P274/Donnees_annuelles!AA88*Donnees_annuelles!AJ88/Donnees_annuelles!AH88</f>
        <v/>
      </c>
    </row>
    <row r="275">
      <c r="A275" s="115" t="inlineStr">
        <is>
          <t>Fonction publique d'État</t>
        </is>
      </c>
      <c r="B275" s="101" t="n">
        <v>2031</v>
      </c>
      <c r="C275" s="105" t="n">
        <v>0.247</v>
      </c>
      <c r="D275" s="105" t="n">
        <v>0.111</v>
      </c>
      <c r="E275" s="105" t="n">
        <v>0.826</v>
      </c>
      <c r="F275" s="116" t="inlineStr">
        <is>
          <t>légal</t>
        </is>
      </c>
      <c r="G275" s="105" t="n">
        <v>0.05</v>
      </c>
      <c r="H275" s="105" t="n">
        <v>0.00252</v>
      </c>
      <c r="I275" s="105" t="n">
        <v>0</v>
      </c>
      <c r="J275" s="107">
        <f>D275*(1-C275)+G275*MIN(C275,0.2*(1-C275))+H275</f>
        <v/>
      </c>
      <c r="K275" s="107">
        <f>MIN(E275*(1-C275),Donnees_annuelles!G89)+G275*MIN(C275,0.2*(1-C275))</f>
        <v/>
      </c>
      <c r="L275" s="107">
        <f>I275*(1-C275)+MAX(0,E275*(1-C275)-Donnees_annuelles!G89)</f>
        <v/>
      </c>
      <c r="M275" s="119">
        <f>SUMIFS(Regimes!$G$5:$G$10,Regimes!$A$5:$A$10,A275)*(1-C275)/(1-0.23917)</f>
        <v/>
      </c>
      <c r="N275" s="106">
        <f>Donnees_annuelles!D89*J275</f>
        <v/>
      </c>
      <c r="O275" s="106">
        <f>Donnees_annuelles!D89*K275</f>
        <v/>
      </c>
      <c r="P275" s="106">
        <f>N275+O275</f>
        <v/>
      </c>
      <c r="Q275" s="106">
        <f>Donnees_annuelles!D89*L275</f>
        <v/>
      </c>
      <c r="R275" s="118">
        <f>P275/Donnees_annuelles!AA89*Donnees_annuelles!AI89/Donnees_annuelles!AG89</f>
        <v/>
      </c>
      <c r="S275" s="118">
        <f>P275/Donnees_annuelles!AA89*Donnees_annuelles!AJ89/Donnees_annuelles!AH89</f>
        <v/>
      </c>
    </row>
    <row r="276">
      <c r="A276" s="115" t="inlineStr">
        <is>
          <t>Fonction publique d'État</t>
        </is>
      </c>
      <c r="B276" s="101" t="n">
        <v>2032</v>
      </c>
      <c r="C276" s="105" t="n">
        <v>0.247</v>
      </c>
      <c r="D276" s="105" t="n">
        <v>0.111</v>
      </c>
      <c r="E276" s="105" t="n">
        <v>0.826</v>
      </c>
      <c r="F276" s="116" t="inlineStr">
        <is>
          <t>légal</t>
        </is>
      </c>
      <c r="G276" s="105" t="n">
        <v>0.05</v>
      </c>
      <c r="H276" s="105" t="n">
        <v>0.00252</v>
      </c>
      <c r="I276" s="105" t="n">
        <v>0</v>
      </c>
      <c r="J276" s="107">
        <f>D276*(1-C276)+G276*MIN(C276,0.2*(1-C276))+H276</f>
        <v/>
      </c>
      <c r="K276" s="107">
        <f>MIN(E276*(1-C276),Donnees_annuelles!G90)+G276*MIN(C276,0.2*(1-C276))</f>
        <v/>
      </c>
      <c r="L276" s="107">
        <f>I276*(1-C276)+MAX(0,E276*(1-C276)-Donnees_annuelles!G90)</f>
        <v/>
      </c>
      <c r="M276" s="119">
        <f>SUMIFS(Regimes!$G$5:$G$10,Regimes!$A$5:$A$10,A276)*(1-C276)/(1-0.23917)</f>
        <v/>
      </c>
      <c r="N276" s="106">
        <f>Donnees_annuelles!D90*J276</f>
        <v/>
      </c>
      <c r="O276" s="106">
        <f>Donnees_annuelles!D90*K276</f>
        <v/>
      </c>
      <c r="P276" s="106">
        <f>N276+O276</f>
        <v/>
      </c>
      <c r="Q276" s="106">
        <f>Donnees_annuelles!D90*L276</f>
        <v/>
      </c>
      <c r="R276" s="118">
        <f>P276/Donnees_annuelles!AA90*Donnees_annuelles!AI90/Donnees_annuelles!AG90</f>
        <v/>
      </c>
      <c r="S276" s="118">
        <f>P276/Donnees_annuelles!AA90*Donnees_annuelles!AJ90/Donnees_annuelles!AH90</f>
        <v/>
      </c>
    </row>
    <row r="277">
      <c r="A277" s="115" t="inlineStr">
        <is>
          <t>Fonction publique d'État</t>
        </is>
      </c>
      <c r="B277" s="101" t="n">
        <v>2033</v>
      </c>
      <c r="C277" s="105" t="n">
        <v>0.247</v>
      </c>
      <c r="D277" s="105" t="n">
        <v>0.111</v>
      </c>
      <c r="E277" s="105" t="n">
        <v>0.826</v>
      </c>
      <c r="F277" s="116" t="inlineStr">
        <is>
          <t>légal</t>
        </is>
      </c>
      <c r="G277" s="105" t="n">
        <v>0.05</v>
      </c>
      <c r="H277" s="105" t="n">
        <v>0.00252</v>
      </c>
      <c r="I277" s="105" t="n">
        <v>0</v>
      </c>
      <c r="J277" s="107">
        <f>D277*(1-C277)+G277*MIN(C277,0.2*(1-C277))+H277</f>
        <v/>
      </c>
      <c r="K277" s="107">
        <f>MIN(E277*(1-C277),Donnees_annuelles!G91)+G277*MIN(C277,0.2*(1-C277))</f>
        <v/>
      </c>
      <c r="L277" s="107">
        <f>I277*(1-C277)+MAX(0,E277*(1-C277)-Donnees_annuelles!G91)</f>
        <v/>
      </c>
      <c r="M277" s="119">
        <f>SUMIFS(Regimes!$G$5:$G$10,Regimes!$A$5:$A$10,A277)*(1-C277)/(1-0.23917)</f>
        <v/>
      </c>
      <c r="N277" s="106">
        <f>Donnees_annuelles!D91*J277</f>
        <v/>
      </c>
      <c r="O277" s="106">
        <f>Donnees_annuelles!D91*K277</f>
        <v/>
      </c>
      <c r="P277" s="106">
        <f>N277+O277</f>
        <v/>
      </c>
      <c r="Q277" s="106">
        <f>Donnees_annuelles!D91*L277</f>
        <v/>
      </c>
      <c r="R277" s="118">
        <f>P277/Donnees_annuelles!AA91*Donnees_annuelles!AI91/Donnees_annuelles!AG91</f>
        <v/>
      </c>
      <c r="S277" s="118">
        <f>P277/Donnees_annuelles!AA91*Donnees_annuelles!AJ91/Donnees_annuelles!AH91</f>
        <v/>
      </c>
    </row>
    <row r="278">
      <c r="A278" s="115" t="inlineStr">
        <is>
          <t>Fonction publique d'État</t>
        </is>
      </c>
      <c r="B278" s="101" t="n">
        <v>2034</v>
      </c>
      <c r="C278" s="105" t="n">
        <v>0.247</v>
      </c>
      <c r="D278" s="105" t="n">
        <v>0.111</v>
      </c>
      <c r="E278" s="105" t="n">
        <v>0.826</v>
      </c>
      <c r="F278" s="116" t="inlineStr">
        <is>
          <t>légal</t>
        </is>
      </c>
      <c r="G278" s="105" t="n">
        <v>0.05</v>
      </c>
      <c r="H278" s="105" t="n">
        <v>0.00252</v>
      </c>
      <c r="I278" s="105" t="n">
        <v>0</v>
      </c>
      <c r="J278" s="107">
        <f>D278*(1-C278)+G278*MIN(C278,0.2*(1-C278))+H278</f>
        <v/>
      </c>
      <c r="K278" s="107">
        <f>MIN(E278*(1-C278),Donnees_annuelles!G92)+G278*MIN(C278,0.2*(1-C278))</f>
        <v/>
      </c>
      <c r="L278" s="107">
        <f>I278*(1-C278)+MAX(0,E278*(1-C278)-Donnees_annuelles!G92)</f>
        <v/>
      </c>
      <c r="M278" s="119">
        <f>SUMIFS(Regimes!$G$5:$G$10,Regimes!$A$5:$A$10,A278)*(1-C278)/(1-0.23917)</f>
        <v/>
      </c>
      <c r="N278" s="106">
        <f>Donnees_annuelles!D92*J278</f>
        <v/>
      </c>
      <c r="O278" s="106">
        <f>Donnees_annuelles!D92*K278</f>
        <v/>
      </c>
      <c r="P278" s="106">
        <f>N278+O278</f>
        <v/>
      </c>
      <c r="Q278" s="106">
        <f>Donnees_annuelles!D92*L278</f>
        <v/>
      </c>
      <c r="R278" s="118">
        <f>P278/Donnees_annuelles!AA92*Donnees_annuelles!AI92/Donnees_annuelles!AG92</f>
        <v/>
      </c>
      <c r="S278" s="118">
        <f>P278/Donnees_annuelles!AA92*Donnees_annuelles!AJ92/Donnees_annuelles!AH92</f>
        <v/>
      </c>
    </row>
    <row r="279">
      <c r="A279" s="115" t="inlineStr">
        <is>
          <t>Fonction publique d'État</t>
        </is>
      </c>
      <c r="B279" s="101" t="n">
        <v>2035</v>
      </c>
      <c r="C279" s="105" t="n">
        <v>0.247</v>
      </c>
      <c r="D279" s="105" t="n">
        <v>0.111</v>
      </c>
      <c r="E279" s="105" t="n">
        <v>0.826</v>
      </c>
      <c r="F279" s="116" t="inlineStr">
        <is>
          <t>légal</t>
        </is>
      </c>
      <c r="G279" s="105" t="n">
        <v>0.05</v>
      </c>
      <c r="H279" s="105" t="n">
        <v>0.00252</v>
      </c>
      <c r="I279" s="105" t="n">
        <v>0</v>
      </c>
      <c r="J279" s="107">
        <f>D279*(1-C279)+G279*MIN(C279,0.2*(1-C279))+H279</f>
        <v/>
      </c>
      <c r="K279" s="107">
        <f>MIN(E279*(1-C279),Donnees_annuelles!G93)+G279*MIN(C279,0.2*(1-C279))</f>
        <v/>
      </c>
      <c r="L279" s="107">
        <f>I279*(1-C279)+MAX(0,E279*(1-C279)-Donnees_annuelles!G93)</f>
        <v/>
      </c>
      <c r="M279" s="119">
        <f>SUMIFS(Regimes!$G$5:$G$10,Regimes!$A$5:$A$10,A279)*(1-C279)/(1-0.23917)</f>
        <v/>
      </c>
      <c r="N279" s="106">
        <f>Donnees_annuelles!D93*J279</f>
        <v/>
      </c>
      <c r="O279" s="106">
        <f>Donnees_annuelles!D93*K279</f>
        <v/>
      </c>
      <c r="P279" s="106">
        <f>N279+O279</f>
        <v/>
      </c>
      <c r="Q279" s="106">
        <f>Donnees_annuelles!D93*L279</f>
        <v/>
      </c>
      <c r="R279" s="118">
        <f>P279/Donnees_annuelles!AA93*Donnees_annuelles!AI93/Donnees_annuelles!AG93</f>
        <v/>
      </c>
      <c r="S279" s="118">
        <f>P279/Donnees_annuelles!AA93*Donnees_annuelles!AJ93/Donnees_annuelles!AH93</f>
        <v/>
      </c>
    </row>
    <row r="280">
      <c r="A280" s="115" t="inlineStr">
        <is>
          <t>Fonction publique d'État</t>
        </is>
      </c>
      <c r="B280" s="101" t="n">
        <v>2036</v>
      </c>
      <c r="C280" s="105" t="n">
        <v>0.247</v>
      </c>
      <c r="D280" s="105" t="n">
        <v>0.111</v>
      </c>
      <c r="E280" s="105" t="n">
        <v>0.826</v>
      </c>
      <c r="F280" s="116" t="inlineStr">
        <is>
          <t>légal</t>
        </is>
      </c>
      <c r="G280" s="105" t="n">
        <v>0.05</v>
      </c>
      <c r="H280" s="105" t="n">
        <v>0.00252</v>
      </c>
      <c r="I280" s="105" t="n">
        <v>0</v>
      </c>
      <c r="J280" s="107">
        <f>D280*(1-C280)+G280*MIN(C280,0.2*(1-C280))+H280</f>
        <v/>
      </c>
      <c r="K280" s="107">
        <f>MIN(E280*(1-C280),Donnees_annuelles!G94)+G280*MIN(C280,0.2*(1-C280))</f>
        <v/>
      </c>
      <c r="L280" s="107">
        <f>I280*(1-C280)+MAX(0,E280*(1-C280)-Donnees_annuelles!G94)</f>
        <v/>
      </c>
      <c r="M280" s="119">
        <f>SUMIFS(Regimes!$G$5:$G$10,Regimes!$A$5:$A$10,A280)*(1-C280)/(1-0.23917)</f>
        <v/>
      </c>
      <c r="N280" s="106">
        <f>Donnees_annuelles!D94*J280</f>
        <v/>
      </c>
      <c r="O280" s="106">
        <f>Donnees_annuelles!D94*K280</f>
        <v/>
      </c>
      <c r="P280" s="106">
        <f>N280+O280</f>
        <v/>
      </c>
      <c r="Q280" s="106">
        <f>Donnees_annuelles!D94*L280</f>
        <v/>
      </c>
      <c r="R280" s="118">
        <f>P280/Donnees_annuelles!AA94*Donnees_annuelles!AI94/Donnees_annuelles!AG94</f>
        <v/>
      </c>
      <c r="S280" s="118">
        <f>P280/Donnees_annuelles!AA94*Donnees_annuelles!AJ94/Donnees_annuelles!AH94</f>
        <v/>
      </c>
    </row>
    <row r="281">
      <c r="A281" s="115" t="inlineStr">
        <is>
          <t>Fonction publique d'État</t>
        </is>
      </c>
      <c r="B281" s="101" t="n">
        <v>2037</v>
      </c>
      <c r="C281" s="105" t="n">
        <v>0.247</v>
      </c>
      <c r="D281" s="105" t="n">
        <v>0.111</v>
      </c>
      <c r="E281" s="105" t="n">
        <v>0.826</v>
      </c>
      <c r="F281" s="116" t="inlineStr">
        <is>
          <t>légal</t>
        </is>
      </c>
      <c r="G281" s="105" t="n">
        <v>0.05</v>
      </c>
      <c r="H281" s="105" t="n">
        <v>0.00252</v>
      </c>
      <c r="I281" s="105" t="n">
        <v>0</v>
      </c>
      <c r="J281" s="107">
        <f>D281*(1-C281)+G281*MIN(C281,0.2*(1-C281))+H281</f>
        <v/>
      </c>
      <c r="K281" s="107">
        <f>MIN(E281*(1-C281),Donnees_annuelles!G95)+G281*MIN(C281,0.2*(1-C281))</f>
        <v/>
      </c>
      <c r="L281" s="107">
        <f>I281*(1-C281)+MAX(0,E281*(1-C281)-Donnees_annuelles!G95)</f>
        <v/>
      </c>
      <c r="M281" s="119">
        <f>SUMIFS(Regimes!$G$5:$G$10,Regimes!$A$5:$A$10,A281)*(1-C281)/(1-0.23917)</f>
        <v/>
      </c>
      <c r="N281" s="106">
        <f>Donnees_annuelles!D95*J281</f>
        <v/>
      </c>
      <c r="O281" s="106">
        <f>Donnees_annuelles!D95*K281</f>
        <v/>
      </c>
      <c r="P281" s="106">
        <f>N281+O281</f>
        <v/>
      </c>
      <c r="Q281" s="106">
        <f>Donnees_annuelles!D95*L281</f>
        <v/>
      </c>
      <c r="R281" s="118">
        <f>P281/Donnees_annuelles!AA95*Donnees_annuelles!AI95/Donnees_annuelles!AG95</f>
        <v/>
      </c>
      <c r="S281" s="118">
        <f>P281/Donnees_annuelles!AA95*Donnees_annuelles!AJ95/Donnees_annuelles!AH95</f>
        <v/>
      </c>
    </row>
    <row r="282">
      <c r="A282" s="115" t="inlineStr">
        <is>
          <t>Fonction publique d'État</t>
        </is>
      </c>
      <c r="B282" s="101" t="n">
        <v>2038</v>
      </c>
      <c r="C282" s="105" t="n">
        <v>0.247</v>
      </c>
      <c r="D282" s="105" t="n">
        <v>0.111</v>
      </c>
      <c r="E282" s="105" t="n">
        <v>0.826</v>
      </c>
      <c r="F282" s="116" t="inlineStr">
        <is>
          <t>légal</t>
        </is>
      </c>
      <c r="G282" s="105" t="n">
        <v>0.05</v>
      </c>
      <c r="H282" s="105" t="n">
        <v>0.00252</v>
      </c>
      <c r="I282" s="105" t="n">
        <v>0</v>
      </c>
      <c r="J282" s="107">
        <f>D282*(1-C282)+G282*MIN(C282,0.2*(1-C282))+H282</f>
        <v/>
      </c>
      <c r="K282" s="107">
        <f>MIN(E282*(1-C282),Donnees_annuelles!G96)+G282*MIN(C282,0.2*(1-C282))</f>
        <v/>
      </c>
      <c r="L282" s="107">
        <f>I282*(1-C282)+MAX(0,E282*(1-C282)-Donnees_annuelles!G96)</f>
        <v/>
      </c>
      <c r="M282" s="119">
        <f>SUMIFS(Regimes!$G$5:$G$10,Regimes!$A$5:$A$10,A282)*(1-C282)/(1-0.23917)</f>
        <v/>
      </c>
      <c r="N282" s="106">
        <f>Donnees_annuelles!D96*J282</f>
        <v/>
      </c>
      <c r="O282" s="106">
        <f>Donnees_annuelles!D96*K282</f>
        <v/>
      </c>
      <c r="P282" s="106">
        <f>N282+O282</f>
        <v/>
      </c>
      <c r="Q282" s="106">
        <f>Donnees_annuelles!D96*L282</f>
        <v/>
      </c>
      <c r="R282" s="118">
        <f>P282/Donnees_annuelles!AA96*Donnees_annuelles!AI96/Donnees_annuelles!AG96</f>
        <v/>
      </c>
      <c r="S282" s="118">
        <f>P282/Donnees_annuelles!AA96*Donnees_annuelles!AJ96/Donnees_annuelles!AH96</f>
        <v/>
      </c>
    </row>
    <row r="283">
      <c r="A283" s="115" t="inlineStr">
        <is>
          <t>Fonction publique d'État</t>
        </is>
      </c>
      <c r="B283" s="101" t="n">
        <v>2039</v>
      </c>
      <c r="C283" s="105" t="n">
        <v>0.247</v>
      </c>
      <c r="D283" s="105" t="n">
        <v>0.111</v>
      </c>
      <c r="E283" s="105" t="n">
        <v>0.826</v>
      </c>
      <c r="F283" s="116" t="inlineStr">
        <is>
          <t>légal</t>
        </is>
      </c>
      <c r="G283" s="105" t="n">
        <v>0.05</v>
      </c>
      <c r="H283" s="105" t="n">
        <v>0.00252</v>
      </c>
      <c r="I283" s="105" t="n">
        <v>0</v>
      </c>
      <c r="J283" s="107">
        <f>D283*(1-C283)+G283*MIN(C283,0.2*(1-C283))+H283</f>
        <v/>
      </c>
      <c r="K283" s="107">
        <f>MIN(E283*(1-C283),Donnees_annuelles!G97)+G283*MIN(C283,0.2*(1-C283))</f>
        <v/>
      </c>
      <c r="L283" s="107">
        <f>I283*(1-C283)+MAX(0,E283*(1-C283)-Donnees_annuelles!G97)</f>
        <v/>
      </c>
      <c r="M283" s="119">
        <f>SUMIFS(Regimes!$G$5:$G$10,Regimes!$A$5:$A$10,A283)*(1-C283)/(1-0.23917)</f>
        <v/>
      </c>
      <c r="N283" s="106">
        <f>Donnees_annuelles!D97*J283</f>
        <v/>
      </c>
      <c r="O283" s="106">
        <f>Donnees_annuelles!D97*K283</f>
        <v/>
      </c>
      <c r="P283" s="106">
        <f>N283+O283</f>
        <v/>
      </c>
      <c r="Q283" s="106">
        <f>Donnees_annuelles!D97*L283</f>
        <v/>
      </c>
      <c r="R283" s="118">
        <f>P283/Donnees_annuelles!AA97*Donnees_annuelles!AI97/Donnees_annuelles!AG97</f>
        <v/>
      </c>
      <c r="S283" s="118">
        <f>P283/Donnees_annuelles!AA97*Donnees_annuelles!AJ97/Donnees_annuelles!AH97</f>
        <v/>
      </c>
    </row>
    <row r="284">
      <c r="A284" s="115" t="inlineStr">
        <is>
          <t>Fonction publique d'État</t>
        </is>
      </c>
      <c r="B284" s="101" t="n">
        <v>2040</v>
      </c>
      <c r="C284" s="105" t="n">
        <v>0.247</v>
      </c>
      <c r="D284" s="105" t="n">
        <v>0.111</v>
      </c>
      <c r="E284" s="105" t="n">
        <v>0.826</v>
      </c>
      <c r="F284" s="116" t="inlineStr">
        <is>
          <t>légal</t>
        </is>
      </c>
      <c r="G284" s="105" t="n">
        <v>0.05</v>
      </c>
      <c r="H284" s="105" t="n">
        <v>0.00252</v>
      </c>
      <c r="I284" s="105" t="n">
        <v>0</v>
      </c>
      <c r="J284" s="107">
        <f>D284*(1-C284)+G284*MIN(C284,0.2*(1-C284))+H284</f>
        <v/>
      </c>
      <c r="K284" s="107">
        <f>MIN(E284*(1-C284),Donnees_annuelles!G98)+G284*MIN(C284,0.2*(1-C284))</f>
        <v/>
      </c>
      <c r="L284" s="107">
        <f>I284*(1-C284)+MAX(0,E284*(1-C284)-Donnees_annuelles!G98)</f>
        <v/>
      </c>
      <c r="M284" s="119">
        <f>SUMIFS(Regimes!$G$5:$G$10,Regimes!$A$5:$A$10,A284)*(1-C284)/(1-0.23917)</f>
        <v/>
      </c>
      <c r="N284" s="106">
        <f>Donnees_annuelles!D98*J284</f>
        <v/>
      </c>
      <c r="O284" s="106">
        <f>Donnees_annuelles!D98*K284</f>
        <v/>
      </c>
      <c r="P284" s="106">
        <f>N284+O284</f>
        <v/>
      </c>
      <c r="Q284" s="106">
        <f>Donnees_annuelles!D98*L284</f>
        <v/>
      </c>
      <c r="R284" s="118">
        <f>P284/Donnees_annuelles!AA98*Donnees_annuelles!AI98/Donnees_annuelles!AG98</f>
        <v/>
      </c>
      <c r="S284" s="118">
        <f>P284/Donnees_annuelles!AA98*Donnees_annuelles!AJ98/Donnees_annuelles!AH98</f>
        <v/>
      </c>
    </row>
    <row r="285">
      <c r="A285" s="115" t="inlineStr">
        <is>
          <t>Fonction publique d'État</t>
        </is>
      </c>
      <c r="B285" s="101" t="n">
        <v>2041</v>
      </c>
      <c r="C285" s="105" t="n">
        <v>0.247</v>
      </c>
      <c r="D285" s="105" t="n">
        <v>0.111</v>
      </c>
      <c r="E285" s="105" t="n">
        <v>0.826</v>
      </c>
      <c r="F285" s="116" t="inlineStr">
        <is>
          <t>légal</t>
        </is>
      </c>
      <c r="G285" s="105" t="n">
        <v>0.05</v>
      </c>
      <c r="H285" s="105" t="n">
        <v>0.00252</v>
      </c>
      <c r="I285" s="105" t="n">
        <v>0</v>
      </c>
      <c r="J285" s="107">
        <f>D285*(1-C285)+G285*MIN(C285,0.2*(1-C285))+H285</f>
        <v/>
      </c>
      <c r="K285" s="107">
        <f>MIN(E285*(1-C285),Donnees_annuelles!G99)+G285*MIN(C285,0.2*(1-C285))</f>
        <v/>
      </c>
      <c r="L285" s="107">
        <f>I285*(1-C285)+MAX(0,E285*(1-C285)-Donnees_annuelles!G99)</f>
        <v/>
      </c>
      <c r="M285" s="119">
        <f>SUMIFS(Regimes!$G$5:$G$10,Regimes!$A$5:$A$10,A285)*(1-C285)/(1-0.23917)</f>
        <v/>
      </c>
      <c r="N285" s="106">
        <f>Donnees_annuelles!D99*J285</f>
        <v/>
      </c>
      <c r="O285" s="106">
        <f>Donnees_annuelles!D99*K285</f>
        <v/>
      </c>
      <c r="P285" s="106">
        <f>N285+O285</f>
        <v/>
      </c>
      <c r="Q285" s="106">
        <f>Donnees_annuelles!D99*L285</f>
        <v/>
      </c>
      <c r="R285" s="118">
        <f>P285/Donnees_annuelles!AA99*Donnees_annuelles!AI99/Donnees_annuelles!AG99</f>
        <v/>
      </c>
      <c r="S285" s="118">
        <f>P285/Donnees_annuelles!AA99*Donnees_annuelles!AJ99/Donnees_annuelles!AH99</f>
        <v/>
      </c>
    </row>
    <row r="286">
      <c r="A286" s="115" t="inlineStr">
        <is>
          <t>Fonction publique d'État</t>
        </is>
      </c>
      <c r="B286" s="101" t="n">
        <v>2042</v>
      </c>
      <c r="C286" s="105" t="n">
        <v>0.247</v>
      </c>
      <c r="D286" s="105" t="n">
        <v>0.111</v>
      </c>
      <c r="E286" s="105" t="n">
        <v>0.826</v>
      </c>
      <c r="F286" s="116" t="inlineStr">
        <is>
          <t>légal</t>
        </is>
      </c>
      <c r="G286" s="105" t="n">
        <v>0.05</v>
      </c>
      <c r="H286" s="105" t="n">
        <v>0.00252</v>
      </c>
      <c r="I286" s="105" t="n">
        <v>0</v>
      </c>
      <c r="J286" s="107">
        <f>D286*(1-C286)+G286*MIN(C286,0.2*(1-C286))+H286</f>
        <v/>
      </c>
      <c r="K286" s="107">
        <f>MIN(E286*(1-C286),Donnees_annuelles!G100)+G286*MIN(C286,0.2*(1-C286))</f>
        <v/>
      </c>
      <c r="L286" s="107">
        <f>I286*(1-C286)+MAX(0,E286*(1-C286)-Donnees_annuelles!G100)</f>
        <v/>
      </c>
      <c r="M286" s="119">
        <f>SUMIFS(Regimes!$G$5:$G$10,Regimes!$A$5:$A$10,A286)*(1-C286)/(1-0.23917)</f>
        <v/>
      </c>
      <c r="N286" s="106">
        <f>Donnees_annuelles!D100*J286</f>
        <v/>
      </c>
      <c r="O286" s="106">
        <f>Donnees_annuelles!D100*K286</f>
        <v/>
      </c>
      <c r="P286" s="106">
        <f>N286+O286</f>
        <v/>
      </c>
      <c r="Q286" s="106">
        <f>Donnees_annuelles!D100*L286</f>
        <v/>
      </c>
      <c r="R286" s="118">
        <f>P286/Donnees_annuelles!AA100*Donnees_annuelles!AI100/Donnees_annuelles!AG100</f>
        <v/>
      </c>
      <c r="S286" s="118">
        <f>P286/Donnees_annuelles!AA100*Donnees_annuelles!AJ100/Donnees_annuelles!AH100</f>
        <v/>
      </c>
    </row>
    <row r="287">
      <c r="A287" s="115" t="inlineStr">
        <is>
          <t>Fonction publique d'État</t>
        </is>
      </c>
      <c r="B287" s="101" t="n">
        <v>2043</v>
      </c>
      <c r="C287" s="105" t="n">
        <v>0.247</v>
      </c>
      <c r="D287" s="105" t="n">
        <v>0.111</v>
      </c>
      <c r="E287" s="105" t="n">
        <v>0.826</v>
      </c>
      <c r="F287" s="116" t="inlineStr">
        <is>
          <t>légal</t>
        </is>
      </c>
      <c r="G287" s="105" t="n">
        <v>0.05</v>
      </c>
      <c r="H287" s="105" t="n">
        <v>0.00252</v>
      </c>
      <c r="I287" s="105" t="n">
        <v>0</v>
      </c>
      <c r="J287" s="107">
        <f>D287*(1-C287)+G287*MIN(C287,0.2*(1-C287))+H287</f>
        <v/>
      </c>
      <c r="K287" s="107">
        <f>MIN(E287*(1-C287),Donnees_annuelles!G101)+G287*MIN(C287,0.2*(1-C287))</f>
        <v/>
      </c>
      <c r="L287" s="107">
        <f>I287*(1-C287)+MAX(0,E287*(1-C287)-Donnees_annuelles!G101)</f>
        <v/>
      </c>
      <c r="M287" s="119">
        <f>SUMIFS(Regimes!$G$5:$G$10,Regimes!$A$5:$A$10,A287)*(1-C287)/(1-0.23917)</f>
        <v/>
      </c>
      <c r="N287" s="106">
        <f>Donnees_annuelles!D101*J287</f>
        <v/>
      </c>
      <c r="O287" s="106">
        <f>Donnees_annuelles!D101*K287</f>
        <v/>
      </c>
      <c r="P287" s="106">
        <f>N287+O287</f>
        <v/>
      </c>
      <c r="Q287" s="106">
        <f>Donnees_annuelles!D101*L287</f>
        <v/>
      </c>
      <c r="R287" s="118">
        <f>P287/Donnees_annuelles!AA101*Donnees_annuelles!AI101/Donnees_annuelles!AG101</f>
        <v/>
      </c>
      <c r="S287" s="118">
        <f>P287/Donnees_annuelles!AA101*Donnees_annuelles!AJ101/Donnees_annuelles!AH101</f>
        <v/>
      </c>
    </row>
    <row r="288">
      <c r="A288" s="115" t="inlineStr">
        <is>
          <t>Fonction publique d'État</t>
        </is>
      </c>
      <c r="B288" s="101" t="n">
        <v>2044</v>
      </c>
      <c r="C288" s="105" t="n">
        <v>0.247</v>
      </c>
      <c r="D288" s="105" t="n">
        <v>0.111</v>
      </c>
      <c r="E288" s="105" t="n">
        <v>0.826</v>
      </c>
      <c r="F288" s="116" t="inlineStr">
        <is>
          <t>légal</t>
        </is>
      </c>
      <c r="G288" s="105" t="n">
        <v>0.05</v>
      </c>
      <c r="H288" s="105" t="n">
        <v>0.00252</v>
      </c>
      <c r="I288" s="105" t="n">
        <v>0</v>
      </c>
      <c r="J288" s="107">
        <f>D288*(1-C288)+G288*MIN(C288,0.2*(1-C288))+H288</f>
        <v/>
      </c>
      <c r="K288" s="107">
        <f>MIN(E288*(1-C288),Donnees_annuelles!G102)+G288*MIN(C288,0.2*(1-C288))</f>
        <v/>
      </c>
      <c r="L288" s="107">
        <f>I288*(1-C288)+MAX(0,E288*(1-C288)-Donnees_annuelles!G102)</f>
        <v/>
      </c>
      <c r="M288" s="119">
        <f>SUMIFS(Regimes!$G$5:$G$10,Regimes!$A$5:$A$10,A288)*(1-C288)/(1-0.23917)</f>
        <v/>
      </c>
      <c r="N288" s="106">
        <f>Donnees_annuelles!D102*J288</f>
        <v/>
      </c>
      <c r="O288" s="106">
        <f>Donnees_annuelles!D102*K288</f>
        <v/>
      </c>
      <c r="P288" s="106">
        <f>N288+O288</f>
        <v/>
      </c>
      <c r="Q288" s="106">
        <f>Donnees_annuelles!D102*L288</f>
        <v/>
      </c>
      <c r="R288" s="118">
        <f>P288/Donnees_annuelles!AA102*Donnees_annuelles!AI102/Donnees_annuelles!AG102</f>
        <v/>
      </c>
      <c r="S288" s="118">
        <f>P288/Donnees_annuelles!AA102*Donnees_annuelles!AJ102/Donnees_annuelles!AH102</f>
        <v/>
      </c>
    </row>
    <row r="289">
      <c r="A289" s="115" t="inlineStr">
        <is>
          <t>Fonction publique d'État</t>
        </is>
      </c>
      <c r="B289" s="101" t="n">
        <v>2045</v>
      </c>
      <c r="C289" s="105" t="n">
        <v>0.247</v>
      </c>
      <c r="D289" s="105" t="n">
        <v>0.111</v>
      </c>
      <c r="E289" s="105" t="n">
        <v>0.826</v>
      </c>
      <c r="F289" s="116" t="inlineStr">
        <is>
          <t>légal</t>
        </is>
      </c>
      <c r="G289" s="105" t="n">
        <v>0.05</v>
      </c>
      <c r="H289" s="105" t="n">
        <v>0.00252</v>
      </c>
      <c r="I289" s="105" t="n">
        <v>0</v>
      </c>
      <c r="J289" s="107">
        <f>D289*(1-C289)+G289*MIN(C289,0.2*(1-C289))+H289</f>
        <v/>
      </c>
      <c r="K289" s="107">
        <f>MIN(E289*(1-C289),Donnees_annuelles!G103)+G289*MIN(C289,0.2*(1-C289))</f>
        <v/>
      </c>
      <c r="L289" s="107">
        <f>I289*(1-C289)+MAX(0,E289*(1-C289)-Donnees_annuelles!G103)</f>
        <v/>
      </c>
      <c r="M289" s="119">
        <f>SUMIFS(Regimes!$G$5:$G$10,Regimes!$A$5:$A$10,A289)*(1-C289)/(1-0.23917)</f>
        <v/>
      </c>
      <c r="N289" s="106">
        <f>Donnees_annuelles!D103*J289</f>
        <v/>
      </c>
      <c r="O289" s="106">
        <f>Donnees_annuelles!D103*K289</f>
        <v/>
      </c>
      <c r="P289" s="106">
        <f>N289+O289</f>
        <v/>
      </c>
      <c r="Q289" s="106">
        <f>Donnees_annuelles!D103*L289</f>
        <v/>
      </c>
      <c r="R289" s="118">
        <f>P289/Donnees_annuelles!AA103*Donnees_annuelles!AI103/Donnees_annuelles!AG103</f>
        <v/>
      </c>
      <c r="S289" s="118">
        <f>P289/Donnees_annuelles!AA103*Donnees_annuelles!AJ103/Donnees_annuelles!AH103</f>
        <v/>
      </c>
    </row>
    <row r="290">
      <c r="A290" s="115" t="inlineStr">
        <is>
          <t>Fonction publique d'État</t>
        </is>
      </c>
      <c r="B290" s="101" t="n">
        <v>2046</v>
      </c>
      <c r="C290" s="105" t="n">
        <v>0.247</v>
      </c>
      <c r="D290" s="105" t="n">
        <v>0.111</v>
      </c>
      <c r="E290" s="105" t="n">
        <v>0.826</v>
      </c>
      <c r="F290" s="116" t="inlineStr">
        <is>
          <t>légal</t>
        </is>
      </c>
      <c r="G290" s="105" t="n">
        <v>0.05</v>
      </c>
      <c r="H290" s="105" t="n">
        <v>0.00252</v>
      </c>
      <c r="I290" s="105" t="n">
        <v>0</v>
      </c>
      <c r="J290" s="107">
        <f>D290*(1-C290)+G290*MIN(C290,0.2*(1-C290))+H290</f>
        <v/>
      </c>
      <c r="K290" s="107">
        <f>MIN(E290*(1-C290),Donnees_annuelles!G104)+G290*MIN(C290,0.2*(1-C290))</f>
        <v/>
      </c>
      <c r="L290" s="107">
        <f>I290*(1-C290)+MAX(0,E290*(1-C290)-Donnees_annuelles!G104)</f>
        <v/>
      </c>
      <c r="M290" s="119">
        <f>SUMIFS(Regimes!$G$5:$G$10,Regimes!$A$5:$A$10,A290)*(1-C290)/(1-0.23917)</f>
        <v/>
      </c>
      <c r="N290" s="106">
        <f>Donnees_annuelles!D104*J290</f>
        <v/>
      </c>
      <c r="O290" s="106">
        <f>Donnees_annuelles!D104*K290</f>
        <v/>
      </c>
      <c r="P290" s="106">
        <f>N290+O290</f>
        <v/>
      </c>
      <c r="Q290" s="106">
        <f>Donnees_annuelles!D104*L290</f>
        <v/>
      </c>
      <c r="R290" s="118">
        <f>P290/Donnees_annuelles!AA104*Donnees_annuelles!AI104/Donnees_annuelles!AG104</f>
        <v/>
      </c>
      <c r="S290" s="118">
        <f>P290/Donnees_annuelles!AA104*Donnees_annuelles!AJ104/Donnees_annuelles!AH104</f>
        <v/>
      </c>
    </row>
    <row r="291">
      <c r="A291" s="115" t="inlineStr">
        <is>
          <t>Fonction publique d'État</t>
        </is>
      </c>
      <c r="B291" s="101" t="n">
        <v>2047</v>
      </c>
      <c r="C291" s="105" t="n">
        <v>0.247</v>
      </c>
      <c r="D291" s="105" t="n">
        <v>0.111</v>
      </c>
      <c r="E291" s="105" t="n">
        <v>0.826</v>
      </c>
      <c r="F291" s="116" t="inlineStr">
        <is>
          <t>légal</t>
        </is>
      </c>
      <c r="G291" s="105" t="n">
        <v>0.05</v>
      </c>
      <c r="H291" s="105" t="n">
        <v>0.00252</v>
      </c>
      <c r="I291" s="105" t="n">
        <v>0</v>
      </c>
      <c r="J291" s="107">
        <f>D291*(1-C291)+G291*MIN(C291,0.2*(1-C291))+H291</f>
        <v/>
      </c>
      <c r="K291" s="107">
        <f>MIN(E291*(1-C291),Donnees_annuelles!G105)+G291*MIN(C291,0.2*(1-C291))</f>
        <v/>
      </c>
      <c r="L291" s="107">
        <f>I291*(1-C291)+MAX(0,E291*(1-C291)-Donnees_annuelles!G105)</f>
        <v/>
      </c>
      <c r="M291" s="119">
        <f>SUMIFS(Regimes!$G$5:$G$10,Regimes!$A$5:$A$10,A291)*(1-C291)/(1-0.23917)</f>
        <v/>
      </c>
      <c r="N291" s="106">
        <f>Donnees_annuelles!D105*J291</f>
        <v/>
      </c>
      <c r="O291" s="106">
        <f>Donnees_annuelles!D105*K291</f>
        <v/>
      </c>
      <c r="P291" s="106">
        <f>N291+O291</f>
        <v/>
      </c>
      <c r="Q291" s="106">
        <f>Donnees_annuelles!D105*L291</f>
        <v/>
      </c>
      <c r="R291" s="118">
        <f>P291/Donnees_annuelles!AA105*Donnees_annuelles!AI105/Donnees_annuelles!AG105</f>
        <v/>
      </c>
      <c r="S291" s="118">
        <f>P291/Donnees_annuelles!AA105*Donnees_annuelles!AJ105/Donnees_annuelles!AH105</f>
        <v/>
      </c>
    </row>
    <row r="292">
      <c r="A292" s="115" t="inlineStr">
        <is>
          <t>Fonction publique d'État</t>
        </is>
      </c>
      <c r="B292" s="101" t="n">
        <v>2048</v>
      </c>
      <c r="C292" s="105" t="n">
        <v>0.247</v>
      </c>
      <c r="D292" s="105" t="n">
        <v>0.111</v>
      </c>
      <c r="E292" s="105" t="n">
        <v>0.826</v>
      </c>
      <c r="F292" s="116" t="inlineStr">
        <is>
          <t>légal</t>
        </is>
      </c>
      <c r="G292" s="105" t="n">
        <v>0.05</v>
      </c>
      <c r="H292" s="105" t="n">
        <v>0.00252</v>
      </c>
      <c r="I292" s="105" t="n">
        <v>0</v>
      </c>
      <c r="J292" s="107">
        <f>D292*(1-C292)+G292*MIN(C292,0.2*(1-C292))+H292</f>
        <v/>
      </c>
      <c r="K292" s="107">
        <f>MIN(E292*(1-C292),Donnees_annuelles!G106)+G292*MIN(C292,0.2*(1-C292))</f>
        <v/>
      </c>
      <c r="L292" s="107">
        <f>I292*(1-C292)+MAX(0,E292*(1-C292)-Donnees_annuelles!G106)</f>
        <v/>
      </c>
      <c r="M292" s="119">
        <f>SUMIFS(Regimes!$G$5:$G$10,Regimes!$A$5:$A$10,A292)*(1-C292)/(1-0.23917)</f>
        <v/>
      </c>
      <c r="N292" s="106">
        <f>Donnees_annuelles!D106*J292</f>
        <v/>
      </c>
      <c r="O292" s="106">
        <f>Donnees_annuelles!D106*K292</f>
        <v/>
      </c>
      <c r="P292" s="106">
        <f>N292+O292</f>
        <v/>
      </c>
      <c r="Q292" s="106">
        <f>Donnees_annuelles!D106*L292</f>
        <v/>
      </c>
      <c r="R292" s="118">
        <f>P292/Donnees_annuelles!AA106*Donnees_annuelles!AI106/Donnees_annuelles!AG106</f>
        <v/>
      </c>
      <c r="S292" s="118">
        <f>P292/Donnees_annuelles!AA106*Donnees_annuelles!AJ106/Donnees_annuelles!AH106</f>
        <v/>
      </c>
    </row>
    <row r="293">
      <c r="A293" s="115" t="inlineStr">
        <is>
          <t>Fonction publique d'État</t>
        </is>
      </c>
      <c r="B293" s="101" t="n">
        <v>2049</v>
      </c>
      <c r="C293" s="105" t="n">
        <v>0.247</v>
      </c>
      <c r="D293" s="105" t="n">
        <v>0.111</v>
      </c>
      <c r="E293" s="105" t="n">
        <v>0.826</v>
      </c>
      <c r="F293" s="116" t="inlineStr">
        <is>
          <t>légal</t>
        </is>
      </c>
      <c r="G293" s="105" t="n">
        <v>0.05</v>
      </c>
      <c r="H293" s="105" t="n">
        <v>0.00252</v>
      </c>
      <c r="I293" s="105" t="n">
        <v>0</v>
      </c>
      <c r="J293" s="107">
        <f>D293*(1-C293)+G293*MIN(C293,0.2*(1-C293))+H293</f>
        <v/>
      </c>
      <c r="K293" s="107">
        <f>MIN(E293*(1-C293),Donnees_annuelles!G107)+G293*MIN(C293,0.2*(1-C293))</f>
        <v/>
      </c>
      <c r="L293" s="107">
        <f>I293*(1-C293)+MAX(0,E293*(1-C293)-Donnees_annuelles!G107)</f>
        <v/>
      </c>
      <c r="M293" s="119">
        <f>SUMIFS(Regimes!$G$5:$G$10,Regimes!$A$5:$A$10,A293)*(1-C293)/(1-0.23917)</f>
        <v/>
      </c>
      <c r="N293" s="106">
        <f>Donnees_annuelles!D107*J293</f>
        <v/>
      </c>
      <c r="O293" s="106">
        <f>Donnees_annuelles!D107*K293</f>
        <v/>
      </c>
      <c r="P293" s="106">
        <f>N293+O293</f>
        <v/>
      </c>
      <c r="Q293" s="106">
        <f>Donnees_annuelles!D107*L293</f>
        <v/>
      </c>
      <c r="R293" s="118">
        <f>P293/Donnees_annuelles!AA107*Donnees_annuelles!AI107/Donnees_annuelles!AG107</f>
        <v/>
      </c>
      <c r="S293" s="118">
        <f>P293/Donnees_annuelles!AA107*Donnees_annuelles!AJ107/Donnees_annuelles!AH107</f>
        <v/>
      </c>
    </row>
    <row r="294">
      <c r="A294" s="115" t="inlineStr">
        <is>
          <t>Fonction publique d'État</t>
        </is>
      </c>
      <c r="B294" s="101" t="n">
        <v>2050</v>
      </c>
      <c r="C294" s="105" t="n">
        <v>0.247</v>
      </c>
      <c r="D294" s="105" t="n">
        <v>0.111</v>
      </c>
      <c r="E294" s="105" t="n">
        <v>0.826</v>
      </c>
      <c r="F294" s="116" t="inlineStr">
        <is>
          <t>légal</t>
        </is>
      </c>
      <c r="G294" s="105" t="n">
        <v>0.05</v>
      </c>
      <c r="H294" s="105" t="n">
        <v>0.00252</v>
      </c>
      <c r="I294" s="105" t="n">
        <v>0</v>
      </c>
      <c r="J294" s="107">
        <f>D294*(1-C294)+G294*MIN(C294,0.2*(1-C294))+H294</f>
        <v/>
      </c>
      <c r="K294" s="107">
        <f>MIN(E294*(1-C294),Donnees_annuelles!G108)+G294*MIN(C294,0.2*(1-C294))</f>
        <v/>
      </c>
      <c r="L294" s="107">
        <f>I294*(1-C294)+MAX(0,E294*(1-C294)-Donnees_annuelles!G108)</f>
        <v/>
      </c>
      <c r="M294" s="119">
        <f>SUMIFS(Regimes!$G$5:$G$10,Regimes!$A$5:$A$10,A294)*(1-C294)/(1-0.23917)</f>
        <v/>
      </c>
      <c r="N294" s="106">
        <f>Donnees_annuelles!D108*J294</f>
        <v/>
      </c>
      <c r="O294" s="106">
        <f>Donnees_annuelles!D108*K294</f>
        <v/>
      </c>
      <c r="P294" s="106">
        <f>N294+O294</f>
        <v/>
      </c>
      <c r="Q294" s="106">
        <f>Donnees_annuelles!D108*L294</f>
        <v/>
      </c>
      <c r="R294" s="118">
        <f>P294/Donnees_annuelles!AA108*Donnees_annuelles!AI108/Donnees_annuelles!AG108</f>
        <v/>
      </c>
      <c r="S294" s="118">
        <f>P294/Donnees_annuelles!AA108*Donnees_annuelles!AJ108/Donnees_annuelles!AH108</f>
        <v/>
      </c>
    </row>
    <row r="295">
      <c r="A295" s="115" t="inlineStr">
        <is>
          <t>Fonction publique d'État</t>
        </is>
      </c>
      <c r="B295" s="101" t="n">
        <v>2051</v>
      </c>
      <c r="C295" s="105" t="n">
        <v>0.247</v>
      </c>
      <c r="D295" s="105" t="n">
        <v>0.111</v>
      </c>
      <c r="E295" s="105" t="n">
        <v>0.826</v>
      </c>
      <c r="F295" s="116" t="inlineStr">
        <is>
          <t>légal</t>
        </is>
      </c>
      <c r="G295" s="105" t="n">
        <v>0.05</v>
      </c>
      <c r="H295" s="105" t="n">
        <v>0.00252</v>
      </c>
      <c r="I295" s="105" t="n">
        <v>0</v>
      </c>
      <c r="J295" s="107">
        <f>D295*(1-C295)+G295*MIN(C295,0.2*(1-C295))+H295</f>
        <v/>
      </c>
      <c r="K295" s="107">
        <f>MIN(E295*(1-C295),Donnees_annuelles!G109)+G295*MIN(C295,0.2*(1-C295))</f>
        <v/>
      </c>
      <c r="L295" s="107">
        <f>I295*(1-C295)+MAX(0,E295*(1-C295)-Donnees_annuelles!G109)</f>
        <v/>
      </c>
      <c r="M295" s="119">
        <f>SUMIFS(Regimes!$G$5:$G$10,Regimes!$A$5:$A$10,A295)*(1-C295)/(1-0.23917)</f>
        <v/>
      </c>
      <c r="N295" s="106">
        <f>Donnees_annuelles!D109*J295</f>
        <v/>
      </c>
      <c r="O295" s="106">
        <f>Donnees_annuelles!D109*K295</f>
        <v/>
      </c>
      <c r="P295" s="106">
        <f>N295+O295</f>
        <v/>
      </c>
      <c r="Q295" s="106">
        <f>Donnees_annuelles!D109*L295</f>
        <v/>
      </c>
      <c r="R295" s="118">
        <f>P295/Donnees_annuelles!AA109*Donnees_annuelles!AI109/Donnees_annuelles!AG109</f>
        <v/>
      </c>
      <c r="S295" s="118">
        <f>P295/Donnees_annuelles!AA109*Donnees_annuelles!AJ109/Donnees_annuelles!AH109</f>
        <v/>
      </c>
    </row>
    <row r="296">
      <c r="A296" s="115" t="inlineStr">
        <is>
          <t>Fonction publique d'État</t>
        </is>
      </c>
      <c r="B296" s="101" t="n">
        <v>2052</v>
      </c>
      <c r="C296" s="105" t="n">
        <v>0.247</v>
      </c>
      <c r="D296" s="105" t="n">
        <v>0.111</v>
      </c>
      <c r="E296" s="105" t="n">
        <v>0.826</v>
      </c>
      <c r="F296" s="116" t="inlineStr">
        <is>
          <t>légal</t>
        </is>
      </c>
      <c r="G296" s="105" t="n">
        <v>0.05</v>
      </c>
      <c r="H296" s="105" t="n">
        <v>0.00252</v>
      </c>
      <c r="I296" s="105" t="n">
        <v>0</v>
      </c>
      <c r="J296" s="107">
        <f>D296*(1-C296)+G296*MIN(C296,0.2*(1-C296))+H296</f>
        <v/>
      </c>
      <c r="K296" s="107">
        <f>MIN(E296*(1-C296),Donnees_annuelles!G110)+G296*MIN(C296,0.2*(1-C296))</f>
        <v/>
      </c>
      <c r="L296" s="107">
        <f>I296*(1-C296)+MAX(0,E296*(1-C296)-Donnees_annuelles!G110)</f>
        <v/>
      </c>
      <c r="M296" s="119">
        <f>SUMIFS(Regimes!$G$5:$G$10,Regimes!$A$5:$A$10,A296)*(1-C296)/(1-0.23917)</f>
        <v/>
      </c>
      <c r="N296" s="106">
        <f>Donnees_annuelles!D110*J296</f>
        <v/>
      </c>
      <c r="O296" s="106">
        <f>Donnees_annuelles!D110*K296</f>
        <v/>
      </c>
      <c r="P296" s="106">
        <f>N296+O296</f>
        <v/>
      </c>
      <c r="Q296" s="106">
        <f>Donnees_annuelles!D110*L296</f>
        <v/>
      </c>
      <c r="R296" s="118">
        <f>P296/Donnees_annuelles!AA110*Donnees_annuelles!AI110/Donnees_annuelles!AG110</f>
        <v/>
      </c>
      <c r="S296" s="118">
        <f>P296/Donnees_annuelles!AA110*Donnees_annuelles!AJ110/Donnees_annuelles!AH110</f>
        <v/>
      </c>
    </row>
    <row r="297">
      <c r="A297" s="115" t="inlineStr">
        <is>
          <t>Fonction publique d'État</t>
        </is>
      </c>
      <c r="B297" s="101" t="n">
        <v>2053</v>
      </c>
      <c r="C297" s="105" t="n">
        <v>0.247</v>
      </c>
      <c r="D297" s="105" t="n">
        <v>0.111</v>
      </c>
      <c r="E297" s="105" t="n">
        <v>0.826</v>
      </c>
      <c r="F297" s="116" t="inlineStr">
        <is>
          <t>légal</t>
        </is>
      </c>
      <c r="G297" s="105" t="n">
        <v>0.05</v>
      </c>
      <c r="H297" s="105" t="n">
        <v>0.00252</v>
      </c>
      <c r="I297" s="105" t="n">
        <v>0</v>
      </c>
      <c r="J297" s="107">
        <f>D297*(1-C297)+G297*MIN(C297,0.2*(1-C297))+H297</f>
        <v/>
      </c>
      <c r="K297" s="107">
        <f>MIN(E297*(1-C297),Donnees_annuelles!G111)+G297*MIN(C297,0.2*(1-C297))</f>
        <v/>
      </c>
      <c r="L297" s="107">
        <f>I297*(1-C297)+MAX(0,E297*(1-C297)-Donnees_annuelles!G111)</f>
        <v/>
      </c>
      <c r="M297" s="119">
        <f>SUMIFS(Regimes!$G$5:$G$10,Regimes!$A$5:$A$10,A297)*(1-C297)/(1-0.23917)</f>
        <v/>
      </c>
      <c r="N297" s="106">
        <f>Donnees_annuelles!D111*J297</f>
        <v/>
      </c>
      <c r="O297" s="106">
        <f>Donnees_annuelles!D111*K297</f>
        <v/>
      </c>
      <c r="P297" s="106">
        <f>N297+O297</f>
        <v/>
      </c>
      <c r="Q297" s="106">
        <f>Donnees_annuelles!D111*L297</f>
        <v/>
      </c>
      <c r="R297" s="118">
        <f>P297/Donnees_annuelles!AA111*Donnees_annuelles!AI111/Donnees_annuelles!AG111</f>
        <v/>
      </c>
      <c r="S297" s="118">
        <f>P297/Donnees_annuelles!AA111*Donnees_annuelles!AJ111/Donnees_annuelles!AH111</f>
        <v/>
      </c>
    </row>
    <row r="298">
      <c r="A298" s="115" t="inlineStr">
        <is>
          <t>Fonction publique d'État</t>
        </is>
      </c>
      <c r="B298" s="101" t="n">
        <v>2054</v>
      </c>
      <c r="C298" s="105" t="n">
        <v>0.247</v>
      </c>
      <c r="D298" s="105" t="n">
        <v>0.111</v>
      </c>
      <c r="E298" s="105" t="n">
        <v>0.826</v>
      </c>
      <c r="F298" s="116" t="inlineStr">
        <is>
          <t>légal</t>
        </is>
      </c>
      <c r="G298" s="105" t="n">
        <v>0.05</v>
      </c>
      <c r="H298" s="105" t="n">
        <v>0.00252</v>
      </c>
      <c r="I298" s="105" t="n">
        <v>0</v>
      </c>
      <c r="J298" s="107">
        <f>D298*(1-C298)+G298*MIN(C298,0.2*(1-C298))+H298</f>
        <v/>
      </c>
      <c r="K298" s="107">
        <f>MIN(E298*(1-C298),Donnees_annuelles!G112)+G298*MIN(C298,0.2*(1-C298))</f>
        <v/>
      </c>
      <c r="L298" s="107">
        <f>I298*(1-C298)+MAX(0,E298*(1-C298)-Donnees_annuelles!G112)</f>
        <v/>
      </c>
      <c r="M298" s="119">
        <f>SUMIFS(Regimes!$G$5:$G$10,Regimes!$A$5:$A$10,A298)*(1-C298)/(1-0.23917)</f>
        <v/>
      </c>
      <c r="N298" s="106">
        <f>Donnees_annuelles!D112*J298</f>
        <v/>
      </c>
      <c r="O298" s="106">
        <f>Donnees_annuelles!D112*K298</f>
        <v/>
      </c>
      <c r="P298" s="106">
        <f>N298+O298</f>
        <v/>
      </c>
      <c r="Q298" s="106">
        <f>Donnees_annuelles!D112*L298</f>
        <v/>
      </c>
      <c r="R298" s="118">
        <f>P298/Donnees_annuelles!AA112*Donnees_annuelles!AI112/Donnees_annuelles!AG112</f>
        <v/>
      </c>
      <c r="S298" s="118">
        <f>P298/Donnees_annuelles!AA112*Donnees_annuelles!AJ112/Donnees_annuelles!AH112</f>
        <v/>
      </c>
    </row>
    <row r="299">
      <c r="A299" s="115" t="inlineStr">
        <is>
          <t>Fonction publique d'État</t>
        </is>
      </c>
      <c r="B299" s="101" t="n">
        <v>2055</v>
      </c>
      <c r="C299" s="105" t="n">
        <v>0.247</v>
      </c>
      <c r="D299" s="105" t="n">
        <v>0.111</v>
      </c>
      <c r="E299" s="105" t="n">
        <v>0.826</v>
      </c>
      <c r="F299" s="116" t="inlineStr">
        <is>
          <t>légal</t>
        </is>
      </c>
      <c r="G299" s="105" t="n">
        <v>0.05</v>
      </c>
      <c r="H299" s="105" t="n">
        <v>0.00252</v>
      </c>
      <c r="I299" s="105" t="n">
        <v>0</v>
      </c>
      <c r="J299" s="107">
        <f>D299*(1-C299)+G299*MIN(C299,0.2*(1-C299))+H299</f>
        <v/>
      </c>
      <c r="K299" s="107">
        <f>MIN(E299*(1-C299),Donnees_annuelles!G113)+G299*MIN(C299,0.2*(1-C299))</f>
        <v/>
      </c>
      <c r="L299" s="107">
        <f>I299*(1-C299)+MAX(0,E299*(1-C299)-Donnees_annuelles!G113)</f>
        <v/>
      </c>
      <c r="M299" s="119">
        <f>SUMIFS(Regimes!$G$5:$G$10,Regimes!$A$5:$A$10,A299)*(1-C299)/(1-0.23917)</f>
        <v/>
      </c>
      <c r="N299" s="106">
        <f>Donnees_annuelles!D113*J299</f>
        <v/>
      </c>
      <c r="O299" s="106">
        <f>Donnees_annuelles!D113*K299</f>
        <v/>
      </c>
      <c r="P299" s="106">
        <f>N299+O299</f>
        <v/>
      </c>
      <c r="Q299" s="106">
        <f>Donnees_annuelles!D113*L299</f>
        <v/>
      </c>
      <c r="R299" s="118">
        <f>P299/Donnees_annuelles!AA113*Donnees_annuelles!AI113/Donnees_annuelles!AG113</f>
        <v/>
      </c>
      <c r="S299" s="118">
        <f>P299/Donnees_annuelles!AA113*Donnees_annuelles!AJ113/Donnees_annuelles!AH113</f>
        <v/>
      </c>
    </row>
    <row r="300">
      <c r="A300" s="115" t="inlineStr">
        <is>
          <t>Fonction publique d'État</t>
        </is>
      </c>
      <c r="B300" s="101" t="n">
        <v>2056</v>
      </c>
      <c r="C300" s="105" t="n">
        <v>0.247</v>
      </c>
      <c r="D300" s="105" t="n">
        <v>0.111</v>
      </c>
      <c r="E300" s="105" t="n">
        <v>0.826</v>
      </c>
      <c r="F300" s="116" t="inlineStr">
        <is>
          <t>légal</t>
        </is>
      </c>
      <c r="G300" s="105" t="n">
        <v>0.05</v>
      </c>
      <c r="H300" s="105" t="n">
        <v>0.00252</v>
      </c>
      <c r="I300" s="105" t="n">
        <v>0</v>
      </c>
      <c r="J300" s="107">
        <f>D300*(1-C300)+G300*MIN(C300,0.2*(1-C300))+H300</f>
        <v/>
      </c>
      <c r="K300" s="107">
        <f>MIN(E300*(1-C300),Donnees_annuelles!G114)+G300*MIN(C300,0.2*(1-C300))</f>
        <v/>
      </c>
      <c r="L300" s="107">
        <f>I300*(1-C300)+MAX(0,E300*(1-C300)-Donnees_annuelles!G114)</f>
        <v/>
      </c>
      <c r="M300" s="119">
        <f>SUMIFS(Regimes!$G$5:$G$10,Regimes!$A$5:$A$10,A300)*(1-C300)/(1-0.23917)</f>
        <v/>
      </c>
      <c r="N300" s="106">
        <f>Donnees_annuelles!D114*J300</f>
        <v/>
      </c>
      <c r="O300" s="106">
        <f>Donnees_annuelles!D114*K300</f>
        <v/>
      </c>
      <c r="P300" s="106">
        <f>N300+O300</f>
        <v/>
      </c>
      <c r="Q300" s="106">
        <f>Donnees_annuelles!D114*L300</f>
        <v/>
      </c>
      <c r="R300" s="118">
        <f>P300/Donnees_annuelles!AA114*Donnees_annuelles!AI114/Donnees_annuelles!AG114</f>
        <v/>
      </c>
      <c r="S300" s="118">
        <f>P300/Donnees_annuelles!AA114*Donnees_annuelles!AJ114/Donnees_annuelles!AH114</f>
        <v/>
      </c>
    </row>
    <row r="301">
      <c r="A301" s="115" t="inlineStr">
        <is>
          <t>Fonction publique d'État</t>
        </is>
      </c>
      <c r="B301" s="101" t="n">
        <v>2057</v>
      </c>
      <c r="C301" s="105" t="n">
        <v>0.247</v>
      </c>
      <c r="D301" s="105" t="n">
        <v>0.111</v>
      </c>
      <c r="E301" s="105" t="n">
        <v>0.826</v>
      </c>
      <c r="F301" s="116" t="inlineStr">
        <is>
          <t>légal</t>
        </is>
      </c>
      <c r="G301" s="105" t="n">
        <v>0.05</v>
      </c>
      <c r="H301" s="105" t="n">
        <v>0.00252</v>
      </c>
      <c r="I301" s="105" t="n">
        <v>0</v>
      </c>
      <c r="J301" s="107">
        <f>D301*(1-C301)+G301*MIN(C301,0.2*(1-C301))+H301</f>
        <v/>
      </c>
      <c r="K301" s="107">
        <f>MIN(E301*(1-C301),Donnees_annuelles!G115)+G301*MIN(C301,0.2*(1-C301))</f>
        <v/>
      </c>
      <c r="L301" s="107">
        <f>I301*(1-C301)+MAX(0,E301*(1-C301)-Donnees_annuelles!G115)</f>
        <v/>
      </c>
      <c r="M301" s="119">
        <f>SUMIFS(Regimes!$G$5:$G$10,Regimes!$A$5:$A$10,A301)*(1-C301)/(1-0.23917)</f>
        <v/>
      </c>
      <c r="N301" s="106">
        <f>Donnees_annuelles!D115*J301</f>
        <v/>
      </c>
      <c r="O301" s="106">
        <f>Donnees_annuelles!D115*K301</f>
        <v/>
      </c>
      <c r="P301" s="106">
        <f>N301+O301</f>
        <v/>
      </c>
      <c r="Q301" s="106">
        <f>Donnees_annuelles!D115*L301</f>
        <v/>
      </c>
      <c r="R301" s="118">
        <f>P301/Donnees_annuelles!AA115*Donnees_annuelles!AI115/Donnees_annuelles!AG115</f>
        <v/>
      </c>
      <c r="S301" s="118">
        <f>P301/Donnees_annuelles!AA115*Donnees_annuelles!AJ115/Donnees_annuelles!AH115</f>
        <v/>
      </c>
    </row>
    <row r="302">
      <c r="A302" s="115" t="inlineStr">
        <is>
          <t>Fonction publique d'État</t>
        </is>
      </c>
      <c r="B302" s="101" t="n">
        <v>2058</v>
      </c>
      <c r="C302" s="105" t="n">
        <v>0.247</v>
      </c>
      <c r="D302" s="105" t="n">
        <v>0.111</v>
      </c>
      <c r="E302" s="105" t="n">
        <v>0.826</v>
      </c>
      <c r="F302" s="116" t="inlineStr">
        <is>
          <t>légal</t>
        </is>
      </c>
      <c r="G302" s="105" t="n">
        <v>0.05</v>
      </c>
      <c r="H302" s="105" t="n">
        <v>0.00252</v>
      </c>
      <c r="I302" s="105" t="n">
        <v>0</v>
      </c>
      <c r="J302" s="107">
        <f>D302*(1-C302)+G302*MIN(C302,0.2*(1-C302))+H302</f>
        <v/>
      </c>
      <c r="K302" s="107">
        <f>MIN(E302*(1-C302),Donnees_annuelles!G116)+G302*MIN(C302,0.2*(1-C302))</f>
        <v/>
      </c>
      <c r="L302" s="107">
        <f>I302*(1-C302)+MAX(0,E302*(1-C302)-Donnees_annuelles!G116)</f>
        <v/>
      </c>
      <c r="M302" s="119">
        <f>SUMIFS(Regimes!$G$5:$G$10,Regimes!$A$5:$A$10,A302)*(1-C302)/(1-0.23917)</f>
        <v/>
      </c>
      <c r="N302" s="106">
        <f>Donnees_annuelles!D116*J302</f>
        <v/>
      </c>
      <c r="O302" s="106">
        <f>Donnees_annuelles!D116*K302</f>
        <v/>
      </c>
      <c r="P302" s="106">
        <f>N302+O302</f>
        <v/>
      </c>
      <c r="Q302" s="106">
        <f>Donnees_annuelles!D116*L302</f>
        <v/>
      </c>
      <c r="R302" s="118">
        <f>P302/Donnees_annuelles!AA116*Donnees_annuelles!AI116/Donnees_annuelles!AG116</f>
        <v/>
      </c>
      <c r="S302" s="118">
        <f>P302/Donnees_annuelles!AA116*Donnees_annuelles!AJ116/Donnees_annuelles!AH116</f>
        <v/>
      </c>
    </row>
    <row r="303">
      <c r="A303" s="115" t="inlineStr">
        <is>
          <t>Fonction publique d'État</t>
        </is>
      </c>
      <c r="B303" s="101" t="n">
        <v>2059</v>
      </c>
      <c r="C303" s="105" t="n">
        <v>0.247</v>
      </c>
      <c r="D303" s="105" t="n">
        <v>0.111</v>
      </c>
      <c r="E303" s="105" t="n">
        <v>0.826</v>
      </c>
      <c r="F303" s="116" t="inlineStr">
        <is>
          <t>légal</t>
        </is>
      </c>
      <c r="G303" s="105" t="n">
        <v>0.05</v>
      </c>
      <c r="H303" s="105" t="n">
        <v>0.00252</v>
      </c>
      <c r="I303" s="105" t="n">
        <v>0</v>
      </c>
      <c r="J303" s="107">
        <f>D303*(1-C303)+G303*MIN(C303,0.2*(1-C303))+H303</f>
        <v/>
      </c>
      <c r="K303" s="107">
        <f>MIN(E303*(1-C303),Donnees_annuelles!G117)+G303*MIN(C303,0.2*(1-C303))</f>
        <v/>
      </c>
      <c r="L303" s="107">
        <f>I303*(1-C303)+MAX(0,E303*(1-C303)-Donnees_annuelles!G117)</f>
        <v/>
      </c>
      <c r="M303" s="119">
        <f>SUMIFS(Regimes!$G$5:$G$10,Regimes!$A$5:$A$10,A303)*(1-C303)/(1-0.23917)</f>
        <v/>
      </c>
      <c r="N303" s="106">
        <f>Donnees_annuelles!D117*J303</f>
        <v/>
      </c>
      <c r="O303" s="106">
        <f>Donnees_annuelles!D117*K303</f>
        <v/>
      </c>
      <c r="P303" s="106">
        <f>N303+O303</f>
        <v/>
      </c>
      <c r="Q303" s="106">
        <f>Donnees_annuelles!D117*L303</f>
        <v/>
      </c>
      <c r="R303" s="118">
        <f>P303/Donnees_annuelles!AA117*Donnees_annuelles!AI117/Donnees_annuelles!AG117</f>
        <v/>
      </c>
      <c r="S303" s="118">
        <f>P303/Donnees_annuelles!AA117*Donnees_annuelles!AJ117/Donnees_annuelles!AH117</f>
        <v/>
      </c>
    </row>
    <row r="304">
      <c r="A304" s="115" t="inlineStr">
        <is>
          <t>Fonction publique d'État</t>
        </is>
      </c>
      <c r="B304" s="101" t="n">
        <v>2060</v>
      </c>
      <c r="C304" s="105" t="n">
        <v>0.247</v>
      </c>
      <c r="D304" s="105" t="n">
        <v>0.111</v>
      </c>
      <c r="E304" s="105" t="n">
        <v>0.826</v>
      </c>
      <c r="F304" s="116" t="inlineStr">
        <is>
          <t>légal</t>
        </is>
      </c>
      <c r="G304" s="105" t="n">
        <v>0.05</v>
      </c>
      <c r="H304" s="105" t="n">
        <v>0.00252</v>
      </c>
      <c r="I304" s="105" t="n">
        <v>0</v>
      </c>
      <c r="J304" s="107">
        <f>D304*(1-C304)+G304*MIN(C304,0.2*(1-C304))+H304</f>
        <v/>
      </c>
      <c r="K304" s="107">
        <f>MIN(E304*(1-C304),Donnees_annuelles!G118)+G304*MIN(C304,0.2*(1-C304))</f>
        <v/>
      </c>
      <c r="L304" s="107">
        <f>I304*(1-C304)+MAX(0,E304*(1-C304)-Donnees_annuelles!G118)</f>
        <v/>
      </c>
      <c r="M304" s="119">
        <f>SUMIFS(Regimes!$G$5:$G$10,Regimes!$A$5:$A$10,A304)*(1-C304)/(1-0.23917)</f>
        <v/>
      </c>
      <c r="N304" s="106">
        <f>Donnees_annuelles!D118*J304</f>
        <v/>
      </c>
      <c r="O304" s="106">
        <f>Donnees_annuelles!D118*K304</f>
        <v/>
      </c>
      <c r="P304" s="106">
        <f>N304+O304</f>
        <v/>
      </c>
      <c r="Q304" s="106">
        <f>Donnees_annuelles!D118*L304</f>
        <v/>
      </c>
      <c r="R304" s="118">
        <f>P304/Donnees_annuelles!AA118*Donnees_annuelles!AI118/Donnees_annuelles!AG118</f>
        <v/>
      </c>
      <c r="S304" s="118">
        <f>P304/Donnees_annuelles!AA118*Donnees_annuelles!AJ118/Donnees_annuelles!AH118</f>
        <v/>
      </c>
    </row>
    <row r="305">
      <c r="A305" s="115" t="inlineStr">
        <is>
          <t>Fonction publique d'État</t>
        </is>
      </c>
      <c r="B305" s="101" t="n">
        <v>2061</v>
      </c>
      <c r="C305" s="105" t="n">
        <v>0.247</v>
      </c>
      <c r="D305" s="105" t="n">
        <v>0.111</v>
      </c>
      <c r="E305" s="105" t="n">
        <v>0.826</v>
      </c>
      <c r="F305" s="116" t="inlineStr">
        <is>
          <t>légal</t>
        </is>
      </c>
      <c r="G305" s="105" t="n">
        <v>0.05</v>
      </c>
      <c r="H305" s="105" t="n">
        <v>0.00252</v>
      </c>
      <c r="I305" s="105" t="n">
        <v>0</v>
      </c>
      <c r="J305" s="107">
        <f>D305*(1-C305)+G305*MIN(C305,0.2*(1-C305))+H305</f>
        <v/>
      </c>
      <c r="K305" s="107">
        <f>MIN(E305*(1-C305),Donnees_annuelles!G119)+G305*MIN(C305,0.2*(1-C305))</f>
        <v/>
      </c>
      <c r="L305" s="107">
        <f>I305*(1-C305)+MAX(0,E305*(1-C305)-Donnees_annuelles!G119)</f>
        <v/>
      </c>
      <c r="M305" s="119">
        <f>SUMIFS(Regimes!$G$5:$G$10,Regimes!$A$5:$A$10,A305)*(1-C305)/(1-0.23917)</f>
        <v/>
      </c>
      <c r="N305" s="106">
        <f>Donnees_annuelles!D119*J305</f>
        <v/>
      </c>
      <c r="O305" s="106">
        <f>Donnees_annuelles!D119*K305</f>
        <v/>
      </c>
      <c r="P305" s="106">
        <f>N305+O305</f>
        <v/>
      </c>
      <c r="Q305" s="106">
        <f>Donnees_annuelles!D119*L305</f>
        <v/>
      </c>
      <c r="R305" s="118">
        <f>P305/Donnees_annuelles!AA119*Donnees_annuelles!AI119/Donnees_annuelles!AG119</f>
        <v/>
      </c>
      <c r="S305" s="118">
        <f>P305/Donnees_annuelles!AA119*Donnees_annuelles!AJ119/Donnees_annuelles!AH119</f>
        <v/>
      </c>
    </row>
    <row r="306">
      <c r="A306" s="115" t="inlineStr">
        <is>
          <t>Fonction publique d'État</t>
        </is>
      </c>
      <c r="B306" s="101" t="n">
        <v>2062</v>
      </c>
      <c r="C306" s="105" t="n">
        <v>0.247</v>
      </c>
      <c r="D306" s="105" t="n">
        <v>0.111</v>
      </c>
      <c r="E306" s="105" t="n">
        <v>0.826</v>
      </c>
      <c r="F306" s="116" t="inlineStr">
        <is>
          <t>légal</t>
        </is>
      </c>
      <c r="G306" s="105" t="n">
        <v>0.05</v>
      </c>
      <c r="H306" s="105" t="n">
        <v>0.00252</v>
      </c>
      <c r="I306" s="105" t="n">
        <v>0</v>
      </c>
      <c r="J306" s="107">
        <f>D306*(1-C306)+G306*MIN(C306,0.2*(1-C306))+H306</f>
        <v/>
      </c>
      <c r="K306" s="107">
        <f>MIN(E306*(1-C306),Donnees_annuelles!G120)+G306*MIN(C306,0.2*(1-C306))</f>
        <v/>
      </c>
      <c r="L306" s="107">
        <f>I306*(1-C306)+MAX(0,E306*(1-C306)-Donnees_annuelles!G120)</f>
        <v/>
      </c>
      <c r="M306" s="119">
        <f>SUMIFS(Regimes!$G$5:$G$10,Regimes!$A$5:$A$10,A306)*(1-C306)/(1-0.23917)</f>
        <v/>
      </c>
      <c r="N306" s="106">
        <f>Donnees_annuelles!D120*J306</f>
        <v/>
      </c>
      <c r="O306" s="106">
        <f>Donnees_annuelles!D120*K306</f>
        <v/>
      </c>
      <c r="P306" s="106">
        <f>N306+O306</f>
        <v/>
      </c>
      <c r="Q306" s="106">
        <f>Donnees_annuelles!D120*L306</f>
        <v/>
      </c>
      <c r="R306" s="118">
        <f>P306/Donnees_annuelles!AA120*Donnees_annuelles!AI120/Donnees_annuelles!AG120</f>
        <v/>
      </c>
      <c r="S306" s="118">
        <f>P306/Donnees_annuelles!AA120*Donnees_annuelles!AJ120/Donnees_annuelles!AH120</f>
        <v/>
      </c>
    </row>
    <row r="307">
      <c r="A307" s="115" t="inlineStr">
        <is>
          <t>Fonction publique d'État</t>
        </is>
      </c>
      <c r="B307" s="101" t="n">
        <v>2063</v>
      </c>
      <c r="C307" s="105" t="n">
        <v>0.247</v>
      </c>
      <c r="D307" s="105" t="n">
        <v>0.111</v>
      </c>
      <c r="E307" s="105" t="n">
        <v>0.826</v>
      </c>
      <c r="F307" s="116" t="inlineStr">
        <is>
          <t>légal</t>
        </is>
      </c>
      <c r="G307" s="105" t="n">
        <v>0.05</v>
      </c>
      <c r="H307" s="105" t="n">
        <v>0.00252</v>
      </c>
      <c r="I307" s="105" t="n">
        <v>0</v>
      </c>
      <c r="J307" s="107">
        <f>D307*(1-C307)+G307*MIN(C307,0.2*(1-C307))+H307</f>
        <v/>
      </c>
      <c r="K307" s="107">
        <f>MIN(E307*(1-C307),Donnees_annuelles!G121)+G307*MIN(C307,0.2*(1-C307))</f>
        <v/>
      </c>
      <c r="L307" s="107">
        <f>I307*(1-C307)+MAX(0,E307*(1-C307)-Donnees_annuelles!G121)</f>
        <v/>
      </c>
      <c r="M307" s="119">
        <f>SUMIFS(Regimes!$G$5:$G$10,Regimes!$A$5:$A$10,A307)*(1-C307)/(1-0.23917)</f>
        <v/>
      </c>
      <c r="N307" s="106">
        <f>Donnees_annuelles!D121*J307</f>
        <v/>
      </c>
      <c r="O307" s="106">
        <f>Donnees_annuelles!D121*K307</f>
        <v/>
      </c>
      <c r="P307" s="106">
        <f>N307+O307</f>
        <v/>
      </c>
      <c r="Q307" s="106">
        <f>Donnees_annuelles!D121*L307</f>
        <v/>
      </c>
      <c r="R307" s="118">
        <f>P307/Donnees_annuelles!AA121*Donnees_annuelles!AI121/Donnees_annuelles!AG121</f>
        <v/>
      </c>
      <c r="S307" s="118">
        <f>P307/Donnees_annuelles!AA121*Donnees_annuelles!AJ121/Donnees_annuelles!AH121</f>
        <v/>
      </c>
    </row>
    <row r="308">
      <c r="A308" s="115" t="inlineStr">
        <is>
          <t>Fonction publique d'État</t>
        </is>
      </c>
      <c r="B308" s="101" t="n">
        <v>2064</v>
      </c>
      <c r="C308" s="105" t="n">
        <v>0.247</v>
      </c>
      <c r="D308" s="105" t="n">
        <v>0.111</v>
      </c>
      <c r="E308" s="105" t="n">
        <v>0.826</v>
      </c>
      <c r="F308" s="116" t="inlineStr">
        <is>
          <t>légal</t>
        </is>
      </c>
      <c r="G308" s="105" t="n">
        <v>0.05</v>
      </c>
      <c r="H308" s="105" t="n">
        <v>0.00252</v>
      </c>
      <c r="I308" s="105" t="n">
        <v>0</v>
      </c>
      <c r="J308" s="107">
        <f>D308*(1-C308)+G308*MIN(C308,0.2*(1-C308))+H308</f>
        <v/>
      </c>
      <c r="K308" s="107">
        <f>MIN(E308*(1-C308),Donnees_annuelles!G122)+G308*MIN(C308,0.2*(1-C308))</f>
        <v/>
      </c>
      <c r="L308" s="107">
        <f>I308*(1-C308)+MAX(0,E308*(1-C308)-Donnees_annuelles!G122)</f>
        <v/>
      </c>
      <c r="M308" s="119">
        <f>SUMIFS(Regimes!$G$5:$G$10,Regimes!$A$5:$A$10,A308)*(1-C308)/(1-0.23917)</f>
        <v/>
      </c>
      <c r="N308" s="106">
        <f>Donnees_annuelles!D122*J308</f>
        <v/>
      </c>
      <c r="O308" s="106">
        <f>Donnees_annuelles!D122*K308</f>
        <v/>
      </c>
      <c r="P308" s="106">
        <f>N308+O308</f>
        <v/>
      </c>
      <c r="Q308" s="106">
        <f>Donnees_annuelles!D122*L308</f>
        <v/>
      </c>
      <c r="R308" s="118">
        <f>P308/Donnees_annuelles!AA122*Donnees_annuelles!AI122/Donnees_annuelles!AG122</f>
        <v/>
      </c>
      <c r="S308" s="118">
        <f>P308/Donnees_annuelles!AA122*Donnees_annuelles!AJ122/Donnees_annuelles!AH122</f>
        <v/>
      </c>
    </row>
    <row r="309">
      <c r="A309" s="115" t="inlineStr">
        <is>
          <t>Fonction publique d'État</t>
        </is>
      </c>
      <c r="B309" s="101" t="n">
        <v>2065</v>
      </c>
      <c r="C309" s="105" t="n">
        <v>0.247</v>
      </c>
      <c r="D309" s="105" t="n">
        <v>0.111</v>
      </c>
      <c r="E309" s="105" t="n">
        <v>0.826</v>
      </c>
      <c r="F309" s="116" t="inlineStr">
        <is>
          <t>légal</t>
        </is>
      </c>
      <c r="G309" s="105" t="n">
        <v>0.05</v>
      </c>
      <c r="H309" s="105" t="n">
        <v>0.00252</v>
      </c>
      <c r="I309" s="105" t="n">
        <v>0</v>
      </c>
      <c r="J309" s="107">
        <f>D309*(1-C309)+G309*MIN(C309,0.2*(1-C309))+H309</f>
        <v/>
      </c>
      <c r="K309" s="107">
        <f>MIN(E309*(1-C309),Donnees_annuelles!G123)+G309*MIN(C309,0.2*(1-C309))</f>
        <v/>
      </c>
      <c r="L309" s="107">
        <f>I309*(1-C309)+MAX(0,E309*(1-C309)-Donnees_annuelles!G123)</f>
        <v/>
      </c>
      <c r="M309" s="119">
        <f>SUMIFS(Regimes!$G$5:$G$10,Regimes!$A$5:$A$10,A309)*(1-C309)/(1-0.23917)</f>
        <v/>
      </c>
      <c r="N309" s="106">
        <f>Donnees_annuelles!D123*J309</f>
        <v/>
      </c>
      <c r="O309" s="106">
        <f>Donnees_annuelles!D123*K309</f>
        <v/>
      </c>
      <c r="P309" s="106">
        <f>N309+O309</f>
        <v/>
      </c>
      <c r="Q309" s="106">
        <f>Donnees_annuelles!D123*L309</f>
        <v/>
      </c>
      <c r="R309" s="118">
        <f>P309/Donnees_annuelles!AA123*Donnees_annuelles!AI123/Donnees_annuelles!AG123</f>
        <v/>
      </c>
      <c r="S309" s="118">
        <f>P309/Donnees_annuelles!AA123*Donnees_annuelles!AJ123/Donnees_annuelles!AH123</f>
        <v/>
      </c>
    </row>
    <row r="310">
      <c r="A310" s="115" t="inlineStr">
        <is>
          <t>Fonction publique d'État</t>
        </is>
      </c>
      <c r="B310" s="101" t="n">
        <v>2066</v>
      </c>
      <c r="C310" s="105" t="n">
        <v>0.247</v>
      </c>
      <c r="D310" s="105" t="n">
        <v>0.111</v>
      </c>
      <c r="E310" s="105" t="n">
        <v>0.826</v>
      </c>
      <c r="F310" s="116" t="inlineStr">
        <is>
          <t>légal</t>
        </is>
      </c>
      <c r="G310" s="105" t="n">
        <v>0.05</v>
      </c>
      <c r="H310" s="105" t="n">
        <v>0.00252</v>
      </c>
      <c r="I310" s="105" t="n">
        <v>0</v>
      </c>
      <c r="J310" s="107">
        <f>D310*(1-C310)+G310*MIN(C310,0.2*(1-C310))+H310</f>
        <v/>
      </c>
      <c r="K310" s="107">
        <f>MIN(E310*(1-C310),Donnees_annuelles!G124)+G310*MIN(C310,0.2*(1-C310))</f>
        <v/>
      </c>
      <c r="L310" s="107">
        <f>I310*(1-C310)+MAX(0,E310*(1-C310)-Donnees_annuelles!G124)</f>
        <v/>
      </c>
      <c r="M310" s="119">
        <f>SUMIFS(Regimes!$G$5:$G$10,Regimes!$A$5:$A$10,A310)*(1-C310)/(1-0.23917)</f>
        <v/>
      </c>
      <c r="N310" s="106">
        <f>Donnees_annuelles!D124*J310</f>
        <v/>
      </c>
      <c r="O310" s="106">
        <f>Donnees_annuelles!D124*K310</f>
        <v/>
      </c>
      <c r="P310" s="106">
        <f>N310+O310</f>
        <v/>
      </c>
      <c r="Q310" s="106">
        <f>Donnees_annuelles!D124*L310</f>
        <v/>
      </c>
      <c r="R310" s="118">
        <f>P310/Donnees_annuelles!AA124*Donnees_annuelles!AI124/Donnees_annuelles!AG124</f>
        <v/>
      </c>
      <c r="S310" s="118">
        <f>P310/Donnees_annuelles!AA124*Donnees_annuelles!AJ124/Donnees_annuelles!AH124</f>
        <v/>
      </c>
    </row>
    <row r="311">
      <c r="A311" s="115" t="inlineStr">
        <is>
          <t>Fonction publique d'État</t>
        </is>
      </c>
      <c r="B311" s="101" t="n">
        <v>2067</v>
      </c>
      <c r="C311" s="105" t="n">
        <v>0.247</v>
      </c>
      <c r="D311" s="105" t="n">
        <v>0.111</v>
      </c>
      <c r="E311" s="105" t="n">
        <v>0.826</v>
      </c>
      <c r="F311" s="116" t="inlineStr">
        <is>
          <t>légal</t>
        </is>
      </c>
      <c r="G311" s="105" t="n">
        <v>0.05</v>
      </c>
      <c r="H311" s="105" t="n">
        <v>0.00252</v>
      </c>
      <c r="I311" s="105" t="n">
        <v>0</v>
      </c>
      <c r="J311" s="107">
        <f>D311*(1-C311)+G311*MIN(C311,0.2*(1-C311))+H311</f>
        <v/>
      </c>
      <c r="K311" s="107">
        <f>MIN(E311*(1-C311),Donnees_annuelles!G125)+G311*MIN(C311,0.2*(1-C311))</f>
        <v/>
      </c>
      <c r="L311" s="107">
        <f>I311*(1-C311)+MAX(0,E311*(1-C311)-Donnees_annuelles!G125)</f>
        <v/>
      </c>
      <c r="M311" s="119">
        <f>SUMIFS(Regimes!$G$5:$G$10,Regimes!$A$5:$A$10,A311)*(1-C311)/(1-0.23917)</f>
        <v/>
      </c>
      <c r="N311" s="106">
        <f>Donnees_annuelles!D125*J311</f>
        <v/>
      </c>
      <c r="O311" s="106">
        <f>Donnees_annuelles!D125*K311</f>
        <v/>
      </c>
      <c r="P311" s="106">
        <f>N311+O311</f>
        <v/>
      </c>
      <c r="Q311" s="106">
        <f>Donnees_annuelles!D125*L311</f>
        <v/>
      </c>
      <c r="R311" s="118">
        <f>P311/Donnees_annuelles!AA125*Donnees_annuelles!AI125/Donnees_annuelles!AG125</f>
        <v/>
      </c>
      <c r="S311" s="118">
        <f>P311/Donnees_annuelles!AA125*Donnees_annuelles!AJ125/Donnees_annuelles!AH125</f>
        <v/>
      </c>
    </row>
    <row r="312">
      <c r="A312" s="115" t="inlineStr">
        <is>
          <t>Fonction publique d'État</t>
        </is>
      </c>
      <c r="B312" s="101" t="n">
        <v>2068</v>
      </c>
      <c r="C312" s="105" t="n">
        <v>0.247</v>
      </c>
      <c r="D312" s="105" t="n">
        <v>0.111</v>
      </c>
      <c r="E312" s="105" t="n">
        <v>0.826</v>
      </c>
      <c r="F312" s="116" t="inlineStr">
        <is>
          <t>légal</t>
        </is>
      </c>
      <c r="G312" s="105" t="n">
        <v>0.05</v>
      </c>
      <c r="H312" s="105" t="n">
        <v>0.00252</v>
      </c>
      <c r="I312" s="105" t="n">
        <v>0</v>
      </c>
      <c r="J312" s="107">
        <f>D312*(1-C312)+G312*MIN(C312,0.2*(1-C312))+H312</f>
        <v/>
      </c>
      <c r="K312" s="107">
        <f>MIN(E312*(1-C312),Donnees_annuelles!G126)+G312*MIN(C312,0.2*(1-C312))</f>
        <v/>
      </c>
      <c r="L312" s="107">
        <f>I312*(1-C312)+MAX(0,E312*(1-C312)-Donnees_annuelles!G126)</f>
        <v/>
      </c>
      <c r="M312" s="119">
        <f>SUMIFS(Regimes!$G$5:$G$10,Regimes!$A$5:$A$10,A312)*(1-C312)/(1-0.23917)</f>
        <v/>
      </c>
      <c r="N312" s="106">
        <f>Donnees_annuelles!D126*J312</f>
        <v/>
      </c>
      <c r="O312" s="106">
        <f>Donnees_annuelles!D126*K312</f>
        <v/>
      </c>
      <c r="P312" s="106">
        <f>N312+O312</f>
        <v/>
      </c>
      <c r="Q312" s="106">
        <f>Donnees_annuelles!D126*L312</f>
        <v/>
      </c>
      <c r="R312" s="118">
        <f>P312/Donnees_annuelles!AA126*Donnees_annuelles!AI126/Donnees_annuelles!AG126</f>
        <v/>
      </c>
      <c r="S312" s="118">
        <f>P312/Donnees_annuelles!AA126*Donnees_annuelles!AJ126/Donnees_annuelles!AH126</f>
        <v/>
      </c>
    </row>
    <row r="313">
      <c r="A313" s="115" t="inlineStr">
        <is>
          <t>Fonction publique d'État</t>
        </is>
      </c>
      <c r="B313" s="101" t="n">
        <v>2069</v>
      </c>
      <c r="C313" s="105" t="n">
        <v>0.247</v>
      </c>
      <c r="D313" s="105" t="n">
        <v>0.111</v>
      </c>
      <c r="E313" s="105" t="n">
        <v>0.826</v>
      </c>
      <c r="F313" s="116" t="inlineStr">
        <is>
          <t>légal</t>
        </is>
      </c>
      <c r="G313" s="105" t="n">
        <v>0.05</v>
      </c>
      <c r="H313" s="105" t="n">
        <v>0.00252</v>
      </c>
      <c r="I313" s="105" t="n">
        <v>0</v>
      </c>
      <c r="J313" s="107">
        <f>D313*(1-C313)+G313*MIN(C313,0.2*(1-C313))+H313</f>
        <v/>
      </c>
      <c r="K313" s="107">
        <f>MIN(E313*(1-C313),Donnees_annuelles!G127)+G313*MIN(C313,0.2*(1-C313))</f>
        <v/>
      </c>
      <c r="L313" s="107">
        <f>I313*(1-C313)+MAX(0,E313*(1-C313)-Donnees_annuelles!G127)</f>
        <v/>
      </c>
      <c r="M313" s="119">
        <f>SUMIFS(Regimes!$G$5:$G$10,Regimes!$A$5:$A$10,A313)*(1-C313)/(1-0.23917)</f>
        <v/>
      </c>
      <c r="N313" s="106">
        <f>Donnees_annuelles!D127*J313</f>
        <v/>
      </c>
      <c r="O313" s="106">
        <f>Donnees_annuelles!D127*K313</f>
        <v/>
      </c>
      <c r="P313" s="106">
        <f>N313+O313</f>
        <v/>
      </c>
      <c r="Q313" s="106">
        <f>Donnees_annuelles!D127*L313</f>
        <v/>
      </c>
      <c r="R313" s="118">
        <f>P313/Donnees_annuelles!AA127*Donnees_annuelles!AI127/Donnees_annuelles!AG127</f>
        <v/>
      </c>
      <c r="S313" s="118">
        <f>P313/Donnees_annuelles!AA127*Donnees_annuelles!AJ127/Donnees_annuelles!AH127</f>
        <v/>
      </c>
    </row>
    <row r="314">
      <c r="A314" s="115" t="inlineStr">
        <is>
          <t>Fonction publique d'État</t>
        </is>
      </c>
      <c r="B314" s="101" t="n">
        <v>2070</v>
      </c>
      <c r="C314" s="105" t="n">
        <v>0.247</v>
      </c>
      <c r="D314" s="105" t="n">
        <v>0.111</v>
      </c>
      <c r="E314" s="105" t="n">
        <v>0.826</v>
      </c>
      <c r="F314" s="116" t="inlineStr">
        <is>
          <t>légal</t>
        </is>
      </c>
      <c r="G314" s="105" t="n">
        <v>0.05</v>
      </c>
      <c r="H314" s="105" t="n">
        <v>0.00252</v>
      </c>
      <c r="I314" s="105" t="n">
        <v>0</v>
      </c>
      <c r="J314" s="107">
        <f>D314*(1-C314)+G314*MIN(C314,0.2*(1-C314))+H314</f>
        <v/>
      </c>
      <c r="K314" s="107">
        <f>MIN(E314*(1-C314),Donnees_annuelles!G128)+G314*MIN(C314,0.2*(1-C314))</f>
        <v/>
      </c>
      <c r="L314" s="107">
        <f>I314*(1-C314)+MAX(0,E314*(1-C314)-Donnees_annuelles!G128)</f>
        <v/>
      </c>
      <c r="M314" s="119">
        <f>SUMIFS(Regimes!$G$5:$G$10,Regimes!$A$5:$A$10,A314)*(1-C314)/(1-0.23917)</f>
        <v/>
      </c>
      <c r="N314" s="106">
        <f>Donnees_annuelles!D128*J314</f>
        <v/>
      </c>
      <c r="O314" s="106">
        <f>Donnees_annuelles!D128*K314</f>
        <v/>
      </c>
      <c r="P314" s="106">
        <f>N314+O314</f>
        <v/>
      </c>
      <c r="Q314" s="106">
        <f>Donnees_annuelles!D128*L314</f>
        <v/>
      </c>
      <c r="R314" s="118">
        <f>P314/Donnees_annuelles!AA128*Donnees_annuelles!AI128/Donnees_annuelles!AG128</f>
        <v/>
      </c>
      <c r="S314" s="118">
        <f>P314/Donnees_annuelles!AA128*Donnees_annuelles!AJ128/Donnees_annuelles!AH128</f>
        <v/>
      </c>
    </row>
    <row r="315">
      <c r="A315" s="115" t="inlineStr">
        <is>
          <t>Fonction publique d'État</t>
        </is>
      </c>
      <c r="B315" s="101" t="n">
        <v>2071</v>
      </c>
      <c r="C315" s="105" t="n">
        <v>0.247</v>
      </c>
      <c r="D315" s="105" t="n">
        <v>0.111</v>
      </c>
      <c r="E315" s="105" t="n">
        <v>0.826</v>
      </c>
      <c r="F315" s="116" t="inlineStr">
        <is>
          <t>légal</t>
        </is>
      </c>
      <c r="G315" s="105" t="n">
        <v>0.05</v>
      </c>
      <c r="H315" s="105" t="n">
        <v>0.00252</v>
      </c>
      <c r="I315" s="105" t="n">
        <v>0</v>
      </c>
      <c r="J315" s="107">
        <f>D315*(1-C315)+G315*MIN(C315,0.2*(1-C315))+H315</f>
        <v/>
      </c>
      <c r="K315" s="107">
        <f>MIN(E315*(1-C315),Donnees_annuelles!G129)+G315*MIN(C315,0.2*(1-C315))</f>
        <v/>
      </c>
      <c r="L315" s="107">
        <f>I315*(1-C315)+MAX(0,E315*(1-C315)-Donnees_annuelles!G129)</f>
        <v/>
      </c>
      <c r="M315" s="119">
        <f>SUMIFS(Regimes!$G$5:$G$10,Regimes!$A$5:$A$10,A315)*(1-C315)/(1-0.23917)</f>
        <v/>
      </c>
      <c r="N315" s="106">
        <f>Donnees_annuelles!D129*J315</f>
        <v/>
      </c>
      <c r="O315" s="106">
        <f>Donnees_annuelles!D129*K315</f>
        <v/>
      </c>
      <c r="P315" s="106">
        <f>N315+O315</f>
        <v/>
      </c>
      <c r="Q315" s="106">
        <f>Donnees_annuelles!D129*L315</f>
        <v/>
      </c>
      <c r="R315" s="118">
        <f>P315/Donnees_annuelles!AA129*Donnees_annuelles!AI129/Donnees_annuelles!AG129</f>
        <v/>
      </c>
      <c r="S315" s="118">
        <f>P315/Donnees_annuelles!AA129*Donnees_annuelles!AJ129/Donnees_annuelles!AH129</f>
        <v/>
      </c>
    </row>
    <row r="316">
      <c r="A316" s="115" t="inlineStr">
        <is>
          <t>Fonction publique d'État</t>
        </is>
      </c>
      <c r="B316" s="101" t="n">
        <v>2072</v>
      </c>
      <c r="C316" s="105" t="n">
        <v>0.247</v>
      </c>
      <c r="D316" s="105" t="n">
        <v>0.111</v>
      </c>
      <c r="E316" s="105" t="n">
        <v>0.826</v>
      </c>
      <c r="F316" s="116" t="inlineStr">
        <is>
          <t>légal</t>
        </is>
      </c>
      <c r="G316" s="105" t="n">
        <v>0.05</v>
      </c>
      <c r="H316" s="105" t="n">
        <v>0.00252</v>
      </c>
      <c r="I316" s="105" t="n">
        <v>0</v>
      </c>
      <c r="J316" s="107">
        <f>D316*(1-C316)+G316*MIN(C316,0.2*(1-C316))+H316</f>
        <v/>
      </c>
      <c r="K316" s="107">
        <f>MIN(E316*(1-C316),Donnees_annuelles!G130)+G316*MIN(C316,0.2*(1-C316))</f>
        <v/>
      </c>
      <c r="L316" s="107">
        <f>I316*(1-C316)+MAX(0,E316*(1-C316)-Donnees_annuelles!G130)</f>
        <v/>
      </c>
      <c r="M316" s="119">
        <f>SUMIFS(Regimes!$G$5:$G$10,Regimes!$A$5:$A$10,A316)*(1-C316)/(1-0.23917)</f>
        <v/>
      </c>
      <c r="N316" s="106">
        <f>Donnees_annuelles!D130*J316</f>
        <v/>
      </c>
      <c r="O316" s="106">
        <f>Donnees_annuelles!D130*K316</f>
        <v/>
      </c>
      <c r="P316" s="106">
        <f>N316+O316</f>
        <v/>
      </c>
      <c r="Q316" s="106">
        <f>Donnees_annuelles!D130*L316</f>
        <v/>
      </c>
      <c r="R316" s="118">
        <f>P316/Donnees_annuelles!AA130*Donnees_annuelles!AI130/Donnees_annuelles!AG130</f>
        <v/>
      </c>
      <c r="S316" s="118">
        <f>P316/Donnees_annuelles!AA130*Donnees_annuelles!AJ130/Donnees_annuelles!AH130</f>
        <v/>
      </c>
    </row>
    <row r="317">
      <c r="A317" s="115" t="inlineStr">
        <is>
          <t>Fonction publique d'État</t>
        </is>
      </c>
      <c r="B317" s="101" t="n">
        <v>2073</v>
      </c>
      <c r="C317" s="105" t="n">
        <v>0.247</v>
      </c>
      <c r="D317" s="105" t="n">
        <v>0.111</v>
      </c>
      <c r="E317" s="105" t="n">
        <v>0.826</v>
      </c>
      <c r="F317" s="116" t="inlineStr">
        <is>
          <t>légal</t>
        </is>
      </c>
      <c r="G317" s="105" t="n">
        <v>0.05</v>
      </c>
      <c r="H317" s="105" t="n">
        <v>0.00252</v>
      </c>
      <c r="I317" s="105" t="n">
        <v>0</v>
      </c>
      <c r="J317" s="107">
        <f>D317*(1-C317)+G317*MIN(C317,0.2*(1-C317))+H317</f>
        <v/>
      </c>
      <c r="K317" s="107">
        <f>MIN(E317*(1-C317),Donnees_annuelles!G131)+G317*MIN(C317,0.2*(1-C317))</f>
        <v/>
      </c>
      <c r="L317" s="107">
        <f>I317*(1-C317)+MAX(0,E317*(1-C317)-Donnees_annuelles!G131)</f>
        <v/>
      </c>
      <c r="M317" s="119">
        <f>SUMIFS(Regimes!$G$5:$G$10,Regimes!$A$5:$A$10,A317)*(1-C317)/(1-0.23917)</f>
        <v/>
      </c>
      <c r="N317" s="106">
        <f>Donnees_annuelles!D131*J317</f>
        <v/>
      </c>
      <c r="O317" s="106">
        <f>Donnees_annuelles!D131*K317</f>
        <v/>
      </c>
      <c r="P317" s="106">
        <f>N317+O317</f>
        <v/>
      </c>
      <c r="Q317" s="106">
        <f>Donnees_annuelles!D131*L317</f>
        <v/>
      </c>
      <c r="R317" s="118">
        <f>P317/Donnees_annuelles!AA131*Donnees_annuelles!AI131/Donnees_annuelles!AG131</f>
        <v/>
      </c>
      <c r="S317" s="118">
        <f>P317/Donnees_annuelles!AA131*Donnees_annuelles!AJ131/Donnees_annuelles!AH131</f>
        <v/>
      </c>
    </row>
    <row r="318">
      <c r="A318" s="115" t="inlineStr">
        <is>
          <t>Fonction publique d'État</t>
        </is>
      </c>
      <c r="B318" s="101" t="n">
        <v>2074</v>
      </c>
      <c r="C318" s="105" t="n">
        <v>0.247</v>
      </c>
      <c r="D318" s="105" t="n">
        <v>0.111</v>
      </c>
      <c r="E318" s="105" t="n">
        <v>0.826</v>
      </c>
      <c r="F318" s="116" t="inlineStr">
        <is>
          <t>légal</t>
        </is>
      </c>
      <c r="G318" s="105" t="n">
        <v>0.05</v>
      </c>
      <c r="H318" s="105" t="n">
        <v>0.00252</v>
      </c>
      <c r="I318" s="105" t="n">
        <v>0</v>
      </c>
      <c r="J318" s="107">
        <f>D318*(1-C318)+G318*MIN(C318,0.2*(1-C318))+H318</f>
        <v/>
      </c>
      <c r="K318" s="107">
        <f>MIN(E318*(1-C318),Donnees_annuelles!G132)+G318*MIN(C318,0.2*(1-C318))</f>
        <v/>
      </c>
      <c r="L318" s="107">
        <f>I318*(1-C318)+MAX(0,E318*(1-C318)-Donnees_annuelles!G132)</f>
        <v/>
      </c>
      <c r="M318" s="119">
        <f>SUMIFS(Regimes!$G$5:$G$10,Regimes!$A$5:$A$10,A318)*(1-C318)/(1-0.23917)</f>
        <v/>
      </c>
      <c r="N318" s="106">
        <f>Donnees_annuelles!D132*J318</f>
        <v/>
      </c>
      <c r="O318" s="106">
        <f>Donnees_annuelles!D132*K318</f>
        <v/>
      </c>
      <c r="P318" s="106">
        <f>N318+O318</f>
        <v/>
      </c>
      <c r="Q318" s="106">
        <f>Donnees_annuelles!D132*L318</f>
        <v/>
      </c>
      <c r="R318" s="118">
        <f>P318/Donnees_annuelles!AA132*Donnees_annuelles!AI132/Donnees_annuelles!AG132</f>
        <v/>
      </c>
      <c r="S318" s="118">
        <f>P318/Donnees_annuelles!AA132*Donnees_annuelles!AJ132/Donnees_annuelles!AH132</f>
        <v/>
      </c>
    </row>
    <row r="319">
      <c r="A319" s="115" t="inlineStr">
        <is>
          <t>Fonction publique d'État</t>
        </is>
      </c>
      <c r="B319" s="101" t="n">
        <v>2075</v>
      </c>
      <c r="C319" s="105" t="n">
        <v>0.247</v>
      </c>
      <c r="D319" s="105" t="n">
        <v>0.111</v>
      </c>
      <c r="E319" s="105" t="n">
        <v>0.826</v>
      </c>
      <c r="F319" s="116" t="inlineStr">
        <is>
          <t>légal</t>
        </is>
      </c>
      <c r="G319" s="105" t="n">
        <v>0.05</v>
      </c>
      <c r="H319" s="105" t="n">
        <v>0.00252</v>
      </c>
      <c r="I319" s="105" t="n">
        <v>0</v>
      </c>
      <c r="J319" s="107">
        <f>D319*(1-C319)+G319*MIN(C319,0.2*(1-C319))+H319</f>
        <v/>
      </c>
      <c r="K319" s="107">
        <f>MIN(E319*(1-C319),Donnees_annuelles!G133)+G319*MIN(C319,0.2*(1-C319))</f>
        <v/>
      </c>
      <c r="L319" s="107">
        <f>I319*(1-C319)+MAX(0,E319*(1-C319)-Donnees_annuelles!G133)</f>
        <v/>
      </c>
      <c r="M319" s="119">
        <f>SUMIFS(Regimes!$G$5:$G$10,Regimes!$A$5:$A$10,A319)*(1-C319)/(1-0.23917)</f>
        <v/>
      </c>
      <c r="N319" s="106">
        <f>Donnees_annuelles!D133*J319</f>
        <v/>
      </c>
      <c r="O319" s="106">
        <f>Donnees_annuelles!D133*K319</f>
        <v/>
      </c>
      <c r="P319" s="106">
        <f>N319+O319</f>
        <v/>
      </c>
      <c r="Q319" s="106">
        <f>Donnees_annuelles!D133*L319</f>
        <v/>
      </c>
      <c r="R319" s="118">
        <f>P319/Donnees_annuelles!AA133*Donnees_annuelles!AI133/Donnees_annuelles!AG133</f>
        <v/>
      </c>
      <c r="S319" s="118">
        <f>P319/Donnees_annuelles!AA133*Donnees_annuelles!AJ133/Donnees_annuelles!AH133</f>
        <v/>
      </c>
    </row>
    <row r="320">
      <c r="A320" s="115" t="inlineStr">
        <is>
          <t>Fonction publique d'État</t>
        </is>
      </c>
      <c r="B320" s="101" t="n">
        <v>2076</v>
      </c>
      <c r="C320" s="105" t="n">
        <v>0.247</v>
      </c>
      <c r="D320" s="105" t="n">
        <v>0.111</v>
      </c>
      <c r="E320" s="105" t="n">
        <v>0.826</v>
      </c>
      <c r="F320" s="116" t="inlineStr">
        <is>
          <t>légal</t>
        </is>
      </c>
      <c r="G320" s="105" t="n">
        <v>0.05</v>
      </c>
      <c r="H320" s="105" t="n">
        <v>0.00252</v>
      </c>
      <c r="I320" s="105" t="n">
        <v>0</v>
      </c>
      <c r="J320" s="107">
        <f>D320*(1-C320)+G320*MIN(C320,0.2*(1-C320))+H320</f>
        <v/>
      </c>
      <c r="K320" s="107">
        <f>MIN(E320*(1-C320),Donnees_annuelles!G134)+G320*MIN(C320,0.2*(1-C320))</f>
        <v/>
      </c>
      <c r="L320" s="107">
        <f>I320*(1-C320)+MAX(0,E320*(1-C320)-Donnees_annuelles!G134)</f>
        <v/>
      </c>
      <c r="M320" s="119">
        <f>SUMIFS(Regimes!$G$5:$G$10,Regimes!$A$5:$A$10,A320)*(1-C320)/(1-0.23917)</f>
        <v/>
      </c>
      <c r="N320" s="106">
        <f>Donnees_annuelles!D134*J320</f>
        <v/>
      </c>
      <c r="O320" s="106">
        <f>Donnees_annuelles!D134*K320</f>
        <v/>
      </c>
      <c r="P320" s="106">
        <f>N320+O320</f>
        <v/>
      </c>
      <c r="Q320" s="106">
        <f>Donnees_annuelles!D134*L320</f>
        <v/>
      </c>
      <c r="R320" s="118">
        <f>P320/Donnees_annuelles!AA134*Donnees_annuelles!AI134/Donnees_annuelles!AG134</f>
        <v/>
      </c>
      <c r="S320" s="118">
        <f>P320/Donnees_annuelles!AA134*Donnees_annuelles!AJ134/Donnees_annuelles!AH134</f>
        <v/>
      </c>
    </row>
    <row r="321">
      <c r="A321" s="115" t="inlineStr">
        <is>
          <t>Fonction publique d'État</t>
        </is>
      </c>
      <c r="B321" s="101" t="n">
        <v>2077</v>
      </c>
      <c r="C321" s="105" t="n">
        <v>0.247</v>
      </c>
      <c r="D321" s="105" t="n">
        <v>0.111</v>
      </c>
      <c r="E321" s="105" t="n">
        <v>0.826</v>
      </c>
      <c r="F321" s="116" t="inlineStr">
        <is>
          <t>légal</t>
        </is>
      </c>
      <c r="G321" s="105" t="n">
        <v>0.05</v>
      </c>
      <c r="H321" s="105" t="n">
        <v>0.00252</v>
      </c>
      <c r="I321" s="105" t="n">
        <v>0</v>
      </c>
      <c r="J321" s="107">
        <f>D321*(1-C321)+G321*MIN(C321,0.2*(1-C321))+H321</f>
        <v/>
      </c>
      <c r="K321" s="107">
        <f>MIN(E321*(1-C321),Donnees_annuelles!G135)+G321*MIN(C321,0.2*(1-C321))</f>
        <v/>
      </c>
      <c r="L321" s="107">
        <f>I321*(1-C321)+MAX(0,E321*(1-C321)-Donnees_annuelles!G135)</f>
        <v/>
      </c>
      <c r="M321" s="119">
        <f>SUMIFS(Regimes!$G$5:$G$10,Regimes!$A$5:$A$10,A321)*(1-C321)/(1-0.23917)</f>
        <v/>
      </c>
      <c r="N321" s="106">
        <f>Donnees_annuelles!D135*J321</f>
        <v/>
      </c>
      <c r="O321" s="106">
        <f>Donnees_annuelles!D135*K321</f>
        <v/>
      </c>
      <c r="P321" s="106">
        <f>N321+O321</f>
        <v/>
      </c>
      <c r="Q321" s="106">
        <f>Donnees_annuelles!D135*L321</f>
        <v/>
      </c>
      <c r="R321" s="118">
        <f>P321/Donnees_annuelles!AA135*Donnees_annuelles!AI135/Donnees_annuelles!AG135</f>
        <v/>
      </c>
      <c r="S321" s="118">
        <f>P321/Donnees_annuelles!AA135*Donnees_annuelles!AJ135/Donnees_annuelles!AH135</f>
        <v/>
      </c>
    </row>
    <row r="322">
      <c r="A322" s="115" t="inlineStr">
        <is>
          <t>Fonction publique d'État</t>
        </is>
      </c>
      <c r="B322" s="101" t="n">
        <v>2078</v>
      </c>
      <c r="C322" s="105" t="n">
        <v>0.247</v>
      </c>
      <c r="D322" s="105" t="n">
        <v>0.111</v>
      </c>
      <c r="E322" s="105" t="n">
        <v>0.826</v>
      </c>
      <c r="F322" s="116" t="inlineStr">
        <is>
          <t>légal</t>
        </is>
      </c>
      <c r="G322" s="105" t="n">
        <v>0.05</v>
      </c>
      <c r="H322" s="105" t="n">
        <v>0.00252</v>
      </c>
      <c r="I322" s="105" t="n">
        <v>0</v>
      </c>
      <c r="J322" s="107">
        <f>D322*(1-C322)+G322*MIN(C322,0.2*(1-C322))+H322</f>
        <v/>
      </c>
      <c r="K322" s="107">
        <f>MIN(E322*(1-C322),Donnees_annuelles!G136)+G322*MIN(C322,0.2*(1-C322))</f>
        <v/>
      </c>
      <c r="L322" s="107">
        <f>I322*(1-C322)+MAX(0,E322*(1-C322)-Donnees_annuelles!G136)</f>
        <v/>
      </c>
      <c r="M322" s="119">
        <f>SUMIFS(Regimes!$G$5:$G$10,Regimes!$A$5:$A$10,A322)*(1-C322)/(1-0.23917)</f>
        <v/>
      </c>
      <c r="N322" s="106">
        <f>Donnees_annuelles!D136*J322</f>
        <v/>
      </c>
      <c r="O322" s="106">
        <f>Donnees_annuelles!D136*K322</f>
        <v/>
      </c>
      <c r="P322" s="106">
        <f>N322+O322</f>
        <v/>
      </c>
      <c r="Q322" s="106">
        <f>Donnees_annuelles!D136*L322</f>
        <v/>
      </c>
      <c r="R322" s="118">
        <f>P322/Donnees_annuelles!AA136*Donnees_annuelles!AI136/Donnees_annuelles!AG136</f>
        <v/>
      </c>
      <c r="S322" s="118">
        <f>P322/Donnees_annuelles!AA136*Donnees_annuelles!AJ136/Donnees_annuelles!AH136</f>
        <v/>
      </c>
    </row>
    <row r="323">
      <c r="A323" s="115" t="inlineStr">
        <is>
          <t>Fonction publique d'État</t>
        </is>
      </c>
      <c r="B323" s="101" t="n">
        <v>2079</v>
      </c>
      <c r="C323" s="105" t="n">
        <v>0.247</v>
      </c>
      <c r="D323" s="105" t="n">
        <v>0.111</v>
      </c>
      <c r="E323" s="105" t="n">
        <v>0.826</v>
      </c>
      <c r="F323" s="116" t="inlineStr">
        <is>
          <t>légal</t>
        </is>
      </c>
      <c r="G323" s="105" t="n">
        <v>0.05</v>
      </c>
      <c r="H323" s="105" t="n">
        <v>0.00252</v>
      </c>
      <c r="I323" s="105" t="n">
        <v>0</v>
      </c>
      <c r="J323" s="107">
        <f>D323*(1-C323)+G323*MIN(C323,0.2*(1-C323))+H323</f>
        <v/>
      </c>
      <c r="K323" s="107">
        <f>MIN(E323*(1-C323),Donnees_annuelles!G137)+G323*MIN(C323,0.2*(1-C323))</f>
        <v/>
      </c>
      <c r="L323" s="107">
        <f>I323*(1-C323)+MAX(0,E323*(1-C323)-Donnees_annuelles!G137)</f>
        <v/>
      </c>
      <c r="M323" s="119">
        <f>SUMIFS(Regimes!$G$5:$G$10,Regimes!$A$5:$A$10,A323)*(1-C323)/(1-0.23917)</f>
        <v/>
      </c>
      <c r="N323" s="106">
        <f>Donnees_annuelles!D137*J323</f>
        <v/>
      </c>
      <c r="O323" s="106">
        <f>Donnees_annuelles!D137*K323</f>
        <v/>
      </c>
      <c r="P323" s="106">
        <f>N323+O323</f>
        <v/>
      </c>
      <c r="Q323" s="106">
        <f>Donnees_annuelles!D137*L323</f>
        <v/>
      </c>
      <c r="R323" s="118">
        <f>P323/Donnees_annuelles!AA137*Donnees_annuelles!AI137/Donnees_annuelles!AG137</f>
        <v/>
      </c>
      <c r="S323" s="118">
        <f>P323/Donnees_annuelles!AA137*Donnees_annuelles!AJ137/Donnees_annuelles!AH137</f>
        <v/>
      </c>
    </row>
    <row r="324">
      <c r="A324" s="115" t="inlineStr">
        <is>
          <t>Fonction publique d'État</t>
        </is>
      </c>
      <c r="B324" s="101" t="n">
        <v>2080</v>
      </c>
      <c r="C324" s="105" t="n">
        <v>0.247</v>
      </c>
      <c r="D324" s="105" t="n">
        <v>0.111</v>
      </c>
      <c r="E324" s="105" t="n">
        <v>0.826</v>
      </c>
      <c r="F324" s="116" t="inlineStr">
        <is>
          <t>légal</t>
        </is>
      </c>
      <c r="G324" s="105" t="n">
        <v>0.05</v>
      </c>
      <c r="H324" s="105" t="n">
        <v>0.00252</v>
      </c>
      <c r="I324" s="105" t="n">
        <v>0</v>
      </c>
      <c r="J324" s="107">
        <f>D324*(1-C324)+G324*MIN(C324,0.2*(1-C324))+H324</f>
        <v/>
      </c>
      <c r="K324" s="107">
        <f>MIN(E324*(1-C324),Donnees_annuelles!G138)+G324*MIN(C324,0.2*(1-C324))</f>
        <v/>
      </c>
      <c r="L324" s="107">
        <f>I324*(1-C324)+MAX(0,E324*(1-C324)-Donnees_annuelles!G138)</f>
        <v/>
      </c>
      <c r="M324" s="119">
        <f>SUMIFS(Regimes!$G$5:$G$10,Regimes!$A$5:$A$10,A324)*(1-C324)/(1-0.23917)</f>
        <v/>
      </c>
      <c r="N324" s="106">
        <f>Donnees_annuelles!D138*J324</f>
        <v/>
      </c>
      <c r="O324" s="106">
        <f>Donnees_annuelles!D138*K324</f>
        <v/>
      </c>
      <c r="P324" s="106">
        <f>N324+O324</f>
        <v/>
      </c>
      <c r="Q324" s="106">
        <f>Donnees_annuelles!D138*L324</f>
        <v/>
      </c>
      <c r="R324" s="118">
        <f>P324/Donnees_annuelles!AA138*Donnees_annuelles!AI138/Donnees_annuelles!AG138</f>
        <v/>
      </c>
      <c r="S324" s="118">
        <f>P324/Donnees_annuelles!AA138*Donnees_annuelles!AJ138/Donnees_annuelles!AH138</f>
        <v/>
      </c>
    </row>
    <row r="325">
      <c r="A325" s="115" t="inlineStr">
        <is>
          <t>Fonction publique d'État</t>
        </is>
      </c>
      <c r="B325" s="101" t="n">
        <v>2081</v>
      </c>
      <c r="C325" s="105" t="n">
        <v>0.247</v>
      </c>
      <c r="D325" s="105" t="n">
        <v>0.111</v>
      </c>
      <c r="E325" s="105" t="n">
        <v>0.826</v>
      </c>
      <c r="F325" s="116" t="inlineStr">
        <is>
          <t>légal</t>
        </is>
      </c>
      <c r="G325" s="105" t="n">
        <v>0.05</v>
      </c>
      <c r="H325" s="105" t="n">
        <v>0.00252</v>
      </c>
      <c r="I325" s="105" t="n">
        <v>0</v>
      </c>
      <c r="J325" s="107">
        <f>D325*(1-C325)+G325*MIN(C325,0.2*(1-C325))+H325</f>
        <v/>
      </c>
      <c r="K325" s="107">
        <f>MIN(E325*(1-C325),Donnees_annuelles!G139)+G325*MIN(C325,0.2*(1-C325))</f>
        <v/>
      </c>
      <c r="L325" s="107">
        <f>I325*(1-C325)+MAX(0,E325*(1-C325)-Donnees_annuelles!G139)</f>
        <v/>
      </c>
      <c r="M325" s="119">
        <f>SUMIFS(Regimes!$G$5:$G$10,Regimes!$A$5:$A$10,A325)*(1-C325)/(1-0.23917)</f>
        <v/>
      </c>
      <c r="N325" s="106">
        <f>Donnees_annuelles!D139*J325</f>
        <v/>
      </c>
      <c r="O325" s="106">
        <f>Donnees_annuelles!D139*K325</f>
        <v/>
      </c>
      <c r="P325" s="106">
        <f>N325+O325</f>
        <v/>
      </c>
      <c r="Q325" s="106">
        <f>Donnees_annuelles!D139*L325</f>
        <v/>
      </c>
      <c r="R325" s="118">
        <f>P325/Donnees_annuelles!AA139*Donnees_annuelles!AI139/Donnees_annuelles!AG139</f>
        <v/>
      </c>
      <c r="S325" s="118">
        <f>P325/Donnees_annuelles!AA139*Donnees_annuelles!AJ139/Donnees_annuelles!AH139</f>
        <v/>
      </c>
    </row>
    <row r="326">
      <c r="A326" s="115" t="inlineStr">
        <is>
          <t>Fonction publique d'État</t>
        </is>
      </c>
      <c r="B326" s="101" t="n">
        <v>2082</v>
      </c>
      <c r="C326" s="105" t="n">
        <v>0.247</v>
      </c>
      <c r="D326" s="105" t="n">
        <v>0.111</v>
      </c>
      <c r="E326" s="105" t="n">
        <v>0.826</v>
      </c>
      <c r="F326" s="116" t="inlineStr">
        <is>
          <t>légal</t>
        </is>
      </c>
      <c r="G326" s="105" t="n">
        <v>0.05</v>
      </c>
      <c r="H326" s="105" t="n">
        <v>0.00252</v>
      </c>
      <c r="I326" s="105" t="n">
        <v>0</v>
      </c>
      <c r="J326" s="107">
        <f>D326*(1-C326)+G326*MIN(C326,0.2*(1-C326))+H326</f>
        <v/>
      </c>
      <c r="K326" s="107">
        <f>MIN(E326*(1-C326),Donnees_annuelles!G140)+G326*MIN(C326,0.2*(1-C326))</f>
        <v/>
      </c>
      <c r="L326" s="107">
        <f>I326*(1-C326)+MAX(0,E326*(1-C326)-Donnees_annuelles!G140)</f>
        <v/>
      </c>
      <c r="M326" s="119">
        <f>SUMIFS(Regimes!$G$5:$G$10,Regimes!$A$5:$A$10,A326)*(1-C326)/(1-0.23917)</f>
        <v/>
      </c>
      <c r="N326" s="106">
        <f>Donnees_annuelles!D140*J326</f>
        <v/>
      </c>
      <c r="O326" s="106">
        <f>Donnees_annuelles!D140*K326</f>
        <v/>
      </c>
      <c r="P326" s="106">
        <f>N326+O326</f>
        <v/>
      </c>
      <c r="Q326" s="106">
        <f>Donnees_annuelles!D140*L326</f>
        <v/>
      </c>
      <c r="R326" s="118">
        <f>P326/Donnees_annuelles!AA140*Donnees_annuelles!AI140/Donnees_annuelles!AG140</f>
        <v/>
      </c>
      <c r="S326" s="118">
        <f>P326/Donnees_annuelles!AA140*Donnees_annuelles!AJ140/Donnees_annuelles!AH140</f>
        <v/>
      </c>
    </row>
    <row r="327">
      <c r="A327" s="115" t="inlineStr">
        <is>
          <t>Fonction publique d'État</t>
        </is>
      </c>
      <c r="B327" s="101" t="n">
        <v>2083</v>
      </c>
      <c r="C327" s="105" t="n">
        <v>0.247</v>
      </c>
      <c r="D327" s="105" t="n">
        <v>0.111</v>
      </c>
      <c r="E327" s="105" t="n">
        <v>0.826</v>
      </c>
      <c r="F327" s="116" t="inlineStr">
        <is>
          <t>légal</t>
        </is>
      </c>
      <c r="G327" s="105" t="n">
        <v>0.05</v>
      </c>
      <c r="H327" s="105" t="n">
        <v>0.00252</v>
      </c>
      <c r="I327" s="105" t="n">
        <v>0</v>
      </c>
      <c r="J327" s="107">
        <f>D327*(1-C327)+G327*MIN(C327,0.2*(1-C327))+H327</f>
        <v/>
      </c>
      <c r="K327" s="107">
        <f>MIN(E327*(1-C327),Donnees_annuelles!G141)+G327*MIN(C327,0.2*(1-C327))</f>
        <v/>
      </c>
      <c r="L327" s="107">
        <f>I327*(1-C327)+MAX(0,E327*(1-C327)-Donnees_annuelles!G141)</f>
        <v/>
      </c>
      <c r="M327" s="119">
        <f>SUMIFS(Regimes!$G$5:$G$10,Regimes!$A$5:$A$10,A327)*(1-C327)/(1-0.23917)</f>
        <v/>
      </c>
      <c r="N327" s="106">
        <f>Donnees_annuelles!D141*J327</f>
        <v/>
      </c>
      <c r="O327" s="106">
        <f>Donnees_annuelles!D141*K327</f>
        <v/>
      </c>
      <c r="P327" s="106">
        <f>N327+O327</f>
        <v/>
      </c>
      <c r="Q327" s="106">
        <f>Donnees_annuelles!D141*L327</f>
        <v/>
      </c>
      <c r="R327" s="118">
        <f>P327/Donnees_annuelles!AA141*Donnees_annuelles!AI141/Donnees_annuelles!AG141</f>
        <v/>
      </c>
      <c r="S327" s="118">
        <f>P327/Donnees_annuelles!AA141*Donnees_annuelles!AJ141/Donnees_annuelles!AH141</f>
        <v/>
      </c>
    </row>
    <row r="328">
      <c r="A328" s="115" t="inlineStr">
        <is>
          <t>Fonction publique d'État</t>
        </is>
      </c>
      <c r="B328" s="101" t="n">
        <v>2084</v>
      </c>
      <c r="C328" s="105" t="n">
        <v>0.247</v>
      </c>
      <c r="D328" s="105" t="n">
        <v>0.111</v>
      </c>
      <c r="E328" s="105" t="n">
        <v>0.826</v>
      </c>
      <c r="F328" s="116" t="inlineStr">
        <is>
          <t>légal</t>
        </is>
      </c>
      <c r="G328" s="105" t="n">
        <v>0.05</v>
      </c>
      <c r="H328" s="105" t="n">
        <v>0.00252</v>
      </c>
      <c r="I328" s="105" t="n">
        <v>0</v>
      </c>
      <c r="J328" s="107">
        <f>D328*(1-C328)+G328*MIN(C328,0.2*(1-C328))+H328</f>
        <v/>
      </c>
      <c r="K328" s="107">
        <f>MIN(E328*(1-C328),Donnees_annuelles!G142)+G328*MIN(C328,0.2*(1-C328))</f>
        <v/>
      </c>
      <c r="L328" s="107">
        <f>I328*(1-C328)+MAX(0,E328*(1-C328)-Donnees_annuelles!G142)</f>
        <v/>
      </c>
      <c r="M328" s="119">
        <f>SUMIFS(Regimes!$G$5:$G$10,Regimes!$A$5:$A$10,A328)*(1-C328)/(1-0.23917)</f>
        <v/>
      </c>
      <c r="N328" s="106">
        <f>Donnees_annuelles!D142*J328</f>
        <v/>
      </c>
      <c r="O328" s="106">
        <f>Donnees_annuelles!D142*K328</f>
        <v/>
      </c>
      <c r="P328" s="106">
        <f>N328+O328</f>
        <v/>
      </c>
      <c r="Q328" s="106">
        <f>Donnees_annuelles!D142*L328</f>
        <v/>
      </c>
      <c r="R328" s="118">
        <f>P328/Donnees_annuelles!AA142*Donnees_annuelles!AI142/Donnees_annuelles!AG142</f>
        <v/>
      </c>
      <c r="S328" s="118">
        <f>P328/Donnees_annuelles!AA142*Donnees_annuelles!AJ142/Donnees_annuelles!AH142</f>
        <v/>
      </c>
    </row>
    <row r="329">
      <c r="A329" s="115" t="inlineStr">
        <is>
          <t>Fonction publique d'État</t>
        </is>
      </c>
      <c r="B329" s="101" t="n">
        <v>2085</v>
      </c>
      <c r="C329" s="105" t="n">
        <v>0.247</v>
      </c>
      <c r="D329" s="105" t="n">
        <v>0.111</v>
      </c>
      <c r="E329" s="105" t="n">
        <v>0.826</v>
      </c>
      <c r="F329" s="116" t="inlineStr">
        <is>
          <t>légal</t>
        </is>
      </c>
      <c r="G329" s="105" t="n">
        <v>0.05</v>
      </c>
      <c r="H329" s="105" t="n">
        <v>0.00252</v>
      </c>
      <c r="I329" s="105" t="n">
        <v>0</v>
      </c>
      <c r="J329" s="107">
        <f>D329*(1-C329)+G329*MIN(C329,0.2*(1-C329))+H329</f>
        <v/>
      </c>
      <c r="K329" s="107">
        <f>MIN(E329*(1-C329),Donnees_annuelles!G143)+G329*MIN(C329,0.2*(1-C329))</f>
        <v/>
      </c>
      <c r="L329" s="107">
        <f>I329*(1-C329)+MAX(0,E329*(1-C329)-Donnees_annuelles!G143)</f>
        <v/>
      </c>
      <c r="M329" s="119">
        <f>SUMIFS(Regimes!$G$5:$G$10,Regimes!$A$5:$A$10,A329)*(1-C329)/(1-0.23917)</f>
        <v/>
      </c>
      <c r="N329" s="106">
        <f>Donnees_annuelles!D143*J329</f>
        <v/>
      </c>
      <c r="O329" s="106">
        <f>Donnees_annuelles!D143*K329</f>
        <v/>
      </c>
      <c r="P329" s="106">
        <f>N329+O329</f>
        <v/>
      </c>
      <c r="Q329" s="106">
        <f>Donnees_annuelles!D143*L329</f>
        <v/>
      </c>
      <c r="R329" s="118">
        <f>P329/Donnees_annuelles!AA143*Donnees_annuelles!AI143/Donnees_annuelles!AG143</f>
        <v/>
      </c>
      <c r="S329" s="118">
        <f>P329/Donnees_annuelles!AA143*Donnees_annuelles!AJ143/Donnees_annuelles!AH143</f>
        <v/>
      </c>
    </row>
    <row r="330">
      <c r="A330" s="115" t="inlineStr">
        <is>
          <t>Fonction publique d'État</t>
        </is>
      </c>
      <c r="B330" s="101" t="n">
        <v>2086</v>
      </c>
      <c r="C330" s="105" t="n">
        <v>0.247</v>
      </c>
      <c r="D330" s="105" t="n">
        <v>0.111</v>
      </c>
      <c r="E330" s="105" t="n">
        <v>0.826</v>
      </c>
      <c r="F330" s="116" t="inlineStr">
        <is>
          <t>légal</t>
        </is>
      </c>
      <c r="G330" s="105" t="n">
        <v>0.05</v>
      </c>
      <c r="H330" s="105" t="n">
        <v>0.00252</v>
      </c>
      <c r="I330" s="105" t="n">
        <v>0</v>
      </c>
      <c r="J330" s="107">
        <f>D330*(1-C330)+G330*MIN(C330,0.2*(1-C330))+H330</f>
        <v/>
      </c>
      <c r="K330" s="107">
        <f>MIN(E330*(1-C330),Donnees_annuelles!G144)+G330*MIN(C330,0.2*(1-C330))</f>
        <v/>
      </c>
      <c r="L330" s="107">
        <f>I330*(1-C330)+MAX(0,E330*(1-C330)-Donnees_annuelles!G144)</f>
        <v/>
      </c>
      <c r="M330" s="119">
        <f>SUMIFS(Regimes!$G$5:$G$10,Regimes!$A$5:$A$10,A330)*(1-C330)/(1-0.23917)</f>
        <v/>
      </c>
      <c r="N330" s="106">
        <f>Donnees_annuelles!D144*J330</f>
        <v/>
      </c>
      <c r="O330" s="106">
        <f>Donnees_annuelles!D144*K330</f>
        <v/>
      </c>
      <c r="P330" s="106">
        <f>N330+O330</f>
        <v/>
      </c>
      <c r="Q330" s="106">
        <f>Donnees_annuelles!D144*L330</f>
        <v/>
      </c>
      <c r="R330" s="118">
        <f>P330/Donnees_annuelles!AA144*Donnees_annuelles!AI144/Donnees_annuelles!AG144</f>
        <v/>
      </c>
      <c r="S330" s="118">
        <f>P330/Donnees_annuelles!AA144*Donnees_annuelles!AJ144/Donnees_annuelles!AH144</f>
        <v/>
      </c>
    </row>
    <row r="331">
      <c r="A331" s="115" t="inlineStr">
        <is>
          <t>Fonction publique d'État</t>
        </is>
      </c>
      <c r="B331" s="101" t="n">
        <v>2087</v>
      </c>
      <c r="C331" s="105" t="n">
        <v>0.247</v>
      </c>
      <c r="D331" s="105" t="n">
        <v>0.111</v>
      </c>
      <c r="E331" s="105" t="n">
        <v>0.826</v>
      </c>
      <c r="F331" s="116" t="inlineStr">
        <is>
          <t>légal</t>
        </is>
      </c>
      <c r="G331" s="105" t="n">
        <v>0.05</v>
      </c>
      <c r="H331" s="105" t="n">
        <v>0.00252</v>
      </c>
      <c r="I331" s="105" t="n">
        <v>0</v>
      </c>
      <c r="J331" s="107">
        <f>D331*(1-C331)+G331*MIN(C331,0.2*(1-C331))+H331</f>
        <v/>
      </c>
      <c r="K331" s="107">
        <f>MIN(E331*(1-C331),Donnees_annuelles!G145)+G331*MIN(C331,0.2*(1-C331))</f>
        <v/>
      </c>
      <c r="L331" s="107">
        <f>I331*(1-C331)+MAX(0,E331*(1-C331)-Donnees_annuelles!G145)</f>
        <v/>
      </c>
      <c r="M331" s="119">
        <f>SUMIFS(Regimes!$G$5:$G$10,Regimes!$A$5:$A$10,A331)*(1-C331)/(1-0.23917)</f>
        <v/>
      </c>
      <c r="N331" s="106">
        <f>Donnees_annuelles!D145*J331</f>
        <v/>
      </c>
      <c r="O331" s="106">
        <f>Donnees_annuelles!D145*K331</f>
        <v/>
      </c>
      <c r="P331" s="106">
        <f>N331+O331</f>
        <v/>
      </c>
      <c r="Q331" s="106">
        <f>Donnees_annuelles!D145*L331</f>
        <v/>
      </c>
      <c r="R331" s="118">
        <f>P331/Donnees_annuelles!AA145*Donnees_annuelles!AI145/Donnees_annuelles!AG145</f>
        <v/>
      </c>
      <c r="S331" s="118">
        <f>P331/Donnees_annuelles!AA145*Donnees_annuelles!AJ145/Donnees_annuelles!AH145</f>
        <v/>
      </c>
    </row>
    <row r="332">
      <c r="A332" s="115" t="inlineStr">
        <is>
          <t>Fonction publique d'État</t>
        </is>
      </c>
      <c r="B332" s="101" t="n">
        <v>2088</v>
      </c>
      <c r="C332" s="105" t="n">
        <v>0.247</v>
      </c>
      <c r="D332" s="105" t="n">
        <v>0.111</v>
      </c>
      <c r="E332" s="105" t="n">
        <v>0.826</v>
      </c>
      <c r="F332" s="116" t="inlineStr">
        <is>
          <t>légal</t>
        </is>
      </c>
      <c r="G332" s="105" t="n">
        <v>0.05</v>
      </c>
      <c r="H332" s="105" t="n">
        <v>0.00252</v>
      </c>
      <c r="I332" s="105" t="n">
        <v>0</v>
      </c>
      <c r="J332" s="107">
        <f>D332*(1-C332)+G332*MIN(C332,0.2*(1-C332))+H332</f>
        <v/>
      </c>
      <c r="K332" s="107">
        <f>MIN(E332*(1-C332),Donnees_annuelles!G146)+G332*MIN(C332,0.2*(1-C332))</f>
        <v/>
      </c>
      <c r="L332" s="107">
        <f>I332*(1-C332)+MAX(0,E332*(1-C332)-Donnees_annuelles!G146)</f>
        <v/>
      </c>
      <c r="M332" s="119">
        <f>SUMIFS(Regimes!$G$5:$G$10,Regimes!$A$5:$A$10,A332)*(1-C332)/(1-0.23917)</f>
        <v/>
      </c>
      <c r="N332" s="106">
        <f>Donnees_annuelles!D146*J332</f>
        <v/>
      </c>
      <c r="O332" s="106">
        <f>Donnees_annuelles!D146*K332</f>
        <v/>
      </c>
      <c r="P332" s="106">
        <f>N332+O332</f>
        <v/>
      </c>
      <c r="Q332" s="106">
        <f>Donnees_annuelles!D146*L332</f>
        <v/>
      </c>
      <c r="R332" s="118">
        <f>P332/Donnees_annuelles!AA146*Donnees_annuelles!AI146/Donnees_annuelles!AG146</f>
        <v/>
      </c>
      <c r="S332" s="118">
        <f>P332/Donnees_annuelles!AA146*Donnees_annuelles!AJ146/Donnees_annuelles!AH146</f>
        <v/>
      </c>
    </row>
    <row r="333">
      <c r="A333" s="115" t="inlineStr">
        <is>
          <t>Fonction publique d'État</t>
        </is>
      </c>
      <c r="B333" s="101" t="n">
        <v>2089</v>
      </c>
      <c r="C333" s="105" t="n">
        <v>0.247</v>
      </c>
      <c r="D333" s="105" t="n">
        <v>0.111</v>
      </c>
      <c r="E333" s="105" t="n">
        <v>0.826</v>
      </c>
      <c r="F333" s="116" t="inlineStr">
        <is>
          <t>légal</t>
        </is>
      </c>
      <c r="G333" s="105" t="n">
        <v>0.05</v>
      </c>
      <c r="H333" s="105" t="n">
        <v>0.00252</v>
      </c>
      <c r="I333" s="105" t="n">
        <v>0</v>
      </c>
      <c r="J333" s="107">
        <f>D333*(1-C333)+G333*MIN(C333,0.2*(1-C333))+H333</f>
        <v/>
      </c>
      <c r="K333" s="107">
        <f>MIN(E333*(1-C333),Donnees_annuelles!G147)+G333*MIN(C333,0.2*(1-C333))</f>
        <v/>
      </c>
      <c r="L333" s="107">
        <f>I333*(1-C333)+MAX(0,E333*(1-C333)-Donnees_annuelles!G147)</f>
        <v/>
      </c>
      <c r="M333" s="119">
        <f>SUMIFS(Regimes!$G$5:$G$10,Regimes!$A$5:$A$10,A333)*(1-C333)/(1-0.23917)</f>
        <v/>
      </c>
      <c r="N333" s="106">
        <f>Donnees_annuelles!D147*J333</f>
        <v/>
      </c>
      <c r="O333" s="106">
        <f>Donnees_annuelles!D147*K333</f>
        <v/>
      </c>
      <c r="P333" s="106">
        <f>N333+O333</f>
        <v/>
      </c>
      <c r="Q333" s="106">
        <f>Donnees_annuelles!D147*L333</f>
        <v/>
      </c>
      <c r="R333" s="118">
        <f>P333/Donnees_annuelles!AA147*Donnees_annuelles!AI147/Donnees_annuelles!AG147</f>
        <v/>
      </c>
      <c r="S333" s="118">
        <f>P333/Donnees_annuelles!AA147*Donnees_annuelles!AJ147/Donnees_annuelles!AH147</f>
        <v/>
      </c>
    </row>
    <row r="334">
      <c r="A334" s="115" t="inlineStr">
        <is>
          <t>Fonction publique d'État</t>
        </is>
      </c>
      <c r="B334" s="101" t="n">
        <v>2090</v>
      </c>
      <c r="C334" s="105" t="n">
        <v>0.247</v>
      </c>
      <c r="D334" s="105" t="n">
        <v>0.111</v>
      </c>
      <c r="E334" s="105" t="n">
        <v>0.826</v>
      </c>
      <c r="F334" s="116" t="inlineStr">
        <is>
          <t>légal</t>
        </is>
      </c>
      <c r="G334" s="105" t="n">
        <v>0.05</v>
      </c>
      <c r="H334" s="105" t="n">
        <v>0.00252</v>
      </c>
      <c r="I334" s="105" t="n">
        <v>0</v>
      </c>
      <c r="J334" s="107">
        <f>D334*(1-C334)+G334*MIN(C334,0.2*(1-C334))+H334</f>
        <v/>
      </c>
      <c r="K334" s="107">
        <f>MIN(E334*(1-C334),Donnees_annuelles!G148)+G334*MIN(C334,0.2*(1-C334))</f>
        <v/>
      </c>
      <c r="L334" s="107">
        <f>I334*(1-C334)+MAX(0,E334*(1-C334)-Donnees_annuelles!G148)</f>
        <v/>
      </c>
      <c r="M334" s="119">
        <f>SUMIFS(Regimes!$G$5:$G$10,Regimes!$A$5:$A$10,A334)*(1-C334)/(1-0.23917)</f>
        <v/>
      </c>
      <c r="N334" s="106">
        <f>Donnees_annuelles!D148*J334</f>
        <v/>
      </c>
      <c r="O334" s="106">
        <f>Donnees_annuelles!D148*K334</f>
        <v/>
      </c>
      <c r="P334" s="106">
        <f>N334+O334</f>
        <v/>
      </c>
      <c r="Q334" s="106">
        <f>Donnees_annuelles!D148*L334</f>
        <v/>
      </c>
      <c r="R334" s="118">
        <f>P334/Donnees_annuelles!AA148*Donnees_annuelles!AI148/Donnees_annuelles!AG148</f>
        <v/>
      </c>
      <c r="S334" s="118">
        <f>P334/Donnees_annuelles!AA148*Donnees_annuelles!AJ148/Donnees_annuelles!AH148</f>
        <v/>
      </c>
    </row>
    <row r="335">
      <c r="A335" s="115" t="inlineStr">
        <is>
          <t>Fonction publique d'État</t>
        </is>
      </c>
      <c r="B335" s="101" t="n">
        <v>2091</v>
      </c>
      <c r="C335" s="105" t="n">
        <v>0.247</v>
      </c>
      <c r="D335" s="105" t="n">
        <v>0.111</v>
      </c>
      <c r="E335" s="105" t="n">
        <v>0.826</v>
      </c>
      <c r="F335" s="116" t="inlineStr">
        <is>
          <t>légal</t>
        </is>
      </c>
      <c r="G335" s="105" t="n">
        <v>0.05</v>
      </c>
      <c r="H335" s="105" t="n">
        <v>0.00252</v>
      </c>
      <c r="I335" s="105" t="n">
        <v>0</v>
      </c>
      <c r="J335" s="107">
        <f>D335*(1-C335)+G335*MIN(C335,0.2*(1-C335))+H335</f>
        <v/>
      </c>
      <c r="K335" s="107">
        <f>MIN(E335*(1-C335),Donnees_annuelles!G149)+G335*MIN(C335,0.2*(1-C335))</f>
        <v/>
      </c>
      <c r="L335" s="107">
        <f>I335*(1-C335)+MAX(0,E335*(1-C335)-Donnees_annuelles!G149)</f>
        <v/>
      </c>
      <c r="M335" s="119">
        <f>SUMIFS(Regimes!$G$5:$G$10,Regimes!$A$5:$A$10,A335)*(1-C335)/(1-0.23917)</f>
        <v/>
      </c>
      <c r="N335" s="106">
        <f>Donnees_annuelles!D149*J335</f>
        <v/>
      </c>
      <c r="O335" s="106">
        <f>Donnees_annuelles!D149*K335</f>
        <v/>
      </c>
      <c r="P335" s="106">
        <f>N335+O335</f>
        <v/>
      </c>
      <c r="Q335" s="106">
        <f>Donnees_annuelles!D149*L335</f>
        <v/>
      </c>
      <c r="R335" s="118">
        <f>P335/Donnees_annuelles!AA149*Donnees_annuelles!AI149/Donnees_annuelles!AG149</f>
        <v/>
      </c>
      <c r="S335" s="118">
        <f>P335/Donnees_annuelles!AA149*Donnees_annuelles!AJ149/Donnees_annuelles!AH149</f>
        <v/>
      </c>
    </row>
    <row r="336">
      <c r="A336" s="115" t="inlineStr">
        <is>
          <t>Fonction publique d'État</t>
        </is>
      </c>
      <c r="B336" s="101" t="n">
        <v>2092</v>
      </c>
      <c r="C336" s="105" t="n">
        <v>0.247</v>
      </c>
      <c r="D336" s="105" t="n">
        <v>0.111</v>
      </c>
      <c r="E336" s="105" t="n">
        <v>0.826</v>
      </c>
      <c r="F336" s="116" t="inlineStr">
        <is>
          <t>légal</t>
        </is>
      </c>
      <c r="G336" s="105" t="n">
        <v>0.05</v>
      </c>
      <c r="H336" s="105" t="n">
        <v>0.00252</v>
      </c>
      <c r="I336" s="105" t="n">
        <v>0</v>
      </c>
      <c r="J336" s="107">
        <f>D336*(1-C336)+G336*MIN(C336,0.2*(1-C336))+H336</f>
        <v/>
      </c>
      <c r="K336" s="107">
        <f>MIN(E336*(1-C336),Donnees_annuelles!G150)+G336*MIN(C336,0.2*(1-C336))</f>
        <v/>
      </c>
      <c r="L336" s="107">
        <f>I336*(1-C336)+MAX(0,E336*(1-C336)-Donnees_annuelles!G150)</f>
        <v/>
      </c>
      <c r="M336" s="119">
        <f>SUMIFS(Regimes!$G$5:$G$10,Regimes!$A$5:$A$10,A336)*(1-C336)/(1-0.23917)</f>
        <v/>
      </c>
      <c r="N336" s="106">
        <f>Donnees_annuelles!D150*J336</f>
        <v/>
      </c>
      <c r="O336" s="106">
        <f>Donnees_annuelles!D150*K336</f>
        <v/>
      </c>
      <c r="P336" s="106">
        <f>N336+O336</f>
        <v/>
      </c>
      <c r="Q336" s="106">
        <f>Donnees_annuelles!D150*L336</f>
        <v/>
      </c>
      <c r="R336" s="118">
        <f>P336/Donnees_annuelles!AA150*Donnees_annuelles!AI150/Donnees_annuelles!AG150</f>
        <v/>
      </c>
      <c r="S336" s="118">
        <f>P336/Donnees_annuelles!AA150*Donnees_annuelles!AJ150/Donnees_annuelles!AH150</f>
        <v/>
      </c>
    </row>
    <row r="337">
      <c r="A337" s="115" t="inlineStr">
        <is>
          <t>Fonction publique d'État</t>
        </is>
      </c>
      <c r="B337" s="101" t="n">
        <v>2093</v>
      </c>
      <c r="C337" s="105" t="n">
        <v>0.247</v>
      </c>
      <c r="D337" s="105" t="n">
        <v>0.111</v>
      </c>
      <c r="E337" s="105" t="n">
        <v>0.826</v>
      </c>
      <c r="F337" s="116" t="inlineStr">
        <is>
          <t>légal</t>
        </is>
      </c>
      <c r="G337" s="105" t="n">
        <v>0.05</v>
      </c>
      <c r="H337" s="105" t="n">
        <v>0.00252</v>
      </c>
      <c r="I337" s="105" t="n">
        <v>0</v>
      </c>
      <c r="J337" s="107">
        <f>D337*(1-C337)+G337*MIN(C337,0.2*(1-C337))+H337</f>
        <v/>
      </c>
      <c r="K337" s="107">
        <f>MIN(E337*(1-C337),Donnees_annuelles!G151)+G337*MIN(C337,0.2*(1-C337))</f>
        <v/>
      </c>
      <c r="L337" s="107">
        <f>I337*(1-C337)+MAX(0,E337*(1-C337)-Donnees_annuelles!G151)</f>
        <v/>
      </c>
      <c r="M337" s="119">
        <f>SUMIFS(Regimes!$G$5:$G$10,Regimes!$A$5:$A$10,A337)*(1-C337)/(1-0.23917)</f>
        <v/>
      </c>
      <c r="N337" s="106">
        <f>Donnees_annuelles!D151*J337</f>
        <v/>
      </c>
      <c r="O337" s="106">
        <f>Donnees_annuelles!D151*K337</f>
        <v/>
      </c>
      <c r="P337" s="106">
        <f>N337+O337</f>
        <v/>
      </c>
      <c r="Q337" s="106">
        <f>Donnees_annuelles!D151*L337</f>
        <v/>
      </c>
      <c r="R337" s="118">
        <f>P337/Donnees_annuelles!AA151*Donnees_annuelles!AI151/Donnees_annuelles!AG151</f>
        <v/>
      </c>
      <c r="S337" s="118">
        <f>P337/Donnees_annuelles!AA151*Donnees_annuelles!AJ151/Donnees_annuelles!AH151</f>
        <v/>
      </c>
    </row>
    <row r="338">
      <c r="A338" s="115" t="inlineStr">
        <is>
          <t>Fonction publique d'État</t>
        </is>
      </c>
      <c r="B338" s="101" t="n">
        <v>2094</v>
      </c>
      <c r="C338" s="105" t="n">
        <v>0.247</v>
      </c>
      <c r="D338" s="105" t="n">
        <v>0.111</v>
      </c>
      <c r="E338" s="105" t="n">
        <v>0.826</v>
      </c>
      <c r="F338" s="116" t="inlineStr">
        <is>
          <t>légal</t>
        </is>
      </c>
      <c r="G338" s="105" t="n">
        <v>0.05</v>
      </c>
      <c r="H338" s="105" t="n">
        <v>0.00252</v>
      </c>
      <c r="I338" s="105" t="n">
        <v>0</v>
      </c>
      <c r="J338" s="107">
        <f>D338*(1-C338)+G338*MIN(C338,0.2*(1-C338))+H338</f>
        <v/>
      </c>
      <c r="K338" s="107">
        <f>MIN(E338*(1-C338),Donnees_annuelles!G152)+G338*MIN(C338,0.2*(1-C338))</f>
        <v/>
      </c>
      <c r="L338" s="107">
        <f>I338*(1-C338)+MAX(0,E338*(1-C338)-Donnees_annuelles!G152)</f>
        <v/>
      </c>
      <c r="M338" s="119">
        <f>SUMIFS(Regimes!$G$5:$G$10,Regimes!$A$5:$A$10,A338)*(1-C338)/(1-0.23917)</f>
        <v/>
      </c>
      <c r="N338" s="106">
        <f>Donnees_annuelles!D152*J338</f>
        <v/>
      </c>
      <c r="O338" s="106">
        <f>Donnees_annuelles!D152*K338</f>
        <v/>
      </c>
      <c r="P338" s="106">
        <f>N338+O338</f>
        <v/>
      </c>
      <c r="Q338" s="106">
        <f>Donnees_annuelles!D152*L338</f>
        <v/>
      </c>
      <c r="R338" s="118">
        <f>P338/Donnees_annuelles!AA152*Donnees_annuelles!AI152/Donnees_annuelles!AG152</f>
        <v/>
      </c>
      <c r="S338" s="118">
        <f>P338/Donnees_annuelles!AA152*Donnees_annuelles!AJ152/Donnees_annuelles!AH152</f>
        <v/>
      </c>
    </row>
    <row r="339">
      <c r="A339" s="115" t="inlineStr">
        <is>
          <t>Fonction publique d'État</t>
        </is>
      </c>
      <c r="B339" s="101" t="n">
        <v>2095</v>
      </c>
      <c r="C339" s="105" t="n">
        <v>0.247</v>
      </c>
      <c r="D339" s="105" t="n">
        <v>0.111</v>
      </c>
      <c r="E339" s="105" t="n">
        <v>0.826</v>
      </c>
      <c r="F339" s="116" t="inlineStr">
        <is>
          <t>légal</t>
        </is>
      </c>
      <c r="G339" s="105" t="n">
        <v>0.05</v>
      </c>
      <c r="H339" s="105" t="n">
        <v>0.00252</v>
      </c>
      <c r="I339" s="105" t="n">
        <v>0</v>
      </c>
      <c r="J339" s="107">
        <f>D339*(1-C339)+G339*MIN(C339,0.2*(1-C339))+H339</f>
        <v/>
      </c>
      <c r="K339" s="107">
        <f>MIN(E339*(1-C339),Donnees_annuelles!G153)+G339*MIN(C339,0.2*(1-C339))</f>
        <v/>
      </c>
      <c r="L339" s="107">
        <f>I339*(1-C339)+MAX(0,E339*(1-C339)-Donnees_annuelles!G153)</f>
        <v/>
      </c>
      <c r="M339" s="119">
        <f>SUMIFS(Regimes!$G$5:$G$10,Regimes!$A$5:$A$10,A339)*(1-C339)/(1-0.23917)</f>
        <v/>
      </c>
      <c r="N339" s="106">
        <f>Donnees_annuelles!D153*J339</f>
        <v/>
      </c>
      <c r="O339" s="106">
        <f>Donnees_annuelles!D153*K339</f>
        <v/>
      </c>
      <c r="P339" s="106">
        <f>N339+O339</f>
        <v/>
      </c>
      <c r="Q339" s="106">
        <f>Donnees_annuelles!D153*L339</f>
        <v/>
      </c>
      <c r="R339" s="118">
        <f>P339/Donnees_annuelles!AA153*Donnees_annuelles!AI153/Donnees_annuelles!AG153</f>
        <v/>
      </c>
      <c r="S339" s="118">
        <f>P339/Donnees_annuelles!AA153*Donnees_annuelles!AJ153/Donnees_annuelles!AH153</f>
        <v/>
      </c>
    </row>
    <row r="340">
      <c r="A340" s="115" t="inlineStr">
        <is>
          <t>Fonction publique d'État</t>
        </is>
      </c>
      <c r="B340" s="101" t="n">
        <v>2096</v>
      </c>
      <c r="C340" s="105" t="n">
        <v>0.247</v>
      </c>
      <c r="D340" s="105" t="n">
        <v>0.111</v>
      </c>
      <c r="E340" s="105" t="n">
        <v>0.826</v>
      </c>
      <c r="F340" s="116" t="inlineStr">
        <is>
          <t>légal</t>
        </is>
      </c>
      <c r="G340" s="105" t="n">
        <v>0.05</v>
      </c>
      <c r="H340" s="105" t="n">
        <v>0.00252</v>
      </c>
      <c r="I340" s="105" t="n">
        <v>0</v>
      </c>
      <c r="J340" s="107">
        <f>D340*(1-C340)+G340*MIN(C340,0.2*(1-C340))+H340</f>
        <v/>
      </c>
      <c r="K340" s="107">
        <f>MIN(E340*(1-C340),Donnees_annuelles!G154)+G340*MIN(C340,0.2*(1-C340))</f>
        <v/>
      </c>
      <c r="L340" s="107">
        <f>I340*(1-C340)+MAX(0,E340*(1-C340)-Donnees_annuelles!G154)</f>
        <v/>
      </c>
      <c r="M340" s="119">
        <f>SUMIFS(Regimes!$G$5:$G$10,Regimes!$A$5:$A$10,A340)*(1-C340)/(1-0.23917)</f>
        <v/>
      </c>
      <c r="N340" s="106">
        <f>Donnees_annuelles!D154*J340</f>
        <v/>
      </c>
      <c r="O340" s="106">
        <f>Donnees_annuelles!D154*K340</f>
        <v/>
      </c>
      <c r="P340" s="106">
        <f>N340+O340</f>
        <v/>
      </c>
      <c r="Q340" s="106">
        <f>Donnees_annuelles!D154*L340</f>
        <v/>
      </c>
      <c r="R340" s="118">
        <f>P340/Donnees_annuelles!AA154*Donnees_annuelles!AI154/Donnees_annuelles!AG154</f>
        <v/>
      </c>
      <c r="S340" s="118">
        <f>P340/Donnees_annuelles!AA154*Donnees_annuelles!AJ154/Donnees_annuelles!AH154</f>
        <v/>
      </c>
    </row>
    <row r="341">
      <c r="A341" s="115" t="inlineStr">
        <is>
          <t>Fonction publique d'État</t>
        </is>
      </c>
      <c r="B341" s="101" t="n">
        <v>2097</v>
      </c>
      <c r="C341" s="105" t="n">
        <v>0.247</v>
      </c>
      <c r="D341" s="105" t="n">
        <v>0.111</v>
      </c>
      <c r="E341" s="105" t="n">
        <v>0.826</v>
      </c>
      <c r="F341" s="116" t="inlineStr">
        <is>
          <t>légal</t>
        </is>
      </c>
      <c r="G341" s="105" t="n">
        <v>0.05</v>
      </c>
      <c r="H341" s="105" t="n">
        <v>0.00252</v>
      </c>
      <c r="I341" s="105" t="n">
        <v>0</v>
      </c>
      <c r="J341" s="107">
        <f>D341*(1-C341)+G341*MIN(C341,0.2*(1-C341))+H341</f>
        <v/>
      </c>
      <c r="K341" s="107">
        <f>MIN(E341*(1-C341),Donnees_annuelles!G155)+G341*MIN(C341,0.2*(1-C341))</f>
        <v/>
      </c>
      <c r="L341" s="107">
        <f>I341*(1-C341)+MAX(0,E341*(1-C341)-Donnees_annuelles!G155)</f>
        <v/>
      </c>
      <c r="M341" s="119">
        <f>SUMIFS(Regimes!$G$5:$G$10,Regimes!$A$5:$A$10,A341)*(1-C341)/(1-0.23917)</f>
        <v/>
      </c>
      <c r="N341" s="106">
        <f>Donnees_annuelles!D155*J341</f>
        <v/>
      </c>
      <c r="O341" s="106">
        <f>Donnees_annuelles!D155*K341</f>
        <v/>
      </c>
      <c r="P341" s="106">
        <f>N341+O341</f>
        <v/>
      </c>
      <c r="Q341" s="106">
        <f>Donnees_annuelles!D155*L341</f>
        <v/>
      </c>
      <c r="R341" s="118">
        <f>P341/Donnees_annuelles!AA155*Donnees_annuelles!AI155/Donnees_annuelles!AG155</f>
        <v/>
      </c>
      <c r="S341" s="118">
        <f>P341/Donnees_annuelles!AA155*Donnees_annuelles!AJ155/Donnees_annuelles!AH155</f>
        <v/>
      </c>
    </row>
    <row r="342">
      <c r="A342" s="115" t="inlineStr">
        <is>
          <t>Fonction publique d'État</t>
        </is>
      </c>
      <c r="B342" s="101" t="n">
        <v>2098</v>
      </c>
      <c r="C342" s="105" t="n">
        <v>0.247</v>
      </c>
      <c r="D342" s="105" t="n">
        <v>0.111</v>
      </c>
      <c r="E342" s="105" t="n">
        <v>0.826</v>
      </c>
      <c r="F342" s="116" t="inlineStr">
        <is>
          <t>légal</t>
        </is>
      </c>
      <c r="G342" s="105" t="n">
        <v>0.05</v>
      </c>
      <c r="H342" s="105" t="n">
        <v>0.00252</v>
      </c>
      <c r="I342" s="105" t="n">
        <v>0</v>
      </c>
      <c r="J342" s="107">
        <f>D342*(1-C342)+G342*MIN(C342,0.2*(1-C342))+H342</f>
        <v/>
      </c>
      <c r="K342" s="107">
        <f>MIN(E342*(1-C342),Donnees_annuelles!G156)+G342*MIN(C342,0.2*(1-C342))</f>
        <v/>
      </c>
      <c r="L342" s="107">
        <f>I342*(1-C342)+MAX(0,E342*(1-C342)-Donnees_annuelles!G156)</f>
        <v/>
      </c>
      <c r="M342" s="119">
        <f>SUMIFS(Regimes!$G$5:$G$10,Regimes!$A$5:$A$10,A342)*(1-C342)/(1-0.23917)</f>
        <v/>
      </c>
      <c r="N342" s="106">
        <f>Donnees_annuelles!D156*J342</f>
        <v/>
      </c>
      <c r="O342" s="106">
        <f>Donnees_annuelles!D156*K342</f>
        <v/>
      </c>
      <c r="P342" s="106">
        <f>N342+O342</f>
        <v/>
      </c>
      <c r="Q342" s="106">
        <f>Donnees_annuelles!D156*L342</f>
        <v/>
      </c>
      <c r="R342" s="118">
        <f>P342/Donnees_annuelles!AA156*Donnees_annuelles!AI156/Donnees_annuelles!AG156</f>
        <v/>
      </c>
      <c r="S342" s="118">
        <f>P342/Donnees_annuelles!AA156*Donnees_annuelles!AJ156/Donnees_annuelles!AH156</f>
        <v/>
      </c>
    </row>
    <row r="343">
      <c r="A343" s="115" t="inlineStr">
        <is>
          <t>Fonction publique d'État</t>
        </is>
      </c>
      <c r="B343" s="101" t="n">
        <v>2099</v>
      </c>
      <c r="C343" s="105" t="n">
        <v>0.247</v>
      </c>
      <c r="D343" s="105" t="n">
        <v>0.111</v>
      </c>
      <c r="E343" s="105" t="n">
        <v>0.826</v>
      </c>
      <c r="F343" s="116" t="inlineStr">
        <is>
          <t>légal</t>
        </is>
      </c>
      <c r="G343" s="105" t="n">
        <v>0.05</v>
      </c>
      <c r="H343" s="105" t="n">
        <v>0.00252</v>
      </c>
      <c r="I343" s="105" t="n">
        <v>0</v>
      </c>
      <c r="J343" s="107">
        <f>D343*(1-C343)+G343*MIN(C343,0.2*(1-C343))+H343</f>
        <v/>
      </c>
      <c r="K343" s="107">
        <f>MIN(E343*(1-C343),Donnees_annuelles!G157)+G343*MIN(C343,0.2*(1-C343))</f>
        <v/>
      </c>
      <c r="L343" s="107">
        <f>I343*(1-C343)+MAX(0,E343*(1-C343)-Donnees_annuelles!G157)</f>
        <v/>
      </c>
      <c r="M343" s="119">
        <f>SUMIFS(Regimes!$G$5:$G$10,Regimes!$A$5:$A$10,A343)*(1-C343)/(1-0.23917)</f>
        <v/>
      </c>
      <c r="N343" s="106">
        <f>Donnees_annuelles!D157*J343</f>
        <v/>
      </c>
      <c r="O343" s="106">
        <f>Donnees_annuelles!D157*K343</f>
        <v/>
      </c>
      <c r="P343" s="106">
        <f>N343+O343</f>
        <v/>
      </c>
      <c r="Q343" s="106">
        <f>Donnees_annuelles!D157*L343</f>
        <v/>
      </c>
      <c r="R343" s="118">
        <f>P343/Donnees_annuelles!AA157*Donnees_annuelles!AI157/Donnees_annuelles!AG157</f>
        <v/>
      </c>
      <c r="S343" s="118">
        <f>P343/Donnees_annuelles!AA157*Donnees_annuelles!AJ157/Donnees_annuelles!AH157</f>
        <v/>
      </c>
    </row>
    <row r="344">
      <c r="A344" s="115" t="inlineStr">
        <is>
          <t>Fonction publique d'État</t>
        </is>
      </c>
      <c r="B344" s="101" t="n">
        <v>2100</v>
      </c>
      <c r="C344" s="105" t="n">
        <v>0.247</v>
      </c>
      <c r="D344" s="105" t="n">
        <v>0.111</v>
      </c>
      <c r="E344" s="105" t="n">
        <v>0.826</v>
      </c>
      <c r="F344" s="116" t="inlineStr">
        <is>
          <t>légal</t>
        </is>
      </c>
      <c r="G344" s="105" t="n">
        <v>0.05</v>
      </c>
      <c r="H344" s="105" t="n">
        <v>0.00252</v>
      </c>
      <c r="I344" s="105" t="n">
        <v>0</v>
      </c>
      <c r="J344" s="107">
        <f>D344*(1-C344)+G344*MIN(C344,0.2*(1-C344))+H344</f>
        <v/>
      </c>
      <c r="K344" s="107">
        <f>MIN(E344*(1-C344),Donnees_annuelles!G158)+G344*MIN(C344,0.2*(1-C344))</f>
        <v/>
      </c>
      <c r="L344" s="107">
        <f>I344*(1-C344)+MAX(0,E344*(1-C344)-Donnees_annuelles!G158)</f>
        <v/>
      </c>
      <c r="M344" s="119">
        <f>SUMIFS(Regimes!$G$5:$G$10,Regimes!$A$5:$A$10,A344)*(1-C344)/(1-0.23917)</f>
        <v/>
      </c>
      <c r="N344" s="106">
        <f>Donnees_annuelles!D158*J344</f>
        <v/>
      </c>
      <c r="O344" s="106">
        <f>Donnees_annuelles!D158*K344</f>
        <v/>
      </c>
      <c r="P344" s="106">
        <f>N344+O344</f>
        <v/>
      </c>
      <c r="Q344" s="106">
        <f>Donnees_annuelles!D158*L344</f>
        <v/>
      </c>
      <c r="R344" s="118">
        <f>P344/Donnees_annuelles!AA158*Donnees_annuelles!AI158/Donnees_annuelles!AG158</f>
        <v/>
      </c>
      <c r="S344" s="118">
        <f>P344/Donnees_annuelles!AA158*Donnees_annuelles!AJ158/Donnees_annuelles!AH158</f>
        <v/>
      </c>
    </row>
    <row r="345">
      <c r="A345" s="115" t="inlineStr">
        <is>
          <t>Fonction publique d'État</t>
        </is>
      </c>
      <c r="B345" s="101" t="n">
        <v>2101</v>
      </c>
      <c r="C345" s="105" t="n">
        <v>0.247</v>
      </c>
      <c r="D345" s="105" t="n">
        <v>0.111</v>
      </c>
      <c r="E345" s="105" t="n">
        <v>0.826</v>
      </c>
      <c r="F345" s="116" t="inlineStr">
        <is>
          <t>légal</t>
        </is>
      </c>
      <c r="G345" s="105" t="n">
        <v>0.05</v>
      </c>
      <c r="H345" s="105" t="n">
        <v>0.00252</v>
      </c>
      <c r="I345" s="105" t="n">
        <v>0</v>
      </c>
      <c r="J345" s="107">
        <f>D345*(1-C345)+G345*MIN(C345,0.2*(1-C345))+H345</f>
        <v/>
      </c>
      <c r="K345" s="107">
        <f>MIN(E345*(1-C345),Donnees_annuelles!G159)+G345*MIN(C345,0.2*(1-C345))</f>
        <v/>
      </c>
      <c r="L345" s="107">
        <f>I345*(1-C345)+MAX(0,E345*(1-C345)-Donnees_annuelles!G159)</f>
        <v/>
      </c>
      <c r="M345" s="119">
        <f>SUMIFS(Regimes!$G$5:$G$10,Regimes!$A$5:$A$10,A345)*(1-C345)/(1-0.23917)</f>
        <v/>
      </c>
      <c r="N345" s="106">
        <f>Donnees_annuelles!D159*J345</f>
        <v/>
      </c>
      <c r="O345" s="106">
        <f>Donnees_annuelles!D159*K345</f>
        <v/>
      </c>
      <c r="P345" s="106">
        <f>N345+O345</f>
        <v/>
      </c>
      <c r="Q345" s="106">
        <f>Donnees_annuelles!D159*L345</f>
        <v/>
      </c>
      <c r="R345" s="118">
        <f>P345/Donnees_annuelles!AA159*Donnees_annuelles!AI159/Donnees_annuelles!AG159</f>
        <v/>
      </c>
      <c r="S345" s="118">
        <f>P345/Donnees_annuelles!AA159*Donnees_annuelles!AJ159/Donnees_annuelles!AH159</f>
        <v/>
      </c>
    </row>
    <row r="346">
      <c r="A346" s="115" t="inlineStr">
        <is>
          <t>Fonction publique d'État</t>
        </is>
      </c>
      <c r="B346" s="101" t="n">
        <v>2102</v>
      </c>
      <c r="C346" s="105" t="n">
        <v>0.247</v>
      </c>
      <c r="D346" s="105" t="n">
        <v>0.111</v>
      </c>
      <c r="E346" s="105" t="n">
        <v>0.826</v>
      </c>
      <c r="F346" s="116" t="inlineStr">
        <is>
          <t>légal</t>
        </is>
      </c>
      <c r="G346" s="105" t="n">
        <v>0.05</v>
      </c>
      <c r="H346" s="105" t="n">
        <v>0.00252</v>
      </c>
      <c r="I346" s="105" t="n">
        <v>0</v>
      </c>
      <c r="J346" s="107">
        <f>D346*(1-C346)+G346*MIN(C346,0.2*(1-C346))+H346</f>
        <v/>
      </c>
      <c r="K346" s="107">
        <f>MIN(E346*(1-C346),Donnees_annuelles!G160)+G346*MIN(C346,0.2*(1-C346))</f>
        <v/>
      </c>
      <c r="L346" s="107">
        <f>I346*(1-C346)+MAX(0,E346*(1-C346)-Donnees_annuelles!G160)</f>
        <v/>
      </c>
      <c r="M346" s="119">
        <f>SUMIFS(Regimes!$G$5:$G$10,Regimes!$A$5:$A$10,A346)*(1-C346)/(1-0.23917)</f>
        <v/>
      </c>
      <c r="N346" s="106">
        <f>Donnees_annuelles!D160*J346</f>
        <v/>
      </c>
      <c r="O346" s="106">
        <f>Donnees_annuelles!D160*K346</f>
        <v/>
      </c>
      <c r="P346" s="106">
        <f>N346+O346</f>
        <v/>
      </c>
      <c r="Q346" s="106">
        <f>Donnees_annuelles!D160*L346</f>
        <v/>
      </c>
      <c r="R346" s="118">
        <f>P346/Donnees_annuelles!AA160*Donnees_annuelles!AI160/Donnees_annuelles!AG160</f>
        <v/>
      </c>
      <c r="S346" s="118">
        <f>P346/Donnees_annuelles!AA160*Donnees_annuelles!AJ160/Donnees_annuelles!AH160</f>
        <v/>
      </c>
    </row>
    <row r="347">
      <c r="A347" s="115" t="inlineStr">
        <is>
          <t>Fonction publique d'État</t>
        </is>
      </c>
      <c r="B347" s="101" t="n">
        <v>2103</v>
      </c>
      <c r="C347" s="105" t="n">
        <v>0.247</v>
      </c>
      <c r="D347" s="105" t="n">
        <v>0.111</v>
      </c>
      <c r="E347" s="105" t="n">
        <v>0.826</v>
      </c>
      <c r="F347" s="116" t="inlineStr">
        <is>
          <t>légal</t>
        </is>
      </c>
      <c r="G347" s="105" t="n">
        <v>0.05</v>
      </c>
      <c r="H347" s="105" t="n">
        <v>0.00252</v>
      </c>
      <c r="I347" s="105" t="n">
        <v>0</v>
      </c>
      <c r="J347" s="107">
        <f>D347*(1-C347)+G347*MIN(C347,0.2*(1-C347))+H347</f>
        <v/>
      </c>
      <c r="K347" s="107">
        <f>MIN(E347*(1-C347),Donnees_annuelles!G161)+G347*MIN(C347,0.2*(1-C347))</f>
        <v/>
      </c>
      <c r="L347" s="107">
        <f>I347*(1-C347)+MAX(0,E347*(1-C347)-Donnees_annuelles!G161)</f>
        <v/>
      </c>
      <c r="M347" s="119">
        <f>SUMIFS(Regimes!$G$5:$G$10,Regimes!$A$5:$A$10,A347)*(1-C347)/(1-0.23917)</f>
        <v/>
      </c>
      <c r="N347" s="106">
        <f>Donnees_annuelles!D161*J347</f>
        <v/>
      </c>
      <c r="O347" s="106">
        <f>Donnees_annuelles!D161*K347</f>
        <v/>
      </c>
      <c r="P347" s="106">
        <f>N347+O347</f>
        <v/>
      </c>
      <c r="Q347" s="106">
        <f>Donnees_annuelles!D161*L347</f>
        <v/>
      </c>
      <c r="R347" s="118">
        <f>P347/Donnees_annuelles!AA161*Donnees_annuelles!AI161/Donnees_annuelles!AG161</f>
        <v/>
      </c>
      <c r="S347" s="118">
        <f>P347/Donnees_annuelles!AA161*Donnees_annuelles!AJ161/Donnees_annuelles!AH161</f>
        <v/>
      </c>
    </row>
    <row r="348">
      <c r="A348" s="115" t="inlineStr">
        <is>
          <t>Fonction publique d'État</t>
        </is>
      </c>
      <c r="B348" s="101" t="n">
        <v>2104</v>
      </c>
      <c r="C348" s="105" t="n">
        <v>0.247</v>
      </c>
      <c r="D348" s="105" t="n">
        <v>0.111</v>
      </c>
      <c r="E348" s="105" t="n">
        <v>0.826</v>
      </c>
      <c r="F348" s="116" t="inlineStr">
        <is>
          <t>légal</t>
        </is>
      </c>
      <c r="G348" s="105" t="n">
        <v>0.05</v>
      </c>
      <c r="H348" s="105" t="n">
        <v>0.00252</v>
      </c>
      <c r="I348" s="105" t="n">
        <v>0</v>
      </c>
      <c r="J348" s="107">
        <f>D348*(1-C348)+G348*MIN(C348,0.2*(1-C348))+H348</f>
        <v/>
      </c>
      <c r="K348" s="107">
        <f>MIN(E348*(1-C348),Donnees_annuelles!G162)+G348*MIN(C348,0.2*(1-C348))</f>
        <v/>
      </c>
      <c r="L348" s="107">
        <f>I348*(1-C348)+MAX(0,E348*(1-C348)-Donnees_annuelles!G162)</f>
        <v/>
      </c>
      <c r="M348" s="119">
        <f>SUMIFS(Regimes!$G$5:$G$10,Regimes!$A$5:$A$10,A348)*(1-C348)/(1-0.23917)</f>
        <v/>
      </c>
      <c r="N348" s="106">
        <f>Donnees_annuelles!D162*J348</f>
        <v/>
      </c>
      <c r="O348" s="106">
        <f>Donnees_annuelles!D162*K348</f>
        <v/>
      </c>
      <c r="P348" s="106">
        <f>N348+O348</f>
        <v/>
      </c>
      <c r="Q348" s="106">
        <f>Donnees_annuelles!D162*L348</f>
        <v/>
      </c>
      <c r="R348" s="118">
        <f>P348/Donnees_annuelles!AA162*Donnees_annuelles!AI162/Donnees_annuelles!AG162</f>
        <v/>
      </c>
      <c r="S348" s="118">
        <f>P348/Donnees_annuelles!AA162*Donnees_annuelles!AJ162/Donnees_annuelles!AH162</f>
        <v/>
      </c>
    </row>
    <row r="349">
      <c r="A349" s="115" t="inlineStr">
        <is>
          <t>Fonction publique d'État</t>
        </is>
      </c>
      <c r="B349" s="101" t="n">
        <v>2105</v>
      </c>
      <c r="C349" s="105" t="n">
        <v>0.247</v>
      </c>
      <c r="D349" s="105" t="n">
        <v>0.111</v>
      </c>
      <c r="E349" s="105" t="n">
        <v>0.826</v>
      </c>
      <c r="F349" s="116" t="inlineStr">
        <is>
          <t>légal</t>
        </is>
      </c>
      <c r="G349" s="105" t="n">
        <v>0.05</v>
      </c>
      <c r="H349" s="105" t="n">
        <v>0.00252</v>
      </c>
      <c r="I349" s="105" t="n">
        <v>0</v>
      </c>
      <c r="J349" s="107">
        <f>D349*(1-C349)+G349*MIN(C349,0.2*(1-C349))+H349</f>
        <v/>
      </c>
      <c r="K349" s="107">
        <f>MIN(E349*(1-C349),Donnees_annuelles!G163)+G349*MIN(C349,0.2*(1-C349))</f>
        <v/>
      </c>
      <c r="L349" s="107">
        <f>I349*(1-C349)+MAX(0,E349*(1-C349)-Donnees_annuelles!G163)</f>
        <v/>
      </c>
      <c r="M349" s="119">
        <f>SUMIFS(Regimes!$G$5:$G$10,Regimes!$A$5:$A$10,A349)*(1-C349)/(1-0.23917)</f>
        <v/>
      </c>
      <c r="N349" s="106">
        <f>Donnees_annuelles!D163*J349</f>
        <v/>
      </c>
      <c r="O349" s="106">
        <f>Donnees_annuelles!D163*K349</f>
        <v/>
      </c>
      <c r="P349" s="106">
        <f>N349+O349</f>
        <v/>
      </c>
      <c r="Q349" s="106">
        <f>Donnees_annuelles!D163*L349</f>
        <v/>
      </c>
      <c r="R349" s="118">
        <f>P349/Donnees_annuelles!AA163*Donnees_annuelles!AI163/Donnees_annuelles!AG163</f>
        <v/>
      </c>
      <c r="S349" s="118">
        <f>P349/Donnees_annuelles!AA163*Donnees_annuelles!AJ163/Donnees_annuelles!AH163</f>
        <v/>
      </c>
    </row>
    <row r="350">
      <c r="A350" s="115" t="inlineStr">
        <is>
          <t>Fonction publique d'État</t>
        </is>
      </c>
      <c r="B350" s="101" t="n">
        <v>2106</v>
      </c>
      <c r="C350" s="105" t="n">
        <v>0.247</v>
      </c>
      <c r="D350" s="105" t="n">
        <v>0.111</v>
      </c>
      <c r="E350" s="105" t="n">
        <v>0.826</v>
      </c>
      <c r="F350" s="116" t="inlineStr">
        <is>
          <t>légal</t>
        </is>
      </c>
      <c r="G350" s="105" t="n">
        <v>0.05</v>
      </c>
      <c r="H350" s="105" t="n">
        <v>0.00252</v>
      </c>
      <c r="I350" s="105" t="n">
        <v>0</v>
      </c>
      <c r="J350" s="107">
        <f>D350*(1-C350)+G350*MIN(C350,0.2*(1-C350))+H350</f>
        <v/>
      </c>
      <c r="K350" s="107">
        <f>MIN(E350*(1-C350),Donnees_annuelles!G164)+G350*MIN(C350,0.2*(1-C350))</f>
        <v/>
      </c>
      <c r="L350" s="107">
        <f>I350*(1-C350)+MAX(0,E350*(1-C350)-Donnees_annuelles!G164)</f>
        <v/>
      </c>
      <c r="M350" s="119">
        <f>SUMIFS(Regimes!$G$5:$G$10,Regimes!$A$5:$A$10,A350)*(1-C350)/(1-0.23917)</f>
        <v/>
      </c>
      <c r="N350" s="106">
        <f>Donnees_annuelles!D164*J350</f>
        <v/>
      </c>
      <c r="O350" s="106">
        <f>Donnees_annuelles!D164*K350</f>
        <v/>
      </c>
      <c r="P350" s="106">
        <f>N350+O350</f>
        <v/>
      </c>
      <c r="Q350" s="106">
        <f>Donnees_annuelles!D164*L350</f>
        <v/>
      </c>
      <c r="R350" s="118">
        <f>P350/Donnees_annuelles!AA164*Donnees_annuelles!AI164/Donnees_annuelles!AG164</f>
        <v/>
      </c>
      <c r="S350" s="118">
        <f>P350/Donnees_annuelles!AA164*Donnees_annuelles!AJ164/Donnees_annuelles!AH164</f>
        <v/>
      </c>
    </row>
    <row r="351">
      <c r="A351" s="115" t="inlineStr">
        <is>
          <t>Fonction publique d'État</t>
        </is>
      </c>
      <c r="B351" s="101" t="n">
        <v>2107</v>
      </c>
      <c r="C351" s="105" t="n">
        <v>0.247</v>
      </c>
      <c r="D351" s="105" t="n">
        <v>0.111</v>
      </c>
      <c r="E351" s="105" t="n">
        <v>0.826</v>
      </c>
      <c r="F351" s="116" t="inlineStr">
        <is>
          <t>légal</t>
        </is>
      </c>
      <c r="G351" s="105" t="n">
        <v>0.05</v>
      </c>
      <c r="H351" s="105" t="n">
        <v>0.00252</v>
      </c>
      <c r="I351" s="105" t="n">
        <v>0</v>
      </c>
      <c r="J351" s="107">
        <f>D351*(1-C351)+G351*MIN(C351,0.2*(1-C351))+H351</f>
        <v/>
      </c>
      <c r="K351" s="107">
        <f>MIN(E351*(1-C351),Donnees_annuelles!G165)+G351*MIN(C351,0.2*(1-C351))</f>
        <v/>
      </c>
      <c r="L351" s="107">
        <f>I351*(1-C351)+MAX(0,E351*(1-C351)-Donnees_annuelles!G165)</f>
        <v/>
      </c>
      <c r="M351" s="119">
        <f>SUMIFS(Regimes!$G$5:$G$10,Regimes!$A$5:$A$10,A351)*(1-C351)/(1-0.23917)</f>
        <v/>
      </c>
      <c r="N351" s="106">
        <f>Donnees_annuelles!D165*J351</f>
        <v/>
      </c>
      <c r="O351" s="106">
        <f>Donnees_annuelles!D165*K351</f>
        <v/>
      </c>
      <c r="P351" s="106">
        <f>N351+O351</f>
        <v/>
      </c>
      <c r="Q351" s="106">
        <f>Donnees_annuelles!D165*L351</f>
        <v/>
      </c>
      <c r="R351" s="118">
        <f>P351/Donnees_annuelles!AA165*Donnees_annuelles!AI165/Donnees_annuelles!AG165</f>
        <v/>
      </c>
      <c r="S351" s="118">
        <f>P351/Donnees_annuelles!AA165*Donnees_annuelles!AJ165/Donnees_annuelles!AH165</f>
        <v/>
      </c>
    </row>
    <row r="352">
      <c r="A352" s="115" t="inlineStr">
        <is>
          <t>Fonction publique d'État</t>
        </is>
      </c>
      <c r="B352" s="101" t="n">
        <v>2108</v>
      </c>
      <c r="C352" s="105" t="n">
        <v>0.247</v>
      </c>
      <c r="D352" s="105" t="n">
        <v>0.111</v>
      </c>
      <c r="E352" s="105" t="n">
        <v>0.826</v>
      </c>
      <c r="F352" s="116" t="inlineStr">
        <is>
          <t>légal</t>
        </is>
      </c>
      <c r="G352" s="105" t="n">
        <v>0.05</v>
      </c>
      <c r="H352" s="105" t="n">
        <v>0.00252</v>
      </c>
      <c r="I352" s="105" t="n">
        <v>0</v>
      </c>
      <c r="J352" s="107">
        <f>D352*(1-C352)+G352*MIN(C352,0.2*(1-C352))+H352</f>
        <v/>
      </c>
      <c r="K352" s="107">
        <f>MIN(E352*(1-C352),Donnees_annuelles!G166)+G352*MIN(C352,0.2*(1-C352))</f>
        <v/>
      </c>
      <c r="L352" s="107">
        <f>I352*(1-C352)+MAX(0,E352*(1-C352)-Donnees_annuelles!G166)</f>
        <v/>
      </c>
      <c r="M352" s="119">
        <f>SUMIFS(Regimes!$G$5:$G$10,Regimes!$A$5:$A$10,A352)*(1-C352)/(1-0.23917)</f>
        <v/>
      </c>
      <c r="N352" s="106">
        <f>Donnees_annuelles!D166*J352</f>
        <v/>
      </c>
      <c r="O352" s="106">
        <f>Donnees_annuelles!D166*K352</f>
        <v/>
      </c>
      <c r="P352" s="106">
        <f>N352+O352</f>
        <v/>
      </c>
      <c r="Q352" s="106">
        <f>Donnees_annuelles!D166*L352</f>
        <v/>
      </c>
      <c r="R352" s="118">
        <f>P352/Donnees_annuelles!AA166*Donnees_annuelles!AI166/Donnees_annuelles!AG166</f>
        <v/>
      </c>
      <c r="S352" s="118">
        <f>P352/Donnees_annuelles!AA166*Donnees_annuelles!AJ166/Donnees_annuelles!AH166</f>
        <v/>
      </c>
    </row>
    <row r="353">
      <c r="A353" s="115" t="inlineStr">
        <is>
          <t>Fonction publique d'État</t>
        </is>
      </c>
      <c r="B353" s="101" t="n">
        <v>2109</v>
      </c>
      <c r="C353" s="105" t="n">
        <v>0.247</v>
      </c>
      <c r="D353" s="105" t="n">
        <v>0.111</v>
      </c>
      <c r="E353" s="105" t="n">
        <v>0.826</v>
      </c>
      <c r="F353" s="116" t="inlineStr">
        <is>
          <t>légal</t>
        </is>
      </c>
      <c r="G353" s="105" t="n">
        <v>0.05</v>
      </c>
      <c r="H353" s="105" t="n">
        <v>0.00252</v>
      </c>
      <c r="I353" s="105" t="n">
        <v>0</v>
      </c>
      <c r="J353" s="107">
        <f>D353*(1-C353)+G353*MIN(C353,0.2*(1-C353))+H353</f>
        <v/>
      </c>
      <c r="K353" s="107">
        <f>MIN(E353*(1-C353),Donnees_annuelles!G167)+G353*MIN(C353,0.2*(1-C353))</f>
        <v/>
      </c>
      <c r="L353" s="107">
        <f>I353*(1-C353)+MAX(0,E353*(1-C353)-Donnees_annuelles!G167)</f>
        <v/>
      </c>
      <c r="M353" s="119">
        <f>SUMIFS(Regimes!$G$5:$G$10,Regimes!$A$5:$A$10,A353)*(1-C353)/(1-0.23917)</f>
        <v/>
      </c>
      <c r="N353" s="106">
        <f>Donnees_annuelles!D167*J353</f>
        <v/>
      </c>
      <c r="O353" s="106">
        <f>Donnees_annuelles!D167*K353</f>
        <v/>
      </c>
      <c r="P353" s="106">
        <f>N353+O353</f>
        <v/>
      </c>
      <c r="Q353" s="106">
        <f>Donnees_annuelles!D167*L353</f>
        <v/>
      </c>
      <c r="R353" s="118">
        <f>P353/Donnees_annuelles!AA167*Donnees_annuelles!AI167/Donnees_annuelles!AG167</f>
        <v/>
      </c>
      <c r="S353" s="118">
        <f>P353/Donnees_annuelles!AA167*Donnees_annuelles!AJ167/Donnees_annuelles!AH167</f>
        <v/>
      </c>
    </row>
    <row r="354">
      <c r="A354" s="115" t="inlineStr">
        <is>
          <t>Fonction publique d'État</t>
        </is>
      </c>
      <c r="B354" s="101" t="n">
        <v>2110</v>
      </c>
      <c r="C354" s="105" t="n">
        <v>0.247</v>
      </c>
      <c r="D354" s="105" t="n">
        <v>0.111</v>
      </c>
      <c r="E354" s="105" t="n">
        <v>0.826</v>
      </c>
      <c r="F354" s="116" t="inlineStr">
        <is>
          <t>légal</t>
        </is>
      </c>
      <c r="G354" s="105" t="n">
        <v>0.05</v>
      </c>
      <c r="H354" s="105" t="n">
        <v>0.00252</v>
      </c>
      <c r="I354" s="105" t="n">
        <v>0</v>
      </c>
      <c r="J354" s="107">
        <f>D354*(1-C354)+G354*MIN(C354,0.2*(1-C354))+H354</f>
        <v/>
      </c>
      <c r="K354" s="107">
        <f>MIN(E354*(1-C354),Donnees_annuelles!G168)+G354*MIN(C354,0.2*(1-C354))</f>
        <v/>
      </c>
      <c r="L354" s="107">
        <f>I354*(1-C354)+MAX(0,E354*(1-C354)-Donnees_annuelles!G168)</f>
        <v/>
      </c>
      <c r="M354" s="119">
        <f>SUMIFS(Regimes!$G$5:$G$10,Regimes!$A$5:$A$10,A354)*(1-C354)/(1-0.23917)</f>
        <v/>
      </c>
      <c r="N354" s="106">
        <f>Donnees_annuelles!D168*J354</f>
        <v/>
      </c>
      <c r="O354" s="106">
        <f>Donnees_annuelles!D168*K354</f>
        <v/>
      </c>
      <c r="P354" s="106">
        <f>N354+O354</f>
        <v/>
      </c>
      <c r="Q354" s="106">
        <f>Donnees_annuelles!D168*L354</f>
        <v/>
      </c>
      <c r="R354" s="118">
        <f>P354/Donnees_annuelles!AA168*Donnees_annuelles!AI168/Donnees_annuelles!AG168</f>
        <v/>
      </c>
      <c r="S354" s="118">
        <f>P354/Donnees_annuelles!AA168*Donnees_annuelles!AJ168/Donnees_annuelles!AH168</f>
        <v/>
      </c>
    </row>
    <row r="355">
      <c r="A355" s="115" t="inlineStr">
        <is>
          <t>Fonction publique d'État</t>
        </is>
      </c>
      <c r="B355" s="101" t="n">
        <v>2111</v>
      </c>
      <c r="C355" s="105" t="n">
        <v>0.247</v>
      </c>
      <c r="D355" s="105" t="n">
        <v>0.111</v>
      </c>
      <c r="E355" s="105" t="n">
        <v>0.826</v>
      </c>
      <c r="F355" s="116" t="inlineStr">
        <is>
          <t>légal</t>
        </is>
      </c>
      <c r="G355" s="105" t="n">
        <v>0.05</v>
      </c>
      <c r="H355" s="105" t="n">
        <v>0.00252</v>
      </c>
      <c r="I355" s="105" t="n">
        <v>0</v>
      </c>
      <c r="J355" s="107">
        <f>D355*(1-C355)+G355*MIN(C355,0.2*(1-C355))+H355</f>
        <v/>
      </c>
      <c r="K355" s="107">
        <f>MIN(E355*(1-C355),Donnees_annuelles!G169)+G355*MIN(C355,0.2*(1-C355))</f>
        <v/>
      </c>
      <c r="L355" s="107">
        <f>I355*(1-C355)+MAX(0,E355*(1-C355)-Donnees_annuelles!G169)</f>
        <v/>
      </c>
      <c r="M355" s="119">
        <f>SUMIFS(Regimes!$G$5:$G$10,Regimes!$A$5:$A$10,A355)*(1-C355)/(1-0.23917)</f>
        <v/>
      </c>
      <c r="N355" s="106">
        <f>Donnees_annuelles!D169*J355</f>
        <v/>
      </c>
      <c r="O355" s="106">
        <f>Donnees_annuelles!D169*K355</f>
        <v/>
      </c>
      <c r="P355" s="106">
        <f>N355+O355</f>
        <v/>
      </c>
      <c r="Q355" s="106">
        <f>Donnees_annuelles!D169*L355</f>
        <v/>
      </c>
      <c r="R355" s="118">
        <f>P355/Donnees_annuelles!AA169*Donnees_annuelles!AI169/Donnees_annuelles!AG169</f>
        <v/>
      </c>
      <c r="S355" s="118">
        <f>P355/Donnees_annuelles!AA169*Donnees_annuelles!AJ169/Donnees_annuelles!AH169</f>
        <v/>
      </c>
    </row>
    <row r="356">
      <c r="A356" s="115" t="inlineStr">
        <is>
          <t>Fonction publique d'État</t>
        </is>
      </c>
      <c r="B356" s="101" t="n">
        <v>2112</v>
      </c>
      <c r="C356" s="105" t="n">
        <v>0.247</v>
      </c>
      <c r="D356" s="105" t="n">
        <v>0.111</v>
      </c>
      <c r="E356" s="105" t="n">
        <v>0.826</v>
      </c>
      <c r="F356" s="116" t="inlineStr">
        <is>
          <t>légal</t>
        </is>
      </c>
      <c r="G356" s="105" t="n">
        <v>0.05</v>
      </c>
      <c r="H356" s="105" t="n">
        <v>0.00252</v>
      </c>
      <c r="I356" s="105" t="n">
        <v>0</v>
      </c>
      <c r="J356" s="107">
        <f>D356*(1-C356)+G356*MIN(C356,0.2*(1-C356))+H356</f>
        <v/>
      </c>
      <c r="K356" s="107">
        <f>MIN(E356*(1-C356),Donnees_annuelles!G170)+G356*MIN(C356,0.2*(1-C356))</f>
        <v/>
      </c>
      <c r="L356" s="107">
        <f>I356*(1-C356)+MAX(0,E356*(1-C356)-Donnees_annuelles!G170)</f>
        <v/>
      </c>
      <c r="M356" s="119">
        <f>SUMIFS(Regimes!$G$5:$G$10,Regimes!$A$5:$A$10,A356)*(1-C356)/(1-0.23917)</f>
        <v/>
      </c>
      <c r="N356" s="106">
        <f>Donnees_annuelles!D170*J356</f>
        <v/>
      </c>
      <c r="O356" s="106">
        <f>Donnees_annuelles!D170*K356</f>
        <v/>
      </c>
      <c r="P356" s="106">
        <f>N356+O356</f>
        <v/>
      </c>
      <c r="Q356" s="106">
        <f>Donnees_annuelles!D170*L356</f>
        <v/>
      </c>
      <c r="R356" s="118">
        <f>P356/Donnees_annuelles!AA170*Donnees_annuelles!AI170/Donnees_annuelles!AG170</f>
        <v/>
      </c>
      <c r="S356" s="118">
        <f>P356/Donnees_annuelles!AA170*Donnees_annuelles!AJ170/Donnees_annuelles!AH170</f>
        <v/>
      </c>
    </row>
    <row r="357">
      <c r="A357" s="115" t="inlineStr">
        <is>
          <t>Fonction publique d'État</t>
        </is>
      </c>
      <c r="B357" s="101" t="n">
        <v>2113</v>
      </c>
      <c r="C357" s="105" t="n">
        <v>0.247</v>
      </c>
      <c r="D357" s="105" t="n">
        <v>0.111</v>
      </c>
      <c r="E357" s="105" t="n">
        <v>0.826</v>
      </c>
      <c r="F357" s="116" t="inlineStr">
        <is>
          <t>légal</t>
        </is>
      </c>
      <c r="G357" s="105" t="n">
        <v>0.05</v>
      </c>
      <c r="H357" s="105" t="n">
        <v>0.00252</v>
      </c>
      <c r="I357" s="105" t="n">
        <v>0</v>
      </c>
      <c r="J357" s="107">
        <f>D357*(1-C357)+G357*MIN(C357,0.2*(1-C357))+H357</f>
        <v/>
      </c>
      <c r="K357" s="107">
        <f>MIN(E357*(1-C357),Donnees_annuelles!G171)+G357*MIN(C357,0.2*(1-C357))</f>
        <v/>
      </c>
      <c r="L357" s="107">
        <f>I357*(1-C357)+MAX(0,E357*(1-C357)-Donnees_annuelles!G171)</f>
        <v/>
      </c>
      <c r="M357" s="119">
        <f>SUMIFS(Regimes!$G$5:$G$10,Regimes!$A$5:$A$10,A357)*(1-C357)/(1-0.23917)</f>
        <v/>
      </c>
      <c r="N357" s="106">
        <f>Donnees_annuelles!D171*J357</f>
        <v/>
      </c>
      <c r="O357" s="106">
        <f>Donnees_annuelles!D171*K357</f>
        <v/>
      </c>
      <c r="P357" s="106">
        <f>N357+O357</f>
        <v/>
      </c>
      <c r="Q357" s="106">
        <f>Donnees_annuelles!D171*L357</f>
        <v/>
      </c>
      <c r="R357" s="118">
        <f>P357/Donnees_annuelles!AA171*Donnees_annuelles!AI171/Donnees_annuelles!AG171</f>
        <v/>
      </c>
      <c r="S357" s="118">
        <f>P357/Donnees_annuelles!AA171*Donnees_annuelles!AJ171/Donnees_annuelles!AH171</f>
        <v/>
      </c>
    </row>
    <row r="358">
      <c r="A358" s="115" t="inlineStr">
        <is>
          <t>Fonction publique d'État</t>
        </is>
      </c>
      <c r="B358" s="101" t="n">
        <v>2114</v>
      </c>
      <c r="C358" s="105" t="n">
        <v>0.247</v>
      </c>
      <c r="D358" s="105" t="n">
        <v>0.111</v>
      </c>
      <c r="E358" s="105" t="n">
        <v>0.826</v>
      </c>
      <c r="F358" s="116" t="inlineStr">
        <is>
          <t>légal</t>
        </is>
      </c>
      <c r="G358" s="105" t="n">
        <v>0.05</v>
      </c>
      <c r="H358" s="105" t="n">
        <v>0.00252</v>
      </c>
      <c r="I358" s="105" t="n">
        <v>0</v>
      </c>
      <c r="J358" s="107">
        <f>D358*(1-C358)+G358*MIN(C358,0.2*(1-C358))+H358</f>
        <v/>
      </c>
      <c r="K358" s="107">
        <f>MIN(E358*(1-C358),Donnees_annuelles!G172)+G358*MIN(C358,0.2*(1-C358))</f>
        <v/>
      </c>
      <c r="L358" s="107">
        <f>I358*(1-C358)+MAX(0,E358*(1-C358)-Donnees_annuelles!G172)</f>
        <v/>
      </c>
      <c r="M358" s="119">
        <f>SUMIFS(Regimes!$G$5:$G$10,Regimes!$A$5:$A$10,A358)*(1-C358)/(1-0.23917)</f>
        <v/>
      </c>
      <c r="N358" s="106">
        <f>Donnees_annuelles!D172*J358</f>
        <v/>
      </c>
      <c r="O358" s="106">
        <f>Donnees_annuelles!D172*K358</f>
        <v/>
      </c>
      <c r="P358" s="106">
        <f>N358+O358</f>
        <v/>
      </c>
      <c r="Q358" s="106">
        <f>Donnees_annuelles!D172*L358</f>
        <v/>
      </c>
      <c r="R358" s="118">
        <f>P358/Donnees_annuelles!AA172*Donnees_annuelles!AI172/Donnees_annuelles!AG172</f>
        <v/>
      </c>
      <c r="S358" s="118">
        <f>P358/Donnees_annuelles!AA172*Donnees_annuelles!AJ172/Donnees_annuelles!AH172</f>
        <v/>
      </c>
    </row>
    <row r="359">
      <c r="A359" s="115" t="inlineStr">
        <is>
          <t>Fonction publique d'État</t>
        </is>
      </c>
      <c r="B359" s="101" t="n">
        <v>2115</v>
      </c>
      <c r="C359" s="105" t="n">
        <v>0.247</v>
      </c>
      <c r="D359" s="105" t="n">
        <v>0.111</v>
      </c>
      <c r="E359" s="105" t="n">
        <v>0.826</v>
      </c>
      <c r="F359" s="116" t="inlineStr">
        <is>
          <t>légal</t>
        </is>
      </c>
      <c r="G359" s="105" t="n">
        <v>0.05</v>
      </c>
      <c r="H359" s="105" t="n">
        <v>0.00252</v>
      </c>
      <c r="I359" s="105" t="n">
        <v>0</v>
      </c>
      <c r="J359" s="107">
        <f>D359*(1-C359)+G359*MIN(C359,0.2*(1-C359))+H359</f>
        <v/>
      </c>
      <c r="K359" s="107">
        <f>MIN(E359*(1-C359),Donnees_annuelles!G173)+G359*MIN(C359,0.2*(1-C359))</f>
        <v/>
      </c>
      <c r="L359" s="107">
        <f>I359*(1-C359)+MAX(0,E359*(1-C359)-Donnees_annuelles!G173)</f>
        <v/>
      </c>
      <c r="M359" s="119">
        <f>SUMIFS(Regimes!$G$5:$G$10,Regimes!$A$5:$A$10,A359)*(1-C359)/(1-0.23917)</f>
        <v/>
      </c>
      <c r="N359" s="106">
        <f>Donnees_annuelles!D173*J359</f>
        <v/>
      </c>
      <c r="O359" s="106">
        <f>Donnees_annuelles!D173*K359</f>
        <v/>
      </c>
      <c r="P359" s="106">
        <f>N359+O359</f>
        <v/>
      </c>
      <c r="Q359" s="106">
        <f>Donnees_annuelles!D173*L359</f>
        <v/>
      </c>
      <c r="R359" s="118">
        <f>P359/Donnees_annuelles!AA173*Donnees_annuelles!AI173/Donnees_annuelles!AG173</f>
        <v/>
      </c>
      <c r="S359" s="118">
        <f>P359/Donnees_annuelles!AA173*Donnees_annuelles!AJ173/Donnees_annuelles!AH173</f>
        <v/>
      </c>
    </row>
    <row r="360">
      <c r="A360" s="115" t="inlineStr">
        <is>
          <t>Fonction publique d'État</t>
        </is>
      </c>
      <c r="B360" s="101" t="n">
        <v>2116</v>
      </c>
      <c r="C360" s="105" t="n">
        <v>0.247</v>
      </c>
      <c r="D360" s="105" t="n">
        <v>0.111</v>
      </c>
      <c r="E360" s="105" t="n">
        <v>0.826</v>
      </c>
      <c r="F360" s="116" t="inlineStr">
        <is>
          <t>légal</t>
        </is>
      </c>
      <c r="G360" s="105" t="n">
        <v>0.05</v>
      </c>
      <c r="H360" s="105" t="n">
        <v>0.00252</v>
      </c>
      <c r="I360" s="105" t="n">
        <v>0</v>
      </c>
      <c r="J360" s="107">
        <f>D360*(1-C360)+G360*MIN(C360,0.2*(1-C360))+H360</f>
        <v/>
      </c>
      <c r="K360" s="107">
        <f>MIN(E360*(1-C360),Donnees_annuelles!G174)+G360*MIN(C360,0.2*(1-C360))</f>
        <v/>
      </c>
      <c r="L360" s="107">
        <f>I360*(1-C360)+MAX(0,E360*(1-C360)-Donnees_annuelles!G174)</f>
        <v/>
      </c>
      <c r="M360" s="119">
        <f>SUMIFS(Regimes!$G$5:$G$10,Regimes!$A$5:$A$10,A360)*(1-C360)/(1-0.23917)</f>
        <v/>
      </c>
      <c r="N360" s="106">
        <f>Donnees_annuelles!D174*J360</f>
        <v/>
      </c>
      <c r="O360" s="106">
        <f>Donnees_annuelles!D174*K360</f>
        <v/>
      </c>
      <c r="P360" s="106">
        <f>N360+O360</f>
        <v/>
      </c>
      <c r="Q360" s="106">
        <f>Donnees_annuelles!D174*L360</f>
        <v/>
      </c>
      <c r="R360" s="118">
        <f>P360/Donnees_annuelles!AA174*Donnees_annuelles!AI174/Donnees_annuelles!AG174</f>
        <v/>
      </c>
      <c r="S360" s="118">
        <f>P360/Donnees_annuelles!AA174*Donnees_annuelles!AJ174/Donnees_annuelles!AH174</f>
        <v/>
      </c>
    </row>
    <row r="361">
      <c r="A361" s="115" t="inlineStr">
        <is>
          <t>Fonction publique d'État</t>
        </is>
      </c>
      <c r="B361" s="101" t="n">
        <v>2117</v>
      </c>
      <c r="C361" s="105" t="n">
        <v>0.247</v>
      </c>
      <c r="D361" s="105" t="n">
        <v>0.111</v>
      </c>
      <c r="E361" s="105" t="n">
        <v>0.826</v>
      </c>
      <c r="F361" s="116" t="inlineStr">
        <is>
          <t>légal</t>
        </is>
      </c>
      <c r="G361" s="105" t="n">
        <v>0.05</v>
      </c>
      <c r="H361" s="105" t="n">
        <v>0.00252</v>
      </c>
      <c r="I361" s="105" t="n">
        <v>0</v>
      </c>
      <c r="J361" s="107">
        <f>D361*(1-C361)+G361*MIN(C361,0.2*(1-C361))+H361</f>
        <v/>
      </c>
      <c r="K361" s="107">
        <f>MIN(E361*(1-C361),Donnees_annuelles!G175)+G361*MIN(C361,0.2*(1-C361))</f>
        <v/>
      </c>
      <c r="L361" s="107">
        <f>I361*(1-C361)+MAX(0,E361*(1-C361)-Donnees_annuelles!G175)</f>
        <v/>
      </c>
      <c r="M361" s="119">
        <f>SUMIFS(Regimes!$G$5:$G$10,Regimes!$A$5:$A$10,A361)*(1-C361)/(1-0.23917)</f>
        <v/>
      </c>
      <c r="N361" s="106">
        <f>Donnees_annuelles!D175*J361</f>
        <v/>
      </c>
      <c r="O361" s="106">
        <f>Donnees_annuelles!D175*K361</f>
        <v/>
      </c>
      <c r="P361" s="106">
        <f>N361+O361</f>
        <v/>
      </c>
      <c r="Q361" s="106">
        <f>Donnees_annuelles!D175*L361</f>
        <v/>
      </c>
      <c r="R361" s="118">
        <f>P361/Donnees_annuelles!AA175*Donnees_annuelles!AI175/Donnees_annuelles!AG175</f>
        <v/>
      </c>
      <c r="S361" s="118">
        <f>P361/Donnees_annuelles!AA175*Donnees_annuelles!AJ175/Donnees_annuelles!AH175</f>
        <v/>
      </c>
    </row>
    <row r="362">
      <c r="A362" s="115" t="inlineStr">
        <is>
          <t>Fonction publique d'État</t>
        </is>
      </c>
      <c r="B362" s="101" t="n">
        <v>2118</v>
      </c>
      <c r="C362" s="105" t="n">
        <v>0.247</v>
      </c>
      <c r="D362" s="105" t="n">
        <v>0.111</v>
      </c>
      <c r="E362" s="105" t="n">
        <v>0.826</v>
      </c>
      <c r="F362" s="116" t="inlineStr">
        <is>
          <t>légal</t>
        </is>
      </c>
      <c r="G362" s="105" t="n">
        <v>0.05</v>
      </c>
      <c r="H362" s="105" t="n">
        <v>0.00252</v>
      </c>
      <c r="I362" s="105" t="n">
        <v>0</v>
      </c>
      <c r="J362" s="107">
        <f>D362*(1-C362)+G362*MIN(C362,0.2*(1-C362))+H362</f>
        <v/>
      </c>
      <c r="K362" s="107">
        <f>MIN(E362*(1-C362),Donnees_annuelles!G176)+G362*MIN(C362,0.2*(1-C362))</f>
        <v/>
      </c>
      <c r="L362" s="107">
        <f>I362*(1-C362)+MAX(0,E362*(1-C362)-Donnees_annuelles!G176)</f>
        <v/>
      </c>
      <c r="M362" s="119">
        <f>SUMIFS(Regimes!$G$5:$G$10,Regimes!$A$5:$A$10,A362)*(1-C362)/(1-0.23917)</f>
        <v/>
      </c>
      <c r="N362" s="106">
        <f>Donnees_annuelles!D176*J362</f>
        <v/>
      </c>
      <c r="O362" s="106">
        <f>Donnees_annuelles!D176*K362</f>
        <v/>
      </c>
      <c r="P362" s="106">
        <f>N362+O362</f>
        <v/>
      </c>
      <c r="Q362" s="106">
        <f>Donnees_annuelles!D176*L362</f>
        <v/>
      </c>
      <c r="R362" s="118">
        <f>P362/Donnees_annuelles!AA176*Donnees_annuelles!AI176/Donnees_annuelles!AG176</f>
        <v/>
      </c>
      <c r="S362" s="118">
        <f>P362/Donnees_annuelles!AA176*Donnees_annuelles!AJ176/Donnees_annuelles!AH176</f>
        <v/>
      </c>
    </row>
    <row r="363">
      <c r="A363" s="115" t="inlineStr">
        <is>
          <t>Fonction publique d'État</t>
        </is>
      </c>
      <c r="B363" s="101" t="n">
        <v>2119</v>
      </c>
      <c r="C363" s="105" t="n">
        <v>0.247</v>
      </c>
      <c r="D363" s="105" t="n">
        <v>0.111</v>
      </c>
      <c r="E363" s="105" t="n">
        <v>0.826</v>
      </c>
      <c r="F363" s="116" t="inlineStr">
        <is>
          <t>légal</t>
        </is>
      </c>
      <c r="G363" s="105" t="n">
        <v>0.05</v>
      </c>
      <c r="H363" s="105" t="n">
        <v>0.00252</v>
      </c>
      <c r="I363" s="105" t="n">
        <v>0</v>
      </c>
      <c r="J363" s="107">
        <f>D363*(1-C363)+G363*MIN(C363,0.2*(1-C363))+H363</f>
        <v/>
      </c>
      <c r="K363" s="107">
        <f>MIN(E363*(1-C363),Donnees_annuelles!G177)+G363*MIN(C363,0.2*(1-C363))</f>
        <v/>
      </c>
      <c r="L363" s="107">
        <f>I363*(1-C363)+MAX(0,E363*(1-C363)-Donnees_annuelles!G177)</f>
        <v/>
      </c>
      <c r="M363" s="119">
        <f>SUMIFS(Regimes!$G$5:$G$10,Regimes!$A$5:$A$10,A363)*(1-C363)/(1-0.23917)</f>
        <v/>
      </c>
      <c r="N363" s="106">
        <f>Donnees_annuelles!D177*J363</f>
        <v/>
      </c>
      <c r="O363" s="106">
        <f>Donnees_annuelles!D177*K363</f>
        <v/>
      </c>
      <c r="P363" s="106">
        <f>N363+O363</f>
        <v/>
      </c>
      <c r="Q363" s="106">
        <f>Donnees_annuelles!D177*L363</f>
        <v/>
      </c>
      <c r="R363" s="118">
        <f>P363/Donnees_annuelles!AA177*Donnees_annuelles!AI177/Donnees_annuelles!AG177</f>
        <v/>
      </c>
      <c r="S363" s="118">
        <f>P363/Donnees_annuelles!AA177*Donnees_annuelles!AJ177/Donnees_annuelles!AH177</f>
        <v/>
      </c>
    </row>
    <row r="364">
      <c r="A364" s="115" t="inlineStr">
        <is>
          <t>Fonction publique d'État</t>
        </is>
      </c>
      <c r="B364" s="101" t="n">
        <v>2120</v>
      </c>
      <c r="C364" s="105" t="n">
        <v>0.247</v>
      </c>
      <c r="D364" s="105" t="n">
        <v>0.111</v>
      </c>
      <c r="E364" s="105" t="n">
        <v>0.826</v>
      </c>
      <c r="F364" s="116" t="inlineStr">
        <is>
          <t>légal</t>
        </is>
      </c>
      <c r="G364" s="105" t="n">
        <v>0.05</v>
      </c>
      <c r="H364" s="105" t="n">
        <v>0.00252</v>
      </c>
      <c r="I364" s="105" t="n">
        <v>0</v>
      </c>
      <c r="J364" s="107">
        <f>D364*(1-C364)+G364*MIN(C364,0.2*(1-C364))+H364</f>
        <v/>
      </c>
      <c r="K364" s="107">
        <f>MIN(E364*(1-C364),Donnees_annuelles!G178)+G364*MIN(C364,0.2*(1-C364))</f>
        <v/>
      </c>
      <c r="L364" s="107">
        <f>I364*(1-C364)+MAX(0,E364*(1-C364)-Donnees_annuelles!G178)</f>
        <v/>
      </c>
      <c r="M364" s="119">
        <f>SUMIFS(Regimes!$G$5:$G$10,Regimes!$A$5:$A$10,A364)*(1-C364)/(1-0.23917)</f>
        <v/>
      </c>
      <c r="N364" s="106">
        <f>Donnees_annuelles!D178*J364</f>
        <v/>
      </c>
      <c r="O364" s="106">
        <f>Donnees_annuelles!D178*K364</f>
        <v/>
      </c>
      <c r="P364" s="106">
        <f>N364+O364</f>
        <v/>
      </c>
      <c r="Q364" s="106">
        <f>Donnees_annuelles!D178*L364</f>
        <v/>
      </c>
      <c r="R364" s="118">
        <f>P364/Donnees_annuelles!AA178*Donnees_annuelles!AI178/Donnees_annuelles!AG178</f>
        <v/>
      </c>
      <c r="S364" s="118">
        <f>P364/Donnees_annuelles!AA178*Donnees_annuelles!AJ178/Donnees_annuelles!AH178</f>
        <v/>
      </c>
    </row>
    <row r="365">
      <c r="A365" s="115" t="inlineStr">
        <is>
          <t>Fonction publique d'État</t>
        </is>
      </c>
      <c r="B365" s="101" t="n">
        <v>2121</v>
      </c>
      <c r="C365" s="105" t="n">
        <v>0.247</v>
      </c>
      <c r="D365" s="105" t="n">
        <v>0.111</v>
      </c>
      <c r="E365" s="105" t="n">
        <v>0.826</v>
      </c>
      <c r="F365" s="116" t="inlineStr">
        <is>
          <t>légal</t>
        </is>
      </c>
      <c r="G365" s="105" t="n">
        <v>0.05</v>
      </c>
      <c r="H365" s="105" t="n">
        <v>0.00252</v>
      </c>
      <c r="I365" s="105" t="n">
        <v>0</v>
      </c>
      <c r="J365" s="107">
        <f>D365*(1-C365)+G365*MIN(C365,0.2*(1-C365))+H365</f>
        <v/>
      </c>
      <c r="K365" s="107">
        <f>MIN(E365*(1-C365),Donnees_annuelles!G179)+G365*MIN(C365,0.2*(1-C365))</f>
        <v/>
      </c>
      <c r="L365" s="107">
        <f>I365*(1-C365)+MAX(0,E365*(1-C365)-Donnees_annuelles!G179)</f>
        <v/>
      </c>
      <c r="M365" s="119">
        <f>SUMIFS(Regimes!$G$5:$G$10,Regimes!$A$5:$A$10,A365)*(1-C365)/(1-0.23917)</f>
        <v/>
      </c>
      <c r="N365" s="106">
        <f>Donnees_annuelles!D179*J365</f>
        <v/>
      </c>
      <c r="O365" s="106">
        <f>Donnees_annuelles!D179*K365</f>
        <v/>
      </c>
      <c r="P365" s="106">
        <f>N365+O365</f>
        <v/>
      </c>
      <c r="Q365" s="106">
        <f>Donnees_annuelles!D179*L365</f>
        <v/>
      </c>
      <c r="R365" s="118">
        <f>P365/Donnees_annuelles!AA179*Donnees_annuelles!AI179/Donnees_annuelles!AG179</f>
        <v/>
      </c>
      <c r="S365" s="118">
        <f>P365/Donnees_annuelles!AA179*Donnees_annuelles!AJ179/Donnees_annuelles!AH179</f>
        <v/>
      </c>
    </row>
    <row r="366">
      <c r="A366" s="115" t="inlineStr">
        <is>
          <t>Fonction publique d'État</t>
        </is>
      </c>
      <c r="B366" s="101" t="n">
        <v>2122</v>
      </c>
      <c r="C366" s="105" t="n">
        <v>0.247</v>
      </c>
      <c r="D366" s="105" t="n">
        <v>0.111</v>
      </c>
      <c r="E366" s="105" t="n">
        <v>0.826</v>
      </c>
      <c r="F366" s="116" t="inlineStr">
        <is>
          <t>légal</t>
        </is>
      </c>
      <c r="G366" s="105" t="n">
        <v>0.05</v>
      </c>
      <c r="H366" s="105" t="n">
        <v>0.00252</v>
      </c>
      <c r="I366" s="105" t="n">
        <v>0</v>
      </c>
      <c r="J366" s="107">
        <f>D366*(1-C366)+G366*MIN(C366,0.2*(1-C366))+H366</f>
        <v/>
      </c>
      <c r="K366" s="107">
        <f>MIN(E366*(1-C366),Donnees_annuelles!G180)+G366*MIN(C366,0.2*(1-C366))</f>
        <v/>
      </c>
      <c r="L366" s="107">
        <f>I366*(1-C366)+MAX(0,E366*(1-C366)-Donnees_annuelles!G180)</f>
        <v/>
      </c>
      <c r="M366" s="119">
        <f>SUMIFS(Regimes!$G$5:$G$10,Regimes!$A$5:$A$10,A366)*(1-C366)/(1-0.23917)</f>
        <v/>
      </c>
      <c r="N366" s="106">
        <f>Donnees_annuelles!D180*J366</f>
        <v/>
      </c>
      <c r="O366" s="106">
        <f>Donnees_annuelles!D180*K366</f>
        <v/>
      </c>
      <c r="P366" s="106">
        <f>N366+O366</f>
        <v/>
      </c>
      <c r="Q366" s="106">
        <f>Donnees_annuelles!D180*L366</f>
        <v/>
      </c>
      <c r="R366" s="118">
        <f>P366/Donnees_annuelles!AA180*Donnees_annuelles!AI180/Donnees_annuelles!AG180</f>
        <v/>
      </c>
      <c r="S366" s="118">
        <f>P366/Donnees_annuelles!AA180*Donnees_annuelles!AJ180/Donnees_annuelles!AH180</f>
        <v/>
      </c>
    </row>
    <row r="367">
      <c r="A367" s="115" t="inlineStr">
        <is>
          <t>Fonction publique d'État</t>
        </is>
      </c>
      <c r="B367" s="101" t="n">
        <v>2123</v>
      </c>
      <c r="C367" s="105" t="n">
        <v>0.247</v>
      </c>
      <c r="D367" s="105" t="n">
        <v>0.111</v>
      </c>
      <c r="E367" s="105" t="n">
        <v>0.826</v>
      </c>
      <c r="F367" s="116" t="inlineStr">
        <is>
          <t>légal</t>
        </is>
      </c>
      <c r="G367" s="105" t="n">
        <v>0.05</v>
      </c>
      <c r="H367" s="105" t="n">
        <v>0.00252</v>
      </c>
      <c r="I367" s="105" t="n">
        <v>0</v>
      </c>
      <c r="J367" s="107">
        <f>D367*(1-C367)+G367*MIN(C367,0.2*(1-C367))+H367</f>
        <v/>
      </c>
      <c r="K367" s="107">
        <f>MIN(E367*(1-C367),Donnees_annuelles!G181)+G367*MIN(C367,0.2*(1-C367))</f>
        <v/>
      </c>
      <c r="L367" s="107">
        <f>I367*(1-C367)+MAX(0,E367*(1-C367)-Donnees_annuelles!G181)</f>
        <v/>
      </c>
      <c r="M367" s="119">
        <f>SUMIFS(Regimes!$G$5:$G$10,Regimes!$A$5:$A$10,A367)*(1-C367)/(1-0.23917)</f>
        <v/>
      </c>
      <c r="N367" s="106">
        <f>Donnees_annuelles!D181*J367</f>
        <v/>
      </c>
      <c r="O367" s="106">
        <f>Donnees_annuelles!D181*K367</f>
        <v/>
      </c>
      <c r="P367" s="106">
        <f>N367+O367</f>
        <v/>
      </c>
      <c r="Q367" s="106">
        <f>Donnees_annuelles!D181*L367</f>
        <v/>
      </c>
      <c r="R367" s="118">
        <f>P367/Donnees_annuelles!AA181*Donnees_annuelles!AI181/Donnees_annuelles!AG181</f>
        <v/>
      </c>
      <c r="S367" s="118">
        <f>P367/Donnees_annuelles!AA181*Donnees_annuelles!AJ181/Donnees_annuelles!AH181</f>
        <v/>
      </c>
    </row>
    <row r="368">
      <c r="A368" s="115" t="inlineStr">
        <is>
          <t>Fonction publique d'État</t>
        </is>
      </c>
      <c r="B368" s="101" t="n">
        <v>2124</v>
      </c>
      <c r="C368" s="105" t="n">
        <v>0.247</v>
      </c>
      <c r="D368" s="105" t="n">
        <v>0.111</v>
      </c>
      <c r="E368" s="105" t="n">
        <v>0.826</v>
      </c>
      <c r="F368" s="116" t="inlineStr">
        <is>
          <t>légal</t>
        </is>
      </c>
      <c r="G368" s="105" t="n">
        <v>0.05</v>
      </c>
      <c r="H368" s="105" t="n">
        <v>0.00252</v>
      </c>
      <c r="I368" s="105" t="n">
        <v>0</v>
      </c>
      <c r="J368" s="107">
        <f>D368*(1-C368)+G368*MIN(C368,0.2*(1-C368))+H368</f>
        <v/>
      </c>
      <c r="K368" s="107">
        <f>MIN(E368*(1-C368),Donnees_annuelles!G182)+G368*MIN(C368,0.2*(1-C368))</f>
        <v/>
      </c>
      <c r="L368" s="107">
        <f>I368*(1-C368)+MAX(0,E368*(1-C368)-Donnees_annuelles!G182)</f>
        <v/>
      </c>
      <c r="M368" s="119">
        <f>SUMIFS(Regimes!$G$5:$G$10,Regimes!$A$5:$A$10,A368)*(1-C368)/(1-0.23917)</f>
        <v/>
      </c>
      <c r="N368" s="106">
        <f>Donnees_annuelles!D182*J368</f>
        <v/>
      </c>
      <c r="O368" s="106">
        <f>Donnees_annuelles!D182*K368</f>
        <v/>
      </c>
      <c r="P368" s="106">
        <f>N368+O368</f>
        <v/>
      </c>
      <c r="Q368" s="106">
        <f>Donnees_annuelles!D182*L368</f>
        <v/>
      </c>
      <c r="R368" s="118">
        <f>P368/Donnees_annuelles!AA182*Donnees_annuelles!AI182/Donnees_annuelles!AG182</f>
        <v/>
      </c>
      <c r="S368" s="118">
        <f>P368/Donnees_annuelles!AA182*Donnees_annuelles!AJ182/Donnees_annuelles!AH182</f>
        <v/>
      </c>
    </row>
    <row r="369">
      <c r="A369" s="115" t="inlineStr">
        <is>
          <t>Fonction publique d'État</t>
        </is>
      </c>
      <c r="B369" s="101" t="n">
        <v>2125</v>
      </c>
      <c r="C369" s="105" t="n">
        <v>0.247</v>
      </c>
      <c r="D369" s="105" t="n">
        <v>0.111</v>
      </c>
      <c r="E369" s="105" t="n">
        <v>0.826</v>
      </c>
      <c r="F369" s="116" t="inlineStr">
        <is>
          <t>légal</t>
        </is>
      </c>
      <c r="G369" s="105" t="n">
        <v>0.05</v>
      </c>
      <c r="H369" s="105" t="n">
        <v>0.00252</v>
      </c>
      <c r="I369" s="105" t="n">
        <v>0</v>
      </c>
      <c r="J369" s="107">
        <f>D369*(1-C369)+G369*MIN(C369,0.2*(1-C369))+H369</f>
        <v/>
      </c>
      <c r="K369" s="107">
        <f>MIN(E369*(1-C369),Donnees_annuelles!G183)+G369*MIN(C369,0.2*(1-C369))</f>
        <v/>
      </c>
      <c r="L369" s="107">
        <f>I369*(1-C369)+MAX(0,E369*(1-C369)-Donnees_annuelles!G183)</f>
        <v/>
      </c>
      <c r="M369" s="119">
        <f>SUMIFS(Regimes!$G$5:$G$10,Regimes!$A$5:$A$10,A369)*(1-C369)/(1-0.23917)</f>
        <v/>
      </c>
      <c r="N369" s="106">
        <f>Donnees_annuelles!D183*J369</f>
        <v/>
      </c>
      <c r="O369" s="106">
        <f>Donnees_annuelles!D183*K369</f>
        <v/>
      </c>
      <c r="P369" s="106">
        <f>N369+O369</f>
        <v/>
      </c>
      <c r="Q369" s="106">
        <f>Donnees_annuelles!D183*L369</f>
        <v/>
      </c>
      <c r="R369" s="118">
        <f>P369/Donnees_annuelles!AA183*Donnees_annuelles!AI183/Donnees_annuelles!AG183</f>
        <v/>
      </c>
      <c r="S369" s="118">
        <f>P369/Donnees_annuelles!AA183*Donnees_annuelles!AJ183/Donnees_annuelles!AH183</f>
        <v/>
      </c>
    </row>
    <row r="370">
      <c r="A370" s="115" t="inlineStr">
        <is>
          <t>Fonction publique d'État</t>
        </is>
      </c>
      <c r="B370" s="101" t="n">
        <v>2126</v>
      </c>
      <c r="C370" s="105" t="n">
        <v>0.247</v>
      </c>
      <c r="D370" s="105" t="n">
        <v>0.111</v>
      </c>
      <c r="E370" s="105" t="n">
        <v>0.826</v>
      </c>
      <c r="F370" s="116" t="inlineStr">
        <is>
          <t>légal</t>
        </is>
      </c>
      <c r="G370" s="105" t="n">
        <v>0.05</v>
      </c>
      <c r="H370" s="105" t="n">
        <v>0.00252</v>
      </c>
      <c r="I370" s="105" t="n">
        <v>0</v>
      </c>
      <c r="J370" s="107">
        <f>D370*(1-C370)+G370*MIN(C370,0.2*(1-C370))+H370</f>
        <v/>
      </c>
      <c r="K370" s="107">
        <f>MIN(E370*(1-C370),Donnees_annuelles!G184)+G370*MIN(C370,0.2*(1-C370))</f>
        <v/>
      </c>
      <c r="L370" s="107">
        <f>I370*(1-C370)+MAX(0,E370*(1-C370)-Donnees_annuelles!G184)</f>
        <v/>
      </c>
      <c r="M370" s="119">
        <f>SUMIFS(Regimes!$G$5:$G$10,Regimes!$A$5:$A$10,A370)*(1-C370)/(1-0.23917)</f>
        <v/>
      </c>
      <c r="N370" s="106">
        <f>Donnees_annuelles!D184*J370</f>
        <v/>
      </c>
      <c r="O370" s="106">
        <f>Donnees_annuelles!D184*K370</f>
        <v/>
      </c>
      <c r="P370" s="106">
        <f>N370+O370</f>
        <v/>
      </c>
      <c r="Q370" s="106">
        <f>Donnees_annuelles!D184*L370</f>
        <v/>
      </c>
      <c r="R370" s="118">
        <f>P370/Donnees_annuelles!AA184*Donnees_annuelles!AI184/Donnees_annuelles!AG184</f>
        <v/>
      </c>
      <c r="S370" s="118">
        <f>P370/Donnees_annuelles!AA184*Donnees_annuelles!AJ184/Donnees_annuelles!AH184</f>
        <v/>
      </c>
    </row>
    <row r="371">
      <c r="A371" s="115" t="inlineStr">
        <is>
          <t>Fonction publique d'État</t>
        </is>
      </c>
      <c r="B371" s="101" t="n">
        <v>2127</v>
      </c>
      <c r="C371" s="105" t="n">
        <v>0.247</v>
      </c>
      <c r="D371" s="105" t="n">
        <v>0.111</v>
      </c>
      <c r="E371" s="105" t="n">
        <v>0.826</v>
      </c>
      <c r="F371" s="116" t="inlineStr">
        <is>
          <t>légal</t>
        </is>
      </c>
      <c r="G371" s="105" t="n">
        <v>0.05</v>
      </c>
      <c r="H371" s="105" t="n">
        <v>0.00252</v>
      </c>
      <c r="I371" s="105" t="n">
        <v>0</v>
      </c>
      <c r="J371" s="107">
        <f>D371*(1-C371)+G371*MIN(C371,0.2*(1-C371))+H371</f>
        <v/>
      </c>
      <c r="K371" s="107">
        <f>MIN(E371*(1-C371),Donnees_annuelles!G185)+G371*MIN(C371,0.2*(1-C371))</f>
        <v/>
      </c>
      <c r="L371" s="107">
        <f>I371*(1-C371)+MAX(0,E371*(1-C371)-Donnees_annuelles!G185)</f>
        <v/>
      </c>
      <c r="M371" s="119">
        <f>SUMIFS(Regimes!$G$5:$G$10,Regimes!$A$5:$A$10,A371)*(1-C371)/(1-0.23917)</f>
        <v/>
      </c>
      <c r="N371" s="106">
        <f>Donnees_annuelles!D185*J371</f>
        <v/>
      </c>
      <c r="O371" s="106">
        <f>Donnees_annuelles!D185*K371</f>
        <v/>
      </c>
      <c r="P371" s="106">
        <f>N371+O371</f>
        <v/>
      </c>
      <c r="Q371" s="106">
        <f>Donnees_annuelles!D185*L371</f>
        <v/>
      </c>
      <c r="R371" s="118">
        <f>P371/Donnees_annuelles!AA185*Donnees_annuelles!AI185/Donnees_annuelles!AG185</f>
        <v/>
      </c>
      <c r="S371" s="118">
        <f>P371/Donnees_annuelles!AA185*Donnees_annuelles!AJ185/Donnees_annuelles!AH185</f>
        <v/>
      </c>
    </row>
    <row r="372">
      <c r="A372" s="115" t="inlineStr">
        <is>
          <t>Fonction publique d'État</t>
        </is>
      </c>
      <c r="B372" s="101" t="n">
        <v>2128</v>
      </c>
      <c r="C372" s="105" t="n">
        <v>0.247</v>
      </c>
      <c r="D372" s="105" t="n">
        <v>0.111</v>
      </c>
      <c r="E372" s="105" t="n">
        <v>0.826</v>
      </c>
      <c r="F372" s="116" t="inlineStr">
        <is>
          <t>légal</t>
        </is>
      </c>
      <c r="G372" s="105" t="n">
        <v>0.05</v>
      </c>
      <c r="H372" s="105" t="n">
        <v>0.00252</v>
      </c>
      <c r="I372" s="105" t="n">
        <v>0</v>
      </c>
      <c r="J372" s="107">
        <f>D372*(1-C372)+G372*MIN(C372,0.2*(1-C372))+H372</f>
        <v/>
      </c>
      <c r="K372" s="107">
        <f>MIN(E372*(1-C372),Donnees_annuelles!G186)+G372*MIN(C372,0.2*(1-C372))</f>
        <v/>
      </c>
      <c r="L372" s="107">
        <f>I372*(1-C372)+MAX(0,E372*(1-C372)-Donnees_annuelles!G186)</f>
        <v/>
      </c>
      <c r="M372" s="119">
        <f>SUMIFS(Regimes!$G$5:$G$10,Regimes!$A$5:$A$10,A372)*(1-C372)/(1-0.23917)</f>
        <v/>
      </c>
      <c r="N372" s="106">
        <f>Donnees_annuelles!D186*J372</f>
        <v/>
      </c>
      <c r="O372" s="106">
        <f>Donnees_annuelles!D186*K372</f>
        <v/>
      </c>
      <c r="P372" s="106">
        <f>N372+O372</f>
        <v/>
      </c>
      <c r="Q372" s="106">
        <f>Donnees_annuelles!D186*L372</f>
        <v/>
      </c>
      <c r="R372" s="118">
        <f>P372/Donnees_annuelles!AA186*Donnees_annuelles!AI186/Donnees_annuelles!AG186</f>
        <v/>
      </c>
      <c r="S372" s="118">
        <f>P372/Donnees_annuelles!AA186*Donnees_annuelles!AJ186/Donnees_annuelles!AH186</f>
        <v/>
      </c>
    </row>
    <row r="373">
      <c r="A373" s="115" t="inlineStr">
        <is>
          <t>Fonction publique d'État</t>
        </is>
      </c>
      <c r="B373" s="101" t="n">
        <v>2129</v>
      </c>
      <c r="C373" s="105" t="n">
        <v>0.247</v>
      </c>
      <c r="D373" s="105" t="n">
        <v>0.111</v>
      </c>
      <c r="E373" s="105" t="n">
        <v>0.826</v>
      </c>
      <c r="F373" s="116" t="inlineStr">
        <is>
          <t>légal</t>
        </is>
      </c>
      <c r="G373" s="105" t="n">
        <v>0.05</v>
      </c>
      <c r="H373" s="105" t="n">
        <v>0.00252</v>
      </c>
      <c r="I373" s="105" t="n">
        <v>0</v>
      </c>
      <c r="J373" s="107">
        <f>D373*(1-C373)+G373*MIN(C373,0.2*(1-C373))+H373</f>
        <v/>
      </c>
      <c r="K373" s="107">
        <f>MIN(E373*(1-C373),Donnees_annuelles!G187)+G373*MIN(C373,0.2*(1-C373))</f>
        <v/>
      </c>
      <c r="L373" s="107">
        <f>I373*(1-C373)+MAX(0,E373*(1-C373)-Donnees_annuelles!G187)</f>
        <v/>
      </c>
      <c r="M373" s="119">
        <f>SUMIFS(Regimes!$G$5:$G$10,Regimes!$A$5:$A$10,A373)*(1-C373)/(1-0.23917)</f>
        <v/>
      </c>
      <c r="N373" s="106">
        <f>Donnees_annuelles!D187*J373</f>
        <v/>
      </c>
      <c r="O373" s="106">
        <f>Donnees_annuelles!D187*K373</f>
        <v/>
      </c>
      <c r="P373" s="106">
        <f>N373+O373</f>
        <v/>
      </c>
      <c r="Q373" s="106">
        <f>Donnees_annuelles!D187*L373</f>
        <v/>
      </c>
      <c r="R373" s="118">
        <f>P373/Donnees_annuelles!AA187*Donnees_annuelles!AI187/Donnees_annuelles!AG187</f>
        <v/>
      </c>
      <c r="S373" s="118">
        <f>P373/Donnees_annuelles!AA187*Donnees_annuelles!AJ187/Donnees_annuelles!AH187</f>
        <v/>
      </c>
    </row>
    <row r="374">
      <c r="A374" s="115" t="inlineStr">
        <is>
          <t>Fonction publique d'État</t>
        </is>
      </c>
      <c r="B374" s="101" t="n">
        <v>2130</v>
      </c>
      <c r="C374" s="105" t="n">
        <v>0.247</v>
      </c>
      <c r="D374" s="105" t="n">
        <v>0.111</v>
      </c>
      <c r="E374" s="105" t="n">
        <v>0.826</v>
      </c>
      <c r="F374" s="116" t="inlineStr">
        <is>
          <t>légal</t>
        </is>
      </c>
      <c r="G374" s="105" t="n">
        <v>0.05</v>
      </c>
      <c r="H374" s="105" t="n">
        <v>0.00252</v>
      </c>
      <c r="I374" s="105" t="n">
        <v>0</v>
      </c>
      <c r="J374" s="107">
        <f>D374*(1-C374)+G374*MIN(C374,0.2*(1-C374))+H374</f>
        <v/>
      </c>
      <c r="K374" s="107">
        <f>MIN(E374*(1-C374),Donnees_annuelles!G188)+G374*MIN(C374,0.2*(1-C374))</f>
        <v/>
      </c>
      <c r="L374" s="107">
        <f>I374*(1-C374)+MAX(0,E374*(1-C374)-Donnees_annuelles!G188)</f>
        <v/>
      </c>
      <c r="M374" s="119">
        <f>SUMIFS(Regimes!$G$5:$G$10,Regimes!$A$5:$A$10,A374)*(1-C374)/(1-0.23917)</f>
        <v/>
      </c>
      <c r="N374" s="106">
        <f>Donnees_annuelles!D188*J374</f>
        <v/>
      </c>
      <c r="O374" s="106">
        <f>Donnees_annuelles!D188*K374</f>
        <v/>
      </c>
      <c r="P374" s="106">
        <f>N374+O374</f>
        <v/>
      </c>
      <c r="Q374" s="106">
        <f>Donnees_annuelles!D188*L374</f>
        <v/>
      </c>
      <c r="R374" s="118">
        <f>P374/Donnees_annuelles!AA188*Donnees_annuelles!AI188/Donnees_annuelles!AG188</f>
        <v/>
      </c>
      <c r="S374" s="118">
        <f>P374/Donnees_annuelles!AA188*Donnees_annuelles!AJ188/Donnees_annuelles!AH188</f>
        <v/>
      </c>
    </row>
    <row r="375">
      <c r="A375" s="84" t="inlineStr">
        <is>
          <t>Fonction publique territoriale et hospitalière</t>
        </is>
      </c>
      <c r="B375" s="88" t="n">
        <v>1945</v>
      </c>
      <c r="C375" s="93" t="n">
        <v>0.1</v>
      </c>
      <c r="D375" s="93" t="n">
        <v>0.06</v>
      </c>
      <c r="E375" s="93" t="n">
        <v>0.12</v>
      </c>
      <c r="F375" s="7" t="inlineStr">
        <is>
          <t>légal</t>
        </is>
      </c>
      <c r="G375" s="93" t="n">
        <v>0</v>
      </c>
      <c r="H375" s="93" t="n">
        <v>0</v>
      </c>
      <c r="I375" s="93" t="n">
        <v>0</v>
      </c>
      <c r="J375" s="94">
        <f>D375*(1-C375)+G375*MIN(C375,0.2*(1-C375))+H375</f>
        <v/>
      </c>
      <c r="K375" s="94">
        <f>E375*(1-C375)+G375*MIN(C375,0.2*(1-C375))</f>
        <v/>
      </c>
      <c r="L375" s="94">
        <f>I375*(1-C375)</f>
        <v/>
      </c>
      <c r="M375" s="89">
        <f>SUMIFS(Regimes!$G$5:$G$10,Regimes!$A$5:$A$10,A375)*(1-C375)/(1-0.24167)</f>
        <v/>
      </c>
      <c r="N375" s="14">
        <f>Donnees_annuelles!D3*J375</f>
        <v/>
      </c>
      <c r="O375" s="14">
        <f>Donnees_annuelles!D3*K375</f>
        <v/>
      </c>
      <c r="P375" s="14">
        <f>N375+O375</f>
        <v/>
      </c>
      <c r="Q375" s="14">
        <f>Donnees_annuelles!D3*L375</f>
        <v/>
      </c>
      <c r="R375" s="114">
        <f>P375/Donnees_annuelles!AA3*Donnees_annuelles!AI3/Donnees_annuelles!AG3</f>
        <v/>
      </c>
      <c r="S375" s="114">
        <f>P375/Donnees_annuelles!AA3*Donnees_annuelles!AJ3/Donnees_annuelles!AH3</f>
        <v/>
      </c>
    </row>
    <row r="376">
      <c r="A376" s="84" t="inlineStr">
        <is>
          <t>Fonction publique territoriale et hospitalière</t>
        </is>
      </c>
      <c r="B376" s="88" t="n">
        <v>1946</v>
      </c>
      <c r="C376" s="93" t="n">
        <v>0.1</v>
      </c>
      <c r="D376" s="93" t="n">
        <v>0.06</v>
      </c>
      <c r="E376" s="93" t="n">
        <v>0.12</v>
      </c>
      <c r="F376" s="7" t="inlineStr">
        <is>
          <t>légal</t>
        </is>
      </c>
      <c r="G376" s="93" t="n">
        <v>0</v>
      </c>
      <c r="H376" s="93" t="n">
        <v>0</v>
      </c>
      <c r="I376" s="93" t="n">
        <v>0</v>
      </c>
      <c r="J376" s="94">
        <f>D376*(1-C376)+G376*MIN(C376,0.2*(1-C376))+H376</f>
        <v/>
      </c>
      <c r="K376" s="94">
        <f>E376*(1-C376)+G376*MIN(C376,0.2*(1-C376))</f>
        <v/>
      </c>
      <c r="L376" s="94">
        <f>I376*(1-C376)</f>
        <v/>
      </c>
      <c r="M376" s="89">
        <f>SUMIFS(Regimes!$G$5:$G$10,Regimes!$A$5:$A$10,A376)*(1-C376)/(1-0.24167)</f>
        <v/>
      </c>
      <c r="N376" s="14">
        <f>Donnees_annuelles!D4*J376</f>
        <v/>
      </c>
      <c r="O376" s="14">
        <f>Donnees_annuelles!D4*K376</f>
        <v/>
      </c>
      <c r="P376" s="14">
        <f>N376+O376</f>
        <v/>
      </c>
      <c r="Q376" s="14">
        <f>Donnees_annuelles!D4*L376</f>
        <v/>
      </c>
      <c r="R376" s="114">
        <f>P376/Donnees_annuelles!AA4*Donnees_annuelles!AI4/Donnees_annuelles!AG4</f>
        <v/>
      </c>
      <c r="S376" s="114">
        <f>P376/Donnees_annuelles!AA4*Donnees_annuelles!AJ4/Donnees_annuelles!AH4</f>
        <v/>
      </c>
    </row>
    <row r="377">
      <c r="A377" s="84" t="inlineStr">
        <is>
          <t>Fonction publique territoriale et hospitalière</t>
        </is>
      </c>
      <c r="B377" s="88" t="n">
        <v>1947</v>
      </c>
      <c r="C377" s="93" t="n">
        <v>0.1</v>
      </c>
      <c r="D377" s="93" t="n">
        <v>0.06</v>
      </c>
      <c r="E377" s="93" t="n">
        <v>0.12</v>
      </c>
      <c r="F377" s="7" t="inlineStr">
        <is>
          <t>légal</t>
        </is>
      </c>
      <c r="G377" s="93" t="n">
        <v>0</v>
      </c>
      <c r="H377" s="93" t="n">
        <v>0</v>
      </c>
      <c r="I377" s="93" t="n">
        <v>0</v>
      </c>
      <c r="J377" s="94">
        <f>D377*(1-C377)+G377*MIN(C377,0.2*(1-C377))+H377</f>
        <v/>
      </c>
      <c r="K377" s="94">
        <f>E377*(1-C377)+G377*MIN(C377,0.2*(1-C377))</f>
        <v/>
      </c>
      <c r="L377" s="94">
        <f>I377*(1-C377)</f>
        <v/>
      </c>
      <c r="M377" s="89">
        <f>SUMIFS(Regimes!$G$5:$G$10,Regimes!$A$5:$A$10,A377)*(1-C377)/(1-0.24167)</f>
        <v/>
      </c>
      <c r="N377" s="14">
        <f>Donnees_annuelles!D5*J377</f>
        <v/>
      </c>
      <c r="O377" s="14">
        <f>Donnees_annuelles!D5*K377</f>
        <v/>
      </c>
      <c r="P377" s="14">
        <f>N377+O377</f>
        <v/>
      </c>
      <c r="Q377" s="14">
        <f>Donnees_annuelles!D5*L377</f>
        <v/>
      </c>
      <c r="R377" s="114">
        <f>P377/Donnees_annuelles!AA5*Donnees_annuelles!AI5/Donnees_annuelles!AG5</f>
        <v/>
      </c>
      <c r="S377" s="114">
        <f>P377/Donnees_annuelles!AA5*Donnees_annuelles!AJ5/Donnees_annuelles!AH5</f>
        <v/>
      </c>
    </row>
    <row r="378">
      <c r="A378" s="84" t="inlineStr">
        <is>
          <t>Fonction publique territoriale et hospitalière</t>
        </is>
      </c>
      <c r="B378" s="88" t="n">
        <v>1948</v>
      </c>
      <c r="C378" s="93" t="n">
        <v>0.1</v>
      </c>
      <c r="D378" s="93" t="n">
        <v>0.06</v>
      </c>
      <c r="E378" s="93" t="n">
        <v>0.12</v>
      </c>
      <c r="F378" s="7" t="inlineStr">
        <is>
          <t>légal</t>
        </is>
      </c>
      <c r="G378" s="93" t="n">
        <v>0</v>
      </c>
      <c r="H378" s="93" t="n">
        <v>0</v>
      </c>
      <c r="I378" s="93" t="n">
        <v>0</v>
      </c>
      <c r="J378" s="94">
        <f>D378*(1-C378)+G378*MIN(C378,0.2*(1-C378))+H378</f>
        <v/>
      </c>
      <c r="K378" s="94">
        <f>E378*(1-C378)+G378*MIN(C378,0.2*(1-C378))</f>
        <v/>
      </c>
      <c r="L378" s="94">
        <f>I378*(1-C378)</f>
        <v/>
      </c>
      <c r="M378" s="89">
        <f>SUMIFS(Regimes!$G$5:$G$10,Regimes!$A$5:$A$10,A378)*(1-C378)/(1-0.24167)</f>
        <v/>
      </c>
      <c r="N378" s="14">
        <f>Donnees_annuelles!D6*J378</f>
        <v/>
      </c>
      <c r="O378" s="14">
        <f>Donnees_annuelles!D6*K378</f>
        <v/>
      </c>
      <c r="P378" s="14">
        <f>N378+O378</f>
        <v/>
      </c>
      <c r="Q378" s="14">
        <f>Donnees_annuelles!D6*L378</f>
        <v/>
      </c>
      <c r="R378" s="114">
        <f>P378/Donnees_annuelles!AA6*Donnees_annuelles!AI6/Donnees_annuelles!AG6</f>
        <v/>
      </c>
      <c r="S378" s="114">
        <f>P378/Donnees_annuelles!AA6*Donnees_annuelles!AJ6/Donnees_annuelles!AH6</f>
        <v/>
      </c>
    </row>
    <row r="379">
      <c r="A379" s="84" t="inlineStr">
        <is>
          <t>Fonction publique territoriale et hospitalière</t>
        </is>
      </c>
      <c r="B379" s="88" t="n">
        <v>1949</v>
      </c>
      <c r="C379" s="93" t="n">
        <v>0.1</v>
      </c>
      <c r="D379" s="93" t="n">
        <v>0.06</v>
      </c>
      <c r="E379" s="93" t="n">
        <v>0.12</v>
      </c>
      <c r="F379" s="7" t="inlineStr">
        <is>
          <t>légal</t>
        </is>
      </c>
      <c r="G379" s="93" t="n">
        <v>0</v>
      </c>
      <c r="H379" s="93" t="n">
        <v>0</v>
      </c>
      <c r="I379" s="93" t="n">
        <v>0</v>
      </c>
      <c r="J379" s="94">
        <f>D379*(1-C379)+G379*MIN(C379,0.2*(1-C379))+H379</f>
        <v/>
      </c>
      <c r="K379" s="94">
        <f>E379*(1-C379)+G379*MIN(C379,0.2*(1-C379))</f>
        <v/>
      </c>
      <c r="L379" s="94">
        <f>I379*(1-C379)</f>
        <v/>
      </c>
      <c r="M379" s="89">
        <f>SUMIFS(Regimes!$G$5:$G$10,Regimes!$A$5:$A$10,A379)*(1-C379)/(1-0.24167)</f>
        <v/>
      </c>
      <c r="N379" s="14">
        <f>Donnees_annuelles!D7*J379</f>
        <v/>
      </c>
      <c r="O379" s="14">
        <f>Donnees_annuelles!D7*K379</f>
        <v/>
      </c>
      <c r="P379" s="14">
        <f>N379+O379</f>
        <v/>
      </c>
      <c r="Q379" s="14">
        <f>Donnees_annuelles!D7*L379</f>
        <v/>
      </c>
      <c r="R379" s="114">
        <f>P379/Donnees_annuelles!AA7*Donnees_annuelles!AI7/Donnees_annuelles!AG7</f>
        <v/>
      </c>
      <c r="S379" s="114">
        <f>P379/Donnees_annuelles!AA7*Donnees_annuelles!AJ7/Donnees_annuelles!AH7</f>
        <v/>
      </c>
    </row>
    <row r="380">
      <c r="A380" s="84" t="inlineStr">
        <is>
          <t>Fonction publique territoriale et hospitalière</t>
        </is>
      </c>
      <c r="B380" s="88" t="n">
        <v>1950</v>
      </c>
      <c r="C380" s="93" t="n">
        <v>0.1</v>
      </c>
      <c r="D380" s="93" t="n">
        <v>0.06</v>
      </c>
      <c r="E380" s="93" t="n">
        <v>0.12</v>
      </c>
      <c r="F380" s="7" t="inlineStr">
        <is>
          <t>légal</t>
        </is>
      </c>
      <c r="G380" s="93" t="n">
        <v>0</v>
      </c>
      <c r="H380" s="93" t="n">
        <v>0</v>
      </c>
      <c r="I380" s="93" t="n">
        <v>0</v>
      </c>
      <c r="J380" s="94">
        <f>D380*(1-C380)+G380*MIN(C380,0.2*(1-C380))+H380</f>
        <v/>
      </c>
      <c r="K380" s="94">
        <f>E380*(1-C380)+G380*MIN(C380,0.2*(1-C380))</f>
        <v/>
      </c>
      <c r="L380" s="94">
        <f>I380*(1-C380)</f>
        <v/>
      </c>
      <c r="M380" s="89">
        <f>SUMIFS(Regimes!$G$5:$G$10,Regimes!$A$5:$A$10,A380)*(1-C380)/(1-0.24167)</f>
        <v/>
      </c>
      <c r="N380" s="14">
        <f>Donnees_annuelles!D8*J380</f>
        <v/>
      </c>
      <c r="O380" s="14">
        <f>Donnees_annuelles!D8*K380</f>
        <v/>
      </c>
      <c r="P380" s="14">
        <f>N380+O380</f>
        <v/>
      </c>
      <c r="Q380" s="14">
        <f>Donnees_annuelles!D8*L380</f>
        <v/>
      </c>
      <c r="R380" s="114">
        <f>P380/Donnees_annuelles!AA8*Donnees_annuelles!AI8/Donnees_annuelles!AG8</f>
        <v/>
      </c>
      <c r="S380" s="114">
        <f>P380/Donnees_annuelles!AA8*Donnees_annuelles!AJ8/Donnees_annuelles!AH8</f>
        <v/>
      </c>
    </row>
    <row r="381">
      <c r="A381" s="84" t="inlineStr">
        <is>
          <t>Fonction publique territoriale et hospitalière</t>
        </is>
      </c>
      <c r="B381" s="88" t="n">
        <v>1951</v>
      </c>
      <c r="C381" s="93" t="n">
        <v>0.1</v>
      </c>
      <c r="D381" s="93" t="n">
        <v>0.06</v>
      </c>
      <c r="E381" s="93" t="n">
        <v>0.18</v>
      </c>
      <c r="F381" s="7" t="inlineStr">
        <is>
          <t>légal</t>
        </is>
      </c>
      <c r="G381" s="93" t="n">
        <v>0</v>
      </c>
      <c r="H381" s="93" t="n">
        <v>0</v>
      </c>
      <c r="I381" s="93" t="n">
        <v>0</v>
      </c>
      <c r="J381" s="94">
        <f>D381*(1-C381)+G381*MIN(C381,0.2*(1-C381))+H381</f>
        <v/>
      </c>
      <c r="K381" s="94">
        <f>E381*(1-C381)+G381*MIN(C381,0.2*(1-C381))</f>
        <v/>
      </c>
      <c r="L381" s="94">
        <f>I381*(1-C381)</f>
        <v/>
      </c>
      <c r="M381" s="89">
        <f>SUMIFS(Regimes!$G$5:$G$10,Regimes!$A$5:$A$10,A381)*(1-C381)/(1-0.24167)</f>
        <v/>
      </c>
      <c r="N381" s="14">
        <f>Donnees_annuelles!D9*J381</f>
        <v/>
      </c>
      <c r="O381" s="14">
        <f>Donnees_annuelles!D9*K381</f>
        <v/>
      </c>
      <c r="P381" s="14">
        <f>N381+O381</f>
        <v/>
      </c>
      <c r="Q381" s="14">
        <f>Donnees_annuelles!D9*L381</f>
        <v/>
      </c>
      <c r="R381" s="114">
        <f>P381/Donnees_annuelles!AA9*Donnees_annuelles!AI9/Donnees_annuelles!AG9</f>
        <v/>
      </c>
      <c r="S381" s="114">
        <f>P381/Donnees_annuelles!AA9*Donnees_annuelles!AJ9/Donnees_annuelles!AH9</f>
        <v/>
      </c>
    </row>
    <row r="382">
      <c r="A382" s="84" t="inlineStr">
        <is>
          <t>Fonction publique territoriale et hospitalière</t>
        </is>
      </c>
      <c r="B382" s="88" t="n">
        <v>1952</v>
      </c>
      <c r="C382" s="93" t="n">
        <v>0.1</v>
      </c>
      <c r="D382" s="93" t="n">
        <v>0.06</v>
      </c>
      <c r="E382" s="93" t="n">
        <v>0.18</v>
      </c>
      <c r="F382" s="7" t="inlineStr">
        <is>
          <t>légal</t>
        </is>
      </c>
      <c r="G382" s="93" t="n">
        <v>0</v>
      </c>
      <c r="H382" s="93" t="n">
        <v>0</v>
      </c>
      <c r="I382" s="93" t="n">
        <v>0</v>
      </c>
      <c r="J382" s="94">
        <f>D382*(1-C382)+G382*MIN(C382,0.2*(1-C382))+H382</f>
        <v/>
      </c>
      <c r="K382" s="94">
        <f>E382*(1-C382)+G382*MIN(C382,0.2*(1-C382))</f>
        <v/>
      </c>
      <c r="L382" s="94">
        <f>I382*(1-C382)</f>
        <v/>
      </c>
      <c r="M382" s="89">
        <f>SUMIFS(Regimes!$G$5:$G$10,Regimes!$A$5:$A$10,A382)*(1-C382)/(1-0.24167)</f>
        <v/>
      </c>
      <c r="N382" s="14">
        <f>Donnees_annuelles!D10*J382</f>
        <v/>
      </c>
      <c r="O382" s="14">
        <f>Donnees_annuelles!D10*K382</f>
        <v/>
      </c>
      <c r="P382" s="14">
        <f>N382+O382</f>
        <v/>
      </c>
      <c r="Q382" s="14">
        <f>Donnees_annuelles!D10*L382</f>
        <v/>
      </c>
      <c r="R382" s="114">
        <f>P382/Donnees_annuelles!AA10*Donnees_annuelles!AI10/Donnees_annuelles!AG10</f>
        <v/>
      </c>
      <c r="S382" s="114">
        <f>P382/Donnees_annuelles!AA10*Donnees_annuelles!AJ10/Donnees_annuelles!AH10</f>
        <v/>
      </c>
    </row>
    <row r="383">
      <c r="A383" s="84" t="inlineStr">
        <is>
          <t>Fonction publique territoriale et hospitalière</t>
        </is>
      </c>
      <c r="B383" s="88" t="n">
        <v>1953</v>
      </c>
      <c r="C383" s="93" t="n">
        <v>0.1</v>
      </c>
      <c r="D383" s="93" t="n">
        <v>0.06</v>
      </c>
      <c r="E383" s="93" t="n">
        <v>0.18</v>
      </c>
      <c r="F383" s="7" t="inlineStr">
        <is>
          <t>légal</t>
        </is>
      </c>
      <c r="G383" s="93" t="n">
        <v>0</v>
      </c>
      <c r="H383" s="93" t="n">
        <v>0</v>
      </c>
      <c r="I383" s="93" t="n">
        <v>0</v>
      </c>
      <c r="J383" s="94">
        <f>D383*(1-C383)+G383*MIN(C383,0.2*(1-C383))+H383</f>
        <v/>
      </c>
      <c r="K383" s="94">
        <f>E383*(1-C383)+G383*MIN(C383,0.2*(1-C383))</f>
        <v/>
      </c>
      <c r="L383" s="94">
        <f>I383*(1-C383)</f>
        <v/>
      </c>
      <c r="M383" s="89">
        <f>SUMIFS(Regimes!$G$5:$G$10,Regimes!$A$5:$A$10,A383)*(1-C383)/(1-0.24167)</f>
        <v/>
      </c>
      <c r="N383" s="14">
        <f>Donnees_annuelles!D11*J383</f>
        <v/>
      </c>
      <c r="O383" s="14">
        <f>Donnees_annuelles!D11*K383</f>
        <v/>
      </c>
      <c r="P383" s="14">
        <f>N383+O383</f>
        <v/>
      </c>
      <c r="Q383" s="14">
        <f>Donnees_annuelles!D11*L383</f>
        <v/>
      </c>
      <c r="R383" s="114">
        <f>P383/Donnees_annuelles!AA11*Donnees_annuelles!AI11/Donnees_annuelles!AG11</f>
        <v/>
      </c>
      <c r="S383" s="114">
        <f>P383/Donnees_annuelles!AA11*Donnees_annuelles!AJ11/Donnees_annuelles!AH11</f>
        <v/>
      </c>
    </row>
    <row r="384">
      <c r="A384" s="84" t="inlineStr">
        <is>
          <t>Fonction publique territoriale et hospitalière</t>
        </is>
      </c>
      <c r="B384" s="88" t="n">
        <v>1954</v>
      </c>
      <c r="C384" s="93" t="n">
        <v>0.1</v>
      </c>
      <c r="D384" s="93" t="n">
        <v>0.06</v>
      </c>
      <c r="E384" s="93" t="n">
        <v>0.2026</v>
      </c>
      <c r="F384" s="7" t="inlineStr">
        <is>
          <t>légal</t>
        </is>
      </c>
      <c r="G384" s="93" t="n">
        <v>0</v>
      </c>
      <c r="H384" s="93" t="n">
        <v>0</v>
      </c>
      <c r="I384" s="93" t="n">
        <v>0</v>
      </c>
      <c r="J384" s="94">
        <f>D384*(1-C384)+G384*MIN(C384,0.2*(1-C384))+H384</f>
        <v/>
      </c>
      <c r="K384" s="94">
        <f>E384*(1-C384)+G384*MIN(C384,0.2*(1-C384))</f>
        <v/>
      </c>
      <c r="L384" s="94">
        <f>I384*(1-C384)</f>
        <v/>
      </c>
      <c r="M384" s="89">
        <f>SUMIFS(Regimes!$G$5:$G$10,Regimes!$A$5:$A$10,A384)*(1-C384)/(1-0.24167)</f>
        <v/>
      </c>
      <c r="N384" s="14">
        <f>Donnees_annuelles!D12*J384</f>
        <v/>
      </c>
      <c r="O384" s="14">
        <f>Donnees_annuelles!D12*K384</f>
        <v/>
      </c>
      <c r="P384" s="14">
        <f>N384+O384</f>
        <v/>
      </c>
      <c r="Q384" s="14">
        <f>Donnees_annuelles!D12*L384</f>
        <v/>
      </c>
      <c r="R384" s="114">
        <f>P384/Donnees_annuelles!AA12*Donnees_annuelles!AI12/Donnees_annuelles!AG12</f>
        <v/>
      </c>
      <c r="S384" s="114">
        <f>P384/Donnees_annuelles!AA12*Donnees_annuelles!AJ12/Donnees_annuelles!AH12</f>
        <v/>
      </c>
    </row>
    <row r="385">
      <c r="A385" s="84" t="inlineStr">
        <is>
          <t>Fonction publique territoriale et hospitalière</t>
        </is>
      </c>
      <c r="B385" s="88" t="n">
        <v>1955</v>
      </c>
      <c r="C385" s="93" t="n">
        <v>0.1</v>
      </c>
      <c r="D385" s="93" t="n">
        <v>0.06</v>
      </c>
      <c r="E385" s="93" t="n">
        <v>0.1874</v>
      </c>
      <c r="F385" s="7" t="inlineStr">
        <is>
          <t>légal</t>
        </is>
      </c>
      <c r="G385" s="93" t="n">
        <v>0</v>
      </c>
      <c r="H385" s="93" t="n">
        <v>0</v>
      </c>
      <c r="I385" s="93" t="n">
        <v>0</v>
      </c>
      <c r="J385" s="94">
        <f>D385*(1-C385)+G385*MIN(C385,0.2*(1-C385))+H385</f>
        <v/>
      </c>
      <c r="K385" s="94">
        <f>E385*(1-C385)+G385*MIN(C385,0.2*(1-C385))</f>
        <v/>
      </c>
      <c r="L385" s="94">
        <f>I385*(1-C385)</f>
        <v/>
      </c>
      <c r="M385" s="89">
        <f>SUMIFS(Regimes!$G$5:$G$10,Regimes!$A$5:$A$10,A385)*(1-C385)/(1-0.24167)</f>
        <v/>
      </c>
      <c r="N385" s="14">
        <f>Donnees_annuelles!D13*J385</f>
        <v/>
      </c>
      <c r="O385" s="14">
        <f>Donnees_annuelles!D13*K385</f>
        <v/>
      </c>
      <c r="P385" s="14">
        <f>N385+O385</f>
        <v/>
      </c>
      <c r="Q385" s="14">
        <f>Donnees_annuelles!D13*L385</f>
        <v/>
      </c>
      <c r="R385" s="114">
        <f>P385/Donnees_annuelles!AA13*Donnees_annuelles!AI13/Donnees_annuelles!AG13</f>
        <v/>
      </c>
      <c r="S385" s="114">
        <f>P385/Donnees_annuelles!AA13*Donnees_annuelles!AJ13/Donnees_annuelles!AH13</f>
        <v/>
      </c>
    </row>
    <row r="386">
      <c r="A386" s="84" t="inlineStr">
        <is>
          <t>Fonction publique territoriale et hospitalière</t>
        </is>
      </c>
      <c r="B386" s="88" t="n">
        <v>1956</v>
      </c>
      <c r="C386" s="93" t="n">
        <v>0.1</v>
      </c>
      <c r="D386" s="93" t="n">
        <v>0.06</v>
      </c>
      <c r="E386" s="93" t="n">
        <v>0.18</v>
      </c>
      <c r="F386" s="7" t="inlineStr">
        <is>
          <t>légal</t>
        </is>
      </c>
      <c r="G386" s="93" t="n">
        <v>0</v>
      </c>
      <c r="H386" s="93" t="n">
        <v>0</v>
      </c>
      <c r="I386" s="93" t="n">
        <v>0</v>
      </c>
      <c r="J386" s="94">
        <f>D386*(1-C386)+G386*MIN(C386,0.2*(1-C386))+H386</f>
        <v/>
      </c>
      <c r="K386" s="94">
        <f>E386*(1-C386)+G386*MIN(C386,0.2*(1-C386))</f>
        <v/>
      </c>
      <c r="L386" s="94">
        <f>I386*(1-C386)</f>
        <v/>
      </c>
      <c r="M386" s="89">
        <f>SUMIFS(Regimes!$G$5:$G$10,Regimes!$A$5:$A$10,A386)*(1-C386)/(1-0.24167)</f>
        <v/>
      </c>
      <c r="N386" s="14">
        <f>Donnees_annuelles!D14*J386</f>
        <v/>
      </c>
      <c r="O386" s="14">
        <f>Donnees_annuelles!D14*K386</f>
        <v/>
      </c>
      <c r="P386" s="14">
        <f>N386+O386</f>
        <v/>
      </c>
      <c r="Q386" s="14">
        <f>Donnees_annuelles!D14*L386</f>
        <v/>
      </c>
      <c r="R386" s="114">
        <f>P386/Donnees_annuelles!AA14*Donnees_annuelles!AI14/Donnees_annuelles!AG14</f>
        <v/>
      </c>
      <c r="S386" s="114">
        <f>P386/Donnees_annuelles!AA14*Donnees_annuelles!AJ14/Donnees_annuelles!AH14</f>
        <v/>
      </c>
    </row>
    <row r="387">
      <c r="A387" s="84" t="inlineStr">
        <is>
          <t>Fonction publique territoriale et hospitalière</t>
        </is>
      </c>
      <c r="B387" s="88" t="n">
        <v>1957</v>
      </c>
      <c r="C387" s="93" t="n">
        <v>0.1</v>
      </c>
      <c r="D387" s="93" t="n">
        <v>0.06</v>
      </c>
      <c r="E387" s="93" t="n">
        <v>0.18</v>
      </c>
      <c r="F387" s="7" t="inlineStr">
        <is>
          <t>légal</t>
        </is>
      </c>
      <c r="G387" s="93" t="n">
        <v>0</v>
      </c>
      <c r="H387" s="93" t="n">
        <v>0</v>
      </c>
      <c r="I387" s="93" t="n">
        <v>0</v>
      </c>
      <c r="J387" s="94">
        <f>D387*(1-C387)+G387*MIN(C387,0.2*(1-C387))+H387</f>
        <v/>
      </c>
      <c r="K387" s="94">
        <f>E387*(1-C387)+G387*MIN(C387,0.2*(1-C387))</f>
        <v/>
      </c>
      <c r="L387" s="94">
        <f>I387*(1-C387)</f>
        <v/>
      </c>
      <c r="M387" s="89">
        <f>SUMIFS(Regimes!$G$5:$G$10,Regimes!$A$5:$A$10,A387)*(1-C387)/(1-0.24167)</f>
        <v/>
      </c>
      <c r="N387" s="14">
        <f>Donnees_annuelles!D15*J387</f>
        <v/>
      </c>
      <c r="O387" s="14">
        <f>Donnees_annuelles!D15*K387</f>
        <v/>
      </c>
      <c r="P387" s="14">
        <f>N387+O387</f>
        <v/>
      </c>
      <c r="Q387" s="14">
        <f>Donnees_annuelles!D15*L387</f>
        <v/>
      </c>
      <c r="R387" s="114">
        <f>P387/Donnees_annuelles!AA15*Donnees_annuelles!AI15/Donnees_annuelles!AG15</f>
        <v/>
      </c>
      <c r="S387" s="114">
        <f>P387/Donnees_annuelles!AA15*Donnees_annuelles!AJ15/Donnees_annuelles!AH15</f>
        <v/>
      </c>
    </row>
    <row r="388">
      <c r="A388" s="84" t="inlineStr">
        <is>
          <t>Fonction publique territoriale et hospitalière</t>
        </is>
      </c>
      <c r="B388" s="88" t="n">
        <v>1958</v>
      </c>
      <c r="C388" s="93" t="n">
        <v>0.1</v>
      </c>
      <c r="D388" s="93" t="n">
        <v>0.06</v>
      </c>
      <c r="E388" s="93" t="n">
        <v>0.18</v>
      </c>
      <c r="F388" s="7" t="inlineStr">
        <is>
          <t>légal</t>
        </is>
      </c>
      <c r="G388" s="93" t="n">
        <v>0</v>
      </c>
      <c r="H388" s="93" t="n">
        <v>0</v>
      </c>
      <c r="I388" s="93" t="n">
        <v>0</v>
      </c>
      <c r="J388" s="94">
        <f>D388*(1-C388)+G388*MIN(C388,0.2*(1-C388))+H388</f>
        <v/>
      </c>
      <c r="K388" s="94">
        <f>E388*(1-C388)+G388*MIN(C388,0.2*(1-C388))</f>
        <v/>
      </c>
      <c r="L388" s="94">
        <f>I388*(1-C388)</f>
        <v/>
      </c>
      <c r="M388" s="89">
        <f>SUMIFS(Regimes!$G$5:$G$10,Regimes!$A$5:$A$10,A388)*(1-C388)/(1-0.24167)</f>
        <v/>
      </c>
      <c r="N388" s="14">
        <f>Donnees_annuelles!D16*J388</f>
        <v/>
      </c>
      <c r="O388" s="14">
        <f>Donnees_annuelles!D16*K388</f>
        <v/>
      </c>
      <c r="P388" s="14">
        <f>N388+O388</f>
        <v/>
      </c>
      <c r="Q388" s="14">
        <f>Donnees_annuelles!D16*L388</f>
        <v/>
      </c>
      <c r="R388" s="114">
        <f>P388/Donnees_annuelles!AA16*Donnees_annuelles!AI16/Donnees_annuelles!AG16</f>
        <v/>
      </c>
      <c r="S388" s="114">
        <f>P388/Donnees_annuelles!AA16*Donnees_annuelles!AJ16/Donnees_annuelles!AH16</f>
        <v/>
      </c>
    </row>
    <row r="389">
      <c r="A389" s="84" t="inlineStr">
        <is>
          <t>Fonction publique territoriale et hospitalière</t>
        </is>
      </c>
      <c r="B389" s="88" t="n">
        <v>1959</v>
      </c>
      <c r="C389" s="93" t="n">
        <v>0.1</v>
      </c>
      <c r="D389" s="93" t="n">
        <v>0.06</v>
      </c>
      <c r="E389" s="93" t="n">
        <v>0.18</v>
      </c>
      <c r="F389" s="7" t="inlineStr">
        <is>
          <t>légal</t>
        </is>
      </c>
      <c r="G389" s="93" t="n">
        <v>0</v>
      </c>
      <c r="H389" s="93" t="n">
        <v>0</v>
      </c>
      <c r="I389" s="93" t="n">
        <v>0</v>
      </c>
      <c r="J389" s="94">
        <f>D389*(1-C389)+G389*MIN(C389,0.2*(1-C389))+H389</f>
        <v/>
      </c>
      <c r="K389" s="94">
        <f>E389*(1-C389)+G389*MIN(C389,0.2*(1-C389))</f>
        <v/>
      </c>
      <c r="L389" s="94">
        <f>I389*(1-C389)</f>
        <v/>
      </c>
      <c r="M389" s="89">
        <f>SUMIFS(Regimes!$G$5:$G$10,Regimes!$A$5:$A$10,A389)*(1-C389)/(1-0.24167)</f>
        <v/>
      </c>
      <c r="N389" s="14">
        <f>Donnees_annuelles!D17*J389</f>
        <v/>
      </c>
      <c r="O389" s="14">
        <f>Donnees_annuelles!D17*K389</f>
        <v/>
      </c>
      <c r="P389" s="14">
        <f>N389+O389</f>
        <v/>
      </c>
      <c r="Q389" s="14">
        <f>Donnees_annuelles!D17*L389</f>
        <v/>
      </c>
      <c r="R389" s="114">
        <f>P389/Donnees_annuelles!AA17*Donnees_annuelles!AI17/Donnees_annuelles!AG17</f>
        <v/>
      </c>
      <c r="S389" s="114">
        <f>P389/Donnees_annuelles!AA17*Donnees_annuelles!AJ17/Donnees_annuelles!AH17</f>
        <v/>
      </c>
    </row>
    <row r="390">
      <c r="A390" s="84" t="inlineStr">
        <is>
          <t>Fonction publique territoriale et hospitalière</t>
        </is>
      </c>
      <c r="B390" s="88" t="n">
        <v>1960</v>
      </c>
      <c r="C390" s="93" t="n">
        <v>0.1</v>
      </c>
      <c r="D390" s="93" t="n">
        <v>0.06</v>
      </c>
      <c r="E390" s="93" t="n">
        <v>0.18</v>
      </c>
      <c r="F390" s="7" t="inlineStr">
        <is>
          <t>légal</t>
        </is>
      </c>
      <c r="G390" s="93" t="n">
        <v>0</v>
      </c>
      <c r="H390" s="93" t="n">
        <v>0</v>
      </c>
      <c r="I390" s="93" t="n">
        <v>0</v>
      </c>
      <c r="J390" s="94">
        <f>D390*(1-C390)+G390*MIN(C390,0.2*(1-C390))+H390</f>
        <v/>
      </c>
      <c r="K390" s="94">
        <f>E390*(1-C390)+G390*MIN(C390,0.2*(1-C390))</f>
        <v/>
      </c>
      <c r="L390" s="94">
        <f>I390*(1-C390)</f>
        <v/>
      </c>
      <c r="M390" s="89">
        <f>SUMIFS(Regimes!$G$5:$G$10,Regimes!$A$5:$A$10,A390)*(1-C390)/(1-0.24167)</f>
        <v/>
      </c>
      <c r="N390" s="14">
        <f>Donnees_annuelles!D18*J390</f>
        <v/>
      </c>
      <c r="O390" s="14">
        <f>Donnees_annuelles!D18*K390</f>
        <v/>
      </c>
      <c r="P390" s="14">
        <f>N390+O390</f>
        <v/>
      </c>
      <c r="Q390" s="14">
        <f>Donnees_annuelles!D18*L390</f>
        <v/>
      </c>
      <c r="R390" s="114">
        <f>P390/Donnees_annuelles!AA18*Donnees_annuelles!AI18/Donnees_annuelles!AG18</f>
        <v/>
      </c>
      <c r="S390" s="114">
        <f>P390/Donnees_annuelles!AA18*Donnees_annuelles!AJ18/Donnees_annuelles!AH18</f>
        <v/>
      </c>
    </row>
    <row r="391">
      <c r="A391" s="84" t="inlineStr">
        <is>
          <t>Fonction publique territoriale et hospitalière</t>
        </is>
      </c>
      <c r="B391" s="88" t="n">
        <v>1961</v>
      </c>
      <c r="C391" s="93" t="n">
        <v>0.1</v>
      </c>
      <c r="D391" s="93" t="n">
        <v>0.06</v>
      </c>
      <c r="E391" s="93" t="n">
        <v>0.2</v>
      </c>
      <c r="F391" s="7" t="inlineStr">
        <is>
          <t>légal</t>
        </is>
      </c>
      <c r="G391" s="93" t="n">
        <v>0</v>
      </c>
      <c r="H391" s="93" t="n">
        <v>0</v>
      </c>
      <c r="I391" s="93" t="n">
        <v>0</v>
      </c>
      <c r="J391" s="94">
        <f>D391*(1-C391)+G391*MIN(C391,0.2*(1-C391))+H391</f>
        <v/>
      </c>
      <c r="K391" s="94">
        <f>E391*(1-C391)+G391*MIN(C391,0.2*(1-C391))</f>
        <v/>
      </c>
      <c r="L391" s="94">
        <f>I391*(1-C391)</f>
        <v/>
      </c>
      <c r="M391" s="89">
        <f>SUMIFS(Regimes!$G$5:$G$10,Regimes!$A$5:$A$10,A391)*(1-C391)/(1-0.24167)</f>
        <v/>
      </c>
      <c r="N391" s="14">
        <f>Donnees_annuelles!D19*J391</f>
        <v/>
      </c>
      <c r="O391" s="14">
        <f>Donnees_annuelles!D19*K391</f>
        <v/>
      </c>
      <c r="P391" s="14">
        <f>N391+O391</f>
        <v/>
      </c>
      <c r="Q391" s="14">
        <f>Donnees_annuelles!D19*L391</f>
        <v/>
      </c>
      <c r="R391" s="114">
        <f>P391/Donnees_annuelles!AA19*Donnees_annuelles!AI19/Donnees_annuelles!AG19</f>
        <v/>
      </c>
      <c r="S391" s="114">
        <f>P391/Donnees_annuelles!AA19*Donnees_annuelles!AJ19/Donnees_annuelles!AH19</f>
        <v/>
      </c>
    </row>
    <row r="392">
      <c r="A392" s="84" t="inlineStr">
        <is>
          <t>Fonction publique territoriale et hospitalière</t>
        </is>
      </c>
      <c r="B392" s="88" t="n">
        <v>1962</v>
      </c>
      <c r="C392" s="93" t="n">
        <v>0.1</v>
      </c>
      <c r="D392" s="93" t="n">
        <v>0.06</v>
      </c>
      <c r="E392" s="93" t="n">
        <v>0.18</v>
      </c>
      <c r="F392" s="7" t="inlineStr">
        <is>
          <t>légal</t>
        </is>
      </c>
      <c r="G392" s="93" t="n">
        <v>0</v>
      </c>
      <c r="H392" s="93" t="n">
        <v>0</v>
      </c>
      <c r="I392" s="93" t="n">
        <v>0</v>
      </c>
      <c r="J392" s="94">
        <f>D392*(1-C392)+G392*MIN(C392,0.2*(1-C392))+H392</f>
        <v/>
      </c>
      <c r="K392" s="94">
        <f>E392*(1-C392)+G392*MIN(C392,0.2*(1-C392))</f>
        <v/>
      </c>
      <c r="L392" s="94">
        <f>I392*(1-C392)</f>
        <v/>
      </c>
      <c r="M392" s="89">
        <f>SUMIFS(Regimes!$G$5:$G$10,Regimes!$A$5:$A$10,A392)*(1-C392)/(1-0.24167)</f>
        <v/>
      </c>
      <c r="N392" s="14">
        <f>Donnees_annuelles!D20*J392</f>
        <v/>
      </c>
      <c r="O392" s="14">
        <f>Donnees_annuelles!D20*K392</f>
        <v/>
      </c>
      <c r="P392" s="14">
        <f>N392+O392</f>
        <v/>
      </c>
      <c r="Q392" s="14">
        <f>Donnees_annuelles!D20*L392</f>
        <v/>
      </c>
      <c r="R392" s="114">
        <f>P392/Donnees_annuelles!AA20*Donnees_annuelles!AI20/Donnees_annuelles!AG20</f>
        <v/>
      </c>
      <c r="S392" s="114">
        <f>P392/Donnees_annuelles!AA20*Donnees_annuelles!AJ20/Donnees_annuelles!AH20</f>
        <v/>
      </c>
    </row>
    <row r="393">
      <c r="A393" s="84" t="inlineStr">
        <is>
          <t>Fonction publique territoriale et hospitalière</t>
        </is>
      </c>
      <c r="B393" s="88" t="n">
        <v>1963</v>
      </c>
      <c r="C393" s="93" t="n">
        <v>0.1</v>
      </c>
      <c r="D393" s="93" t="n">
        <v>0.06</v>
      </c>
      <c r="E393" s="93" t="n">
        <v>0.18</v>
      </c>
      <c r="F393" s="7" t="inlineStr">
        <is>
          <t>légal</t>
        </is>
      </c>
      <c r="G393" s="93" t="n">
        <v>0</v>
      </c>
      <c r="H393" s="93" t="n">
        <v>0</v>
      </c>
      <c r="I393" s="93" t="n">
        <v>0</v>
      </c>
      <c r="J393" s="94">
        <f>D393*(1-C393)+G393*MIN(C393,0.2*(1-C393))+H393</f>
        <v/>
      </c>
      <c r="K393" s="94">
        <f>E393*(1-C393)+G393*MIN(C393,0.2*(1-C393))</f>
        <v/>
      </c>
      <c r="L393" s="94">
        <f>I393*(1-C393)</f>
        <v/>
      </c>
      <c r="M393" s="89">
        <f>SUMIFS(Regimes!$G$5:$G$10,Regimes!$A$5:$A$10,A393)*(1-C393)/(1-0.24167)</f>
        <v/>
      </c>
      <c r="N393" s="14">
        <f>Donnees_annuelles!D21*J393</f>
        <v/>
      </c>
      <c r="O393" s="14">
        <f>Donnees_annuelles!D21*K393</f>
        <v/>
      </c>
      <c r="P393" s="14">
        <f>N393+O393</f>
        <v/>
      </c>
      <c r="Q393" s="14">
        <f>Donnees_annuelles!D21*L393</f>
        <v/>
      </c>
      <c r="R393" s="114">
        <f>P393/Donnees_annuelles!AA21*Donnees_annuelles!AI21/Donnees_annuelles!AG21</f>
        <v/>
      </c>
      <c r="S393" s="114">
        <f>P393/Donnees_annuelles!AA21*Donnees_annuelles!AJ21/Donnees_annuelles!AH21</f>
        <v/>
      </c>
    </row>
    <row r="394">
      <c r="A394" s="84" t="inlineStr">
        <is>
          <t>Fonction publique territoriale et hospitalière</t>
        </is>
      </c>
      <c r="B394" s="88" t="n">
        <v>1964</v>
      </c>
      <c r="C394" s="93" t="n">
        <v>0.1</v>
      </c>
      <c r="D394" s="93" t="n">
        <v>0.06</v>
      </c>
      <c r="E394" s="93" t="n">
        <v>0.18</v>
      </c>
      <c r="F394" s="7" t="inlineStr">
        <is>
          <t>légal</t>
        </is>
      </c>
      <c r="G394" s="93" t="n">
        <v>0</v>
      </c>
      <c r="H394" s="93" t="n">
        <v>0</v>
      </c>
      <c r="I394" s="93" t="n">
        <v>0</v>
      </c>
      <c r="J394" s="94">
        <f>D394*(1-C394)+G394*MIN(C394,0.2*(1-C394))+H394</f>
        <v/>
      </c>
      <c r="K394" s="94">
        <f>E394*(1-C394)+G394*MIN(C394,0.2*(1-C394))</f>
        <v/>
      </c>
      <c r="L394" s="94">
        <f>I394*(1-C394)</f>
        <v/>
      </c>
      <c r="M394" s="89">
        <f>SUMIFS(Regimes!$G$5:$G$10,Regimes!$A$5:$A$10,A394)*(1-C394)/(1-0.24167)</f>
        <v/>
      </c>
      <c r="N394" s="14">
        <f>Donnees_annuelles!D22*J394</f>
        <v/>
      </c>
      <c r="O394" s="14">
        <f>Donnees_annuelles!D22*K394</f>
        <v/>
      </c>
      <c r="P394" s="14">
        <f>N394+O394</f>
        <v/>
      </c>
      <c r="Q394" s="14">
        <f>Donnees_annuelles!D22*L394</f>
        <v/>
      </c>
      <c r="R394" s="114">
        <f>P394/Donnees_annuelles!AA22*Donnees_annuelles!AI22/Donnees_annuelles!AG22</f>
        <v/>
      </c>
      <c r="S394" s="114">
        <f>P394/Donnees_annuelles!AA22*Donnees_annuelles!AJ22/Donnees_annuelles!AH22</f>
        <v/>
      </c>
    </row>
    <row r="395">
      <c r="A395" s="84" t="inlineStr">
        <is>
          <t>Fonction publique territoriale et hospitalière</t>
        </is>
      </c>
      <c r="B395" s="88" t="n">
        <v>1965</v>
      </c>
      <c r="C395" s="93" t="n">
        <v>0.1</v>
      </c>
      <c r="D395" s="93" t="n">
        <v>0.06</v>
      </c>
      <c r="E395" s="93" t="n">
        <v>0.18</v>
      </c>
      <c r="F395" s="7" t="inlineStr">
        <is>
          <t>légal</t>
        </is>
      </c>
      <c r="G395" s="93" t="n">
        <v>0</v>
      </c>
      <c r="H395" s="93" t="n">
        <v>0</v>
      </c>
      <c r="I395" s="93" t="n">
        <v>0</v>
      </c>
      <c r="J395" s="94">
        <f>D395*(1-C395)+G395*MIN(C395,0.2*(1-C395))+H395</f>
        <v/>
      </c>
      <c r="K395" s="94">
        <f>E395*(1-C395)+G395*MIN(C395,0.2*(1-C395))</f>
        <v/>
      </c>
      <c r="L395" s="94">
        <f>I395*(1-C395)</f>
        <v/>
      </c>
      <c r="M395" s="89">
        <f>SUMIFS(Regimes!$G$5:$G$10,Regimes!$A$5:$A$10,A395)*(1-C395)/(1-0.24167)</f>
        <v/>
      </c>
      <c r="N395" s="14">
        <f>Donnees_annuelles!D23*J395</f>
        <v/>
      </c>
      <c r="O395" s="14">
        <f>Donnees_annuelles!D23*K395</f>
        <v/>
      </c>
      <c r="P395" s="14">
        <f>N395+O395</f>
        <v/>
      </c>
      <c r="Q395" s="14">
        <f>Donnees_annuelles!D23*L395</f>
        <v/>
      </c>
      <c r="R395" s="114">
        <f>P395/Donnees_annuelles!AA23*Donnees_annuelles!AI23/Donnees_annuelles!AG23</f>
        <v/>
      </c>
      <c r="S395" s="114">
        <f>P395/Donnees_annuelles!AA23*Donnees_annuelles!AJ23/Donnees_annuelles!AH23</f>
        <v/>
      </c>
    </row>
    <row r="396">
      <c r="A396" s="84" t="inlineStr">
        <is>
          <t>Fonction publique territoriale et hospitalière</t>
        </is>
      </c>
      <c r="B396" s="88" t="n">
        <v>1966</v>
      </c>
      <c r="C396" s="93" t="n">
        <v>0.1</v>
      </c>
      <c r="D396" s="93" t="n">
        <v>0.06</v>
      </c>
      <c r="E396" s="93" t="n">
        <v>0.18</v>
      </c>
      <c r="F396" s="7" t="inlineStr">
        <is>
          <t>légal</t>
        </is>
      </c>
      <c r="G396" s="93" t="n">
        <v>0</v>
      </c>
      <c r="H396" s="93" t="n">
        <v>0</v>
      </c>
      <c r="I396" s="93" t="n">
        <v>0</v>
      </c>
      <c r="J396" s="94">
        <f>D396*(1-C396)+G396*MIN(C396,0.2*(1-C396))+H396</f>
        <v/>
      </c>
      <c r="K396" s="94">
        <f>E396*(1-C396)+G396*MIN(C396,0.2*(1-C396))</f>
        <v/>
      </c>
      <c r="L396" s="94">
        <f>I396*(1-C396)</f>
        <v/>
      </c>
      <c r="M396" s="89">
        <f>SUMIFS(Regimes!$G$5:$G$10,Regimes!$A$5:$A$10,A396)*(1-C396)/(1-0.24167)</f>
        <v/>
      </c>
      <c r="N396" s="14">
        <f>Donnees_annuelles!D24*J396</f>
        <v/>
      </c>
      <c r="O396" s="14">
        <f>Donnees_annuelles!D24*K396</f>
        <v/>
      </c>
      <c r="P396" s="14">
        <f>N396+O396</f>
        <v/>
      </c>
      <c r="Q396" s="14">
        <f>Donnees_annuelles!D24*L396</f>
        <v/>
      </c>
      <c r="R396" s="114">
        <f>P396/Donnees_annuelles!AA24*Donnees_annuelles!AI24/Donnees_annuelles!AG24</f>
        <v/>
      </c>
      <c r="S396" s="114">
        <f>P396/Donnees_annuelles!AA24*Donnees_annuelles!AJ24/Donnees_annuelles!AH24</f>
        <v/>
      </c>
    </row>
    <row r="397">
      <c r="A397" s="84" t="inlineStr">
        <is>
          <t>Fonction publique territoriale et hospitalière</t>
        </is>
      </c>
      <c r="B397" s="88" t="n">
        <v>1967</v>
      </c>
      <c r="C397" s="93" t="n">
        <v>0.1</v>
      </c>
      <c r="D397" s="93" t="n">
        <v>0.06</v>
      </c>
      <c r="E397" s="93" t="n">
        <v>0.18</v>
      </c>
      <c r="F397" s="7" t="inlineStr">
        <is>
          <t>légal</t>
        </is>
      </c>
      <c r="G397" s="93" t="n">
        <v>0</v>
      </c>
      <c r="H397" s="93" t="n">
        <v>0</v>
      </c>
      <c r="I397" s="93" t="n">
        <v>0</v>
      </c>
      <c r="J397" s="94">
        <f>D397*(1-C397)+G397*MIN(C397,0.2*(1-C397))+H397</f>
        <v/>
      </c>
      <c r="K397" s="94">
        <f>E397*(1-C397)+G397*MIN(C397,0.2*(1-C397))</f>
        <v/>
      </c>
      <c r="L397" s="94">
        <f>I397*(1-C397)</f>
        <v/>
      </c>
      <c r="M397" s="89">
        <f>SUMIFS(Regimes!$G$5:$G$10,Regimes!$A$5:$A$10,A397)*(1-C397)/(1-0.24167)</f>
        <v/>
      </c>
      <c r="N397" s="14">
        <f>Donnees_annuelles!D25*J397</f>
        <v/>
      </c>
      <c r="O397" s="14">
        <f>Donnees_annuelles!D25*K397</f>
        <v/>
      </c>
      <c r="P397" s="14">
        <f>N397+O397</f>
        <v/>
      </c>
      <c r="Q397" s="14">
        <f>Donnees_annuelles!D25*L397</f>
        <v/>
      </c>
      <c r="R397" s="114">
        <f>P397/Donnees_annuelles!AA25*Donnees_annuelles!AI25/Donnees_annuelles!AG25</f>
        <v/>
      </c>
      <c r="S397" s="114">
        <f>P397/Donnees_annuelles!AA25*Donnees_annuelles!AJ25/Donnees_annuelles!AH25</f>
        <v/>
      </c>
    </row>
    <row r="398">
      <c r="A398" s="84" t="inlineStr">
        <is>
          <t>Fonction publique territoriale et hospitalière</t>
        </is>
      </c>
      <c r="B398" s="88" t="n">
        <v>1968</v>
      </c>
      <c r="C398" s="93" t="n">
        <v>0.1</v>
      </c>
      <c r="D398" s="93" t="n">
        <v>0.06</v>
      </c>
      <c r="E398" s="93" t="n">
        <v>0.18</v>
      </c>
      <c r="F398" s="7" t="inlineStr">
        <is>
          <t>légal</t>
        </is>
      </c>
      <c r="G398" s="93" t="n">
        <v>0</v>
      </c>
      <c r="H398" s="93" t="n">
        <v>0</v>
      </c>
      <c r="I398" s="93" t="n">
        <v>0</v>
      </c>
      <c r="J398" s="94">
        <f>D398*(1-C398)+G398*MIN(C398,0.2*(1-C398))+H398</f>
        <v/>
      </c>
      <c r="K398" s="94">
        <f>E398*(1-C398)+G398*MIN(C398,0.2*(1-C398))</f>
        <v/>
      </c>
      <c r="L398" s="94">
        <f>I398*(1-C398)</f>
        <v/>
      </c>
      <c r="M398" s="89">
        <f>SUMIFS(Regimes!$G$5:$G$10,Regimes!$A$5:$A$10,A398)*(1-C398)/(1-0.24167)</f>
        <v/>
      </c>
      <c r="N398" s="14">
        <f>Donnees_annuelles!D26*J398</f>
        <v/>
      </c>
      <c r="O398" s="14">
        <f>Donnees_annuelles!D26*K398</f>
        <v/>
      </c>
      <c r="P398" s="14">
        <f>N398+O398</f>
        <v/>
      </c>
      <c r="Q398" s="14">
        <f>Donnees_annuelles!D26*L398</f>
        <v/>
      </c>
      <c r="R398" s="114">
        <f>P398/Donnees_annuelles!AA26*Donnees_annuelles!AI26/Donnees_annuelles!AG26</f>
        <v/>
      </c>
      <c r="S398" s="114">
        <f>P398/Donnees_annuelles!AA26*Donnees_annuelles!AJ26/Donnees_annuelles!AH26</f>
        <v/>
      </c>
    </row>
    <row r="399">
      <c r="A399" s="84" t="inlineStr">
        <is>
          <t>Fonction publique territoriale et hospitalière</t>
        </is>
      </c>
      <c r="B399" s="88" t="n">
        <v>1969</v>
      </c>
      <c r="C399" s="93" t="n">
        <v>0.1</v>
      </c>
      <c r="D399" s="93" t="n">
        <v>0.06</v>
      </c>
      <c r="E399" s="93" t="n">
        <v>0.18</v>
      </c>
      <c r="F399" s="7" t="inlineStr">
        <is>
          <t>légal</t>
        </is>
      </c>
      <c r="G399" s="93" t="n">
        <v>0</v>
      </c>
      <c r="H399" s="93" t="n">
        <v>0</v>
      </c>
      <c r="I399" s="93" t="n">
        <v>0</v>
      </c>
      <c r="J399" s="94">
        <f>D399*(1-C399)+G399*MIN(C399,0.2*(1-C399))+H399</f>
        <v/>
      </c>
      <c r="K399" s="94">
        <f>E399*(1-C399)+G399*MIN(C399,0.2*(1-C399))</f>
        <v/>
      </c>
      <c r="L399" s="94">
        <f>I399*(1-C399)</f>
        <v/>
      </c>
      <c r="M399" s="89">
        <f>SUMIFS(Regimes!$G$5:$G$10,Regimes!$A$5:$A$10,A399)*(1-C399)/(1-0.24167)</f>
        <v/>
      </c>
      <c r="N399" s="14">
        <f>Donnees_annuelles!D27*J399</f>
        <v/>
      </c>
      <c r="O399" s="14">
        <f>Donnees_annuelles!D27*K399</f>
        <v/>
      </c>
      <c r="P399" s="14">
        <f>N399+O399</f>
        <v/>
      </c>
      <c r="Q399" s="14">
        <f>Donnees_annuelles!D27*L399</f>
        <v/>
      </c>
      <c r="R399" s="114">
        <f>P399/Donnees_annuelles!AA27*Donnees_annuelles!AI27/Donnees_annuelles!AG27</f>
        <v/>
      </c>
      <c r="S399" s="114">
        <f>P399/Donnees_annuelles!AA27*Donnees_annuelles!AJ27/Donnees_annuelles!AH27</f>
        <v/>
      </c>
    </row>
    <row r="400">
      <c r="A400" s="84" t="inlineStr">
        <is>
          <t>Fonction publique territoriale et hospitalière</t>
        </is>
      </c>
      <c r="B400" s="88" t="n">
        <v>1970</v>
      </c>
      <c r="C400" s="93" t="n">
        <v>0.1</v>
      </c>
      <c r="D400" s="93" t="n">
        <v>0.06</v>
      </c>
      <c r="E400" s="93" t="n">
        <v>0.18084</v>
      </c>
      <c r="F400" s="7" t="inlineStr">
        <is>
          <t>légal</t>
        </is>
      </c>
      <c r="G400" s="93" t="n">
        <v>0</v>
      </c>
      <c r="H400" s="93" t="n">
        <v>0</v>
      </c>
      <c r="I400" s="93" t="n">
        <v>0</v>
      </c>
      <c r="J400" s="94">
        <f>D400*(1-C400)+G400*MIN(C400,0.2*(1-C400))+H400</f>
        <v/>
      </c>
      <c r="K400" s="94">
        <f>E400*(1-C400)+G400*MIN(C400,0.2*(1-C400))</f>
        <v/>
      </c>
      <c r="L400" s="94">
        <f>I400*(1-C400)</f>
        <v/>
      </c>
      <c r="M400" s="89">
        <f>SUMIFS(Regimes!$G$5:$G$10,Regimes!$A$5:$A$10,A400)*(1-C400)/(1-0.24167)</f>
        <v/>
      </c>
      <c r="N400" s="14">
        <f>Donnees_annuelles!D28*J400</f>
        <v/>
      </c>
      <c r="O400" s="14">
        <f>Donnees_annuelles!D28*K400</f>
        <v/>
      </c>
      <c r="P400" s="14">
        <f>N400+O400</f>
        <v/>
      </c>
      <c r="Q400" s="14">
        <f>Donnees_annuelles!D28*L400</f>
        <v/>
      </c>
      <c r="R400" s="114">
        <f>P400/Donnees_annuelles!AA28*Donnees_annuelles!AI28/Donnees_annuelles!AG28</f>
        <v/>
      </c>
      <c r="S400" s="114">
        <f>P400/Donnees_annuelles!AA28*Donnees_annuelles!AJ28/Donnees_annuelles!AH28</f>
        <v/>
      </c>
    </row>
    <row r="401">
      <c r="A401" s="84" t="inlineStr">
        <is>
          <t>Fonction publique territoriale et hospitalière</t>
        </is>
      </c>
      <c r="B401" s="88" t="n">
        <v>1971</v>
      </c>
      <c r="C401" s="93" t="n">
        <v>0.1</v>
      </c>
      <c r="D401" s="93" t="n">
        <v>0.06</v>
      </c>
      <c r="E401" s="93" t="n">
        <v>0.182</v>
      </c>
      <c r="F401" s="7" t="inlineStr">
        <is>
          <t>légal</t>
        </is>
      </c>
      <c r="G401" s="93" t="n">
        <v>0</v>
      </c>
      <c r="H401" s="93" t="n">
        <v>0</v>
      </c>
      <c r="I401" s="93" t="n">
        <v>0</v>
      </c>
      <c r="J401" s="94">
        <f>D401*(1-C401)+G401*MIN(C401,0.2*(1-C401))+H401</f>
        <v/>
      </c>
      <c r="K401" s="94">
        <f>E401*(1-C401)+G401*MIN(C401,0.2*(1-C401))</f>
        <v/>
      </c>
      <c r="L401" s="94">
        <f>I401*(1-C401)</f>
        <v/>
      </c>
      <c r="M401" s="89">
        <f>SUMIFS(Regimes!$G$5:$G$10,Regimes!$A$5:$A$10,A401)*(1-C401)/(1-0.24167)</f>
        <v/>
      </c>
      <c r="N401" s="14">
        <f>Donnees_annuelles!D29*J401</f>
        <v/>
      </c>
      <c r="O401" s="14">
        <f>Donnees_annuelles!D29*K401</f>
        <v/>
      </c>
      <c r="P401" s="14">
        <f>N401+O401</f>
        <v/>
      </c>
      <c r="Q401" s="14">
        <f>Donnees_annuelles!D29*L401</f>
        <v/>
      </c>
      <c r="R401" s="114">
        <f>P401/Donnees_annuelles!AA29*Donnees_annuelles!AI29/Donnees_annuelles!AG29</f>
        <v/>
      </c>
      <c r="S401" s="114">
        <f>P401/Donnees_annuelles!AA29*Donnees_annuelles!AJ29/Donnees_annuelles!AH29</f>
        <v/>
      </c>
    </row>
    <row r="402">
      <c r="A402" s="84" t="inlineStr">
        <is>
          <t>Fonction publique territoriale et hospitalière</t>
        </is>
      </c>
      <c r="B402" s="88" t="n">
        <v>1972</v>
      </c>
      <c r="C402" s="93" t="n">
        <v>0.1</v>
      </c>
      <c r="D402" s="93" t="n">
        <v>0.06</v>
      </c>
      <c r="E402" s="93" t="n">
        <v>0.182</v>
      </c>
      <c r="F402" s="7" t="inlineStr">
        <is>
          <t>légal</t>
        </is>
      </c>
      <c r="G402" s="93" t="n">
        <v>0</v>
      </c>
      <c r="H402" s="93" t="n">
        <v>0</v>
      </c>
      <c r="I402" s="93" t="n">
        <v>0</v>
      </c>
      <c r="J402" s="94">
        <f>D402*(1-C402)+G402*MIN(C402,0.2*(1-C402))+H402</f>
        <v/>
      </c>
      <c r="K402" s="94">
        <f>E402*(1-C402)+G402*MIN(C402,0.2*(1-C402))</f>
        <v/>
      </c>
      <c r="L402" s="94">
        <f>I402*(1-C402)</f>
        <v/>
      </c>
      <c r="M402" s="89">
        <f>SUMIFS(Regimes!$G$5:$G$10,Regimes!$A$5:$A$10,A402)*(1-C402)/(1-0.24167)</f>
        <v/>
      </c>
      <c r="N402" s="14">
        <f>Donnees_annuelles!D30*J402</f>
        <v/>
      </c>
      <c r="O402" s="14">
        <f>Donnees_annuelles!D30*K402</f>
        <v/>
      </c>
      <c r="P402" s="14">
        <f>N402+O402</f>
        <v/>
      </c>
      <c r="Q402" s="14">
        <f>Donnees_annuelles!D30*L402</f>
        <v/>
      </c>
      <c r="R402" s="114">
        <f>P402/Donnees_annuelles!AA30*Donnees_annuelles!AI30/Donnees_annuelles!AG30</f>
        <v/>
      </c>
      <c r="S402" s="114">
        <f>P402/Donnees_annuelles!AA30*Donnees_annuelles!AJ30/Donnees_annuelles!AH30</f>
        <v/>
      </c>
    </row>
    <row r="403">
      <c r="A403" s="84" t="inlineStr">
        <is>
          <t>Fonction publique territoriale et hospitalière</t>
        </is>
      </c>
      <c r="B403" s="88" t="n">
        <v>1973</v>
      </c>
      <c r="C403" s="93" t="n">
        <v>0.1</v>
      </c>
      <c r="D403" s="93" t="n">
        <v>0.06</v>
      </c>
      <c r="E403" s="93" t="n">
        <v>0.182</v>
      </c>
      <c r="F403" s="7" t="inlineStr">
        <is>
          <t>légal</t>
        </is>
      </c>
      <c r="G403" s="93" t="n">
        <v>0</v>
      </c>
      <c r="H403" s="93" t="n">
        <v>0</v>
      </c>
      <c r="I403" s="93" t="n">
        <v>0</v>
      </c>
      <c r="J403" s="94">
        <f>D403*(1-C403)+G403*MIN(C403,0.2*(1-C403))+H403</f>
        <v/>
      </c>
      <c r="K403" s="94">
        <f>E403*(1-C403)+G403*MIN(C403,0.2*(1-C403))</f>
        <v/>
      </c>
      <c r="L403" s="94">
        <f>I403*(1-C403)</f>
        <v/>
      </c>
      <c r="M403" s="89">
        <f>SUMIFS(Regimes!$G$5:$G$10,Regimes!$A$5:$A$10,A403)*(1-C403)/(1-0.24167)</f>
        <v/>
      </c>
      <c r="N403" s="14">
        <f>Donnees_annuelles!D31*J403</f>
        <v/>
      </c>
      <c r="O403" s="14">
        <f>Donnees_annuelles!D31*K403</f>
        <v/>
      </c>
      <c r="P403" s="14">
        <f>N403+O403</f>
        <v/>
      </c>
      <c r="Q403" s="14">
        <f>Donnees_annuelles!D31*L403</f>
        <v/>
      </c>
      <c r="R403" s="114">
        <f>P403/Donnees_annuelles!AA31*Donnees_annuelles!AI31/Donnees_annuelles!AG31</f>
        <v/>
      </c>
      <c r="S403" s="114">
        <f>P403/Donnees_annuelles!AA31*Donnees_annuelles!AJ31/Donnees_annuelles!AH31</f>
        <v/>
      </c>
    </row>
    <row r="404">
      <c r="A404" s="84" t="inlineStr">
        <is>
          <t>Fonction publique territoriale et hospitalière</t>
        </is>
      </c>
      <c r="B404" s="88" t="n">
        <v>1974</v>
      </c>
      <c r="C404" s="93" t="n">
        <v>0.1</v>
      </c>
      <c r="D404" s="93" t="n">
        <v>0.06</v>
      </c>
      <c r="E404" s="93" t="n">
        <v>0.196</v>
      </c>
      <c r="F404" s="7" t="inlineStr">
        <is>
          <t>légal</t>
        </is>
      </c>
      <c r="G404" s="93" t="n">
        <v>0</v>
      </c>
      <c r="H404" s="93" t="n">
        <v>0</v>
      </c>
      <c r="I404" s="93" t="n">
        <v>0</v>
      </c>
      <c r="J404" s="94">
        <f>D404*(1-C404)+G404*MIN(C404,0.2*(1-C404))+H404</f>
        <v/>
      </c>
      <c r="K404" s="94">
        <f>E404*(1-C404)+G404*MIN(C404,0.2*(1-C404))</f>
        <v/>
      </c>
      <c r="L404" s="94">
        <f>I404*(1-C404)</f>
        <v/>
      </c>
      <c r="M404" s="89">
        <f>SUMIFS(Regimes!$G$5:$G$10,Regimes!$A$5:$A$10,A404)*(1-C404)/(1-0.24167)</f>
        <v/>
      </c>
      <c r="N404" s="14">
        <f>Donnees_annuelles!D32*J404</f>
        <v/>
      </c>
      <c r="O404" s="14">
        <f>Donnees_annuelles!D32*K404</f>
        <v/>
      </c>
      <c r="P404" s="14">
        <f>N404+O404</f>
        <v/>
      </c>
      <c r="Q404" s="14">
        <f>Donnees_annuelles!D32*L404</f>
        <v/>
      </c>
      <c r="R404" s="114">
        <f>P404/Donnees_annuelles!AA32*Donnees_annuelles!AI32/Donnees_annuelles!AG32</f>
        <v/>
      </c>
      <c r="S404" s="114">
        <f>P404/Donnees_annuelles!AA32*Donnees_annuelles!AJ32/Donnees_annuelles!AH32</f>
        <v/>
      </c>
    </row>
    <row r="405">
      <c r="A405" s="84" t="inlineStr">
        <is>
          <t>Fonction publique territoriale et hospitalière</t>
        </is>
      </c>
      <c r="B405" s="88" t="n">
        <v>1975</v>
      </c>
      <c r="C405" s="93" t="n">
        <v>0.1</v>
      </c>
      <c r="D405" s="93" t="n">
        <v>0.06</v>
      </c>
      <c r="E405" s="93" t="n">
        <v>0.196</v>
      </c>
      <c r="F405" s="7" t="inlineStr">
        <is>
          <t>légal</t>
        </is>
      </c>
      <c r="G405" s="93" t="n">
        <v>0</v>
      </c>
      <c r="H405" s="93" t="n">
        <v>0</v>
      </c>
      <c r="I405" s="93" t="n">
        <v>0</v>
      </c>
      <c r="J405" s="94">
        <f>D405*(1-C405)+G405*MIN(C405,0.2*(1-C405))+H405</f>
        <v/>
      </c>
      <c r="K405" s="94">
        <f>E405*(1-C405)+G405*MIN(C405,0.2*(1-C405))</f>
        <v/>
      </c>
      <c r="L405" s="94">
        <f>I405*(1-C405)</f>
        <v/>
      </c>
      <c r="M405" s="89">
        <f>SUMIFS(Regimes!$G$5:$G$10,Regimes!$A$5:$A$10,A405)*(1-C405)/(1-0.24167)</f>
        <v/>
      </c>
      <c r="N405" s="14">
        <f>Donnees_annuelles!D33*J405</f>
        <v/>
      </c>
      <c r="O405" s="14">
        <f>Donnees_annuelles!D33*K405</f>
        <v/>
      </c>
      <c r="P405" s="14">
        <f>N405+O405</f>
        <v/>
      </c>
      <c r="Q405" s="14">
        <f>Donnees_annuelles!D33*L405</f>
        <v/>
      </c>
      <c r="R405" s="114">
        <f>P405/Donnees_annuelles!AA33*Donnees_annuelles!AI33/Donnees_annuelles!AG33</f>
        <v/>
      </c>
      <c r="S405" s="114">
        <f>P405/Donnees_annuelles!AA33*Donnees_annuelles!AJ33/Donnees_annuelles!AH33</f>
        <v/>
      </c>
    </row>
    <row r="406">
      <c r="A406" s="84" t="inlineStr">
        <is>
          <t>Fonction publique territoriale et hospitalière</t>
        </is>
      </c>
      <c r="B406" s="88" t="n">
        <v>1976</v>
      </c>
      <c r="C406" s="93" t="n">
        <v>0.1</v>
      </c>
      <c r="D406" s="93" t="n">
        <v>0.06</v>
      </c>
      <c r="E406" s="93" t="n">
        <v>0.196</v>
      </c>
      <c r="F406" s="7" t="inlineStr">
        <is>
          <t>légal</t>
        </is>
      </c>
      <c r="G406" s="93" t="n">
        <v>0</v>
      </c>
      <c r="H406" s="93" t="n">
        <v>0</v>
      </c>
      <c r="I406" s="93" t="n">
        <v>0</v>
      </c>
      <c r="J406" s="94">
        <f>D406*(1-C406)+G406*MIN(C406,0.2*(1-C406))+H406</f>
        <v/>
      </c>
      <c r="K406" s="94">
        <f>E406*(1-C406)+G406*MIN(C406,0.2*(1-C406))</f>
        <v/>
      </c>
      <c r="L406" s="94">
        <f>I406*(1-C406)</f>
        <v/>
      </c>
      <c r="M406" s="89">
        <f>SUMIFS(Regimes!$G$5:$G$10,Regimes!$A$5:$A$10,A406)*(1-C406)/(1-0.24167)</f>
        <v/>
      </c>
      <c r="N406" s="14">
        <f>Donnees_annuelles!D34*J406</f>
        <v/>
      </c>
      <c r="O406" s="14">
        <f>Donnees_annuelles!D34*K406</f>
        <v/>
      </c>
      <c r="P406" s="14">
        <f>N406+O406</f>
        <v/>
      </c>
      <c r="Q406" s="14">
        <f>Donnees_annuelles!D34*L406</f>
        <v/>
      </c>
      <c r="R406" s="114">
        <f>P406/Donnees_annuelles!AA34*Donnees_annuelles!AI34/Donnees_annuelles!AG34</f>
        <v/>
      </c>
      <c r="S406" s="114">
        <f>P406/Donnees_annuelles!AA34*Donnees_annuelles!AJ34/Donnees_annuelles!AH34</f>
        <v/>
      </c>
    </row>
    <row r="407">
      <c r="A407" s="84" t="inlineStr">
        <is>
          <t>Fonction publique territoriale et hospitalière</t>
        </is>
      </c>
      <c r="B407" s="88" t="n">
        <v>1977</v>
      </c>
      <c r="C407" s="93" t="n">
        <v>0.1</v>
      </c>
      <c r="D407" s="93" t="n">
        <v>0.06</v>
      </c>
      <c r="E407" s="93" t="n">
        <v>0.18</v>
      </c>
      <c r="F407" s="7" t="inlineStr">
        <is>
          <t>légal</t>
        </is>
      </c>
      <c r="G407" s="93" t="n">
        <v>0</v>
      </c>
      <c r="H407" s="93" t="n">
        <v>0</v>
      </c>
      <c r="I407" s="93" t="n">
        <v>0</v>
      </c>
      <c r="J407" s="94">
        <f>D407*(1-C407)+G407*MIN(C407,0.2*(1-C407))+H407</f>
        <v/>
      </c>
      <c r="K407" s="94">
        <f>E407*(1-C407)+G407*MIN(C407,0.2*(1-C407))</f>
        <v/>
      </c>
      <c r="L407" s="94">
        <f>I407*(1-C407)</f>
        <v/>
      </c>
      <c r="M407" s="89">
        <f>SUMIFS(Regimes!$G$5:$G$10,Regimes!$A$5:$A$10,A407)*(1-C407)/(1-0.24167)</f>
        <v/>
      </c>
      <c r="N407" s="14">
        <f>Donnees_annuelles!D35*J407</f>
        <v/>
      </c>
      <c r="O407" s="14">
        <f>Donnees_annuelles!D35*K407</f>
        <v/>
      </c>
      <c r="P407" s="14">
        <f>N407+O407</f>
        <v/>
      </c>
      <c r="Q407" s="14">
        <f>Donnees_annuelles!D35*L407</f>
        <v/>
      </c>
      <c r="R407" s="114">
        <f>P407/Donnees_annuelles!AA35*Donnees_annuelles!AI35/Donnees_annuelles!AG35</f>
        <v/>
      </c>
      <c r="S407" s="114">
        <f>P407/Donnees_annuelles!AA35*Donnees_annuelles!AJ35/Donnees_annuelles!AH35</f>
        <v/>
      </c>
    </row>
    <row r="408">
      <c r="A408" s="84" t="inlineStr">
        <is>
          <t>Fonction publique territoriale et hospitalière</t>
        </is>
      </c>
      <c r="B408" s="88" t="n">
        <v>1978</v>
      </c>
      <c r="C408" s="93" t="n">
        <v>0.1</v>
      </c>
      <c r="D408" s="93" t="n">
        <v>0.06</v>
      </c>
      <c r="E408" s="93" t="n">
        <v>0.18</v>
      </c>
      <c r="F408" s="7" t="inlineStr">
        <is>
          <t>légal</t>
        </is>
      </c>
      <c r="G408" s="93" t="n">
        <v>0</v>
      </c>
      <c r="H408" s="93" t="n">
        <v>0</v>
      </c>
      <c r="I408" s="93" t="n">
        <v>0</v>
      </c>
      <c r="J408" s="94">
        <f>D408*(1-C408)+G408*MIN(C408,0.2*(1-C408))+H408</f>
        <v/>
      </c>
      <c r="K408" s="94">
        <f>E408*(1-C408)+G408*MIN(C408,0.2*(1-C408))</f>
        <v/>
      </c>
      <c r="L408" s="94">
        <f>I408*(1-C408)</f>
        <v/>
      </c>
      <c r="M408" s="89">
        <f>SUMIFS(Regimes!$G$5:$G$10,Regimes!$A$5:$A$10,A408)*(1-C408)/(1-0.24167)</f>
        <v/>
      </c>
      <c r="N408" s="14">
        <f>Donnees_annuelles!D36*J408</f>
        <v/>
      </c>
      <c r="O408" s="14">
        <f>Donnees_annuelles!D36*K408</f>
        <v/>
      </c>
      <c r="P408" s="14">
        <f>N408+O408</f>
        <v/>
      </c>
      <c r="Q408" s="14">
        <f>Donnees_annuelles!D36*L408</f>
        <v/>
      </c>
      <c r="R408" s="114">
        <f>P408/Donnees_annuelles!AA36*Donnees_annuelles!AI36/Donnees_annuelles!AG36</f>
        <v/>
      </c>
      <c r="S408" s="114">
        <f>P408/Donnees_annuelles!AA36*Donnees_annuelles!AJ36/Donnees_annuelles!AH36</f>
        <v/>
      </c>
    </row>
    <row r="409">
      <c r="A409" s="84" t="inlineStr">
        <is>
          <t>Fonction publique territoriale et hospitalière</t>
        </is>
      </c>
      <c r="B409" s="88" t="n">
        <v>1979</v>
      </c>
      <c r="C409" s="93" t="n">
        <v>0.1</v>
      </c>
      <c r="D409" s="93" t="n">
        <v>0.06</v>
      </c>
      <c r="E409" s="93" t="n">
        <v>0.18</v>
      </c>
      <c r="F409" s="7" t="inlineStr">
        <is>
          <t>légal</t>
        </is>
      </c>
      <c r="G409" s="93" t="n">
        <v>0</v>
      </c>
      <c r="H409" s="93" t="n">
        <v>0</v>
      </c>
      <c r="I409" s="93" t="n">
        <v>0</v>
      </c>
      <c r="J409" s="94">
        <f>D409*(1-C409)+G409*MIN(C409,0.2*(1-C409))+H409</f>
        <v/>
      </c>
      <c r="K409" s="94">
        <f>E409*(1-C409)+G409*MIN(C409,0.2*(1-C409))</f>
        <v/>
      </c>
      <c r="L409" s="94">
        <f>I409*(1-C409)</f>
        <v/>
      </c>
      <c r="M409" s="89">
        <f>SUMIFS(Regimes!$G$5:$G$10,Regimes!$A$5:$A$10,A409)*(1-C409)/(1-0.24167)</f>
        <v/>
      </c>
      <c r="N409" s="14">
        <f>Donnees_annuelles!D37*J409</f>
        <v/>
      </c>
      <c r="O409" s="14">
        <f>Donnees_annuelles!D37*K409</f>
        <v/>
      </c>
      <c r="P409" s="14">
        <f>N409+O409</f>
        <v/>
      </c>
      <c r="Q409" s="14">
        <f>Donnees_annuelles!D37*L409</f>
        <v/>
      </c>
      <c r="R409" s="114">
        <f>P409/Donnees_annuelles!AA37*Donnees_annuelles!AI37/Donnees_annuelles!AG37</f>
        <v/>
      </c>
      <c r="S409" s="114">
        <f>P409/Donnees_annuelles!AA37*Donnees_annuelles!AJ37/Donnees_annuelles!AH37</f>
        <v/>
      </c>
    </row>
    <row r="410">
      <c r="A410" s="84" t="inlineStr">
        <is>
          <t>Fonction publique territoriale et hospitalière</t>
        </is>
      </c>
      <c r="B410" s="88" t="n">
        <v>1980</v>
      </c>
      <c r="C410" s="93" t="n">
        <v>0.1</v>
      </c>
      <c r="D410" s="93" t="n">
        <v>0.06</v>
      </c>
      <c r="E410" s="93" t="n">
        <v>0.11967</v>
      </c>
      <c r="F410" s="7" t="inlineStr">
        <is>
          <t>légal</t>
        </is>
      </c>
      <c r="G410" s="93" t="n">
        <v>0</v>
      </c>
      <c r="H410" s="93" t="n">
        <v>0</v>
      </c>
      <c r="I410" s="93" t="n">
        <v>0</v>
      </c>
      <c r="J410" s="94">
        <f>D410*(1-C410)+G410*MIN(C410,0.2*(1-C410))+H410</f>
        <v/>
      </c>
      <c r="K410" s="94">
        <f>E410*(1-C410)+G410*MIN(C410,0.2*(1-C410))</f>
        <v/>
      </c>
      <c r="L410" s="94">
        <f>I410*(1-C410)</f>
        <v/>
      </c>
      <c r="M410" s="89">
        <f>SUMIFS(Regimes!$G$5:$G$10,Regimes!$A$5:$A$10,A410)*(1-C410)/(1-0.24167)</f>
        <v/>
      </c>
      <c r="N410" s="14">
        <f>Donnees_annuelles!D38*J410</f>
        <v/>
      </c>
      <c r="O410" s="14">
        <f>Donnees_annuelles!D38*K410</f>
        <v/>
      </c>
      <c r="P410" s="14">
        <f>N410+O410</f>
        <v/>
      </c>
      <c r="Q410" s="14">
        <f>Donnees_annuelles!D38*L410</f>
        <v/>
      </c>
      <c r="R410" s="114">
        <f>P410/Donnees_annuelles!AA38*Donnees_annuelles!AI38/Donnees_annuelles!AG38</f>
        <v/>
      </c>
      <c r="S410" s="114">
        <f>P410/Donnees_annuelles!AA38*Donnees_annuelles!AJ38/Donnees_annuelles!AH38</f>
        <v/>
      </c>
    </row>
    <row r="411">
      <c r="A411" s="84" t="inlineStr">
        <is>
          <t>Fonction publique territoriale et hospitalière</t>
        </is>
      </c>
      <c r="B411" s="88" t="n">
        <v>1981</v>
      </c>
      <c r="C411" s="93" t="n">
        <v>0.1</v>
      </c>
      <c r="D411" s="93" t="n">
        <v>0.06</v>
      </c>
      <c r="E411" s="93" t="n">
        <v>0.13</v>
      </c>
      <c r="F411" s="7" t="inlineStr">
        <is>
          <t>légal</t>
        </is>
      </c>
      <c r="G411" s="93" t="n">
        <v>0</v>
      </c>
      <c r="H411" s="93" t="n">
        <v>0</v>
      </c>
      <c r="I411" s="93" t="n">
        <v>0</v>
      </c>
      <c r="J411" s="94">
        <f>D411*(1-C411)+G411*MIN(C411,0.2*(1-C411))+H411</f>
        <v/>
      </c>
      <c r="K411" s="94">
        <f>E411*(1-C411)+G411*MIN(C411,0.2*(1-C411))</f>
        <v/>
      </c>
      <c r="L411" s="94">
        <f>I411*(1-C411)</f>
        <v/>
      </c>
      <c r="M411" s="89">
        <f>SUMIFS(Regimes!$G$5:$G$10,Regimes!$A$5:$A$10,A411)*(1-C411)/(1-0.24167)</f>
        <v/>
      </c>
      <c r="N411" s="14">
        <f>Donnees_annuelles!D39*J411</f>
        <v/>
      </c>
      <c r="O411" s="14">
        <f>Donnees_annuelles!D39*K411</f>
        <v/>
      </c>
      <c r="P411" s="14">
        <f>N411+O411</f>
        <v/>
      </c>
      <c r="Q411" s="14">
        <f>Donnees_annuelles!D39*L411</f>
        <v/>
      </c>
      <c r="R411" s="114">
        <f>P411/Donnees_annuelles!AA39*Donnees_annuelles!AI39/Donnees_annuelles!AG39</f>
        <v/>
      </c>
      <c r="S411" s="114">
        <f>P411/Donnees_annuelles!AA39*Donnees_annuelles!AJ39/Donnees_annuelles!AH39</f>
        <v/>
      </c>
    </row>
    <row r="412">
      <c r="A412" s="84" t="inlineStr">
        <is>
          <t>Fonction publique territoriale et hospitalière</t>
        </is>
      </c>
      <c r="B412" s="88" t="n">
        <v>1982</v>
      </c>
      <c r="C412" s="93" t="n">
        <v>0.1</v>
      </c>
      <c r="D412" s="93" t="n">
        <v>0.06</v>
      </c>
      <c r="E412" s="93" t="n">
        <v>0.12623</v>
      </c>
      <c r="F412" s="7" t="inlineStr">
        <is>
          <t>légal</t>
        </is>
      </c>
      <c r="G412" s="93" t="n">
        <v>0</v>
      </c>
      <c r="H412" s="93" t="n">
        <v>0</v>
      </c>
      <c r="I412" s="93" t="n">
        <v>0</v>
      </c>
      <c r="J412" s="94">
        <f>D412*(1-C412)+G412*MIN(C412,0.2*(1-C412))+H412</f>
        <v/>
      </c>
      <c r="K412" s="94">
        <f>E412*(1-C412)+G412*MIN(C412,0.2*(1-C412))</f>
        <v/>
      </c>
      <c r="L412" s="94">
        <f>I412*(1-C412)</f>
        <v/>
      </c>
      <c r="M412" s="89">
        <f>SUMIFS(Regimes!$G$5:$G$10,Regimes!$A$5:$A$10,A412)*(1-C412)/(1-0.24167)</f>
        <v/>
      </c>
      <c r="N412" s="14">
        <f>Donnees_annuelles!D40*J412</f>
        <v/>
      </c>
      <c r="O412" s="14">
        <f>Donnees_annuelles!D40*K412</f>
        <v/>
      </c>
      <c r="P412" s="14">
        <f>N412+O412</f>
        <v/>
      </c>
      <c r="Q412" s="14">
        <f>Donnees_annuelles!D40*L412</f>
        <v/>
      </c>
      <c r="R412" s="114">
        <f>P412/Donnees_annuelles!AA40*Donnees_annuelles!AI40/Donnees_annuelles!AG40</f>
        <v/>
      </c>
      <c r="S412" s="114">
        <f>P412/Donnees_annuelles!AA40*Donnees_annuelles!AJ40/Donnees_annuelles!AH40</f>
        <v/>
      </c>
    </row>
    <row r="413">
      <c r="A413" s="84" t="inlineStr">
        <is>
          <t>Fonction publique territoriale et hospitalière</t>
        </is>
      </c>
      <c r="B413" s="88" t="n">
        <v>1983</v>
      </c>
      <c r="C413" s="93" t="n">
        <v>0.1</v>
      </c>
      <c r="D413" s="93" t="n">
        <v>0.06</v>
      </c>
      <c r="E413" s="93" t="n">
        <v>0.10818</v>
      </c>
      <c r="F413" s="7" t="inlineStr">
        <is>
          <t>légal</t>
        </is>
      </c>
      <c r="G413" s="93" t="n">
        <v>0</v>
      </c>
      <c r="H413" s="93" t="n">
        <v>0</v>
      </c>
      <c r="I413" s="93" t="n">
        <v>0</v>
      </c>
      <c r="J413" s="94">
        <f>D413*(1-C413)+G413*MIN(C413,0.2*(1-C413))+H413</f>
        <v/>
      </c>
      <c r="K413" s="94">
        <f>E413*(1-C413)+G413*MIN(C413,0.2*(1-C413))</f>
        <v/>
      </c>
      <c r="L413" s="94">
        <f>I413*(1-C413)</f>
        <v/>
      </c>
      <c r="M413" s="89">
        <f>SUMIFS(Regimes!$G$5:$G$10,Regimes!$A$5:$A$10,A413)*(1-C413)/(1-0.24167)</f>
        <v/>
      </c>
      <c r="N413" s="14">
        <f>Donnees_annuelles!D41*J413</f>
        <v/>
      </c>
      <c r="O413" s="14">
        <f>Donnees_annuelles!D41*K413</f>
        <v/>
      </c>
      <c r="P413" s="14">
        <f>N413+O413</f>
        <v/>
      </c>
      <c r="Q413" s="14">
        <f>Donnees_annuelles!D41*L413</f>
        <v/>
      </c>
      <c r="R413" s="114">
        <f>P413/Donnees_annuelles!AA41*Donnees_annuelles!AI41/Donnees_annuelles!AG41</f>
        <v/>
      </c>
      <c r="S413" s="114">
        <f>P413/Donnees_annuelles!AA41*Donnees_annuelles!AJ41/Donnees_annuelles!AH41</f>
        <v/>
      </c>
    </row>
    <row r="414">
      <c r="A414" s="84" t="inlineStr">
        <is>
          <t>Fonction publique territoriale et hospitalière</t>
        </is>
      </c>
      <c r="B414" s="88" t="n">
        <v>1984</v>
      </c>
      <c r="C414" s="93" t="n">
        <v>0.1</v>
      </c>
      <c r="D414" s="93" t="n">
        <v>0.07000000000000001</v>
      </c>
      <c r="E414" s="93" t="n">
        <v>0.102</v>
      </c>
      <c r="F414" s="7" t="inlineStr">
        <is>
          <t>légal</t>
        </is>
      </c>
      <c r="G414" s="93" t="n">
        <v>0</v>
      </c>
      <c r="H414" s="93" t="n">
        <v>0</v>
      </c>
      <c r="I414" s="93" t="n">
        <v>0</v>
      </c>
      <c r="J414" s="94">
        <f>D414*(1-C414)+G414*MIN(C414,0.2*(1-C414))+H414</f>
        <v/>
      </c>
      <c r="K414" s="94">
        <f>E414*(1-C414)+G414*MIN(C414,0.2*(1-C414))</f>
        <v/>
      </c>
      <c r="L414" s="94">
        <f>I414*(1-C414)</f>
        <v/>
      </c>
      <c r="M414" s="89">
        <f>SUMIFS(Regimes!$G$5:$G$10,Regimes!$A$5:$A$10,A414)*(1-C414)/(1-0.24167)</f>
        <v/>
      </c>
      <c r="N414" s="14">
        <f>Donnees_annuelles!D42*J414</f>
        <v/>
      </c>
      <c r="O414" s="14">
        <f>Donnees_annuelles!D42*K414</f>
        <v/>
      </c>
      <c r="P414" s="14">
        <f>N414+O414</f>
        <v/>
      </c>
      <c r="Q414" s="14">
        <f>Donnees_annuelles!D42*L414</f>
        <v/>
      </c>
      <c r="R414" s="114">
        <f>P414/Donnees_annuelles!AA42*Donnees_annuelles!AI42/Donnees_annuelles!AG42</f>
        <v/>
      </c>
      <c r="S414" s="114">
        <f>P414/Donnees_annuelles!AA42*Donnees_annuelles!AJ42/Donnees_annuelles!AH42</f>
        <v/>
      </c>
    </row>
    <row r="415">
      <c r="A415" s="84" t="inlineStr">
        <is>
          <t>Fonction publique territoriale et hospitalière</t>
        </is>
      </c>
      <c r="B415" s="88" t="n">
        <v>1985</v>
      </c>
      <c r="C415" s="93" t="n">
        <v>0.1</v>
      </c>
      <c r="D415" s="93" t="n">
        <v>0.07000000000000001</v>
      </c>
      <c r="E415" s="93" t="n">
        <v>0.102</v>
      </c>
      <c r="F415" s="7" t="inlineStr">
        <is>
          <t>légal</t>
        </is>
      </c>
      <c r="G415" s="93" t="n">
        <v>0</v>
      </c>
      <c r="H415" s="93" t="n">
        <v>0</v>
      </c>
      <c r="I415" s="93" t="n">
        <v>0</v>
      </c>
      <c r="J415" s="94">
        <f>D415*(1-C415)+G415*MIN(C415,0.2*(1-C415))+H415</f>
        <v/>
      </c>
      <c r="K415" s="94">
        <f>E415*(1-C415)+G415*MIN(C415,0.2*(1-C415))</f>
        <v/>
      </c>
      <c r="L415" s="94">
        <f>I415*(1-C415)</f>
        <v/>
      </c>
      <c r="M415" s="89">
        <f>SUMIFS(Regimes!$G$5:$G$10,Regimes!$A$5:$A$10,A415)*(1-C415)/(1-0.24167)</f>
        <v/>
      </c>
      <c r="N415" s="14">
        <f>Donnees_annuelles!D43*J415</f>
        <v/>
      </c>
      <c r="O415" s="14">
        <f>Donnees_annuelles!D43*K415</f>
        <v/>
      </c>
      <c r="P415" s="14">
        <f>N415+O415</f>
        <v/>
      </c>
      <c r="Q415" s="14">
        <f>Donnees_annuelles!D43*L415</f>
        <v/>
      </c>
      <c r="R415" s="114">
        <f>P415/Donnees_annuelles!AA43*Donnees_annuelles!AI43/Donnees_annuelles!AG43</f>
        <v/>
      </c>
      <c r="S415" s="114">
        <f>P415/Donnees_annuelles!AA43*Donnees_annuelles!AJ43/Donnees_annuelles!AH43</f>
        <v/>
      </c>
    </row>
    <row r="416">
      <c r="A416" s="84" t="inlineStr">
        <is>
          <t>Fonction publique territoriale et hospitalière</t>
        </is>
      </c>
      <c r="B416" s="88" t="n">
        <v>1986</v>
      </c>
      <c r="C416" s="93" t="n">
        <v>0.105</v>
      </c>
      <c r="D416" s="93" t="n">
        <v>0.07292999999999999</v>
      </c>
      <c r="E416" s="93" t="n">
        <v>0.102</v>
      </c>
      <c r="F416" s="7" t="inlineStr">
        <is>
          <t>légal</t>
        </is>
      </c>
      <c r="G416" s="93" t="n">
        <v>0</v>
      </c>
      <c r="H416" s="93" t="n">
        <v>0</v>
      </c>
      <c r="I416" s="93" t="n">
        <v>0</v>
      </c>
      <c r="J416" s="94">
        <f>D416*(1-C416)+G416*MIN(C416,0.2*(1-C416))+H416</f>
        <v/>
      </c>
      <c r="K416" s="94">
        <f>E416*(1-C416)+G416*MIN(C416,0.2*(1-C416))</f>
        <v/>
      </c>
      <c r="L416" s="94">
        <f>I416*(1-C416)</f>
        <v/>
      </c>
      <c r="M416" s="89">
        <f>SUMIFS(Regimes!$G$5:$G$10,Regimes!$A$5:$A$10,A416)*(1-C416)/(1-0.24167)</f>
        <v/>
      </c>
      <c r="N416" s="14">
        <f>Donnees_annuelles!D44*J416</f>
        <v/>
      </c>
      <c r="O416" s="14">
        <f>Donnees_annuelles!D44*K416</f>
        <v/>
      </c>
      <c r="P416" s="14">
        <f>N416+O416</f>
        <v/>
      </c>
      <c r="Q416" s="14">
        <f>Donnees_annuelles!D44*L416</f>
        <v/>
      </c>
      <c r="R416" s="114">
        <f>P416/Donnees_annuelles!AA44*Donnees_annuelles!AI44/Donnees_annuelles!AG44</f>
        <v/>
      </c>
      <c r="S416" s="114">
        <f>P416/Donnees_annuelles!AA44*Donnees_annuelles!AJ44/Donnees_annuelles!AH44</f>
        <v/>
      </c>
    </row>
    <row r="417">
      <c r="A417" s="84" t="inlineStr">
        <is>
          <t>Fonction publique territoriale et hospitalière</t>
        </is>
      </c>
      <c r="B417" s="88" t="n">
        <v>1987</v>
      </c>
      <c r="C417" s="93" t="n">
        <v>0.11</v>
      </c>
      <c r="D417" s="93" t="n">
        <v>0.07801</v>
      </c>
      <c r="E417" s="93" t="n">
        <v>0.152</v>
      </c>
      <c r="F417" s="7" t="inlineStr">
        <is>
          <t>légal</t>
        </is>
      </c>
      <c r="G417" s="93" t="n">
        <v>0</v>
      </c>
      <c r="H417" s="93" t="n">
        <v>0</v>
      </c>
      <c r="I417" s="93" t="n">
        <v>0</v>
      </c>
      <c r="J417" s="94">
        <f>D417*(1-C417)+G417*MIN(C417,0.2*(1-C417))+H417</f>
        <v/>
      </c>
      <c r="K417" s="94">
        <f>E417*(1-C417)+G417*MIN(C417,0.2*(1-C417))</f>
        <v/>
      </c>
      <c r="L417" s="94">
        <f>I417*(1-C417)</f>
        <v/>
      </c>
      <c r="M417" s="89">
        <f>SUMIFS(Regimes!$G$5:$G$10,Regimes!$A$5:$A$10,A417)*(1-C417)/(1-0.24167)</f>
        <v/>
      </c>
      <c r="N417" s="14">
        <f>Donnees_annuelles!D45*J417</f>
        <v/>
      </c>
      <c r="O417" s="14">
        <f>Donnees_annuelles!D45*K417</f>
        <v/>
      </c>
      <c r="P417" s="14">
        <f>N417+O417</f>
        <v/>
      </c>
      <c r="Q417" s="14">
        <f>Donnees_annuelles!D45*L417</f>
        <v/>
      </c>
      <c r="R417" s="114">
        <f>P417/Donnees_annuelles!AA45*Donnees_annuelles!AI45/Donnees_annuelles!AG45</f>
        <v/>
      </c>
      <c r="S417" s="114">
        <f>P417/Donnees_annuelles!AA45*Donnees_annuelles!AJ45/Donnees_annuelles!AH45</f>
        <v/>
      </c>
    </row>
    <row r="418">
      <c r="A418" s="84" t="inlineStr">
        <is>
          <t>Fonction publique territoriale et hospitalière</t>
        </is>
      </c>
      <c r="B418" s="88" t="n">
        <v>1988</v>
      </c>
      <c r="C418" s="93" t="n">
        <v>0.115</v>
      </c>
      <c r="D418" s="93" t="n">
        <v>0.079</v>
      </c>
      <c r="E418" s="93" t="n">
        <v>0.182</v>
      </c>
      <c r="F418" s="7" t="inlineStr">
        <is>
          <t>légal</t>
        </is>
      </c>
      <c r="G418" s="93" t="n">
        <v>0</v>
      </c>
      <c r="H418" s="93" t="n">
        <v>0</v>
      </c>
      <c r="I418" s="93" t="n">
        <v>0</v>
      </c>
      <c r="J418" s="94">
        <f>D418*(1-C418)+G418*MIN(C418,0.2*(1-C418))+H418</f>
        <v/>
      </c>
      <c r="K418" s="94">
        <f>E418*(1-C418)+G418*MIN(C418,0.2*(1-C418))</f>
        <v/>
      </c>
      <c r="L418" s="94">
        <f>I418*(1-C418)</f>
        <v/>
      </c>
      <c r="M418" s="89">
        <f>SUMIFS(Regimes!$G$5:$G$10,Regimes!$A$5:$A$10,A418)*(1-C418)/(1-0.24167)</f>
        <v/>
      </c>
      <c r="N418" s="14">
        <f>Donnees_annuelles!D46*J418</f>
        <v/>
      </c>
      <c r="O418" s="14">
        <f>Donnees_annuelles!D46*K418</f>
        <v/>
      </c>
      <c r="P418" s="14">
        <f>N418+O418</f>
        <v/>
      </c>
      <c r="Q418" s="14">
        <f>Donnees_annuelles!D46*L418</f>
        <v/>
      </c>
      <c r="R418" s="114">
        <f>P418/Donnees_annuelles!AA46*Donnees_annuelles!AI46/Donnees_annuelles!AG46</f>
        <v/>
      </c>
      <c r="S418" s="114">
        <f>P418/Donnees_annuelles!AA46*Donnees_annuelles!AJ46/Donnees_annuelles!AH46</f>
        <v/>
      </c>
    </row>
    <row r="419">
      <c r="A419" s="84" t="inlineStr">
        <is>
          <t>Fonction publique territoriale et hospitalière</t>
        </is>
      </c>
      <c r="B419" s="88" t="n">
        <v>1989</v>
      </c>
      <c r="C419" s="93" t="n">
        <v>0.12</v>
      </c>
      <c r="D419" s="93" t="n">
        <v>0.089</v>
      </c>
      <c r="E419" s="93" t="n">
        <v>0.197</v>
      </c>
      <c r="F419" s="7" t="inlineStr">
        <is>
          <t>légal</t>
        </is>
      </c>
      <c r="G419" s="93" t="n">
        <v>0</v>
      </c>
      <c r="H419" s="93" t="n">
        <v>0</v>
      </c>
      <c r="I419" s="93" t="n">
        <v>0</v>
      </c>
      <c r="J419" s="94">
        <f>D419*(1-C419)+G419*MIN(C419,0.2*(1-C419))+H419</f>
        <v/>
      </c>
      <c r="K419" s="94">
        <f>E419*(1-C419)+G419*MIN(C419,0.2*(1-C419))</f>
        <v/>
      </c>
      <c r="L419" s="94">
        <f>I419*(1-C419)</f>
        <v/>
      </c>
      <c r="M419" s="89">
        <f>SUMIFS(Regimes!$G$5:$G$10,Regimes!$A$5:$A$10,A419)*(1-C419)/(1-0.24167)</f>
        <v/>
      </c>
      <c r="N419" s="14">
        <f>Donnees_annuelles!D47*J419</f>
        <v/>
      </c>
      <c r="O419" s="14">
        <f>Donnees_annuelles!D47*K419</f>
        <v/>
      </c>
      <c r="P419" s="14">
        <f>N419+O419</f>
        <v/>
      </c>
      <c r="Q419" s="14">
        <f>Donnees_annuelles!D47*L419</f>
        <v/>
      </c>
      <c r="R419" s="114">
        <f>P419/Donnees_annuelles!AA47*Donnees_annuelles!AI47/Donnees_annuelles!AG47</f>
        <v/>
      </c>
      <c r="S419" s="114">
        <f>P419/Donnees_annuelles!AA47*Donnees_annuelles!AJ47/Donnees_annuelles!AH47</f>
        <v/>
      </c>
    </row>
    <row r="420">
      <c r="A420" s="84" t="inlineStr">
        <is>
          <t>Fonction publique territoriale et hospitalière</t>
        </is>
      </c>
      <c r="B420" s="88" t="n">
        <v>1990</v>
      </c>
      <c r="C420" s="93" t="n">
        <v>0.125</v>
      </c>
      <c r="D420" s="93" t="n">
        <v>0.089</v>
      </c>
      <c r="E420" s="93" t="n">
        <v>0.197</v>
      </c>
      <c r="F420" s="7" t="inlineStr">
        <is>
          <t>légal</t>
        </is>
      </c>
      <c r="G420" s="93" t="n">
        <v>0</v>
      </c>
      <c r="H420" s="93" t="n">
        <v>0</v>
      </c>
      <c r="I420" s="93" t="n">
        <v>0</v>
      </c>
      <c r="J420" s="94">
        <f>D420*(1-C420)+G420*MIN(C420,0.2*(1-C420))+H420</f>
        <v/>
      </c>
      <c r="K420" s="94">
        <f>E420*(1-C420)+G420*MIN(C420,0.2*(1-C420))</f>
        <v/>
      </c>
      <c r="L420" s="94">
        <f>I420*(1-C420)</f>
        <v/>
      </c>
      <c r="M420" s="89">
        <f>SUMIFS(Regimes!$G$5:$G$10,Regimes!$A$5:$A$10,A420)*(1-C420)/(1-0.24167)</f>
        <v/>
      </c>
      <c r="N420" s="14">
        <f>Donnees_annuelles!D48*J420</f>
        <v/>
      </c>
      <c r="O420" s="14">
        <f>Donnees_annuelles!D48*K420</f>
        <v/>
      </c>
      <c r="P420" s="14">
        <f>N420+O420</f>
        <v/>
      </c>
      <c r="Q420" s="14">
        <f>Donnees_annuelles!D48*L420</f>
        <v/>
      </c>
      <c r="R420" s="114">
        <f>P420/Donnees_annuelles!AA48*Donnees_annuelles!AI48/Donnees_annuelles!AG48</f>
        <v/>
      </c>
      <c r="S420" s="114">
        <f>P420/Donnees_annuelles!AA48*Donnees_annuelles!AJ48/Donnees_annuelles!AH48</f>
        <v/>
      </c>
    </row>
    <row r="421">
      <c r="A421" s="84" t="inlineStr">
        <is>
          <t>Fonction publique territoriale et hospitalière</t>
        </is>
      </c>
      <c r="B421" s="88" t="n">
        <v>1991</v>
      </c>
      <c r="C421" s="93" t="n">
        <v>0.13</v>
      </c>
      <c r="D421" s="93" t="n">
        <v>0.07939</v>
      </c>
      <c r="E421" s="93" t="n">
        <v>0.20507</v>
      </c>
      <c r="F421" s="7" t="inlineStr">
        <is>
          <t>légal</t>
        </is>
      </c>
      <c r="G421" s="93" t="n">
        <v>0</v>
      </c>
      <c r="H421" s="93" t="n">
        <v>0</v>
      </c>
      <c r="I421" s="93" t="n">
        <v>0</v>
      </c>
      <c r="J421" s="94">
        <f>D421*(1-C421)+G421*MIN(C421,0.2*(1-C421))+H421</f>
        <v/>
      </c>
      <c r="K421" s="94">
        <f>E421*(1-C421)+G421*MIN(C421,0.2*(1-C421))</f>
        <v/>
      </c>
      <c r="L421" s="94">
        <f>I421*(1-C421)</f>
        <v/>
      </c>
      <c r="M421" s="89">
        <f>SUMIFS(Regimes!$G$5:$G$10,Regimes!$A$5:$A$10,A421)*(1-C421)/(1-0.24167)</f>
        <v/>
      </c>
      <c r="N421" s="14">
        <f>Donnees_annuelles!D49*J421</f>
        <v/>
      </c>
      <c r="O421" s="14">
        <f>Donnees_annuelles!D49*K421</f>
        <v/>
      </c>
      <c r="P421" s="14">
        <f>N421+O421</f>
        <v/>
      </c>
      <c r="Q421" s="14">
        <f>Donnees_annuelles!D49*L421</f>
        <v/>
      </c>
      <c r="R421" s="114">
        <f>P421/Donnees_annuelles!AA49*Donnees_annuelles!AI49/Donnees_annuelles!AG49</f>
        <v/>
      </c>
      <c r="S421" s="114">
        <f>P421/Donnees_annuelles!AA49*Donnees_annuelles!AJ49/Donnees_annuelles!AH49</f>
        <v/>
      </c>
    </row>
    <row r="422">
      <c r="A422" s="84" t="inlineStr">
        <is>
          <t>Fonction publique territoriale et hospitalière</t>
        </is>
      </c>
      <c r="B422" s="88" t="n">
        <v>1992</v>
      </c>
      <c r="C422" s="93" t="n">
        <v>0.135</v>
      </c>
      <c r="D422" s="93" t="n">
        <v>0.0785</v>
      </c>
      <c r="E422" s="93" t="n">
        <v>0.213</v>
      </c>
      <c r="F422" s="7" t="inlineStr">
        <is>
          <t>légal</t>
        </is>
      </c>
      <c r="G422" s="93" t="n">
        <v>0</v>
      </c>
      <c r="H422" s="93" t="n">
        <v>0</v>
      </c>
      <c r="I422" s="93" t="n">
        <v>0</v>
      </c>
      <c r="J422" s="94">
        <f>D422*(1-C422)+G422*MIN(C422,0.2*(1-C422))+H422</f>
        <v/>
      </c>
      <c r="K422" s="94">
        <f>E422*(1-C422)+G422*MIN(C422,0.2*(1-C422))</f>
        <v/>
      </c>
      <c r="L422" s="94">
        <f>I422*(1-C422)</f>
        <v/>
      </c>
      <c r="M422" s="89">
        <f>SUMIFS(Regimes!$G$5:$G$10,Regimes!$A$5:$A$10,A422)*(1-C422)/(1-0.24167)</f>
        <v/>
      </c>
      <c r="N422" s="14">
        <f>Donnees_annuelles!D50*J422</f>
        <v/>
      </c>
      <c r="O422" s="14">
        <f>Donnees_annuelles!D50*K422</f>
        <v/>
      </c>
      <c r="P422" s="14">
        <f>N422+O422</f>
        <v/>
      </c>
      <c r="Q422" s="14">
        <f>Donnees_annuelles!D50*L422</f>
        <v/>
      </c>
      <c r="R422" s="114">
        <f>P422/Donnees_annuelles!AA50*Donnees_annuelles!AI50/Donnees_annuelles!AG50</f>
        <v/>
      </c>
      <c r="S422" s="114">
        <f>P422/Donnees_annuelles!AA50*Donnees_annuelles!AJ50/Donnees_annuelles!AH50</f>
        <v/>
      </c>
    </row>
    <row r="423">
      <c r="A423" s="84" t="inlineStr">
        <is>
          <t>Fonction publique territoriale et hospitalière</t>
        </is>
      </c>
      <c r="B423" s="88" t="n">
        <v>1993</v>
      </c>
      <c r="C423" s="93" t="n">
        <v>0.14</v>
      </c>
      <c r="D423" s="93" t="n">
        <v>0.0785</v>
      </c>
      <c r="E423" s="93" t="n">
        <v>0.213</v>
      </c>
      <c r="F423" s="7" t="inlineStr">
        <is>
          <t>légal</t>
        </is>
      </c>
      <c r="G423" s="93" t="n">
        <v>0</v>
      </c>
      <c r="H423" s="93" t="n">
        <v>0.006226</v>
      </c>
      <c r="I423" s="93" t="n">
        <v>0</v>
      </c>
      <c r="J423" s="94">
        <f>D423*(1-C423)+G423*MIN(C423,0.2*(1-C423))+H423</f>
        <v/>
      </c>
      <c r="K423" s="94">
        <f>E423*(1-C423)+G423*MIN(C423,0.2*(1-C423))</f>
        <v/>
      </c>
      <c r="L423" s="94">
        <f>I423*(1-C423)</f>
        <v/>
      </c>
      <c r="M423" s="89">
        <f>SUMIFS(Regimes!$G$5:$G$10,Regimes!$A$5:$A$10,A423)*(1-C423)/(1-0.24167)</f>
        <v/>
      </c>
      <c r="N423" s="14">
        <f>Donnees_annuelles!D51*J423</f>
        <v/>
      </c>
      <c r="O423" s="14">
        <f>Donnees_annuelles!D51*K423</f>
        <v/>
      </c>
      <c r="P423" s="14">
        <f>N423+O423</f>
        <v/>
      </c>
      <c r="Q423" s="14">
        <f>Donnees_annuelles!D51*L423</f>
        <v/>
      </c>
      <c r="R423" s="114">
        <f>P423/Donnees_annuelles!AA51*Donnees_annuelles!AI51/Donnees_annuelles!AG51</f>
        <v/>
      </c>
      <c r="S423" s="114">
        <f>P423/Donnees_annuelles!AA51*Donnees_annuelles!AJ51/Donnees_annuelles!AH51</f>
        <v/>
      </c>
    </row>
    <row r="424">
      <c r="A424" s="84" t="inlineStr">
        <is>
          <t>Fonction publique territoriale et hospitalière</t>
        </is>
      </c>
      <c r="B424" s="88" t="n">
        <v>1994</v>
      </c>
      <c r="C424" s="93" t="n">
        <v>0.145</v>
      </c>
      <c r="D424" s="93" t="n">
        <v>0.0785</v>
      </c>
      <c r="E424" s="93" t="n">
        <v>0.213</v>
      </c>
      <c r="F424" s="7" t="inlineStr">
        <is>
          <t>légal</t>
        </is>
      </c>
      <c r="G424" s="93" t="n">
        <v>0</v>
      </c>
      <c r="H424" s="93" t="n">
        <v>0.01235</v>
      </c>
      <c r="I424" s="93" t="n">
        <v>0</v>
      </c>
      <c r="J424" s="94">
        <f>D424*(1-C424)+G424*MIN(C424,0.2*(1-C424))+H424</f>
        <v/>
      </c>
      <c r="K424" s="94">
        <f>E424*(1-C424)+G424*MIN(C424,0.2*(1-C424))</f>
        <v/>
      </c>
      <c r="L424" s="94">
        <f>I424*(1-C424)</f>
        <v/>
      </c>
      <c r="M424" s="89">
        <f>SUMIFS(Regimes!$G$5:$G$10,Regimes!$A$5:$A$10,A424)*(1-C424)/(1-0.24167)</f>
        <v/>
      </c>
      <c r="N424" s="14">
        <f>Donnees_annuelles!D52*J424</f>
        <v/>
      </c>
      <c r="O424" s="14">
        <f>Donnees_annuelles!D52*K424</f>
        <v/>
      </c>
      <c r="P424" s="14">
        <f>N424+O424</f>
        <v/>
      </c>
      <c r="Q424" s="14">
        <f>Donnees_annuelles!D52*L424</f>
        <v/>
      </c>
      <c r="R424" s="114">
        <f>P424/Donnees_annuelles!AA52*Donnees_annuelles!AI52/Donnees_annuelles!AG52</f>
        <v/>
      </c>
      <c r="S424" s="114">
        <f>P424/Donnees_annuelles!AA52*Donnees_annuelles!AJ52/Donnees_annuelles!AH52</f>
        <v/>
      </c>
    </row>
    <row r="425">
      <c r="A425" s="84" t="inlineStr">
        <is>
          <t>Fonction publique territoriale et hospitalière</t>
        </is>
      </c>
      <c r="B425" s="88" t="n">
        <v>1995</v>
      </c>
      <c r="C425" s="93" t="n">
        <v>0.15</v>
      </c>
      <c r="D425" s="93" t="n">
        <v>0.0785</v>
      </c>
      <c r="E425" s="93" t="n">
        <v>0.251</v>
      </c>
      <c r="F425" s="7" t="inlineStr">
        <is>
          <t>légal</t>
        </is>
      </c>
      <c r="G425" s="93" t="n">
        <v>0</v>
      </c>
      <c r="H425" s="93" t="n">
        <v>0.01235</v>
      </c>
      <c r="I425" s="93" t="n">
        <v>0</v>
      </c>
      <c r="J425" s="94">
        <f>D425*(1-C425)+G425*MIN(C425,0.2*(1-C425))+H425</f>
        <v/>
      </c>
      <c r="K425" s="94">
        <f>E425*(1-C425)+G425*MIN(C425,0.2*(1-C425))</f>
        <v/>
      </c>
      <c r="L425" s="94">
        <f>I425*(1-C425)</f>
        <v/>
      </c>
      <c r="M425" s="89">
        <f>SUMIFS(Regimes!$G$5:$G$10,Regimes!$A$5:$A$10,A425)*(1-C425)/(1-0.24167)</f>
        <v/>
      </c>
      <c r="N425" s="14">
        <f>Donnees_annuelles!D53*J425</f>
        <v/>
      </c>
      <c r="O425" s="14">
        <f>Donnees_annuelles!D53*K425</f>
        <v/>
      </c>
      <c r="P425" s="14">
        <f>N425+O425</f>
        <v/>
      </c>
      <c r="Q425" s="14">
        <f>Donnees_annuelles!D53*L425</f>
        <v/>
      </c>
      <c r="R425" s="114">
        <f>P425/Donnees_annuelles!AA53*Donnees_annuelles!AI53/Donnees_annuelles!AG53</f>
        <v/>
      </c>
      <c r="S425" s="114">
        <f>P425/Donnees_annuelles!AA53*Donnees_annuelles!AJ53/Donnees_annuelles!AH53</f>
        <v/>
      </c>
    </row>
    <row r="426">
      <c r="A426" s="84" t="inlineStr">
        <is>
          <t>Fonction publique territoriale et hospitalière</t>
        </is>
      </c>
      <c r="B426" s="88" t="n">
        <v>1996</v>
      </c>
      <c r="C426" s="93" t="n">
        <v>0.155</v>
      </c>
      <c r="D426" s="93" t="n">
        <v>0.0785</v>
      </c>
      <c r="E426" s="93" t="n">
        <v>0.251</v>
      </c>
      <c r="F426" s="7" t="inlineStr">
        <is>
          <t>légal</t>
        </is>
      </c>
      <c r="G426" s="93" t="n">
        <v>0</v>
      </c>
      <c r="H426" s="93" t="n">
        <v>0.013524</v>
      </c>
      <c r="I426" s="93" t="n">
        <v>0</v>
      </c>
      <c r="J426" s="94">
        <f>D426*(1-C426)+G426*MIN(C426,0.2*(1-C426))+H426</f>
        <v/>
      </c>
      <c r="K426" s="94">
        <f>E426*(1-C426)+G426*MIN(C426,0.2*(1-C426))</f>
        <v/>
      </c>
      <c r="L426" s="94">
        <f>I426*(1-C426)</f>
        <v/>
      </c>
      <c r="M426" s="89">
        <f>SUMIFS(Regimes!$G$5:$G$10,Regimes!$A$5:$A$10,A426)*(1-C426)/(1-0.24167)</f>
        <v/>
      </c>
      <c r="N426" s="14">
        <f>Donnees_annuelles!D54*J426</f>
        <v/>
      </c>
      <c r="O426" s="14">
        <f>Donnees_annuelles!D54*K426</f>
        <v/>
      </c>
      <c r="P426" s="14">
        <f>N426+O426</f>
        <v/>
      </c>
      <c r="Q426" s="14">
        <f>Donnees_annuelles!D54*L426</f>
        <v/>
      </c>
      <c r="R426" s="114">
        <f>P426/Donnees_annuelles!AA54*Donnees_annuelles!AI54/Donnees_annuelles!AG54</f>
        <v/>
      </c>
      <c r="S426" s="114">
        <f>P426/Donnees_annuelles!AA54*Donnees_annuelles!AJ54/Donnees_annuelles!AH54</f>
        <v/>
      </c>
    </row>
    <row r="427">
      <c r="A427" s="84" t="inlineStr">
        <is>
          <t>Fonction publique territoriale et hospitalière</t>
        </is>
      </c>
      <c r="B427" s="88" t="n">
        <v>1997</v>
      </c>
      <c r="C427" s="93" t="n">
        <v>0.16</v>
      </c>
      <c r="D427" s="93" t="n">
        <v>0.0785</v>
      </c>
      <c r="E427" s="93" t="n">
        <v>0.251</v>
      </c>
      <c r="F427" s="7" t="inlineStr">
        <is>
          <t>légal</t>
        </is>
      </c>
      <c r="G427" s="93" t="n">
        <v>0</v>
      </c>
      <c r="H427" s="93" t="n">
        <v>0.013632</v>
      </c>
      <c r="I427" s="93" t="n">
        <v>0</v>
      </c>
      <c r="J427" s="94">
        <f>D427*(1-C427)+G427*MIN(C427,0.2*(1-C427))+H427</f>
        <v/>
      </c>
      <c r="K427" s="94">
        <f>E427*(1-C427)+G427*MIN(C427,0.2*(1-C427))</f>
        <v/>
      </c>
      <c r="L427" s="94">
        <f>I427*(1-C427)</f>
        <v/>
      </c>
      <c r="M427" s="89">
        <f>SUMIFS(Regimes!$G$5:$G$10,Regimes!$A$5:$A$10,A427)*(1-C427)/(1-0.24167)</f>
        <v/>
      </c>
      <c r="N427" s="14">
        <f>Donnees_annuelles!D55*J427</f>
        <v/>
      </c>
      <c r="O427" s="14">
        <f>Donnees_annuelles!D55*K427</f>
        <v/>
      </c>
      <c r="P427" s="14">
        <f>N427+O427</f>
        <v/>
      </c>
      <c r="Q427" s="14">
        <f>Donnees_annuelles!D55*L427</f>
        <v/>
      </c>
      <c r="R427" s="114">
        <f>P427/Donnees_annuelles!AA55*Donnees_annuelles!AI55/Donnees_annuelles!AG55</f>
        <v/>
      </c>
      <c r="S427" s="114">
        <f>P427/Donnees_annuelles!AA55*Donnees_annuelles!AJ55/Donnees_annuelles!AH55</f>
        <v/>
      </c>
    </row>
    <row r="428">
      <c r="A428" s="84" t="inlineStr">
        <is>
          <t>Fonction publique territoriale et hospitalière</t>
        </is>
      </c>
      <c r="B428" s="88" t="n">
        <v>1998</v>
      </c>
      <c r="C428" s="93" t="n">
        <v>0.165</v>
      </c>
      <c r="D428" s="93" t="n">
        <v>0.0785</v>
      </c>
      <c r="E428" s="93" t="n">
        <v>0.251</v>
      </c>
      <c r="F428" s="7" t="inlineStr">
        <is>
          <t>légal</t>
        </is>
      </c>
      <c r="G428" s="93" t="n">
        <v>0</v>
      </c>
      <c r="H428" s="93" t="n">
        <v>0.013632</v>
      </c>
      <c r="I428" s="93" t="n">
        <v>0</v>
      </c>
      <c r="J428" s="94">
        <f>D428*(1-C428)+G428*MIN(C428,0.2*(1-C428))+H428</f>
        <v/>
      </c>
      <c r="K428" s="94">
        <f>E428*(1-C428)+G428*MIN(C428,0.2*(1-C428))</f>
        <v/>
      </c>
      <c r="L428" s="94">
        <f>I428*(1-C428)</f>
        <v/>
      </c>
      <c r="M428" s="89">
        <f>SUMIFS(Regimes!$G$5:$G$10,Regimes!$A$5:$A$10,A428)*(1-C428)/(1-0.24167)</f>
        <v/>
      </c>
      <c r="N428" s="14">
        <f>Donnees_annuelles!D56*J428</f>
        <v/>
      </c>
      <c r="O428" s="14">
        <f>Donnees_annuelles!D56*K428</f>
        <v/>
      </c>
      <c r="P428" s="14">
        <f>N428+O428</f>
        <v/>
      </c>
      <c r="Q428" s="14">
        <f>Donnees_annuelles!D56*L428</f>
        <v/>
      </c>
      <c r="R428" s="114">
        <f>P428/Donnees_annuelles!AA56*Donnees_annuelles!AI56/Donnees_annuelles!AG56</f>
        <v/>
      </c>
      <c r="S428" s="114">
        <f>P428/Donnees_annuelles!AA56*Donnees_annuelles!AJ56/Donnees_annuelles!AH56</f>
        <v/>
      </c>
    </row>
    <row r="429">
      <c r="A429" s="84" t="inlineStr">
        <is>
          <t>Fonction publique territoriale et hospitalière</t>
        </is>
      </c>
      <c r="B429" s="88" t="n">
        <v>1999</v>
      </c>
      <c r="C429" s="93" t="n">
        <v>0.17</v>
      </c>
      <c r="D429" s="93" t="n">
        <v>0.0785</v>
      </c>
      <c r="E429" s="93" t="n">
        <v>0.251</v>
      </c>
      <c r="F429" s="7" t="inlineStr">
        <is>
          <t>légal</t>
        </is>
      </c>
      <c r="G429" s="93" t="n">
        <v>0</v>
      </c>
      <c r="H429" s="93" t="n">
        <v>0.013632</v>
      </c>
      <c r="I429" s="93" t="n">
        <v>0</v>
      </c>
      <c r="J429" s="94">
        <f>D429*(1-C429)+G429*MIN(C429,0.2*(1-C429))+H429</f>
        <v/>
      </c>
      <c r="K429" s="94">
        <f>E429*(1-C429)+G429*MIN(C429,0.2*(1-C429))</f>
        <v/>
      </c>
      <c r="L429" s="94">
        <f>I429*(1-C429)</f>
        <v/>
      </c>
      <c r="M429" s="89">
        <f>SUMIFS(Regimes!$G$5:$G$10,Regimes!$A$5:$A$10,A429)*(1-C429)/(1-0.24167)</f>
        <v/>
      </c>
      <c r="N429" s="14">
        <f>Donnees_annuelles!D57*J429</f>
        <v/>
      </c>
      <c r="O429" s="14">
        <f>Donnees_annuelles!D57*K429</f>
        <v/>
      </c>
      <c r="P429" s="14">
        <f>N429+O429</f>
        <v/>
      </c>
      <c r="Q429" s="14">
        <f>Donnees_annuelles!D57*L429</f>
        <v/>
      </c>
      <c r="R429" s="114">
        <f>P429/Donnees_annuelles!AA57*Donnees_annuelles!AI57/Donnees_annuelles!AG57</f>
        <v/>
      </c>
      <c r="S429" s="114">
        <f>P429/Donnees_annuelles!AA57*Donnees_annuelles!AJ57/Donnees_annuelles!AH57</f>
        <v/>
      </c>
    </row>
    <row r="430">
      <c r="A430" s="84" t="inlineStr">
        <is>
          <t>Fonction publique territoriale et hospitalière</t>
        </is>
      </c>
      <c r="B430" s="88" t="n">
        <v>2000</v>
      </c>
      <c r="C430" s="93" t="n">
        <v>0.175</v>
      </c>
      <c r="D430" s="93" t="n">
        <v>0.0785</v>
      </c>
      <c r="E430" s="93" t="n">
        <v>0.256</v>
      </c>
      <c r="F430" s="7" t="inlineStr">
        <is>
          <t>légal</t>
        </is>
      </c>
      <c r="G430" s="93" t="n">
        <v>0</v>
      </c>
      <c r="H430" s="93" t="n">
        <v>0.013632</v>
      </c>
      <c r="I430" s="93" t="n">
        <v>0</v>
      </c>
      <c r="J430" s="94">
        <f>D430*(1-C430)+G430*MIN(C430,0.2*(1-C430))+H430</f>
        <v/>
      </c>
      <c r="K430" s="94">
        <f>E430*(1-C430)+G430*MIN(C430,0.2*(1-C430))</f>
        <v/>
      </c>
      <c r="L430" s="94">
        <f>I430*(1-C430)</f>
        <v/>
      </c>
      <c r="M430" s="89">
        <f>SUMIFS(Regimes!$G$5:$G$10,Regimes!$A$5:$A$10,A430)*(1-C430)/(1-0.24167)</f>
        <v/>
      </c>
      <c r="N430" s="14">
        <f>Donnees_annuelles!D58*J430</f>
        <v/>
      </c>
      <c r="O430" s="14">
        <f>Donnees_annuelles!D58*K430</f>
        <v/>
      </c>
      <c r="P430" s="14">
        <f>N430+O430</f>
        <v/>
      </c>
      <c r="Q430" s="14">
        <f>Donnees_annuelles!D58*L430</f>
        <v/>
      </c>
      <c r="R430" s="114">
        <f>P430/Donnees_annuelles!AA58*Donnees_annuelles!AI58/Donnees_annuelles!AG58</f>
        <v/>
      </c>
      <c r="S430" s="114">
        <f>P430/Donnees_annuelles!AA58*Donnees_annuelles!AJ58/Donnees_annuelles!AH58</f>
        <v/>
      </c>
    </row>
    <row r="431">
      <c r="A431" s="84" t="inlineStr">
        <is>
          <t>Fonction publique territoriale et hospitalière</t>
        </is>
      </c>
      <c r="B431" s="88" t="n">
        <v>2001</v>
      </c>
      <c r="C431" s="93" t="n">
        <v>0.18</v>
      </c>
      <c r="D431" s="93" t="n">
        <v>0.0785</v>
      </c>
      <c r="E431" s="93" t="n">
        <v>0.261</v>
      </c>
      <c r="F431" s="7" t="inlineStr">
        <is>
          <t>légal</t>
        </is>
      </c>
      <c r="G431" s="93" t="n">
        <v>0</v>
      </c>
      <c r="H431" s="93" t="n">
        <v>0.012207</v>
      </c>
      <c r="I431" s="93" t="n">
        <v>0</v>
      </c>
      <c r="J431" s="94">
        <f>D431*(1-C431)+G431*MIN(C431,0.2*(1-C431))+H431</f>
        <v/>
      </c>
      <c r="K431" s="94">
        <f>E431*(1-C431)+G431*MIN(C431,0.2*(1-C431))</f>
        <v/>
      </c>
      <c r="L431" s="94">
        <f>I431*(1-C431)</f>
        <v/>
      </c>
      <c r="M431" s="89">
        <f>SUMIFS(Regimes!$G$5:$G$10,Regimes!$A$5:$A$10,A431)*(1-C431)/(1-0.24167)</f>
        <v/>
      </c>
      <c r="N431" s="14">
        <f>Donnees_annuelles!D59*J431</f>
        <v/>
      </c>
      <c r="O431" s="14">
        <f>Donnees_annuelles!D59*K431</f>
        <v/>
      </c>
      <c r="P431" s="14">
        <f>N431+O431</f>
        <v/>
      </c>
      <c r="Q431" s="14">
        <f>Donnees_annuelles!D59*L431</f>
        <v/>
      </c>
      <c r="R431" s="114">
        <f>P431/Donnees_annuelles!AA59*Donnees_annuelles!AI59/Donnees_annuelles!AG59</f>
        <v/>
      </c>
      <c r="S431" s="114">
        <f>P431/Donnees_annuelles!AA59*Donnees_annuelles!AJ59/Donnees_annuelles!AH59</f>
        <v/>
      </c>
    </row>
    <row r="432">
      <c r="A432" s="84" t="inlineStr">
        <is>
          <t>Fonction publique territoriale et hospitalière</t>
        </is>
      </c>
      <c r="B432" s="88" t="n">
        <v>2002</v>
      </c>
      <c r="C432" s="93" t="n">
        <v>0.185</v>
      </c>
      <c r="D432" s="93" t="n">
        <v>0.0785</v>
      </c>
      <c r="E432" s="93" t="n">
        <v>0.261</v>
      </c>
      <c r="F432" s="7" t="inlineStr">
        <is>
          <t>légal</t>
        </is>
      </c>
      <c r="G432" s="93" t="n">
        <v>0</v>
      </c>
      <c r="H432" s="93" t="n">
        <v>0.011258</v>
      </c>
      <c r="I432" s="93" t="n">
        <v>0</v>
      </c>
      <c r="J432" s="94">
        <f>D432*(1-C432)+G432*MIN(C432,0.2*(1-C432))+H432</f>
        <v/>
      </c>
      <c r="K432" s="94">
        <f>E432*(1-C432)+G432*MIN(C432,0.2*(1-C432))</f>
        <v/>
      </c>
      <c r="L432" s="94">
        <f>I432*(1-C432)</f>
        <v/>
      </c>
      <c r="M432" s="89">
        <f>SUMIFS(Regimes!$G$5:$G$10,Regimes!$A$5:$A$10,A432)*(1-C432)/(1-0.24167)</f>
        <v/>
      </c>
      <c r="N432" s="14">
        <f>Donnees_annuelles!D60*J432</f>
        <v/>
      </c>
      <c r="O432" s="14">
        <f>Donnees_annuelles!D60*K432</f>
        <v/>
      </c>
      <c r="P432" s="14">
        <f>N432+O432</f>
        <v/>
      </c>
      <c r="Q432" s="14">
        <f>Donnees_annuelles!D60*L432</f>
        <v/>
      </c>
      <c r="R432" s="114">
        <f>P432/Donnees_annuelles!AA60*Donnees_annuelles!AI60/Donnees_annuelles!AG60</f>
        <v/>
      </c>
      <c r="S432" s="114">
        <f>P432/Donnees_annuelles!AA60*Donnees_annuelles!AJ60/Donnees_annuelles!AH60</f>
        <v/>
      </c>
    </row>
    <row r="433">
      <c r="A433" s="84" t="inlineStr">
        <is>
          <t>Fonction publique territoriale et hospitalière</t>
        </is>
      </c>
      <c r="B433" s="88" t="n">
        <v>2003</v>
      </c>
      <c r="C433" s="93" t="n">
        <v>0.19</v>
      </c>
      <c r="D433" s="93" t="n">
        <v>0.0785</v>
      </c>
      <c r="E433" s="93" t="n">
        <v>0.265</v>
      </c>
      <c r="F433" s="7" t="inlineStr">
        <is>
          <t>légal</t>
        </is>
      </c>
      <c r="G433" s="93" t="n">
        <v>0</v>
      </c>
      <c r="H433" s="93" t="n">
        <v>0.011258</v>
      </c>
      <c r="I433" s="93" t="n">
        <v>0</v>
      </c>
      <c r="J433" s="94">
        <f>D433*(1-C433)+G433*MIN(C433,0.2*(1-C433))+H433</f>
        <v/>
      </c>
      <c r="K433" s="94">
        <f>E433*(1-C433)+G433*MIN(C433,0.2*(1-C433))</f>
        <v/>
      </c>
      <c r="L433" s="94">
        <f>I433*(1-C433)</f>
        <v/>
      </c>
      <c r="M433" s="89">
        <f>SUMIFS(Regimes!$G$5:$G$10,Regimes!$A$5:$A$10,A433)*(1-C433)/(1-0.24167)</f>
        <v/>
      </c>
      <c r="N433" s="14">
        <f>Donnees_annuelles!D61*J433</f>
        <v/>
      </c>
      <c r="O433" s="14">
        <f>Donnees_annuelles!D61*K433</f>
        <v/>
      </c>
      <c r="P433" s="14">
        <f>N433+O433</f>
        <v/>
      </c>
      <c r="Q433" s="14">
        <f>Donnees_annuelles!D61*L433</f>
        <v/>
      </c>
      <c r="R433" s="114">
        <f>P433/Donnees_annuelles!AA61*Donnees_annuelles!AI61/Donnees_annuelles!AG61</f>
        <v/>
      </c>
      <c r="S433" s="114">
        <f>P433/Donnees_annuelles!AA61*Donnees_annuelles!AJ61/Donnees_annuelles!AH61</f>
        <v/>
      </c>
    </row>
    <row r="434">
      <c r="A434" s="84" t="inlineStr">
        <is>
          <t>Fonction publique territoriale et hospitalière</t>
        </is>
      </c>
      <c r="B434" s="88" t="n">
        <v>2004</v>
      </c>
      <c r="C434" s="93" t="n">
        <v>0.195</v>
      </c>
      <c r="D434" s="93" t="n">
        <v>0.0785</v>
      </c>
      <c r="E434" s="93" t="n">
        <v>0.269</v>
      </c>
      <c r="F434" s="7" t="inlineStr">
        <is>
          <t>légal</t>
        </is>
      </c>
      <c r="G434" s="93" t="n">
        <v>0</v>
      </c>
      <c r="H434" s="93" t="n">
        <v>0.011258</v>
      </c>
      <c r="I434" s="93" t="n">
        <v>0</v>
      </c>
      <c r="J434" s="94">
        <f>D434*(1-C434)+G434*MIN(C434,0.2*(1-C434))+H434</f>
        <v/>
      </c>
      <c r="K434" s="94">
        <f>E434*(1-C434)+G434*MIN(C434,0.2*(1-C434))</f>
        <v/>
      </c>
      <c r="L434" s="94">
        <f>I434*(1-C434)</f>
        <v/>
      </c>
      <c r="M434" s="89">
        <f>SUMIFS(Regimes!$G$5:$G$10,Regimes!$A$5:$A$10,A434)*(1-C434)/(1-0.24167)</f>
        <v/>
      </c>
      <c r="N434" s="14">
        <f>Donnees_annuelles!D62*J434</f>
        <v/>
      </c>
      <c r="O434" s="14">
        <f>Donnees_annuelles!D62*K434</f>
        <v/>
      </c>
      <c r="P434" s="14">
        <f>N434+O434</f>
        <v/>
      </c>
      <c r="Q434" s="14">
        <f>Donnees_annuelles!D62*L434</f>
        <v/>
      </c>
      <c r="R434" s="114">
        <f>P434/Donnees_annuelles!AA62*Donnees_annuelles!AI62/Donnees_annuelles!AG62</f>
        <v/>
      </c>
      <c r="S434" s="114">
        <f>P434/Donnees_annuelles!AA62*Donnees_annuelles!AJ62/Donnees_annuelles!AH62</f>
        <v/>
      </c>
    </row>
    <row r="435">
      <c r="A435" s="84" t="inlineStr">
        <is>
          <t>Fonction publique territoriale et hospitalière</t>
        </is>
      </c>
      <c r="B435" s="88" t="n">
        <v>2005</v>
      </c>
      <c r="C435" s="93" t="n">
        <v>0.2</v>
      </c>
      <c r="D435" s="93" t="n">
        <v>0.0785</v>
      </c>
      <c r="E435" s="93" t="n">
        <v>0.273</v>
      </c>
      <c r="F435" s="7" t="inlineStr">
        <is>
          <t>légal</t>
        </is>
      </c>
      <c r="G435" s="93" t="n">
        <v>0.05</v>
      </c>
      <c r="H435" s="93" t="n">
        <v>0.011494</v>
      </c>
      <c r="I435" s="93" t="n">
        <v>0</v>
      </c>
      <c r="J435" s="94">
        <f>D435*(1-C435)+G435*MIN(C435,0.2*(1-C435))+H435</f>
        <v/>
      </c>
      <c r="K435" s="94">
        <f>E435*(1-C435)+G435*MIN(C435,0.2*(1-C435))</f>
        <v/>
      </c>
      <c r="L435" s="94">
        <f>I435*(1-C435)</f>
        <v/>
      </c>
      <c r="M435" s="89">
        <f>SUMIFS(Regimes!$G$5:$G$10,Regimes!$A$5:$A$10,A435)*(1-C435)/(1-0.24167)</f>
        <v/>
      </c>
      <c r="N435" s="14">
        <f>Donnees_annuelles!D63*J435</f>
        <v/>
      </c>
      <c r="O435" s="14">
        <f>Donnees_annuelles!D63*K435</f>
        <v/>
      </c>
      <c r="P435" s="14">
        <f>N435+O435</f>
        <v/>
      </c>
      <c r="Q435" s="14">
        <f>Donnees_annuelles!D63*L435</f>
        <v/>
      </c>
      <c r="R435" s="114">
        <f>P435/Donnees_annuelles!AA63*Donnees_annuelles!AI63/Donnees_annuelles!AG63</f>
        <v/>
      </c>
      <c r="S435" s="114">
        <f>P435/Donnees_annuelles!AA63*Donnees_annuelles!AJ63/Donnees_annuelles!AH63</f>
        <v/>
      </c>
    </row>
    <row r="436">
      <c r="A436" s="84" t="inlineStr">
        <is>
          <t>Fonction publique territoriale et hospitalière</t>
        </is>
      </c>
      <c r="B436" s="88" t="n">
        <v>2006</v>
      </c>
      <c r="C436" s="93" t="n">
        <v>0.2028</v>
      </c>
      <c r="D436" s="93" t="n">
        <v>0.0785</v>
      </c>
      <c r="E436" s="93" t="n">
        <v>0.273</v>
      </c>
      <c r="F436" s="7" t="inlineStr">
        <is>
          <t>légal</t>
        </is>
      </c>
      <c r="G436" s="93" t="n">
        <v>0.05</v>
      </c>
      <c r="H436" s="93" t="n">
        <v>0.011494</v>
      </c>
      <c r="I436" s="93" t="n">
        <v>0</v>
      </c>
      <c r="J436" s="94">
        <f>D436*(1-C436)+G436*MIN(C436,0.2*(1-C436))+H436</f>
        <v/>
      </c>
      <c r="K436" s="94">
        <f>E436*(1-C436)+G436*MIN(C436,0.2*(1-C436))</f>
        <v/>
      </c>
      <c r="L436" s="94">
        <f>I436*(1-C436)</f>
        <v/>
      </c>
      <c r="M436" s="89">
        <f>SUMIFS(Regimes!$G$5:$G$10,Regimes!$A$5:$A$10,A436)*(1-C436)/(1-0.24167)</f>
        <v/>
      </c>
      <c r="N436" s="14">
        <f>Donnees_annuelles!D64*J436</f>
        <v/>
      </c>
      <c r="O436" s="14">
        <f>Donnees_annuelles!D64*K436</f>
        <v/>
      </c>
      <c r="P436" s="14">
        <f>N436+O436</f>
        <v/>
      </c>
      <c r="Q436" s="14">
        <f>Donnees_annuelles!D64*L436</f>
        <v/>
      </c>
      <c r="R436" s="114">
        <f>P436/Donnees_annuelles!AA64*Donnees_annuelles!AI64/Donnees_annuelles!AG64</f>
        <v/>
      </c>
      <c r="S436" s="114">
        <f>P436/Donnees_annuelles!AA64*Donnees_annuelles!AJ64/Donnees_annuelles!AH64</f>
        <v/>
      </c>
    </row>
    <row r="437">
      <c r="A437" s="84" t="inlineStr">
        <is>
          <t>Fonction publique territoriale et hospitalière</t>
        </is>
      </c>
      <c r="B437" s="88" t="n">
        <v>2007</v>
      </c>
      <c r="C437" s="93" t="n">
        <v>0.2056</v>
      </c>
      <c r="D437" s="93" t="n">
        <v>0.0785</v>
      </c>
      <c r="E437" s="93" t="n">
        <v>0.273</v>
      </c>
      <c r="F437" s="7" t="inlineStr">
        <is>
          <t>légal</t>
        </is>
      </c>
      <c r="G437" s="93" t="n">
        <v>0.05</v>
      </c>
      <c r="H437" s="93" t="n">
        <v>0.011494</v>
      </c>
      <c r="I437" s="93" t="n">
        <v>0</v>
      </c>
      <c r="J437" s="94">
        <f>D437*(1-C437)+G437*MIN(C437,0.2*(1-C437))+H437</f>
        <v/>
      </c>
      <c r="K437" s="94">
        <f>E437*(1-C437)+G437*MIN(C437,0.2*(1-C437))</f>
        <v/>
      </c>
      <c r="L437" s="94">
        <f>I437*(1-C437)</f>
        <v/>
      </c>
      <c r="M437" s="89">
        <f>SUMIFS(Regimes!$G$5:$G$10,Regimes!$A$5:$A$10,A437)*(1-C437)/(1-0.24167)</f>
        <v/>
      </c>
      <c r="N437" s="14">
        <f>Donnees_annuelles!D65*J437</f>
        <v/>
      </c>
      <c r="O437" s="14">
        <f>Donnees_annuelles!D65*K437</f>
        <v/>
      </c>
      <c r="P437" s="14">
        <f>N437+O437</f>
        <v/>
      </c>
      <c r="Q437" s="14">
        <f>Donnees_annuelles!D65*L437</f>
        <v/>
      </c>
      <c r="R437" s="114">
        <f>P437/Donnees_annuelles!AA65*Donnees_annuelles!AI65/Donnees_annuelles!AG65</f>
        <v/>
      </c>
      <c r="S437" s="114">
        <f>P437/Donnees_annuelles!AA65*Donnees_annuelles!AJ65/Donnees_annuelles!AH65</f>
        <v/>
      </c>
    </row>
    <row r="438">
      <c r="A438" s="84" t="inlineStr">
        <is>
          <t>Fonction publique territoriale et hospitalière</t>
        </is>
      </c>
      <c r="B438" s="88" t="n">
        <v>2008</v>
      </c>
      <c r="C438" s="93" t="n">
        <v>0.2083</v>
      </c>
      <c r="D438" s="93" t="n">
        <v>0.0785</v>
      </c>
      <c r="E438" s="93" t="n">
        <v>0.273</v>
      </c>
      <c r="F438" s="7" t="inlineStr">
        <is>
          <t>légal</t>
        </is>
      </c>
      <c r="G438" s="93" t="n">
        <v>0.05</v>
      </c>
      <c r="H438" s="93" t="n">
        <v>0.011494</v>
      </c>
      <c r="I438" s="93" t="n">
        <v>0</v>
      </c>
      <c r="J438" s="94">
        <f>D438*(1-C438)+G438*MIN(C438,0.2*(1-C438))+H438</f>
        <v/>
      </c>
      <c r="K438" s="94">
        <f>E438*(1-C438)+G438*MIN(C438,0.2*(1-C438))</f>
        <v/>
      </c>
      <c r="L438" s="94">
        <f>I438*(1-C438)</f>
        <v/>
      </c>
      <c r="M438" s="89">
        <f>SUMIFS(Regimes!$G$5:$G$10,Regimes!$A$5:$A$10,A438)*(1-C438)/(1-0.24167)</f>
        <v/>
      </c>
      <c r="N438" s="14">
        <f>Donnees_annuelles!D66*J438</f>
        <v/>
      </c>
      <c r="O438" s="14">
        <f>Donnees_annuelles!D66*K438</f>
        <v/>
      </c>
      <c r="P438" s="14">
        <f>N438+O438</f>
        <v/>
      </c>
      <c r="Q438" s="14">
        <f>Donnees_annuelles!D66*L438</f>
        <v/>
      </c>
      <c r="R438" s="114">
        <f>P438/Donnees_annuelles!AA66*Donnees_annuelles!AI66/Donnees_annuelles!AG66</f>
        <v/>
      </c>
      <c r="S438" s="114">
        <f>P438/Donnees_annuelles!AA66*Donnees_annuelles!AJ66/Donnees_annuelles!AH66</f>
        <v/>
      </c>
    </row>
    <row r="439">
      <c r="A439" s="84" t="inlineStr">
        <is>
          <t>Fonction publique territoriale et hospitalière</t>
        </is>
      </c>
      <c r="B439" s="88" t="n">
        <v>2009</v>
      </c>
      <c r="C439" s="93" t="n">
        <v>0.2111</v>
      </c>
      <c r="D439" s="93" t="n">
        <v>0.0785</v>
      </c>
      <c r="E439" s="93" t="n">
        <v>0.273</v>
      </c>
      <c r="F439" s="7" t="inlineStr">
        <is>
          <t>légal</t>
        </is>
      </c>
      <c r="G439" s="93" t="n">
        <v>0.05</v>
      </c>
      <c r="H439" s="93" t="n">
        <v>0.010078</v>
      </c>
      <c r="I439" s="93" t="n">
        <v>0</v>
      </c>
      <c r="J439" s="94">
        <f>D439*(1-C439)+G439*MIN(C439,0.2*(1-C439))+H439</f>
        <v/>
      </c>
      <c r="K439" s="94">
        <f>E439*(1-C439)+G439*MIN(C439,0.2*(1-C439))</f>
        <v/>
      </c>
      <c r="L439" s="94">
        <f>I439*(1-C439)</f>
        <v/>
      </c>
      <c r="M439" s="89">
        <f>SUMIFS(Regimes!$G$5:$G$10,Regimes!$A$5:$A$10,A439)*(1-C439)/(1-0.24167)</f>
        <v/>
      </c>
      <c r="N439" s="14">
        <f>Donnees_annuelles!D67*J439</f>
        <v/>
      </c>
      <c r="O439" s="14">
        <f>Donnees_annuelles!D67*K439</f>
        <v/>
      </c>
      <c r="P439" s="14">
        <f>N439+O439</f>
        <v/>
      </c>
      <c r="Q439" s="14">
        <f>Donnees_annuelles!D67*L439</f>
        <v/>
      </c>
      <c r="R439" s="114">
        <f>P439/Donnees_annuelles!AA67*Donnees_annuelles!AI67/Donnees_annuelles!AG67</f>
        <v/>
      </c>
      <c r="S439" s="114">
        <f>P439/Donnees_annuelles!AA67*Donnees_annuelles!AJ67/Donnees_annuelles!AH67</f>
        <v/>
      </c>
    </row>
    <row r="440">
      <c r="A440" s="84" t="inlineStr">
        <is>
          <t>Fonction publique territoriale et hospitalière</t>
        </is>
      </c>
      <c r="B440" s="88" t="n">
        <v>2010</v>
      </c>
      <c r="C440" s="93" t="n">
        <v>0.2139</v>
      </c>
      <c r="D440" s="93" t="n">
        <v>0.0785</v>
      </c>
      <c r="E440" s="93" t="n">
        <v>0.273</v>
      </c>
      <c r="F440" s="7" t="inlineStr">
        <is>
          <t>légal</t>
        </is>
      </c>
      <c r="G440" s="93" t="n">
        <v>0.05</v>
      </c>
      <c r="H440" s="93" t="n">
        <v>0.010078</v>
      </c>
      <c r="I440" s="93" t="n">
        <v>0</v>
      </c>
      <c r="J440" s="94">
        <f>D440*(1-C440)+G440*MIN(C440,0.2*(1-C440))+H440</f>
        <v/>
      </c>
      <c r="K440" s="94">
        <f>E440*(1-C440)+G440*MIN(C440,0.2*(1-C440))</f>
        <v/>
      </c>
      <c r="L440" s="94">
        <f>I440*(1-C440)</f>
        <v/>
      </c>
      <c r="M440" s="89">
        <f>SUMIFS(Regimes!$G$5:$G$10,Regimes!$A$5:$A$10,A440)*(1-C440)/(1-0.24167)</f>
        <v/>
      </c>
      <c r="N440" s="14">
        <f>Donnees_annuelles!D68*J440</f>
        <v/>
      </c>
      <c r="O440" s="14">
        <f>Donnees_annuelles!D68*K440</f>
        <v/>
      </c>
      <c r="P440" s="14">
        <f>N440+O440</f>
        <v/>
      </c>
      <c r="Q440" s="14">
        <f>Donnees_annuelles!D68*L440</f>
        <v/>
      </c>
      <c r="R440" s="114">
        <f>P440/Donnees_annuelles!AA68*Donnees_annuelles!AI68/Donnees_annuelles!AG68</f>
        <v/>
      </c>
      <c r="S440" s="114">
        <f>P440/Donnees_annuelles!AA68*Donnees_annuelles!AJ68/Donnees_annuelles!AH68</f>
        <v/>
      </c>
    </row>
    <row r="441">
      <c r="A441" s="84" t="inlineStr">
        <is>
          <t>Fonction publique territoriale et hospitalière</t>
        </is>
      </c>
      <c r="B441" s="88" t="n">
        <v>2011</v>
      </c>
      <c r="C441" s="93" t="n">
        <v>0.2167</v>
      </c>
      <c r="D441" s="93" t="n">
        <v>0.08119999999999999</v>
      </c>
      <c r="E441" s="93" t="n">
        <v>0.273</v>
      </c>
      <c r="F441" s="7" t="inlineStr">
        <is>
          <t>légal</t>
        </is>
      </c>
      <c r="G441" s="93" t="n">
        <v>0.05</v>
      </c>
      <c r="H441" s="93" t="n">
        <v>0.010812</v>
      </c>
      <c r="I441" s="93" t="n">
        <v>0</v>
      </c>
      <c r="J441" s="94">
        <f>D441*(1-C441)+G441*MIN(C441,0.2*(1-C441))+H441</f>
        <v/>
      </c>
      <c r="K441" s="94">
        <f>E441*(1-C441)+G441*MIN(C441,0.2*(1-C441))</f>
        <v/>
      </c>
      <c r="L441" s="94">
        <f>I441*(1-C441)</f>
        <v/>
      </c>
      <c r="M441" s="89">
        <f>SUMIFS(Regimes!$G$5:$G$10,Regimes!$A$5:$A$10,A441)*(1-C441)/(1-0.24167)</f>
        <v/>
      </c>
      <c r="N441" s="14">
        <f>Donnees_annuelles!D69*J441</f>
        <v/>
      </c>
      <c r="O441" s="14">
        <f>Donnees_annuelles!D69*K441</f>
        <v/>
      </c>
      <c r="P441" s="14">
        <f>N441+O441</f>
        <v/>
      </c>
      <c r="Q441" s="14">
        <f>Donnees_annuelles!D69*L441</f>
        <v/>
      </c>
      <c r="R441" s="114">
        <f>P441/Donnees_annuelles!AA69*Donnees_annuelles!AI69/Donnees_annuelles!AG69</f>
        <v/>
      </c>
      <c r="S441" s="114">
        <f>P441/Donnees_annuelles!AA69*Donnees_annuelles!AJ69/Donnees_annuelles!AH69</f>
        <v/>
      </c>
    </row>
    <row r="442">
      <c r="A442" s="84" t="inlineStr">
        <is>
          <t>Fonction publique territoriale et hospitalière</t>
        </is>
      </c>
      <c r="B442" s="88" t="n">
        <v>2012</v>
      </c>
      <c r="C442" s="93" t="n">
        <v>0.2194</v>
      </c>
      <c r="D442" s="93" t="n">
        <v>0.08407000000000001</v>
      </c>
      <c r="E442" s="93" t="n">
        <v>0.27317</v>
      </c>
      <c r="F442" s="7" t="inlineStr">
        <is>
          <t>légal</t>
        </is>
      </c>
      <c r="G442" s="93" t="n">
        <v>0.05</v>
      </c>
      <c r="H442" s="93" t="n">
        <v>0.010951</v>
      </c>
      <c r="I442" s="93" t="n">
        <v>0</v>
      </c>
      <c r="J442" s="94">
        <f>D442*(1-C442)+G442*MIN(C442,0.2*(1-C442))+H442</f>
        <v/>
      </c>
      <c r="K442" s="94">
        <f>E442*(1-C442)+G442*MIN(C442,0.2*(1-C442))</f>
        <v/>
      </c>
      <c r="L442" s="94">
        <f>I442*(1-C442)</f>
        <v/>
      </c>
      <c r="M442" s="89">
        <f>SUMIFS(Regimes!$G$5:$G$10,Regimes!$A$5:$A$10,A442)*(1-C442)/(1-0.24167)</f>
        <v/>
      </c>
      <c r="N442" s="14">
        <f>Donnees_annuelles!D70*J442</f>
        <v/>
      </c>
      <c r="O442" s="14">
        <f>Donnees_annuelles!D70*K442</f>
        <v/>
      </c>
      <c r="P442" s="14">
        <f>N442+O442</f>
        <v/>
      </c>
      <c r="Q442" s="14">
        <f>Donnees_annuelles!D70*L442</f>
        <v/>
      </c>
      <c r="R442" s="114">
        <f>P442/Donnees_annuelles!AA70*Donnees_annuelles!AI70/Donnees_annuelles!AG70</f>
        <v/>
      </c>
      <c r="S442" s="114">
        <f>P442/Donnees_annuelles!AA70*Donnees_annuelles!AJ70/Donnees_annuelles!AH70</f>
        <v/>
      </c>
    </row>
    <row r="443">
      <c r="A443" s="84" t="inlineStr">
        <is>
          <t>Fonction publique territoriale et hospitalière</t>
        </is>
      </c>
      <c r="B443" s="88" t="n">
        <v>2013</v>
      </c>
      <c r="C443" s="93" t="n">
        <v>0.2222</v>
      </c>
      <c r="D443" s="93" t="n">
        <v>0.0876</v>
      </c>
      <c r="E443" s="93" t="n">
        <v>0.2885</v>
      </c>
      <c r="F443" s="7" t="inlineStr">
        <is>
          <t>légal</t>
        </is>
      </c>
      <c r="G443" s="93" t="n">
        <v>0.05</v>
      </c>
      <c r="H443" s="93" t="n">
        <v>0.010951</v>
      </c>
      <c r="I443" s="93" t="n">
        <v>0</v>
      </c>
      <c r="J443" s="94">
        <f>D443*(1-C443)+G443*MIN(C443,0.2*(1-C443))+H443</f>
        <v/>
      </c>
      <c r="K443" s="94">
        <f>E443*(1-C443)+G443*MIN(C443,0.2*(1-C443))</f>
        <v/>
      </c>
      <c r="L443" s="94">
        <f>I443*(1-C443)</f>
        <v/>
      </c>
      <c r="M443" s="89">
        <f>SUMIFS(Regimes!$G$5:$G$10,Regimes!$A$5:$A$10,A443)*(1-C443)/(1-0.24167)</f>
        <v/>
      </c>
      <c r="N443" s="14">
        <f>Donnees_annuelles!D71*J443</f>
        <v/>
      </c>
      <c r="O443" s="14">
        <f>Donnees_annuelles!D71*K443</f>
        <v/>
      </c>
      <c r="P443" s="14">
        <f>N443+O443</f>
        <v/>
      </c>
      <c r="Q443" s="14">
        <f>Donnees_annuelles!D71*L443</f>
        <v/>
      </c>
      <c r="R443" s="114">
        <f>P443/Donnees_annuelles!AA71*Donnees_annuelles!AI71/Donnees_annuelles!AG71</f>
        <v/>
      </c>
      <c r="S443" s="114">
        <f>P443/Donnees_annuelles!AA71*Donnees_annuelles!AJ71/Donnees_annuelles!AH71</f>
        <v/>
      </c>
    </row>
    <row r="444">
      <c r="A444" s="84" t="inlineStr">
        <is>
          <t>Fonction publique territoriale et hospitalière</t>
        </is>
      </c>
      <c r="B444" s="88" t="n">
        <v>2014</v>
      </c>
      <c r="C444" s="93" t="n">
        <v>0.225</v>
      </c>
      <c r="D444" s="93" t="n">
        <v>0.0914</v>
      </c>
      <c r="E444" s="93" t="n">
        <v>0.304</v>
      </c>
      <c r="F444" s="7" t="inlineStr">
        <is>
          <t>légal</t>
        </is>
      </c>
      <c r="G444" s="93" t="n">
        <v>0.05</v>
      </c>
      <c r="H444" s="93" t="n">
        <v>0.010951</v>
      </c>
      <c r="I444" s="93" t="n">
        <v>0</v>
      </c>
      <c r="J444" s="94">
        <f>D444*(1-C444)+G444*MIN(C444,0.2*(1-C444))+H444</f>
        <v/>
      </c>
      <c r="K444" s="94">
        <f>E444*(1-C444)+G444*MIN(C444,0.2*(1-C444))</f>
        <v/>
      </c>
      <c r="L444" s="94">
        <f>I444*(1-C444)</f>
        <v/>
      </c>
      <c r="M444" s="89">
        <f>SUMIFS(Regimes!$G$5:$G$10,Regimes!$A$5:$A$10,A444)*(1-C444)/(1-0.24167)</f>
        <v/>
      </c>
      <c r="N444" s="14">
        <f>Donnees_annuelles!D72*J444</f>
        <v/>
      </c>
      <c r="O444" s="14">
        <f>Donnees_annuelles!D72*K444</f>
        <v/>
      </c>
      <c r="P444" s="14">
        <f>N444+O444</f>
        <v/>
      </c>
      <c r="Q444" s="14">
        <f>Donnees_annuelles!D72*L444</f>
        <v/>
      </c>
      <c r="R444" s="114">
        <f>P444/Donnees_annuelles!AA72*Donnees_annuelles!AI72/Donnees_annuelles!AG72</f>
        <v/>
      </c>
      <c r="S444" s="114">
        <f>P444/Donnees_annuelles!AA72*Donnees_annuelles!AJ72/Donnees_annuelles!AH72</f>
        <v/>
      </c>
    </row>
    <row r="445">
      <c r="A445" s="84" t="inlineStr">
        <is>
          <t>Fonction publique territoriale et hospitalière</t>
        </is>
      </c>
      <c r="B445" s="88" t="n">
        <v>2015</v>
      </c>
      <c r="C445" s="93" t="n">
        <v>0.2278</v>
      </c>
      <c r="D445" s="93" t="n">
        <v>0.0954</v>
      </c>
      <c r="E445" s="93" t="n">
        <v>0.305</v>
      </c>
      <c r="F445" s="7" t="inlineStr">
        <is>
          <t>légal</t>
        </is>
      </c>
      <c r="G445" s="93" t="n">
        <v>0.05</v>
      </c>
      <c r="H445" s="93" t="n">
        <v>0.010951</v>
      </c>
      <c r="I445" s="93" t="n">
        <v>0</v>
      </c>
      <c r="J445" s="94">
        <f>D445*(1-C445)+G445*MIN(C445,0.2*(1-C445))+H445</f>
        <v/>
      </c>
      <c r="K445" s="94">
        <f>E445*(1-C445)+G445*MIN(C445,0.2*(1-C445))</f>
        <v/>
      </c>
      <c r="L445" s="94">
        <f>I445*(1-C445)</f>
        <v/>
      </c>
      <c r="M445" s="89">
        <f>SUMIFS(Regimes!$G$5:$G$10,Regimes!$A$5:$A$10,A445)*(1-C445)/(1-0.24167)</f>
        <v/>
      </c>
      <c r="N445" s="14">
        <f>Donnees_annuelles!D73*J445</f>
        <v/>
      </c>
      <c r="O445" s="14">
        <f>Donnees_annuelles!D73*K445</f>
        <v/>
      </c>
      <c r="P445" s="14">
        <f>N445+O445</f>
        <v/>
      </c>
      <c r="Q445" s="14">
        <f>Donnees_annuelles!D73*L445</f>
        <v/>
      </c>
      <c r="R445" s="114">
        <f>P445/Donnees_annuelles!AA73*Donnees_annuelles!AI73/Donnees_annuelles!AG73</f>
        <v/>
      </c>
      <c r="S445" s="114">
        <f>P445/Donnees_annuelles!AA73*Donnees_annuelles!AJ73/Donnees_annuelles!AH73</f>
        <v/>
      </c>
    </row>
    <row r="446">
      <c r="A446" s="84" t="inlineStr">
        <is>
          <t>Fonction publique territoriale et hospitalière</t>
        </is>
      </c>
      <c r="B446" s="88" t="n">
        <v>2016</v>
      </c>
      <c r="C446" s="93" t="n">
        <v>0.2306</v>
      </c>
      <c r="D446" s="93" t="n">
        <v>0.0994</v>
      </c>
      <c r="E446" s="93" t="n">
        <v>0.306</v>
      </c>
      <c r="F446" s="7" t="inlineStr">
        <is>
          <t>légal</t>
        </is>
      </c>
      <c r="G446" s="93" t="n">
        <v>0.05</v>
      </c>
      <c r="H446" s="93" t="n">
        <v>0.002918</v>
      </c>
      <c r="I446" s="93" t="n">
        <v>0</v>
      </c>
      <c r="J446" s="94">
        <f>D446*(1-C446)+G446*MIN(C446,0.2*(1-C446))+H446</f>
        <v/>
      </c>
      <c r="K446" s="94">
        <f>E446*(1-C446)+G446*MIN(C446,0.2*(1-C446))</f>
        <v/>
      </c>
      <c r="L446" s="94">
        <f>I446*(1-C446)</f>
        <v/>
      </c>
      <c r="M446" s="89">
        <f>SUMIFS(Regimes!$G$5:$G$10,Regimes!$A$5:$A$10,A446)*(1-C446)/(1-0.24167)</f>
        <v/>
      </c>
      <c r="N446" s="14">
        <f>Donnees_annuelles!D74*J446</f>
        <v/>
      </c>
      <c r="O446" s="14">
        <f>Donnees_annuelles!D74*K446</f>
        <v/>
      </c>
      <c r="P446" s="14">
        <f>N446+O446</f>
        <v/>
      </c>
      <c r="Q446" s="14">
        <f>Donnees_annuelles!D74*L446</f>
        <v/>
      </c>
      <c r="R446" s="114">
        <f>P446/Donnees_annuelles!AA74*Donnees_annuelles!AI74/Donnees_annuelles!AG74</f>
        <v/>
      </c>
      <c r="S446" s="114">
        <f>P446/Donnees_annuelles!AA74*Donnees_annuelles!AJ74/Donnees_annuelles!AH74</f>
        <v/>
      </c>
    </row>
    <row r="447">
      <c r="A447" s="84" t="inlineStr">
        <is>
          <t>Fonction publique territoriale et hospitalière</t>
        </is>
      </c>
      <c r="B447" s="88" t="n">
        <v>2017</v>
      </c>
      <c r="C447" s="93" t="n">
        <v>0.2333</v>
      </c>
      <c r="D447" s="93" t="n">
        <v>0.1029</v>
      </c>
      <c r="E447" s="93" t="n">
        <v>0.3065</v>
      </c>
      <c r="F447" s="7" t="inlineStr">
        <is>
          <t>légal</t>
        </is>
      </c>
      <c r="G447" s="93" t="n">
        <v>0.05</v>
      </c>
      <c r="H447" s="93" t="n">
        <v>0.002918</v>
      </c>
      <c r="I447" s="93" t="n">
        <v>0</v>
      </c>
      <c r="J447" s="94">
        <f>D447*(1-C447)+G447*MIN(C447,0.2*(1-C447))+H447</f>
        <v/>
      </c>
      <c r="K447" s="94">
        <f>E447*(1-C447)+G447*MIN(C447,0.2*(1-C447))</f>
        <v/>
      </c>
      <c r="L447" s="94">
        <f>I447*(1-C447)</f>
        <v/>
      </c>
      <c r="M447" s="89">
        <f>SUMIFS(Regimes!$G$5:$G$10,Regimes!$A$5:$A$10,A447)*(1-C447)/(1-0.24167)</f>
        <v/>
      </c>
      <c r="N447" s="14">
        <f>Donnees_annuelles!D75*J447</f>
        <v/>
      </c>
      <c r="O447" s="14">
        <f>Donnees_annuelles!D75*K447</f>
        <v/>
      </c>
      <c r="P447" s="14">
        <f>N447+O447</f>
        <v/>
      </c>
      <c r="Q447" s="14">
        <f>Donnees_annuelles!D75*L447</f>
        <v/>
      </c>
      <c r="R447" s="114">
        <f>P447/Donnees_annuelles!AA75*Donnees_annuelles!AI75/Donnees_annuelles!AG75</f>
        <v/>
      </c>
      <c r="S447" s="114">
        <f>P447/Donnees_annuelles!AA75*Donnees_annuelles!AJ75/Donnees_annuelles!AH75</f>
        <v/>
      </c>
    </row>
    <row r="448">
      <c r="A448" s="84" t="inlineStr">
        <is>
          <t>Fonction publique territoriale et hospitalière</t>
        </is>
      </c>
      <c r="B448" s="88" t="n">
        <v>2018</v>
      </c>
      <c r="C448" s="93" t="n">
        <v>0.2361</v>
      </c>
      <c r="D448" s="93" t="n">
        <v>0.1056</v>
      </c>
      <c r="E448" s="93" t="n">
        <v>0.3065</v>
      </c>
      <c r="F448" s="7" t="inlineStr">
        <is>
          <t>légal</t>
        </is>
      </c>
      <c r="G448" s="93" t="n">
        <v>0.05</v>
      </c>
      <c r="H448" s="93" t="n">
        <v>0.002918</v>
      </c>
      <c r="I448" s="93" t="n">
        <v>0</v>
      </c>
      <c r="J448" s="94">
        <f>D448*(1-C448)+G448*MIN(C448,0.2*(1-C448))+H448</f>
        <v/>
      </c>
      <c r="K448" s="94">
        <f>E448*(1-C448)+G448*MIN(C448,0.2*(1-C448))</f>
        <v/>
      </c>
      <c r="L448" s="94">
        <f>I448*(1-C448)</f>
        <v/>
      </c>
      <c r="M448" s="89">
        <f>SUMIFS(Regimes!$G$5:$G$10,Regimes!$A$5:$A$10,A448)*(1-C448)/(1-0.24167)</f>
        <v/>
      </c>
      <c r="N448" s="14">
        <f>Donnees_annuelles!D76*J448</f>
        <v/>
      </c>
      <c r="O448" s="14">
        <f>Donnees_annuelles!D76*K448</f>
        <v/>
      </c>
      <c r="P448" s="14">
        <f>N448+O448</f>
        <v/>
      </c>
      <c r="Q448" s="14">
        <f>Donnees_annuelles!D76*L448</f>
        <v/>
      </c>
      <c r="R448" s="114">
        <f>P448/Donnees_annuelles!AA76*Donnees_annuelles!AI76/Donnees_annuelles!AG76</f>
        <v/>
      </c>
      <c r="S448" s="114">
        <f>P448/Donnees_annuelles!AA76*Donnees_annuelles!AJ76/Donnees_annuelles!AH76</f>
        <v/>
      </c>
    </row>
    <row r="449">
      <c r="A449" s="84" t="inlineStr">
        <is>
          <t>Fonction publique territoriale et hospitalière</t>
        </is>
      </c>
      <c r="B449" s="88" t="n">
        <v>2019</v>
      </c>
      <c r="C449" s="93" t="n">
        <v>0.2389</v>
      </c>
      <c r="D449" s="93" t="n">
        <v>0.1083</v>
      </c>
      <c r="E449" s="93" t="n">
        <v>0.3065</v>
      </c>
      <c r="F449" s="7" t="inlineStr">
        <is>
          <t>légal</t>
        </is>
      </c>
      <c r="G449" s="93" t="n">
        <v>0.05</v>
      </c>
      <c r="H449" s="93" t="n">
        <v>0.002918</v>
      </c>
      <c r="I449" s="93" t="n">
        <v>0</v>
      </c>
      <c r="J449" s="94">
        <f>D449*(1-C449)+G449*MIN(C449,0.2*(1-C449))+H449</f>
        <v/>
      </c>
      <c r="K449" s="94">
        <f>E449*(1-C449)+G449*MIN(C449,0.2*(1-C449))</f>
        <v/>
      </c>
      <c r="L449" s="94">
        <f>I449*(1-C449)</f>
        <v/>
      </c>
      <c r="M449" s="89">
        <f>SUMIFS(Regimes!$G$5:$G$10,Regimes!$A$5:$A$10,A449)*(1-C449)/(1-0.24167)</f>
        <v/>
      </c>
      <c r="N449" s="14">
        <f>Donnees_annuelles!D77*J449</f>
        <v/>
      </c>
      <c r="O449" s="14">
        <f>Donnees_annuelles!D77*K449</f>
        <v/>
      </c>
      <c r="P449" s="14">
        <f>N449+O449</f>
        <v/>
      </c>
      <c r="Q449" s="14">
        <f>Donnees_annuelles!D77*L449</f>
        <v/>
      </c>
      <c r="R449" s="114">
        <f>P449/Donnees_annuelles!AA77*Donnees_annuelles!AI77/Donnees_annuelles!AG77</f>
        <v/>
      </c>
      <c r="S449" s="114">
        <f>P449/Donnees_annuelles!AA77*Donnees_annuelles!AJ77/Donnees_annuelles!AH77</f>
        <v/>
      </c>
    </row>
    <row r="450">
      <c r="A450" s="84" t="inlineStr">
        <is>
          <t>Fonction publique territoriale et hospitalière</t>
        </is>
      </c>
      <c r="B450" s="88" t="n">
        <v>2020</v>
      </c>
      <c r="C450" s="93" t="n">
        <v>0.2417</v>
      </c>
      <c r="D450" s="93" t="n">
        <v>0.111</v>
      </c>
      <c r="E450" s="93" t="n">
        <v>0.3065</v>
      </c>
      <c r="F450" s="7" t="inlineStr">
        <is>
          <t>légal</t>
        </is>
      </c>
      <c r="G450" s="93" t="n">
        <v>0.05</v>
      </c>
      <c r="H450" s="93" t="n">
        <v>0.002918</v>
      </c>
      <c r="I450" s="93" t="n">
        <v>0</v>
      </c>
      <c r="J450" s="94">
        <f>D450*(1-C450)+G450*MIN(C450,0.2*(1-C450))+H450</f>
        <v/>
      </c>
      <c r="K450" s="94">
        <f>E450*(1-C450)+G450*MIN(C450,0.2*(1-C450))</f>
        <v/>
      </c>
      <c r="L450" s="94">
        <f>I450*(1-C450)</f>
        <v/>
      </c>
      <c r="M450" s="89">
        <f>SUMIFS(Regimes!$G$5:$G$10,Regimes!$A$5:$A$10,A450)*(1-C450)/(1-0.24167)</f>
        <v/>
      </c>
      <c r="N450" s="14">
        <f>Donnees_annuelles!D78*J450</f>
        <v/>
      </c>
      <c r="O450" s="14">
        <f>Donnees_annuelles!D78*K450</f>
        <v/>
      </c>
      <c r="P450" s="14">
        <f>N450+O450</f>
        <v/>
      </c>
      <c r="Q450" s="14">
        <f>Donnees_annuelles!D78*L450</f>
        <v/>
      </c>
      <c r="R450" s="114">
        <f>P450/Donnees_annuelles!AA78*Donnees_annuelles!AI78/Donnees_annuelles!AG78</f>
        <v/>
      </c>
      <c r="S450" s="114">
        <f>P450/Donnees_annuelles!AA78*Donnees_annuelles!AJ78/Donnees_annuelles!AH78</f>
        <v/>
      </c>
    </row>
    <row r="451">
      <c r="A451" s="84" t="inlineStr">
        <is>
          <t>Fonction publique territoriale et hospitalière</t>
        </is>
      </c>
      <c r="B451" s="88" t="n">
        <v>2021</v>
      </c>
      <c r="C451" s="93" t="n">
        <v>0.2444</v>
      </c>
      <c r="D451" s="93" t="n">
        <v>0.111</v>
      </c>
      <c r="E451" s="93" t="n">
        <v>0.3065</v>
      </c>
      <c r="F451" s="7" t="inlineStr">
        <is>
          <t>légal</t>
        </is>
      </c>
      <c r="G451" s="93" t="n">
        <v>0.05</v>
      </c>
      <c r="H451" s="93" t="n">
        <v>0.002918</v>
      </c>
      <c r="I451" s="93" t="n">
        <v>0</v>
      </c>
      <c r="J451" s="94">
        <f>D451*(1-C451)+G451*MIN(C451,0.2*(1-C451))+H451</f>
        <v/>
      </c>
      <c r="K451" s="94">
        <f>E451*(1-C451)+G451*MIN(C451,0.2*(1-C451))</f>
        <v/>
      </c>
      <c r="L451" s="94">
        <f>I451*(1-C451)</f>
        <v/>
      </c>
      <c r="M451" s="89">
        <f>SUMIFS(Regimes!$G$5:$G$10,Regimes!$A$5:$A$10,A451)*(1-C451)/(1-0.24167)</f>
        <v/>
      </c>
      <c r="N451" s="14">
        <f>Donnees_annuelles!D79*J451</f>
        <v/>
      </c>
      <c r="O451" s="14">
        <f>Donnees_annuelles!D79*K451</f>
        <v/>
      </c>
      <c r="P451" s="14">
        <f>N451+O451</f>
        <v/>
      </c>
      <c r="Q451" s="14">
        <f>Donnees_annuelles!D79*L451</f>
        <v/>
      </c>
      <c r="R451" s="114">
        <f>P451/Donnees_annuelles!AA79*Donnees_annuelles!AI79/Donnees_annuelles!AG79</f>
        <v/>
      </c>
      <c r="S451" s="114">
        <f>P451/Donnees_annuelles!AA79*Donnees_annuelles!AJ79/Donnees_annuelles!AH79</f>
        <v/>
      </c>
    </row>
    <row r="452">
      <c r="A452" s="84" t="inlineStr">
        <is>
          <t>Fonction publique territoriale et hospitalière</t>
        </is>
      </c>
      <c r="B452" s="88" t="n">
        <v>2022</v>
      </c>
      <c r="C452" s="93" t="n">
        <v>0.2472</v>
      </c>
      <c r="D452" s="93" t="n">
        <v>0.111</v>
      </c>
      <c r="E452" s="93" t="n">
        <v>0.3065</v>
      </c>
      <c r="F452" s="7" t="inlineStr">
        <is>
          <t>légal</t>
        </is>
      </c>
      <c r="G452" s="93" t="n">
        <v>0.05</v>
      </c>
      <c r="H452" s="93" t="n">
        <v>0.002918</v>
      </c>
      <c r="I452" s="93" t="n">
        <v>0</v>
      </c>
      <c r="J452" s="94">
        <f>D452*(1-C452)+G452*MIN(C452,0.2*(1-C452))+H452</f>
        <v/>
      </c>
      <c r="K452" s="94">
        <f>E452*(1-C452)+G452*MIN(C452,0.2*(1-C452))</f>
        <v/>
      </c>
      <c r="L452" s="94">
        <f>I452*(1-C452)</f>
        <v/>
      </c>
      <c r="M452" s="89">
        <f>SUMIFS(Regimes!$G$5:$G$10,Regimes!$A$5:$A$10,A452)*(1-C452)/(1-0.24167)</f>
        <v/>
      </c>
      <c r="N452" s="14">
        <f>Donnees_annuelles!D80*J452</f>
        <v/>
      </c>
      <c r="O452" s="14">
        <f>Donnees_annuelles!D80*K452</f>
        <v/>
      </c>
      <c r="P452" s="14">
        <f>N452+O452</f>
        <v/>
      </c>
      <c r="Q452" s="14">
        <f>Donnees_annuelles!D80*L452</f>
        <v/>
      </c>
      <c r="R452" s="114">
        <f>P452/Donnees_annuelles!AA80*Donnees_annuelles!AI80/Donnees_annuelles!AG80</f>
        <v/>
      </c>
      <c r="S452" s="114">
        <f>P452/Donnees_annuelles!AA80*Donnees_annuelles!AJ80/Donnees_annuelles!AH80</f>
        <v/>
      </c>
    </row>
    <row r="453">
      <c r="A453" s="84" t="inlineStr">
        <is>
          <t>Fonction publique territoriale et hospitalière</t>
        </is>
      </c>
      <c r="B453" s="88" t="n">
        <v>2023</v>
      </c>
      <c r="C453" s="93" t="n">
        <v>0.25</v>
      </c>
      <c r="D453" s="93" t="n">
        <v>0.111</v>
      </c>
      <c r="E453" s="93" t="n">
        <v>0.3065</v>
      </c>
      <c r="F453" s="7" t="inlineStr">
        <is>
          <t>légal</t>
        </is>
      </c>
      <c r="G453" s="93" t="n">
        <v>0.05</v>
      </c>
      <c r="H453" s="93" t="n">
        <v>0.002918</v>
      </c>
      <c r="I453" s="93" t="n">
        <v>0.04367</v>
      </c>
      <c r="J453" s="94">
        <f>D453*(1-C453)+G453*MIN(C453,0.2*(1-C453))+H453</f>
        <v/>
      </c>
      <c r="K453" s="94">
        <f>E453*(1-C453)+G453*MIN(C453,0.2*(1-C453))</f>
        <v/>
      </c>
      <c r="L453" s="94">
        <f>I453*(1-C453)</f>
        <v/>
      </c>
      <c r="M453" s="89">
        <f>SUMIFS(Regimes!$G$5:$G$10,Regimes!$A$5:$A$10,A453)*(1-C453)/(1-0.24167)</f>
        <v/>
      </c>
      <c r="N453" s="14">
        <f>Donnees_annuelles!D81*J453</f>
        <v/>
      </c>
      <c r="O453" s="14">
        <f>Donnees_annuelles!D81*K453</f>
        <v/>
      </c>
      <c r="P453" s="14">
        <f>N453+O453</f>
        <v/>
      </c>
      <c r="Q453" s="14">
        <f>Donnees_annuelles!D81*L453</f>
        <v/>
      </c>
      <c r="R453" s="114">
        <f>P453/Donnees_annuelles!AA81*Donnees_annuelles!AI81/Donnees_annuelles!AG81</f>
        <v/>
      </c>
      <c r="S453" s="114">
        <f>P453/Donnees_annuelles!AA81*Donnees_annuelles!AJ81/Donnees_annuelles!AH81</f>
        <v/>
      </c>
    </row>
    <row r="454">
      <c r="A454" s="84" t="inlineStr">
        <is>
          <t>Fonction publique territoriale et hospitalière</t>
        </is>
      </c>
      <c r="B454" s="88" t="n">
        <v>2024</v>
      </c>
      <c r="C454" s="93" t="n">
        <v>0.25</v>
      </c>
      <c r="D454" s="93" t="n">
        <v>0.111</v>
      </c>
      <c r="E454" s="93" t="n">
        <v>0.3165</v>
      </c>
      <c r="F454" s="7" t="inlineStr">
        <is>
          <t>légal</t>
        </is>
      </c>
      <c r="G454" s="93" t="n">
        <v>0.05</v>
      </c>
      <c r="H454" s="93" t="n">
        <v>0.00252</v>
      </c>
      <c r="I454" s="93" t="n">
        <v>0.0501</v>
      </c>
      <c r="J454" s="94">
        <f>D454*(1-C454)+G454*MIN(C454,0.2*(1-C454))+H454</f>
        <v/>
      </c>
      <c r="K454" s="94">
        <f>E454*(1-C454)+G454*MIN(C454,0.2*(1-C454))</f>
        <v/>
      </c>
      <c r="L454" s="94">
        <f>I454*(1-C454)</f>
        <v/>
      </c>
      <c r="M454" s="89">
        <f>SUMIFS(Regimes!$G$5:$G$10,Regimes!$A$5:$A$10,A454)*(1-C454)/(1-0.24167)</f>
        <v/>
      </c>
      <c r="N454" s="14">
        <f>Donnees_annuelles!D82*J454</f>
        <v/>
      </c>
      <c r="O454" s="14">
        <f>Donnees_annuelles!D82*K454</f>
        <v/>
      </c>
      <c r="P454" s="14">
        <f>N454+O454</f>
        <v/>
      </c>
      <c r="Q454" s="14">
        <f>Donnees_annuelles!D82*L454</f>
        <v/>
      </c>
      <c r="R454" s="114">
        <f>P454/Donnees_annuelles!AA82*Donnees_annuelles!AI82/Donnees_annuelles!AG82</f>
        <v/>
      </c>
      <c r="S454" s="114">
        <f>P454/Donnees_annuelles!AA82*Donnees_annuelles!AJ82/Donnees_annuelles!AH82</f>
        <v/>
      </c>
    </row>
    <row r="455">
      <c r="A455" s="84" t="inlineStr">
        <is>
          <t>Fonction publique territoriale et hospitalière</t>
        </is>
      </c>
      <c r="B455" s="88" t="n">
        <v>2025</v>
      </c>
      <c r="C455" s="93" t="n">
        <v>0.25</v>
      </c>
      <c r="D455" s="93" t="n">
        <v>0.111</v>
      </c>
      <c r="E455" s="93" t="n">
        <v>0.3465</v>
      </c>
      <c r="F455" s="7" t="inlineStr">
        <is>
          <t>légal</t>
        </is>
      </c>
      <c r="G455" s="93" t="n">
        <v>0.05</v>
      </c>
      <c r="H455" s="93" t="n">
        <v>0.00252</v>
      </c>
      <c r="I455" s="93" t="n">
        <v>0.0501</v>
      </c>
      <c r="J455" s="94">
        <f>D455*(1-C455)+G455*MIN(C455,0.2*(1-C455))+H455</f>
        <v/>
      </c>
      <c r="K455" s="94">
        <f>E455*(1-C455)+G455*MIN(C455,0.2*(1-C455))</f>
        <v/>
      </c>
      <c r="L455" s="94">
        <f>I455*(1-C455)</f>
        <v/>
      </c>
      <c r="M455" s="89">
        <f>SUMIFS(Regimes!$G$5:$G$10,Regimes!$A$5:$A$10,A455)*(1-C455)/(1-0.24167)</f>
        <v/>
      </c>
      <c r="N455" s="14">
        <f>Donnees_annuelles!D83*J455</f>
        <v/>
      </c>
      <c r="O455" s="14">
        <f>Donnees_annuelles!D83*K455</f>
        <v/>
      </c>
      <c r="P455" s="14">
        <f>N455+O455</f>
        <v/>
      </c>
      <c r="Q455" s="14">
        <f>Donnees_annuelles!D83*L455</f>
        <v/>
      </c>
      <c r="R455" s="114">
        <f>P455/Donnees_annuelles!AA83*Donnees_annuelles!AI83/Donnees_annuelles!AG83</f>
        <v/>
      </c>
      <c r="S455" s="114">
        <f>P455/Donnees_annuelles!AA83*Donnees_annuelles!AJ83/Donnees_annuelles!AH83</f>
        <v/>
      </c>
    </row>
    <row r="456">
      <c r="A456" s="84" t="inlineStr">
        <is>
          <t>Fonction publique territoriale et hospitalière</t>
        </is>
      </c>
      <c r="B456" s="88" t="n">
        <v>2026</v>
      </c>
      <c r="C456" s="93" t="n">
        <v>0.25</v>
      </c>
      <c r="D456" s="93" t="n">
        <v>0.111</v>
      </c>
      <c r="E456" s="93" t="n">
        <v>0.3765</v>
      </c>
      <c r="F456" s="7" t="inlineStr">
        <is>
          <t>légal</t>
        </is>
      </c>
      <c r="G456" s="93" t="n">
        <v>0.05</v>
      </c>
      <c r="H456" s="93" t="n">
        <v>0.00252</v>
      </c>
      <c r="I456" s="93" t="n">
        <v>0.0501</v>
      </c>
      <c r="J456" s="94">
        <f>D456*(1-C456)+G456*MIN(C456,0.2*(1-C456))+H456</f>
        <v/>
      </c>
      <c r="K456" s="94">
        <f>E456*(1-C456)+G456*MIN(C456,0.2*(1-C456))</f>
        <v/>
      </c>
      <c r="L456" s="94">
        <f>I456*(1-C456)</f>
        <v/>
      </c>
      <c r="M456" s="89">
        <f>SUMIFS(Regimes!$G$5:$G$10,Regimes!$A$5:$A$10,A456)*(1-C456)/(1-0.24167)</f>
        <v/>
      </c>
      <c r="N456" s="14">
        <f>Donnees_annuelles!D84*J456</f>
        <v/>
      </c>
      <c r="O456" s="14">
        <f>Donnees_annuelles!D84*K456</f>
        <v/>
      </c>
      <c r="P456" s="14">
        <f>N456+O456</f>
        <v/>
      </c>
      <c r="Q456" s="14">
        <f>Donnees_annuelles!D84*L456</f>
        <v/>
      </c>
      <c r="R456" s="114">
        <f>P456/Donnees_annuelles!AA84*Donnees_annuelles!AI84/Donnees_annuelles!AG84</f>
        <v/>
      </c>
      <c r="S456" s="114">
        <f>P456/Donnees_annuelles!AA84*Donnees_annuelles!AJ84/Donnees_annuelles!AH84</f>
        <v/>
      </c>
    </row>
    <row r="457">
      <c r="A457" s="115" t="inlineStr">
        <is>
          <t>Fonction publique territoriale et hospitalière</t>
        </is>
      </c>
      <c r="B457" s="101" t="n">
        <v>2027</v>
      </c>
      <c r="C457" s="105" t="n">
        <v>0.25</v>
      </c>
      <c r="D457" s="105" t="n">
        <v>0.111</v>
      </c>
      <c r="E457" s="105" t="n">
        <v>0.3765</v>
      </c>
      <c r="F457" s="116" t="inlineStr">
        <is>
          <t>légal</t>
        </is>
      </c>
      <c r="G457" s="105" t="n">
        <v>0.05</v>
      </c>
      <c r="H457" s="105" t="n">
        <v>0.00252</v>
      </c>
      <c r="I457" s="105" t="n">
        <v>0.0501</v>
      </c>
      <c r="J457" s="107">
        <f>D457*(1-C457)+G457*MIN(C457,0.2*(1-C457))+H457</f>
        <v/>
      </c>
      <c r="K457" s="107">
        <f>E457*(1-C457)+G457*MIN(C457,0.2*(1-C457))</f>
        <v/>
      </c>
      <c r="L457" s="107">
        <f>I457*(1-C457)</f>
        <v/>
      </c>
      <c r="M457" s="119">
        <f>SUMIFS(Regimes!$G$5:$G$10,Regimes!$A$5:$A$10,A457)*(1-C457)/(1-0.24167)</f>
        <v/>
      </c>
      <c r="N457" s="106">
        <f>Donnees_annuelles!D85*J457</f>
        <v/>
      </c>
      <c r="O457" s="106">
        <f>Donnees_annuelles!D85*K457</f>
        <v/>
      </c>
      <c r="P457" s="106">
        <f>N457+O457</f>
        <v/>
      </c>
      <c r="Q457" s="106">
        <f>Donnees_annuelles!D85*L457</f>
        <v/>
      </c>
      <c r="R457" s="118">
        <f>P457/Donnees_annuelles!AA85*Donnees_annuelles!AI85/Donnees_annuelles!AG85</f>
        <v/>
      </c>
      <c r="S457" s="118">
        <f>P457/Donnees_annuelles!AA85*Donnees_annuelles!AJ85/Donnees_annuelles!AH85</f>
        <v/>
      </c>
    </row>
    <row r="458">
      <c r="A458" s="115" t="inlineStr">
        <is>
          <t>Fonction publique territoriale et hospitalière</t>
        </is>
      </c>
      <c r="B458" s="101" t="n">
        <v>2028</v>
      </c>
      <c r="C458" s="105" t="n">
        <v>0.25</v>
      </c>
      <c r="D458" s="105" t="n">
        <v>0.111</v>
      </c>
      <c r="E458" s="105" t="n">
        <v>0.3765</v>
      </c>
      <c r="F458" s="116" t="inlineStr">
        <is>
          <t>légal</t>
        </is>
      </c>
      <c r="G458" s="105" t="n">
        <v>0.05</v>
      </c>
      <c r="H458" s="105" t="n">
        <v>0.00252</v>
      </c>
      <c r="I458" s="105" t="n">
        <v>0.0501</v>
      </c>
      <c r="J458" s="107">
        <f>D458*(1-C458)+G458*MIN(C458,0.2*(1-C458))+H458</f>
        <v/>
      </c>
      <c r="K458" s="107">
        <f>E458*(1-C458)+G458*MIN(C458,0.2*(1-C458))</f>
        <v/>
      </c>
      <c r="L458" s="107">
        <f>I458*(1-C458)</f>
        <v/>
      </c>
      <c r="M458" s="119">
        <f>SUMIFS(Regimes!$G$5:$G$10,Regimes!$A$5:$A$10,A458)*(1-C458)/(1-0.24167)</f>
        <v/>
      </c>
      <c r="N458" s="106">
        <f>Donnees_annuelles!D86*J458</f>
        <v/>
      </c>
      <c r="O458" s="106">
        <f>Donnees_annuelles!D86*K458</f>
        <v/>
      </c>
      <c r="P458" s="106">
        <f>N458+O458</f>
        <v/>
      </c>
      <c r="Q458" s="106">
        <f>Donnees_annuelles!D86*L458</f>
        <v/>
      </c>
      <c r="R458" s="118">
        <f>P458/Donnees_annuelles!AA86*Donnees_annuelles!AI86/Donnees_annuelles!AG86</f>
        <v/>
      </c>
      <c r="S458" s="118">
        <f>P458/Donnees_annuelles!AA86*Donnees_annuelles!AJ86/Donnees_annuelles!AH86</f>
        <v/>
      </c>
    </row>
    <row r="459">
      <c r="A459" s="115" t="inlineStr">
        <is>
          <t>Fonction publique territoriale et hospitalière</t>
        </is>
      </c>
      <c r="B459" s="101" t="n">
        <v>2029</v>
      </c>
      <c r="C459" s="105" t="n">
        <v>0.25</v>
      </c>
      <c r="D459" s="105" t="n">
        <v>0.111</v>
      </c>
      <c r="E459" s="105" t="n">
        <v>0.3765</v>
      </c>
      <c r="F459" s="116" t="inlineStr">
        <is>
          <t>légal</t>
        </is>
      </c>
      <c r="G459" s="105" t="n">
        <v>0.05</v>
      </c>
      <c r="H459" s="105" t="n">
        <v>0.00252</v>
      </c>
      <c r="I459" s="105" t="n">
        <v>0.0501</v>
      </c>
      <c r="J459" s="107">
        <f>D459*(1-C459)+G459*MIN(C459,0.2*(1-C459))+H459</f>
        <v/>
      </c>
      <c r="K459" s="107">
        <f>E459*(1-C459)+G459*MIN(C459,0.2*(1-C459))</f>
        <v/>
      </c>
      <c r="L459" s="107">
        <f>I459*(1-C459)</f>
        <v/>
      </c>
      <c r="M459" s="119">
        <f>SUMIFS(Regimes!$G$5:$G$10,Regimes!$A$5:$A$10,A459)*(1-C459)/(1-0.24167)</f>
        <v/>
      </c>
      <c r="N459" s="106">
        <f>Donnees_annuelles!D87*J459</f>
        <v/>
      </c>
      <c r="O459" s="106">
        <f>Donnees_annuelles!D87*K459</f>
        <v/>
      </c>
      <c r="P459" s="106">
        <f>N459+O459</f>
        <v/>
      </c>
      <c r="Q459" s="106">
        <f>Donnees_annuelles!D87*L459</f>
        <v/>
      </c>
      <c r="R459" s="118">
        <f>P459/Donnees_annuelles!AA87*Donnees_annuelles!AI87/Donnees_annuelles!AG87</f>
        <v/>
      </c>
      <c r="S459" s="118">
        <f>P459/Donnees_annuelles!AA87*Donnees_annuelles!AJ87/Donnees_annuelles!AH87</f>
        <v/>
      </c>
    </row>
    <row r="460">
      <c r="A460" s="115" t="inlineStr">
        <is>
          <t>Fonction publique territoriale et hospitalière</t>
        </is>
      </c>
      <c r="B460" s="101" t="n">
        <v>2030</v>
      </c>
      <c r="C460" s="105" t="n">
        <v>0.25</v>
      </c>
      <c r="D460" s="105" t="n">
        <v>0.111</v>
      </c>
      <c r="E460" s="105" t="n">
        <v>0.3765</v>
      </c>
      <c r="F460" s="116" t="inlineStr">
        <is>
          <t>légal</t>
        </is>
      </c>
      <c r="G460" s="105" t="n">
        <v>0.05</v>
      </c>
      <c r="H460" s="105" t="n">
        <v>0.00252</v>
      </c>
      <c r="I460" s="105" t="n">
        <v>0.0501</v>
      </c>
      <c r="J460" s="107">
        <f>D460*(1-C460)+G460*MIN(C460,0.2*(1-C460))+H460</f>
        <v/>
      </c>
      <c r="K460" s="107">
        <f>E460*(1-C460)+G460*MIN(C460,0.2*(1-C460))</f>
        <v/>
      </c>
      <c r="L460" s="107">
        <f>I460*(1-C460)</f>
        <v/>
      </c>
      <c r="M460" s="119">
        <f>SUMIFS(Regimes!$G$5:$G$10,Regimes!$A$5:$A$10,A460)*(1-C460)/(1-0.24167)</f>
        <v/>
      </c>
      <c r="N460" s="106">
        <f>Donnees_annuelles!D88*J460</f>
        <v/>
      </c>
      <c r="O460" s="106">
        <f>Donnees_annuelles!D88*K460</f>
        <v/>
      </c>
      <c r="P460" s="106">
        <f>N460+O460</f>
        <v/>
      </c>
      <c r="Q460" s="106">
        <f>Donnees_annuelles!D88*L460</f>
        <v/>
      </c>
      <c r="R460" s="118">
        <f>P460/Donnees_annuelles!AA88*Donnees_annuelles!AI88/Donnees_annuelles!AG88</f>
        <v/>
      </c>
      <c r="S460" s="118">
        <f>P460/Donnees_annuelles!AA88*Donnees_annuelles!AJ88/Donnees_annuelles!AH88</f>
        <v/>
      </c>
    </row>
    <row r="461">
      <c r="A461" s="115" t="inlineStr">
        <is>
          <t>Fonction publique territoriale et hospitalière</t>
        </is>
      </c>
      <c r="B461" s="101" t="n">
        <v>2031</v>
      </c>
      <c r="C461" s="105" t="n">
        <v>0.25</v>
      </c>
      <c r="D461" s="105" t="n">
        <v>0.111</v>
      </c>
      <c r="E461" s="105" t="n">
        <v>0.3765</v>
      </c>
      <c r="F461" s="116" t="inlineStr">
        <is>
          <t>légal</t>
        </is>
      </c>
      <c r="G461" s="105" t="n">
        <v>0.05</v>
      </c>
      <c r="H461" s="105" t="n">
        <v>0.00252</v>
      </c>
      <c r="I461" s="105" t="n">
        <v>0.0501</v>
      </c>
      <c r="J461" s="107">
        <f>D461*(1-C461)+G461*MIN(C461,0.2*(1-C461))+H461</f>
        <v/>
      </c>
      <c r="K461" s="107">
        <f>E461*(1-C461)+G461*MIN(C461,0.2*(1-C461))</f>
        <v/>
      </c>
      <c r="L461" s="107">
        <f>I461*(1-C461)</f>
        <v/>
      </c>
      <c r="M461" s="119">
        <f>SUMIFS(Regimes!$G$5:$G$10,Regimes!$A$5:$A$10,A461)*(1-C461)/(1-0.24167)</f>
        <v/>
      </c>
      <c r="N461" s="106">
        <f>Donnees_annuelles!D89*J461</f>
        <v/>
      </c>
      <c r="O461" s="106">
        <f>Donnees_annuelles!D89*K461</f>
        <v/>
      </c>
      <c r="P461" s="106">
        <f>N461+O461</f>
        <v/>
      </c>
      <c r="Q461" s="106">
        <f>Donnees_annuelles!D89*L461</f>
        <v/>
      </c>
      <c r="R461" s="118">
        <f>P461/Donnees_annuelles!AA89*Donnees_annuelles!AI89/Donnees_annuelles!AG89</f>
        <v/>
      </c>
      <c r="S461" s="118">
        <f>P461/Donnees_annuelles!AA89*Donnees_annuelles!AJ89/Donnees_annuelles!AH89</f>
        <v/>
      </c>
    </row>
    <row r="462">
      <c r="A462" s="115" t="inlineStr">
        <is>
          <t>Fonction publique territoriale et hospitalière</t>
        </is>
      </c>
      <c r="B462" s="101" t="n">
        <v>2032</v>
      </c>
      <c r="C462" s="105" t="n">
        <v>0.25</v>
      </c>
      <c r="D462" s="105" t="n">
        <v>0.111</v>
      </c>
      <c r="E462" s="105" t="n">
        <v>0.3765</v>
      </c>
      <c r="F462" s="116" t="inlineStr">
        <is>
          <t>légal</t>
        </is>
      </c>
      <c r="G462" s="105" t="n">
        <v>0.05</v>
      </c>
      <c r="H462" s="105" t="n">
        <v>0.00252</v>
      </c>
      <c r="I462" s="105" t="n">
        <v>0.0501</v>
      </c>
      <c r="J462" s="107">
        <f>D462*(1-C462)+G462*MIN(C462,0.2*(1-C462))+H462</f>
        <v/>
      </c>
      <c r="K462" s="107">
        <f>E462*(1-C462)+G462*MIN(C462,0.2*(1-C462))</f>
        <v/>
      </c>
      <c r="L462" s="107">
        <f>I462*(1-C462)</f>
        <v/>
      </c>
      <c r="M462" s="119">
        <f>SUMIFS(Regimes!$G$5:$G$10,Regimes!$A$5:$A$10,A462)*(1-C462)/(1-0.24167)</f>
        <v/>
      </c>
      <c r="N462" s="106">
        <f>Donnees_annuelles!D90*J462</f>
        <v/>
      </c>
      <c r="O462" s="106">
        <f>Donnees_annuelles!D90*K462</f>
        <v/>
      </c>
      <c r="P462" s="106">
        <f>N462+O462</f>
        <v/>
      </c>
      <c r="Q462" s="106">
        <f>Donnees_annuelles!D90*L462</f>
        <v/>
      </c>
      <c r="R462" s="118">
        <f>P462/Donnees_annuelles!AA90*Donnees_annuelles!AI90/Donnees_annuelles!AG90</f>
        <v/>
      </c>
      <c r="S462" s="118">
        <f>P462/Donnees_annuelles!AA90*Donnees_annuelles!AJ90/Donnees_annuelles!AH90</f>
        <v/>
      </c>
    </row>
    <row r="463">
      <c r="A463" s="115" t="inlineStr">
        <is>
          <t>Fonction publique territoriale et hospitalière</t>
        </is>
      </c>
      <c r="B463" s="101" t="n">
        <v>2033</v>
      </c>
      <c r="C463" s="105" t="n">
        <v>0.25</v>
      </c>
      <c r="D463" s="105" t="n">
        <v>0.111</v>
      </c>
      <c r="E463" s="105" t="n">
        <v>0.3765</v>
      </c>
      <c r="F463" s="116" t="inlineStr">
        <is>
          <t>légal</t>
        </is>
      </c>
      <c r="G463" s="105" t="n">
        <v>0.05</v>
      </c>
      <c r="H463" s="105" t="n">
        <v>0.00252</v>
      </c>
      <c r="I463" s="105" t="n">
        <v>0.0501</v>
      </c>
      <c r="J463" s="107">
        <f>D463*(1-C463)+G463*MIN(C463,0.2*(1-C463))+H463</f>
        <v/>
      </c>
      <c r="K463" s="107">
        <f>E463*(1-C463)+G463*MIN(C463,0.2*(1-C463))</f>
        <v/>
      </c>
      <c r="L463" s="107">
        <f>I463*(1-C463)</f>
        <v/>
      </c>
      <c r="M463" s="119">
        <f>SUMIFS(Regimes!$G$5:$G$10,Regimes!$A$5:$A$10,A463)*(1-C463)/(1-0.24167)</f>
        <v/>
      </c>
      <c r="N463" s="106">
        <f>Donnees_annuelles!D91*J463</f>
        <v/>
      </c>
      <c r="O463" s="106">
        <f>Donnees_annuelles!D91*K463</f>
        <v/>
      </c>
      <c r="P463" s="106">
        <f>N463+O463</f>
        <v/>
      </c>
      <c r="Q463" s="106">
        <f>Donnees_annuelles!D91*L463</f>
        <v/>
      </c>
      <c r="R463" s="118">
        <f>P463/Donnees_annuelles!AA91*Donnees_annuelles!AI91/Donnees_annuelles!AG91</f>
        <v/>
      </c>
      <c r="S463" s="118">
        <f>P463/Donnees_annuelles!AA91*Donnees_annuelles!AJ91/Donnees_annuelles!AH91</f>
        <v/>
      </c>
    </row>
    <row r="464">
      <c r="A464" s="115" t="inlineStr">
        <is>
          <t>Fonction publique territoriale et hospitalière</t>
        </is>
      </c>
      <c r="B464" s="101" t="n">
        <v>2034</v>
      </c>
      <c r="C464" s="105" t="n">
        <v>0.25</v>
      </c>
      <c r="D464" s="105" t="n">
        <v>0.111</v>
      </c>
      <c r="E464" s="105" t="n">
        <v>0.3765</v>
      </c>
      <c r="F464" s="116" t="inlineStr">
        <is>
          <t>légal</t>
        </is>
      </c>
      <c r="G464" s="105" t="n">
        <v>0.05</v>
      </c>
      <c r="H464" s="105" t="n">
        <v>0.00252</v>
      </c>
      <c r="I464" s="105" t="n">
        <v>0.0501</v>
      </c>
      <c r="J464" s="107">
        <f>D464*(1-C464)+G464*MIN(C464,0.2*(1-C464))+H464</f>
        <v/>
      </c>
      <c r="K464" s="107">
        <f>E464*(1-C464)+G464*MIN(C464,0.2*(1-C464))</f>
        <v/>
      </c>
      <c r="L464" s="107">
        <f>I464*(1-C464)</f>
        <v/>
      </c>
      <c r="M464" s="119">
        <f>SUMIFS(Regimes!$G$5:$G$10,Regimes!$A$5:$A$10,A464)*(1-C464)/(1-0.24167)</f>
        <v/>
      </c>
      <c r="N464" s="106">
        <f>Donnees_annuelles!D92*J464</f>
        <v/>
      </c>
      <c r="O464" s="106">
        <f>Donnees_annuelles!D92*K464</f>
        <v/>
      </c>
      <c r="P464" s="106">
        <f>N464+O464</f>
        <v/>
      </c>
      <c r="Q464" s="106">
        <f>Donnees_annuelles!D92*L464</f>
        <v/>
      </c>
      <c r="R464" s="118">
        <f>P464/Donnees_annuelles!AA92*Donnees_annuelles!AI92/Donnees_annuelles!AG92</f>
        <v/>
      </c>
      <c r="S464" s="118">
        <f>P464/Donnees_annuelles!AA92*Donnees_annuelles!AJ92/Donnees_annuelles!AH92</f>
        <v/>
      </c>
    </row>
    <row r="465">
      <c r="A465" s="115" t="inlineStr">
        <is>
          <t>Fonction publique territoriale et hospitalière</t>
        </is>
      </c>
      <c r="B465" s="101" t="n">
        <v>2035</v>
      </c>
      <c r="C465" s="105" t="n">
        <v>0.25</v>
      </c>
      <c r="D465" s="105" t="n">
        <v>0.111</v>
      </c>
      <c r="E465" s="105" t="n">
        <v>0.3765</v>
      </c>
      <c r="F465" s="116" t="inlineStr">
        <is>
          <t>légal</t>
        </is>
      </c>
      <c r="G465" s="105" t="n">
        <v>0.05</v>
      </c>
      <c r="H465" s="105" t="n">
        <v>0.00252</v>
      </c>
      <c r="I465" s="105" t="n">
        <v>0.0501</v>
      </c>
      <c r="J465" s="107">
        <f>D465*(1-C465)+G465*MIN(C465,0.2*(1-C465))+H465</f>
        <v/>
      </c>
      <c r="K465" s="107">
        <f>E465*(1-C465)+G465*MIN(C465,0.2*(1-C465))</f>
        <v/>
      </c>
      <c r="L465" s="107">
        <f>I465*(1-C465)</f>
        <v/>
      </c>
      <c r="M465" s="119">
        <f>SUMIFS(Regimes!$G$5:$G$10,Regimes!$A$5:$A$10,A465)*(1-C465)/(1-0.24167)</f>
        <v/>
      </c>
      <c r="N465" s="106">
        <f>Donnees_annuelles!D93*J465</f>
        <v/>
      </c>
      <c r="O465" s="106">
        <f>Donnees_annuelles!D93*K465</f>
        <v/>
      </c>
      <c r="P465" s="106">
        <f>N465+O465</f>
        <v/>
      </c>
      <c r="Q465" s="106">
        <f>Donnees_annuelles!D93*L465</f>
        <v/>
      </c>
      <c r="R465" s="118">
        <f>P465/Donnees_annuelles!AA93*Donnees_annuelles!AI93/Donnees_annuelles!AG93</f>
        <v/>
      </c>
      <c r="S465" s="118">
        <f>P465/Donnees_annuelles!AA93*Donnees_annuelles!AJ93/Donnees_annuelles!AH93</f>
        <v/>
      </c>
    </row>
    <row r="466">
      <c r="A466" s="115" t="inlineStr">
        <is>
          <t>Fonction publique territoriale et hospitalière</t>
        </is>
      </c>
      <c r="B466" s="101" t="n">
        <v>2036</v>
      </c>
      <c r="C466" s="105" t="n">
        <v>0.25</v>
      </c>
      <c r="D466" s="105" t="n">
        <v>0.111</v>
      </c>
      <c r="E466" s="105" t="n">
        <v>0.3765</v>
      </c>
      <c r="F466" s="116" t="inlineStr">
        <is>
          <t>légal</t>
        </is>
      </c>
      <c r="G466" s="105" t="n">
        <v>0.05</v>
      </c>
      <c r="H466" s="105" t="n">
        <v>0.00252</v>
      </c>
      <c r="I466" s="105" t="n">
        <v>0.0501</v>
      </c>
      <c r="J466" s="107">
        <f>D466*(1-C466)+G466*MIN(C466,0.2*(1-C466))+H466</f>
        <v/>
      </c>
      <c r="K466" s="107">
        <f>E466*(1-C466)+G466*MIN(C466,0.2*(1-C466))</f>
        <v/>
      </c>
      <c r="L466" s="107">
        <f>I466*(1-C466)</f>
        <v/>
      </c>
      <c r="M466" s="119">
        <f>SUMIFS(Regimes!$G$5:$G$10,Regimes!$A$5:$A$10,A466)*(1-C466)/(1-0.24167)</f>
        <v/>
      </c>
      <c r="N466" s="106">
        <f>Donnees_annuelles!D94*J466</f>
        <v/>
      </c>
      <c r="O466" s="106">
        <f>Donnees_annuelles!D94*K466</f>
        <v/>
      </c>
      <c r="P466" s="106">
        <f>N466+O466</f>
        <v/>
      </c>
      <c r="Q466" s="106">
        <f>Donnees_annuelles!D94*L466</f>
        <v/>
      </c>
      <c r="R466" s="118">
        <f>P466/Donnees_annuelles!AA94*Donnees_annuelles!AI94/Donnees_annuelles!AG94</f>
        <v/>
      </c>
      <c r="S466" s="118">
        <f>P466/Donnees_annuelles!AA94*Donnees_annuelles!AJ94/Donnees_annuelles!AH94</f>
        <v/>
      </c>
    </row>
    <row r="467">
      <c r="A467" s="115" t="inlineStr">
        <is>
          <t>Fonction publique territoriale et hospitalière</t>
        </is>
      </c>
      <c r="B467" s="101" t="n">
        <v>2037</v>
      </c>
      <c r="C467" s="105" t="n">
        <v>0.25</v>
      </c>
      <c r="D467" s="105" t="n">
        <v>0.111</v>
      </c>
      <c r="E467" s="105" t="n">
        <v>0.3765</v>
      </c>
      <c r="F467" s="116" t="inlineStr">
        <is>
          <t>légal</t>
        </is>
      </c>
      <c r="G467" s="105" t="n">
        <v>0.05</v>
      </c>
      <c r="H467" s="105" t="n">
        <v>0.00252</v>
      </c>
      <c r="I467" s="105" t="n">
        <v>0.0501</v>
      </c>
      <c r="J467" s="107">
        <f>D467*(1-C467)+G467*MIN(C467,0.2*(1-C467))+H467</f>
        <v/>
      </c>
      <c r="K467" s="107">
        <f>E467*(1-C467)+G467*MIN(C467,0.2*(1-C467))</f>
        <v/>
      </c>
      <c r="L467" s="107">
        <f>I467*(1-C467)</f>
        <v/>
      </c>
      <c r="M467" s="119">
        <f>SUMIFS(Regimes!$G$5:$G$10,Regimes!$A$5:$A$10,A467)*(1-C467)/(1-0.24167)</f>
        <v/>
      </c>
      <c r="N467" s="106">
        <f>Donnees_annuelles!D95*J467</f>
        <v/>
      </c>
      <c r="O467" s="106">
        <f>Donnees_annuelles!D95*K467</f>
        <v/>
      </c>
      <c r="P467" s="106">
        <f>N467+O467</f>
        <v/>
      </c>
      <c r="Q467" s="106">
        <f>Donnees_annuelles!D95*L467</f>
        <v/>
      </c>
      <c r="R467" s="118">
        <f>P467/Donnees_annuelles!AA95*Donnees_annuelles!AI95/Donnees_annuelles!AG95</f>
        <v/>
      </c>
      <c r="S467" s="118">
        <f>P467/Donnees_annuelles!AA95*Donnees_annuelles!AJ95/Donnees_annuelles!AH95</f>
        <v/>
      </c>
    </row>
    <row r="468">
      <c r="A468" s="115" t="inlineStr">
        <is>
          <t>Fonction publique territoriale et hospitalière</t>
        </is>
      </c>
      <c r="B468" s="101" t="n">
        <v>2038</v>
      </c>
      <c r="C468" s="105" t="n">
        <v>0.25</v>
      </c>
      <c r="D468" s="105" t="n">
        <v>0.111</v>
      </c>
      <c r="E468" s="105" t="n">
        <v>0.3765</v>
      </c>
      <c r="F468" s="116" t="inlineStr">
        <is>
          <t>légal</t>
        </is>
      </c>
      <c r="G468" s="105" t="n">
        <v>0.05</v>
      </c>
      <c r="H468" s="105" t="n">
        <v>0.00252</v>
      </c>
      <c r="I468" s="105" t="n">
        <v>0.0501</v>
      </c>
      <c r="J468" s="107">
        <f>D468*(1-C468)+G468*MIN(C468,0.2*(1-C468))+H468</f>
        <v/>
      </c>
      <c r="K468" s="107">
        <f>E468*(1-C468)+G468*MIN(C468,0.2*(1-C468))</f>
        <v/>
      </c>
      <c r="L468" s="107">
        <f>I468*(1-C468)</f>
        <v/>
      </c>
      <c r="M468" s="119">
        <f>SUMIFS(Regimes!$G$5:$G$10,Regimes!$A$5:$A$10,A468)*(1-C468)/(1-0.24167)</f>
        <v/>
      </c>
      <c r="N468" s="106">
        <f>Donnees_annuelles!D96*J468</f>
        <v/>
      </c>
      <c r="O468" s="106">
        <f>Donnees_annuelles!D96*K468</f>
        <v/>
      </c>
      <c r="P468" s="106">
        <f>N468+O468</f>
        <v/>
      </c>
      <c r="Q468" s="106">
        <f>Donnees_annuelles!D96*L468</f>
        <v/>
      </c>
      <c r="R468" s="118">
        <f>P468/Donnees_annuelles!AA96*Donnees_annuelles!AI96/Donnees_annuelles!AG96</f>
        <v/>
      </c>
      <c r="S468" s="118">
        <f>P468/Donnees_annuelles!AA96*Donnees_annuelles!AJ96/Donnees_annuelles!AH96</f>
        <v/>
      </c>
    </row>
    <row r="469">
      <c r="A469" s="115" t="inlineStr">
        <is>
          <t>Fonction publique territoriale et hospitalière</t>
        </is>
      </c>
      <c r="B469" s="101" t="n">
        <v>2039</v>
      </c>
      <c r="C469" s="105" t="n">
        <v>0.25</v>
      </c>
      <c r="D469" s="105" t="n">
        <v>0.111</v>
      </c>
      <c r="E469" s="105" t="n">
        <v>0.3765</v>
      </c>
      <c r="F469" s="116" t="inlineStr">
        <is>
          <t>légal</t>
        </is>
      </c>
      <c r="G469" s="105" t="n">
        <v>0.05</v>
      </c>
      <c r="H469" s="105" t="n">
        <v>0.00252</v>
      </c>
      <c r="I469" s="105" t="n">
        <v>0.0501</v>
      </c>
      <c r="J469" s="107">
        <f>D469*(1-C469)+G469*MIN(C469,0.2*(1-C469))+H469</f>
        <v/>
      </c>
      <c r="K469" s="107">
        <f>E469*(1-C469)+G469*MIN(C469,0.2*(1-C469))</f>
        <v/>
      </c>
      <c r="L469" s="107">
        <f>I469*(1-C469)</f>
        <v/>
      </c>
      <c r="M469" s="119">
        <f>SUMIFS(Regimes!$G$5:$G$10,Regimes!$A$5:$A$10,A469)*(1-C469)/(1-0.24167)</f>
        <v/>
      </c>
      <c r="N469" s="106">
        <f>Donnees_annuelles!D97*J469</f>
        <v/>
      </c>
      <c r="O469" s="106">
        <f>Donnees_annuelles!D97*K469</f>
        <v/>
      </c>
      <c r="P469" s="106">
        <f>N469+O469</f>
        <v/>
      </c>
      <c r="Q469" s="106">
        <f>Donnees_annuelles!D97*L469</f>
        <v/>
      </c>
      <c r="R469" s="118">
        <f>P469/Donnees_annuelles!AA97*Donnees_annuelles!AI97/Donnees_annuelles!AG97</f>
        <v/>
      </c>
      <c r="S469" s="118">
        <f>P469/Donnees_annuelles!AA97*Donnees_annuelles!AJ97/Donnees_annuelles!AH97</f>
        <v/>
      </c>
    </row>
    <row r="470">
      <c r="A470" s="115" t="inlineStr">
        <is>
          <t>Fonction publique territoriale et hospitalière</t>
        </is>
      </c>
      <c r="B470" s="101" t="n">
        <v>2040</v>
      </c>
      <c r="C470" s="105" t="n">
        <v>0.25</v>
      </c>
      <c r="D470" s="105" t="n">
        <v>0.111</v>
      </c>
      <c r="E470" s="105" t="n">
        <v>0.3765</v>
      </c>
      <c r="F470" s="116" t="inlineStr">
        <is>
          <t>légal</t>
        </is>
      </c>
      <c r="G470" s="105" t="n">
        <v>0.05</v>
      </c>
      <c r="H470" s="105" t="n">
        <v>0.00252</v>
      </c>
      <c r="I470" s="105" t="n">
        <v>0.0501</v>
      </c>
      <c r="J470" s="107">
        <f>D470*(1-C470)+G470*MIN(C470,0.2*(1-C470))+H470</f>
        <v/>
      </c>
      <c r="K470" s="107">
        <f>E470*(1-C470)+G470*MIN(C470,0.2*(1-C470))</f>
        <v/>
      </c>
      <c r="L470" s="107">
        <f>I470*(1-C470)</f>
        <v/>
      </c>
      <c r="M470" s="119">
        <f>SUMIFS(Regimes!$G$5:$G$10,Regimes!$A$5:$A$10,A470)*(1-C470)/(1-0.24167)</f>
        <v/>
      </c>
      <c r="N470" s="106">
        <f>Donnees_annuelles!D98*J470</f>
        <v/>
      </c>
      <c r="O470" s="106">
        <f>Donnees_annuelles!D98*K470</f>
        <v/>
      </c>
      <c r="P470" s="106">
        <f>N470+O470</f>
        <v/>
      </c>
      <c r="Q470" s="106">
        <f>Donnees_annuelles!D98*L470</f>
        <v/>
      </c>
      <c r="R470" s="118">
        <f>P470/Donnees_annuelles!AA98*Donnees_annuelles!AI98/Donnees_annuelles!AG98</f>
        <v/>
      </c>
      <c r="S470" s="118">
        <f>P470/Donnees_annuelles!AA98*Donnees_annuelles!AJ98/Donnees_annuelles!AH98</f>
        <v/>
      </c>
    </row>
    <row r="471">
      <c r="A471" s="115" t="inlineStr">
        <is>
          <t>Fonction publique territoriale et hospitalière</t>
        </is>
      </c>
      <c r="B471" s="101" t="n">
        <v>2041</v>
      </c>
      <c r="C471" s="105" t="n">
        <v>0.25</v>
      </c>
      <c r="D471" s="105" t="n">
        <v>0.111</v>
      </c>
      <c r="E471" s="105" t="n">
        <v>0.3765</v>
      </c>
      <c r="F471" s="116" t="inlineStr">
        <is>
          <t>légal</t>
        </is>
      </c>
      <c r="G471" s="105" t="n">
        <v>0.05</v>
      </c>
      <c r="H471" s="105" t="n">
        <v>0.00252</v>
      </c>
      <c r="I471" s="105" t="n">
        <v>0.0501</v>
      </c>
      <c r="J471" s="107">
        <f>D471*(1-C471)+G471*MIN(C471,0.2*(1-C471))+H471</f>
        <v/>
      </c>
      <c r="K471" s="107">
        <f>E471*(1-C471)+G471*MIN(C471,0.2*(1-C471))</f>
        <v/>
      </c>
      <c r="L471" s="107">
        <f>I471*(1-C471)</f>
        <v/>
      </c>
      <c r="M471" s="119">
        <f>SUMIFS(Regimes!$G$5:$G$10,Regimes!$A$5:$A$10,A471)*(1-C471)/(1-0.24167)</f>
        <v/>
      </c>
      <c r="N471" s="106">
        <f>Donnees_annuelles!D99*J471</f>
        <v/>
      </c>
      <c r="O471" s="106">
        <f>Donnees_annuelles!D99*K471</f>
        <v/>
      </c>
      <c r="P471" s="106">
        <f>N471+O471</f>
        <v/>
      </c>
      <c r="Q471" s="106">
        <f>Donnees_annuelles!D99*L471</f>
        <v/>
      </c>
      <c r="R471" s="118">
        <f>P471/Donnees_annuelles!AA99*Donnees_annuelles!AI99/Donnees_annuelles!AG99</f>
        <v/>
      </c>
      <c r="S471" s="118">
        <f>P471/Donnees_annuelles!AA99*Donnees_annuelles!AJ99/Donnees_annuelles!AH99</f>
        <v/>
      </c>
    </row>
    <row r="472">
      <c r="A472" s="115" t="inlineStr">
        <is>
          <t>Fonction publique territoriale et hospitalière</t>
        </is>
      </c>
      <c r="B472" s="101" t="n">
        <v>2042</v>
      </c>
      <c r="C472" s="105" t="n">
        <v>0.25</v>
      </c>
      <c r="D472" s="105" t="n">
        <v>0.111</v>
      </c>
      <c r="E472" s="105" t="n">
        <v>0.3765</v>
      </c>
      <c r="F472" s="116" t="inlineStr">
        <is>
          <t>légal</t>
        </is>
      </c>
      <c r="G472" s="105" t="n">
        <v>0.05</v>
      </c>
      <c r="H472" s="105" t="n">
        <v>0.00252</v>
      </c>
      <c r="I472" s="105" t="n">
        <v>0.0501</v>
      </c>
      <c r="J472" s="107">
        <f>D472*(1-C472)+G472*MIN(C472,0.2*(1-C472))+H472</f>
        <v/>
      </c>
      <c r="K472" s="107">
        <f>E472*(1-C472)+G472*MIN(C472,0.2*(1-C472))</f>
        <v/>
      </c>
      <c r="L472" s="107">
        <f>I472*(1-C472)</f>
        <v/>
      </c>
      <c r="M472" s="119">
        <f>SUMIFS(Regimes!$G$5:$G$10,Regimes!$A$5:$A$10,A472)*(1-C472)/(1-0.24167)</f>
        <v/>
      </c>
      <c r="N472" s="106">
        <f>Donnees_annuelles!D100*J472</f>
        <v/>
      </c>
      <c r="O472" s="106">
        <f>Donnees_annuelles!D100*K472</f>
        <v/>
      </c>
      <c r="P472" s="106">
        <f>N472+O472</f>
        <v/>
      </c>
      <c r="Q472" s="106">
        <f>Donnees_annuelles!D100*L472</f>
        <v/>
      </c>
      <c r="R472" s="118">
        <f>P472/Donnees_annuelles!AA100*Donnees_annuelles!AI100/Donnees_annuelles!AG100</f>
        <v/>
      </c>
      <c r="S472" s="118">
        <f>P472/Donnees_annuelles!AA100*Donnees_annuelles!AJ100/Donnees_annuelles!AH100</f>
        <v/>
      </c>
    </row>
    <row r="473">
      <c r="A473" s="115" t="inlineStr">
        <is>
          <t>Fonction publique territoriale et hospitalière</t>
        </is>
      </c>
      <c r="B473" s="101" t="n">
        <v>2043</v>
      </c>
      <c r="C473" s="105" t="n">
        <v>0.25</v>
      </c>
      <c r="D473" s="105" t="n">
        <v>0.111</v>
      </c>
      <c r="E473" s="105" t="n">
        <v>0.3765</v>
      </c>
      <c r="F473" s="116" t="inlineStr">
        <is>
          <t>légal</t>
        </is>
      </c>
      <c r="G473" s="105" t="n">
        <v>0.05</v>
      </c>
      <c r="H473" s="105" t="n">
        <v>0.00252</v>
      </c>
      <c r="I473" s="105" t="n">
        <v>0.0501</v>
      </c>
      <c r="J473" s="107">
        <f>D473*(1-C473)+G473*MIN(C473,0.2*(1-C473))+H473</f>
        <v/>
      </c>
      <c r="K473" s="107">
        <f>E473*(1-C473)+G473*MIN(C473,0.2*(1-C473))</f>
        <v/>
      </c>
      <c r="L473" s="107">
        <f>I473*(1-C473)</f>
        <v/>
      </c>
      <c r="M473" s="119">
        <f>SUMIFS(Regimes!$G$5:$G$10,Regimes!$A$5:$A$10,A473)*(1-C473)/(1-0.24167)</f>
        <v/>
      </c>
      <c r="N473" s="106">
        <f>Donnees_annuelles!D101*J473</f>
        <v/>
      </c>
      <c r="O473" s="106">
        <f>Donnees_annuelles!D101*K473</f>
        <v/>
      </c>
      <c r="P473" s="106">
        <f>N473+O473</f>
        <v/>
      </c>
      <c r="Q473" s="106">
        <f>Donnees_annuelles!D101*L473</f>
        <v/>
      </c>
      <c r="R473" s="118">
        <f>P473/Donnees_annuelles!AA101*Donnees_annuelles!AI101/Donnees_annuelles!AG101</f>
        <v/>
      </c>
      <c r="S473" s="118">
        <f>P473/Donnees_annuelles!AA101*Donnees_annuelles!AJ101/Donnees_annuelles!AH101</f>
        <v/>
      </c>
    </row>
    <row r="474">
      <c r="A474" s="115" t="inlineStr">
        <is>
          <t>Fonction publique territoriale et hospitalière</t>
        </is>
      </c>
      <c r="B474" s="101" t="n">
        <v>2044</v>
      </c>
      <c r="C474" s="105" t="n">
        <v>0.25</v>
      </c>
      <c r="D474" s="105" t="n">
        <v>0.111</v>
      </c>
      <c r="E474" s="105" t="n">
        <v>0.3765</v>
      </c>
      <c r="F474" s="116" t="inlineStr">
        <is>
          <t>légal</t>
        </is>
      </c>
      <c r="G474" s="105" t="n">
        <v>0.05</v>
      </c>
      <c r="H474" s="105" t="n">
        <v>0.00252</v>
      </c>
      <c r="I474" s="105" t="n">
        <v>0.0501</v>
      </c>
      <c r="J474" s="107">
        <f>D474*(1-C474)+G474*MIN(C474,0.2*(1-C474))+H474</f>
        <v/>
      </c>
      <c r="K474" s="107">
        <f>E474*(1-C474)+G474*MIN(C474,0.2*(1-C474))</f>
        <v/>
      </c>
      <c r="L474" s="107">
        <f>I474*(1-C474)</f>
        <v/>
      </c>
      <c r="M474" s="119">
        <f>SUMIFS(Regimes!$G$5:$G$10,Regimes!$A$5:$A$10,A474)*(1-C474)/(1-0.24167)</f>
        <v/>
      </c>
      <c r="N474" s="106">
        <f>Donnees_annuelles!D102*J474</f>
        <v/>
      </c>
      <c r="O474" s="106">
        <f>Donnees_annuelles!D102*K474</f>
        <v/>
      </c>
      <c r="P474" s="106">
        <f>N474+O474</f>
        <v/>
      </c>
      <c r="Q474" s="106">
        <f>Donnees_annuelles!D102*L474</f>
        <v/>
      </c>
      <c r="R474" s="118">
        <f>P474/Donnees_annuelles!AA102*Donnees_annuelles!AI102/Donnees_annuelles!AG102</f>
        <v/>
      </c>
      <c r="S474" s="118">
        <f>P474/Donnees_annuelles!AA102*Donnees_annuelles!AJ102/Donnees_annuelles!AH102</f>
        <v/>
      </c>
    </row>
    <row r="475">
      <c r="A475" s="115" t="inlineStr">
        <is>
          <t>Fonction publique territoriale et hospitalière</t>
        </is>
      </c>
      <c r="B475" s="101" t="n">
        <v>2045</v>
      </c>
      <c r="C475" s="105" t="n">
        <v>0.25</v>
      </c>
      <c r="D475" s="105" t="n">
        <v>0.111</v>
      </c>
      <c r="E475" s="105" t="n">
        <v>0.3765</v>
      </c>
      <c r="F475" s="116" t="inlineStr">
        <is>
          <t>légal</t>
        </is>
      </c>
      <c r="G475" s="105" t="n">
        <v>0.05</v>
      </c>
      <c r="H475" s="105" t="n">
        <v>0.00252</v>
      </c>
      <c r="I475" s="105" t="n">
        <v>0.0501</v>
      </c>
      <c r="J475" s="107">
        <f>D475*(1-C475)+G475*MIN(C475,0.2*(1-C475))+H475</f>
        <v/>
      </c>
      <c r="K475" s="107">
        <f>E475*(1-C475)+G475*MIN(C475,0.2*(1-C475))</f>
        <v/>
      </c>
      <c r="L475" s="107">
        <f>I475*(1-C475)</f>
        <v/>
      </c>
      <c r="M475" s="119">
        <f>SUMIFS(Regimes!$G$5:$G$10,Regimes!$A$5:$A$10,A475)*(1-C475)/(1-0.24167)</f>
        <v/>
      </c>
      <c r="N475" s="106">
        <f>Donnees_annuelles!D103*J475</f>
        <v/>
      </c>
      <c r="O475" s="106">
        <f>Donnees_annuelles!D103*K475</f>
        <v/>
      </c>
      <c r="P475" s="106">
        <f>N475+O475</f>
        <v/>
      </c>
      <c r="Q475" s="106">
        <f>Donnees_annuelles!D103*L475</f>
        <v/>
      </c>
      <c r="R475" s="118">
        <f>P475/Donnees_annuelles!AA103*Donnees_annuelles!AI103/Donnees_annuelles!AG103</f>
        <v/>
      </c>
      <c r="S475" s="118">
        <f>P475/Donnees_annuelles!AA103*Donnees_annuelles!AJ103/Donnees_annuelles!AH103</f>
        <v/>
      </c>
    </row>
    <row r="476">
      <c r="A476" s="115" t="inlineStr">
        <is>
          <t>Fonction publique territoriale et hospitalière</t>
        </is>
      </c>
      <c r="B476" s="101" t="n">
        <v>2046</v>
      </c>
      <c r="C476" s="105" t="n">
        <v>0.25</v>
      </c>
      <c r="D476" s="105" t="n">
        <v>0.111</v>
      </c>
      <c r="E476" s="105" t="n">
        <v>0.3765</v>
      </c>
      <c r="F476" s="116" t="inlineStr">
        <is>
          <t>légal</t>
        </is>
      </c>
      <c r="G476" s="105" t="n">
        <v>0.05</v>
      </c>
      <c r="H476" s="105" t="n">
        <v>0.00252</v>
      </c>
      <c r="I476" s="105" t="n">
        <v>0.0501</v>
      </c>
      <c r="J476" s="107">
        <f>D476*(1-C476)+G476*MIN(C476,0.2*(1-C476))+H476</f>
        <v/>
      </c>
      <c r="K476" s="107">
        <f>E476*(1-C476)+G476*MIN(C476,0.2*(1-C476))</f>
        <v/>
      </c>
      <c r="L476" s="107">
        <f>I476*(1-C476)</f>
        <v/>
      </c>
      <c r="M476" s="119">
        <f>SUMIFS(Regimes!$G$5:$G$10,Regimes!$A$5:$A$10,A476)*(1-C476)/(1-0.24167)</f>
        <v/>
      </c>
      <c r="N476" s="106">
        <f>Donnees_annuelles!D104*J476</f>
        <v/>
      </c>
      <c r="O476" s="106">
        <f>Donnees_annuelles!D104*K476</f>
        <v/>
      </c>
      <c r="P476" s="106">
        <f>N476+O476</f>
        <v/>
      </c>
      <c r="Q476" s="106">
        <f>Donnees_annuelles!D104*L476</f>
        <v/>
      </c>
      <c r="R476" s="118">
        <f>P476/Donnees_annuelles!AA104*Donnees_annuelles!AI104/Donnees_annuelles!AG104</f>
        <v/>
      </c>
      <c r="S476" s="118">
        <f>P476/Donnees_annuelles!AA104*Donnees_annuelles!AJ104/Donnees_annuelles!AH104</f>
        <v/>
      </c>
    </row>
    <row r="477">
      <c r="A477" s="115" t="inlineStr">
        <is>
          <t>Fonction publique territoriale et hospitalière</t>
        </is>
      </c>
      <c r="B477" s="101" t="n">
        <v>2047</v>
      </c>
      <c r="C477" s="105" t="n">
        <v>0.25</v>
      </c>
      <c r="D477" s="105" t="n">
        <v>0.111</v>
      </c>
      <c r="E477" s="105" t="n">
        <v>0.3765</v>
      </c>
      <c r="F477" s="116" t="inlineStr">
        <is>
          <t>légal</t>
        </is>
      </c>
      <c r="G477" s="105" t="n">
        <v>0.05</v>
      </c>
      <c r="H477" s="105" t="n">
        <v>0.00252</v>
      </c>
      <c r="I477" s="105" t="n">
        <v>0.0501</v>
      </c>
      <c r="J477" s="107">
        <f>D477*(1-C477)+G477*MIN(C477,0.2*(1-C477))+H477</f>
        <v/>
      </c>
      <c r="K477" s="107">
        <f>E477*(1-C477)+G477*MIN(C477,0.2*(1-C477))</f>
        <v/>
      </c>
      <c r="L477" s="107">
        <f>I477*(1-C477)</f>
        <v/>
      </c>
      <c r="M477" s="119">
        <f>SUMIFS(Regimes!$G$5:$G$10,Regimes!$A$5:$A$10,A477)*(1-C477)/(1-0.24167)</f>
        <v/>
      </c>
      <c r="N477" s="106">
        <f>Donnees_annuelles!D105*J477</f>
        <v/>
      </c>
      <c r="O477" s="106">
        <f>Donnees_annuelles!D105*K477</f>
        <v/>
      </c>
      <c r="P477" s="106">
        <f>N477+O477</f>
        <v/>
      </c>
      <c r="Q477" s="106">
        <f>Donnees_annuelles!D105*L477</f>
        <v/>
      </c>
      <c r="R477" s="118">
        <f>P477/Donnees_annuelles!AA105*Donnees_annuelles!AI105/Donnees_annuelles!AG105</f>
        <v/>
      </c>
      <c r="S477" s="118">
        <f>P477/Donnees_annuelles!AA105*Donnees_annuelles!AJ105/Donnees_annuelles!AH105</f>
        <v/>
      </c>
    </row>
    <row r="478">
      <c r="A478" s="115" t="inlineStr">
        <is>
          <t>Fonction publique territoriale et hospitalière</t>
        </is>
      </c>
      <c r="B478" s="101" t="n">
        <v>2048</v>
      </c>
      <c r="C478" s="105" t="n">
        <v>0.25</v>
      </c>
      <c r="D478" s="105" t="n">
        <v>0.111</v>
      </c>
      <c r="E478" s="105" t="n">
        <v>0.3765</v>
      </c>
      <c r="F478" s="116" t="inlineStr">
        <is>
          <t>légal</t>
        </is>
      </c>
      <c r="G478" s="105" t="n">
        <v>0.05</v>
      </c>
      <c r="H478" s="105" t="n">
        <v>0.00252</v>
      </c>
      <c r="I478" s="105" t="n">
        <v>0.0501</v>
      </c>
      <c r="J478" s="107">
        <f>D478*(1-C478)+G478*MIN(C478,0.2*(1-C478))+H478</f>
        <v/>
      </c>
      <c r="K478" s="107">
        <f>E478*(1-C478)+G478*MIN(C478,0.2*(1-C478))</f>
        <v/>
      </c>
      <c r="L478" s="107">
        <f>I478*(1-C478)</f>
        <v/>
      </c>
      <c r="M478" s="119">
        <f>SUMIFS(Regimes!$G$5:$G$10,Regimes!$A$5:$A$10,A478)*(1-C478)/(1-0.24167)</f>
        <v/>
      </c>
      <c r="N478" s="106">
        <f>Donnees_annuelles!D106*J478</f>
        <v/>
      </c>
      <c r="O478" s="106">
        <f>Donnees_annuelles!D106*K478</f>
        <v/>
      </c>
      <c r="P478" s="106">
        <f>N478+O478</f>
        <v/>
      </c>
      <c r="Q478" s="106">
        <f>Donnees_annuelles!D106*L478</f>
        <v/>
      </c>
      <c r="R478" s="118">
        <f>P478/Donnees_annuelles!AA106*Donnees_annuelles!AI106/Donnees_annuelles!AG106</f>
        <v/>
      </c>
      <c r="S478" s="118">
        <f>P478/Donnees_annuelles!AA106*Donnees_annuelles!AJ106/Donnees_annuelles!AH106</f>
        <v/>
      </c>
    </row>
    <row r="479">
      <c r="A479" s="115" t="inlineStr">
        <is>
          <t>Fonction publique territoriale et hospitalière</t>
        </is>
      </c>
      <c r="B479" s="101" t="n">
        <v>2049</v>
      </c>
      <c r="C479" s="105" t="n">
        <v>0.25</v>
      </c>
      <c r="D479" s="105" t="n">
        <v>0.111</v>
      </c>
      <c r="E479" s="105" t="n">
        <v>0.3765</v>
      </c>
      <c r="F479" s="116" t="inlineStr">
        <is>
          <t>légal</t>
        </is>
      </c>
      <c r="G479" s="105" t="n">
        <v>0.05</v>
      </c>
      <c r="H479" s="105" t="n">
        <v>0.00252</v>
      </c>
      <c r="I479" s="105" t="n">
        <v>0.0501</v>
      </c>
      <c r="J479" s="107">
        <f>D479*(1-C479)+G479*MIN(C479,0.2*(1-C479))+H479</f>
        <v/>
      </c>
      <c r="K479" s="107">
        <f>E479*(1-C479)+G479*MIN(C479,0.2*(1-C479))</f>
        <v/>
      </c>
      <c r="L479" s="107">
        <f>I479*(1-C479)</f>
        <v/>
      </c>
      <c r="M479" s="119">
        <f>SUMIFS(Regimes!$G$5:$G$10,Regimes!$A$5:$A$10,A479)*(1-C479)/(1-0.24167)</f>
        <v/>
      </c>
      <c r="N479" s="106">
        <f>Donnees_annuelles!D107*J479</f>
        <v/>
      </c>
      <c r="O479" s="106">
        <f>Donnees_annuelles!D107*K479</f>
        <v/>
      </c>
      <c r="P479" s="106">
        <f>N479+O479</f>
        <v/>
      </c>
      <c r="Q479" s="106">
        <f>Donnees_annuelles!D107*L479</f>
        <v/>
      </c>
      <c r="R479" s="118">
        <f>P479/Donnees_annuelles!AA107*Donnees_annuelles!AI107/Donnees_annuelles!AG107</f>
        <v/>
      </c>
      <c r="S479" s="118">
        <f>P479/Donnees_annuelles!AA107*Donnees_annuelles!AJ107/Donnees_annuelles!AH107</f>
        <v/>
      </c>
    </row>
    <row r="480">
      <c r="A480" s="115" t="inlineStr">
        <is>
          <t>Fonction publique territoriale et hospitalière</t>
        </is>
      </c>
      <c r="B480" s="101" t="n">
        <v>2050</v>
      </c>
      <c r="C480" s="105" t="n">
        <v>0.25</v>
      </c>
      <c r="D480" s="105" t="n">
        <v>0.111</v>
      </c>
      <c r="E480" s="105" t="n">
        <v>0.3765</v>
      </c>
      <c r="F480" s="116" t="inlineStr">
        <is>
          <t>légal</t>
        </is>
      </c>
      <c r="G480" s="105" t="n">
        <v>0.05</v>
      </c>
      <c r="H480" s="105" t="n">
        <v>0.00252</v>
      </c>
      <c r="I480" s="105" t="n">
        <v>0.0501</v>
      </c>
      <c r="J480" s="107">
        <f>D480*(1-C480)+G480*MIN(C480,0.2*(1-C480))+H480</f>
        <v/>
      </c>
      <c r="K480" s="107">
        <f>E480*(1-C480)+G480*MIN(C480,0.2*(1-C480))</f>
        <v/>
      </c>
      <c r="L480" s="107">
        <f>I480*(1-C480)</f>
        <v/>
      </c>
      <c r="M480" s="119">
        <f>SUMIFS(Regimes!$G$5:$G$10,Regimes!$A$5:$A$10,A480)*(1-C480)/(1-0.24167)</f>
        <v/>
      </c>
      <c r="N480" s="106">
        <f>Donnees_annuelles!D108*J480</f>
        <v/>
      </c>
      <c r="O480" s="106">
        <f>Donnees_annuelles!D108*K480</f>
        <v/>
      </c>
      <c r="P480" s="106">
        <f>N480+O480</f>
        <v/>
      </c>
      <c r="Q480" s="106">
        <f>Donnees_annuelles!D108*L480</f>
        <v/>
      </c>
      <c r="R480" s="118">
        <f>P480/Donnees_annuelles!AA108*Donnees_annuelles!AI108/Donnees_annuelles!AG108</f>
        <v/>
      </c>
      <c r="S480" s="118">
        <f>P480/Donnees_annuelles!AA108*Donnees_annuelles!AJ108/Donnees_annuelles!AH108</f>
        <v/>
      </c>
    </row>
    <row r="481">
      <c r="A481" s="115" t="inlineStr">
        <is>
          <t>Fonction publique territoriale et hospitalière</t>
        </is>
      </c>
      <c r="B481" s="101" t="n">
        <v>2051</v>
      </c>
      <c r="C481" s="105" t="n">
        <v>0.25</v>
      </c>
      <c r="D481" s="105" t="n">
        <v>0.111</v>
      </c>
      <c r="E481" s="105" t="n">
        <v>0.3765</v>
      </c>
      <c r="F481" s="116" t="inlineStr">
        <is>
          <t>légal</t>
        </is>
      </c>
      <c r="G481" s="105" t="n">
        <v>0.05</v>
      </c>
      <c r="H481" s="105" t="n">
        <v>0.00252</v>
      </c>
      <c r="I481" s="105" t="n">
        <v>0.0501</v>
      </c>
      <c r="J481" s="107">
        <f>D481*(1-C481)+G481*MIN(C481,0.2*(1-C481))+H481</f>
        <v/>
      </c>
      <c r="K481" s="107">
        <f>E481*(1-C481)+G481*MIN(C481,0.2*(1-C481))</f>
        <v/>
      </c>
      <c r="L481" s="107">
        <f>I481*(1-C481)</f>
        <v/>
      </c>
      <c r="M481" s="119">
        <f>SUMIFS(Regimes!$G$5:$G$10,Regimes!$A$5:$A$10,A481)*(1-C481)/(1-0.24167)</f>
        <v/>
      </c>
      <c r="N481" s="106">
        <f>Donnees_annuelles!D109*J481</f>
        <v/>
      </c>
      <c r="O481" s="106">
        <f>Donnees_annuelles!D109*K481</f>
        <v/>
      </c>
      <c r="P481" s="106">
        <f>N481+O481</f>
        <v/>
      </c>
      <c r="Q481" s="106">
        <f>Donnees_annuelles!D109*L481</f>
        <v/>
      </c>
      <c r="R481" s="118">
        <f>P481/Donnees_annuelles!AA109*Donnees_annuelles!AI109/Donnees_annuelles!AG109</f>
        <v/>
      </c>
      <c r="S481" s="118">
        <f>P481/Donnees_annuelles!AA109*Donnees_annuelles!AJ109/Donnees_annuelles!AH109</f>
        <v/>
      </c>
    </row>
    <row r="482">
      <c r="A482" s="115" t="inlineStr">
        <is>
          <t>Fonction publique territoriale et hospitalière</t>
        </is>
      </c>
      <c r="B482" s="101" t="n">
        <v>2052</v>
      </c>
      <c r="C482" s="105" t="n">
        <v>0.25</v>
      </c>
      <c r="D482" s="105" t="n">
        <v>0.111</v>
      </c>
      <c r="E482" s="105" t="n">
        <v>0.3765</v>
      </c>
      <c r="F482" s="116" t="inlineStr">
        <is>
          <t>légal</t>
        </is>
      </c>
      <c r="G482" s="105" t="n">
        <v>0.05</v>
      </c>
      <c r="H482" s="105" t="n">
        <v>0.00252</v>
      </c>
      <c r="I482" s="105" t="n">
        <v>0.0501</v>
      </c>
      <c r="J482" s="107">
        <f>D482*(1-C482)+G482*MIN(C482,0.2*(1-C482))+H482</f>
        <v/>
      </c>
      <c r="K482" s="107">
        <f>E482*(1-C482)+G482*MIN(C482,0.2*(1-C482))</f>
        <v/>
      </c>
      <c r="L482" s="107">
        <f>I482*(1-C482)</f>
        <v/>
      </c>
      <c r="M482" s="119">
        <f>SUMIFS(Regimes!$G$5:$G$10,Regimes!$A$5:$A$10,A482)*(1-C482)/(1-0.24167)</f>
        <v/>
      </c>
      <c r="N482" s="106">
        <f>Donnees_annuelles!D110*J482</f>
        <v/>
      </c>
      <c r="O482" s="106">
        <f>Donnees_annuelles!D110*K482</f>
        <v/>
      </c>
      <c r="P482" s="106">
        <f>N482+O482</f>
        <v/>
      </c>
      <c r="Q482" s="106">
        <f>Donnees_annuelles!D110*L482</f>
        <v/>
      </c>
      <c r="R482" s="118">
        <f>P482/Donnees_annuelles!AA110*Donnees_annuelles!AI110/Donnees_annuelles!AG110</f>
        <v/>
      </c>
      <c r="S482" s="118">
        <f>P482/Donnees_annuelles!AA110*Donnees_annuelles!AJ110/Donnees_annuelles!AH110</f>
        <v/>
      </c>
    </row>
    <row r="483">
      <c r="A483" s="115" t="inlineStr">
        <is>
          <t>Fonction publique territoriale et hospitalière</t>
        </is>
      </c>
      <c r="B483" s="101" t="n">
        <v>2053</v>
      </c>
      <c r="C483" s="105" t="n">
        <v>0.25</v>
      </c>
      <c r="D483" s="105" t="n">
        <v>0.111</v>
      </c>
      <c r="E483" s="105" t="n">
        <v>0.3765</v>
      </c>
      <c r="F483" s="116" t="inlineStr">
        <is>
          <t>légal</t>
        </is>
      </c>
      <c r="G483" s="105" t="n">
        <v>0.05</v>
      </c>
      <c r="H483" s="105" t="n">
        <v>0.00252</v>
      </c>
      <c r="I483" s="105" t="n">
        <v>0.0501</v>
      </c>
      <c r="J483" s="107">
        <f>D483*(1-C483)+G483*MIN(C483,0.2*(1-C483))+H483</f>
        <v/>
      </c>
      <c r="K483" s="107">
        <f>E483*(1-C483)+G483*MIN(C483,0.2*(1-C483))</f>
        <v/>
      </c>
      <c r="L483" s="107">
        <f>I483*(1-C483)</f>
        <v/>
      </c>
      <c r="M483" s="119">
        <f>SUMIFS(Regimes!$G$5:$G$10,Regimes!$A$5:$A$10,A483)*(1-C483)/(1-0.24167)</f>
        <v/>
      </c>
      <c r="N483" s="106">
        <f>Donnees_annuelles!D111*J483</f>
        <v/>
      </c>
      <c r="O483" s="106">
        <f>Donnees_annuelles!D111*K483</f>
        <v/>
      </c>
      <c r="P483" s="106">
        <f>N483+O483</f>
        <v/>
      </c>
      <c r="Q483" s="106">
        <f>Donnees_annuelles!D111*L483</f>
        <v/>
      </c>
      <c r="R483" s="118">
        <f>P483/Donnees_annuelles!AA111*Donnees_annuelles!AI111/Donnees_annuelles!AG111</f>
        <v/>
      </c>
      <c r="S483" s="118">
        <f>P483/Donnees_annuelles!AA111*Donnees_annuelles!AJ111/Donnees_annuelles!AH111</f>
        <v/>
      </c>
    </row>
    <row r="484">
      <c r="A484" s="115" t="inlineStr">
        <is>
          <t>Fonction publique territoriale et hospitalière</t>
        </is>
      </c>
      <c r="B484" s="101" t="n">
        <v>2054</v>
      </c>
      <c r="C484" s="105" t="n">
        <v>0.25</v>
      </c>
      <c r="D484" s="105" t="n">
        <v>0.111</v>
      </c>
      <c r="E484" s="105" t="n">
        <v>0.3765</v>
      </c>
      <c r="F484" s="116" t="inlineStr">
        <is>
          <t>légal</t>
        </is>
      </c>
      <c r="G484" s="105" t="n">
        <v>0.05</v>
      </c>
      <c r="H484" s="105" t="n">
        <v>0.00252</v>
      </c>
      <c r="I484" s="105" t="n">
        <v>0.0501</v>
      </c>
      <c r="J484" s="107">
        <f>D484*(1-C484)+G484*MIN(C484,0.2*(1-C484))+H484</f>
        <v/>
      </c>
      <c r="K484" s="107">
        <f>E484*(1-C484)+G484*MIN(C484,0.2*(1-C484))</f>
        <v/>
      </c>
      <c r="L484" s="107">
        <f>I484*(1-C484)</f>
        <v/>
      </c>
      <c r="M484" s="119">
        <f>SUMIFS(Regimes!$G$5:$G$10,Regimes!$A$5:$A$10,A484)*(1-C484)/(1-0.24167)</f>
        <v/>
      </c>
      <c r="N484" s="106">
        <f>Donnees_annuelles!D112*J484</f>
        <v/>
      </c>
      <c r="O484" s="106">
        <f>Donnees_annuelles!D112*K484</f>
        <v/>
      </c>
      <c r="P484" s="106">
        <f>N484+O484</f>
        <v/>
      </c>
      <c r="Q484" s="106">
        <f>Donnees_annuelles!D112*L484</f>
        <v/>
      </c>
      <c r="R484" s="118">
        <f>P484/Donnees_annuelles!AA112*Donnees_annuelles!AI112/Donnees_annuelles!AG112</f>
        <v/>
      </c>
      <c r="S484" s="118">
        <f>P484/Donnees_annuelles!AA112*Donnees_annuelles!AJ112/Donnees_annuelles!AH112</f>
        <v/>
      </c>
    </row>
    <row r="485">
      <c r="A485" s="115" t="inlineStr">
        <is>
          <t>Fonction publique territoriale et hospitalière</t>
        </is>
      </c>
      <c r="B485" s="101" t="n">
        <v>2055</v>
      </c>
      <c r="C485" s="105" t="n">
        <v>0.25</v>
      </c>
      <c r="D485" s="105" t="n">
        <v>0.111</v>
      </c>
      <c r="E485" s="105" t="n">
        <v>0.3765</v>
      </c>
      <c r="F485" s="116" t="inlineStr">
        <is>
          <t>légal</t>
        </is>
      </c>
      <c r="G485" s="105" t="n">
        <v>0.05</v>
      </c>
      <c r="H485" s="105" t="n">
        <v>0.00252</v>
      </c>
      <c r="I485" s="105" t="n">
        <v>0.0501</v>
      </c>
      <c r="J485" s="107">
        <f>D485*(1-C485)+G485*MIN(C485,0.2*(1-C485))+H485</f>
        <v/>
      </c>
      <c r="K485" s="107">
        <f>E485*(1-C485)+G485*MIN(C485,0.2*(1-C485))</f>
        <v/>
      </c>
      <c r="L485" s="107">
        <f>I485*(1-C485)</f>
        <v/>
      </c>
      <c r="M485" s="119">
        <f>SUMIFS(Regimes!$G$5:$G$10,Regimes!$A$5:$A$10,A485)*(1-C485)/(1-0.24167)</f>
        <v/>
      </c>
      <c r="N485" s="106">
        <f>Donnees_annuelles!D113*J485</f>
        <v/>
      </c>
      <c r="O485" s="106">
        <f>Donnees_annuelles!D113*K485</f>
        <v/>
      </c>
      <c r="P485" s="106">
        <f>N485+O485</f>
        <v/>
      </c>
      <c r="Q485" s="106">
        <f>Donnees_annuelles!D113*L485</f>
        <v/>
      </c>
      <c r="R485" s="118">
        <f>P485/Donnees_annuelles!AA113*Donnees_annuelles!AI113/Donnees_annuelles!AG113</f>
        <v/>
      </c>
      <c r="S485" s="118">
        <f>P485/Donnees_annuelles!AA113*Donnees_annuelles!AJ113/Donnees_annuelles!AH113</f>
        <v/>
      </c>
    </row>
    <row r="486">
      <c r="A486" s="115" t="inlineStr">
        <is>
          <t>Fonction publique territoriale et hospitalière</t>
        </is>
      </c>
      <c r="B486" s="101" t="n">
        <v>2056</v>
      </c>
      <c r="C486" s="105" t="n">
        <v>0.25</v>
      </c>
      <c r="D486" s="105" t="n">
        <v>0.111</v>
      </c>
      <c r="E486" s="105" t="n">
        <v>0.3765</v>
      </c>
      <c r="F486" s="116" t="inlineStr">
        <is>
          <t>légal</t>
        </is>
      </c>
      <c r="G486" s="105" t="n">
        <v>0.05</v>
      </c>
      <c r="H486" s="105" t="n">
        <v>0.00252</v>
      </c>
      <c r="I486" s="105" t="n">
        <v>0.0501</v>
      </c>
      <c r="J486" s="107">
        <f>D486*(1-C486)+G486*MIN(C486,0.2*(1-C486))+H486</f>
        <v/>
      </c>
      <c r="K486" s="107">
        <f>E486*(1-C486)+G486*MIN(C486,0.2*(1-C486))</f>
        <v/>
      </c>
      <c r="L486" s="107">
        <f>I486*(1-C486)</f>
        <v/>
      </c>
      <c r="M486" s="119">
        <f>SUMIFS(Regimes!$G$5:$G$10,Regimes!$A$5:$A$10,A486)*(1-C486)/(1-0.24167)</f>
        <v/>
      </c>
      <c r="N486" s="106">
        <f>Donnees_annuelles!D114*J486</f>
        <v/>
      </c>
      <c r="O486" s="106">
        <f>Donnees_annuelles!D114*K486</f>
        <v/>
      </c>
      <c r="P486" s="106">
        <f>N486+O486</f>
        <v/>
      </c>
      <c r="Q486" s="106">
        <f>Donnees_annuelles!D114*L486</f>
        <v/>
      </c>
      <c r="R486" s="118">
        <f>P486/Donnees_annuelles!AA114*Donnees_annuelles!AI114/Donnees_annuelles!AG114</f>
        <v/>
      </c>
      <c r="S486" s="118">
        <f>P486/Donnees_annuelles!AA114*Donnees_annuelles!AJ114/Donnees_annuelles!AH114</f>
        <v/>
      </c>
    </row>
    <row r="487">
      <c r="A487" s="115" t="inlineStr">
        <is>
          <t>Fonction publique territoriale et hospitalière</t>
        </is>
      </c>
      <c r="B487" s="101" t="n">
        <v>2057</v>
      </c>
      <c r="C487" s="105" t="n">
        <v>0.25</v>
      </c>
      <c r="D487" s="105" t="n">
        <v>0.111</v>
      </c>
      <c r="E487" s="105" t="n">
        <v>0.3765</v>
      </c>
      <c r="F487" s="116" t="inlineStr">
        <is>
          <t>légal</t>
        </is>
      </c>
      <c r="G487" s="105" t="n">
        <v>0.05</v>
      </c>
      <c r="H487" s="105" t="n">
        <v>0.00252</v>
      </c>
      <c r="I487" s="105" t="n">
        <v>0.0501</v>
      </c>
      <c r="J487" s="107">
        <f>D487*(1-C487)+G487*MIN(C487,0.2*(1-C487))+H487</f>
        <v/>
      </c>
      <c r="K487" s="107">
        <f>E487*(1-C487)+G487*MIN(C487,0.2*(1-C487))</f>
        <v/>
      </c>
      <c r="L487" s="107">
        <f>I487*(1-C487)</f>
        <v/>
      </c>
      <c r="M487" s="119">
        <f>SUMIFS(Regimes!$G$5:$G$10,Regimes!$A$5:$A$10,A487)*(1-C487)/(1-0.24167)</f>
        <v/>
      </c>
      <c r="N487" s="106">
        <f>Donnees_annuelles!D115*J487</f>
        <v/>
      </c>
      <c r="O487" s="106">
        <f>Donnees_annuelles!D115*K487</f>
        <v/>
      </c>
      <c r="P487" s="106">
        <f>N487+O487</f>
        <v/>
      </c>
      <c r="Q487" s="106">
        <f>Donnees_annuelles!D115*L487</f>
        <v/>
      </c>
      <c r="R487" s="118">
        <f>P487/Donnees_annuelles!AA115*Donnees_annuelles!AI115/Donnees_annuelles!AG115</f>
        <v/>
      </c>
      <c r="S487" s="118">
        <f>P487/Donnees_annuelles!AA115*Donnees_annuelles!AJ115/Donnees_annuelles!AH115</f>
        <v/>
      </c>
    </row>
    <row r="488">
      <c r="A488" s="115" t="inlineStr">
        <is>
          <t>Fonction publique territoriale et hospitalière</t>
        </is>
      </c>
      <c r="B488" s="101" t="n">
        <v>2058</v>
      </c>
      <c r="C488" s="105" t="n">
        <v>0.25</v>
      </c>
      <c r="D488" s="105" t="n">
        <v>0.111</v>
      </c>
      <c r="E488" s="105" t="n">
        <v>0.3765</v>
      </c>
      <c r="F488" s="116" t="inlineStr">
        <is>
          <t>légal</t>
        </is>
      </c>
      <c r="G488" s="105" t="n">
        <v>0.05</v>
      </c>
      <c r="H488" s="105" t="n">
        <v>0.00252</v>
      </c>
      <c r="I488" s="105" t="n">
        <v>0.0501</v>
      </c>
      <c r="J488" s="107">
        <f>D488*(1-C488)+G488*MIN(C488,0.2*(1-C488))+H488</f>
        <v/>
      </c>
      <c r="K488" s="107">
        <f>E488*(1-C488)+G488*MIN(C488,0.2*(1-C488))</f>
        <v/>
      </c>
      <c r="L488" s="107">
        <f>I488*(1-C488)</f>
        <v/>
      </c>
      <c r="M488" s="119">
        <f>SUMIFS(Regimes!$G$5:$G$10,Regimes!$A$5:$A$10,A488)*(1-C488)/(1-0.24167)</f>
        <v/>
      </c>
      <c r="N488" s="106">
        <f>Donnees_annuelles!D116*J488</f>
        <v/>
      </c>
      <c r="O488" s="106">
        <f>Donnees_annuelles!D116*K488</f>
        <v/>
      </c>
      <c r="P488" s="106">
        <f>N488+O488</f>
        <v/>
      </c>
      <c r="Q488" s="106">
        <f>Donnees_annuelles!D116*L488</f>
        <v/>
      </c>
      <c r="R488" s="118">
        <f>P488/Donnees_annuelles!AA116*Donnees_annuelles!AI116/Donnees_annuelles!AG116</f>
        <v/>
      </c>
      <c r="S488" s="118">
        <f>P488/Donnees_annuelles!AA116*Donnees_annuelles!AJ116/Donnees_annuelles!AH116</f>
        <v/>
      </c>
    </row>
    <row r="489">
      <c r="A489" s="115" t="inlineStr">
        <is>
          <t>Fonction publique territoriale et hospitalière</t>
        </is>
      </c>
      <c r="B489" s="101" t="n">
        <v>2059</v>
      </c>
      <c r="C489" s="105" t="n">
        <v>0.25</v>
      </c>
      <c r="D489" s="105" t="n">
        <v>0.111</v>
      </c>
      <c r="E489" s="105" t="n">
        <v>0.3765</v>
      </c>
      <c r="F489" s="116" t="inlineStr">
        <is>
          <t>légal</t>
        </is>
      </c>
      <c r="G489" s="105" t="n">
        <v>0.05</v>
      </c>
      <c r="H489" s="105" t="n">
        <v>0.00252</v>
      </c>
      <c r="I489" s="105" t="n">
        <v>0.0501</v>
      </c>
      <c r="J489" s="107">
        <f>D489*(1-C489)+G489*MIN(C489,0.2*(1-C489))+H489</f>
        <v/>
      </c>
      <c r="K489" s="107">
        <f>E489*(1-C489)+G489*MIN(C489,0.2*(1-C489))</f>
        <v/>
      </c>
      <c r="L489" s="107">
        <f>I489*(1-C489)</f>
        <v/>
      </c>
      <c r="M489" s="119">
        <f>SUMIFS(Regimes!$G$5:$G$10,Regimes!$A$5:$A$10,A489)*(1-C489)/(1-0.24167)</f>
        <v/>
      </c>
      <c r="N489" s="106">
        <f>Donnees_annuelles!D117*J489</f>
        <v/>
      </c>
      <c r="O489" s="106">
        <f>Donnees_annuelles!D117*K489</f>
        <v/>
      </c>
      <c r="P489" s="106">
        <f>N489+O489</f>
        <v/>
      </c>
      <c r="Q489" s="106">
        <f>Donnees_annuelles!D117*L489</f>
        <v/>
      </c>
      <c r="R489" s="118">
        <f>P489/Donnees_annuelles!AA117*Donnees_annuelles!AI117/Donnees_annuelles!AG117</f>
        <v/>
      </c>
      <c r="S489" s="118">
        <f>P489/Donnees_annuelles!AA117*Donnees_annuelles!AJ117/Donnees_annuelles!AH117</f>
        <v/>
      </c>
    </row>
    <row r="490">
      <c r="A490" s="115" t="inlineStr">
        <is>
          <t>Fonction publique territoriale et hospitalière</t>
        </is>
      </c>
      <c r="B490" s="101" t="n">
        <v>2060</v>
      </c>
      <c r="C490" s="105" t="n">
        <v>0.25</v>
      </c>
      <c r="D490" s="105" t="n">
        <v>0.111</v>
      </c>
      <c r="E490" s="105" t="n">
        <v>0.3765</v>
      </c>
      <c r="F490" s="116" t="inlineStr">
        <is>
          <t>légal</t>
        </is>
      </c>
      <c r="G490" s="105" t="n">
        <v>0.05</v>
      </c>
      <c r="H490" s="105" t="n">
        <v>0.00252</v>
      </c>
      <c r="I490" s="105" t="n">
        <v>0.0501</v>
      </c>
      <c r="J490" s="107">
        <f>D490*(1-C490)+G490*MIN(C490,0.2*(1-C490))+H490</f>
        <v/>
      </c>
      <c r="K490" s="107">
        <f>E490*(1-C490)+G490*MIN(C490,0.2*(1-C490))</f>
        <v/>
      </c>
      <c r="L490" s="107">
        <f>I490*(1-C490)</f>
        <v/>
      </c>
      <c r="M490" s="119">
        <f>SUMIFS(Regimes!$G$5:$G$10,Regimes!$A$5:$A$10,A490)*(1-C490)/(1-0.24167)</f>
        <v/>
      </c>
      <c r="N490" s="106">
        <f>Donnees_annuelles!D118*J490</f>
        <v/>
      </c>
      <c r="O490" s="106">
        <f>Donnees_annuelles!D118*K490</f>
        <v/>
      </c>
      <c r="P490" s="106">
        <f>N490+O490</f>
        <v/>
      </c>
      <c r="Q490" s="106">
        <f>Donnees_annuelles!D118*L490</f>
        <v/>
      </c>
      <c r="R490" s="118">
        <f>P490/Donnees_annuelles!AA118*Donnees_annuelles!AI118/Donnees_annuelles!AG118</f>
        <v/>
      </c>
      <c r="S490" s="118">
        <f>P490/Donnees_annuelles!AA118*Donnees_annuelles!AJ118/Donnees_annuelles!AH118</f>
        <v/>
      </c>
    </row>
    <row r="491">
      <c r="A491" s="115" t="inlineStr">
        <is>
          <t>Fonction publique territoriale et hospitalière</t>
        </is>
      </c>
      <c r="B491" s="101" t="n">
        <v>2061</v>
      </c>
      <c r="C491" s="105" t="n">
        <v>0.25</v>
      </c>
      <c r="D491" s="105" t="n">
        <v>0.111</v>
      </c>
      <c r="E491" s="105" t="n">
        <v>0.3765</v>
      </c>
      <c r="F491" s="116" t="inlineStr">
        <is>
          <t>légal</t>
        </is>
      </c>
      <c r="G491" s="105" t="n">
        <v>0.05</v>
      </c>
      <c r="H491" s="105" t="n">
        <v>0.00252</v>
      </c>
      <c r="I491" s="105" t="n">
        <v>0.0501</v>
      </c>
      <c r="J491" s="107">
        <f>D491*(1-C491)+G491*MIN(C491,0.2*(1-C491))+H491</f>
        <v/>
      </c>
      <c r="K491" s="107">
        <f>E491*(1-C491)+G491*MIN(C491,0.2*(1-C491))</f>
        <v/>
      </c>
      <c r="L491" s="107">
        <f>I491*(1-C491)</f>
        <v/>
      </c>
      <c r="M491" s="119">
        <f>SUMIFS(Regimes!$G$5:$G$10,Regimes!$A$5:$A$10,A491)*(1-C491)/(1-0.24167)</f>
        <v/>
      </c>
      <c r="N491" s="106">
        <f>Donnees_annuelles!D119*J491</f>
        <v/>
      </c>
      <c r="O491" s="106">
        <f>Donnees_annuelles!D119*K491</f>
        <v/>
      </c>
      <c r="P491" s="106">
        <f>N491+O491</f>
        <v/>
      </c>
      <c r="Q491" s="106">
        <f>Donnees_annuelles!D119*L491</f>
        <v/>
      </c>
      <c r="R491" s="118">
        <f>P491/Donnees_annuelles!AA119*Donnees_annuelles!AI119/Donnees_annuelles!AG119</f>
        <v/>
      </c>
      <c r="S491" s="118">
        <f>P491/Donnees_annuelles!AA119*Donnees_annuelles!AJ119/Donnees_annuelles!AH119</f>
        <v/>
      </c>
    </row>
    <row r="492">
      <c r="A492" s="115" t="inlineStr">
        <is>
          <t>Fonction publique territoriale et hospitalière</t>
        </is>
      </c>
      <c r="B492" s="101" t="n">
        <v>2062</v>
      </c>
      <c r="C492" s="105" t="n">
        <v>0.25</v>
      </c>
      <c r="D492" s="105" t="n">
        <v>0.111</v>
      </c>
      <c r="E492" s="105" t="n">
        <v>0.3765</v>
      </c>
      <c r="F492" s="116" t="inlineStr">
        <is>
          <t>légal</t>
        </is>
      </c>
      <c r="G492" s="105" t="n">
        <v>0.05</v>
      </c>
      <c r="H492" s="105" t="n">
        <v>0.00252</v>
      </c>
      <c r="I492" s="105" t="n">
        <v>0.0501</v>
      </c>
      <c r="J492" s="107">
        <f>D492*(1-C492)+G492*MIN(C492,0.2*(1-C492))+H492</f>
        <v/>
      </c>
      <c r="K492" s="107">
        <f>E492*(1-C492)+G492*MIN(C492,0.2*(1-C492))</f>
        <v/>
      </c>
      <c r="L492" s="107">
        <f>I492*(1-C492)</f>
        <v/>
      </c>
      <c r="M492" s="119">
        <f>SUMIFS(Regimes!$G$5:$G$10,Regimes!$A$5:$A$10,A492)*(1-C492)/(1-0.24167)</f>
        <v/>
      </c>
      <c r="N492" s="106">
        <f>Donnees_annuelles!D120*J492</f>
        <v/>
      </c>
      <c r="O492" s="106">
        <f>Donnees_annuelles!D120*K492</f>
        <v/>
      </c>
      <c r="P492" s="106">
        <f>N492+O492</f>
        <v/>
      </c>
      <c r="Q492" s="106">
        <f>Donnees_annuelles!D120*L492</f>
        <v/>
      </c>
      <c r="R492" s="118">
        <f>P492/Donnees_annuelles!AA120*Donnees_annuelles!AI120/Donnees_annuelles!AG120</f>
        <v/>
      </c>
      <c r="S492" s="118">
        <f>P492/Donnees_annuelles!AA120*Donnees_annuelles!AJ120/Donnees_annuelles!AH120</f>
        <v/>
      </c>
    </row>
    <row r="493">
      <c r="A493" s="115" t="inlineStr">
        <is>
          <t>Fonction publique territoriale et hospitalière</t>
        </is>
      </c>
      <c r="B493" s="101" t="n">
        <v>2063</v>
      </c>
      <c r="C493" s="105" t="n">
        <v>0.25</v>
      </c>
      <c r="D493" s="105" t="n">
        <v>0.111</v>
      </c>
      <c r="E493" s="105" t="n">
        <v>0.3765</v>
      </c>
      <c r="F493" s="116" t="inlineStr">
        <is>
          <t>légal</t>
        </is>
      </c>
      <c r="G493" s="105" t="n">
        <v>0.05</v>
      </c>
      <c r="H493" s="105" t="n">
        <v>0.00252</v>
      </c>
      <c r="I493" s="105" t="n">
        <v>0.0501</v>
      </c>
      <c r="J493" s="107">
        <f>D493*(1-C493)+G493*MIN(C493,0.2*(1-C493))+H493</f>
        <v/>
      </c>
      <c r="K493" s="107">
        <f>E493*(1-C493)+G493*MIN(C493,0.2*(1-C493))</f>
        <v/>
      </c>
      <c r="L493" s="107">
        <f>I493*(1-C493)</f>
        <v/>
      </c>
      <c r="M493" s="119">
        <f>SUMIFS(Regimes!$G$5:$G$10,Regimes!$A$5:$A$10,A493)*(1-C493)/(1-0.24167)</f>
        <v/>
      </c>
      <c r="N493" s="106">
        <f>Donnees_annuelles!D121*J493</f>
        <v/>
      </c>
      <c r="O493" s="106">
        <f>Donnees_annuelles!D121*K493</f>
        <v/>
      </c>
      <c r="P493" s="106">
        <f>N493+O493</f>
        <v/>
      </c>
      <c r="Q493" s="106">
        <f>Donnees_annuelles!D121*L493</f>
        <v/>
      </c>
      <c r="R493" s="118">
        <f>P493/Donnees_annuelles!AA121*Donnees_annuelles!AI121/Donnees_annuelles!AG121</f>
        <v/>
      </c>
      <c r="S493" s="118">
        <f>P493/Donnees_annuelles!AA121*Donnees_annuelles!AJ121/Donnees_annuelles!AH121</f>
        <v/>
      </c>
    </row>
    <row r="494">
      <c r="A494" s="115" t="inlineStr">
        <is>
          <t>Fonction publique territoriale et hospitalière</t>
        </is>
      </c>
      <c r="B494" s="101" t="n">
        <v>2064</v>
      </c>
      <c r="C494" s="105" t="n">
        <v>0.25</v>
      </c>
      <c r="D494" s="105" t="n">
        <v>0.111</v>
      </c>
      <c r="E494" s="105" t="n">
        <v>0.3765</v>
      </c>
      <c r="F494" s="116" t="inlineStr">
        <is>
          <t>légal</t>
        </is>
      </c>
      <c r="G494" s="105" t="n">
        <v>0.05</v>
      </c>
      <c r="H494" s="105" t="n">
        <v>0.00252</v>
      </c>
      <c r="I494" s="105" t="n">
        <v>0.0501</v>
      </c>
      <c r="J494" s="107">
        <f>D494*(1-C494)+G494*MIN(C494,0.2*(1-C494))+H494</f>
        <v/>
      </c>
      <c r="K494" s="107">
        <f>E494*(1-C494)+G494*MIN(C494,0.2*(1-C494))</f>
        <v/>
      </c>
      <c r="L494" s="107">
        <f>I494*(1-C494)</f>
        <v/>
      </c>
      <c r="M494" s="119">
        <f>SUMIFS(Regimes!$G$5:$G$10,Regimes!$A$5:$A$10,A494)*(1-C494)/(1-0.24167)</f>
        <v/>
      </c>
      <c r="N494" s="106">
        <f>Donnees_annuelles!D122*J494</f>
        <v/>
      </c>
      <c r="O494" s="106">
        <f>Donnees_annuelles!D122*K494</f>
        <v/>
      </c>
      <c r="P494" s="106">
        <f>N494+O494</f>
        <v/>
      </c>
      <c r="Q494" s="106">
        <f>Donnees_annuelles!D122*L494</f>
        <v/>
      </c>
      <c r="R494" s="118">
        <f>P494/Donnees_annuelles!AA122*Donnees_annuelles!AI122/Donnees_annuelles!AG122</f>
        <v/>
      </c>
      <c r="S494" s="118">
        <f>P494/Donnees_annuelles!AA122*Donnees_annuelles!AJ122/Donnees_annuelles!AH122</f>
        <v/>
      </c>
    </row>
    <row r="495">
      <c r="A495" s="115" t="inlineStr">
        <is>
          <t>Fonction publique territoriale et hospitalière</t>
        </is>
      </c>
      <c r="B495" s="101" t="n">
        <v>2065</v>
      </c>
      <c r="C495" s="105" t="n">
        <v>0.25</v>
      </c>
      <c r="D495" s="105" t="n">
        <v>0.111</v>
      </c>
      <c r="E495" s="105" t="n">
        <v>0.3765</v>
      </c>
      <c r="F495" s="116" t="inlineStr">
        <is>
          <t>légal</t>
        </is>
      </c>
      <c r="G495" s="105" t="n">
        <v>0.05</v>
      </c>
      <c r="H495" s="105" t="n">
        <v>0.00252</v>
      </c>
      <c r="I495" s="105" t="n">
        <v>0.0501</v>
      </c>
      <c r="J495" s="107">
        <f>D495*(1-C495)+G495*MIN(C495,0.2*(1-C495))+H495</f>
        <v/>
      </c>
      <c r="K495" s="107">
        <f>E495*(1-C495)+G495*MIN(C495,0.2*(1-C495))</f>
        <v/>
      </c>
      <c r="L495" s="107">
        <f>I495*(1-C495)</f>
        <v/>
      </c>
      <c r="M495" s="119">
        <f>SUMIFS(Regimes!$G$5:$G$10,Regimes!$A$5:$A$10,A495)*(1-C495)/(1-0.24167)</f>
        <v/>
      </c>
      <c r="N495" s="106">
        <f>Donnees_annuelles!D123*J495</f>
        <v/>
      </c>
      <c r="O495" s="106">
        <f>Donnees_annuelles!D123*K495</f>
        <v/>
      </c>
      <c r="P495" s="106">
        <f>N495+O495</f>
        <v/>
      </c>
      <c r="Q495" s="106">
        <f>Donnees_annuelles!D123*L495</f>
        <v/>
      </c>
      <c r="R495" s="118">
        <f>P495/Donnees_annuelles!AA123*Donnees_annuelles!AI123/Donnees_annuelles!AG123</f>
        <v/>
      </c>
      <c r="S495" s="118">
        <f>P495/Donnees_annuelles!AA123*Donnees_annuelles!AJ123/Donnees_annuelles!AH123</f>
        <v/>
      </c>
    </row>
    <row r="496">
      <c r="A496" s="115" t="inlineStr">
        <is>
          <t>Fonction publique territoriale et hospitalière</t>
        </is>
      </c>
      <c r="B496" s="101" t="n">
        <v>2066</v>
      </c>
      <c r="C496" s="105" t="n">
        <v>0.25</v>
      </c>
      <c r="D496" s="105" t="n">
        <v>0.111</v>
      </c>
      <c r="E496" s="105" t="n">
        <v>0.3765</v>
      </c>
      <c r="F496" s="116" t="inlineStr">
        <is>
          <t>légal</t>
        </is>
      </c>
      <c r="G496" s="105" t="n">
        <v>0.05</v>
      </c>
      <c r="H496" s="105" t="n">
        <v>0.00252</v>
      </c>
      <c r="I496" s="105" t="n">
        <v>0.0501</v>
      </c>
      <c r="J496" s="107">
        <f>D496*(1-C496)+G496*MIN(C496,0.2*(1-C496))+H496</f>
        <v/>
      </c>
      <c r="K496" s="107">
        <f>E496*(1-C496)+G496*MIN(C496,0.2*(1-C496))</f>
        <v/>
      </c>
      <c r="L496" s="107">
        <f>I496*(1-C496)</f>
        <v/>
      </c>
      <c r="M496" s="119">
        <f>SUMIFS(Regimes!$G$5:$G$10,Regimes!$A$5:$A$10,A496)*(1-C496)/(1-0.24167)</f>
        <v/>
      </c>
      <c r="N496" s="106">
        <f>Donnees_annuelles!D124*J496</f>
        <v/>
      </c>
      <c r="O496" s="106">
        <f>Donnees_annuelles!D124*K496</f>
        <v/>
      </c>
      <c r="P496" s="106">
        <f>N496+O496</f>
        <v/>
      </c>
      <c r="Q496" s="106">
        <f>Donnees_annuelles!D124*L496</f>
        <v/>
      </c>
      <c r="R496" s="118">
        <f>P496/Donnees_annuelles!AA124*Donnees_annuelles!AI124/Donnees_annuelles!AG124</f>
        <v/>
      </c>
      <c r="S496" s="118">
        <f>P496/Donnees_annuelles!AA124*Donnees_annuelles!AJ124/Donnees_annuelles!AH124</f>
        <v/>
      </c>
    </row>
    <row r="497">
      <c r="A497" s="115" t="inlineStr">
        <is>
          <t>Fonction publique territoriale et hospitalière</t>
        </is>
      </c>
      <c r="B497" s="101" t="n">
        <v>2067</v>
      </c>
      <c r="C497" s="105" t="n">
        <v>0.25</v>
      </c>
      <c r="D497" s="105" t="n">
        <v>0.111</v>
      </c>
      <c r="E497" s="105" t="n">
        <v>0.3765</v>
      </c>
      <c r="F497" s="116" t="inlineStr">
        <is>
          <t>légal</t>
        </is>
      </c>
      <c r="G497" s="105" t="n">
        <v>0.05</v>
      </c>
      <c r="H497" s="105" t="n">
        <v>0.00252</v>
      </c>
      <c r="I497" s="105" t="n">
        <v>0.0501</v>
      </c>
      <c r="J497" s="107">
        <f>D497*(1-C497)+G497*MIN(C497,0.2*(1-C497))+H497</f>
        <v/>
      </c>
      <c r="K497" s="107">
        <f>E497*(1-C497)+G497*MIN(C497,0.2*(1-C497))</f>
        <v/>
      </c>
      <c r="L497" s="107">
        <f>I497*(1-C497)</f>
        <v/>
      </c>
      <c r="M497" s="119">
        <f>SUMIFS(Regimes!$G$5:$G$10,Regimes!$A$5:$A$10,A497)*(1-C497)/(1-0.24167)</f>
        <v/>
      </c>
      <c r="N497" s="106">
        <f>Donnees_annuelles!D125*J497</f>
        <v/>
      </c>
      <c r="O497" s="106">
        <f>Donnees_annuelles!D125*K497</f>
        <v/>
      </c>
      <c r="P497" s="106">
        <f>N497+O497</f>
        <v/>
      </c>
      <c r="Q497" s="106">
        <f>Donnees_annuelles!D125*L497</f>
        <v/>
      </c>
      <c r="R497" s="118">
        <f>P497/Donnees_annuelles!AA125*Donnees_annuelles!AI125/Donnees_annuelles!AG125</f>
        <v/>
      </c>
      <c r="S497" s="118">
        <f>P497/Donnees_annuelles!AA125*Donnees_annuelles!AJ125/Donnees_annuelles!AH125</f>
        <v/>
      </c>
    </row>
    <row r="498">
      <c r="A498" s="115" t="inlineStr">
        <is>
          <t>Fonction publique territoriale et hospitalière</t>
        </is>
      </c>
      <c r="B498" s="101" t="n">
        <v>2068</v>
      </c>
      <c r="C498" s="105" t="n">
        <v>0.25</v>
      </c>
      <c r="D498" s="105" t="n">
        <v>0.111</v>
      </c>
      <c r="E498" s="105" t="n">
        <v>0.3765</v>
      </c>
      <c r="F498" s="116" t="inlineStr">
        <is>
          <t>légal</t>
        </is>
      </c>
      <c r="G498" s="105" t="n">
        <v>0.05</v>
      </c>
      <c r="H498" s="105" t="n">
        <v>0.00252</v>
      </c>
      <c r="I498" s="105" t="n">
        <v>0.0501</v>
      </c>
      <c r="J498" s="107">
        <f>D498*(1-C498)+G498*MIN(C498,0.2*(1-C498))+H498</f>
        <v/>
      </c>
      <c r="K498" s="107">
        <f>E498*(1-C498)+G498*MIN(C498,0.2*(1-C498))</f>
        <v/>
      </c>
      <c r="L498" s="107">
        <f>I498*(1-C498)</f>
        <v/>
      </c>
      <c r="M498" s="119">
        <f>SUMIFS(Regimes!$G$5:$G$10,Regimes!$A$5:$A$10,A498)*(1-C498)/(1-0.24167)</f>
        <v/>
      </c>
      <c r="N498" s="106">
        <f>Donnees_annuelles!D126*J498</f>
        <v/>
      </c>
      <c r="O498" s="106">
        <f>Donnees_annuelles!D126*K498</f>
        <v/>
      </c>
      <c r="P498" s="106">
        <f>N498+O498</f>
        <v/>
      </c>
      <c r="Q498" s="106">
        <f>Donnees_annuelles!D126*L498</f>
        <v/>
      </c>
      <c r="R498" s="118">
        <f>P498/Donnees_annuelles!AA126*Donnees_annuelles!AI126/Donnees_annuelles!AG126</f>
        <v/>
      </c>
      <c r="S498" s="118">
        <f>P498/Donnees_annuelles!AA126*Donnees_annuelles!AJ126/Donnees_annuelles!AH126</f>
        <v/>
      </c>
    </row>
    <row r="499">
      <c r="A499" s="115" t="inlineStr">
        <is>
          <t>Fonction publique territoriale et hospitalière</t>
        </is>
      </c>
      <c r="B499" s="101" t="n">
        <v>2069</v>
      </c>
      <c r="C499" s="105" t="n">
        <v>0.25</v>
      </c>
      <c r="D499" s="105" t="n">
        <v>0.111</v>
      </c>
      <c r="E499" s="105" t="n">
        <v>0.3765</v>
      </c>
      <c r="F499" s="116" t="inlineStr">
        <is>
          <t>légal</t>
        </is>
      </c>
      <c r="G499" s="105" t="n">
        <v>0.05</v>
      </c>
      <c r="H499" s="105" t="n">
        <v>0.00252</v>
      </c>
      <c r="I499" s="105" t="n">
        <v>0.0501</v>
      </c>
      <c r="J499" s="107">
        <f>D499*(1-C499)+G499*MIN(C499,0.2*(1-C499))+H499</f>
        <v/>
      </c>
      <c r="K499" s="107">
        <f>E499*(1-C499)+G499*MIN(C499,0.2*(1-C499))</f>
        <v/>
      </c>
      <c r="L499" s="107">
        <f>I499*(1-C499)</f>
        <v/>
      </c>
      <c r="M499" s="119">
        <f>SUMIFS(Regimes!$G$5:$G$10,Regimes!$A$5:$A$10,A499)*(1-C499)/(1-0.24167)</f>
        <v/>
      </c>
      <c r="N499" s="106">
        <f>Donnees_annuelles!D127*J499</f>
        <v/>
      </c>
      <c r="O499" s="106">
        <f>Donnees_annuelles!D127*K499</f>
        <v/>
      </c>
      <c r="P499" s="106">
        <f>N499+O499</f>
        <v/>
      </c>
      <c r="Q499" s="106">
        <f>Donnees_annuelles!D127*L499</f>
        <v/>
      </c>
      <c r="R499" s="118">
        <f>P499/Donnees_annuelles!AA127*Donnees_annuelles!AI127/Donnees_annuelles!AG127</f>
        <v/>
      </c>
      <c r="S499" s="118">
        <f>P499/Donnees_annuelles!AA127*Donnees_annuelles!AJ127/Donnees_annuelles!AH127</f>
        <v/>
      </c>
    </row>
    <row r="500">
      <c r="A500" s="115" t="inlineStr">
        <is>
          <t>Fonction publique territoriale et hospitalière</t>
        </is>
      </c>
      <c r="B500" s="101" t="n">
        <v>2070</v>
      </c>
      <c r="C500" s="105" t="n">
        <v>0.25</v>
      </c>
      <c r="D500" s="105" t="n">
        <v>0.111</v>
      </c>
      <c r="E500" s="105" t="n">
        <v>0.3765</v>
      </c>
      <c r="F500" s="116" t="inlineStr">
        <is>
          <t>légal</t>
        </is>
      </c>
      <c r="G500" s="105" t="n">
        <v>0.05</v>
      </c>
      <c r="H500" s="105" t="n">
        <v>0.00252</v>
      </c>
      <c r="I500" s="105" t="n">
        <v>0.0501</v>
      </c>
      <c r="J500" s="107">
        <f>D500*(1-C500)+G500*MIN(C500,0.2*(1-C500))+H500</f>
        <v/>
      </c>
      <c r="K500" s="107">
        <f>E500*(1-C500)+G500*MIN(C500,0.2*(1-C500))</f>
        <v/>
      </c>
      <c r="L500" s="107">
        <f>I500*(1-C500)</f>
        <v/>
      </c>
      <c r="M500" s="119">
        <f>SUMIFS(Regimes!$G$5:$G$10,Regimes!$A$5:$A$10,A500)*(1-C500)/(1-0.24167)</f>
        <v/>
      </c>
      <c r="N500" s="106">
        <f>Donnees_annuelles!D128*J500</f>
        <v/>
      </c>
      <c r="O500" s="106">
        <f>Donnees_annuelles!D128*K500</f>
        <v/>
      </c>
      <c r="P500" s="106">
        <f>N500+O500</f>
        <v/>
      </c>
      <c r="Q500" s="106">
        <f>Donnees_annuelles!D128*L500</f>
        <v/>
      </c>
      <c r="R500" s="118">
        <f>P500/Donnees_annuelles!AA128*Donnees_annuelles!AI128/Donnees_annuelles!AG128</f>
        <v/>
      </c>
      <c r="S500" s="118">
        <f>P500/Donnees_annuelles!AA128*Donnees_annuelles!AJ128/Donnees_annuelles!AH128</f>
        <v/>
      </c>
    </row>
    <row r="501">
      <c r="A501" s="115" t="inlineStr">
        <is>
          <t>Fonction publique territoriale et hospitalière</t>
        </is>
      </c>
      <c r="B501" s="101" t="n">
        <v>2071</v>
      </c>
      <c r="C501" s="105" t="n">
        <v>0.25</v>
      </c>
      <c r="D501" s="105" t="n">
        <v>0.111</v>
      </c>
      <c r="E501" s="105" t="n">
        <v>0.3765</v>
      </c>
      <c r="F501" s="116" t="inlineStr">
        <is>
          <t>légal</t>
        </is>
      </c>
      <c r="G501" s="105" t="n">
        <v>0.05</v>
      </c>
      <c r="H501" s="105" t="n">
        <v>0.00252</v>
      </c>
      <c r="I501" s="105" t="n">
        <v>0.0501</v>
      </c>
      <c r="J501" s="107">
        <f>D501*(1-C501)+G501*MIN(C501,0.2*(1-C501))+H501</f>
        <v/>
      </c>
      <c r="K501" s="107">
        <f>E501*(1-C501)+G501*MIN(C501,0.2*(1-C501))</f>
        <v/>
      </c>
      <c r="L501" s="107">
        <f>I501*(1-C501)</f>
        <v/>
      </c>
      <c r="M501" s="119">
        <f>SUMIFS(Regimes!$G$5:$G$10,Regimes!$A$5:$A$10,A501)*(1-C501)/(1-0.24167)</f>
        <v/>
      </c>
      <c r="N501" s="106">
        <f>Donnees_annuelles!D129*J501</f>
        <v/>
      </c>
      <c r="O501" s="106">
        <f>Donnees_annuelles!D129*K501</f>
        <v/>
      </c>
      <c r="P501" s="106">
        <f>N501+O501</f>
        <v/>
      </c>
      <c r="Q501" s="106">
        <f>Donnees_annuelles!D129*L501</f>
        <v/>
      </c>
      <c r="R501" s="118">
        <f>P501/Donnees_annuelles!AA129*Donnees_annuelles!AI129/Donnees_annuelles!AG129</f>
        <v/>
      </c>
      <c r="S501" s="118">
        <f>P501/Donnees_annuelles!AA129*Donnees_annuelles!AJ129/Donnees_annuelles!AH129</f>
        <v/>
      </c>
    </row>
    <row r="502">
      <c r="A502" s="115" t="inlineStr">
        <is>
          <t>Fonction publique territoriale et hospitalière</t>
        </is>
      </c>
      <c r="B502" s="101" t="n">
        <v>2072</v>
      </c>
      <c r="C502" s="105" t="n">
        <v>0.25</v>
      </c>
      <c r="D502" s="105" t="n">
        <v>0.111</v>
      </c>
      <c r="E502" s="105" t="n">
        <v>0.3765</v>
      </c>
      <c r="F502" s="116" t="inlineStr">
        <is>
          <t>légal</t>
        </is>
      </c>
      <c r="G502" s="105" t="n">
        <v>0.05</v>
      </c>
      <c r="H502" s="105" t="n">
        <v>0.00252</v>
      </c>
      <c r="I502" s="105" t="n">
        <v>0.0501</v>
      </c>
      <c r="J502" s="107">
        <f>D502*(1-C502)+G502*MIN(C502,0.2*(1-C502))+H502</f>
        <v/>
      </c>
      <c r="K502" s="107">
        <f>E502*(1-C502)+G502*MIN(C502,0.2*(1-C502))</f>
        <v/>
      </c>
      <c r="L502" s="107">
        <f>I502*(1-C502)</f>
        <v/>
      </c>
      <c r="M502" s="119">
        <f>SUMIFS(Regimes!$G$5:$G$10,Regimes!$A$5:$A$10,A502)*(1-C502)/(1-0.24167)</f>
        <v/>
      </c>
      <c r="N502" s="106">
        <f>Donnees_annuelles!D130*J502</f>
        <v/>
      </c>
      <c r="O502" s="106">
        <f>Donnees_annuelles!D130*K502</f>
        <v/>
      </c>
      <c r="P502" s="106">
        <f>N502+O502</f>
        <v/>
      </c>
      <c r="Q502" s="106">
        <f>Donnees_annuelles!D130*L502</f>
        <v/>
      </c>
      <c r="R502" s="118">
        <f>P502/Donnees_annuelles!AA130*Donnees_annuelles!AI130/Donnees_annuelles!AG130</f>
        <v/>
      </c>
      <c r="S502" s="118">
        <f>P502/Donnees_annuelles!AA130*Donnees_annuelles!AJ130/Donnees_annuelles!AH130</f>
        <v/>
      </c>
    </row>
    <row r="503">
      <c r="A503" s="115" t="inlineStr">
        <is>
          <t>Fonction publique territoriale et hospitalière</t>
        </is>
      </c>
      <c r="B503" s="101" t="n">
        <v>2073</v>
      </c>
      <c r="C503" s="105" t="n">
        <v>0.25</v>
      </c>
      <c r="D503" s="105" t="n">
        <v>0.111</v>
      </c>
      <c r="E503" s="105" t="n">
        <v>0.3765</v>
      </c>
      <c r="F503" s="116" t="inlineStr">
        <is>
          <t>légal</t>
        </is>
      </c>
      <c r="G503" s="105" t="n">
        <v>0.05</v>
      </c>
      <c r="H503" s="105" t="n">
        <v>0.00252</v>
      </c>
      <c r="I503" s="105" t="n">
        <v>0.0501</v>
      </c>
      <c r="J503" s="107">
        <f>D503*(1-C503)+G503*MIN(C503,0.2*(1-C503))+H503</f>
        <v/>
      </c>
      <c r="K503" s="107">
        <f>E503*(1-C503)+G503*MIN(C503,0.2*(1-C503))</f>
        <v/>
      </c>
      <c r="L503" s="107">
        <f>I503*(1-C503)</f>
        <v/>
      </c>
      <c r="M503" s="119">
        <f>SUMIFS(Regimes!$G$5:$G$10,Regimes!$A$5:$A$10,A503)*(1-C503)/(1-0.24167)</f>
        <v/>
      </c>
      <c r="N503" s="106">
        <f>Donnees_annuelles!D131*J503</f>
        <v/>
      </c>
      <c r="O503" s="106">
        <f>Donnees_annuelles!D131*K503</f>
        <v/>
      </c>
      <c r="P503" s="106">
        <f>N503+O503</f>
        <v/>
      </c>
      <c r="Q503" s="106">
        <f>Donnees_annuelles!D131*L503</f>
        <v/>
      </c>
      <c r="R503" s="118">
        <f>P503/Donnees_annuelles!AA131*Donnees_annuelles!AI131/Donnees_annuelles!AG131</f>
        <v/>
      </c>
      <c r="S503" s="118">
        <f>P503/Donnees_annuelles!AA131*Donnees_annuelles!AJ131/Donnees_annuelles!AH131</f>
        <v/>
      </c>
    </row>
    <row r="504">
      <c r="A504" s="115" t="inlineStr">
        <is>
          <t>Fonction publique territoriale et hospitalière</t>
        </is>
      </c>
      <c r="B504" s="101" t="n">
        <v>2074</v>
      </c>
      <c r="C504" s="105" t="n">
        <v>0.25</v>
      </c>
      <c r="D504" s="105" t="n">
        <v>0.111</v>
      </c>
      <c r="E504" s="105" t="n">
        <v>0.3765</v>
      </c>
      <c r="F504" s="116" t="inlineStr">
        <is>
          <t>légal</t>
        </is>
      </c>
      <c r="G504" s="105" t="n">
        <v>0.05</v>
      </c>
      <c r="H504" s="105" t="n">
        <v>0.00252</v>
      </c>
      <c r="I504" s="105" t="n">
        <v>0.0501</v>
      </c>
      <c r="J504" s="107">
        <f>D504*(1-C504)+G504*MIN(C504,0.2*(1-C504))+H504</f>
        <v/>
      </c>
      <c r="K504" s="107">
        <f>E504*(1-C504)+G504*MIN(C504,0.2*(1-C504))</f>
        <v/>
      </c>
      <c r="L504" s="107">
        <f>I504*(1-C504)</f>
        <v/>
      </c>
      <c r="M504" s="119">
        <f>SUMIFS(Regimes!$G$5:$G$10,Regimes!$A$5:$A$10,A504)*(1-C504)/(1-0.24167)</f>
        <v/>
      </c>
      <c r="N504" s="106">
        <f>Donnees_annuelles!D132*J504</f>
        <v/>
      </c>
      <c r="O504" s="106">
        <f>Donnees_annuelles!D132*K504</f>
        <v/>
      </c>
      <c r="P504" s="106">
        <f>N504+O504</f>
        <v/>
      </c>
      <c r="Q504" s="106">
        <f>Donnees_annuelles!D132*L504</f>
        <v/>
      </c>
      <c r="R504" s="118">
        <f>P504/Donnees_annuelles!AA132*Donnees_annuelles!AI132/Donnees_annuelles!AG132</f>
        <v/>
      </c>
      <c r="S504" s="118">
        <f>P504/Donnees_annuelles!AA132*Donnees_annuelles!AJ132/Donnees_annuelles!AH132</f>
        <v/>
      </c>
    </row>
    <row r="505">
      <c r="A505" s="115" t="inlineStr">
        <is>
          <t>Fonction publique territoriale et hospitalière</t>
        </is>
      </c>
      <c r="B505" s="101" t="n">
        <v>2075</v>
      </c>
      <c r="C505" s="105" t="n">
        <v>0.25</v>
      </c>
      <c r="D505" s="105" t="n">
        <v>0.111</v>
      </c>
      <c r="E505" s="105" t="n">
        <v>0.3765</v>
      </c>
      <c r="F505" s="116" t="inlineStr">
        <is>
          <t>légal</t>
        </is>
      </c>
      <c r="G505" s="105" t="n">
        <v>0.05</v>
      </c>
      <c r="H505" s="105" t="n">
        <v>0.00252</v>
      </c>
      <c r="I505" s="105" t="n">
        <v>0.0501</v>
      </c>
      <c r="J505" s="107">
        <f>D505*(1-C505)+G505*MIN(C505,0.2*(1-C505))+H505</f>
        <v/>
      </c>
      <c r="K505" s="107">
        <f>E505*(1-C505)+G505*MIN(C505,0.2*(1-C505))</f>
        <v/>
      </c>
      <c r="L505" s="107">
        <f>I505*(1-C505)</f>
        <v/>
      </c>
      <c r="M505" s="119">
        <f>SUMIFS(Regimes!$G$5:$G$10,Regimes!$A$5:$A$10,A505)*(1-C505)/(1-0.24167)</f>
        <v/>
      </c>
      <c r="N505" s="106">
        <f>Donnees_annuelles!D133*J505</f>
        <v/>
      </c>
      <c r="O505" s="106">
        <f>Donnees_annuelles!D133*K505</f>
        <v/>
      </c>
      <c r="P505" s="106">
        <f>N505+O505</f>
        <v/>
      </c>
      <c r="Q505" s="106">
        <f>Donnees_annuelles!D133*L505</f>
        <v/>
      </c>
      <c r="R505" s="118">
        <f>P505/Donnees_annuelles!AA133*Donnees_annuelles!AI133/Donnees_annuelles!AG133</f>
        <v/>
      </c>
      <c r="S505" s="118">
        <f>P505/Donnees_annuelles!AA133*Donnees_annuelles!AJ133/Donnees_annuelles!AH133</f>
        <v/>
      </c>
    </row>
    <row r="506">
      <c r="A506" s="115" t="inlineStr">
        <is>
          <t>Fonction publique territoriale et hospitalière</t>
        </is>
      </c>
      <c r="B506" s="101" t="n">
        <v>2076</v>
      </c>
      <c r="C506" s="105" t="n">
        <v>0.25</v>
      </c>
      <c r="D506" s="105" t="n">
        <v>0.111</v>
      </c>
      <c r="E506" s="105" t="n">
        <v>0.3765</v>
      </c>
      <c r="F506" s="116" t="inlineStr">
        <is>
          <t>légal</t>
        </is>
      </c>
      <c r="G506" s="105" t="n">
        <v>0.05</v>
      </c>
      <c r="H506" s="105" t="n">
        <v>0.00252</v>
      </c>
      <c r="I506" s="105" t="n">
        <v>0.0501</v>
      </c>
      <c r="J506" s="107">
        <f>D506*(1-C506)+G506*MIN(C506,0.2*(1-C506))+H506</f>
        <v/>
      </c>
      <c r="K506" s="107">
        <f>E506*(1-C506)+G506*MIN(C506,0.2*(1-C506))</f>
        <v/>
      </c>
      <c r="L506" s="107">
        <f>I506*(1-C506)</f>
        <v/>
      </c>
      <c r="M506" s="119">
        <f>SUMIFS(Regimes!$G$5:$G$10,Regimes!$A$5:$A$10,A506)*(1-C506)/(1-0.24167)</f>
        <v/>
      </c>
      <c r="N506" s="106">
        <f>Donnees_annuelles!D134*J506</f>
        <v/>
      </c>
      <c r="O506" s="106">
        <f>Donnees_annuelles!D134*K506</f>
        <v/>
      </c>
      <c r="P506" s="106">
        <f>N506+O506</f>
        <v/>
      </c>
      <c r="Q506" s="106">
        <f>Donnees_annuelles!D134*L506</f>
        <v/>
      </c>
      <c r="R506" s="118">
        <f>P506/Donnees_annuelles!AA134*Donnees_annuelles!AI134/Donnees_annuelles!AG134</f>
        <v/>
      </c>
      <c r="S506" s="118">
        <f>P506/Donnees_annuelles!AA134*Donnees_annuelles!AJ134/Donnees_annuelles!AH134</f>
        <v/>
      </c>
    </row>
    <row r="507">
      <c r="A507" s="115" t="inlineStr">
        <is>
          <t>Fonction publique territoriale et hospitalière</t>
        </is>
      </c>
      <c r="B507" s="101" t="n">
        <v>2077</v>
      </c>
      <c r="C507" s="105" t="n">
        <v>0.25</v>
      </c>
      <c r="D507" s="105" t="n">
        <v>0.111</v>
      </c>
      <c r="E507" s="105" t="n">
        <v>0.3765</v>
      </c>
      <c r="F507" s="116" t="inlineStr">
        <is>
          <t>légal</t>
        </is>
      </c>
      <c r="G507" s="105" t="n">
        <v>0.05</v>
      </c>
      <c r="H507" s="105" t="n">
        <v>0.00252</v>
      </c>
      <c r="I507" s="105" t="n">
        <v>0.0501</v>
      </c>
      <c r="J507" s="107">
        <f>D507*(1-C507)+G507*MIN(C507,0.2*(1-C507))+H507</f>
        <v/>
      </c>
      <c r="K507" s="107">
        <f>E507*(1-C507)+G507*MIN(C507,0.2*(1-C507))</f>
        <v/>
      </c>
      <c r="L507" s="107">
        <f>I507*(1-C507)</f>
        <v/>
      </c>
      <c r="M507" s="119">
        <f>SUMIFS(Regimes!$G$5:$G$10,Regimes!$A$5:$A$10,A507)*(1-C507)/(1-0.24167)</f>
        <v/>
      </c>
      <c r="N507" s="106">
        <f>Donnees_annuelles!D135*J507</f>
        <v/>
      </c>
      <c r="O507" s="106">
        <f>Donnees_annuelles!D135*K507</f>
        <v/>
      </c>
      <c r="P507" s="106">
        <f>N507+O507</f>
        <v/>
      </c>
      <c r="Q507" s="106">
        <f>Donnees_annuelles!D135*L507</f>
        <v/>
      </c>
      <c r="R507" s="118">
        <f>P507/Donnees_annuelles!AA135*Donnees_annuelles!AI135/Donnees_annuelles!AG135</f>
        <v/>
      </c>
      <c r="S507" s="118">
        <f>P507/Donnees_annuelles!AA135*Donnees_annuelles!AJ135/Donnees_annuelles!AH135</f>
        <v/>
      </c>
    </row>
    <row r="508">
      <c r="A508" s="115" t="inlineStr">
        <is>
          <t>Fonction publique territoriale et hospitalière</t>
        </is>
      </c>
      <c r="B508" s="101" t="n">
        <v>2078</v>
      </c>
      <c r="C508" s="105" t="n">
        <v>0.25</v>
      </c>
      <c r="D508" s="105" t="n">
        <v>0.111</v>
      </c>
      <c r="E508" s="105" t="n">
        <v>0.3765</v>
      </c>
      <c r="F508" s="116" t="inlineStr">
        <is>
          <t>légal</t>
        </is>
      </c>
      <c r="G508" s="105" t="n">
        <v>0.05</v>
      </c>
      <c r="H508" s="105" t="n">
        <v>0.00252</v>
      </c>
      <c r="I508" s="105" t="n">
        <v>0.0501</v>
      </c>
      <c r="J508" s="107">
        <f>D508*(1-C508)+G508*MIN(C508,0.2*(1-C508))+H508</f>
        <v/>
      </c>
      <c r="K508" s="107">
        <f>E508*(1-C508)+G508*MIN(C508,0.2*(1-C508))</f>
        <v/>
      </c>
      <c r="L508" s="107">
        <f>I508*(1-C508)</f>
        <v/>
      </c>
      <c r="M508" s="119">
        <f>SUMIFS(Regimes!$G$5:$G$10,Regimes!$A$5:$A$10,A508)*(1-C508)/(1-0.24167)</f>
        <v/>
      </c>
      <c r="N508" s="106">
        <f>Donnees_annuelles!D136*J508</f>
        <v/>
      </c>
      <c r="O508" s="106">
        <f>Donnees_annuelles!D136*K508</f>
        <v/>
      </c>
      <c r="P508" s="106">
        <f>N508+O508</f>
        <v/>
      </c>
      <c r="Q508" s="106">
        <f>Donnees_annuelles!D136*L508</f>
        <v/>
      </c>
      <c r="R508" s="118">
        <f>P508/Donnees_annuelles!AA136*Donnees_annuelles!AI136/Donnees_annuelles!AG136</f>
        <v/>
      </c>
      <c r="S508" s="118">
        <f>P508/Donnees_annuelles!AA136*Donnees_annuelles!AJ136/Donnees_annuelles!AH136</f>
        <v/>
      </c>
    </row>
    <row r="509">
      <c r="A509" s="115" t="inlineStr">
        <is>
          <t>Fonction publique territoriale et hospitalière</t>
        </is>
      </c>
      <c r="B509" s="101" t="n">
        <v>2079</v>
      </c>
      <c r="C509" s="105" t="n">
        <v>0.25</v>
      </c>
      <c r="D509" s="105" t="n">
        <v>0.111</v>
      </c>
      <c r="E509" s="105" t="n">
        <v>0.3765</v>
      </c>
      <c r="F509" s="116" t="inlineStr">
        <is>
          <t>légal</t>
        </is>
      </c>
      <c r="G509" s="105" t="n">
        <v>0.05</v>
      </c>
      <c r="H509" s="105" t="n">
        <v>0.00252</v>
      </c>
      <c r="I509" s="105" t="n">
        <v>0.0501</v>
      </c>
      <c r="J509" s="107">
        <f>D509*(1-C509)+G509*MIN(C509,0.2*(1-C509))+H509</f>
        <v/>
      </c>
      <c r="K509" s="107">
        <f>E509*(1-C509)+G509*MIN(C509,0.2*(1-C509))</f>
        <v/>
      </c>
      <c r="L509" s="107">
        <f>I509*(1-C509)</f>
        <v/>
      </c>
      <c r="M509" s="119">
        <f>SUMIFS(Regimes!$G$5:$G$10,Regimes!$A$5:$A$10,A509)*(1-C509)/(1-0.24167)</f>
        <v/>
      </c>
      <c r="N509" s="106">
        <f>Donnees_annuelles!D137*J509</f>
        <v/>
      </c>
      <c r="O509" s="106">
        <f>Donnees_annuelles!D137*K509</f>
        <v/>
      </c>
      <c r="P509" s="106">
        <f>N509+O509</f>
        <v/>
      </c>
      <c r="Q509" s="106">
        <f>Donnees_annuelles!D137*L509</f>
        <v/>
      </c>
      <c r="R509" s="118">
        <f>P509/Donnees_annuelles!AA137*Donnees_annuelles!AI137/Donnees_annuelles!AG137</f>
        <v/>
      </c>
      <c r="S509" s="118">
        <f>P509/Donnees_annuelles!AA137*Donnees_annuelles!AJ137/Donnees_annuelles!AH137</f>
        <v/>
      </c>
    </row>
    <row r="510">
      <c r="A510" s="115" t="inlineStr">
        <is>
          <t>Fonction publique territoriale et hospitalière</t>
        </is>
      </c>
      <c r="B510" s="101" t="n">
        <v>2080</v>
      </c>
      <c r="C510" s="105" t="n">
        <v>0.25</v>
      </c>
      <c r="D510" s="105" t="n">
        <v>0.111</v>
      </c>
      <c r="E510" s="105" t="n">
        <v>0.3765</v>
      </c>
      <c r="F510" s="116" t="inlineStr">
        <is>
          <t>légal</t>
        </is>
      </c>
      <c r="G510" s="105" t="n">
        <v>0.05</v>
      </c>
      <c r="H510" s="105" t="n">
        <v>0.00252</v>
      </c>
      <c r="I510" s="105" t="n">
        <v>0.0501</v>
      </c>
      <c r="J510" s="107">
        <f>D510*(1-C510)+G510*MIN(C510,0.2*(1-C510))+H510</f>
        <v/>
      </c>
      <c r="K510" s="107">
        <f>E510*(1-C510)+G510*MIN(C510,0.2*(1-C510))</f>
        <v/>
      </c>
      <c r="L510" s="107">
        <f>I510*(1-C510)</f>
        <v/>
      </c>
      <c r="M510" s="119">
        <f>SUMIFS(Regimes!$G$5:$G$10,Regimes!$A$5:$A$10,A510)*(1-C510)/(1-0.24167)</f>
        <v/>
      </c>
      <c r="N510" s="106">
        <f>Donnees_annuelles!D138*J510</f>
        <v/>
      </c>
      <c r="O510" s="106">
        <f>Donnees_annuelles!D138*K510</f>
        <v/>
      </c>
      <c r="P510" s="106">
        <f>N510+O510</f>
        <v/>
      </c>
      <c r="Q510" s="106">
        <f>Donnees_annuelles!D138*L510</f>
        <v/>
      </c>
      <c r="R510" s="118">
        <f>P510/Donnees_annuelles!AA138*Donnees_annuelles!AI138/Donnees_annuelles!AG138</f>
        <v/>
      </c>
      <c r="S510" s="118">
        <f>P510/Donnees_annuelles!AA138*Donnees_annuelles!AJ138/Donnees_annuelles!AH138</f>
        <v/>
      </c>
    </row>
    <row r="511">
      <c r="A511" s="115" t="inlineStr">
        <is>
          <t>Fonction publique territoriale et hospitalière</t>
        </is>
      </c>
      <c r="B511" s="101" t="n">
        <v>2081</v>
      </c>
      <c r="C511" s="105" t="n">
        <v>0.25</v>
      </c>
      <c r="D511" s="105" t="n">
        <v>0.111</v>
      </c>
      <c r="E511" s="105" t="n">
        <v>0.3765</v>
      </c>
      <c r="F511" s="116" t="inlineStr">
        <is>
          <t>légal</t>
        </is>
      </c>
      <c r="G511" s="105" t="n">
        <v>0.05</v>
      </c>
      <c r="H511" s="105" t="n">
        <v>0.00252</v>
      </c>
      <c r="I511" s="105" t="n">
        <v>0.0501</v>
      </c>
      <c r="J511" s="107">
        <f>D511*(1-C511)+G511*MIN(C511,0.2*(1-C511))+H511</f>
        <v/>
      </c>
      <c r="K511" s="107">
        <f>E511*(1-C511)+G511*MIN(C511,0.2*(1-C511))</f>
        <v/>
      </c>
      <c r="L511" s="107">
        <f>I511*(1-C511)</f>
        <v/>
      </c>
      <c r="M511" s="119">
        <f>SUMIFS(Regimes!$G$5:$G$10,Regimes!$A$5:$A$10,A511)*(1-C511)/(1-0.24167)</f>
        <v/>
      </c>
      <c r="N511" s="106">
        <f>Donnees_annuelles!D139*J511</f>
        <v/>
      </c>
      <c r="O511" s="106">
        <f>Donnees_annuelles!D139*K511</f>
        <v/>
      </c>
      <c r="P511" s="106">
        <f>N511+O511</f>
        <v/>
      </c>
      <c r="Q511" s="106">
        <f>Donnees_annuelles!D139*L511</f>
        <v/>
      </c>
      <c r="R511" s="118">
        <f>P511/Donnees_annuelles!AA139*Donnees_annuelles!AI139/Donnees_annuelles!AG139</f>
        <v/>
      </c>
      <c r="S511" s="118">
        <f>P511/Donnees_annuelles!AA139*Donnees_annuelles!AJ139/Donnees_annuelles!AH139</f>
        <v/>
      </c>
    </row>
    <row r="512">
      <c r="A512" s="115" t="inlineStr">
        <is>
          <t>Fonction publique territoriale et hospitalière</t>
        </is>
      </c>
      <c r="B512" s="101" t="n">
        <v>2082</v>
      </c>
      <c r="C512" s="105" t="n">
        <v>0.25</v>
      </c>
      <c r="D512" s="105" t="n">
        <v>0.111</v>
      </c>
      <c r="E512" s="105" t="n">
        <v>0.3765</v>
      </c>
      <c r="F512" s="116" t="inlineStr">
        <is>
          <t>légal</t>
        </is>
      </c>
      <c r="G512" s="105" t="n">
        <v>0.05</v>
      </c>
      <c r="H512" s="105" t="n">
        <v>0.00252</v>
      </c>
      <c r="I512" s="105" t="n">
        <v>0.0501</v>
      </c>
      <c r="J512" s="107">
        <f>D512*(1-C512)+G512*MIN(C512,0.2*(1-C512))+H512</f>
        <v/>
      </c>
      <c r="K512" s="107">
        <f>E512*(1-C512)+G512*MIN(C512,0.2*(1-C512))</f>
        <v/>
      </c>
      <c r="L512" s="107">
        <f>I512*(1-C512)</f>
        <v/>
      </c>
      <c r="M512" s="119">
        <f>SUMIFS(Regimes!$G$5:$G$10,Regimes!$A$5:$A$10,A512)*(1-C512)/(1-0.24167)</f>
        <v/>
      </c>
      <c r="N512" s="106">
        <f>Donnees_annuelles!D140*J512</f>
        <v/>
      </c>
      <c r="O512" s="106">
        <f>Donnees_annuelles!D140*K512</f>
        <v/>
      </c>
      <c r="P512" s="106">
        <f>N512+O512</f>
        <v/>
      </c>
      <c r="Q512" s="106">
        <f>Donnees_annuelles!D140*L512</f>
        <v/>
      </c>
      <c r="R512" s="118">
        <f>P512/Donnees_annuelles!AA140*Donnees_annuelles!AI140/Donnees_annuelles!AG140</f>
        <v/>
      </c>
      <c r="S512" s="118">
        <f>P512/Donnees_annuelles!AA140*Donnees_annuelles!AJ140/Donnees_annuelles!AH140</f>
        <v/>
      </c>
    </row>
    <row r="513">
      <c r="A513" s="115" t="inlineStr">
        <is>
          <t>Fonction publique territoriale et hospitalière</t>
        </is>
      </c>
      <c r="B513" s="101" t="n">
        <v>2083</v>
      </c>
      <c r="C513" s="105" t="n">
        <v>0.25</v>
      </c>
      <c r="D513" s="105" t="n">
        <v>0.111</v>
      </c>
      <c r="E513" s="105" t="n">
        <v>0.3765</v>
      </c>
      <c r="F513" s="116" t="inlineStr">
        <is>
          <t>légal</t>
        </is>
      </c>
      <c r="G513" s="105" t="n">
        <v>0.05</v>
      </c>
      <c r="H513" s="105" t="n">
        <v>0.00252</v>
      </c>
      <c r="I513" s="105" t="n">
        <v>0.0501</v>
      </c>
      <c r="J513" s="107">
        <f>D513*(1-C513)+G513*MIN(C513,0.2*(1-C513))+H513</f>
        <v/>
      </c>
      <c r="K513" s="107">
        <f>E513*(1-C513)+G513*MIN(C513,0.2*(1-C513))</f>
        <v/>
      </c>
      <c r="L513" s="107">
        <f>I513*(1-C513)</f>
        <v/>
      </c>
      <c r="M513" s="119">
        <f>SUMIFS(Regimes!$G$5:$G$10,Regimes!$A$5:$A$10,A513)*(1-C513)/(1-0.24167)</f>
        <v/>
      </c>
      <c r="N513" s="106">
        <f>Donnees_annuelles!D141*J513</f>
        <v/>
      </c>
      <c r="O513" s="106">
        <f>Donnees_annuelles!D141*K513</f>
        <v/>
      </c>
      <c r="P513" s="106">
        <f>N513+O513</f>
        <v/>
      </c>
      <c r="Q513" s="106">
        <f>Donnees_annuelles!D141*L513</f>
        <v/>
      </c>
      <c r="R513" s="118">
        <f>P513/Donnees_annuelles!AA141*Donnees_annuelles!AI141/Donnees_annuelles!AG141</f>
        <v/>
      </c>
      <c r="S513" s="118">
        <f>P513/Donnees_annuelles!AA141*Donnees_annuelles!AJ141/Donnees_annuelles!AH141</f>
        <v/>
      </c>
    </row>
    <row r="514">
      <c r="A514" s="115" t="inlineStr">
        <is>
          <t>Fonction publique territoriale et hospitalière</t>
        </is>
      </c>
      <c r="B514" s="101" t="n">
        <v>2084</v>
      </c>
      <c r="C514" s="105" t="n">
        <v>0.25</v>
      </c>
      <c r="D514" s="105" t="n">
        <v>0.111</v>
      </c>
      <c r="E514" s="105" t="n">
        <v>0.3765</v>
      </c>
      <c r="F514" s="116" t="inlineStr">
        <is>
          <t>légal</t>
        </is>
      </c>
      <c r="G514" s="105" t="n">
        <v>0.05</v>
      </c>
      <c r="H514" s="105" t="n">
        <v>0.00252</v>
      </c>
      <c r="I514" s="105" t="n">
        <v>0.0501</v>
      </c>
      <c r="J514" s="107">
        <f>D514*(1-C514)+G514*MIN(C514,0.2*(1-C514))+H514</f>
        <v/>
      </c>
      <c r="K514" s="107">
        <f>E514*(1-C514)+G514*MIN(C514,0.2*(1-C514))</f>
        <v/>
      </c>
      <c r="L514" s="107">
        <f>I514*(1-C514)</f>
        <v/>
      </c>
      <c r="M514" s="119">
        <f>SUMIFS(Regimes!$G$5:$G$10,Regimes!$A$5:$A$10,A514)*(1-C514)/(1-0.24167)</f>
        <v/>
      </c>
      <c r="N514" s="106">
        <f>Donnees_annuelles!D142*J514</f>
        <v/>
      </c>
      <c r="O514" s="106">
        <f>Donnees_annuelles!D142*K514</f>
        <v/>
      </c>
      <c r="P514" s="106">
        <f>N514+O514</f>
        <v/>
      </c>
      <c r="Q514" s="106">
        <f>Donnees_annuelles!D142*L514</f>
        <v/>
      </c>
      <c r="R514" s="118">
        <f>P514/Donnees_annuelles!AA142*Donnees_annuelles!AI142/Donnees_annuelles!AG142</f>
        <v/>
      </c>
      <c r="S514" s="118">
        <f>P514/Donnees_annuelles!AA142*Donnees_annuelles!AJ142/Donnees_annuelles!AH142</f>
        <v/>
      </c>
    </row>
    <row r="515">
      <c r="A515" s="115" t="inlineStr">
        <is>
          <t>Fonction publique territoriale et hospitalière</t>
        </is>
      </c>
      <c r="B515" s="101" t="n">
        <v>2085</v>
      </c>
      <c r="C515" s="105" t="n">
        <v>0.25</v>
      </c>
      <c r="D515" s="105" t="n">
        <v>0.111</v>
      </c>
      <c r="E515" s="105" t="n">
        <v>0.3765</v>
      </c>
      <c r="F515" s="116" t="inlineStr">
        <is>
          <t>légal</t>
        </is>
      </c>
      <c r="G515" s="105" t="n">
        <v>0.05</v>
      </c>
      <c r="H515" s="105" t="n">
        <v>0.00252</v>
      </c>
      <c r="I515" s="105" t="n">
        <v>0.0501</v>
      </c>
      <c r="J515" s="107">
        <f>D515*(1-C515)+G515*MIN(C515,0.2*(1-C515))+H515</f>
        <v/>
      </c>
      <c r="K515" s="107">
        <f>E515*(1-C515)+G515*MIN(C515,0.2*(1-C515))</f>
        <v/>
      </c>
      <c r="L515" s="107">
        <f>I515*(1-C515)</f>
        <v/>
      </c>
      <c r="M515" s="119">
        <f>SUMIFS(Regimes!$G$5:$G$10,Regimes!$A$5:$A$10,A515)*(1-C515)/(1-0.24167)</f>
        <v/>
      </c>
      <c r="N515" s="106">
        <f>Donnees_annuelles!D143*J515</f>
        <v/>
      </c>
      <c r="O515" s="106">
        <f>Donnees_annuelles!D143*K515</f>
        <v/>
      </c>
      <c r="P515" s="106">
        <f>N515+O515</f>
        <v/>
      </c>
      <c r="Q515" s="106">
        <f>Donnees_annuelles!D143*L515</f>
        <v/>
      </c>
      <c r="R515" s="118">
        <f>P515/Donnees_annuelles!AA143*Donnees_annuelles!AI143/Donnees_annuelles!AG143</f>
        <v/>
      </c>
      <c r="S515" s="118">
        <f>P515/Donnees_annuelles!AA143*Donnees_annuelles!AJ143/Donnees_annuelles!AH143</f>
        <v/>
      </c>
    </row>
    <row r="516">
      <c r="A516" s="115" t="inlineStr">
        <is>
          <t>Fonction publique territoriale et hospitalière</t>
        </is>
      </c>
      <c r="B516" s="101" t="n">
        <v>2086</v>
      </c>
      <c r="C516" s="105" t="n">
        <v>0.25</v>
      </c>
      <c r="D516" s="105" t="n">
        <v>0.111</v>
      </c>
      <c r="E516" s="105" t="n">
        <v>0.3765</v>
      </c>
      <c r="F516" s="116" t="inlineStr">
        <is>
          <t>légal</t>
        </is>
      </c>
      <c r="G516" s="105" t="n">
        <v>0.05</v>
      </c>
      <c r="H516" s="105" t="n">
        <v>0.00252</v>
      </c>
      <c r="I516" s="105" t="n">
        <v>0.0501</v>
      </c>
      <c r="J516" s="107">
        <f>D516*(1-C516)+G516*MIN(C516,0.2*(1-C516))+H516</f>
        <v/>
      </c>
      <c r="K516" s="107">
        <f>E516*(1-C516)+G516*MIN(C516,0.2*(1-C516))</f>
        <v/>
      </c>
      <c r="L516" s="107">
        <f>I516*(1-C516)</f>
        <v/>
      </c>
      <c r="M516" s="119">
        <f>SUMIFS(Regimes!$G$5:$G$10,Regimes!$A$5:$A$10,A516)*(1-C516)/(1-0.24167)</f>
        <v/>
      </c>
      <c r="N516" s="106">
        <f>Donnees_annuelles!D144*J516</f>
        <v/>
      </c>
      <c r="O516" s="106">
        <f>Donnees_annuelles!D144*K516</f>
        <v/>
      </c>
      <c r="P516" s="106">
        <f>N516+O516</f>
        <v/>
      </c>
      <c r="Q516" s="106">
        <f>Donnees_annuelles!D144*L516</f>
        <v/>
      </c>
      <c r="R516" s="118">
        <f>P516/Donnees_annuelles!AA144*Donnees_annuelles!AI144/Donnees_annuelles!AG144</f>
        <v/>
      </c>
      <c r="S516" s="118">
        <f>P516/Donnees_annuelles!AA144*Donnees_annuelles!AJ144/Donnees_annuelles!AH144</f>
        <v/>
      </c>
    </row>
    <row r="517">
      <c r="A517" s="115" t="inlineStr">
        <is>
          <t>Fonction publique territoriale et hospitalière</t>
        </is>
      </c>
      <c r="B517" s="101" t="n">
        <v>2087</v>
      </c>
      <c r="C517" s="105" t="n">
        <v>0.25</v>
      </c>
      <c r="D517" s="105" t="n">
        <v>0.111</v>
      </c>
      <c r="E517" s="105" t="n">
        <v>0.3765</v>
      </c>
      <c r="F517" s="116" t="inlineStr">
        <is>
          <t>légal</t>
        </is>
      </c>
      <c r="G517" s="105" t="n">
        <v>0.05</v>
      </c>
      <c r="H517" s="105" t="n">
        <v>0.00252</v>
      </c>
      <c r="I517" s="105" t="n">
        <v>0.0501</v>
      </c>
      <c r="J517" s="107">
        <f>D517*(1-C517)+G517*MIN(C517,0.2*(1-C517))+H517</f>
        <v/>
      </c>
      <c r="K517" s="107">
        <f>E517*(1-C517)+G517*MIN(C517,0.2*(1-C517))</f>
        <v/>
      </c>
      <c r="L517" s="107">
        <f>I517*(1-C517)</f>
        <v/>
      </c>
      <c r="M517" s="119">
        <f>SUMIFS(Regimes!$G$5:$G$10,Regimes!$A$5:$A$10,A517)*(1-C517)/(1-0.24167)</f>
        <v/>
      </c>
      <c r="N517" s="106">
        <f>Donnees_annuelles!D145*J517</f>
        <v/>
      </c>
      <c r="O517" s="106">
        <f>Donnees_annuelles!D145*K517</f>
        <v/>
      </c>
      <c r="P517" s="106">
        <f>N517+O517</f>
        <v/>
      </c>
      <c r="Q517" s="106">
        <f>Donnees_annuelles!D145*L517</f>
        <v/>
      </c>
      <c r="R517" s="118">
        <f>P517/Donnees_annuelles!AA145*Donnees_annuelles!AI145/Donnees_annuelles!AG145</f>
        <v/>
      </c>
      <c r="S517" s="118">
        <f>P517/Donnees_annuelles!AA145*Donnees_annuelles!AJ145/Donnees_annuelles!AH145</f>
        <v/>
      </c>
    </row>
    <row r="518">
      <c r="A518" s="115" t="inlineStr">
        <is>
          <t>Fonction publique territoriale et hospitalière</t>
        </is>
      </c>
      <c r="B518" s="101" t="n">
        <v>2088</v>
      </c>
      <c r="C518" s="105" t="n">
        <v>0.25</v>
      </c>
      <c r="D518" s="105" t="n">
        <v>0.111</v>
      </c>
      <c r="E518" s="105" t="n">
        <v>0.3765</v>
      </c>
      <c r="F518" s="116" t="inlineStr">
        <is>
          <t>légal</t>
        </is>
      </c>
      <c r="G518" s="105" t="n">
        <v>0.05</v>
      </c>
      <c r="H518" s="105" t="n">
        <v>0.00252</v>
      </c>
      <c r="I518" s="105" t="n">
        <v>0.0501</v>
      </c>
      <c r="J518" s="107">
        <f>D518*(1-C518)+G518*MIN(C518,0.2*(1-C518))+H518</f>
        <v/>
      </c>
      <c r="K518" s="107">
        <f>E518*(1-C518)+G518*MIN(C518,0.2*(1-C518))</f>
        <v/>
      </c>
      <c r="L518" s="107">
        <f>I518*(1-C518)</f>
        <v/>
      </c>
      <c r="M518" s="119">
        <f>SUMIFS(Regimes!$G$5:$G$10,Regimes!$A$5:$A$10,A518)*(1-C518)/(1-0.24167)</f>
        <v/>
      </c>
      <c r="N518" s="106">
        <f>Donnees_annuelles!D146*J518</f>
        <v/>
      </c>
      <c r="O518" s="106">
        <f>Donnees_annuelles!D146*K518</f>
        <v/>
      </c>
      <c r="P518" s="106">
        <f>N518+O518</f>
        <v/>
      </c>
      <c r="Q518" s="106">
        <f>Donnees_annuelles!D146*L518</f>
        <v/>
      </c>
      <c r="R518" s="118">
        <f>P518/Donnees_annuelles!AA146*Donnees_annuelles!AI146/Donnees_annuelles!AG146</f>
        <v/>
      </c>
      <c r="S518" s="118">
        <f>P518/Donnees_annuelles!AA146*Donnees_annuelles!AJ146/Donnees_annuelles!AH146</f>
        <v/>
      </c>
    </row>
    <row r="519">
      <c r="A519" s="115" t="inlineStr">
        <is>
          <t>Fonction publique territoriale et hospitalière</t>
        </is>
      </c>
      <c r="B519" s="101" t="n">
        <v>2089</v>
      </c>
      <c r="C519" s="105" t="n">
        <v>0.25</v>
      </c>
      <c r="D519" s="105" t="n">
        <v>0.111</v>
      </c>
      <c r="E519" s="105" t="n">
        <v>0.3765</v>
      </c>
      <c r="F519" s="116" t="inlineStr">
        <is>
          <t>légal</t>
        </is>
      </c>
      <c r="G519" s="105" t="n">
        <v>0.05</v>
      </c>
      <c r="H519" s="105" t="n">
        <v>0.00252</v>
      </c>
      <c r="I519" s="105" t="n">
        <v>0.0501</v>
      </c>
      <c r="J519" s="107">
        <f>D519*(1-C519)+G519*MIN(C519,0.2*(1-C519))+H519</f>
        <v/>
      </c>
      <c r="K519" s="107">
        <f>E519*(1-C519)+G519*MIN(C519,0.2*(1-C519))</f>
        <v/>
      </c>
      <c r="L519" s="107">
        <f>I519*(1-C519)</f>
        <v/>
      </c>
      <c r="M519" s="119">
        <f>SUMIFS(Regimes!$G$5:$G$10,Regimes!$A$5:$A$10,A519)*(1-C519)/(1-0.24167)</f>
        <v/>
      </c>
      <c r="N519" s="106">
        <f>Donnees_annuelles!D147*J519</f>
        <v/>
      </c>
      <c r="O519" s="106">
        <f>Donnees_annuelles!D147*K519</f>
        <v/>
      </c>
      <c r="P519" s="106">
        <f>N519+O519</f>
        <v/>
      </c>
      <c r="Q519" s="106">
        <f>Donnees_annuelles!D147*L519</f>
        <v/>
      </c>
      <c r="R519" s="118">
        <f>P519/Donnees_annuelles!AA147*Donnees_annuelles!AI147/Donnees_annuelles!AG147</f>
        <v/>
      </c>
      <c r="S519" s="118">
        <f>P519/Donnees_annuelles!AA147*Donnees_annuelles!AJ147/Donnees_annuelles!AH147</f>
        <v/>
      </c>
    </row>
    <row r="520">
      <c r="A520" s="115" t="inlineStr">
        <is>
          <t>Fonction publique territoriale et hospitalière</t>
        </is>
      </c>
      <c r="B520" s="101" t="n">
        <v>2090</v>
      </c>
      <c r="C520" s="105" t="n">
        <v>0.25</v>
      </c>
      <c r="D520" s="105" t="n">
        <v>0.111</v>
      </c>
      <c r="E520" s="105" t="n">
        <v>0.3765</v>
      </c>
      <c r="F520" s="116" t="inlineStr">
        <is>
          <t>légal</t>
        </is>
      </c>
      <c r="G520" s="105" t="n">
        <v>0.05</v>
      </c>
      <c r="H520" s="105" t="n">
        <v>0.00252</v>
      </c>
      <c r="I520" s="105" t="n">
        <v>0.0501</v>
      </c>
      <c r="J520" s="107">
        <f>D520*(1-C520)+G520*MIN(C520,0.2*(1-C520))+H520</f>
        <v/>
      </c>
      <c r="K520" s="107">
        <f>E520*(1-C520)+G520*MIN(C520,0.2*(1-C520))</f>
        <v/>
      </c>
      <c r="L520" s="107">
        <f>I520*(1-C520)</f>
        <v/>
      </c>
      <c r="M520" s="119">
        <f>SUMIFS(Regimes!$G$5:$G$10,Regimes!$A$5:$A$10,A520)*(1-C520)/(1-0.24167)</f>
        <v/>
      </c>
      <c r="N520" s="106">
        <f>Donnees_annuelles!D148*J520</f>
        <v/>
      </c>
      <c r="O520" s="106">
        <f>Donnees_annuelles!D148*K520</f>
        <v/>
      </c>
      <c r="P520" s="106">
        <f>N520+O520</f>
        <v/>
      </c>
      <c r="Q520" s="106">
        <f>Donnees_annuelles!D148*L520</f>
        <v/>
      </c>
      <c r="R520" s="118">
        <f>P520/Donnees_annuelles!AA148*Donnees_annuelles!AI148/Donnees_annuelles!AG148</f>
        <v/>
      </c>
      <c r="S520" s="118">
        <f>P520/Donnees_annuelles!AA148*Donnees_annuelles!AJ148/Donnees_annuelles!AH148</f>
        <v/>
      </c>
    </row>
    <row r="521">
      <c r="A521" s="115" t="inlineStr">
        <is>
          <t>Fonction publique territoriale et hospitalière</t>
        </is>
      </c>
      <c r="B521" s="101" t="n">
        <v>2091</v>
      </c>
      <c r="C521" s="105" t="n">
        <v>0.25</v>
      </c>
      <c r="D521" s="105" t="n">
        <v>0.111</v>
      </c>
      <c r="E521" s="105" t="n">
        <v>0.3765</v>
      </c>
      <c r="F521" s="116" t="inlineStr">
        <is>
          <t>légal</t>
        </is>
      </c>
      <c r="G521" s="105" t="n">
        <v>0.05</v>
      </c>
      <c r="H521" s="105" t="n">
        <v>0.00252</v>
      </c>
      <c r="I521" s="105" t="n">
        <v>0.0501</v>
      </c>
      <c r="J521" s="107">
        <f>D521*(1-C521)+G521*MIN(C521,0.2*(1-C521))+H521</f>
        <v/>
      </c>
      <c r="K521" s="107">
        <f>E521*(1-C521)+G521*MIN(C521,0.2*(1-C521))</f>
        <v/>
      </c>
      <c r="L521" s="107">
        <f>I521*(1-C521)</f>
        <v/>
      </c>
      <c r="M521" s="119">
        <f>SUMIFS(Regimes!$G$5:$G$10,Regimes!$A$5:$A$10,A521)*(1-C521)/(1-0.24167)</f>
        <v/>
      </c>
      <c r="N521" s="106">
        <f>Donnees_annuelles!D149*J521</f>
        <v/>
      </c>
      <c r="O521" s="106">
        <f>Donnees_annuelles!D149*K521</f>
        <v/>
      </c>
      <c r="P521" s="106">
        <f>N521+O521</f>
        <v/>
      </c>
      <c r="Q521" s="106">
        <f>Donnees_annuelles!D149*L521</f>
        <v/>
      </c>
      <c r="R521" s="118">
        <f>P521/Donnees_annuelles!AA149*Donnees_annuelles!AI149/Donnees_annuelles!AG149</f>
        <v/>
      </c>
      <c r="S521" s="118">
        <f>P521/Donnees_annuelles!AA149*Donnees_annuelles!AJ149/Donnees_annuelles!AH149</f>
        <v/>
      </c>
    </row>
    <row r="522">
      <c r="A522" s="115" t="inlineStr">
        <is>
          <t>Fonction publique territoriale et hospitalière</t>
        </is>
      </c>
      <c r="B522" s="101" t="n">
        <v>2092</v>
      </c>
      <c r="C522" s="105" t="n">
        <v>0.25</v>
      </c>
      <c r="D522" s="105" t="n">
        <v>0.111</v>
      </c>
      <c r="E522" s="105" t="n">
        <v>0.3765</v>
      </c>
      <c r="F522" s="116" t="inlineStr">
        <is>
          <t>légal</t>
        </is>
      </c>
      <c r="G522" s="105" t="n">
        <v>0.05</v>
      </c>
      <c r="H522" s="105" t="n">
        <v>0.00252</v>
      </c>
      <c r="I522" s="105" t="n">
        <v>0.0501</v>
      </c>
      <c r="J522" s="107">
        <f>D522*(1-C522)+G522*MIN(C522,0.2*(1-C522))+H522</f>
        <v/>
      </c>
      <c r="K522" s="107">
        <f>E522*(1-C522)+G522*MIN(C522,0.2*(1-C522))</f>
        <v/>
      </c>
      <c r="L522" s="107">
        <f>I522*(1-C522)</f>
        <v/>
      </c>
      <c r="M522" s="119">
        <f>SUMIFS(Regimes!$G$5:$G$10,Regimes!$A$5:$A$10,A522)*(1-C522)/(1-0.24167)</f>
        <v/>
      </c>
      <c r="N522" s="106">
        <f>Donnees_annuelles!D150*J522</f>
        <v/>
      </c>
      <c r="O522" s="106">
        <f>Donnees_annuelles!D150*K522</f>
        <v/>
      </c>
      <c r="P522" s="106">
        <f>N522+O522</f>
        <v/>
      </c>
      <c r="Q522" s="106">
        <f>Donnees_annuelles!D150*L522</f>
        <v/>
      </c>
      <c r="R522" s="118">
        <f>P522/Donnees_annuelles!AA150*Donnees_annuelles!AI150/Donnees_annuelles!AG150</f>
        <v/>
      </c>
      <c r="S522" s="118">
        <f>P522/Donnees_annuelles!AA150*Donnees_annuelles!AJ150/Donnees_annuelles!AH150</f>
        <v/>
      </c>
    </row>
    <row r="523">
      <c r="A523" s="115" t="inlineStr">
        <is>
          <t>Fonction publique territoriale et hospitalière</t>
        </is>
      </c>
      <c r="B523" s="101" t="n">
        <v>2093</v>
      </c>
      <c r="C523" s="105" t="n">
        <v>0.25</v>
      </c>
      <c r="D523" s="105" t="n">
        <v>0.111</v>
      </c>
      <c r="E523" s="105" t="n">
        <v>0.3765</v>
      </c>
      <c r="F523" s="116" t="inlineStr">
        <is>
          <t>légal</t>
        </is>
      </c>
      <c r="G523" s="105" t="n">
        <v>0.05</v>
      </c>
      <c r="H523" s="105" t="n">
        <v>0.00252</v>
      </c>
      <c r="I523" s="105" t="n">
        <v>0.0501</v>
      </c>
      <c r="J523" s="107">
        <f>D523*(1-C523)+G523*MIN(C523,0.2*(1-C523))+H523</f>
        <v/>
      </c>
      <c r="K523" s="107">
        <f>E523*(1-C523)+G523*MIN(C523,0.2*(1-C523))</f>
        <v/>
      </c>
      <c r="L523" s="107">
        <f>I523*(1-C523)</f>
        <v/>
      </c>
      <c r="M523" s="119">
        <f>SUMIFS(Regimes!$G$5:$G$10,Regimes!$A$5:$A$10,A523)*(1-C523)/(1-0.24167)</f>
        <v/>
      </c>
      <c r="N523" s="106">
        <f>Donnees_annuelles!D151*J523</f>
        <v/>
      </c>
      <c r="O523" s="106">
        <f>Donnees_annuelles!D151*K523</f>
        <v/>
      </c>
      <c r="P523" s="106">
        <f>N523+O523</f>
        <v/>
      </c>
      <c r="Q523" s="106">
        <f>Donnees_annuelles!D151*L523</f>
        <v/>
      </c>
      <c r="R523" s="118">
        <f>P523/Donnees_annuelles!AA151*Donnees_annuelles!AI151/Donnees_annuelles!AG151</f>
        <v/>
      </c>
      <c r="S523" s="118">
        <f>P523/Donnees_annuelles!AA151*Donnees_annuelles!AJ151/Donnees_annuelles!AH151</f>
        <v/>
      </c>
    </row>
    <row r="524">
      <c r="A524" s="115" t="inlineStr">
        <is>
          <t>Fonction publique territoriale et hospitalière</t>
        </is>
      </c>
      <c r="B524" s="101" t="n">
        <v>2094</v>
      </c>
      <c r="C524" s="105" t="n">
        <v>0.25</v>
      </c>
      <c r="D524" s="105" t="n">
        <v>0.111</v>
      </c>
      <c r="E524" s="105" t="n">
        <v>0.3765</v>
      </c>
      <c r="F524" s="116" t="inlineStr">
        <is>
          <t>légal</t>
        </is>
      </c>
      <c r="G524" s="105" t="n">
        <v>0.05</v>
      </c>
      <c r="H524" s="105" t="n">
        <v>0.00252</v>
      </c>
      <c r="I524" s="105" t="n">
        <v>0.0501</v>
      </c>
      <c r="J524" s="107">
        <f>D524*(1-C524)+G524*MIN(C524,0.2*(1-C524))+H524</f>
        <v/>
      </c>
      <c r="K524" s="107">
        <f>E524*(1-C524)+G524*MIN(C524,0.2*(1-C524))</f>
        <v/>
      </c>
      <c r="L524" s="107">
        <f>I524*(1-C524)</f>
        <v/>
      </c>
      <c r="M524" s="119">
        <f>SUMIFS(Regimes!$G$5:$G$10,Regimes!$A$5:$A$10,A524)*(1-C524)/(1-0.24167)</f>
        <v/>
      </c>
      <c r="N524" s="106">
        <f>Donnees_annuelles!D152*J524</f>
        <v/>
      </c>
      <c r="O524" s="106">
        <f>Donnees_annuelles!D152*K524</f>
        <v/>
      </c>
      <c r="P524" s="106">
        <f>N524+O524</f>
        <v/>
      </c>
      <c r="Q524" s="106">
        <f>Donnees_annuelles!D152*L524</f>
        <v/>
      </c>
      <c r="R524" s="118">
        <f>P524/Donnees_annuelles!AA152*Donnees_annuelles!AI152/Donnees_annuelles!AG152</f>
        <v/>
      </c>
      <c r="S524" s="118">
        <f>P524/Donnees_annuelles!AA152*Donnees_annuelles!AJ152/Donnees_annuelles!AH152</f>
        <v/>
      </c>
    </row>
    <row r="525">
      <c r="A525" s="115" t="inlineStr">
        <is>
          <t>Fonction publique territoriale et hospitalière</t>
        </is>
      </c>
      <c r="B525" s="101" t="n">
        <v>2095</v>
      </c>
      <c r="C525" s="105" t="n">
        <v>0.25</v>
      </c>
      <c r="D525" s="105" t="n">
        <v>0.111</v>
      </c>
      <c r="E525" s="105" t="n">
        <v>0.3765</v>
      </c>
      <c r="F525" s="116" t="inlineStr">
        <is>
          <t>légal</t>
        </is>
      </c>
      <c r="G525" s="105" t="n">
        <v>0.05</v>
      </c>
      <c r="H525" s="105" t="n">
        <v>0.00252</v>
      </c>
      <c r="I525" s="105" t="n">
        <v>0.0501</v>
      </c>
      <c r="J525" s="107">
        <f>D525*(1-C525)+G525*MIN(C525,0.2*(1-C525))+H525</f>
        <v/>
      </c>
      <c r="K525" s="107">
        <f>E525*(1-C525)+G525*MIN(C525,0.2*(1-C525))</f>
        <v/>
      </c>
      <c r="L525" s="107">
        <f>I525*(1-C525)</f>
        <v/>
      </c>
      <c r="M525" s="119">
        <f>SUMIFS(Regimes!$G$5:$G$10,Regimes!$A$5:$A$10,A525)*(1-C525)/(1-0.24167)</f>
        <v/>
      </c>
      <c r="N525" s="106">
        <f>Donnees_annuelles!D153*J525</f>
        <v/>
      </c>
      <c r="O525" s="106">
        <f>Donnees_annuelles!D153*K525</f>
        <v/>
      </c>
      <c r="P525" s="106">
        <f>N525+O525</f>
        <v/>
      </c>
      <c r="Q525" s="106">
        <f>Donnees_annuelles!D153*L525</f>
        <v/>
      </c>
      <c r="R525" s="118">
        <f>P525/Donnees_annuelles!AA153*Donnees_annuelles!AI153/Donnees_annuelles!AG153</f>
        <v/>
      </c>
      <c r="S525" s="118">
        <f>P525/Donnees_annuelles!AA153*Donnees_annuelles!AJ153/Donnees_annuelles!AH153</f>
        <v/>
      </c>
    </row>
    <row r="526">
      <c r="A526" s="115" t="inlineStr">
        <is>
          <t>Fonction publique territoriale et hospitalière</t>
        </is>
      </c>
      <c r="B526" s="101" t="n">
        <v>2096</v>
      </c>
      <c r="C526" s="105" t="n">
        <v>0.25</v>
      </c>
      <c r="D526" s="105" t="n">
        <v>0.111</v>
      </c>
      <c r="E526" s="105" t="n">
        <v>0.3765</v>
      </c>
      <c r="F526" s="116" t="inlineStr">
        <is>
          <t>légal</t>
        </is>
      </c>
      <c r="G526" s="105" t="n">
        <v>0.05</v>
      </c>
      <c r="H526" s="105" t="n">
        <v>0.00252</v>
      </c>
      <c r="I526" s="105" t="n">
        <v>0.0501</v>
      </c>
      <c r="J526" s="107">
        <f>D526*(1-C526)+G526*MIN(C526,0.2*(1-C526))+H526</f>
        <v/>
      </c>
      <c r="K526" s="107">
        <f>E526*(1-C526)+G526*MIN(C526,0.2*(1-C526))</f>
        <v/>
      </c>
      <c r="L526" s="107">
        <f>I526*(1-C526)</f>
        <v/>
      </c>
      <c r="M526" s="119">
        <f>SUMIFS(Regimes!$G$5:$G$10,Regimes!$A$5:$A$10,A526)*(1-C526)/(1-0.24167)</f>
        <v/>
      </c>
      <c r="N526" s="106">
        <f>Donnees_annuelles!D154*J526</f>
        <v/>
      </c>
      <c r="O526" s="106">
        <f>Donnees_annuelles!D154*K526</f>
        <v/>
      </c>
      <c r="P526" s="106">
        <f>N526+O526</f>
        <v/>
      </c>
      <c r="Q526" s="106">
        <f>Donnees_annuelles!D154*L526</f>
        <v/>
      </c>
      <c r="R526" s="118">
        <f>P526/Donnees_annuelles!AA154*Donnees_annuelles!AI154/Donnees_annuelles!AG154</f>
        <v/>
      </c>
      <c r="S526" s="118">
        <f>P526/Donnees_annuelles!AA154*Donnees_annuelles!AJ154/Donnees_annuelles!AH154</f>
        <v/>
      </c>
    </row>
    <row r="527">
      <c r="A527" s="115" t="inlineStr">
        <is>
          <t>Fonction publique territoriale et hospitalière</t>
        </is>
      </c>
      <c r="B527" s="101" t="n">
        <v>2097</v>
      </c>
      <c r="C527" s="105" t="n">
        <v>0.25</v>
      </c>
      <c r="D527" s="105" t="n">
        <v>0.111</v>
      </c>
      <c r="E527" s="105" t="n">
        <v>0.3765</v>
      </c>
      <c r="F527" s="116" t="inlineStr">
        <is>
          <t>légal</t>
        </is>
      </c>
      <c r="G527" s="105" t="n">
        <v>0.05</v>
      </c>
      <c r="H527" s="105" t="n">
        <v>0.00252</v>
      </c>
      <c r="I527" s="105" t="n">
        <v>0.0501</v>
      </c>
      <c r="J527" s="107">
        <f>D527*(1-C527)+G527*MIN(C527,0.2*(1-C527))+H527</f>
        <v/>
      </c>
      <c r="K527" s="107">
        <f>E527*(1-C527)+G527*MIN(C527,0.2*(1-C527))</f>
        <v/>
      </c>
      <c r="L527" s="107">
        <f>I527*(1-C527)</f>
        <v/>
      </c>
      <c r="M527" s="119">
        <f>SUMIFS(Regimes!$G$5:$G$10,Regimes!$A$5:$A$10,A527)*(1-C527)/(1-0.24167)</f>
        <v/>
      </c>
      <c r="N527" s="106">
        <f>Donnees_annuelles!D155*J527</f>
        <v/>
      </c>
      <c r="O527" s="106">
        <f>Donnees_annuelles!D155*K527</f>
        <v/>
      </c>
      <c r="P527" s="106">
        <f>N527+O527</f>
        <v/>
      </c>
      <c r="Q527" s="106">
        <f>Donnees_annuelles!D155*L527</f>
        <v/>
      </c>
      <c r="R527" s="118">
        <f>P527/Donnees_annuelles!AA155*Donnees_annuelles!AI155/Donnees_annuelles!AG155</f>
        <v/>
      </c>
      <c r="S527" s="118">
        <f>P527/Donnees_annuelles!AA155*Donnees_annuelles!AJ155/Donnees_annuelles!AH155</f>
        <v/>
      </c>
    </row>
    <row r="528">
      <c r="A528" s="115" t="inlineStr">
        <is>
          <t>Fonction publique territoriale et hospitalière</t>
        </is>
      </c>
      <c r="B528" s="101" t="n">
        <v>2098</v>
      </c>
      <c r="C528" s="105" t="n">
        <v>0.25</v>
      </c>
      <c r="D528" s="105" t="n">
        <v>0.111</v>
      </c>
      <c r="E528" s="105" t="n">
        <v>0.3765</v>
      </c>
      <c r="F528" s="116" t="inlineStr">
        <is>
          <t>légal</t>
        </is>
      </c>
      <c r="G528" s="105" t="n">
        <v>0.05</v>
      </c>
      <c r="H528" s="105" t="n">
        <v>0.00252</v>
      </c>
      <c r="I528" s="105" t="n">
        <v>0.0501</v>
      </c>
      <c r="J528" s="107">
        <f>D528*(1-C528)+G528*MIN(C528,0.2*(1-C528))+H528</f>
        <v/>
      </c>
      <c r="K528" s="107">
        <f>E528*(1-C528)+G528*MIN(C528,0.2*(1-C528))</f>
        <v/>
      </c>
      <c r="L528" s="107">
        <f>I528*(1-C528)</f>
        <v/>
      </c>
      <c r="M528" s="119">
        <f>SUMIFS(Regimes!$G$5:$G$10,Regimes!$A$5:$A$10,A528)*(1-C528)/(1-0.24167)</f>
        <v/>
      </c>
      <c r="N528" s="106">
        <f>Donnees_annuelles!D156*J528</f>
        <v/>
      </c>
      <c r="O528" s="106">
        <f>Donnees_annuelles!D156*K528</f>
        <v/>
      </c>
      <c r="P528" s="106">
        <f>N528+O528</f>
        <v/>
      </c>
      <c r="Q528" s="106">
        <f>Donnees_annuelles!D156*L528</f>
        <v/>
      </c>
      <c r="R528" s="118">
        <f>P528/Donnees_annuelles!AA156*Donnees_annuelles!AI156/Donnees_annuelles!AG156</f>
        <v/>
      </c>
      <c r="S528" s="118">
        <f>P528/Donnees_annuelles!AA156*Donnees_annuelles!AJ156/Donnees_annuelles!AH156</f>
        <v/>
      </c>
    </row>
    <row r="529">
      <c r="A529" s="115" t="inlineStr">
        <is>
          <t>Fonction publique territoriale et hospitalière</t>
        </is>
      </c>
      <c r="B529" s="101" t="n">
        <v>2099</v>
      </c>
      <c r="C529" s="105" t="n">
        <v>0.25</v>
      </c>
      <c r="D529" s="105" t="n">
        <v>0.111</v>
      </c>
      <c r="E529" s="105" t="n">
        <v>0.3765</v>
      </c>
      <c r="F529" s="116" t="inlineStr">
        <is>
          <t>légal</t>
        </is>
      </c>
      <c r="G529" s="105" t="n">
        <v>0.05</v>
      </c>
      <c r="H529" s="105" t="n">
        <v>0.00252</v>
      </c>
      <c r="I529" s="105" t="n">
        <v>0.0501</v>
      </c>
      <c r="J529" s="107">
        <f>D529*(1-C529)+G529*MIN(C529,0.2*(1-C529))+H529</f>
        <v/>
      </c>
      <c r="K529" s="107">
        <f>E529*(1-C529)+G529*MIN(C529,0.2*(1-C529))</f>
        <v/>
      </c>
      <c r="L529" s="107">
        <f>I529*(1-C529)</f>
        <v/>
      </c>
      <c r="M529" s="119">
        <f>SUMIFS(Regimes!$G$5:$G$10,Regimes!$A$5:$A$10,A529)*(1-C529)/(1-0.24167)</f>
        <v/>
      </c>
      <c r="N529" s="106">
        <f>Donnees_annuelles!D157*J529</f>
        <v/>
      </c>
      <c r="O529" s="106">
        <f>Donnees_annuelles!D157*K529</f>
        <v/>
      </c>
      <c r="P529" s="106">
        <f>N529+O529</f>
        <v/>
      </c>
      <c r="Q529" s="106">
        <f>Donnees_annuelles!D157*L529</f>
        <v/>
      </c>
      <c r="R529" s="118">
        <f>P529/Donnees_annuelles!AA157*Donnees_annuelles!AI157/Donnees_annuelles!AG157</f>
        <v/>
      </c>
      <c r="S529" s="118">
        <f>P529/Donnees_annuelles!AA157*Donnees_annuelles!AJ157/Donnees_annuelles!AH157</f>
        <v/>
      </c>
    </row>
    <row r="530">
      <c r="A530" s="115" t="inlineStr">
        <is>
          <t>Fonction publique territoriale et hospitalière</t>
        </is>
      </c>
      <c r="B530" s="101" t="n">
        <v>2100</v>
      </c>
      <c r="C530" s="105" t="n">
        <v>0.25</v>
      </c>
      <c r="D530" s="105" t="n">
        <v>0.111</v>
      </c>
      <c r="E530" s="105" t="n">
        <v>0.3765</v>
      </c>
      <c r="F530" s="116" t="inlineStr">
        <is>
          <t>légal</t>
        </is>
      </c>
      <c r="G530" s="105" t="n">
        <v>0.05</v>
      </c>
      <c r="H530" s="105" t="n">
        <v>0.00252</v>
      </c>
      <c r="I530" s="105" t="n">
        <v>0.0501</v>
      </c>
      <c r="J530" s="107">
        <f>D530*(1-C530)+G530*MIN(C530,0.2*(1-C530))+H530</f>
        <v/>
      </c>
      <c r="K530" s="107">
        <f>E530*(1-C530)+G530*MIN(C530,0.2*(1-C530))</f>
        <v/>
      </c>
      <c r="L530" s="107">
        <f>I530*(1-C530)</f>
        <v/>
      </c>
      <c r="M530" s="119">
        <f>SUMIFS(Regimes!$G$5:$G$10,Regimes!$A$5:$A$10,A530)*(1-C530)/(1-0.24167)</f>
        <v/>
      </c>
      <c r="N530" s="106">
        <f>Donnees_annuelles!D158*J530</f>
        <v/>
      </c>
      <c r="O530" s="106">
        <f>Donnees_annuelles!D158*K530</f>
        <v/>
      </c>
      <c r="P530" s="106">
        <f>N530+O530</f>
        <v/>
      </c>
      <c r="Q530" s="106">
        <f>Donnees_annuelles!D158*L530</f>
        <v/>
      </c>
      <c r="R530" s="118">
        <f>P530/Donnees_annuelles!AA158*Donnees_annuelles!AI158/Donnees_annuelles!AG158</f>
        <v/>
      </c>
      <c r="S530" s="118">
        <f>P530/Donnees_annuelles!AA158*Donnees_annuelles!AJ158/Donnees_annuelles!AH158</f>
        <v/>
      </c>
    </row>
    <row r="531">
      <c r="A531" s="115" t="inlineStr">
        <is>
          <t>Fonction publique territoriale et hospitalière</t>
        </is>
      </c>
      <c r="B531" s="101" t="n">
        <v>2101</v>
      </c>
      <c r="C531" s="105" t="n">
        <v>0.25</v>
      </c>
      <c r="D531" s="105" t="n">
        <v>0.111</v>
      </c>
      <c r="E531" s="105" t="n">
        <v>0.3765</v>
      </c>
      <c r="F531" s="116" t="inlineStr">
        <is>
          <t>légal</t>
        </is>
      </c>
      <c r="G531" s="105" t="n">
        <v>0.05</v>
      </c>
      <c r="H531" s="105" t="n">
        <v>0.00252</v>
      </c>
      <c r="I531" s="105" t="n">
        <v>0.0501</v>
      </c>
      <c r="J531" s="107">
        <f>D531*(1-C531)+G531*MIN(C531,0.2*(1-C531))+H531</f>
        <v/>
      </c>
      <c r="K531" s="107">
        <f>E531*(1-C531)+G531*MIN(C531,0.2*(1-C531))</f>
        <v/>
      </c>
      <c r="L531" s="107">
        <f>I531*(1-C531)</f>
        <v/>
      </c>
      <c r="M531" s="119">
        <f>SUMIFS(Regimes!$G$5:$G$10,Regimes!$A$5:$A$10,A531)*(1-C531)/(1-0.24167)</f>
        <v/>
      </c>
      <c r="N531" s="106">
        <f>Donnees_annuelles!D159*J531</f>
        <v/>
      </c>
      <c r="O531" s="106">
        <f>Donnees_annuelles!D159*K531</f>
        <v/>
      </c>
      <c r="P531" s="106">
        <f>N531+O531</f>
        <v/>
      </c>
      <c r="Q531" s="106">
        <f>Donnees_annuelles!D159*L531</f>
        <v/>
      </c>
      <c r="R531" s="118">
        <f>P531/Donnees_annuelles!AA159*Donnees_annuelles!AI159/Donnees_annuelles!AG159</f>
        <v/>
      </c>
      <c r="S531" s="118">
        <f>P531/Donnees_annuelles!AA159*Donnees_annuelles!AJ159/Donnees_annuelles!AH159</f>
        <v/>
      </c>
    </row>
    <row r="532">
      <c r="A532" s="115" t="inlineStr">
        <is>
          <t>Fonction publique territoriale et hospitalière</t>
        </is>
      </c>
      <c r="B532" s="101" t="n">
        <v>2102</v>
      </c>
      <c r="C532" s="105" t="n">
        <v>0.25</v>
      </c>
      <c r="D532" s="105" t="n">
        <v>0.111</v>
      </c>
      <c r="E532" s="105" t="n">
        <v>0.3765</v>
      </c>
      <c r="F532" s="116" t="inlineStr">
        <is>
          <t>légal</t>
        </is>
      </c>
      <c r="G532" s="105" t="n">
        <v>0.05</v>
      </c>
      <c r="H532" s="105" t="n">
        <v>0.00252</v>
      </c>
      <c r="I532" s="105" t="n">
        <v>0.0501</v>
      </c>
      <c r="J532" s="107">
        <f>D532*(1-C532)+G532*MIN(C532,0.2*(1-C532))+H532</f>
        <v/>
      </c>
      <c r="K532" s="107">
        <f>E532*(1-C532)+G532*MIN(C532,0.2*(1-C532))</f>
        <v/>
      </c>
      <c r="L532" s="107">
        <f>I532*(1-C532)</f>
        <v/>
      </c>
      <c r="M532" s="119">
        <f>SUMIFS(Regimes!$G$5:$G$10,Regimes!$A$5:$A$10,A532)*(1-C532)/(1-0.24167)</f>
        <v/>
      </c>
      <c r="N532" s="106">
        <f>Donnees_annuelles!D160*J532</f>
        <v/>
      </c>
      <c r="O532" s="106">
        <f>Donnees_annuelles!D160*K532</f>
        <v/>
      </c>
      <c r="P532" s="106">
        <f>N532+O532</f>
        <v/>
      </c>
      <c r="Q532" s="106">
        <f>Donnees_annuelles!D160*L532</f>
        <v/>
      </c>
      <c r="R532" s="118">
        <f>P532/Donnees_annuelles!AA160*Donnees_annuelles!AI160/Donnees_annuelles!AG160</f>
        <v/>
      </c>
      <c r="S532" s="118">
        <f>P532/Donnees_annuelles!AA160*Donnees_annuelles!AJ160/Donnees_annuelles!AH160</f>
        <v/>
      </c>
    </row>
    <row r="533">
      <c r="A533" s="115" t="inlineStr">
        <is>
          <t>Fonction publique territoriale et hospitalière</t>
        </is>
      </c>
      <c r="B533" s="101" t="n">
        <v>2103</v>
      </c>
      <c r="C533" s="105" t="n">
        <v>0.25</v>
      </c>
      <c r="D533" s="105" t="n">
        <v>0.111</v>
      </c>
      <c r="E533" s="105" t="n">
        <v>0.3765</v>
      </c>
      <c r="F533" s="116" t="inlineStr">
        <is>
          <t>légal</t>
        </is>
      </c>
      <c r="G533" s="105" t="n">
        <v>0.05</v>
      </c>
      <c r="H533" s="105" t="n">
        <v>0.00252</v>
      </c>
      <c r="I533" s="105" t="n">
        <v>0.0501</v>
      </c>
      <c r="J533" s="107">
        <f>D533*(1-C533)+G533*MIN(C533,0.2*(1-C533))+H533</f>
        <v/>
      </c>
      <c r="K533" s="107">
        <f>E533*(1-C533)+G533*MIN(C533,0.2*(1-C533))</f>
        <v/>
      </c>
      <c r="L533" s="107">
        <f>I533*(1-C533)</f>
        <v/>
      </c>
      <c r="M533" s="119">
        <f>SUMIFS(Regimes!$G$5:$G$10,Regimes!$A$5:$A$10,A533)*(1-C533)/(1-0.24167)</f>
        <v/>
      </c>
      <c r="N533" s="106">
        <f>Donnees_annuelles!D161*J533</f>
        <v/>
      </c>
      <c r="O533" s="106">
        <f>Donnees_annuelles!D161*K533</f>
        <v/>
      </c>
      <c r="P533" s="106">
        <f>N533+O533</f>
        <v/>
      </c>
      <c r="Q533" s="106">
        <f>Donnees_annuelles!D161*L533</f>
        <v/>
      </c>
      <c r="R533" s="118">
        <f>P533/Donnees_annuelles!AA161*Donnees_annuelles!AI161/Donnees_annuelles!AG161</f>
        <v/>
      </c>
      <c r="S533" s="118">
        <f>P533/Donnees_annuelles!AA161*Donnees_annuelles!AJ161/Donnees_annuelles!AH161</f>
        <v/>
      </c>
    </row>
    <row r="534">
      <c r="A534" s="115" t="inlineStr">
        <is>
          <t>Fonction publique territoriale et hospitalière</t>
        </is>
      </c>
      <c r="B534" s="101" t="n">
        <v>2104</v>
      </c>
      <c r="C534" s="105" t="n">
        <v>0.25</v>
      </c>
      <c r="D534" s="105" t="n">
        <v>0.111</v>
      </c>
      <c r="E534" s="105" t="n">
        <v>0.3765</v>
      </c>
      <c r="F534" s="116" t="inlineStr">
        <is>
          <t>légal</t>
        </is>
      </c>
      <c r="G534" s="105" t="n">
        <v>0.05</v>
      </c>
      <c r="H534" s="105" t="n">
        <v>0.00252</v>
      </c>
      <c r="I534" s="105" t="n">
        <v>0.0501</v>
      </c>
      <c r="J534" s="107">
        <f>D534*(1-C534)+G534*MIN(C534,0.2*(1-C534))+H534</f>
        <v/>
      </c>
      <c r="K534" s="107">
        <f>E534*(1-C534)+G534*MIN(C534,0.2*(1-C534))</f>
        <v/>
      </c>
      <c r="L534" s="107">
        <f>I534*(1-C534)</f>
        <v/>
      </c>
      <c r="M534" s="119">
        <f>SUMIFS(Regimes!$G$5:$G$10,Regimes!$A$5:$A$10,A534)*(1-C534)/(1-0.24167)</f>
        <v/>
      </c>
      <c r="N534" s="106">
        <f>Donnees_annuelles!D162*J534</f>
        <v/>
      </c>
      <c r="O534" s="106">
        <f>Donnees_annuelles!D162*K534</f>
        <v/>
      </c>
      <c r="P534" s="106">
        <f>N534+O534</f>
        <v/>
      </c>
      <c r="Q534" s="106">
        <f>Donnees_annuelles!D162*L534</f>
        <v/>
      </c>
      <c r="R534" s="118">
        <f>P534/Donnees_annuelles!AA162*Donnees_annuelles!AI162/Donnees_annuelles!AG162</f>
        <v/>
      </c>
      <c r="S534" s="118">
        <f>P534/Donnees_annuelles!AA162*Donnees_annuelles!AJ162/Donnees_annuelles!AH162</f>
        <v/>
      </c>
    </row>
    <row r="535">
      <c r="A535" s="115" t="inlineStr">
        <is>
          <t>Fonction publique territoriale et hospitalière</t>
        </is>
      </c>
      <c r="B535" s="101" t="n">
        <v>2105</v>
      </c>
      <c r="C535" s="105" t="n">
        <v>0.25</v>
      </c>
      <c r="D535" s="105" t="n">
        <v>0.111</v>
      </c>
      <c r="E535" s="105" t="n">
        <v>0.3765</v>
      </c>
      <c r="F535" s="116" t="inlineStr">
        <is>
          <t>légal</t>
        </is>
      </c>
      <c r="G535" s="105" t="n">
        <v>0.05</v>
      </c>
      <c r="H535" s="105" t="n">
        <v>0.00252</v>
      </c>
      <c r="I535" s="105" t="n">
        <v>0.0501</v>
      </c>
      <c r="J535" s="107">
        <f>D535*(1-C535)+G535*MIN(C535,0.2*(1-C535))+H535</f>
        <v/>
      </c>
      <c r="K535" s="107">
        <f>E535*(1-C535)+G535*MIN(C535,0.2*(1-C535))</f>
        <v/>
      </c>
      <c r="L535" s="107">
        <f>I535*(1-C535)</f>
        <v/>
      </c>
      <c r="M535" s="119">
        <f>SUMIFS(Regimes!$G$5:$G$10,Regimes!$A$5:$A$10,A535)*(1-C535)/(1-0.24167)</f>
        <v/>
      </c>
      <c r="N535" s="106">
        <f>Donnees_annuelles!D163*J535</f>
        <v/>
      </c>
      <c r="O535" s="106">
        <f>Donnees_annuelles!D163*K535</f>
        <v/>
      </c>
      <c r="P535" s="106">
        <f>N535+O535</f>
        <v/>
      </c>
      <c r="Q535" s="106">
        <f>Donnees_annuelles!D163*L535</f>
        <v/>
      </c>
      <c r="R535" s="118">
        <f>P535/Donnees_annuelles!AA163*Donnees_annuelles!AI163/Donnees_annuelles!AG163</f>
        <v/>
      </c>
      <c r="S535" s="118">
        <f>P535/Donnees_annuelles!AA163*Donnees_annuelles!AJ163/Donnees_annuelles!AH163</f>
        <v/>
      </c>
    </row>
    <row r="536">
      <c r="A536" s="115" t="inlineStr">
        <is>
          <t>Fonction publique territoriale et hospitalière</t>
        </is>
      </c>
      <c r="B536" s="101" t="n">
        <v>2106</v>
      </c>
      <c r="C536" s="105" t="n">
        <v>0.25</v>
      </c>
      <c r="D536" s="105" t="n">
        <v>0.111</v>
      </c>
      <c r="E536" s="105" t="n">
        <v>0.3765</v>
      </c>
      <c r="F536" s="116" t="inlineStr">
        <is>
          <t>légal</t>
        </is>
      </c>
      <c r="G536" s="105" t="n">
        <v>0.05</v>
      </c>
      <c r="H536" s="105" t="n">
        <v>0.00252</v>
      </c>
      <c r="I536" s="105" t="n">
        <v>0.0501</v>
      </c>
      <c r="J536" s="107">
        <f>D536*(1-C536)+G536*MIN(C536,0.2*(1-C536))+H536</f>
        <v/>
      </c>
      <c r="K536" s="107">
        <f>E536*(1-C536)+G536*MIN(C536,0.2*(1-C536))</f>
        <v/>
      </c>
      <c r="L536" s="107">
        <f>I536*(1-C536)</f>
        <v/>
      </c>
      <c r="M536" s="119">
        <f>SUMIFS(Regimes!$G$5:$G$10,Regimes!$A$5:$A$10,A536)*(1-C536)/(1-0.24167)</f>
        <v/>
      </c>
      <c r="N536" s="106">
        <f>Donnees_annuelles!D164*J536</f>
        <v/>
      </c>
      <c r="O536" s="106">
        <f>Donnees_annuelles!D164*K536</f>
        <v/>
      </c>
      <c r="P536" s="106">
        <f>N536+O536</f>
        <v/>
      </c>
      <c r="Q536" s="106">
        <f>Donnees_annuelles!D164*L536</f>
        <v/>
      </c>
      <c r="R536" s="118">
        <f>P536/Donnees_annuelles!AA164*Donnees_annuelles!AI164/Donnees_annuelles!AG164</f>
        <v/>
      </c>
      <c r="S536" s="118">
        <f>P536/Donnees_annuelles!AA164*Donnees_annuelles!AJ164/Donnees_annuelles!AH164</f>
        <v/>
      </c>
    </row>
    <row r="537">
      <c r="A537" s="115" t="inlineStr">
        <is>
          <t>Fonction publique territoriale et hospitalière</t>
        </is>
      </c>
      <c r="B537" s="101" t="n">
        <v>2107</v>
      </c>
      <c r="C537" s="105" t="n">
        <v>0.25</v>
      </c>
      <c r="D537" s="105" t="n">
        <v>0.111</v>
      </c>
      <c r="E537" s="105" t="n">
        <v>0.3765</v>
      </c>
      <c r="F537" s="116" t="inlineStr">
        <is>
          <t>légal</t>
        </is>
      </c>
      <c r="G537" s="105" t="n">
        <v>0.05</v>
      </c>
      <c r="H537" s="105" t="n">
        <v>0.00252</v>
      </c>
      <c r="I537" s="105" t="n">
        <v>0.0501</v>
      </c>
      <c r="J537" s="107">
        <f>D537*(1-C537)+G537*MIN(C537,0.2*(1-C537))+H537</f>
        <v/>
      </c>
      <c r="K537" s="107">
        <f>E537*(1-C537)+G537*MIN(C537,0.2*(1-C537))</f>
        <v/>
      </c>
      <c r="L537" s="107">
        <f>I537*(1-C537)</f>
        <v/>
      </c>
      <c r="M537" s="119">
        <f>SUMIFS(Regimes!$G$5:$G$10,Regimes!$A$5:$A$10,A537)*(1-C537)/(1-0.24167)</f>
        <v/>
      </c>
      <c r="N537" s="106">
        <f>Donnees_annuelles!D165*J537</f>
        <v/>
      </c>
      <c r="O537" s="106">
        <f>Donnees_annuelles!D165*K537</f>
        <v/>
      </c>
      <c r="P537" s="106">
        <f>N537+O537</f>
        <v/>
      </c>
      <c r="Q537" s="106">
        <f>Donnees_annuelles!D165*L537</f>
        <v/>
      </c>
      <c r="R537" s="118">
        <f>P537/Donnees_annuelles!AA165*Donnees_annuelles!AI165/Donnees_annuelles!AG165</f>
        <v/>
      </c>
      <c r="S537" s="118">
        <f>P537/Donnees_annuelles!AA165*Donnees_annuelles!AJ165/Donnees_annuelles!AH165</f>
        <v/>
      </c>
    </row>
    <row r="538">
      <c r="A538" s="115" t="inlineStr">
        <is>
          <t>Fonction publique territoriale et hospitalière</t>
        </is>
      </c>
      <c r="B538" s="101" t="n">
        <v>2108</v>
      </c>
      <c r="C538" s="105" t="n">
        <v>0.25</v>
      </c>
      <c r="D538" s="105" t="n">
        <v>0.111</v>
      </c>
      <c r="E538" s="105" t="n">
        <v>0.3765</v>
      </c>
      <c r="F538" s="116" t="inlineStr">
        <is>
          <t>légal</t>
        </is>
      </c>
      <c r="G538" s="105" t="n">
        <v>0.05</v>
      </c>
      <c r="H538" s="105" t="n">
        <v>0.00252</v>
      </c>
      <c r="I538" s="105" t="n">
        <v>0.0501</v>
      </c>
      <c r="J538" s="107">
        <f>D538*(1-C538)+G538*MIN(C538,0.2*(1-C538))+H538</f>
        <v/>
      </c>
      <c r="K538" s="107">
        <f>E538*(1-C538)+G538*MIN(C538,0.2*(1-C538))</f>
        <v/>
      </c>
      <c r="L538" s="107">
        <f>I538*(1-C538)</f>
        <v/>
      </c>
      <c r="M538" s="119">
        <f>SUMIFS(Regimes!$G$5:$G$10,Regimes!$A$5:$A$10,A538)*(1-C538)/(1-0.24167)</f>
        <v/>
      </c>
      <c r="N538" s="106">
        <f>Donnees_annuelles!D166*J538</f>
        <v/>
      </c>
      <c r="O538" s="106">
        <f>Donnees_annuelles!D166*K538</f>
        <v/>
      </c>
      <c r="P538" s="106">
        <f>N538+O538</f>
        <v/>
      </c>
      <c r="Q538" s="106">
        <f>Donnees_annuelles!D166*L538</f>
        <v/>
      </c>
      <c r="R538" s="118">
        <f>P538/Donnees_annuelles!AA166*Donnees_annuelles!AI166/Donnees_annuelles!AG166</f>
        <v/>
      </c>
      <c r="S538" s="118">
        <f>P538/Donnees_annuelles!AA166*Donnees_annuelles!AJ166/Donnees_annuelles!AH166</f>
        <v/>
      </c>
    </row>
    <row r="539">
      <c r="A539" s="115" t="inlineStr">
        <is>
          <t>Fonction publique territoriale et hospitalière</t>
        </is>
      </c>
      <c r="B539" s="101" t="n">
        <v>2109</v>
      </c>
      <c r="C539" s="105" t="n">
        <v>0.25</v>
      </c>
      <c r="D539" s="105" t="n">
        <v>0.111</v>
      </c>
      <c r="E539" s="105" t="n">
        <v>0.3765</v>
      </c>
      <c r="F539" s="116" t="inlineStr">
        <is>
          <t>légal</t>
        </is>
      </c>
      <c r="G539" s="105" t="n">
        <v>0.05</v>
      </c>
      <c r="H539" s="105" t="n">
        <v>0.00252</v>
      </c>
      <c r="I539" s="105" t="n">
        <v>0.0501</v>
      </c>
      <c r="J539" s="107">
        <f>D539*(1-C539)+G539*MIN(C539,0.2*(1-C539))+H539</f>
        <v/>
      </c>
      <c r="K539" s="107">
        <f>E539*(1-C539)+G539*MIN(C539,0.2*(1-C539))</f>
        <v/>
      </c>
      <c r="L539" s="107">
        <f>I539*(1-C539)</f>
        <v/>
      </c>
      <c r="M539" s="119">
        <f>SUMIFS(Regimes!$G$5:$G$10,Regimes!$A$5:$A$10,A539)*(1-C539)/(1-0.24167)</f>
        <v/>
      </c>
      <c r="N539" s="106">
        <f>Donnees_annuelles!D167*J539</f>
        <v/>
      </c>
      <c r="O539" s="106">
        <f>Donnees_annuelles!D167*K539</f>
        <v/>
      </c>
      <c r="P539" s="106">
        <f>N539+O539</f>
        <v/>
      </c>
      <c r="Q539" s="106">
        <f>Donnees_annuelles!D167*L539</f>
        <v/>
      </c>
      <c r="R539" s="118">
        <f>P539/Donnees_annuelles!AA167*Donnees_annuelles!AI167/Donnees_annuelles!AG167</f>
        <v/>
      </c>
      <c r="S539" s="118">
        <f>P539/Donnees_annuelles!AA167*Donnees_annuelles!AJ167/Donnees_annuelles!AH167</f>
        <v/>
      </c>
    </row>
    <row r="540">
      <c r="A540" s="115" t="inlineStr">
        <is>
          <t>Fonction publique territoriale et hospitalière</t>
        </is>
      </c>
      <c r="B540" s="101" t="n">
        <v>2110</v>
      </c>
      <c r="C540" s="105" t="n">
        <v>0.25</v>
      </c>
      <c r="D540" s="105" t="n">
        <v>0.111</v>
      </c>
      <c r="E540" s="105" t="n">
        <v>0.3765</v>
      </c>
      <c r="F540" s="116" t="inlineStr">
        <is>
          <t>légal</t>
        </is>
      </c>
      <c r="G540" s="105" t="n">
        <v>0.05</v>
      </c>
      <c r="H540" s="105" t="n">
        <v>0.00252</v>
      </c>
      <c r="I540" s="105" t="n">
        <v>0.0501</v>
      </c>
      <c r="J540" s="107">
        <f>D540*(1-C540)+G540*MIN(C540,0.2*(1-C540))+H540</f>
        <v/>
      </c>
      <c r="K540" s="107">
        <f>E540*(1-C540)+G540*MIN(C540,0.2*(1-C540))</f>
        <v/>
      </c>
      <c r="L540" s="107">
        <f>I540*(1-C540)</f>
        <v/>
      </c>
      <c r="M540" s="119">
        <f>SUMIFS(Regimes!$G$5:$G$10,Regimes!$A$5:$A$10,A540)*(1-C540)/(1-0.24167)</f>
        <v/>
      </c>
      <c r="N540" s="106">
        <f>Donnees_annuelles!D168*J540</f>
        <v/>
      </c>
      <c r="O540" s="106">
        <f>Donnees_annuelles!D168*K540</f>
        <v/>
      </c>
      <c r="P540" s="106">
        <f>N540+O540</f>
        <v/>
      </c>
      <c r="Q540" s="106">
        <f>Donnees_annuelles!D168*L540</f>
        <v/>
      </c>
      <c r="R540" s="118">
        <f>P540/Donnees_annuelles!AA168*Donnees_annuelles!AI168/Donnees_annuelles!AG168</f>
        <v/>
      </c>
      <c r="S540" s="118">
        <f>P540/Donnees_annuelles!AA168*Donnees_annuelles!AJ168/Donnees_annuelles!AH168</f>
        <v/>
      </c>
    </row>
    <row r="541">
      <c r="A541" s="115" t="inlineStr">
        <is>
          <t>Fonction publique territoriale et hospitalière</t>
        </is>
      </c>
      <c r="B541" s="101" t="n">
        <v>2111</v>
      </c>
      <c r="C541" s="105" t="n">
        <v>0.25</v>
      </c>
      <c r="D541" s="105" t="n">
        <v>0.111</v>
      </c>
      <c r="E541" s="105" t="n">
        <v>0.3765</v>
      </c>
      <c r="F541" s="116" t="inlineStr">
        <is>
          <t>légal</t>
        </is>
      </c>
      <c r="G541" s="105" t="n">
        <v>0.05</v>
      </c>
      <c r="H541" s="105" t="n">
        <v>0.00252</v>
      </c>
      <c r="I541" s="105" t="n">
        <v>0.0501</v>
      </c>
      <c r="J541" s="107">
        <f>D541*(1-C541)+G541*MIN(C541,0.2*(1-C541))+H541</f>
        <v/>
      </c>
      <c r="K541" s="107">
        <f>E541*(1-C541)+G541*MIN(C541,0.2*(1-C541))</f>
        <v/>
      </c>
      <c r="L541" s="107">
        <f>I541*(1-C541)</f>
        <v/>
      </c>
      <c r="M541" s="119">
        <f>SUMIFS(Regimes!$G$5:$G$10,Regimes!$A$5:$A$10,A541)*(1-C541)/(1-0.24167)</f>
        <v/>
      </c>
      <c r="N541" s="106">
        <f>Donnees_annuelles!D169*J541</f>
        <v/>
      </c>
      <c r="O541" s="106">
        <f>Donnees_annuelles!D169*K541</f>
        <v/>
      </c>
      <c r="P541" s="106">
        <f>N541+O541</f>
        <v/>
      </c>
      <c r="Q541" s="106">
        <f>Donnees_annuelles!D169*L541</f>
        <v/>
      </c>
      <c r="R541" s="118">
        <f>P541/Donnees_annuelles!AA169*Donnees_annuelles!AI169/Donnees_annuelles!AG169</f>
        <v/>
      </c>
      <c r="S541" s="118">
        <f>P541/Donnees_annuelles!AA169*Donnees_annuelles!AJ169/Donnees_annuelles!AH169</f>
        <v/>
      </c>
    </row>
    <row r="542">
      <c r="A542" s="115" t="inlineStr">
        <is>
          <t>Fonction publique territoriale et hospitalière</t>
        </is>
      </c>
      <c r="B542" s="101" t="n">
        <v>2112</v>
      </c>
      <c r="C542" s="105" t="n">
        <v>0.25</v>
      </c>
      <c r="D542" s="105" t="n">
        <v>0.111</v>
      </c>
      <c r="E542" s="105" t="n">
        <v>0.3765</v>
      </c>
      <c r="F542" s="116" t="inlineStr">
        <is>
          <t>légal</t>
        </is>
      </c>
      <c r="G542" s="105" t="n">
        <v>0.05</v>
      </c>
      <c r="H542" s="105" t="n">
        <v>0.00252</v>
      </c>
      <c r="I542" s="105" t="n">
        <v>0.0501</v>
      </c>
      <c r="J542" s="107">
        <f>D542*(1-C542)+G542*MIN(C542,0.2*(1-C542))+H542</f>
        <v/>
      </c>
      <c r="K542" s="107">
        <f>E542*(1-C542)+G542*MIN(C542,0.2*(1-C542))</f>
        <v/>
      </c>
      <c r="L542" s="107">
        <f>I542*(1-C542)</f>
        <v/>
      </c>
      <c r="M542" s="119">
        <f>SUMIFS(Regimes!$G$5:$G$10,Regimes!$A$5:$A$10,A542)*(1-C542)/(1-0.24167)</f>
        <v/>
      </c>
      <c r="N542" s="106">
        <f>Donnees_annuelles!D170*J542</f>
        <v/>
      </c>
      <c r="O542" s="106">
        <f>Donnees_annuelles!D170*K542</f>
        <v/>
      </c>
      <c r="P542" s="106">
        <f>N542+O542</f>
        <v/>
      </c>
      <c r="Q542" s="106">
        <f>Donnees_annuelles!D170*L542</f>
        <v/>
      </c>
      <c r="R542" s="118">
        <f>P542/Donnees_annuelles!AA170*Donnees_annuelles!AI170/Donnees_annuelles!AG170</f>
        <v/>
      </c>
      <c r="S542" s="118">
        <f>P542/Donnees_annuelles!AA170*Donnees_annuelles!AJ170/Donnees_annuelles!AH170</f>
        <v/>
      </c>
    </row>
    <row r="543">
      <c r="A543" s="115" t="inlineStr">
        <is>
          <t>Fonction publique territoriale et hospitalière</t>
        </is>
      </c>
      <c r="B543" s="101" t="n">
        <v>2113</v>
      </c>
      <c r="C543" s="105" t="n">
        <v>0.25</v>
      </c>
      <c r="D543" s="105" t="n">
        <v>0.111</v>
      </c>
      <c r="E543" s="105" t="n">
        <v>0.3765</v>
      </c>
      <c r="F543" s="116" t="inlineStr">
        <is>
          <t>légal</t>
        </is>
      </c>
      <c r="G543" s="105" t="n">
        <v>0.05</v>
      </c>
      <c r="H543" s="105" t="n">
        <v>0.00252</v>
      </c>
      <c r="I543" s="105" t="n">
        <v>0.0501</v>
      </c>
      <c r="J543" s="107">
        <f>D543*(1-C543)+G543*MIN(C543,0.2*(1-C543))+H543</f>
        <v/>
      </c>
      <c r="K543" s="107">
        <f>E543*(1-C543)+G543*MIN(C543,0.2*(1-C543))</f>
        <v/>
      </c>
      <c r="L543" s="107">
        <f>I543*(1-C543)</f>
        <v/>
      </c>
      <c r="M543" s="119">
        <f>SUMIFS(Regimes!$G$5:$G$10,Regimes!$A$5:$A$10,A543)*(1-C543)/(1-0.24167)</f>
        <v/>
      </c>
      <c r="N543" s="106">
        <f>Donnees_annuelles!D171*J543</f>
        <v/>
      </c>
      <c r="O543" s="106">
        <f>Donnees_annuelles!D171*K543</f>
        <v/>
      </c>
      <c r="P543" s="106">
        <f>N543+O543</f>
        <v/>
      </c>
      <c r="Q543" s="106">
        <f>Donnees_annuelles!D171*L543</f>
        <v/>
      </c>
      <c r="R543" s="118">
        <f>P543/Donnees_annuelles!AA171*Donnees_annuelles!AI171/Donnees_annuelles!AG171</f>
        <v/>
      </c>
      <c r="S543" s="118">
        <f>P543/Donnees_annuelles!AA171*Donnees_annuelles!AJ171/Donnees_annuelles!AH171</f>
        <v/>
      </c>
    </row>
    <row r="544">
      <c r="A544" s="115" t="inlineStr">
        <is>
          <t>Fonction publique territoriale et hospitalière</t>
        </is>
      </c>
      <c r="B544" s="101" t="n">
        <v>2114</v>
      </c>
      <c r="C544" s="105" t="n">
        <v>0.25</v>
      </c>
      <c r="D544" s="105" t="n">
        <v>0.111</v>
      </c>
      <c r="E544" s="105" t="n">
        <v>0.3765</v>
      </c>
      <c r="F544" s="116" t="inlineStr">
        <is>
          <t>légal</t>
        </is>
      </c>
      <c r="G544" s="105" t="n">
        <v>0.05</v>
      </c>
      <c r="H544" s="105" t="n">
        <v>0.00252</v>
      </c>
      <c r="I544" s="105" t="n">
        <v>0.0501</v>
      </c>
      <c r="J544" s="107">
        <f>D544*(1-C544)+G544*MIN(C544,0.2*(1-C544))+H544</f>
        <v/>
      </c>
      <c r="K544" s="107">
        <f>E544*(1-C544)+G544*MIN(C544,0.2*(1-C544))</f>
        <v/>
      </c>
      <c r="L544" s="107">
        <f>I544*(1-C544)</f>
        <v/>
      </c>
      <c r="M544" s="119">
        <f>SUMIFS(Regimes!$G$5:$G$10,Regimes!$A$5:$A$10,A544)*(1-C544)/(1-0.24167)</f>
        <v/>
      </c>
      <c r="N544" s="106">
        <f>Donnees_annuelles!D172*J544</f>
        <v/>
      </c>
      <c r="O544" s="106">
        <f>Donnees_annuelles!D172*K544</f>
        <v/>
      </c>
      <c r="P544" s="106">
        <f>N544+O544</f>
        <v/>
      </c>
      <c r="Q544" s="106">
        <f>Donnees_annuelles!D172*L544</f>
        <v/>
      </c>
      <c r="R544" s="118">
        <f>P544/Donnees_annuelles!AA172*Donnees_annuelles!AI172/Donnees_annuelles!AG172</f>
        <v/>
      </c>
      <c r="S544" s="118">
        <f>P544/Donnees_annuelles!AA172*Donnees_annuelles!AJ172/Donnees_annuelles!AH172</f>
        <v/>
      </c>
    </row>
    <row r="545">
      <c r="A545" s="115" t="inlineStr">
        <is>
          <t>Fonction publique territoriale et hospitalière</t>
        </is>
      </c>
      <c r="B545" s="101" t="n">
        <v>2115</v>
      </c>
      <c r="C545" s="105" t="n">
        <v>0.25</v>
      </c>
      <c r="D545" s="105" t="n">
        <v>0.111</v>
      </c>
      <c r="E545" s="105" t="n">
        <v>0.3765</v>
      </c>
      <c r="F545" s="116" t="inlineStr">
        <is>
          <t>légal</t>
        </is>
      </c>
      <c r="G545" s="105" t="n">
        <v>0.05</v>
      </c>
      <c r="H545" s="105" t="n">
        <v>0.00252</v>
      </c>
      <c r="I545" s="105" t="n">
        <v>0.0501</v>
      </c>
      <c r="J545" s="107">
        <f>D545*(1-C545)+G545*MIN(C545,0.2*(1-C545))+H545</f>
        <v/>
      </c>
      <c r="K545" s="107">
        <f>E545*(1-C545)+G545*MIN(C545,0.2*(1-C545))</f>
        <v/>
      </c>
      <c r="L545" s="107">
        <f>I545*(1-C545)</f>
        <v/>
      </c>
      <c r="M545" s="119">
        <f>SUMIFS(Regimes!$G$5:$G$10,Regimes!$A$5:$A$10,A545)*(1-C545)/(1-0.24167)</f>
        <v/>
      </c>
      <c r="N545" s="106">
        <f>Donnees_annuelles!D173*J545</f>
        <v/>
      </c>
      <c r="O545" s="106">
        <f>Donnees_annuelles!D173*K545</f>
        <v/>
      </c>
      <c r="P545" s="106">
        <f>N545+O545</f>
        <v/>
      </c>
      <c r="Q545" s="106">
        <f>Donnees_annuelles!D173*L545</f>
        <v/>
      </c>
      <c r="R545" s="118">
        <f>P545/Donnees_annuelles!AA173*Donnees_annuelles!AI173/Donnees_annuelles!AG173</f>
        <v/>
      </c>
      <c r="S545" s="118">
        <f>P545/Donnees_annuelles!AA173*Donnees_annuelles!AJ173/Donnees_annuelles!AH173</f>
        <v/>
      </c>
    </row>
    <row r="546">
      <c r="A546" s="115" t="inlineStr">
        <is>
          <t>Fonction publique territoriale et hospitalière</t>
        </is>
      </c>
      <c r="B546" s="101" t="n">
        <v>2116</v>
      </c>
      <c r="C546" s="105" t="n">
        <v>0.25</v>
      </c>
      <c r="D546" s="105" t="n">
        <v>0.111</v>
      </c>
      <c r="E546" s="105" t="n">
        <v>0.3765</v>
      </c>
      <c r="F546" s="116" t="inlineStr">
        <is>
          <t>légal</t>
        </is>
      </c>
      <c r="G546" s="105" t="n">
        <v>0.05</v>
      </c>
      <c r="H546" s="105" t="n">
        <v>0.00252</v>
      </c>
      <c r="I546" s="105" t="n">
        <v>0.0501</v>
      </c>
      <c r="J546" s="107">
        <f>D546*(1-C546)+G546*MIN(C546,0.2*(1-C546))+H546</f>
        <v/>
      </c>
      <c r="K546" s="107">
        <f>E546*(1-C546)+G546*MIN(C546,0.2*(1-C546))</f>
        <v/>
      </c>
      <c r="L546" s="107">
        <f>I546*(1-C546)</f>
        <v/>
      </c>
      <c r="M546" s="119">
        <f>SUMIFS(Regimes!$G$5:$G$10,Regimes!$A$5:$A$10,A546)*(1-C546)/(1-0.24167)</f>
        <v/>
      </c>
      <c r="N546" s="106">
        <f>Donnees_annuelles!D174*J546</f>
        <v/>
      </c>
      <c r="O546" s="106">
        <f>Donnees_annuelles!D174*K546</f>
        <v/>
      </c>
      <c r="P546" s="106">
        <f>N546+O546</f>
        <v/>
      </c>
      <c r="Q546" s="106">
        <f>Donnees_annuelles!D174*L546</f>
        <v/>
      </c>
      <c r="R546" s="118">
        <f>P546/Donnees_annuelles!AA174*Donnees_annuelles!AI174/Donnees_annuelles!AG174</f>
        <v/>
      </c>
      <c r="S546" s="118">
        <f>P546/Donnees_annuelles!AA174*Donnees_annuelles!AJ174/Donnees_annuelles!AH174</f>
        <v/>
      </c>
    </row>
    <row r="547">
      <c r="A547" s="115" t="inlineStr">
        <is>
          <t>Fonction publique territoriale et hospitalière</t>
        </is>
      </c>
      <c r="B547" s="101" t="n">
        <v>2117</v>
      </c>
      <c r="C547" s="105" t="n">
        <v>0.25</v>
      </c>
      <c r="D547" s="105" t="n">
        <v>0.111</v>
      </c>
      <c r="E547" s="105" t="n">
        <v>0.3765</v>
      </c>
      <c r="F547" s="116" t="inlineStr">
        <is>
          <t>légal</t>
        </is>
      </c>
      <c r="G547" s="105" t="n">
        <v>0.05</v>
      </c>
      <c r="H547" s="105" t="n">
        <v>0.00252</v>
      </c>
      <c r="I547" s="105" t="n">
        <v>0.0501</v>
      </c>
      <c r="J547" s="107">
        <f>D547*(1-C547)+G547*MIN(C547,0.2*(1-C547))+H547</f>
        <v/>
      </c>
      <c r="K547" s="107">
        <f>E547*(1-C547)+G547*MIN(C547,0.2*(1-C547))</f>
        <v/>
      </c>
      <c r="L547" s="107">
        <f>I547*(1-C547)</f>
        <v/>
      </c>
      <c r="M547" s="119">
        <f>SUMIFS(Regimes!$G$5:$G$10,Regimes!$A$5:$A$10,A547)*(1-C547)/(1-0.24167)</f>
        <v/>
      </c>
      <c r="N547" s="106">
        <f>Donnees_annuelles!D175*J547</f>
        <v/>
      </c>
      <c r="O547" s="106">
        <f>Donnees_annuelles!D175*K547</f>
        <v/>
      </c>
      <c r="P547" s="106">
        <f>N547+O547</f>
        <v/>
      </c>
      <c r="Q547" s="106">
        <f>Donnees_annuelles!D175*L547</f>
        <v/>
      </c>
      <c r="R547" s="118">
        <f>P547/Donnees_annuelles!AA175*Donnees_annuelles!AI175/Donnees_annuelles!AG175</f>
        <v/>
      </c>
      <c r="S547" s="118">
        <f>P547/Donnees_annuelles!AA175*Donnees_annuelles!AJ175/Donnees_annuelles!AH175</f>
        <v/>
      </c>
    </row>
    <row r="548">
      <c r="A548" s="115" t="inlineStr">
        <is>
          <t>Fonction publique territoriale et hospitalière</t>
        </is>
      </c>
      <c r="B548" s="101" t="n">
        <v>2118</v>
      </c>
      <c r="C548" s="105" t="n">
        <v>0.25</v>
      </c>
      <c r="D548" s="105" t="n">
        <v>0.111</v>
      </c>
      <c r="E548" s="105" t="n">
        <v>0.3765</v>
      </c>
      <c r="F548" s="116" t="inlineStr">
        <is>
          <t>légal</t>
        </is>
      </c>
      <c r="G548" s="105" t="n">
        <v>0.05</v>
      </c>
      <c r="H548" s="105" t="n">
        <v>0.00252</v>
      </c>
      <c r="I548" s="105" t="n">
        <v>0.0501</v>
      </c>
      <c r="J548" s="107">
        <f>D548*(1-C548)+G548*MIN(C548,0.2*(1-C548))+H548</f>
        <v/>
      </c>
      <c r="K548" s="107">
        <f>E548*(1-C548)+G548*MIN(C548,0.2*(1-C548))</f>
        <v/>
      </c>
      <c r="L548" s="107">
        <f>I548*(1-C548)</f>
        <v/>
      </c>
      <c r="M548" s="119">
        <f>SUMIFS(Regimes!$G$5:$G$10,Regimes!$A$5:$A$10,A548)*(1-C548)/(1-0.24167)</f>
        <v/>
      </c>
      <c r="N548" s="106">
        <f>Donnees_annuelles!D176*J548</f>
        <v/>
      </c>
      <c r="O548" s="106">
        <f>Donnees_annuelles!D176*K548</f>
        <v/>
      </c>
      <c r="P548" s="106">
        <f>N548+O548</f>
        <v/>
      </c>
      <c r="Q548" s="106">
        <f>Donnees_annuelles!D176*L548</f>
        <v/>
      </c>
      <c r="R548" s="118">
        <f>P548/Donnees_annuelles!AA176*Donnees_annuelles!AI176/Donnees_annuelles!AG176</f>
        <v/>
      </c>
      <c r="S548" s="118">
        <f>P548/Donnees_annuelles!AA176*Donnees_annuelles!AJ176/Donnees_annuelles!AH176</f>
        <v/>
      </c>
    </row>
    <row r="549">
      <c r="A549" s="115" t="inlineStr">
        <is>
          <t>Fonction publique territoriale et hospitalière</t>
        </is>
      </c>
      <c r="B549" s="101" t="n">
        <v>2119</v>
      </c>
      <c r="C549" s="105" t="n">
        <v>0.25</v>
      </c>
      <c r="D549" s="105" t="n">
        <v>0.111</v>
      </c>
      <c r="E549" s="105" t="n">
        <v>0.3765</v>
      </c>
      <c r="F549" s="116" t="inlineStr">
        <is>
          <t>légal</t>
        </is>
      </c>
      <c r="G549" s="105" t="n">
        <v>0.05</v>
      </c>
      <c r="H549" s="105" t="n">
        <v>0.00252</v>
      </c>
      <c r="I549" s="105" t="n">
        <v>0.0501</v>
      </c>
      <c r="J549" s="107">
        <f>D549*(1-C549)+G549*MIN(C549,0.2*(1-C549))+H549</f>
        <v/>
      </c>
      <c r="K549" s="107">
        <f>E549*(1-C549)+G549*MIN(C549,0.2*(1-C549))</f>
        <v/>
      </c>
      <c r="L549" s="107">
        <f>I549*(1-C549)</f>
        <v/>
      </c>
      <c r="M549" s="119">
        <f>SUMIFS(Regimes!$G$5:$G$10,Regimes!$A$5:$A$10,A549)*(1-C549)/(1-0.24167)</f>
        <v/>
      </c>
      <c r="N549" s="106">
        <f>Donnees_annuelles!D177*J549</f>
        <v/>
      </c>
      <c r="O549" s="106">
        <f>Donnees_annuelles!D177*K549</f>
        <v/>
      </c>
      <c r="P549" s="106">
        <f>N549+O549</f>
        <v/>
      </c>
      <c r="Q549" s="106">
        <f>Donnees_annuelles!D177*L549</f>
        <v/>
      </c>
      <c r="R549" s="118">
        <f>P549/Donnees_annuelles!AA177*Donnees_annuelles!AI177/Donnees_annuelles!AG177</f>
        <v/>
      </c>
      <c r="S549" s="118">
        <f>P549/Donnees_annuelles!AA177*Donnees_annuelles!AJ177/Donnees_annuelles!AH177</f>
        <v/>
      </c>
    </row>
    <row r="550">
      <c r="A550" s="115" t="inlineStr">
        <is>
          <t>Fonction publique territoriale et hospitalière</t>
        </is>
      </c>
      <c r="B550" s="101" t="n">
        <v>2120</v>
      </c>
      <c r="C550" s="105" t="n">
        <v>0.25</v>
      </c>
      <c r="D550" s="105" t="n">
        <v>0.111</v>
      </c>
      <c r="E550" s="105" t="n">
        <v>0.3765</v>
      </c>
      <c r="F550" s="116" t="inlineStr">
        <is>
          <t>légal</t>
        </is>
      </c>
      <c r="G550" s="105" t="n">
        <v>0.05</v>
      </c>
      <c r="H550" s="105" t="n">
        <v>0.00252</v>
      </c>
      <c r="I550" s="105" t="n">
        <v>0.0501</v>
      </c>
      <c r="J550" s="107">
        <f>D550*(1-C550)+G550*MIN(C550,0.2*(1-C550))+H550</f>
        <v/>
      </c>
      <c r="K550" s="107">
        <f>E550*(1-C550)+G550*MIN(C550,0.2*(1-C550))</f>
        <v/>
      </c>
      <c r="L550" s="107">
        <f>I550*(1-C550)</f>
        <v/>
      </c>
      <c r="M550" s="119">
        <f>SUMIFS(Regimes!$G$5:$G$10,Regimes!$A$5:$A$10,A550)*(1-C550)/(1-0.24167)</f>
        <v/>
      </c>
      <c r="N550" s="106">
        <f>Donnees_annuelles!D178*J550</f>
        <v/>
      </c>
      <c r="O550" s="106">
        <f>Donnees_annuelles!D178*K550</f>
        <v/>
      </c>
      <c r="P550" s="106">
        <f>N550+O550</f>
        <v/>
      </c>
      <c r="Q550" s="106">
        <f>Donnees_annuelles!D178*L550</f>
        <v/>
      </c>
      <c r="R550" s="118">
        <f>P550/Donnees_annuelles!AA178*Donnees_annuelles!AI178/Donnees_annuelles!AG178</f>
        <v/>
      </c>
      <c r="S550" s="118">
        <f>P550/Donnees_annuelles!AA178*Donnees_annuelles!AJ178/Donnees_annuelles!AH178</f>
        <v/>
      </c>
    </row>
    <row r="551">
      <c r="A551" s="115" t="inlineStr">
        <is>
          <t>Fonction publique territoriale et hospitalière</t>
        </is>
      </c>
      <c r="B551" s="101" t="n">
        <v>2121</v>
      </c>
      <c r="C551" s="105" t="n">
        <v>0.25</v>
      </c>
      <c r="D551" s="105" t="n">
        <v>0.111</v>
      </c>
      <c r="E551" s="105" t="n">
        <v>0.3765</v>
      </c>
      <c r="F551" s="116" t="inlineStr">
        <is>
          <t>légal</t>
        </is>
      </c>
      <c r="G551" s="105" t="n">
        <v>0.05</v>
      </c>
      <c r="H551" s="105" t="n">
        <v>0.00252</v>
      </c>
      <c r="I551" s="105" t="n">
        <v>0.0501</v>
      </c>
      <c r="J551" s="107">
        <f>D551*(1-C551)+G551*MIN(C551,0.2*(1-C551))+H551</f>
        <v/>
      </c>
      <c r="K551" s="107">
        <f>E551*(1-C551)+G551*MIN(C551,0.2*(1-C551))</f>
        <v/>
      </c>
      <c r="L551" s="107">
        <f>I551*(1-C551)</f>
        <v/>
      </c>
      <c r="M551" s="119">
        <f>SUMIFS(Regimes!$G$5:$G$10,Regimes!$A$5:$A$10,A551)*(1-C551)/(1-0.24167)</f>
        <v/>
      </c>
      <c r="N551" s="106">
        <f>Donnees_annuelles!D179*J551</f>
        <v/>
      </c>
      <c r="O551" s="106">
        <f>Donnees_annuelles!D179*K551</f>
        <v/>
      </c>
      <c r="P551" s="106">
        <f>N551+O551</f>
        <v/>
      </c>
      <c r="Q551" s="106">
        <f>Donnees_annuelles!D179*L551</f>
        <v/>
      </c>
      <c r="R551" s="118">
        <f>P551/Donnees_annuelles!AA179*Donnees_annuelles!AI179/Donnees_annuelles!AG179</f>
        <v/>
      </c>
      <c r="S551" s="118">
        <f>P551/Donnees_annuelles!AA179*Donnees_annuelles!AJ179/Donnees_annuelles!AH179</f>
        <v/>
      </c>
    </row>
    <row r="552">
      <c r="A552" s="115" t="inlineStr">
        <is>
          <t>Fonction publique territoriale et hospitalière</t>
        </is>
      </c>
      <c r="B552" s="101" t="n">
        <v>2122</v>
      </c>
      <c r="C552" s="105" t="n">
        <v>0.25</v>
      </c>
      <c r="D552" s="105" t="n">
        <v>0.111</v>
      </c>
      <c r="E552" s="105" t="n">
        <v>0.3765</v>
      </c>
      <c r="F552" s="116" t="inlineStr">
        <is>
          <t>légal</t>
        </is>
      </c>
      <c r="G552" s="105" t="n">
        <v>0.05</v>
      </c>
      <c r="H552" s="105" t="n">
        <v>0.00252</v>
      </c>
      <c r="I552" s="105" t="n">
        <v>0.0501</v>
      </c>
      <c r="J552" s="107">
        <f>D552*(1-C552)+G552*MIN(C552,0.2*(1-C552))+H552</f>
        <v/>
      </c>
      <c r="K552" s="107">
        <f>E552*(1-C552)+G552*MIN(C552,0.2*(1-C552))</f>
        <v/>
      </c>
      <c r="L552" s="107">
        <f>I552*(1-C552)</f>
        <v/>
      </c>
      <c r="M552" s="119">
        <f>SUMIFS(Regimes!$G$5:$G$10,Regimes!$A$5:$A$10,A552)*(1-C552)/(1-0.24167)</f>
        <v/>
      </c>
      <c r="N552" s="106">
        <f>Donnees_annuelles!D180*J552</f>
        <v/>
      </c>
      <c r="O552" s="106">
        <f>Donnees_annuelles!D180*K552</f>
        <v/>
      </c>
      <c r="P552" s="106">
        <f>N552+O552</f>
        <v/>
      </c>
      <c r="Q552" s="106">
        <f>Donnees_annuelles!D180*L552</f>
        <v/>
      </c>
      <c r="R552" s="118">
        <f>P552/Donnees_annuelles!AA180*Donnees_annuelles!AI180/Donnees_annuelles!AG180</f>
        <v/>
      </c>
      <c r="S552" s="118">
        <f>P552/Donnees_annuelles!AA180*Donnees_annuelles!AJ180/Donnees_annuelles!AH180</f>
        <v/>
      </c>
    </row>
    <row r="553">
      <c r="A553" s="115" t="inlineStr">
        <is>
          <t>Fonction publique territoriale et hospitalière</t>
        </is>
      </c>
      <c r="B553" s="101" t="n">
        <v>2123</v>
      </c>
      <c r="C553" s="105" t="n">
        <v>0.25</v>
      </c>
      <c r="D553" s="105" t="n">
        <v>0.111</v>
      </c>
      <c r="E553" s="105" t="n">
        <v>0.3765</v>
      </c>
      <c r="F553" s="116" t="inlineStr">
        <is>
          <t>légal</t>
        </is>
      </c>
      <c r="G553" s="105" t="n">
        <v>0.05</v>
      </c>
      <c r="H553" s="105" t="n">
        <v>0.00252</v>
      </c>
      <c r="I553" s="105" t="n">
        <v>0.0501</v>
      </c>
      <c r="J553" s="107">
        <f>D553*(1-C553)+G553*MIN(C553,0.2*(1-C553))+H553</f>
        <v/>
      </c>
      <c r="K553" s="107">
        <f>E553*(1-C553)+G553*MIN(C553,0.2*(1-C553))</f>
        <v/>
      </c>
      <c r="L553" s="107">
        <f>I553*(1-C553)</f>
        <v/>
      </c>
      <c r="M553" s="119">
        <f>SUMIFS(Regimes!$G$5:$G$10,Regimes!$A$5:$A$10,A553)*(1-C553)/(1-0.24167)</f>
        <v/>
      </c>
      <c r="N553" s="106">
        <f>Donnees_annuelles!D181*J553</f>
        <v/>
      </c>
      <c r="O553" s="106">
        <f>Donnees_annuelles!D181*K553</f>
        <v/>
      </c>
      <c r="P553" s="106">
        <f>N553+O553</f>
        <v/>
      </c>
      <c r="Q553" s="106">
        <f>Donnees_annuelles!D181*L553</f>
        <v/>
      </c>
      <c r="R553" s="118">
        <f>P553/Donnees_annuelles!AA181*Donnees_annuelles!AI181/Donnees_annuelles!AG181</f>
        <v/>
      </c>
      <c r="S553" s="118">
        <f>P553/Donnees_annuelles!AA181*Donnees_annuelles!AJ181/Donnees_annuelles!AH181</f>
        <v/>
      </c>
    </row>
    <row r="554">
      <c r="A554" s="115" t="inlineStr">
        <is>
          <t>Fonction publique territoriale et hospitalière</t>
        </is>
      </c>
      <c r="B554" s="101" t="n">
        <v>2124</v>
      </c>
      <c r="C554" s="105" t="n">
        <v>0.25</v>
      </c>
      <c r="D554" s="105" t="n">
        <v>0.111</v>
      </c>
      <c r="E554" s="105" t="n">
        <v>0.3765</v>
      </c>
      <c r="F554" s="116" t="inlineStr">
        <is>
          <t>légal</t>
        </is>
      </c>
      <c r="G554" s="105" t="n">
        <v>0.05</v>
      </c>
      <c r="H554" s="105" t="n">
        <v>0.00252</v>
      </c>
      <c r="I554" s="105" t="n">
        <v>0.0501</v>
      </c>
      <c r="J554" s="107">
        <f>D554*(1-C554)+G554*MIN(C554,0.2*(1-C554))+H554</f>
        <v/>
      </c>
      <c r="K554" s="107">
        <f>E554*(1-C554)+G554*MIN(C554,0.2*(1-C554))</f>
        <v/>
      </c>
      <c r="L554" s="107">
        <f>I554*(1-C554)</f>
        <v/>
      </c>
      <c r="M554" s="119">
        <f>SUMIFS(Regimes!$G$5:$G$10,Regimes!$A$5:$A$10,A554)*(1-C554)/(1-0.24167)</f>
        <v/>
      </c>
      <c r="N554" s="106">
        <f>Donnees_annuelles!D182*J554</f>
        <v/>
      </c>
      <c r="O554" s="106">
        <f>Donnees_annuelles!D182*K554</f>
        <v/>
      </c>
      <c r="P554" s="106">
        <f>N554+O554</f>
        <v/>
      </c>
      <c r="Q554" s="106">
        <f>Donnees_annuelles!D182*L554</f>
        <v/>
      </c>
      <c r="R554" s="118">
        <f>P554/Donnees_annuelles!AA182*Donnees_annuelles!AI182/Donnees_annuelles!AG182</f>
        <v/>
      </c>
      <c r="S554" s="118">
        <f>P554/Donnees_annuelles!AA182*Donnees_annuelles!AJ182/Donnees_annuelles!AH182</f>
        <v/>
      </c>
    </row>
    <row r="555">
      <c r="A555" s="115" t="inlineStr">
        <is>
          <t>Fonction publique territoriale et hospitalière</t>
        </is>
      </c>
      <c r="B555" s="101" t="n">
        <v>2125</v>
      </c>
      <c r="C555" s="105" t="n">
        <v>0.25</v>
      </c>
      <c r="D555" s="105" t="n">
        <v>0.111</v>
      </c>
      <c r="E555" s="105" t="n">
        <v>0.3765</v>
      </c>
      <c r="F555" s="116" t="inlineStr">
        <is>
          <t>légal</t>
        </is>
      </c>
      <c r="G555" s="105" t="n">
        <v>0.05</v>
      </c>
      <c r="H555" s="105" t="n">
        <v>0.00252</v>
      </c>
      <c r="I555" s="105" t="n">
        <v>0.0501</v>
      </c>
      <c r="J555" s="107">
        <f>D555*(1-C555)+G555*MIN(C555,0.2*(1-C555))+H555</f>
        <v/>
      </c>
      <c r="K555" s="107">
        <f>E555*(1-C555)+G555*MIN(C555,0.2*(1-C555))</f>
        <v/>
      </c>
      <c r="L555" s="107">
        <f>I555*(1-C555)</f>
        <v/>
      </c>
      <c r="M555" s="119">
        <f>SUMIFS(Regimes!$G$5:$G$10,Regimes!$A$5:$A$10,A555)*(1-C555)/(1-0.24167)</f>
        <v/>
      </c>
      <c r="N555" s="106">
        <f>Donnees_annuelles!D183*J555</f>
        <v/>
      </c>
      <c r="O555" s="106">
        <f>Donnees_annuelles!D183*K555</f>
        <v/>
      </c>
      <c r="P555" s="106">
        <f>N555+O555</f>
        <v/>
      </c>
      <c r="Q555" s="106">
        <f>Donnees_annuelles!D183*L555</f>
        <v/>
      </c>
      <c r="R555" s="118">
        <f>P555/Donnees_annuelles!AA183*Donnees_annuelles!AI183/Donnees_annuelles!AG183</f>
        <v/>
      </c>
      <c r="S555" s="118">
        <f>P555/Donnees_annuelles!AA183*Donnees_annuelles!AJ183/Donnees_annuelles!AH183</f>
        <v/>
      </c>
    </row>
    <row r="556">
      <c r="A556" s="115" t="inlineStr">
        <is>
          <t>Fonction publique territoriale et hospitalière</t>
        </is>
      </c>
      <c r="B556" s="101" t="n">
        <v>2126</v>
      </c>
      <c r="C556" s="105" t="n">
        <v>0.25</v>
      </c>
      <c r="D556" s="105" t="n">
        <v>0.111</v>
      </c>
      <c r="E556" s="105" t="n">
        <v>0.3765</v>
      </c>
      <c r="F556" s="116" t="inlineStr">
        <is>
          <t>légal</t>
        </is>
      </c>
      <c r="G556" s="105" t="n">
        <v>0.05</v>
      </c>
      <c r="H556" s="105" t="n">
        <v>0.00252</v>
      </c>
      <c r="I556" s="105" t="n">
        <v>0.0501</v>
      </c>
      <c r="J556" s="107">
        <f>D556*(1-C556)+G556*MIN(C556,0.2*(1-C556))+H556</f>
        <v/>
      </c>
      <c r="K556" s="107">
        <f>E556*(1-C556)+G556*MIN(C556,0.2*(1-C556))</f>
        <v/>
      </c>
      <c r="L556" s="107">
        <f>I556*(1-C556)</f>
        <v/>
      </c>
      <c r="M556" s="119">
        <f>SUMIFS(Regimes!$G$5:$G$10,Regimes!$A$5:$A$10,A556)*(1-C556)/(1-0.24167)</f>
        <v/>
      </c>
      <c r="N556" s="106">
        <f>Donnees_annuelles!D184*J556</f>
        <v/>
      </c>
      <c r="O556" s="106">
        <f>Donnees_annuelles!D184*K556</f>
        <v/>
      </c>
      <c r="P556" s="106">
        <f>N556+O556</f>
        <v/>
      </c>
      <c r="Q556" s="106">
        <f>Donnees_annuelles!D184*L556</f>
        <v/>
      </c>
      <c r="R556" s="118">
        <f>P556/Donnees_annuelles!AA184*Donnees_annuelles!AI184/Donnees_annuelles!AG184</f>
        <v/>
      </c>
      <c r="S556" s="118">
        <f>P556/Donnees_annuelles!AA184*Donnees_annuelles!AJ184/Donnees_annuelles!AH184</f>
        <v/>
      </c>
    </row>
    <row r="557">
      <c r="A557" s="115" t="inlineStr">
        <is>
          <t>Fonction publique territoriale et hospitalière</t>
        </is>
      </c>
      <c r="B557" s="101" t="n">
        <v>2127</v>
      </c>
      <c r="C557" s="105" t="n">
        <v>0.25</v>
      </c>
      <c r="D557" s="105" t="n">
        <v>0.111</v>
      </c>
      <c r="E557" s="105" t="n">
        <v>0.3765</v>
      </c>
      <c r="F557" s="116" t="inlineStr">
        <is>
          <t>légal</t>
        </is>
      </c>
      <c r="G557" s="105" t="n">
        <v>0.05</v>
      </c>
      <c r="H557" s="105" t="n">
        <v>0.00252</v>
      </c>
      <c r="I557" s="105" t="n">
        <v>0.0501</v>
      </c>
      <c r="J557" s="107">
        <f>D557*(1-C557)+G557*MIN(C557,0.2*(1-C557))+H557</f>
        <v/>
      </c>
      <c r="K557" s="107">
        <f>E557*(1-C557)+G557*MIN(C557,0.2*(1-C557))</f>
        <v/>
      </c>
      <c r="L557" s="107">
        <f>I557*(1-C557)</f>
        <v/>
      </c>
      <c r="M557" s="119">
        <f>SUMIFS(Regimes!$G$5:$G$10,Regimes!$A$5:$A$10,A557)*(1-C557)/(1-0.24167)</f>
        <v/>
      </c>
      <c r="N557" s="106">
        <f>Donnees_annuelles!D185*J557</f>
        <v/>
      </c>
      <c r="O557" s="106">
        <f>Donnees_annuelles!D185*K557</f>
        <v/>
      </c>
      <c r="P557" s="106">
        <f>N557+O557</f>
        <v/>
      </c>
      <c r="Q557" s="106">
        <f>Donnees_annuelles!D185*L557</f>
        <v/>
      </c>
      <c r="R557" s="118">
        <f>P557/Donnees_annuelles!AA185*Donnees_annuelles!AI185/Donnees_annuelles!AG185</f>
        <v/>
      </c>
      <c r="S557" s="118">
        <f>P557/Donnees_annuelles!AA185*Donnees_annuelles!AJ185/Donnees_annuelles!AH185</f>
        <v/>
      </c>
    </row>
    <row r="558">
      <c r="A558" s="115" t="inlineStr">
        <is>
          <t>Fonction publique territoriale et hospitalière</t>
        </is>
      </c>
      <c r="B558" s="101" t="n">
        <v>2128</v>
      </c>
      <c r="C558" s="105" t="n">
        <v>0.25</v>
      </c>
      <c r="D558" s="105" t="n">
        <v>0.111</v>
      </c>
      <c r="E558" s="105" t="n">
        <v>0.3765</v>
      </c>
      <c r="F558" s="116" t="inlineStr">
        <is>
          <t>légal</t>
        </is>
      </c>
      <c r="G558" s="105" t="n">
        <v>0.05</v>
      </c>
      <c r="H558" s="105" t="n">
        <v>0.00252</v>
      </c>
      <c r="I558" s="105" t="n">
        <v>0.0501</v>
      </c>
      <c r="J558" s="107">
        <f>D558*(1-C558)+G558*MIN(C558,0.2*(1-C558))+H558</f>
        <v/>
      </c>
      <c r="K558" s="107">
        <f>E558*(1-C558)+G558*MIN(C558,0.2*(1-C558))</f>
        <v/>
      </c>
      <c r="L558" s="107">
        <f>I558*(1-C558)</f>
        <v/>
      </c>
      <c r="M558" s="119">
        <f>SUMIFS(Regimes!$G$5:$G$10,Regimes!$A$5:$A$10,A558)*(1-C558)/(1-0.24167)</f>
        <v/>
      </c>
      <c r="N558" s="106">
        <f>Donnees_annuelles!D186*J558</f>
        <v/>
      </c>
      <c r="O558" s="106">
        <f>Donnees_annuelles!D186*K558</f>
        <v/>
      </c>
      <c r="P558" s="106">
        <f>N558+O558</f>
        <v/>
      </c>
      <c r="Q558" s="106">
        <f>Donnees_annuelles!D186*L558</f>
        <v/>
      </c>
      <c r="R558" s="118">
        <f>P558/Donnees_annuelles!AA186*Donnees_annuelles!AI186/Donnees_annuelles!AG186</f>
        <v/>
      </c>
      <c r="S558" s="118">
        <f>P558/Donnees_annuelles!AA186*Donnees_annuelles!AJ186/Donnees_annuelles!AH186</f>
        <v/>
      </c>
    </row>
    <row r="559">
      <c r="A559" s="115" t="inlineStr">
        <is>
          <t>Fonction publique territoriale et hospitalière</t>
        </is>
      </c>
      <c r="B559" s="101" t="n">
        <v>2129</v>
      </c>
      <c r="C559" s="105" t="n">
        <v>0.25</v>
      </c>
      <c r="D559" s="105" t="n">
        <v>0.111</v>
      </c>
      <c r="E559" s="105" t="n">
        <v>0.3765</v>
      </c>
      <c r="F559" s="116" t="inlineStr">
        <is>
          <t>légal</t>
        </is>
      </c>
      <c r="G559" s="105" t="n">
        <v>0.05</v>
      </c>
      <c r="H559" s="105" t="n">
        <v>0.00252</v>
      </c>
      <c r="I559" s="105" t="n">
        <v>0.0501</v>
      </c>
      <c r="J559" s="107">
        <f>D559*(1-C559)+G559*MIN(C559,0.2*(1-C559))+H559</f>
        <v/>
      </c>
      <c r="K559" s="107">
        <f>E559*(1-C559)+G559*MIN(C559,0.2*(1-C559))</f>
        <v/>
      </c>
      <c r="L559" s="107">
        <f>I559*(1-C559)</f>
        <v/>
      </c>
      <c r="M559" s="119">
        <f>SUMIFS(Regimes!$G$5:$G$10,Regimes!$A$5:$A$10,A559)*(1-C559)/(1-0.24167)</f>
        <v/>
      </c>
      <c r="N559" s="106">
        <f>Donnees_annuelles!D187*J559</f>
        <v/>
      </c>
      <c r="O559" s="106">
        <f>Donnees_annuelles!D187*K559</f>
        <v/>
      </c>
      <c r="P559" s="106">
        <f>N559+O559</f>
        <v/>
      </c>
      <c r="Q559" s="106">
        <f>Donnees_annuelles!D187*L559</f>
        <v/>
      </c>
      <c r="R559" s="118">
        <f>P559/Donnees_annuelles!AA187*Donnees_annuelles!AI187/Donnees_annuelles!AG187</f>
        <v/>
      </c>
      <c r="S559" s="118">
        <f>P559/Donnees_annuelles!AA187*Donnees_annuelles!AJ187/Donnees_annuelles!AH187</f>
        <v/>
      </c>
    </row>
    <row r="560">
      <c r="A560" s="115" t="inlineStr">
        <is>
          <t>Fonction publique territoriale et hospitalière</t>
        </is>
      </c>
      <c r="B560" s="101" t="n">
        <v>2130</v>
      </c>
      <c r="C560" s="105" t="n">
        <v>0.25</v>
      </c>
      <c r="D560" s="105" t="n">
        <v>0.111</v>
      </c>
      <c r="E560" s="105" t="n">
        <v>0.3765</v>
      </c>
      <c r="F560" s="116" t="inlineStr">
        <is>
          <t>légal</t>
        </is>
      </c>
      <c r="G560" s="105" t="n">
        <v>0.05</v>
      </c>
      <c r="H560" s="105" t="n">
        <v>0.00252</v>
      </c>
      <c r="I560" s="105" t="n">
        <v>0.0501</v>
      </c>
      <c r="J560" s="107">
        <f>D560*(1-C560)+G560*MIN(C560,0.2*(1-C560))+H560</f>
        <v/>
      </c>
      <c r="K560" s="107">
        <f>E560*(1-C560)+G560*MIN(C560,0.2*(1-C560))</f>
        <v/>
      </c>
      <c r="L560" s="107">
        <f>I560*(1-C560)</f>
        <v/>
      </c>
      <c r="M560" s="119">
        <f>SUMIFS(Regimes!$G$5:$G$10,Regimes!$A$5:$A$10,A560)*(1-C560)/(1-0.24167)</f>
        <v/>
      </c>
      <c r="N560" s="106">
        <f>Donnees_annuelles!D188*J560</f>
        <v/>
      </c>
      <c r="O560" s="106">
        <f>Donnees_annuelles!D188*K560</f>
        <v/>
      </c>
      <c r="P560" s="106">
        <f>N560+O560</f>
        <v/>
      </c>
      <c r="Q560" s="106">
        <f>Donnees_annuelles!D188*L560</f>
        <v/>
      </c>
      <c r="R560" s="118">
        <f>P560/Donnees_annuelles!AA188*Donnees_annuelles!AI188/Donnees_annuelles!AG188</f>
        <v/>
      </c>
      <c r="S560" s="118">
        <f>P560/Donnees_annuelles!AA188*Donnees_annuelles!AJ188/Donnees_annuelles!AH188</f>
        <v/>
      </c>
    </row>
    <row r="561">
      <c r="A561" s="84" t="inlineStr">
        <is>
          <t>SNCF</t>
        </is>
      </c>
      <c r="B561" s="88" t="n">
        <v>1945</v>
      </c>
      <c r="C561" s="93" t="n">
        <v>0.1</v>
      </c>
      <c r="D561" s="93" t="n">
        <v>0.06</v>
      </c>
      <c r="E561" s="93" t="n">
        <v>0.371</v>
      </c>
      <c r="F561" s="7" t="inlineStr">
        <is>
          <t>taux normalisé (estimation documentée)</t>
        </is>
      </c>
      <c r="G561" s="93" t="n">
        <v>0</v>
      </c>
      <c r="H561" s="93" t="n">
        <v>0</v>
      </c>
      <c r="I561" s="93" t="n">
        <v>0</v>
      </c>
      <c r="J561" s="94">
        <f>D561*(1-C561)+G561*MIN(C561,0.2*(1-C561))+H561</f>
        <v/>
      </c>
      <c r="K561" s="94">
        <f>E561*(1-C561)+G561*MIN(C561,0.2*(1-C561))</f>
        <v/>
      </c>
      <c r="L561" s="94">
        <f>I561*(1-C561)</f>
        <v/>
      </c>
      <c r="M561" s="89">
        <f>SUMIFS(Regimes!$G$5:$G$10,Regimes!$A$5:$A$10,A561)</f>
        <v/>
      </c>
      <c r="N561" s="14">
        <f>Donnees_annuelles!D3*J561</f>
        <v/>
      </c>
      <c r="O561" s="14">
        <f>Donnees_annuelles!D3*K561</f>
        <v/>
      </c>
      <c r="P561" s="14">
        <f>N561+O561</f>
        <v/>
      </c>
      <c r="Q561" s="14">
        <f>Donnees_annuelles!D3*L561</f>
        <v/>
      </c>
      <c r="R561" s="114">
        <f>P561/Donnees_annuelles!AA3*Donnees_annuelles!AI3/Donnees_annuelles!AG3</f>
        <v/>
      </c>
      <c r="S561" s="114">
        <f>P561/Donnees_annuelles!AA3*Donnees_annuelles!AJ3/Donnees_annuelles!AH3</f>
        <v/>
      </c>
    </row>
    <row r="562">
      <c r="A562" s="84" t="inlineStr">
        <is>
          <t>SNCF</t>
        </is>
      </c>
      <c r="B562" s="88" t="n">
        <v>1946</v>
      </c>
      <c r="C562" s="93" t="n">
        <v>0.1</v>
      </c>
      <c r="D562" s="93" t="n">
        <v>0.06</v>
      </c>
      <c r="E562" s="93" t="n">
        <v>0.371</v>
      </c>
      <c r="F562" s="7" t="inlineStr">
        <is>
          <t>taux normalisé (estimation documentée)</t>
        </is>
      </c>
      <c r="G562" s="93" t="n">
        <v>0</v>
      </c>
      <c r="H562" s="93" t="n">
        <v>0</v>
      </c>
      <c r="I562" s="93" t="n">
        <v>0</v>
      </c>
      <c r="J562" s="94">
        <f>D562*(1-C562)+G562*MIN(C562,0.2*(1-C562))+H562</f>
        <v/>
      </c>
      <c r="K562" s="94">
        <f>E562*(1-C562)+G562*MIN(C562,0.2*(1-C562))</f>
        <v/>
      </c>
      <c r="L562" s="94">
        <f>I562*(1-C562)</f>
        <v/>
      </c>
      <c r="M562" s="89">
        <f>SUMIFS(Regimes!$G$5:$G$10,Regimes!$A$5:$A$10,A562)</f>
        <v/>
      </c>
      <c r="N562" s="14">
        <f>Donnees_annuelles!D4*J562</f>
        <v/>
      </c>
      <c r="O562" s="14">
        <f>Donnees_annuelles!D4*K562</f>
        <v/>
      </c>
      <c r="P562" s="14">
        <f>N562+O562</f>
        <v/>
      </c>
      <c r="Q562" s="14">
        <f>Donnees_annuelles!D4*L562</f>
        <v/>
      </c>
      <c r="R562" s="114">
        <f>P562/Donnees_annuelles!AA4*Donnees_annuelles!AI4/Donnees_annuelles!AG4</f>
        <v/>
      </c>
      <c r="S562" s="114">
        <f>P562/Donnees_annuelles!AA4*Donnees_annuelles!AJ4/Donnees_annuelles!AH4</f>
        <v/>
      </c>
    </row>
    <row r="563">
      <c r="A563" s="84" t="inlineStr">
        <is>
          <t>SNCF</t>
        </is>
      </c>
      <c r="B563" s="88" t="n">
        <v>1947</v>
      </c>
      <c r="C563" s="93" t="n">
        <v>0.1</v>
      </c>
      <c r="D563" s="93" t="n">
        <v>0.06</v>
      </c>
      <c r="E563" s="93" t="n">
        <v>0.371</v>
      </c>
      <c r="F563" s="7" t="inlineStr">
        <is>
          <t>taux normalisé (estimation documentée)</t>
        </is>
      </c>
      <c r="G563" s="93" t="n">
        <v>0</v>
      </c>
      <c r="H563" s="93" t="n">
        <v>0</v>
      </c>
      <c r="I563" s="93" t="n">
        <v>0</v>
      </c>
      <c r="J563" s="94">
        <f>D563*(1-C563)+G563*MIN(C563,0.2*(1-C563))+H563</f>
        <v/>
      </c>
      <c r="K563" s="94">
        <f>E563*(1-C563)+G563*MIN(C563,0.2*(1-C563))</f>
        <v/>
      </c>
      <c r="L563" s="94">
        <f>I563*(1-C563)</f>
        <v/>
      </c>
      <c r="M563" s="89">
        <f>SUMIFS(Regimes!$G$5:$G$10,Regimes!$A$5:$A$10,A563)</f>
        <v/>
      </c>
      <c r="N563" s="14">
        <f>Donnees_annuelles!D5*J563</f>
        <v/>
      </c>
      <c r="O563" s="14">
        <f>Donnees_annuelles!D5*K563</f>
        <v/>
      </c>
      <c r="P563" s="14">
        <f>N563+O563</f>
        <v/>
      </c>
      <c r="Q563" s="14">
        <f>Donnees_annuelles!D5*L563</f>
        <v/>
      </c>
      <c r="R563" s="114">
        <f>P563/Donnees_annuelles!AA5*Donnees_annuelles!AI5/Donnees_annuelles!AG5</f>
        <v/>
      </c>
      <c r="S563" s="114">
        <f>P563/Donnees_annuelles!AA5*Donnees_annuelles!AJ5/Donnees_annuelles!AH5</f>
        <v/>
      </c>
    </row>
    <row r="564">
      <c r="A564" s="84" t="inlineStr">
        <is>
          <t>SNCF</t>
        </is>
      </c>
      <c r="B564" s="88" t="n">
        <v>1948</v>
      </c>
      <c r="C564" s="93" t="n">
        <v>0.1</v>
      </c>
      <c r="D564" s="93" t="n">
        <v>0.06</v>
      </c>
      <c r="E564" s="93" t="n">
        <v>0.371</v>
      </c>
      <c r="F564" s="7" t="inlineStr">
        <is>
          <t>taux normalisé (estimation documentée)</t>
        </is>
      </c>
      <c r="G564" s="93" t="n">
        <v>0</v>
      </c>
      <c r="H564" s="93" t="n">
        <v>0</v>
      </c>
      <c r="I564" s="93" t="n">
        <v>0</v>
      </c>
      <c r="J564" s="94">
        <f>D564*(1-C564)+G564*MIN(C564,0.2*(1-C564))+H564</f>
        <v/>
      </c>
      <c r="K564" s="94">
        <f>E564*(1-C564)+G564*MIN(C564,0.2*(1-C564))</f>
        <v/>
      </c>
      <c r="L564" s="94">
        <f>I564*(1-C564)</f>
        <v/>
      </c>
      <c r="M564" s="89">
        <f>SUMIFS(Regimes!$G$5:$G$10,Regimes!$A$5:$A$10,A564)</f>
        <v/>
      </c>
      <c r="N564" s="14">
        <f>Donnees_annuelles!D6*J564</f>
        <v/>
      </c>
      <c r="O564" s="14">
        <f>Donnees_annuelles!D6*K564</f>
        <v/>
      </c>
      <c r="P564" s="14">
        <f>N564+O564</f>
        <v/>
      </c>
      <c r="Q564" s="14">
        <f>Donnees_annuelles!D6*L564</f>
        <v/>
      </c>
      <c r="R564" s="114">
        <f>P564/Donnees_annuelles!AA6*Donnees_annuelles!AI6/Donnees_annuelles!AG6</f>
        <v/>
      </c>
      <c r="S564" s="114">
        <f>P564/Donnees_annuelles!AA6*Donnees_annuelles!AJ6/Donnees_annuelles!AH6</f>
        <v/>
      </c>
    </row>
    <row r="565">
      <c r="A565" s="84" t="inlineStr">
        <is>
          <t>SNCF</t>
        </is>
      </c>
      <c r="B565" s="88" t="n">
        <v>1949</v>
      </c>
      <c r="C565" s="93" t="n">
        <v>0.1</v>
      </c>
      <c r="D565" s="93" t="n">
        <v>0.06</v>
      </c>
      <c r="E565" s="93" t="n">
        <v>0.371</v>
      </c>
      <c r="F565" s="7" t="inlineStr">
        <is>
          <t>taux normalisé (estimation documentée)</t>
        </is>
      </c>
      <c r="G565" s="93" t="n">
        <v>0</v>
      </c>
      <c r="H565" s="93" t="n">
        <v>0</v>
      </c>
      <c r="I565" s="93" t="n">
        <v>0</v>
      </c>
      <c r="J565" s="94">
        <f>D565*(1-C565)+G565*MIN(C565,0.2*(1-C565))+H565</f>
        <v/>
      </c>
      <c r="K565" s="94">
        <f>E565*(1-C565)+G565*MIN(C565,0.2*(1-C565))</f>
        <v/>
      </c>
      <c r="L565" s="94">
        <f>I565*(1-C565)</f>
        <v/>
      </c>
      <c r="M565" s="89">
        <f>SUMIFS(Regimes!$G$5:$G$10,Regimes!$A$5:$A$10,A565)</f>
        <v/>
      </c>
      <c r="N565" s="14">
        <f>Donnees_annuelles!D7*J565</f>
        <v/>
      </c>
      <c r="O565" s="14">
        <f>Donnees_annuelles!D7*K565</f>
        <v/>
      </c>
      <c r="P565" s="14">
        <f>N565+O565</f>
        <v/>
      </c>
      <c r="Q565" s="14">
        <f>Donnees_annuelles!D7*L565</f>
        <v/>
      </c>
      <c r="R565" s="114">
        <f>P565/Donnees_annuelles!AA7*Donnees_annuelles!AI7/Donnees_annuelles!AG7</f>
        <v/>
      </c>
      <c r="S565" s="114">
        <f>P565/Donnees_annuelles!AA7*Donnees_annuelles!AJ7/Donnees_annuelles!AH7</f>
        <v/>
      </c>
    </row>
    <row r="566">
      <c r="A566" s="84" t="inlineStr">
        <is>
          <t>SNCF</t>
        </is>
      </c>
      <c r="B566" s="88" t="n">
        <v>1950</v>
      </c>
      <c r="C566" s="93" t="n">
        <v>0.1</v>
      </c>
      <c r="D566" s="93" t="n">
        <v>0.06</v>
      </c>
      <c r="E566" s="93" t="n">
        <v>0.371</v>
      </c>
      <c r="F566" s="7" t="inlineStr">
        <is>
          <t>taux normalisé (estimation documentée)</t>
        </is>
      </c>
      <c r="G566" s="93" t="n">
        <v>0</v>
      </c>
      <c r="H566" s="93" t="n">
        <v>0</v>
      </c>
      <c r="I566" s="93" t="n">
        <v>0</v>
      </c>
      <c r="J566" s="94">
        <f>D566*(1-C566)+G566*MIN(C566,0.2*(1-C566))+H566</f>
        <v/>
      </c>
      <c r="K566" s="94">
        <f>E566*(1-C566)+G566*MIN(C566,0.2*(1-C566))</f>
        <v/>
      </c>
      <c r="L566" s="94">
        <f>I566*(1-C566)</f>
        <v/>
      </c>
      <c r="M566" s="89">
        <f>SUMIFS(Regimes!$G$5:$G$10,Regimes!$A$5:$A$10,A566)</f>
        <v/>
      </c>
      <c r="N566" s="14">
        <f>Donnees_annuelles!D8*J566</f>
        <v/>
      </c>
      <c r="O566" s="14">
        <f>Donnees_annuelles!D8*K566</f>
        <v/>
      </c>
      <c r="P566" s="14">
        <f>N566+O566</f>
        <v/>
      </c>
      <c r="Q566" s="14">
        <f>Donnees_annuelles!D8*L566</f>
        <v/>
      </c>
      <c r="R566" s="114">
        <f>P566/Donnees_annuelles!AA8*Donnees_annuelles!AI8/Donnees_annuelles!AG8</f>
        <v/>
      </c>
      <c r="S566" s="114">
        <f>P566/Donnees_annuelles!AA8*Donnees_annuelles!AJ8/Donnees_annuelles!AH8</f>
        <v/>
      </c>
    </row>
    <row r="567">
      <c r="A567" s="84" t="inlineStr">
        <is>
          <t>SNCF</t>
        </is>
      </c>
      <c r="B567" s="88" t="n">
        <v>1951</v>
      </c>
      <c r="C567" s="93" t="n">
        <v>0.1</v>
      </c>
      <c r="D567" s="93" t="n">
        <v>0.06</v>
      </c>
      <c r="E567" s="93" t="n">
        <v>0.371</v>
      </c>
      <c r="F567" s="7" t="inlineStr">
        <is>
          <t>taux normalisé (estimation documentée)</t>
        </is>
      </c>
      <c r="G567" s="93" t="n">
        <v>0</v>
      </c>
      <c r="H567" s="93" t="n">
        <v>0</v>
      </c>
      <c r="I567" s="93" t="n">
        <v>0</v>
      </c>
      <c r="J567" s="94">
        <f>D567*(1-C567)+G567*MIN(C567,0.2*(1-C567))+H567</f>
        <v/>
      </c>
      <c r="K567" s="94">
        <f>E567*(1-C567)+G567*MIN(C567,0.2*(1-C567))</f>
        <v/>
      </c>
      <c r="L567" s="94">
        <f>I567*(1-C567)</f>
        <v/>
      </c>
      <c r="M567" s="89">
        <f>SUMIFS(Regimes!$G$5:$G$10,Regimes!$A$5:$A$10,A567)</f>
        <v/>
      </c>
      <c r="N567" s="14">
        <f>Donnees_annuelles!D9*J567</f>
        <v/>
      </c>
      <c r="O567" s="14">
        <f>Donnees_annuelles!D9*K567</f>
        <v/>
      </c>
      <c r="P567" s="14">
        <f>N567+O567</f>
        <v/>
      </c>
      <c r="Q567" s="14">
        <f>Donnees_annuelles!D9*L567</f>
        <v/>
      </c>
      <c r="R567" s="114">
        <f>P567/Donnees_annuelles!AA9*Donnees_annuelles!AI9/Donnees_annuelles!AG9</f>
        <v/>
      </c>
      <c r="S567" s="114">
        <f>P567/Donnees_annuelles!AA9*Donnees_annuelles!AJ9/Donnees_annuelles!AH9</f>
        <v/>
      </c>
    </row>
    <row r="568">
      <c r="A568" s="84" t="inlineStr">
        <is>
          <t>SNCF</t>
        </is>
      </c>
      <c r="B568" s="88" t="n">
        <v>1952</v>
      </c>
      <c r="C568" s="93" t="n">
        <v>0.1</v>
      </c>
      <c r="D568" s="93" t="n">
        <v>0.06</v>
      </c>
      <c r="E568" s="93" t="n">
        <v>0.371</v>
      </c>
      <c r="F568" s="7" t="inlineStr">
        <is>
          <t>taux normalisé (estimation documentée)</t>
        </is>
      </c>
      <c r="G568" s="93" t="n">
        <v>0</v>
      </c>
      <c r="H568" s="93" t="n">
        <v>0</v>
      </c>
      <c r="I568" s="93" t="n">
        <v>0</v>
      </c>
      <c r="J568" s="94">
        <f>D568*(1-C568)+G568*MIN(C568,0.2*(1-C568))+H568</f>
        <v/>
      </c>
      <c r="K568" s="94">
        <f>E568*(1-C568)+G568*MIN(C568,0.2*(1-C568))</f>
        <v/>
      </c>
      <c r="L568" s="94">
        <f>I568*(1-C568)</f>
        <v/>
      </c>
      <c r="M568" s="89">
        <f>SUMIFS(Regimes!$G$5:$G$10,Regimes!$A$5:$A$10,A568)</f>
        <v/>
      </c>
      <c r="N568" s="14">
        <f>Donnees_annuelles!D10*J568</f>
        <v/>
      </c>
      <c r="O568" s="14">
        <f>Donnees_annuelles!D10*K568</f>
        <v/>
      </c>
      <c r="P568" s="14">
        <f>N568+O568</f>
        <v/>
      </c>
      <c r="Q568" s="14">
        <f>Donnees_annuelles!D10*L568</f>
        <v/>
      </c>
      <c r="R568" s="114">
        <f>P568/Donnees_annuelles!AA10*Donnees_annuelles!AI10/Donnees_annuelles!AG10</f>
        <v/>
      </c>
      <c r="S568" s="114">
        <f>P568/Donnees_annuelles!AA10*Donnees_annuelles!AJ10/Donnees_annuelles!AH10</f>
        <v/>
      </c>
    </row>
    <row r="569">
      <c r="A569" s="84" t="inlineStr">
        <is>
          <t>SNCF</t>
        </is>
      </c>
      <c r="B569" s="88" t="n">
        <v>1953</v>
      </c>
      <c r="C569" s="93" t="n">
        <v>0.1</v>
      </c>
      <c r="D569" s="93" t="n">
        <v>0.06</v>
      </c>
      <c r="E569" s="93" t="n">
        <v>0.371</v>
      </c>
      <c r="F569" s="7" t="inlineStr">
        <is>
          <t>taux normalisé (estimation documentée)</t>
        </is>
      </c>
      <c r="G569" s="93" t="n">
        <v>0</v>
      </c>
      <c r="H569" s="93" t="n">
        <v>0</v>
      </c>
      <c r="I569" s="93" t="n">
        <v>0</v>
      </c>
      <c r="J569" s="94">
        <f>D569*(1-C569)+G569*MIN(C569,0.2*(1-C569))+H569</f>
        <v/>
      </c>
      <c r="K569" s="94">
        <f>E569*(1-C569)+G569*MIN(C569,0.2*(1-C569))</f>
        <v/>
      </c>
      <c r="L569" s="94">
        <f>I569*(1-C569)</f>
        <v/>
      </c>
      <c r="M569" s="89">
        <f>SUMIFS(Regimes!$G$5:$G$10,Regimes!$A$5:$A$10,A569)</f>
        <v/>
      </c>
      <c r="N569" s="14">
        <f>Donnees_annuelles!D11*J569</f>
        <v/>
      </c>
      <c r="O569" s="14">
        <f>Donnees_annuelles!D11*K569</f>
        <v/>
      </c>
      <c r="P569" s="14">
        <f>N569+O569</f>
        <v/>
      </c>
      <c r="Q569" s="14">
        <f>Donnees_annuelles!D11*L569</f>
        <v/>
      </c>
      <c r="R569" s="114">
        <f>P569/Donnees_annuelles!AA11*Donnees_annuelles!AI11/Donnees_annuelles!AG11</f>
        <v/>
      </c>
      <c r="S569" s="114">
        <f>P569/Donnees_annuelles!AA11*Donnees_annuelles!AJ11/Donnees_annuelles!AH11</f>
        <v/>
      </c>
    </row>
    <row r="570">
      <c r="A570" s="84" t="inlineStr">
        <is>
          <t>SNCF</t>
        </is>
      </c>
      <c r="B570" s="88" t="n">
        <v>1954</v>
      </c>
      <c r="C570" s="93" t="n">
        <v>0.1</v>
      </c>
      <c r="D570" s="93" t="n">
        <v>0.06</v>
      </c>
      <c r="E570" s="93" t="n">
        <v>0.371</v>
      </c>
      <c r="F570" s="7" t="inlineStr">
        <is>
          <t>taux normalisé (estimation documentée)</t>
        </is>
      </c>
      <c r="G570" s="93" t="n">
        <v>0</v>
      </c>
      <c r="H570" s="93" t="n">
        <v>0</v>
      </c>
      <c r="I570" s="93" t="n">
        <v>0</v>
      </c>
      <c r="J570" s="94">
        <f>D570*(1-C570)+G570*MIN(C570,0.2*(1-C570))+H570</f>
        <v/>
      </c>
      <c r="K570" s="94">
        <f>E570*(1-C570)+G570*MIN(C570,0.2*(1-C570))</f>
        <v/>
      </c>
      <c r="L570" s="94">
        <f>I570*(1-C570)</f>
        <v/>
      </c>
      <c r="M570" s="89">
        <f>SUMIFS(Regimes!$G$5:$G$10,Regimes!$A$5:$A$10,A570)</f>
        <v/>
      </c>
      <c r="N570" s="14">
        <f>Donnees_annuelles!D12*J570</f>
        <v/>
      </c>
      <c r="O570" s="14">
        <f>Donnees_annuelles!D12*K570</f>
        <v/>
      </c>
      <c r="P570" s="14">
        <f>N570+O570</f>
        <v/>
      </c>
      <c r="Q570" s="14">
        <f>Donnees_annuelles!D12*L570</f>
        <v/>
      </c>
      <c r="R570" s="114">
        <f>P570/Donnees_annuelles!AA12*Donnees_annuelles!AI12/Donnees_annuelles!AG12</f>
        <v/>
      </c>
      <c r="S570" s="114">
        <f>P570/Donnees_annuelles!AA12*Donnees_annuelles!AJ12/Donnees_annuelles!AH12</f>
        <v/>
      </c>
    </row>
    <row r="571">
      <c r="A571" s="84" t="inlineStr">
        <is>
          <t>SNCF</t>
        </is>
      </c>
      <c r="B571" s="88" t="n">
        <v>1955</v>
      </c>
      <c r="C571" s="93" t="n">
        <v>0.1</v>
      </c>
      <c r="D571" s="93" t="n">
        <v>0.06</v>
      </c>
      <c r="E571" s="93" t="n">
        <v>0.371</v>
      </c>
      <c r="F571" s="7" t="inlineStr">
        <is>
          <t>taux normalisé (estimation documentée)</t>
        </is>
      </c>
      <c r="G571" s="93" t="n">
        <v>0</v>
      </c>
      <c r="H571" s="93" t="n">
        <v>0</v>
      </c>
      <c r="I571" s="93" t="n">
        <v>0</v>
      </c>
      <c r="J571" s="94">
        <f>D571*(1-C571)+G571*MIN(C571,0.2*(1-C571))+H571</f>
        <v/>
      </c>
      <c r="K571" s="94">
        <f>E571*(1-C571)+G571*MIN(C571,0.2*(1-C571))</f>
        <v/>
      </c>
      <c r="L571" s="94">
        <f>I571*(1-C571)</f>
        <v/>
      </c>
      <c r="M571" s="89">
        <f>SUMIFS(Regimes!$G$5:$G$10,Regimes!$A$5:$A$10,A571)</f>
        <v/>
      </c>
      <c r="N571" s="14">
        <f>Donnees_annuelles!D13*J571</f>
        <v/>
      </c>
      <c r="O571" s="14">
        <f>Donnees_annuelles!D13*K571</f>
        <v/>
      </c>
      <c r="P571" s="14">
        <f>N571+O571</f>
        <v/>
      </c>
      <c r="Q571" s="14">
        <f>Donnees_annuelles!D13*L571</f>
        <v/>
      </c>
      <c r="R571" s="114">
        <f>P571/Donnees_annuelles!AA13*Donnees_annuelles!AI13/Donnees_annuelles!AG13</f>
        <v/>
      </c>
      <c r="S571" s="114">
        <f>P571/Donnees_annuelles!AA13*Donnees_annuelles!AJ13/Donnees_annuelles!AH13</f>
        <v/>
      </c>
    </row>
    <row r="572">
      <c r="A572" s="84" t="inlineStr">
        <is>
          <t>SNCF</t>
        </is>
      </c>
      <c r="B572" s="88" t="n">
        <v>1956</v>
      </c>
      <c r="C572" s="93" t="n">
        <v>0.1</v>
      </c>
      <c r="D572" s="93" t="n">
        <v>0.06</v>
      </c>
      <c r="E572" s="93" t="n">
        <v>0.371</v>
      </c>
      <c r="F572" s="7" t="inlineStr">
        <is>
          <t>taux normalisé (estimation documentée)</t>
        </is>
      </c>
      <c r="G572" s="93" t="n">
        <v>0</v>
      </c>
      <c r="H572" s="93" t="n">
        <v>0</v>
      </c>
      <c r="I572" s="93" t="n">
        <v>0</v>
      </c>
      <c r="J572" s="94">
        <f>D572*(1-C572)+G572*MIN(C572,0.2*(1-C572))+H572</f>
        <v/>
      </c>
      <c r="K572" s="94">
        <f>E572*(1-C572)+G572*MIN(C572,0.2*(1-C572))</f>
        <v/>
      </c>
      <c r="L572" s="94">
        <f>I572*(1-C572)</f>
        <v/>
      </c>
      <c r="M572" s="89">
        <f>SUMIFS(Regimes!$G$5:$G$10,Regimes!$A$5:$A$10,A572)</f>
        <v/>
      </c>
      <c r="N572" s="14">
        <f>Donnees_annuelles!D14*J572</f>
        <v/>
      </c>
      <c r="O572" s="14">
        <f>Donnees_annuelles!D14*K572</f>
        <v/>
      </c>
      <c r="P572" s="14">
        <f>N572+O572</f>
        <v/>
      </c>
      <c r="Q572" s="14">
        <f>Donnees_annuelles!D14*L572</f>
        <v/>
      </c>
      <c r="R572" s="114">
        <f>P572/Donnees_annuelles!AA14*Donnees_annuelles!AI14/Donnees_annuelles!AG14</f>
        <v/>
      </c>
      <c r="S572" s="114">
        <f>P572/Donnees_annuelles!AA14*Donnees_annuelles!AJ14/Donnees_annuelles!AH14</f>
        <v/>
      </c>
    </row>
    <row r="573">
      <c r="A573" s="84" t="inlineStr">
        <is>
          <t>SNCF</t>
        </is>
      </c>
      <c r="B573" s="88" t="n">
        <v>1957</v>
      </c>
      <c r="C573" s="93" t="n">
        <v>0.1</v>
      </c>
      <c r="D573" s="93" t="n">
        <v>0.06</v>
      </c>
      <c r="E573" s="93" t="n">
        <v>0.371</v>
      </c>
      <c r="F573" s="7" t="inlineStr">
        <is>
          <t>taux normalisé (estimation documentée)</t>
        </is>
      </c>
      <c r="G573" s="93" t="n">
        <v>0</v>
      </c>
      <c r="H573" s="93" t="n">
        <v>0</v>
      </c>
      <c r="I573" s="93" t="n">
        <v>0</v>
      </c>
      <c r="J573" s="94">
        <f>D573*(1-C573)+G573*MIN(C573,0.2*(1-C573))+H573</f>
        <v/>
      </c>
      <c r="K573" s="94">
        <f>E573*(1-C573)+G573*MIN(C573,0.2*(1-C573))</f>
        <v/>
      </c>
      <c r="L573" s="94">
        <f>I573*(1-C573)</f>
        <v/>
      </c>
      <c r="M573" s="89">
        <f>SUMIFS(Regimes!$G$5:$G$10,Regimes!$A$5:$A$10,A573)</f>
        <v/>
      </c>
      <c r="N573" s="14">
        <f>Donnees_annuelles!D15*J573</f>
        <v/>
      </c>
      <c r="O573" s="14">
        <f>Donnees_annuelles!D15*K573</f>
        <v/>
      </c>
      <c r="P573" s="14">
        <f>N573+O573</f>
        <v/>
      </c>
      <c r="Q573" s="14">
        <f>Donnees_annuelles!D15*L573</f>
        <v/>
      </c>
      <c r="R573" s="114">
        <f>P573/Donnees_annuelles!AA15*Donnees_annuelles!AI15/Donnees_annuelles!AG15</f>
        <v/>
      </c>
      <c r="S573" s="114">
        <f>P573/Donnees_annuelles!AA15*Donnees_annuelles!AJ15/Donnees_annuelles!AH15</f>
        <v/>
      </c>
    </row>
    <row r="574">
      <c r="A574" s="84" t="inlineStr">
        <is>
          <t>SNCF</t>
        </is>
      </c>
      <c r="B574" s="88" t="n">
        <v>1958</v>
      </c>
      <c r="C574" s="93" t="n">
        <v>0.1</v>
      </c>
      <c r="D574" s="93" t="n">
        <v>0.06</v>
      </c>
      <c r="E574" s="93" t="n">
        <v>0.371</v>
      </c>
      <c r="F574" s="7" t="inlineStr">
        <is>
          <t>taux normalisé (estimation documentée)</t>
        </is>
      </c>
      <c r="G574" s="93" t="n">
        <v>0</v>
      </c>
      <c r="H574" s="93" t="n">
        <v>0</v>
      </c>
      <c r="I574" s="93" t="n">
        <v>0</v>
      </c>
      <c r="J574" s="94">
        <f>D574*(1-C574)+G574*MIN(C574,0.2*(1-C574))+H574</f>
        <v/>
      </c>
      <c r="K574" s="94">
        <f>E574*(1-C574)+G574*MIN(C574,0.2*(1-C574))</f>
        <v/>
      </c>
      <c r="L574" s="94">
        <f>I574*(1-C574)</f>
        <v/>
      </c>
      <c r="M574" s="89">
        <f>SUMIFS(Regimes!$G$5:$G$10,Regimes!$A$5:$A$10,A574)</f>
        <v/>
      </c>
      <c r="N574" s="14">
        <f>Donnees_annuelles!D16*J574</f>
        <v/>
      </c>
      <c r="O574" s="14">
        <f>Donnees_annuelles!D16*K574</f>
        <v/>
      </c>
      <c r="P574" s="14">
        <f>N574+O574</f>
        <v/>
      </c>
      <c r="Q574" s="14">
        <f>Donnees_annuelles!D16*L574</f>
        <v/>
      </c>
      <c r="R574" s="114">
        <f>P574/Donnees_annuelles!AA16*Donnees_annuelles!AI16/Donnees_annuelles!AG16</f>
        <v/>
      </c>
      <c r="S574" s="114">
        <f>P574/Donnees_annuelles!AA16*Donnees_annuelles!AJ16/Donnees_annuelles!AH16</f>
        <v/>
      </c>
    </row>
    <row r="575">
      <c r="A575" s="84" t="inlineStr">
        <is>
          <t>SNCF</t>
        </is>
      </c>
      <c r="B575" s="88" t="n">
        <v>1959</v>
      </c>
      <c r="C575" s="93" t="n">
        <v>0.1</v>
      </c>
      <c r="D575" s="93" t="n">
        <v>0.06</v>
      </c>
      <c r="E575" s="93" t="n">
        <v>0.371</v>
      </c>
      <c r="F575" s="7" t="inlineStr">
        <is>
          <t>taux normalisé (estimation documentée)</t>
        </is>
      </c>
      <c r="G575" s="93" t="n">
        <v>0</v>
      </c>
      <c r="H575" s="93" t="n">
        <v>0</v>
      </c>
      <c r="I575" s="93" t="n">
        <v>0</v>
      </c>
      <c r="J575" s="94">
        <f>D575*(1-C575)+G575*MIN(C575,0.2*(1-C575))+H575</f>
        <v/>
      </c>
      <c r="K575" s="94">
        <f>E575*(1-C575)+G575*MIN(C575,0.2*(1-C575))</f>
        <v/>
      </c>
      <c r="L575" s="94">
        <f>I575*(1-C575)</f>
        <v/>
      </c>
      <c r="M575" s="89">
        <f>SUMIFS(Regimes!$G$5:$G$10,Regimes!$A$5:$A$10,A575)</f>
        <v/>
      </c>
      <c r="N575" s="14">
        <f>Donnees_annuelles!D17*J575</f>
        <v/>
      </c>
      <c r="O575" s="14">
        <f>Donnees_annuelles!D17*K575</f>
        <v/>
      </c>
      <c r="P575" s="14">
        <f>N575+O575</f>
        <v/>
      </c>
      <c r="Q575" s="14">
        <f>Donnees_annuelles!D17*L575</f>
        <v/>
      </c>
      <c r="R575" s="114">
        <f>P575/Donnees_annuelles!AA17*Donnees_annuelles!AI17/Donnees_annuelles!AG17</f>
        <v/>
      </c>
      <c r="S575" s="114">
        <f>P575/Donnees_annuelles!AA17*Donnees_annuelles!AJ17/Donnees_annuelles!AH17</f>
        <v/>
      </c>
    </row>
    <row r="576">
      <c r="A576" s="84" t="inlineStr">
        <is>
          <t>SNCF</t>
        </is>
      </c>
      <c r="B576" s="88" t="n">
        <v>1960</v>
      </c>
      <c r="C576" s="93" t="n">
        <v>0.1</v>
      </c>
      <c r="D576" s="93" t="n">
        <v>0.06</v>
      </c>
      <c r="E576" s="93" t="n">
        <v>0.371</v>
      </c>
      <c r="F576" s="7" t="inlineStr">
        <is>
          <t>taux normalisé (estimation documentée)</t>
        </is>
      </c>
      <c r="G576" s="93" t="n">
        <v>0</v>
      </c>
      <c r="H576" s="93" t="n">
        <v>0</v>
      </c>
      <c r="I576" s="93" t="n">
        <v>0</v>
      </c>
      <c r="J576" s="94">
        <f>D576*(1-C576)+G576*MIN(C576,0.2*(1-C576))+H576</f>
        <v/>
      </c>
      <c r="K576" s="94">
        <f>E576*(1-C576)+G576*MIN(C576,0.2*(1-C576))</f>
        <v/>
      </c>
      <c r="L576" s="94">
        <f>I576*(1-C576)</f>
        <v/>
      </c>
      <c r="M576" s="89">
        <f>SUMIFS(Regimes!$G$5:$G$10,Regimes!$A$5:$A$10,A576)</f>
        <v/>
      </c>
      <c r="N576" s="14">
        <f>Donnees_annuelles!D18*J576</f>
        <v/>
      </c>
      <c r="O576" s="14">
        <f>Donnees_annuelles!D18*K576</f>
        <v/>
      </c>
      <c r="P576" s="14">
        <f>N576+O576</f>
        <v/>
      </c>
      <c r="Q576" s="14">
        <f>Donnees_annuelles!D18*L576</f>
        <v/>
      </c>
      <c r="R576" s="114">
        <f>P576/Donnees_annuelles!AA18*Donnees_annuelles!AI18/Donnees_annuelles!AG18</f>
        <v/>
      </c>
      <c r="S576" s="114">
        <f>P576/Donnees_annuelles!AA18*Donnees_annuelles!AJ18/Donnees_annuelles!AH18</f>
        <v/>
      </c>
    </row>
    <row r="577">
      <c r="A577" s="84" t="inlineStr">
        <is>
          <t>SNCF</t>
        </is>
      </c>
      <c r="B577" s="88" t="n">
        <v>1961</v>
      </c>
      <c r="C577" s="93" t="n">
        <v>0.1</v>
      </c>
      <c r="D577" s="93" t="n">
        <v>0.06</v>
      </c>
      <c r="E577" s="93" t="n">
        <v>0.371</v>
      </c>
      <c r="F577" s="7" t="inlineStr">
        <is>
          <t>taux normalisé (estimation documentée)</t>
        </is>
      </c>
      <c r="G577" s="93" t="n">
        <v>0</v>
      </c>
      <c r="H577" s="93" t="n">
        <v>0</v>
      </c>
      <c r="I577" s="93" t="n">
        <v>0</v>
      </c>
      <c r="J577" s="94">
        <f>D577*(1-C577)+G577*MIN(C577,0.2*(1-C577))+H577</f>
        <v/>
      </c>
      <c r="K577" s="94">
        <f>E577*(1-C577)+G577*MIN(C577,0.2*(1-C577))</f>
        <v/>
      </c>
      <c r="L577" s="94">
        <f>I577*(1-C577)</f>
        <v/>
      </c>
      <c r="M577" s="89">
        <f>SUMIFS(Regimes!$G$5:$G$10,Regimes!$A$5:$A$10,A577)</f>
        <v/>
      </c>
      <c r="N577" s="14">
        <f>Donnees_annuelles!D19*J577</f>
        <v/>
      </c>
      <c r="O577" s="14">
        <f>Donnees_annuelles!D19*K577</f>
        <v/>
      </c>
      <c r="P577" s="14">
        <f>N577+O577</f>
        <v/>
      </c>
      <c r="Q577" s="14">
        <f>Donnees_annuelles!D19*L577</f>
        <v/>
      </c>
      <c r="R577" s="114">
        <f>P577/Donnees_annuelles!AA19*Donnees_annuelles!AI19/Donnees_annuelles!AG19</f>
        <v/>
      </c>
      <c r="S577" s="114">
        <f>P577/Donnees_annuelles!AA19*Donnees_annuelles!AJ19/Donnees_annuelles!AH19</f>
        <v/>
      </c>
    </row>
    <row r="578">
      <c r="A578" s="84" t="inlineStr">
        <is>
          <t>SNCF</t>
        </is>
      </c>
      <c r="B578" s="88" t="n">
        <v>1962</v>
      </c>
      <c r="C578" s="93" t="n">
        <v>0.1</v>
      </c>
      <c r="D578" s="93" t="n">
        <v>0.06</v>
      </c>
      <c r="E578" s="93" t="n">
        <v>0.371</v>
      </c>
      <c r="F578" s="7" t="inlineStr">
        <is>
          <t>taux normalisé (estimation documentée)</t>
        </is>
      </c>
      <c r="G578" s="93" t="n">
        <v>0</v>
      </c>
      <c r="H578" s="93" t="n">
        <v>0</v>
      </c>
      <c r="I578" s="93" t="n">
        <v>0</v>
      </c>
      <c r="J578" s="94">
        <f>D578*(1-C578)+G578*MIN(C578,0.2*(1-C578))+H578</f>
        <v/>
      </c>
      <c r="K578" s="94">
        <f>E578*(1-C578)+G578*MIN(C578,0.2*(1-C578))</f>
        <v/>
      </c>
      <c r="L578" s="94">
        <f>I578*(1-C578)</f>
        <v/>
      </c>
      <c r="M578" s="89">
        <f>SUMIFS(Regimes!$G$5:$G$10,Regimes!$A$5:$A$10,A578)</f>
        <v/>
      </c>
      <c r="N578" s="14">
        <f>Donnees_annuelles!D20*J578</f>
        <v/>
      </c>
      <c r="O578" s="14">
        <f>Donnees_annuelles!D20*K578</f>
        <v/>
      </c>
      <c r="P578" s="14">
        <f>N578+O578</f>
        <v/>
      </c>
      <c r="Q578" s="14">
        <f>Donnees_annuelles!D20*L578</f>
        <v/>
      </c>
      <c r="R578" s="114">
        <f>P578/Donnees_annuelles!AA20*Donnees_annuelles!AI20/Donnees_annuelles!AG20</f>
        <v/>
      </c>
      <c r="S578" s="114">
        <f>P578/Donnees_annuelles!AA20*Donnees_annuelles!AJ20/Donnees_annuelles!AH20</f>
        <v/>
      </c>
    </row>
    <row r="579">
      <c r="A579" s="84" t="inlineStr">
        <is>
          <t>SNCF</t>
        </is>
      </c>
      <c r="B579" s="88" t="n">
        <v>1963</v>
      </c>
      <c r="C579" s="93" t="n">
        <v>0.1</v>
      </c>
      <c r="D579" s="93" t="n">
        <v>0.06</v>
      </c>
      <c r="E579" s="93" t="n">
        <v>0.371</v>
      </c>
      <c r="F579" s="7" t="inlineStr">
        <is>
          <t>taux normalisé (estimation documentée)</t>
        </is>
      </c>
      <c r="G579" s="93" t="n">
        <v>0</v>
      </c>
      <c r="H579" s="93" t="n">
        <v>0</v>
      </c>
      <c r="I579" s="93" t="n">
        <v>0</v>
      </c>
      <c r="J579" s="94">
        <f>D579*(1-C579)+G579*MIN(C579,0.2*(1-C579))+H579</f>
        <v/>
      </c>
      <c r="K579" s="94">
        <f>E579*(1-C579)+G579*MIN(C579,0.2*(1-C579))</f>
        <v/>
      </c>
      <c r="L579" s="94">
        <f>I579*(1-C579)</f>
        <v/>
      </c>
      <c r="M579" s="89">
        <f>SUMIFS(Regimes!$G$5:$G$10,Regimes!$A$5:$A$10,A579)</f>
        <v/>
      </c>
      <c r="N579" s="14">
        <f>Donnees_annuelles!D21*J579</f>
        <v/>
      </c>
      <c r="O579" s="14">
        <f>Donnees_annuelles!D21*K579</f>
        <v/>
      </c>
      <c r="P579" s="14">
        <f>N579+O579</f>
        <v/>
      </c>
      <c r="Q579" s="14">
        <f>Donnees_annuelles!D21*L579</f>
        <v/>
      </c>
      <c r="R579" s="114">
        <f>P579/Donnees_annuelles!AA21*Donnees_annuelles!AI21/Donnees_annuelles!AG21</f>
        <v/>
      </c>
      <c r="S579" s="114">
        <f>P579/Donnees_annuelles!AA21*Donnees_annuelles!AJ21/Donnees_annuelles!AH21</f>
        <v/>
      </c>
    </row>
    <row r="580">
      <c r="A580" s="84" t="inlineStr">
        <is>
          <t>SNCF</t>
        </is>
      </c>
      <c r="B580" s="88" t="n">
        <v>1964</v>
      </c>
      <c r="C580" s="93" t="n">
        <v>0.1</v>
      </c>
      <c r="D580" s="93" t="n">
        <v>0.06</v>
      </c>
      <c r="E580" s="93" t="n">
        <v>0.371</v>
      </c>
      <c r="F580" s="7" t="inlineStr">
        <is>
          <t>taux normalisé (estimation documentée)</t>
        </is>
      </c>
      <c r="G580" s="93" t="n">
        <v>0</v>
      </c>
      <c r="H580" s="93" t="n">
        <v>0</v>
      </c>
      <c r="I580" s="93" t="n">
        <v>0</v>
      </c>
      <c r="J580" s="94">
        <f>D580*(1-C580)+G580*MIN(C580,0.2*(1-C580))+H580</f>
        <v/>
      </c>
      <c r="K580" s="94">
        <f>E580*(1-C580)+G580*MIN(C580,0.2*(1-C580))</f>
        <v/>
      </c>
      <c r="L580" s="94">
        <f>I580*(1-C580)</f>
        <v/>
      </c>
      <c r="M580" s="89">
        <f>SUMIFS(Regimes!$G$5:$G$10,Regimes!$A$5:$A$10,A580)</f>
        <v/>
      </c>
      <c r="N580" s="14">
        <f>Donnees_annuelles!D22*J580</f>
        <v/>
      </c>
      <c r="O580" s="14">
        <f>Donnees_annuelles!D22*K580</f>
        <v/>
      </c>
      <c r="P580" s="14">
        <f>N580+O580</f>
        <v/>
      </c>
      <c r="Q580" s="14">
        <f>Donnees_annuelles!D22*L580</f>
        <v/>
      </c>
      <c r="R580" s="114">
        <f>P580/Donnees_annuelles!AA22*Donnees_annuelles!AI22/Donnees_annuelles!AG22</f>
        <v/>
      </c>
      <c r="S580" s="114">
        <f>P580/Donnees_annuelles!AA22*Donnees_annuelles!AJ22/Donnees_annuelles!AH22</f>
        <v/>
      </c>
    </row>
    <row r="581">
      <c r="A581" s="84" t="inlineStr">
        <is>
          <t>SNCF</t>
        </is>
      </c>
      <c r="B581" s="88" t="n">
        <v>1965</v>
      </c>
      <c r="C581" s="93" t="n">
        <v>0.1</v>
      </c>
      <c r="D581" s="93" t="n">
        <v>0.06</v>
      </c>
      <c r="E581" s="93" t="n">
        <v>0.371</v>
      </c>
      <c r="F581" s="7" t="inlineStr">
        <is>
          <t>taux normalisé (estimation documentée)</t>
        </is>
      </c>
      <c r="G581" s="93" t="n">
        <v>0</v>
      </c>
      <c r="H581" s="93" t="n">
        <v>0</v>
      </c>
      <c r="I581" s="93" t="n">
        <v>0</v>
      </c>
      <c r="J581" s="94">
        <f>D581*(1-C581)+G581*MIN(C581,0.2*(1-C581))+H581</f>
        <v/>
      </c>
      <c r="K581" s="94">
        <f>E581*(1-C581)+G581*MIN(C581,0.2*(1-C581))</f>
        <v/>
      </c>
      <c r="L581" s="94">
        <f>I581*(1-C581)</f>
        <v/>
      </c>
      <c r="M581" s="89">
        <f>SUMIFS(Regimes!$G$5:$G$10,Regimes!$A$5:$A$10,A581)</f>
        <v/>
      </c>
      <c r="N581" s="14">
        <f>Donnees_annuelles!D23*J581</f>
        <v/>
      </c>
      <c r="O581" s="14">
        <f>Donnees_annuelles!D23*K581</f>
        <v/>
      </c>
      <c r="P581" s="14">
        <f>N581+O581</f>
        <v/>
      </c>
      <c r="Q581" s="14">
        <f>Donnees_annuelles!D23*L581</f>
        <v/>
      </c>
      <c r="R581" s="114">
        <f>P581/Donnees_annuelles!AA23*Donnees_annuelles!AI23/Donnees_annuelles!AG23</f>
        <v/>
      </c>
      <c r="S581" s="114">
        <f>P581/Donnees_annuelles!AA23*Donnees_annuelles!AJ23/Donnees_annuelles!AH23</f>
        <v/>
      </c>
    </row>
    <row r="582">
      <c r="A582" s="84" t="inlineStr">
        <is>
          <t>SNCF</t>
        </is>
      </c>
      <c r="B582" s="88" t="n">
        <v>1966</v>
      </c>
      <c r="C582" s="93" t="n">
        <v>0.1</v>
      </c>
      <c r="D582" s="93" t="n">
        <v>0.06</v>
      </c>
      <c r="E582" s="93" t="n">
        <v>0.371</v>
      </c>
      <c r="F582" s="7" t="inlineStr">
        <is>
          <t>taux normalisé (estimation documentée)</t>
        </is>
      </c>
      <c r="G582" s="93" t="n">
        <v>0</v>
      </c>
      <c r="H582" s="93" t="n">
        <v>0</v>
      </c>
      <c r="I582" s="93" t="n">
        <v>0</v>
      </c>
      <c r="J582" s="94">
        <f>D582*(1-C582)+G582*MIN(C582,0.2*(1-C582))+H582</f>
        <v/>
      </c>
      <c r="K582" s="94">
        <f>E582*(1-C582)+G582*MIN(C582,0.2*(1-C582))</f>
        <v/>
      </c>
      <c r="L582" s="94">
        <f>I582*(1-C582)</f>
        <v/>
      </c>
      <c r="M582" s="89">
        <f>SUMIFS(Regimes!$G$5:$G$10,Regimes!$A$5:$A$10,A582)</f>
        <v/>
      </c>
      <c r="N582" s="14">
        <f>Donnees_annuelles!D24*J582</f>
        <v/>
      </c>
      <c r="O582" s="14">
        <f>Donnees_annuelles!D24*K582</f>
        <v/>
      </c>
      <c r="P582" s="14">
        <f>N582+O582</f>
        <v/>
      </c>
      <c r="Q582" s="14">
        <f>Donnees_annuelles!D24*L582</f>
        <v/>
      </c>
      <c r="R582" s="114">
        <f>P582/Donnees_annuelles!AA24*Donnees_annuelles!AI24/Donnees_annuelles!AG24</f>
        <v/>
      </c>
      <c r="S582" s="114">
        <f>P582/Donnees_annuelles!AA24*Donnees_annuelles!AJ24/Donnees_annuelles!AH24</f>
        <v/>
      </c>
    </row>
    <row r="583">
      <c r="A583" s="84" t="inlineStr">
        <is>
          <t>SNCF</t>
        </is>
      </c>
      <c r="B583" s="88" t="n">
        <v>1967</v>
      </c>
      <c r="C583" s="93" t="n">
        <v>0.1</v>
      </c>
      <c r="D583" s="93" t="n">
        <v>0.06</v>
      </c>
      <c r="E583" s="93" t="n">
        <v>0.371</v>
      </c>
      <c r="F583" s="7" t="inlineStr">
        <is>
          <t>taux normalisé (estimation documentée)</t>
        </is>
      </c>
      <c r="G583" s="93" t="n">
        <v>0</v>
      </c>
      <c r="H583" s="93" t="n">
        <v>0</v>
      </c>
      <c r="I583" s="93" t="n">
        <v>0</v>
      </c>
      <c r="J583" s="94">
        <f>D583*(1-C583)+G583*MIN(C583,0.2*(1-C583))+H583</f>
        <v/>
      </c>
      <c r="K583" s="94">
        <f>E583*(1-C583)+G583*MIN(C583,0.2*(1-C583))</f>
        <v/>
      </c>
      <c r="L583" s="94">
        <f>I583*(1-C583)</f>
        <v/>
      </c>
      <c r="M583" s="89">
        <f>SUMIFS(Regimes!$G$5:$G$10,Regimes!$A$5:$A$10,A583)</f>
        <v/>
      </c>
      <c r="N583" s="14">
        <f>Donnees_annuelles!D25*J583</f>
        <v/>
      </c>
      <c r="O583" s="14">
        <f>Donnees_annuelles!D25*K583</f>
        <v/>
      </c>
      <c r="P583" s="14">
        <f>N583+O583</f>
        <v/>
      </c>
      <c r="Q583" s="14">
        <f>Donnees_annuelles!D25*L583</f>
        <v/>
      </c>
      <c r="R583" s="114">
        <f>P583/Donnees_annuelles!AA25*Donnees_annuelles!AI25/Donnees_annuelles!AG25</f>
        <v/>
      </c>
      <c r="S583" s="114">
        <f>P583/Donnees_annuelles!AA25*Donnees_annuelles!AJ25/Donnees_annuelles!AH25</f>
        <v/>
      </c>
    </row>
    <row r="584">
      <c r="A584" s="84" t="inlineStr">
        <is>
          <t>SNCF</t>
        </is>
      </c>
      <c r="B584" s="88" t="n">
        <v>1968</v>
      </c>
      <c r="C584" s="93" t="n">
        <v>0.1</v>
      </c>
      <c r="D584" s="93" t="n">
        <v>0.06</v>
      </c>
      <c r="E584" s="93" t="n">
        <v>0.371</v>
      </c>
      <c r="F584" s="7" t="inlineStr">
        <is>
          <t>taux normalisé (estimation documentée)</t>
        </is>
      </c>
      <c r="G584" s="93" t="n">
        <v>0</v>
      </c>
      <c r="H584" s="93" t="n">
        <v>0</v>
      </c>
      <c r="I584" s="93" t="n">
        <v>0</v>
      </c>
      <c r="J584" s="94">
        <f>D584*(1-C584)+G584*MIN(C584,0.2*(1-C584))+H584</f>
        <v/>
      </c>
      <c r="K584" s="94">
        <f>E584*(1-C584)+G584*MIN(C584,0.2*(1-C584))</f>
        <v/>
      </c>
      <c r="L584" s="94">
        <f>I584*(1-C584)</f>
        <v/>
      </c>
      <c r="M584" s="89">
        <f>SUMIFS(Regimes!$G$5:$G$10,Regimes!$A$5:$A$10,A584)</f>
        <v/>
      </c>
      <c r="N584" s="14">
        <f>Donnees_annuelles!D26*J584</f>
        <v/>
      </c>
      <c r="O584" s="14">
        <f>Donnees_annuelles!D26*K584</f>
        <v/>
      </c>
      <c r="P584" s="14">
        <f>N584+O584</f>
        <v/>
      </c>
      <c r="Q584" s="14">
        <f>Donnees_annuelles!D26*L584</f>
        <v/>
      </c>
      <c r="R584" s="114">
        <f>P584/Donnees_annuelles!AA26*Donnees_annuelles!AI26/Donnees_annuelles!AG26</f>
        <v/>
      </c>
      <c r="S584" s="114">
        <f>P584/Donnees_annuelles!AA26*Donnees_annuelles!AJ26/Donnees_annuelles!AH26</f>
        <v/>
      </c>
    </row>
    <row r="585">
      <c r="A585" s="84" t="inlineStr">
        <is>
          <t>SNCF</t>
        </is>
      </c>
      <c r="B585" s="88" t="n">
        <v>1969</v>
      </c>
      <c r="C585" s="93" t="n">
        <v>0.1</v>
      </c>
      <c r="D585" s="93" t="n">
        <v>0.06</v>
      </c>
      <c r="E585" s="93" t="n">
        <v>0.371</v>
      </c>
      <c r="F585" s="7" t="inlineStr">
        <is>
          <t>taux normalisé (estimation documentée)</t>
        </is>
      </c>
      <c r="G585" s="93" t="n">
        <v>0</v>
      </c>
      <c r="H585" s="93" t="n">
        <v>0</v>
      </c>
      <c r="I585" s="93" t="n">
        <v>0</v>
      </c>
      <c r="J585" s="94">
        <f>D585*(1-C585)+G585*MIN(C585,0.2*(1-C585))+H585</f>
        <v/>
      </c>
      <c r="K585" s="94">
        <f>E585*(1-C585)+G585*MIN(C585,0.2*(1-C585))</f>
        <v/>
      </c>
      <c r="L585" s="94">
        <f>I585*(1-C585)</f>
        <v/>
      </c>
      <c r="M585" s="89">
        <f>SUMIFS(Regimes!$G$5:$G$10,Regimes!$A$5:$A$10,A585)</f>
        <v/>
      </c>
      <c r="N585" s="14">
        <f>Donnees_annuelles!D27*J585</f>
        <v/>
      </c>
      <c r="O585" s="14">
        <f>Donnees_annuelles!D27*K585</f>
        <v/>
      </c>
      <c r="P585" s="14">
        <f>N585+O585</f>
        <v/>
      </c>
      <c r="Q585" s="14">
        <f>Donnees_annuelles!D27*L585</f>
        <v/>
      </c>
      <c r="R585" s="114">
        <f>P585/Donnees_annuelles!AA27*Donnees_annuelles!AI27/Donnees_annuelles!AG27</f>
        <v/>
      </c>
      <c r="S585" s="114">
        <f>P585/Donnees_annuelles!AA27*Donnees_annuelles!AJ27/Donnees_annuelles!AH27</f>
        <v/>
      </c>
    </row>
    <row r="586">
      <c r="A586" s="84" t="inlineStr">
        <is>
          <t>SNCF</t>
        </is>
      </c>
      <c r="B586" s="88" t="n">
        <v>1970</v>
      </c>
      <c r="C586" s="93" t="n">
        <v>0.1</v>
      </c>
      <c r="D586" s="93" t="n">
        <v>0.06</v>
      </c>
      <c r="E586" s="93" t="n">
        <v>0.371</v>
      </c>
      <c r="F586" s="7" t="inlineStr">
        <is>
          <t>taux normalisé (estimation documentée)</t>
        </is>
      </c>
      <c r="G586" s="93" t="n">
        <v>0</v>
      </c>
      <c r="H586" s="93" t="n">
        <v>0</v>
      </c>
      <c r="I586" s="93" t="n">
        <v>0</v>
      </c>
      <c r="J586" s="94">
        <f>D586*(1-C586)+G586*MIN(C586,0.2*(1-C586))+H586</f>
        <v/>
      </c>
      <c r="K586" s="94">
        <f>E586*(1-C586)+G586*MIN(C586,0.2*(1-C586))</f>
        <v/>
      </c>
      <c r="L586" s="94">
        <f>I586*(1-C586)</f>
        <v/>
      </c>
      <c r="M586" s="89">
        <f>SUMIFS(Regimes!$G$5:$G$10,Regimes!$A$5:$A$10,A586)</f>
        <v/>
      </c>
      <c r="N586" s="14">
        <f>Donnees_annuelles!D28*J586</f>
        <v/>
      </c>
      <c r="O586" s="14">
        <f>Donnees_annuelles!D28*K586</f>
        <v/>
      </c>
      <c r="P586" s="14">
        <f>N586+O586</f>
        <v/>
      </c>
      <c r="Q586" s="14">
        <f>Donnees_annuelles!D28*L586</f>
        <v/>
      </c>
      <c r="R586" s="114">
        <f>P586/Donnees_annuelles!AA28*Donnees_annuelles!AI28/Donnees_annuelles!AG28</f>
        <v/>
      </c>
      <c r="S586" s="114">
        <f>P586/Donnees_annuelles!AA28*Donnees_annuelles!AJ28/Donnees_annuelles!AH28</f>
        <v/>
      </c>
    </row>
    <row r="587">
      <c r="A587" s="84" t="inlineStr">
        <is>
          <t>SNCF</t>
        </is>
      </c>
      <c r="B587" s="88" t="n">
        <v>1971</v>
      </c>
      <c r="C587" s="93" t="n">
        <v>0.1</v>
      </c>
      <c r="D587" s="93" t="n">
        <v>0.06</v>
      </c>
      <c r="E587" s="93" t="n">
        <v>0.335</v>
      </c>
      <c r="F587" s="7" t="inlineStr">
        <is>
          <t>taux normalisé (estimation documentée)</t>
        </is>
      </c>
      <c r="G587" s="93" t="n">
        <v>0</v>
      </c>
      <c r="H587" s="93" t="n">
        <v>0</v>
      </c>
      <c r="I587" s="93" t="n">
        <v>0.0165</v>
      </c>
      <c r="J587" s="94">
        <f>D587*(1-C587)+G587*MIN(C587,0.2*(1-C587))+H587</f>
        <v/>
      </c>
      <c r="K587" s="94">
        <f>E587*(1-C587)+G587*MIN(C587,0.2*(1-C587))</f>
        <v/>
      </c>
      <c r="L587" s="94">
        <f>I587*(1-C587)</f>
        <v/>
      </c>
      <c r="M587" s="89">
        <f>SUMIFS(Regimes!$G$5:$G$10,Regimes!$A$5:$A$10,A587)</f>
        <v/>
      </c>
      <c r="N587" s="14">
        <f>Donnees_annuelles!D29*J587</f>
        <v/>
      </c>
      <c r="O587" s="14">
        <f>Donnees_annuelles!D29*K587</f>
        <v/>
      </c>
      <c r="P587" s="14">
        <f>N587+O587</f>
        <v/>
      </c>
      <c r="Q587" s="14">
        <f>Donnees_annuelles!D29*L587</f>
        <v/>
      </c>
      <c r="R587" s="114">
        <f>P587/Donnees_annuelles!AA29*Donnees_annuelles!AI29/Donnees_annuelles!AG29</f>
        <v/>
      </c>
      <c r="S587" s="114">
        <f>P587/Donnees_annuelles!AA29*Donnees_annuelles!AJ29/Donnees_annuelles!AH29</f>
        <v/>
      </c>
    </row>
    <row r="588">
      <c r="A588" s="84" t="inlineStr">
        <is>
          <t>SNCF</t>
        </is>
      </c>
      <c r="B588" s="88" t="n">
        <v>1972</v>
      </c>
      <c r="C588" s="93" t="n">
        <v>0.1</v>
      </c>
      <c r="D588" s="93" t="n">
        <v>0.06</v>
      </c>
      <c r="E588" s="93" t="n">
        <v>0.335</v>
      </c>
      <c r="F588" s="7" t="inlineStr">
        <is>
          <t>taux normalisé (estimation documentée)</t>
        </is>
      </c>
      <c r="G588" s="93" t="n">
        <v>0</v>
      </c>
      <c r="H588" s="93" t="n">
        <v>0</v>
      </c>
      <c r="I588" s="93" t="n">
        <v>0.033</v>
      </c>
      <c r="J588" s="94">
        <f>D588*(1-C588)+G588*MIN(C588,0.2*(1-C588))+H588</f>
        <v/>
      </c>
      <c r="K588" s="94">
        <f>E588*(1-C588)+G588*MIN(C588,0.2*(1-C588))</f>
        <v/>
      </c>
      <c r="L588" s="94">
        <f>I588*(1-C588)</f>
        <v/>
      </c>
      <c r="M588" s="89">
        <f>SUMIFS(Regimes!$G$5:$G$10,Regimes!$A$5:$A$10,A588)</f>
        <v/>
      </c>
      <c r="N588" s="14">
        <f>Donnees_annuelles!D30*J588</f>
        <v/>
      </c>
      <c r="O588" s="14">
        <f>Donnees_annuelles!D30*K588</f>
        <v/>
      </c>
      <c r="P588" s="14">
        <f>N588+O588</f>
        <v/>
      </c>
      <c r="Q588" s="14">
        <f>Donnees_annuelles!D30*L588</f>
        <v/>
      </c>
      <c r="R588" s="114">
        <f>P588/Donnees_annuelles!AA30*Donnees_annuelles!AI30/Donnees_annuelles!AG30</f>
        <v/>
      </c>
      <c r="S588" s="114">
        <f>P588/Donnees_annuelles!AA30*Donnees_annuelles!AJ30/Donnees_annuelles!AH30</f>
        <v/>
      </c>
    </row>
    <row r="589">
      <c r="A589" s="84" t="inlineStr">
        <is>
          <t>SNCF</t>
        </is>
      </c>
      <c r="B589" s="88" t="n">
        <v>1973</v>
      </c>
      <c r="C589" s="93" t="n">
        <v>0.1</v>
      </c>
      <c r="D589" s="93" t="n">
        <v>0.06</v>
      </c>
      <c r="E589" s="93" t="n">
        <v>0.335</v>
      </c>
      <c r="F589" s="7" t="inlineStr">
        <is>
          <t>taux normalisé (estimation documentée)</t>
        </is>
      </c>
      <c r="G589" s="93" t="n">
        <v>0</v>
      </c>
      <c r="H589" s="93" t="n">
        <v>0</v>
      </c>
      <c r="I589" s="93" t="n">
        <v>0.0495</v>
      </c>
      <c r="J589" s="94">
        <f>D589*(1-C589)+G589*MIN(C589,0.2*(1-C589))+H589</f>
        <v/>
      </c>
      <c r="K589" s="94">
        <f>E589*(1-C589)+G589*MIN(C589,0.2*(1-C589))</f>
        <v/>
      </c>
      <c r="L589" s="94">
        <f>I589*(1-C589)</f>
        <v/>
      </c>
      <c r="M589" s="89">
        <f>SUMIFS(Regimes!$G$5:$G$10,Regimes!$A$5:$A$10,A589)</f>
        <v/>
      </c>
      <c r="N589" s="14">
        <f>Donnees_annuelles!D31*J589</f>
        <v/>
      </c>
      <c r="O589" s="14">
        <f>Donnees_annuelles!D31*K589</f>
        <v/>
      </c>
      <c r="P589" s="14">
        <f>N589+O589</f>
        <v/>
      </c>
      <c r="Q589" s="14">
        <f>Donnees_annuelles!D31*L589</f>
        <v/>
      </c>
      <c r="R589" s="114">
        <f>P589/Donnees_annuelles!AA31*Donnees_annuelles!AI31/Donnees_annuelles!AG31</f>
        <v/>
      </c>
      <c r="S589" s="114">
        <f>P589/Donnees_annuelles!AA31*Donnees_annuelles!AJ31/Donnees_annuelles!AH31</f>
        <v/>
      </c>
    </row>
    <row r="590">
      <c r="A590" s="84" t="inlineStr">
        <is>
          <t>SNCF</t>
        </is>
      </c>
      <c r="B590" s="88" t="n">
        <v>1974</v>
      </c>
      <c r="C590" s="93" t="n">
        <v>0.1</v>
      </c>
      <c r="D590" s="93" t="n">
        <v>0.06</v>
      </c>
      <c r="E590" s="93" t="n">
        <v>0.335</v>
      </c>
      <c r="F590" s="7" t="inlineStr">
        <is>
          <t>taux normalisé (estimation documentée)</t>
        </is>
      </c>
      <c r="G590" s="93" t="n">
        <v>0</v>
      </c>
      <c r="H590" s="93" t="n">
        <v>0</v>
      </c>
      <c r="I590" s="93" t="n">
        <v>0.06598999999999999</v>
      </c>
      <c r="J590" s="94">
        <f>D590*(1-C590)+G590*MIN(C590,0.2*(1-C590))+H590</f>
        <v/>
      </c>
      <c r="K590" s="94">
        <f>E590*(1-C590)+G590*MIN(C590,0.2*(1-C590))</f>
        <v/>
      </c>
      <c r="L590" s="94">
        <f>I590*(1-C590)</f>
        <v/>
      </c>
      <c r="M590" s="89">
        <f>SUMIFS(Regimes!$G$5:$G$10,Regimes!$A$5:$A$10,A590)</f>
        <v/>
      </c>
      <c r="N590" s="14">
        <f>Donnees_annuelles!D32*J590</f>
        <v/>
      </c>
      <c r="O590" s="14">
        <f>Donnees_annuelles!D32*K590</f>
        <v/>
      </c>
      <c r="P590" s="14">
        <f>N590+O590</f>
        <v/>
      </c>
      <c r="Q590" s="14">
        <f>Donnees_annuelles!D32*L590</f>
        <v/>
      </c>
      <c r="R590" s="114">
        <f>P590/Donnees_annuelles!AA32*Donnees_annuelles!AI32/Donnees_annuelles!AG32</f>
        <v/>
      </c>
      <c r="S590" s="114">
        <f>P590/Donnees_annuelles!AA32*Donnees_annuelles!AJ32/Donnees_annuelles!AH32</f>
        <v/>
      </c>
    </row>
    <row r="591">
      <c r="A591" s="84" t="inlineStr">
        <is>
          <t>SNCF</t>
        </is>
      </c>
      <c r="B591" s="88" t="n">
        <v>1975</v>
      </c>
      <c r="C591" s="93" t="n">
        <v>0.1</v>
      </c>
      <c r="D591" s="93" t="n">
        <v>0.06</v>
      </c>
      <c r="E591" s="93" t="n">
        <v>0.335</v>
      </c>
      <c r="F591" s="7" t="inlineStr">
        <is>
          <t>taux normalisé (estimation documentée)</t>
        </is>
      </c>
      <c r="G591" s="93" t="n">
        <v>0</v>
      </c>
      <c r="H591" s="93" t="n">
        <v>0</v>
      </c>
      <c r="I591" s="93" t="n">
        <v>0.08248999999999999</v>
      </c>
      <c r="J591" s="94">
        <f>D591*(1-C591)+G591*MIN(C591,0.2*(1-C591))+H591</f>
        <v/>
      </c>
      <c r="K591" s="94">
        <f>E591*(1-C591)+G591*MIN(C591,0.2*(1-C591))</f>
        <v/>
      </c>
      <c r="L591" s="94">
        <f>I591*(1-C591)</f>
        <v/>
      </c>
      <c r="M591" s="89">
        <f>SUMIFS(Regimes!$G$5:$G$10,Regimes!$A$5:$A$10,A591)</f>
        <v/>
      </c>
      <c r="N591" s="14">
        <f>Donnees_annuelles!D33*J591</f>
        <v/>
      </c>
      <c r="O591" s="14">
        <f>Donnees_annuelles!D33*K591</f>
        <v/>
      </c>
      <c r="P591" s="14">
        <f>N591+O591</f>
        <v/>
      </c>
      <c r="Q591" s="14">
        <f>Donnees_annuelles!D33*L591</f>
        <v/>
      </c>
      <c r="R591" s="114">
        <f>P591/Donnees_annuelles!AA33*Donnees_annuelles!AI33/Donnees_annuelles!AG33</f>
        <v/>
      </c>
      <c r="S591" s="114">
        <f>P591/Donnees_annuelles!AA33*Donnees_annuelles!AJ33/Donnees_annuelles!AH33</f>
        <v/>
      </c>
    </row>
    <row r="592">
      <c r="A592" s="84" t="inlineStr">
        <is>
          <t>SNCF</t>
        </is>
      </c>
      <c r="B592" s="88" t="n">
        <v>1976</v>
      </c>
      <c r="C592" s="93" t="n">
        <v>0.1</v>
      </c>
      <c r="D592" s="93" t="n">
        <v>0.06</v>
      </c>
      <c r="E592" s="93" t="n">
        <v>0.335</v>
      </c>
      <c r="F592" s="7" t="inlineStr">
        <is>
          <t>taux normalisé (estimation documentée)</t>
        </is>
      </c>
      <c r="G592" s="93" t="n">
        <v>0</v>
      </c>
      <c r="H592" s="93" t="n">
        <v>0</v>
      </c>
      <c r="I592" s="93" t="n">
        <v>0.09898999999999999</v>
      </c>
      <c r="J592" s="94">
        <f>D592*(1-C592)+G592*MIN(C592,0.2*(1-C592))+H592</f>
        <v/>
      </c>
      <c r="K592" s="94">
        <f>E592*(1-C592)+G592*MIN(C592,0.2*(1-C592))</f>
        <v/>
      </c>
      <c r="L592" s="94">
        <f>I592*(1-C592)</f>
        <v/>
      </c>
      <c r="M592" s="89">
        <f>SUMIFS(Regimes!$G$5:$G$10,Regimes!$A$5:$A$10,A592)</f>
        <v/>
      </c>
      <c r="N592" s="14">
        <f>Donnees_annuelles!D34*J592</f>
        <v/>
      </c>
      <c r="O592" s="14">
        <f>Donnees_annuelles!D34*K592</f>
        <v/>
      </c>
      <c r="P592" s="14">
        <f>N592+O592</f>
        <v/>
      </c>
      <c r="Q592" s="14">
        <f>Donnees_annuelles!D34*L592</f>
        <v/>
      </c>
      <c r="R592" s="114">
        <f>P592/Donnees_annuelles!AA34*Donnees_annuelles!AI34/Donnees_annuelles!AG34</f>
        <v/>
      </c>
      <c r="S592" s="114">
        <f>P592/Donnees_annuelles!AA34*Donnees_annuelles!AJ34/Donnees_annuelles!AH34</f>
        <v/>
      </c>
    </row>
    <row r="593">
      <c r="A593" s="84" t="inlineStr">
        <is>
          <t>SNCF</t>
        </is>
      </c>
      <c r="B593" s="88" t="n">
        <v>1977</v>
      </c>
      <c r="C593" s="93" t="n">
        <v>0.1</v>
      </c>
      <c r="D593" s="93" t="n">
        <v>0.06</v>
      </c>
      <c r="E593" s="93" t="n">
        <v>0.335</v>
      </c>
      <c r="F593" s="7" t="inlineStr">
        <is>
          <t>taux normalisé (estimation documentée)</t>
        </is>
      </c>
      <c r="G593" s="93" t="n">
        <v>0</v>
      </c>
      <c r="H593" s="93" t="n">
        <v>0</v>
      </c>
      <c r="I593" s="93" t="n">
        <v>0.11549</v>
      </c>
      <c r="J593" s="94">
        <f>D593*(1-C593)+G593*MIN(C593,0.2*(1-C593))+H593</f>
        <v/>
      </c>
      <c r="K593" s="94">
        <f>E593*(1-C593)+G593*MIN(C593,0.2*(1-C593))</f>
        <v/>
      </c>
      <c r="L593" s="94">
        <f>I593*(1-C593)</f>
        <v/>
      </c>
      <c r="M593" s="89">
        <f>SUMIFS(Regimes!$G$5:$G$10,Regimes!$A$5:$A$10,A593)</f>
        <v/>
      </c>
      <c r="N593" s="14">
        <f>Donnees_annuelles!D35*J593</f>
        <v/>
      </c>
      <c r="O593" s="14">
        <f>Donnees_annuelles!D35*K593</f>
        <v/>
      </c>
      <c r="P593" s="14">
        <f>N593+O593</f>
        <v/>
      </c>
      <c r="Q593" s="14">
        <f>Donnees_annuelles!D35*L593</f>
        <v/>
      </c>
      <c r="R593" s="114">
        <f>P593/Donnees_annuelles!AA35*Donnees_annuelles!AI35/Donnees_annuelles!AG35</f>
        <v/>
      </c>
      <c r="S593" s="114">
        <f>P593/Donnees_annuelles!AA35*Donnees_annuelles!AJ35/Donnees_annuelles!AH35</f>
        <v/>
      </c>
    </row>
    <row r="594">
      <c r="A594" s="84" t="inlineStr">
        <is>
          <t>SNCF</t>
        </is>
      </c>
      <c r="B594" s="88" t="n">
        <v>1978</v>
      </c>
      <c r="C594" s="93" t="n">
        <v>0.1</v>
      </c>
      <c r="D594" s="93" t="n">
        <v>0.06</v>
      </c>
      <c r="E594" s="93" t="n">
        <v>0.335</v>
      </c>
      <c r="F594" s="7" t="inlineStr">
        <is>
          <t>taux normalisé (estimation documentée)</t>
        </is>
      </c>
      <c r="G594" s="93" t="n">
        <v>0</v>
      </c>
      <c r="H594" s="93" t="n">
        <v>0</v>
      </c>
      <c r="I594" s="93" t="n">
        <v>0.13199</v>
      </c>
      <c r="J594" s="94">
        <f>D594*(1-C594)+G594*MIN(C594,0.2*(1-C594))+H594</f>
        <v/>
      </c>
      <c r="K594" s="94">
        <f>E594*(1-C594)+G594*MIN(C594,0.2*(1-C594))</f>
        <v/>
      </c>
      <c r="L594" s="94">
        <f>I594*(1-C594)</f>
        <v/>
      </c>
      <c r="M594" s="89">
        <f>SUMIFS(Regimes!$G$5:$G$10,Regimes!$A$5:$A$10,A594)</f>
        <v/>
      </c>
      <c r="N594" s="14">
        <f>Donnees_annuelles!D36*J594</f>
        <v/>
      </c>
      <c r="O594" s="14">
        <f>Donnees_annuelles!D36*K594</f>
        <v/>
      </c>
      <c r="P594" s="14">
        <f>N594+O594</f>
        <v/>
      </c>
      <c r="Q594" s="14">
        <f>Donnees_annuelles!D36*L594</f>
        <v/>
      </c>
      <c r="R594" s="114">
        <f>P594/Donnees_annuelles!AA36*Donnees_annuelles!AI36/Donnees_annuelles!AG36</f>
        <v/>
      </c>
      <c r="S594" s="114">
        <f>P594/Donnees_annuelles!AA36*Donnees_annuelles!AJ36/Donnees_annuelles!AH36</f>
        <v/>
      </c>
    </row>
    <row r="595">
      <c r="A595" s="84" t="inlineStr">
        <is>
          <t>SNCF</t>
        </is>
      </c>
      <c r="B595" s="88" t="n">
        <v>1979</v>
      </c>
      <c r="C595" s="93" t="n">
        <v>0.1</v>
      </c>
      <c r="D595" s="93" t="n">
        <v>0.06</v>
      </c>
      <c r="E595" s="93" t="n">
        <v>0.335</v>
      </c>
      <c r="F595" s="7" t="inlineStr">
        <is>
          <t>taux normalisé (estimation documentée)</t>
        </is>
      </c>
      <c r="G595" s="93" t="n">
        <v>0</v>
      </c>
      <c r="H595" s="93" t="n">
        <v>0</v>
      </c>
      <c r="I595" s="93" t="n">
        <v>0.14849</v>
      </c>
      <c r="J595" s="94">
        <f>D595*(1-C595)+G595*MIN(C595,0.2*(1-C595))+H595</f>
        <v/>
      </c>
      <c r="K595" s="94">
        <f>E595*(1-C595)+G595*MIN(C595,0.2*(1-C595))</f>
        <v/>
      </c>
      <c r="L595" s="94">
        <f>I595*(1-C595)</f>
        <v/>
      </c>
      <c r="M595" s="89">
        <f>SUMIFS(Regimes!$G$5:$G$10,Regimes!$A$5:$A$10,A595)</f>
        <v/>
      </c>
      <c r="N595" s="14">
        <f>Donnees_annuelles!D37*J595</f>
        <v/>
      </c>
      <c r="O595" s="14">
        <f>Donnees_annuelles!D37*K595</f>
        <v/>
      </c>
      <c r="P595" s="14">
        <f>N595+O595</f>
        <v/>
      </c>
      <c r="Q595" s="14">
        <f>Donnees_annuelles!D37*L595</f>
        <v/>
      </c>
      <c r="R595" s="114">
        <f>P595/Donnees_annuelles!AA37*Donnees_annuelles!AI37/Donnees_annuelles!AG37</f>
        <v/>
      </c>
      <c r="S595" s="114">
        <f>P595/Donnees_annuelles!AA37*Donnees_annuelles!AJ37/Donnees_annuelles!AH37</f>
        <v/>
      </c>
    </row>
    <row r="596">
      <c r="A596" s="84" t="inlineStr">
        <is>
          <t>SNCF</t>
        </is>
      </c>
      <c r="B596" s="88" t="n">
        <v>1980</v>
      </c>
      <c r="C596" s="93" t="n">
        <v>0.1</v>
      </c>
      <c r="D596" s="93" t="n">
        <v>0.06</v>
      </c>
      <c r="E596" s="93" t="n">
        <v>0.335</v>
      </c>
      <c r="F596" s="7" t="inlineStr">
        <is>
          <t>taux normalisé (estimation documentée)</t>
        </is>
      </c>
      <c r="G596" s="93" t="n">
        <v>0</v>
      </c>
      <c r="H596" s="93" t="n">
        <v>0</v>
      </c>
      <c r="I596" s="93" t="n">
        <v>0.16499</v>
      </c>
      <c r="J596" s="94">
        <f>D596*(1-C596)+G596*MIN(C596,0.2*(1-C596))+H596</f>
        <v/>
      </c>
      <c r="K596" s="94">
        <f>E596*(1-C596)+G596*MIN(C596,0.2*(1-C596))</f>
        <v/>
      </c>
      <c r="L596" s="94">
        <f>I596*(1-C596)</f>
        <v/>
      </c>
      <c r="M596" s="89">
        <f>SUMIFS(Regimes!$G$5:$G$10,Regimes!$A$5:$A$10,A596)</f>
        <v/>
      </c>
      <c r="N596" s="14">
        <f>Donnees_annuelles!D38*J596</f>
        <v/>
      </c>
      <c r="O596" s="14">
        <f>Donnees_annuelles!D38*K596</f>
        <v/>
      </c>
      <c r="P596" s="14">
        <f>N596+O596</f>
        <v/>
      </c>
      <c r="Q596" s="14">
        <f>Donnees_annuelles!D38*L596</f>
        <v/>
      </c>
      <c r="R596" s="114">
        <f>P596/Donnees_annuelles!AA38*Donnees_annuelles!AI38/Donnees_annuelles!AG38</f>
        <v/>
      </c>
      <c r="S596" s="114">
        <f>P596/Donnees_annuelles!AA38*Donnees_annuelles!AJ38/Donnees_annuelles!AH38</f>
        <v/>
      </c>
    </row>
    <row r="597">
      <c r="A597" s="84" t="inlineStr">
        <is>
          <t>SNCF</t>
        </is>
      </c>
      <c r="B597" s="88" t="n">
        <v>1981</v>
      </c>
      <c r="C597" s="93" t="n">
        <v>0.1</v>
      </c>
      <c r="D597" s="93" t="n">
        <v>0.06</v>
      </c>
      <c r="E597" s="93" t="n">
        <v>0.335</v>
      </c>
      <c r="F597" s="7" t="inlineStr">
        <is>
          <t>taux normalisé (estimation documentée)</t>
        </is>
      </c>
      <c r="G597" s="93" t="n">
        <v>0</v>
      </c>
      <c r="H597" s="93" t="n">
        <v>0</v>
      </c>
      <c r="I597" s="93" t="n">
        <v>0.18149</v>
      </c>
      <c r="J597" s="94">
        <f>D597*(1-C597)+G597*MIN(C597,0.2*(1-C597))+H597</f>
        <v/>
      </c>
      <c r="K597" s="94">
        <f>E597*(1-C597)+G597*MIN(C597,0.2*(1-C597))</f>
        <v/>
      </c>
      <c r="L597" s="94">
        <f>I597*(1-C597)</f>
        <v/>
      </c>
      <c r="M597" s="89">
        <f>SUMIFS(Regimes!$G$5:$G$10,Regimes!$A$5:$A$10,A597)</f>
        <v/>
      </c>
      <c r="N597" s="14">
        <f>Donnees_annuelles!D39*J597</f>
        <v/>
      </c>
      <c r="O597" s="14">
        <f>Donnees_annuelles!D39*K597</f>
        <v/>
      </c>
      <c r="P597" s="14">
        <f>N597+O597</f>
        <v/>
      </c>
      <c r="Q597" s="14">
        <f>Donnees_annuelles!D39*L597</f>
        <v/>
      </c>
      <c r="R597" s="114">
        <f>P597/Donnees_annuelles!AA39*Donnees_annuelles!AI39/Donnees_annuelles!AG39</f>
        <v/>
      </c>
      <c r="S597" s="114">
        <f>P597/Donnees_annuelles!AA39*Donnees_annuelles!AJ39/Donnees_annuelles!AH39</f>
        <v/>
      </c>
    </row>
    <row r="598">
      <c r="A598" s="84" t="inlineStr">
        <is>
          <t>SNCF</t>
        </is>
      </c>
      <c r="B598" s="88" t="n">
        <v>1982</v>
      </c>
      <c r="C598" s="93" t="n">
        <v>0.1</v>
      </c>
      <c r="D598" s="93" t="n">
        <v>0.06</v>
      </c>
      <c r="E598" s="93" t="n">
        <v>0.335</v>
      </c>
      <c r="F598" s="7" t="inlineStr">
        <is>
          <t>taux normalisé (estimation documentée)</t>
        </is>
      </c>
      <c r="G598" s="93" t="n">
        <v>0</v>
      </c>
      <c r="H598" s="93" t="n">
        <v>0</v>
      </c>
      <c r="I598" s="93" t="n">
        <v>0.19798</v>
      </c>
      <c r="J598" s="94">
        <f>D598*(1-C598)+G598*MIN(C598,0.2*(1-C598))+H598</f>
        <v/>
      </c>
      <c r="K598" s="94">
        <f>E598*(1-C598)+G598*MIN(C598,0.2*(1-C598))</f>
        <v/>
      </c>
      <c r="L598" s="94">
        <f>I598*(1-C598)</f>
        <v/>
      </c>
      <c r="M598" s="89">
        <f>SUMIFS(Regimes!$G$5:$G$10,Regimes!$A$5:$A$10,A598)</f>
        <v/>
      </c>
      <c r="N598" s="14">
        <f>Donnees_annuelles!D40*J598</f>
        <v/>
      </c>
      <c r="O598" s="14">
        <f>Donnees_annuelles!D40*K598</f>
        <v/>
      </c>
      <c r="P598" s="14">
        <f>N598+O598</f>
        <v/>
      </c>
      <c r="Q598" s="14">
        <f>Donnees_annuelles!D40*L598</f>
        <v/>
      </c>
      <c r="R598" s="114">
        <f>P598/Donnees_annuelles!AA40*Donnees_annuelles!AI40/Donnees_annuelles!AG40</f>
        <v/>
      </c>
      <c r="S598" s="114">
        <f>P598/Donnees_annuelles!AA40*Donnees_annuelles!AJ40/Donnees_annuelles!AH40</f>
        <v/>
      </c>
    </row>
    <row r="599">
      <c r="A599" s="84" t="inlineStr">
        <is>
          <t>SNCF</t>
        </is>
      </c>
      <c r="B599" s="88" t="n">
        <v>1983</v>
      </c>
      <c r="C599" s="93" t="n">
        <v>0.1</v>
      </c>
      <c r="D599" s="93" t="n">
        <v>0.06</v>
      </c>
      <c r="E599" s="93" t="n">
        <v>0.335</v>
      </c>
      <c r="F599" s="7" t="inlineStr">
        <is>
          <t>taux normalisé (estimation documentée)</t>
        </is>
      </c>
      <c r="G599" s="93" t="n">
        <v>0</v>
      </c>
      <c r="H599" s="93" t="n">
        <v>0</v>
      </c>
      <c r="I599" s="93" t="n">
        <v>0.21448</v>
      </c>
      <c r="J599" s="94">
        <f>D599*(1-C599)+G599*MIN(C599,0.2*(1-C599))+H599</f>
        <v/>
      </c>
      <c r="K599" s="94">
        <f>E599*(1-C599)+G599*MIN(C599,0.2*(1-C599))</f>
        <v/>
      </c>
      <c r="L599" s="94">
        <f>I599*(1-C599)</f>
        <v/>
      </c>
      <c r="M599" s="89">
        <f>SUMIFS(Regimes!$G$5:$G$10,Regimes!$A$5:$A$10,A599)</f>
        <v/>
      </c>
      <c r="N599" s="14">
        <f>Donnees_annuelles!D41*J599</f>
        <v/>
      </c>
      <c r="O599" s="14">
        <f>Donnees_annuelles!D41*K599</f>
        <v/>
      </c>
      <c r="P599" s="14">
        <f>N599+O599</f>
        <v/>
      </c>
      <c r="Q599" s="14">
        <f>Donnees_annuelles!D41*L599</f>
        <v/>
      </c>
      <c r="R599" s="114">
        <f>P599/Donnees_annuelles!AA41*Donnees_annuelles!AI41/Donnees_annuelles!AG41</f>
        <v/>
      </c>
      <c r="S599" s="114">
        <f>P599/Donnees_annuelles!AA41*Donnees_annuelles!AJ41/Donnees_annuelles!AH41</f>
        <v/>
      </c>
    </row>
    <row r="600">
      <c r="A600" s="84" t="inlineStr">
        <is>
          <t>SNCF</t>
        </is>
      </c>
      <c r="B600" s="88" t="n">
        <v>1984</v>
      </c>
      <c r="C600" s="93" t="n">
        <v>0.1</v>
      </c>
      <c r="D600" s="93" t="n">
        <v>0.075</v>
      </c>
      <c r="E600" s="93" t="n">
        <v>0.335</v>
      </c>
      <c r="F600" s="7" t="inlineStr">
        <is>
          <t>taux normalisé (estimation documentée)</t>
        </is>
      </c>
      <c r="G600" s="93" t="n">
        <v>0</v>
      </c>
      <c r="H600" s="93" t="n">
        <v>0</v>
      </c>
      <c r="I600" s="93" t="n">
        <v>0.23098</v>
      </c>
      <c r="J600" s="94">
        <f>D600*(1-C600)+G600*MIN(C600,0.2*(1-C600))+H600</f>
        <v/>
      </c>
      <c r="K600" s="94">
        <f>E600*(1-C600)+G600*MIN(C600,0.2*(1-C600))</f>
        <v/>
      </c>
      <c r="L600" s="94">
        <f>I600*(1-C600)</f>
        <v/>
      </c>
      <c r="M600" s="89">
        <f>SUMIFS(Regimes!$G$5:$G$10,Regimes!$A$5:$A$10,A600)</f>
        <v/>
      </c>
      <c r="N600" s="14">
        <f>Donnees_annuelles!D42*J600</f>
        <v/>
      </c>
      <c r="O600" s="14">
        <f>Donnees_annuelles!D42*K600</f>
        <v/>
      </c>
      <c r="P600" s="14">
        <f>N600+O600</f>
        <v/>
      </c>
      <c r="Q600" s="14">
        <f>Donnees_annuelles!D42*L600</f>
        <v/>
      </c>
      <c r="R600" s="114">
        <f>P600/Donnees_annuelles!AA42*Donnees_annuelles!AI42/Donnees_annuelles!AG42</f>
        <v/>
      </c>
      <c r="S600" s="114">
        <f>P600/Donnees_annuelles!AA42*Donnees_annuelles!AJ42/Donnees_annuelles!AH42</f>
        <v/>
      </c>
    </row>
    <row r="601">
      <c r="A601" s="84" t="inlineStr">
        <is>
          <t>SNCF</t>
        </is>
      </c>
      <c r="B601" s="88" t="n">
        <v>1985</v>
      </c>
      <c r="C601" s="93" t="n">
        <v>0.1</v>
      </c>
      <c r="D601" s="93" t="n">
        <v>0.075</v>
      </c>
      <c r="E601" s="93" t="n">
        <v>0.335</v>
      </c>
      <c r="F601" s="7" t="inlineStr">
        <is>
          <t>taux normalisé (estimation documentée)</t>
        </is>
      </c>
      <c r="G601" s="93" t="n">
        <v>0</v>
      </c>
      <c r="H601" s="93" t="n">
        <v>0</v>
      </c>
      <c r="I601" s="93" t="n">
        <v>0.24748</v>
      </c>
      <c r="J601" s="94">
        <f>D601*(1-C601)+G601*MIN(C601,0.2*(1-C601))+H601</f>
        <v/>
      </c>
      <c r="K601" s="94">
        <f>E601*(1-C601)+G601*MIN(C601,0.2*(1-C601))</f>
        <v/>
      </c>
      <c r="L601" s="94">
        <f>I601*(1-C601)</f>
        <v/>
      </c>
      <c r="M601" s="89">
        <f>SUMIFS(Regimes!$G$5:$G$10,Regimes!$A$5:$A$10,A601)</f>
        <v/>
      </c>
      <c r="N601" s="14">
        <f>Donnees_annuelles!D43*J601</f>
        <v/>
      </c>
      <c r="O601" s="14">
        <f>Donnees_annuelles!D43*K601</f>
        <v/>
      </c>
      <c r="P601" s="14">
        <f>N601+O601</f>
        <v/>
      </c>
      <c r="Q601" s="14">
        <f>Donnees_annuelles!D43*L601</f>
        <v/>
      </c>
      <c r="R601" s="114">
        <f>P601/Donnees_annuelles!AA43*Donnees_annuelles!AI43/Donnees_annuelles!AG43</f>
        <v/>
      </c>
      <c r="S601" s="114">
        <f>P601/Donnees_annuelles!AA43*Donnees_annuelles!AJ43/Donnees_annuelles!AH43</f>
        <v/>
      </c>
    </row>
    <row r="602">
      <c r="A602" s="84" t="inlineStr">
        <is>
          <t>SNCF</t>
        </is>
      </c>
      <c r="B602" s="88" t="n">
        <v>1986</v>
      </c>
      <c r="C602" s="93" t="n">
        <v>0.1</v>
      </c>
      <c r="D602" s="93" t="n">
        <v>0.075</v>
      </c>
      <c r="E602" s="93" t="n">
        <v>0.335</v>
      </c>
      <c r="F602" s="7" t="inlineStr">
        <is>
          <t>taux normalisé (estimation documentée)</t>
        </is>
      </c>
      <c r="G602" s="93" t="n">
        <v>0</v>
      </c>
      <c r="H602" s="93" t="n">
        <v>0</v>
      </c>
      <c r="I602" s="93" t="n">
        <v>0.26398</v>
      </c>
      <c r="J602" s="94">
        <f>D602*(1-C602)+G602*MIN(C602,0.2*(1-C602))+H602</f>
        <v/>
      </c>
      <c r="K602" s="94">
        <f>E602*(1-C602)+G602*MIN(C602,0.2*(1-C602))</f>
        <v/>
      </c>
      <c r="L602" s="94">
        <f>I602*(1-C602)</f>
        <v/>
      </c>
      <c r="M602" s="89">
        <f>SUMIFS(Regimes!$G$5:$G$10,Regimes!$A$5:$A$10,A602)</f>
        <v/>
      </c>
      <c r="N602" s="14">
        <f>Donnees_annuelles!D44*J602</f>
        <v/>
      </c>
      <c r="O602" s="14">
        <f>Donnees_annuelles!D44*K602</f>
        <v/>
      </c>
      <c r="P602" s="14">
        <f>N602+O602</f>
        <v/>
      </c>
      <c r="Q602" s="14">
        <f>Donnees_annuelles!D44*L602</f>
        <v/>
      </c>
      <c r="R602" s="114">
        <f>P602/Donnees_annuelles!AA44*Donnees_annuelles!AI44/Donnees_annuelles!AG44</f>
        <v/>
      </c>
      <c r="S602" s="114">
        <f>P602/Donnees_annuelles!AA44*Donnees_annuelles!AJ44/Donnees_annuelles!AH44</f>
        <v/>
      </c>
    </row>
    <row r="603">
      <c r="A603" s="84" t="inlineStr">
        <is>
          <t>SNCF</t>
        </is>
      </c>
      <c r="B603" s="88" t="n">
        <v>1987</v>
      </c>
      <c r="C603" s="93" t="n">
        <v>0.1</v>
      </c>
      <c r="D603" s="93" t="n">
        <v>0.075</v>
      </c>
      <c r="E603" s="93" t="n">
        <v>0.335</v>
      </c>
      <c r="F603" s="7" t="inlineStr">
        <is>
          <t>taux normalisé (estimation documentée)</t>
        </is>
      </c>
      <c r="G603" s="93" t="n">
        <v>0</v>
      </c>
      <c r="H603" s="93" t="n">
        <v>0</v>
      </c>
      <c r="I603" s="93" t="n">
        <v>0.28048</v>
      </c>
      <c r="J603" s="94">
        <f>D603*(1-C603)+G603*MIN(C603,0.2*(1-C603))+H603</f>
        <v/>
      </c>
      <c r="K603" s="94">
        <f>E603*(1-C603)+G603*MIN(C603,0.2*(1-C603))</f>
        <v/>
      </c>
      <c r="L603" s="94">
        <f>I603*(1-C603)</f>
        <v/>
      </c>
      <c r="M603" s="89">
        <f>SUMIFS(Regimes!$G$5:$G$10,Regimes!$A$5:$A$10,A603)</f>
        <v/>
      </c>
      <c r="N603" s="14">
        <f>Donnees_annuelles!D45*J603</f>
        <v/>
      </c>
      <c r="O603" s="14">
        <f>Donnees_annuelles!D45*K603</f>
        <v/>
      </c>
      <c r="P603" s="14">
        <f>N603+O603</f>
        <v/>
      </c>
      <c r="Q603" s="14">
        <f>Donnees_annuelles!D45*L603</f>
        <v/>
      </c>
      <c r="R603" s="114">
        <f>P603/Donnees_annuelles!AA45*Donnees_annuelles!AI45/Donnees_annuelles!AG45</f>
        <v/>
      </c>
      <c r="S603" s="114">
        <f>P603/Donnees_annuelles!AA45*Donnees_annuelles!AJ45/Donnees_annuelles!AH45</f>
        <v/>
      </c>
    </row>
    <row r="604">
      <c r="A604" s="84" t="inlineStr">
        <is>
          <t>SNCF</t>
        </is>
      </c>
      <c r="B604" s="88" t="n">
        <v>1988</v>
      </c>
      <c r="C604" s="93" t="n">
        <v>0.1</v>
      </c>
      <c r="D604" s="93" t="n">
        <v>0.075</v>
      </c>
      <c r="E604" s="93" t="n">
        <v>0.335</v>
      </c>
      <c r="F604" s="7" t="inlineStr">
        <is>
          <t>taux normalisé (estimation documentée)</t>
        </is>
      </c>
      <c r="G604" s="93" t="n">
        <v>0</v>
      </c>
      <c r="H604" s="93" t="n">
        <v>0</v>
      </c>
      <c r="I604" s="93" t="n">
        <v>0.29698</v>
      </c>
      <c r="J604" s="94">
        <f>D604*(1-C604)+G604*MIN(C604,0.2*(1-C604))+H604</f>
        <v/>
      </c>
      <c r="K604" s="94">
        <f>E604*(1-C604)+G604*MIN(C604,0.2*(1-C604))</f>
        <v/>
      </c>
      <c r="L604" s="94">
        <f>I604*(1-C604)</f>
        <v/>
      </c>
      <c r="M604" s="89">
        <f>SUMIFS(Regimes!$G$5:$G$10,Regimes!$A$5:$A$10,A604)</f>
        <v/>
      </c>
      <c r="N604" s="14">
        <f>Donnees_annuelles!D46*J604</f>
        <v/>
      </c>
      <c r="O604" s="14">
        <f>Donnees_annuelles!D46*K604</f>
        <v/>
      </c>
      <c r="P604" s="14">
        <f>N604+O604</f>
        <v/>
      </c>
      <c r="Q604" s="14">
        <f>Donnees_annuelles!D46*L604</f>
        <v/>
      </c>
      <c r="R604" s="114">
        <f>P604/Donnees_annuelles!AA46*Donnees_annuelles!AI46/Donnees_annuelles!AG46</f>
        <v/>
      </c>
      <c r="S604" s="114">
        <f>P604/Donnees_annuelles!AA46*Donnees_annuelles!AJ46/Donnees_annuelles!AH46</f>
        <v/>
      </c>
    </row>
    <row r="605">
      <c r="A605" s="84" t="inlineStr">
        <is>
          <t>SNCF</t>
        </is>
      </c>
      <c r="B605" s="88" t="n">
        <v>1989</v>
      </c>
      <c r="C605" s="93" t="n">
        <v>0.1</v>
      </c>
      <c r="D605" s="93" t="n">
        <v>0.075</v>
      </c>
      <c r="E605" s="93" t="n">
        <v>0.335</v>
      </c>
      <c r="F605" s="7" t="inlineStr">
        <is>
          <t>taux normalisé (estimation documentée)</t>
        </is>
      </c>
      <c r="G605" s="93" t="n">
        <v>0</v>
      </c>
      <c r="H605" s="93" t="n">
        <v>0</v>
      </c>
      <c r="I605" s="93" t="n">
        <v>0.31347</v>
      </c>
      <c r="J605" s="94">
        <f>D605*(1-C605)+G605*MIN(C605,0.2*(1-C605))+H605</f>
        <v/>
      </c>
      <c r="K605" s="94">
        <f>E605*(1-C605)+G605*MIN(C605,0.2*(1-C605))</f>
        <v/>
      </c>
      <c r="L605" s="94">
        <f>I605*(1-C605)</f>
        <v/>
      </c>
      <c r="M605" s="89">
        <f>SUMIFS(Regimes!$G$5:$G$10,Regimes!$A$5:$A$10,A605)</f>
        <v/>
      </c>
      <c r="N605" s="14">
        <f>Donnees_annuelles!D47*J605</f>
        <v/>
      </c>
      <c r="O605" s="14">
        <f>Donnees_annuelles!D47*K605</f>
        <v/>
      </c>
      <c r="P605" s="14">
        <f>N605+O605</f>
        <v/>
      </c>
      <c r="Q605" s="14">
        <f>Donnees_annuelles!D47*L605</f>
        <v/>
      </c>
      <c r="R605" s="114">
        <f>P605/Donnees_annuelles!AA47*Donnees_annuelles!AI47/Donnees_annuelles!AG47</f>
        <v/>
      </c>
      <c r="S605" s="114">
        <f>P605/Donnees_annuelles!AA47*Donnees_annuelles!AJ47/Donnees_annuelles!AH47</f>
        <v/>
      </c>
    </row>
    <row r="606">
      <c r="A606" s="84" t="inlineStr">
        <is>
          <t>SNCF</t>
        </is>
      </c>
      <c r="B606" s="88" t="n">
        <v>1990</v>
      </c>
      <c r="C606" s="93" t="n">
        <v>0.1</v>
      </c>
      <c r="D606" s="93" t="n">
        <v>0.075</v>
      </c>
      <c r="E606" s="93" t="n">
        <v>0.335</v>
      </c>
      <c r="F606" s="7" t="inlineStr">
        <is>
          <t>taux normalisé (estimation documentée)</t>
        </is>
      </c>
      <c r="G606" s="93" t="n">
        <v>0</v>
      </c>
      <c r="H606" s="93" t="n">
        <v>0</v>
      </c>
      <c r="I606" s="93" t="n">
        <v>0.32997</v>
      </c>
      <c r="J606" s="94">
        <f>D606*(1-C606)+G606*MIN(C606,0.2*(1-C606))+H606</f>
        <v/>
      </c>
      <c r="K606" s="94">
        <f>E606*(1-C606)+G606*MIN(C606,0.2*(1-C606))</f>
        <v/>
      </c>
      <c r="L606" s="94">
        <f>I606*(1-C606)</f>
        <v/>
      </c>
      <c r="M606" s="89">
        <f>SUMIFS(Regimes!$G$5:$G$10,Regimes!$A$5:$A$10,A606)</f>
        <v/>
      </c>
      <c r="N606" s="14">
        <f>Donnees_annuelles!D48*J606</f>
        <v/>
      </c>
      <c r="O606" s="14">
        <f>Donnees_annuelles!D48*K606</f>
        <v/>
      </c>
      <c r="P606" s="14">
        <f>N606+O606</f>
        <v/>
      </c>
      <c r="Q606" s="14">
        <f>Donnees_annuelles!D48*L606</f>
        <v/>
      </c>
      <c r="R606" s="114">
        <f>P606/Donnees_annuelles!AA48*Donnees_annuelles!AI48/Donnees_annuelles!AG48</f>
        <v/>
      </c>
      <c r="S606" s="114">
        <f>P606/Donnees_annuelles!AA48*Donnees_annuelles!AJ48/Donnees_annuelles!AH48</f>
        <v/>
      </c>
    </row>
    <row r="607">
      <c r="A607" s="84" t="inlineStr">
        <is>
          <t>SNCF</t>
        </is>
      </c>
      <c r="B607" s="88" t="n">
        <v>1991</v>
      </c>
      <c r="C607" s="93" t="n">
        <v>0.1</v>
      </c>
      <c r="D607" s="93" t="n">
        <v>0.07820000000000001</v>
      </c>
      <c r="E607" s="93" t="n">
        <v>0.3362</v>
      </c>
      <c r="F607" s="7" t="inlineStr">
        <is>
          <t>taux normalisé (estimation documentée)</t>
        </is>
      </c>
      <c r="G607" s="93" t="n">
        <v>0</v>
      </c>
      <c r="H607" s="93" t="n">
        <v>0</v>
      </c>
      <c r="I607" s="93" t="n">
        <v>0.34647</v>
      </c>
      <c r="J607" s="94">
        <f>D607*(1-C607)+G607*MIN(C607,0.2*(1-C607))+H607</f>
        <v/>
      </c>
      <c r="K607" s="94">
        <f>E607*(1-C607)+G607*MIN(C607,0.2*(1-C607))</f>
        <v/>
      </c>
      <c r="L607" s="94">
        <f>I607*(1-C607)</f>
        <v/>
      </c>
      <c r="M607" s="89">
        <f>SUMIFS(Regimes!$G$5:$G$10,Regimes!$A$5:$A$10,A607)</f>
        <v/>
      </c>
      <c r="N607" s="14">
        <f>Donnees_annuelles!D49*J607</f>
        <v/>
      </c>
      <c r="O607" s="14">
        <f>Donnees_annuelles!D49*K607</f>
        <v/>
      </c>
      <c r="P607" s="14">
        <f>N607+O607</f>
        <v/>
      </c>
      <c r="Q607" s="14">
        <f>Donnees_annuelles!D49*L607</f>
        <v/>
      </c>
      <c r="R607" s="114">
        <f>P607/Donnees_annuelles!AA49*Donnees_annuelles!AI49/Donnees_annuelles!AG49</f>
        <v/>
      </c>
      <c r="S607" s="114">
        <f>P607/Donnees_annuelles!AA49*Donnees_annuelles!AJ49/Donnees_annuelles!AH49</f>
        <v/>
      </c>
    </row>
    <row r="608">
      <c r="A608" s="84" t="inlineStr">
        <is>
          <t>SNCF</t>
        </is>
      </c>
      <c r="B608" s="88" t="n">
        <v>1992</v>
      </c>
      <c r="C608" s="93" t="n">
        <v>0.1</v>
      </c>
      <c r="D608" s="93" t="n">
        <v>0.0785</v>
      </c>
      <c r="E608" s="93" t="n">
        <v>0.3362</v>
      </c>
      <c r="F608" s="7" t="inlineStr">
        <is>
          <t>taux normalisé (estimation documentée)</t>
        </is>
      </c>
      <c r="G608" s="93" t="n">
        <v>0</v>
      </c>
      <c r="H608" s="93" t="n">
        <v>0</v>
      </c>
      <c r="I608" s="93" t="n">
        <v>0.36297</v>
      </c>
      <c r="J608" s="94">
        <f>D608*(1-C608)+G608*MIN(C608,0.2*(1-C608))+H608</f>
        <v/>
      </c>
      <c r="K608" s="94">
        <f>E608*(1-C608)+G608*MIN(C608,0.2*(1-C608))</f>
        <v/>
      </c>
      <c r="L608" s="94">
        <f>I608*(1-C608)</f>
        <v/>
      </c>
      <c r="M608" s="89">
        <f>SUMIFS(Regimes!$G$5:$G$10,Regimes!$A$5:$A$10,A608)</f>
        <v/>
      </c>
      <c r="N608" s="14">
        <f>Donnees_annuelles!D50*J608</f>
        <v/>
      </c>
      <c r="O608" s="14">
        <f>Donnees_annuelles!D50*K608</f>
        <v/>
      </c>
      <c r="P608" s="14">
        <f>N608+O608</f>
        <v/>
      </c>
      <c r="Q608" s="14">
        <f>Donnees_annuelles!D50*L608</f>
        <v/>
      </c>
      <c r="R608" s="114">
        <f>P608/Donnees_annuelles!AA50*Donnees_annuelles!AI50/Donnees_annuelles!AG50</f>
        <v/>
      </c>
      <c r="S608" s="114">
        <f>P608/Donnees_annuelles!AA50*Donnees_annuelles!AJ50/Donnees_annuelles!AH50</f>
        <v/>
      </c>
    </row>
    <row r="609">
      <c r="A609" s="84" t="inlineStr">
        <is>
          <t>SNCF</t>
        </is>
      </c>
      <c r="B609" s="88" t="n">
        <v>1993</v>
      </c>
      <c r="C609" s="93" t="n">
        <v>0.1</v>
      </c>
      <c r="D609" s="93" t="n">
        <v>0.0785</v>
      </c>
      <c r="E609" s="93" t="n">
        <v>0.3362</v>
      </c>
      <c r="F609" s="7" t="inlineStr">
        <is>
          <t>taux normalisé (estimation documentée)</t>
        </is>
      </c>
      <c r="G609" s="93" t="n">
        <v>0</v>
      </c>
      <c r="H609" s="93" t="n">
        <v>0.006226</v>
      </c>
      <c r="I609" s="93" t="n">
        <v>0.37947</v>
      </c>
      <c r="J609" s="94">
        <f>D609*(1-C609)+G609*MIN(C609,0.2*(1-C609))+H609</f>
        <v/>
      </c>
      <c r="K609" s="94">
        <f>E609*(1-C609)+G609*MIN(C609,0.2*(1-C609))</f>
        <v/>
      </c>
      <c r="L609" s="94">
        <f>I609*(1-C609)</f>
        <v/>
      </c>
      <c r="M609" s="89">
        <f>SUMIFS(Regimes!$G$5:$G$10,Regimes!$A$5:$A$10,A609)</f>
        <v/>
      </c>
      <c r="N609" s="14">
        <f>Donnees_annuelles!D51*J609</f>
        <v/>
      </c>
      <c r="O609" s="14">
        <f>Donnees_annuelles!D51*K609</f>
        <v/>
      </c>
      <c r="P609" s="14">
        <f>N609+O609</f>
        <v/>
      </c>
      <c r="Q609" s="14">
        <f>Donnees_annuelles!D51*L609</f>
        <v/>
      </c>
      <c r="R609" s="114">
        <f>P609/Donnees_annuelles!AA51*Donnees_annuelles!AI51/Donnees_annuelles!AG51</f>
        <v/>
      </c>
      <c r="S609" s="114">
        <f>P609/Donnees_annuelles!AA51*Donnees_annuelles!AJ51/Donnees_annuelles!AH51</f>
        <v/>
      </c>
    </row>
    <row r="610">
      <c r="A610" s="84" t="inlineStr">
        <is>
          <t>SNCF</t>
        </is>
      </c>
      <c r="B610" s="88" t="n">
        <v>1994</v>
      </c>
      <c r="C610" s="93" t="n">
        <v>0.1</v>
      </c>
      <c r="D610" s="93" t="n">
        <v>0.0785</v>
      </c>
      <c r="E610" s="93" t="n">
        <v>0.3362</v>
      </c>
      <c r="F610" s="7" t="inlineStr">
        <is>
          <t>taux normalisé (estimation documentée)</t>
        </is>
      </c>
      <c r="G610" s="93" t="n">
        <v>0</v>
      </c>
      <c r="H610" s="93" t="n">
        <v>0.01235</v>
      </c>
      <c r="I610" s="93" t="n">
        <v>0.39597</v>
      </c>
      <c r="J610" s="94">
        <f>D610*(1-C610)+G610*MIN(C610,0.2*(1-C610))+H610</f>
        <v/>
      </c>
      <c r="K610" s="94">
        <f>E610*(1-C610)+G610*MIN(C610,0.2*(1-C610))</f>
        <v/>
      </c>
      <c r="L610" s="94">
        <f>I610*(1-C610)</f>
        <v/>
      </c>
      <c r="M610" s="89">
        <f>SUMIFS(Regimes!$G$5:$G$10,Regimes!$A$5:$A$10,A610)</f>
        <v/>
      </c>
      <c r="N610" s="14">
        <f>Donnees_annuelles!D52*J610</f>
        <v/>
      </c>
      <c r="O610" s="14">
        <f>Donnees_annuelles!D52*K610</f>
        <v/>
      </c>
      <c r="P610" s="14">
        <f>N610+O610</f>
        <v/>
      </c>
      <c r="Q610" s="14">
        <f>Donnees_annuelles!D52*L610</f>
        <v/>
      </c>
      <c r="R610" s="114">
        <f>P610/Donnees_annuelles!AA52*Donnees_annuelles!AI52/Donnees_annuelles!AG52</f>
        <v/>
      </c>
      <c r="S610" s="114">
        <f>P610/Donnees_annuelles!AA52*Donnees_annuelles!AJ52/Donnees_annuelles!AH52</f>
        <v/>
      </c>
    </row>
    <row r="611">
      <c r="A611" s="84" t="inlineStr">
        <is>
          <t>SNCF</t>
        </is>
      </c>
      <c r="B611" s="88" t="n">
        <v>1995</v>
      </c>
      <c r="C611" s="93" t="n">
        <v>0.1</v>
      </c>
      <c r="D611" s="93" t="n">
        <v>0.0785</v>
      </c>
      <c r="E611" s="93" t="n">
        <v>0.3362</v>
      </c>
      <c r="F611" s="7" t="inlineStr">
        <is>
          <t>taux normalisé (estimation documentée)</t>
        </is>
      </c>
      <c r="G611" s="93" t="n">
        <v>0</v>
      </c>
      <c r="H611" s="93" t="n">
        <v>0.01235</v>
      </c>
      <c r="I611" s="93" t="n">
        <v>0.41247</v>
      </c>
      <c r="J611" s="94">
        <f>D611*(1-C611)+G611*MIN(C611,0.2*(1-C611))+H611</f>
        <v/>
      </c>
      <c r="K611" s="94">
        <f>E611*(1-C611)+G611*MIN(C611,0.2*(1-C611))</f>
        <v/>
      </c>
      <c r="L611" s="94">
        <f>I611*(1-C611)</f>
        <v/>
      </c>
      <c r="M611" s="89">
        <f>SUMIFS(Regimes!$G$5:$G$10,Regimes!$A$5:$A$10,A611)</f>
        <v/>
      </c>
      <c r="N611" s="14">
        <f>Donnees_annuelles!D53*J611</f>
        <v/>
      </c>
      <c r="O611" s="14">
        <f>Donnees_annuelles!D53*K611</f>
        <v/>
      </c>
      <c r="P611" s="14">
        <f>N611+O611</f>
        <v/>
      </c>
      <c r="Q611" s="14">
        <f>Donnees_annuelles!D53*L611</f>
        <v/>
      </c>
      <c r="R611" s="114">
        <f>P611/Donnees_annuelles!AA53*Donnees_annuelles!AI53/Donnees_annuelles!AG53</f>
        <v/>
      </c>
      <c r="S611" s="114">
        <f>P611/Donnees_annuelles!AA53*Donnees_annuelles!AJ53/Donnees_annuelles!AH53</f>
        <v/>
      </c>
    </row>
    <row r="612">
      <c r="A612" s="84" t="inlineStr">
        <is>
          <t>SNCF</t>
        </is>
      </c>
      <c r="B612" s="88" t="n">
        <v>1996</v>
      </c>
      <c r="C612" s="93" t="n">
        <v>0.1</v>
      </c>
      <c r="D612" s="93" t="n">
        <v>0.0785</v>
      </c>
      <c r="E612" s="93" t="n">
        <v>0.3362</v>
      </c>
      <c r="F612" s="7" t="inlineStr">
        <is>
          <t>taux normalisé (estimation documentée)</t>
        </is>
      </c>
      <c r="G612" s="93" t="n">
        <v>0</v>
      </c>
      <c r="H612" s="93" t="n">
        <v>0.013524</v>
      </c>
      <c r="I612" s="93" t="n">
        <v>0.42897</v>
      </c>
      <c r="J612" s="94">
        <f>D612*(1-C612)+G612*MIN(C612,0.2*(1-C612))+H612</f>
        <v/>
      </c>
      <c r="K612" s="94">
        <f>E612*(1-C612)+G612*MIN(C612,0.2*(1-C612))</f>
        <v/>
      </c>
      <c r="L612" s="94">
        <f>I612*(1-C612)</f>
        <v/>
      </c>
      <c r="M612" s="89">
        <f>SUMIFS(Regimes!$G$5:$G$10,Regimes!$A$5:$A$10,A612)</f>
        <v/>
      </c>
      <c r="N612" s="14">
        <f>Donnees_annuelles!D54*J612</f>
        <v/>
      </c>
      <c r="O612" s="14">
        <f>Donnees_annuelles!D54*K612</f>
        <v/>
      </c>
      <c r="P612" s="14">
        <f>N612+O612</f>
        <v/>
      </c>
      <c r="Q612" s="14">
        <f>Donnees_annuelles!D54*L612</f>
        <v/>
      </c>
      <c r="R612" s="114">
        <f>P612/Donnees_annuelles!AA54*Donnees_annuelles!AI54/Donnees_annuelles!AG54</f>
        <v/>
      </c>
      <c r="S612" s="114">
        <f>P612/Donnees_annuelles!AA54*Donnees_annuelles!AJ54/Donnees_annuelles!AH54</f>
        <v/>
      </c>
    </row>
    <row r="613">
      <c r="A613" s="84" t="inlineStr">
        <is>
          <t>SNCF</t>
        </is>
      </c>
      <c r="B613" s="88" t="n">
        <v>1997</v>
      </c>
      <c r="C613" s="93" t="n">
        <v>0.1</v>
      </c>
      <c r="D613" s="93" t="n">
        <v>0.0785</v>
      </c>
      <c r="E613" s="93" t="n">
        <v>0.3362</v>
      </c>
      <c r="F613" s="7" t="inlineStr">
        <is>
          <t>taux normalisé (estimation documentée)</t>
        </is>
      </c>
      <c r="G613" s="93" t="n">
        <v>0</v>
      </c>
      <c r="H613" s="93" t="n">
        <v>0.013632</v>
      </c>
      <c r="I613" s="93" t="n">
        <v>0.44546</v>
      </c>
      <c r="J613" s="94">
        <f>D613*(1-C613)+G613*MIN(C613,0.2*(1-C613))+H613</f>
        <v/>
      </c>
      <c r="K613" s="94">
        <f>E613*(1-C613)+G613*MIN(C613,0.2*(1-C613))</f>
        <v/>
      </c>
      <c r="L613" s="94">
        <f>I613*(1-C613)</f>
        <v/>
      </c>
      <c r="M613" s="89">
        <f>SUMIFS(Regimes!$G$5:$G$10,Regimes!$A$5:$A$10,A613)</f>
        <v/>
      </c>
      <c r="N613" s="14">
        <f>Donnees_annuelles!D55*J613</f>
        <v/>
      </c>
      <c r="O613" s="14">
        <f>Donnees_annuelles!D55*K613</f>
        <v/>
      </c>
      <c r="P613" s="14">
        <f>N613+O613</f>
        <v/>
      </c>
      <c r="Q613" s="14">
        <f>Donnees_annuelles!D55*L613</f>
        <v/>
      </c>
      <c r="R613" s="114">
        <f>P613/Donnees_annuelles!AA55*Donnees_annuelles!AI55/Donnees_annuelles!AG55</f>
        <v/>
      </c>
      <c r="S613" s="114">
        <f>P613/Donnees_annuelles!AA55*Donnees_annuelles!AJ55/Donnees_annuelles!AH55</f>
        <v/>
      </c>
    </row>
    <row r="614">
      <c r="A614" s="84" t="inlineStr">
        <is>
          <t>SNCF</t>
        </is>
      </c>
      <c r="B614" s="88" t="n">
        <v>1998</v>
      </c>
      <c r="C614" s="93" t="n">
        <v>0.1</v>
      </c>
      <c r="D614" s="93" t="n">
        <v>0.0785</v>
      </c>
      <c r="E614" s="93" t="n">
        <v>0.3362</v>
      </c>
      <c r="F614" s="7" t="inlineStr">
        <is>
          <t>taux normalisé (estimation documentée)</t>
        </is>
      </c>
      <c r="G614" s="93" t="n">
        <v>0</v>
      </c>
      <c r="H614" s="93" t="n">
        <v>0.013632</v>
      </c>
      <c r="I614" s="93" t="n">
        <v>0.46196</v>
      </c>
      <c r="J614" s="94">
        <f>D614*(1-C614)+G614*MIN(C614,0.2*(1-C614))+H614</f>
        <v/>
      </c>
      <c r="K614" s="94">
        <f>E614*(1-C614)+G614*MIN(C614,0.2*(1-C614))</f>
        <v/>
      </c>
      <c r="L614" s="94">
        <f>I614*(1-C614)</f>
        <v/>
      </c>
      <c r="M614" s="89">
        <f>SUMIFS(Regimes!$G$5:$G$10,Regimes!$A$5:$A$10,A614)</f>
        <v/>
      </c>
      <c r="N614" s="14">
        <f>Donnees_annuelles!D56*J614</f>
        <v/>
      </c>
      <c r="O614" s="14">
        <f>Donnees_annuelles!D56*K614</f>
        <v/>
      </c>
      <c r="P614" s="14">
        <f>N614+O614</f>
        <v/>
      </c>
      <c r="Q614" s="14">
        <f>Donnees_annuelles!D56*L614</f>
        <v/>
      </c>
      <c r="R614" s="114">
        <f>P614/Donnees_annuelles!AA56*Donnees_annuelles!AI56/Donnees_annuelles!AG56</f>
        <v/>
      </c>
      <c r="S614" s="114">
        <f>P614/Donnees_annuelles!AA56*Donnees_annuelles!AJ56/Donnees_annuelles!AH56</f>
        <v/>
      </c>
    </row>
    <row r="615">
      <c r="A615" s="84" t="inlineStr">
        <is>
          <t>SNCF</t>
        </is>
      </c>
      <c r="B615" s="88" t="n">
        <v>1999</v>
      </c>
      <c r="C615" s="93" t="n">
        <v>0.1</v>
      </c>
      <c r="D615" s="93" t="n">
        <v>0.0785</v>
      </c>
      <c r="E615" s="93" t="n">
        <v>0.3362</v>
      </c>
      <c r="F615" s="7" t="inlineStr">
        <is>
          <t>taux normalisé (estimation documentée)</t>
        </is>
      </c>
      <c r="G615" s="93" t="n">
        <v>0</v>
      </c>
      <c r="H615" s="93" t="n">
        <v>0.013632</v>
      </c>
      <c r="I615" s="93" t="n">
        <v>0.47846</v>
      </c>
      <c r="J615" s="94">
        <f>D615*(1-C615)+G615*MIN(C615,0.2*(1-C615))+H615</f>
        <v/>
      </c>
      <c r="K615" s="94">
        <f>E615*(1-C615)+G615*MIN(C615,0.2*(1-C615))</f>
        <v/>
      </c>
      <c r="L615" s="94">
        <f>I615*(1-C615)</f>
        <v/>
      </c>
      <c r="M615" s="89">
        <f>SUMIFS(Regimes!$G$5:$G$10,Regimes!$A$5:$A$10,A615)</f>
        <v/>
      </c>
      <c r="N615" s="14">
        <f>Donnees_annuelles!D57*J615</f>
        <v/>
      </c>
      <c r="O615" s="14">
        <f>Donnees_annuelles!D57*K615</f>
        <v/>
      </c>
      <c r="P615" s="14">
        <f>N615+O615</f>
        <v/>
      </c>
      <c r="Q615" s="14">
        <f>Donnees_annuelles!D57*L615</f>
        <v/>
      </c>
      <c r="R615" s="114">
        <f>P615/Donnees_annuelles!AA57*Donnees_annuelles!AI57/Donnees_annuelles!AG57</f>
        <v/>
      </c>
      <c r="S615" s="114">
        <f>P615/Donnees_annuelles!AA57*Donnees_annuelles!AJ57/Donnees_annuelles!AH57</f>
        <v/>
      </c>
    </row>
    <row r="616">
      <c r="A616" s="84" t="inlineStr">
        <is>
          <t>SNCF</t>
        </is>
      </c>
      <c r="B616" s="88" t="n">
        <v>2000</v>
      </c>
      <c r="C616" s="93" t="n">
        <v>0.1</v>
      </c>
      <c r="D616" s="93" t="n">
        <v>0.0785</v>
      </c>
      <c r="E616" s="93" t="n">
        <v>0.3362</v>
      </c>
      <c r="F616" s="7" t="inlineStr">
        <is>
          <t>taux normalisé (estimation documentée)</t>
        </is>
      </c>
      <c r="G616" s="93" t="n">
        <v>0</v>
      </c>
      <c r="H616" s="93" t="n">
        <v>0.013632</v>
      </c>
      <c r="I616" s="93" t="n">
        <v>0.49496</v>
      </c>
      <c r="J616" s="94">
        <f>D616*(1-C616)+G616*MIN(C616,0.2*(1-C616))+H616</f>
        <v/>
      </c>
      <c r="K616" s="94">
        <f>E616*(1-C616)+G616*MIN(C616,0.2*(1-C616))</f>
        <v/>
      </c>
      <c r="L616" s="94">
        <f>I616*(1-C616)</f>
        <v/>
      </c>
      <c r="M616" s="89">
        <f>SUMIFS(Regimes!$G$5:$G$10,Regimes!$A$5:$A$10,A616)</f>
        <v/>
      </c>
      <c r="N616" s="14">
        <f>Donnees_annuelles!D58*J616</f>
        <v/>
      </c>
      <c r="O616" s="14">
        <f>Donnees_annuelles!D58*K616</f>
        <v/>
      </c>
      <c r="P616" s="14">
        <f>N616+O616</f>
        <v/>
      </c>
      <c r="Q616" s="14">
        <f>Donnees_annuelles!D58*L616</f>
        <v/>
      </c>
      <c r="R616" s="114">
        <f>P616/Donnees_annuelles!AA58*Donnees_annuelles!AI58/Donnees_annuelles!AG58</f>
        <v/>
      </c>
      <c r="S616" s="114">
        <f>P616/Donnees_annuelles!AA58*Donnees_annuelles!AJ58/Donnees_annuelles!AH58</f>
        <v/>
      </c>
    </row>
    <row r="617">
      <c r="A617" s="84" t="inlineStr">
        <is>
          <t>SNCF</t>
        </is>
      </c>
      <c r="B617" s="88" t="n">
        <v>2001</v>
      </c>
      <c r="C617" s="93" t="n">
        <v>0.1</v>
      </c>
      <c r="D617" s="93" t="n">
        <v>0.0785</v>
      </c>
      <c r="E617" s="93" t="n">
        <v>0.3362</v>
      </c>
      <c r="F617" s="7" t="inlineStr">
        <is>
          <t>taux normalisé (estimation documentée)</t>
        </is>
      </c>
      <c r="G617" s="93" t="n">
        <v>0</v>
      </c>
      <c r="H617" s="93" t="n">
        <v>0.012207</v>
      </c>
      <c r="I617" s="93" t="n">
        <v>0.51146</v>
      </c>
      <c r="J617" s="94">
        <f>D617*(1-C617)+G617*MIN(C617,0.2*(1-C617))+H617</f>
        <v/>
      </c>
      <c r="K617" s="94">
        <f>E617*(1-C617)+G617*MIN(C617,0.2*(1-C617))</f>
        <v/>
      </c>
      <c r="L617" s="94">
        <f>I617*(1-C617)</f>
        <v/>
      </c>
      <c r="M617" s="89">
        <f>SUMIFS(Regimes!$G$5:$G$10,Regimes!$A$5:$A$10,A617)</f>
        <v/>
      </c>
      <c r="N617" s="14">
        <f>Donnees_annuelles!D59*J617</f>
        <v/>
      </c>
      <c r="O617" s="14">
        <f>Donnees_annuelles!D59*K617</f>
        <v/>
      </c>
      <c r="P617" s="14">
        <f>N617+O617</f>
        <v/>
      </c>
      <c r="Q617" s="14">
        <f>Donnees_annuelles!D59*L617</f>
        <v/>
      </c>
      <c r="R617" s="114">
        <f>P617/Donnees_annuelles!AA59*Donnees_annuelles!AI59/Donnees_annuelles!AG59</f>
        <v/>
      </c>
      <c r="S617" s="114">
        <f>P617/Donnees_annuelles!AA59*Donnees_annuelles!AJ59/Donnees_annuelles!AH59</f>
        <v/>
      </c>
    </row>
    <row r="618">
      <c r="A618" s="84" t="inlineStr">
        <is>
          <t>SNCF</t>
        </is>
      </c>
      <c r="B618" s="88" t="n">
        <v>2002</v>
      </c>
      <c r="C618" s="93" t="n">
        <v>0.1</v>
      </c>
      <c r="D618" s="93" t="n">
        <v>0.0785</v>
      </c>
      <c r="E618" s="93" t="n">
        <v>0.3362</v>
      </c>
      <c r="F618" s="7" t="inlineStr">
        <is>
          <t>taux normalisé (estimation documentée)</t>
        </is>
      </c>
      <c r="G618" s="93" t="n">
        <v>0</v>
      </c>
      <c r="H618" s="93" t="n">
        <v>0.011258</v>
      </c>
      <c r="I618" s="93" t="n">
        <v>0.52796</v>
      </c>
      <c r="J618" s="94">
        <f>D618*(1-C618)+G618*MIN(C618,0.2*(1-C618))+H618</f>
        <v/>
      </c>
      <c r="K618" s="94">
        <f>E618*(1-C618)+G618*MIN(C618,0.2*(1-C618))</f>
        <v/>
      </c>
      <c r="L618" s="94">
        <f>I618*(1-C618)</f>
        <v/>
      </c>
      <c r="M618" s="89">
        <f>SUMIFS(Regimes!$G$5:$G$10,Regimes!$A$5:$A$10,A618)</f>
        <v/>
      </c>
      <c r="N618" s="14">
        <f>Donnees_annuelles!D60*J618</f>
        <v/>
      </c>
      <c r="O618" s="14">
        <f>Donnees_annuelles!D60*K618</f>
        <v/>
      </c>
      <c r="P618" s="14">
        <f>N618+O618</f>
        <v/>
      </c>
      <c r="Q618" s="14">
        <f>Donnees_annuelles!D60*L618</f>
        <v/>
      </c>
      <c r="R618" s="114">
        <f>P618/Donnees_annuelles!AA60*Donnees_annuelles!AI60/Donnees_annuelles!AG60</f>
        <v/>
      </c>
      <c r="S618" s="114">
        <f>P618/Donnees_annuelles!AA60*Donnees_annuelles!AJ60/Donnees_annuelles!AH60</f>
        <v/>
      </c>
    </row>
    <row r="619">
      <c r="A619" s="84" t="inlineStr">
        <is>
          <t>SNCF</t>
        </is>
      </c>
      <c r="B619" s="88" t="n">
        <v>2003</v>
      </c>
      <c r="C619" s="93" t="n">
        <v>0.1</v>
      </c>
      <c r="D619" s="93" t="n">
        <v>0.0785</v>
      </c>
      <c r="E619" s="93" t="n">
        <v>0.3362</v>
      </c>
      <c r="F619" s="7" t="inlineStr">
        <is>
          <t>taux normalisé (estimation documentée)</t>
        </is>
      </c>
      <c r="G619" s="93" t="n">
        <v>0</v>
      </c>
      <c r="H619" s="93" t="n">
        <v>0.011258</v>
      </c>
      <c r="I619" s="93" t="n">
        <v>0.5444600000000001</v>
      </c>
      <c r="J619" s="94">
        <f>D619*(1-C619)+G619*MIN(C619,0.2*(1-C619))+H619</f>
        <v/>
      </c>
      <c r="K619" s="94">
        <f>E619*(1-C619)+G619*MIN(C619,0.2*(1-C619))</f>
        <v/>
      </c>
      <c r="L619" s="94">
        <f>I619*(1-C619)</f>
        <v/>
      </c>
      <c r="M619" s="89">
        <f>SUMIFS(Regimes!$G$5:$G$10,Regimes!$A$5:$A$10,A619)</f>
        <v/>
      </c>
      <c r="N619" s="14">
        <f>Donnees_annuelles!D61*J619</f>
        <v/>
      </c>
      <c r="O619" s="14">
        <f>Donnees_annuelles!D61*K619</f>
        <v/>
      </c>
      <c r="P619" s="14">
        <f>N619+O619</f>
        <v/>
      </c>
      <c r="Q619" s="14">
        <f>Donnees_annuelles!D61*L619</f>
        <v/>
      </c>
      <c r="R619" s="114">
        <f>P619/Donnees_annuelles!AA61*Donnees_annuelles!AI61/Donnees_annuelles!AG61</f>
        <v/>
      </c>
      <c r="S619" s="114">
        <f>P619/Donnees_annuelles!AA61*Donnees_annuelles!AJ61/Donnees_annuelles!AH61</f>
        <v/>
      </c>
    </row>
    <row r="620">
      <c r="A620" s="84" t="inlineStr">
        <is>
          <t>SNCF</t>
        </is>
      </c>
      <c r="B620" s="88" t="n">
        <v>2004</v>
      </c>
      <c r="C620" s="93" t="n">
        <v>0.1</v>
      </c>
      <c r="D620" s="93" t="n">
        <v>0.0785</v>
      </c>
      <c r="E620" s="93" t="n">
        <v>0.3362</v>
      </c>
      <c r="F620" s="7" t="inlineStr">
        <is>
          <t>taux normalisé (estimation documentée)</t>
        </is>
      </c>
      <c r="G620" s="93" t="n">
        <v>0</v>
      </c>
      <c r="H620" s="93" t="n">
        <v>0.011258</v>
      </c>
      <c r="I620" s="93" t="n">
        <v>0.5609499999999999</v>
      </c>
      <c r="J620" s="94">
        <f>D620*(1-C620)+G620*MIN(C620,0.2*(1-C620))+H620</f>
        <v/>
      </c>
      <c r="K620" s="94">
        <f>E620*(1-C620)+G620*MIN(C620,0.2*(1-C620))</f>
        <v/>
      </c>
      <c r="L620" s="94">
        <f>I620*(1-C620)</f>
        <v/>
      </c>
      <c r="M620" s="89">
        <f>SUMIFS(Regimes!$G$5:$G$10,Regimes!$A$5:$A$10,A620)</f>
        <v/>
      </c>
      <c r="N620" s="14">
        <f>Donnees_annuelles!D62*J620</f>
        <v/>
      </c>
      <c r="O620" s="14">
        <f>Donnees_annuelles!D62*K620</f>
        <v/>
      </c>
      <c r="P620" s="14">
        <f>N620+O620</f>
        <v/>
      </c>
      <c r="Q620" s="14">
        <f>Donnees_annuelles!D62*L620</f>
        <v/>
      </c>
      <c r="R620" s="114">
        <f>P620/Donnees_annuelles!AA62*Donnees_annuelles!AI62/Donnees_annuelles!AG62</f>
        <v/>
      </c>
      <c r="S620" s="114">
        <f>P620/Donnees_annuelles!AA62*Donnees_annuelles!AJ62/Donnees_annuelles!AH62</f>
        <v/>
      </c>
    </row>
    <row r="621">
      <c r="A621" s="84" t="inlineStr">
        <is>
          <t>SNCF</t>
        </is>
      </c>
      <c r="B621" s="88" t="n">
        <v>2005</v>
      </c>
      <c r="C621" s="93" t="n">
        <v>0.1</v>
      </c>
      <c r="D621" s="93" t="n">
        <v>0.0785</v>
      </c>
      <c r="E621" s="93" t="n">
        <v>0.3362</v>
      </c>
      <c r="F621" s="7" t="inlineStr">
        <is>
          <t>taux normalisé (estimation documentée)</t>
        </is>
      </c>
      <c r="G621" s="93" t="n">
        <v>0</v>
      </c>
      <c r="H621" s="93" t="n">
        <v>0.011494</v>
      </c>
      <c r="I621" s="93" t="n">
        <v>0.57745</v>
      </c>
      <c r="J621" s="94">
        <f>D621*(1-C621)+G621*MIN(C621,0.2*(1-C621))+H621</f>
        <v/>
      </c>
      <c r="K621" s="94">
        <f>E621*(1-C621)+G621*MIN(C621,0.2*(1-C621))</f>
        <v/>
      </c>
      <c r="L621" s="94">
        <f>I621*(1-C621)</f>
        <v/>
      </c>
      <c r="M621" s="89">
        <f>SUMIFS(Regimes!$G$5:$G$10,Regimes!$A$5:$A$10,A621)</f>
        <v/>
      </c>
      <c r="N621" s="14">
        <f>Donnees_annuelles!D63*J621</f>
        <v/>
      </c>
      <c r="O621" s="14">
        <f>Donnees_annuelles!D63*K621</f>
        <v/>
      </c>
      <c r="P621" s="14">
        <f>N621+O621</f>
        <v/>
      </c>
      <c r="Q621" s="14">
        <f>Donnees_annuelles!D63*L621</f>
        <v/>
      </c>
      <c r="R621" s="114">
        <f>P621/Donnees_annuelles!AA63*Donnees_annuelles!AI63/Donnees_annuelles!AG63</f>
        <v/>
      </c>
      <c r="S621" s="114">
        <f>P621/Donnees_annuelles!AA63*Donnees_annuelles!AJ63/Donnees_annuelles!AH63</f>
        <v/>
      </c>
    </row>
    <row r="622">
      <c r="A622" s="84" t="inlineStr">
        <is>
          <t>SNCF</t>
        </is>
      </c>
      <c r="B622" s="88" t="n">
        <v>2006</v>
      </c>
      <c r="C622" s="93" t="n">
        <v>0.1</v>
      </c>
      <c r="D622" s="93" t="n">
        <v>0.0785</v>
      </c>
      <c r="E622" s="93" t="n">
        <v>0.3362</v>
      </c>
      <c r="F622" s="7" t="inlineStr">
        <is>
          <t>taux normalisé (estimation documentée)</t>
        </is>
      </c>
      <c r="G622" s="93" t="n">
        <v>0</v>
      </c>
      <c r="H622" s="93" t="n">
        <v>0.011494</v>
      </c>
      <c r="I622" s="93" t="n">
        <v>0.59395</v>
      </c>
      <c r="J622" s="94">
        <f>D622*(1-C622)+G622*MIN(C622,0.2*(1-C622))+H622</f>
        <v/>
      </c>
      <c r="K622" s="94">
        <f>E622*(1-C622)+G622*MIN(C622,0.2*(1-C622))</f>
        <v/>
      </c>
      <c r="L622" s="94">
        <f>I622*(1-C622)</f>
        <v/>
      </c>
      <c r="M622" s="89">
        <f>SUMIFS(Regimes!$G$5:$G$10,Regimes!$A$5:$A$10,A622)</f>
        <v/>
      </c>
      <c r="N622" s="14">
        <f>Donnees_annuelles!D64*J622</f>
        <v/>
      </c>
      <c r="O622" s="14">
        <f>Donnees_annuelles!D64*K622</f>
        <v/>
      </c>
      <c r="P622" s="14">
        <f>N622+O622</f>
        <v/>
      </c>
      <c r="Q622" s="14">
        <f>Donnees_annuelles!D64*L622</f>
        <v/>
      </c>
      <c r="R622" s="114">
        <f>P622/Donnees_annuelles!AA64*Donnees_annuelles!AI64/Donnees_annuelles!AG64</f>
        <v/>
      </c>
      <c r="S622" s="114">
        <f>P622/Donnees_annuelles!AA64*Donnees_annuelles!AJ64/Donnees_annuelles!AH64</f>
        <v/>
      </c>
    </row>
    <row r="623">
      <c r="A623" s="84" t="inlineStr">
        <is>
          <t>SNCF</t>
        </is>
      </c>
      <c r="B623" s="88" t="n">
        <v>2007</v>
      </c>
      <c r="C623" s="93" t="n">
        <v>0.1</v>
      </c>
      <c r="D623" s="93" t="n">
        <v>0.0785</v>
      </c>
      <c r="E623" s="93" t="n">
        <v>0.3448</v>
      </c>
      <c r="F623" s="7" t="inlineStr">
        <is>
          <t>légal</t>
        </is>
      </c>
      <c r="G623" s="93" t="n">
        <v>0</v>
      </c>
      <c r="H623" s="93" t="n">
        <v>0.011494</v>
      </c>
      <c r="I623" s="93" t="n">
        <v>0.61045</v>
      </c>
      <c r="J623" s="94">
        <f>D623*(1-C623)+G623*MIN(C623,0.2*(1-C623))+H623</f>
        <v/>
      </c>
      <c r="K623" s="94">
        <f>E623*(1-C623)+G623*MIN(C623,0.2*(1-C623))</f>
        <v/>
      </c>
      <c r="L623" s="94">
        <f>I623*(1-C623)</f>
        <v/>
      </c>
      <c r="M623" s="89">
        <f>SUMIFS(Regimes!$G$5:$G$10,Regimes!$A$5:$A$10,A623)</f>
        <v/>
      </c>
      <c r="N623" s="14">
        <f>Donnees_annuelles!D65*J623</f>
        <v/>
      </c>
      <c r="O623" s="14">
        <f>Donnees_annuelles!D65*K623</f>
        <v/>
      </c>
      <c r="P623" s="14">
        <f>N623+O623</f>
        <v/>
      </c>
      <c r="Q623" s="14">
        <f>Donnees_annuelles!D65*L623</f>
        <v/>
      </c>
      <c r="R623" s="114">
        <f>P623/Donnees_annuelles!AA65*Donnees_annuelles!AI65/Donnees_annuelles!AG65</f>
        <v/>
      </c>
      <c r="S623" s="114">
        <f>P623/Donnees_annuelles!AA65*Donnees_annuelles!AJ65/Donnees_annuelles!AH65</f>
        <v/>
      </c>
    </row>
    <row r="624">
      <c r="A624" s="84" t="inlineStr">
        <is>
          <t>SNCF</t>
        </is>
      </c>
      <c r="B624" s="88" t="n">
        <v>2008</v>
      </c>
      <c r="C624" s="93" t="n">
        <v>0.1</v>
      </c>
      <c r="D624" s="93" t="n">
        <v>0.0785</v>
      </c>
      <c r="E624" s="93" t="n">
        <v>0.3483</v>
      </c>
      <c r="F624" s="7" t="inlineStr">
        <is>
          <t>légal</t>
        </is>
      </c>
      <c r="G624" s="93" t="n">
        <v>0</v>
      </c>
      <c r="H624" s="93" t="n">
        <v>0.011494</v>
      </c>
      <c r="I624" s="93" t="n">
        <v>0.62695</v>
      </c>
      <c r="J624" s="94">
        <f>D624*(1-C624)+G624*MIN(C624,0.2*(1-C624))+H624</f>
        <v/>
      </c>
      <c r="K624" s="94">
        <f>E624*(1-C624)+G624*MIN(C624,0.2*(1-C624))</f>
        <v/>
      </c>
      <c r="L624" s="94">
        <f>I624*(1-C624)</f>
        <v/>
      </c>
      <c r="M624" s="89">
        <f>SUMIFS(Regimes!$G$5:$G$10,Regimes!$A$5:$A$10,A624)</f>
        <v/>
      </c>
      <c r="N624" s="14">
        <f>Donnees_annuelles!D66*J624</f>
        <v/>
      </c>
      <c r="O624" s="14">
        <f>Donnees_annuelles!D66*K624</f>
        <v/>
      </c>
      <c r="P624" s="14">
        <f>N624+O624</f>
        <v/>
      </c>
      <c r="Q624" s="14">
        <f>Donnees_annuelles!D66*L624</f>
        <v/>
      </c>
      <c r="R624" s="114">
        <f>P624/Donnees_annuelles!AA66*Donnees_annuelles!AI66/Donnees_annuelles!AG66</f>
        <v/>
      </c>
      <c r="S624" s="114">
        <f>P624/Donnees_annuelles!AA66*Donnees_annuelles!AJ66/Donnees_annuelles!AH66</f>
        <v/>
      </c>
    </row>
    <row r="625">
      <c r="A625" s="84" t="inlineStr">
        <is>
          <t>SNCF</t>
        </is>
      </c>
      <c r="B625" s="88" t="n">
        <v>2009</v>
      </c>
      <c r="C625" s="93" t="n">
        <v>0.1</v>
      </c>
      <c r="D625" s="93" t="n">
        <v>0.0785</v>
      </c>
      <c r="E625" s="93" t="n">
        <v>0.3506</v>
      </c>
      <c r="F625" s="7" t="inlineStr">
        <is>
          <t>légal</t>
        </is>
      </c>
      <c r="G625" s="93" t="n">
        <v>0</v>
      </c>
      <c r="H625" s="93" t="n">
        <v>0.010078</v>
      </c>
      <c r="I625" s="93" t="n">
        <v>0.6380400000000001</v>
      </c>
      <c r="J625" s="94">
        <f>D625*(1-C625)+G625*MIN(C625,0.2*(1-C625))+H625</f>
        <v/>
      </c>
      <c r="K625" s="94">
        <f>E625*(1-C625)+G625*MIN(C625,0.2*(1-C625))</f>
        <v/>
      </c>
      <c r="L625" s="94">
        <f>I625*(1-C625)</f>
        <v/>
      </c>
      <c r="M625" s="89">
        <f>SUMIFS(Regimes!$G$5:$G$10,Regimes!$A$5:$A$10,A625)</f>
        <v/>
      </c>
      <c r="N625" s="14">
        <f>Donnees_annuelles!D67*J625</f>
        <v/>
      </c>
      <c r="O625" s="14">
        <f>Donnees_annuelles!D67*K625</f>
        <v/>
      </c>
      <c r="P625" s="14">
        <f>N625+O625</f>
        <v/>
      </c>
      <c r="Q625" s="14">
        <f>Donnees_annuelles!D67*L625</f>
        <v/>
      </c>
      <c r="R625" s="114">
        <f>P625/Donnees_annuelles!AA67*Donnees_annuelles!AI67/Donnees_annuelles!AG67</f>
        <v/>
      </c>
      <c r="S625" s="114">
        <f>P625/Donnees_annuelles!AA67*Donnees_annuelles!AJ67/Donnees_annuelles!AH67</f>
        <v/>
      </c>
    </row>
    <row r="626">
      <c r="A626" s="84" t="inlineStr">
        <is>
          <t>SNCF</t>
        </is>
      </c>
      <c r="B626" s="88" t="n">
        <v>2010</v>
      </c>
      <c r="C626" s="93" t="n">
        <v>0.1</v>
      </c>
      <c r="D626" s="93" t="n">
        <v>0.0785</v>
      </c>
      <c r="E626" s="93" t="n">
        <v>0.3489</v>
      </c>
      <c r="F626" s="7" t="inlineStr">
        <is>
          <t>légal</t>
        </is>
      </c>
      <c r="G626" s="93" t="n">
        <v>0</v>
      </c>
      <c r="H626" s="93" t="n">
        <v>0.010078</v>
      </c>
      <c r="I626" s="93" t="n">
        <v>0.64869</v>
      </c>
      <c r="J626" s="94">
        <f>D626*(1-C626)+G626*MIN(C626,0.2*(1-C626))+H626</f>
        <v/>
      </c>
      <c r="K626" s="94">
        <f>E626*(1-C626)+G626*MIN(C626,0.2*(1-C626))</f>
        <v/>
      </c>
      <c r="L626" s="94">
        <f>I626*(1-C626)</f>
        <v/>
      </c>
      <c r="M626" s="89">
        <f>SUMIFS(Regimes!$G$5:$G$10,Regimes!$A$5:$A$10,A626)</f>
        <v/>
      </c>
      <c r="N626" s="14">
        <f>Donnees_annuelles!D68*J626</f>
        <v/>
      </c>
      <c r="O626" s="14">
        <f>Donnees_annuelles!D68*K626</f>
        <v/>
      </c>
      <c r="P626" s="14">
        <f>N626+O626</f>
        <v/>
      </c>
      <c r="Q626" s="14">
        <f>Donnees_annuelles!D68*L626</f>
        <v/>
      </c>
      <c r="R626" s="114">
        <f>P626/Donnees_annuelles!AA68*Donnees_annuelles!AI68/Donnees_annuelles!AG68</f>
        <v/>
      </c>
      <c r="S626" s="114">
        <f>P626/Donnees_annuelles!AA68*Donnees_annuelles!AJ68/Donnees_annuelles!AH68</f>
        <v/>
      </c>
    </row>
    <row r="627">
      <c r="A627" s="84" t="inlineStr">
        <is>
          <t>SNCF</t>
        </is>
      </c>
      <c r="B627" s="88" t="n">
        <v>2011</v>
      </c>
      <c r="C627" s="93" t="n">
        <v>0.1</v>
      </c>
      <c r="D627" s="93" t="n">
        <v>0.0785</v>
      </c>
      <c r="E627" s="93" t="n">
        <v>0.3372</v>
      </c>
      <c r="F627" s="7" t="inlineStr">
        <is>
          <t>légal</t>
        </is>
      </c>
      <c r="G627" s="93" t="n">
        <v>0</v>
      </c>
      <c r="H627" s="93" t="n">
        <v>0.010812</v>
      </c>
      <c r="I627" s="93" t="n">
        <v>0.66699</v>
      </c>
      <c r="J627" s="94">
        <f>D627*(1-C627)+G627*MIN(C627,0.2*(1-C627))+H627</f>
        <v/>
      </c>
      <c r="K627" s="94">
        <f>E627*(1-C627)+G627*MIN(C627,0.2*(1-C627))</f>
        <v/>
      </c>
      <c r="L627" s="94">
        <f>I627*(1-C627)</f>
        <v/>
      </c>
      <c r="M627" s="89">
        <f>SUMIFS(Regimes!$G$5:$G$10,Regimes!$A$5:$A$10,A627)</f>
        <v/>
      </c>
      <c r="N627" s="14">
        <f>Donnees_annuelles!D69*J627</f>
        <v/>
      </c>
      <c r="O627" s="14">
        <f>Donnees_annuelles!D69*K627</f>
        <v/>
      </c>
      <c r="P627" s="14">
        <f>N627+O627</f>
        <v/>
      </c>
      <c r="Q627" s="14">
        <f>Donnees_annuelles!D69*L627</f>
        <v/>
      </c>
      <c r="R627" s="114">
        <f>P627/Donnees_annuelles!AA69*Donnees_annuelles!AI69/Donnees_annuelles!AG69</f>
        <v/>
      </c>
      <c r="S627" s="114">
        <f>P627/Donnees_annuelles!AA69*Donnees_annuelles!AJ69/Donnees_annuelles!AH69</f>
        <v/>
      </c>
    </row>
    <row r="628">
      <c r="A628" s="84" t="inlineStr">
        <is>
          <t>SNCF</t>
        </is>
      </c>
      <c r="B628" s="88" t="n">
        <v>2012</v>
      </c>
      <c r="C628" s="93" t="n">
        <v>0.1</v>
      </c>
      <c r="D628" s="93" t="n">
        <v>0.0785</v>
      </c>
      <c r="E628" s="93" t="n">
        <v>0.3417</v>
      </c>
      <c r="F628" s="7" t="inlineStr">
        <is>
          <t>légal</t>
        </is>
      </c>
      <c r="G628" s="93" t="n">
        <v>0</v>
      </c>
      <c r="H628" s="93" t="n">
        <v>0.010951</v>
      </c>
      <c r="I628" s="93" t="n">
        <v>0.71078</v>
      </c>
      <c r="J628" s="94">
        <f>D628*(1-C628)+G628*MIN(C628,0.2*(1-C628))+H628</f>
        <v/>
      </c>
      <c r="K628" s="94">
        <f>E628*(1-C628)+G628*MIN(C628,0.2*(1-C628))</f>
        <v/>
      </c>
      <c r="L628" s="94">
        <f>I628*(1-C628)</f>
        <v/>
      </c>
      <c r="M628" s="89">
        <f>SUMIFS(Regimes!$G$5:$G$10,Regimes!$A$5:$A$10,A628)</f>
        <v/>
      </c>
      <c r="N628" s="14">
        <f>Donnees_annuelles!D70*J628</f>
        <v/>
      </c>
      <c r="O628" s="14">
        <f>Donnees_annuelles!D70*K628</f>
        <v/>
      </c>
      <c r="P628" s="14">
        <f>N628+O628</f>
        <v/>
      </c>
      <c r="Q628" s="14">
        <f>Donnees_annuelles!D70*L628</f>
        <v/>
      </c>
      <c r="R628" s="114">
        <f>P628/Donnees_annuelles!AA70*Donnees_annuelles!AI70/Donnees_annuelles!AG70</f>
        <v/>
      </c>
      <c r="S628" s="114">
        <f>P628/Donnees_annuelles!AA70*Donnees_annuelles!AJ70/Donnees_annuelles!AH70</f>
        <v/>
      </c>
    </row>
    <row r="629">
      <c r="A629" s="84" t="inlineStr">
        <is>
          <t>SNCF</t>
        </is>
      </c>
      <c r="B629" s="88" t="n">
        <v>2013</v>
      </c>
      <c r="C629" s="93" t="n">
        <v>0.1</v>
      </c>
      <c r="D629" s="93" t="n">
        <v>0.0785</v>
      </c>
      <c r="E629" s="93" t="n">
        <v>0.3454</v>
      </c>
      <c r="F629" s="7" t="inlineStr">
        <is>
          <t>légal</t>
        </is>
      </c>
      <c r="G629" s="93" t="n">
        <v>0</v>
      </c>
      <c r="H629" s="93" t="n">
        <v>0.010951</v>
      </c>
      <c r="I629" s="93" t="n">
        <v>0.70742</v>
      </c>
      <c r="J629" s="94">
        <f>D629*(1-C629)+G629*MIN(C629,0.2*(1-C629))+H629</f>
        <v/>
      </c>
      <c r="K629" s="94">
        <f>E629*(1-C629)+G629*MIN(C629,0.2*(1-C629))</f>
        <v/>
      </c>
      <c r="L629" s="94">
        <f>I629*(1-C629)</f>
        <v/>
      </c>
      <c r="M629" s="89">
        <f>SUMIFS(Regimes!$G$5:$G$10,Regimes!$A$5:$A$10,A629)</f>
        <v/>
      </c>
      <c r="N629" s="14">
        <f>Donnees_annuelles!D71*J629</f>
        <v/>
      </c>
      <c r="O629" s="14">
        <f>Donnees_annuelles!D71*K629</f>
        <v/>
      </c>
      <c r="P629" s="14">
        <f>N629+O629</f>
        <v/>
      </c>
      <c r="Q629" s="14">
        <f>Donnees_annuelles!D71*L629</f>
        <v/>
      </c>
      <c r="R629" s="114">
        <f>P629/Donnees_annuelles!AA71*Donnees_annuelles!AI71/Donnees_annuelles!AG71</f>
        <v/>
      </c>
      <c r="S629" s="114">
        <f>P629/Donnees_annuelles!AA71*Donnees_annuelles!AJ71/Donnees_annuelles!AH71</f>
        <v/>
      </c>
    </row>
    <row r="630">
      <c r="A630" s="84" t="inlineStr">
        <is>
          <t>SNCF</t>
        </is>
      </c>
      <c r="B630" s="88" t="n">
        <v>2014</v>
      </c>
      <c r="C630" s="93" t="n">
        <v>0.1</v>
      </c>
      <c r="D630" s="93" t="n">
        <v>0.0805</v>
      </c>
      <c r="E630" s="93" t="n">
        <v>0.3518</v>
      </c>
      <c r="F630" s="7" t="inlineStr">
        <is>
          <t>légal</t>
        </is>
      </c>
      <c r="G630" s="93" t="n">
        <v>0</v>
      </c>
      <c r="H630" s="93" t="n">
        <v>0.010951</v>
      </c>
      <c r="I630" s="93" t="n">
        <v>0.70405</v>
      </c>
      <c r="J630" s="94">
        <f>D630*(1-C630)+G630*MIN(C630,0.2*(1-C630))+H630</f>
        <v/>
      </c>
      <c r="K630" s="94">
        <f>E630*(1-C630)+G630*MIN(C630,0.2*(1-C630))</f>
        <v/>
      </c>
      <c r="L630" s="94">
        <f>I630*(1-C630)</f>
        <v/>
      </c>
      <c r="M630" s="89">
        <f>SUMIFS(Regimes!$G$5:$G$10,Regimes!$A$5:$A$10,A630)</f>
        <v/>
      </c>
      <c r="N630" s="14">
        <f>Donnees_annuelles!D72*J630</f>
        <v/>
      </c>
      <c r="O630" s="14">
        <f>Donnees_annuelles!D72*K630</f>
        <v/>
      </c>
      <c r="P630" s="14">
        <f>N630+O630</f>
        <v/>
      </c>
      <c r="Q630" s="14">
        <f>Donnees_annuelles!D72*L630</f>
        <v/>
      </c>
      <c r="R630" s="114">
        <f>P630/Donnees_annuelles!AA72*Donnees_annuelles!AI72/Donnees_annuelles!AG72</f>
        <v/>
      </c>
      <c r="S630" s="114">
        <f>P630/Donnees_annuelles!AA72*Donnees_annuelles!AJ72/Donnees_annuelles!AH72</f>
        <v/>
      </c>
    </row>
    <row r="631">
      <c r="A631" s="84" t="inlineStr">
        <is>
          <t>SNCF</t>
        </is>
      </c>
      <c r="B631" s="88" t="n">
        <v>2015</v>
      </c>
      <c r="C631" s="93" t="n">
        <v>0.1</v>
      </c>
      <c r="D631" s="93" t="n">
        <v>0.0815</v>
      </c>
      <c r="E631" s="93" t="n">
        <v>0.3514</v>
      </c>
      <c r="F631" s="7" t="inlineStr">
        <is>
          <t>légal</t>
        </is>
      </c>
      <c r="G631" s="93" t="n">
        <v>0</v>
      </c>
      <c r="H631" s="93" t="n">
        <v>0.010951</v>
      </c>
      <c r="I631" s="93" t="n">
        <v>0.70068</v>
      </c>
      <c r="J631" s="94">
        <f>D631*(1-C631)+G631*MIN(C631,0.2*(1-C631))+H631</f>
        <v/>
      </c>
      <c r="K631" s="94">
        <f>E631*(1-C631)+G631*MIN(C631,0.2*(1-C631))</f>
        <v/>
      </c>
      <c r="L631" s="94">
        <f>I631*(1-C631)</f>
        <v/>
      </c>
      <c r="M631" s="89">
        <f>SUMIFS(Regimes!$G$5:$G$10,Regimes!$A$5:$A$10,A631)</f>
        <v/>
      </c>
      <c r="N631" s="14">
        <f>Donnees_annuelles!D73*J631</f>
        <v/>
      </c>
      <c r="O631" s="14">
        <f>Donnees_annuelles!D73*K631</f>
        <v/>
      </c>
      <c r="P631" s="14">
        <f>N631+O631</f>
        <v/>
      </c>
      <c r="Q631" s="14">
        <f>Donnees_annuelles!D73*L631</f>
        <v/>
      </c>
      <c r="R631" s="114">
        <f>P631/Donnees_annuelles!AA73*Donnees_annuelles!AI73/Donnees_annuelles!AG73</f>
        <v/>
      </c>
      <c r="S631" s="114">
        <f>P631/Donnees_annuelles!AA73*Donnees_annuelles!AJ73/Donnees_annuelles!AH73</f>
        <v/>
      </c>
    </row>
    <row r="632">
      <c r="A632" s="84" t="inlineStr">
        <is>
          <t>SNCF</t>
        </is>
      </c>
      <c r="B632" s="88" t="n">
        <v>2016</v>
      </c>
      <c r="C632" s="93" t="n">
        <v>0.1</v>
      </c>
      <c r="D632" s="93" t="n">
        <v>0.082</v>
      </c>
      <c r="E632" s="93" t="n">
        <v>0.3554</v>
      </c>
      <c r="F632" s="7" t="inlineStr">
        <is>
          <t>légal</t>
        </is>
      </c>
      <c r="G632" s="93" t="n">
        <v>0</v>
      </c>
      <c r="H632" s="93" t="n">
        <v>0.002918</v>
      </c>
      <c r="I632" s="93" t="n">
        <v>0.6973200000000001</v>
      </c>
      <c r="J632" s="94">
        <f>D632*(1-C632)+G632*MIN(C632,0.2*(1-C632))+H632</f>
        <v/>
      </c>
      <c r="K632" s="94">
        <f>E632*(1-C632)+G632*MIN(C632,0.2*(1-C632))</f>
        <v/>
      </c>
      <c r="L632" s="94">
        <f>I632*(1-C632)</f>
        <v/>
      </c>
      <c r="M632" s="89">
        <f>SUMIFS(Regimes!$G$5:$G$10,Regimes!$A$5:$A$10,A632)</f>
        <v/>
      </c>
      <c r="N632" s="14">
        <f>Donnees_annuelles!D74*J632</f>
        <v/>
      </c>
      <c r="O632" s="14">
        <f>Donnees_annuelles!D74*K632</f>
        <v/>
      </c>
      <c r="P632" s="14">
        <f>N632+O632</f>
        <v/>
      </c>
      <c r="Q632" s="14">
        <f>Donnees_annuelles!D74*L632</f>
        <v/>
      </c>
      <c r="R632" s="114">
        <f>P632/Donnees_annuelles!AA74*Donnees_annuelles!AI74/Donnees_annuelles!AG74</f>
        <v/>
      </c>
      <c r="S632" s="114">
        <f>P632/Donnees_annuelles!AA74*Donnees_annuelles!AJ74/Donnees_annuelles!AH74</f>
        <v/>
      </c>
    </row>
    <row r="633">
      <c r="A633" s="84" t="inlineStr">
        <is>
          <t>SNCF</t>
        </is>
      </c>
      <c r="B633" s="88" t="n">
        <v>2017</v>
      </c>
      <c r="C633" s="93" t="n">
        <v>0.1</v>
      </c>
      <c r="D633" s="93" t="n">
        <v>0.0852</v>
      </c>
      <c r="E633" s="93" t="n">
        <v>0.36712</v>
      </c>
      <c r="F633" s="7" t="inlineStr">
        <is>
          <t>légal</t>
        </is>
      </c>
      <c r="G633" s="93" t="n">
        <v>0</v>
      </c>
      <c r="H633" s="93" t="n">
        <v>0.002918</v>
      </c>
      <c r="I633" s="93" t="n">
        <v>0.7312</v>
      </c>
      <c r="J633" s="94">
        <f>D633*(1-C633)+G633*MIN(C633,0.2*(1-C633))+H633</f>
        <v/>
      </c>
      <c r="K633" s="94">
        <f>E633*(1-C633)+G633*MIN(C633,0.2*(1-C633))</f>
        <v/>
      </c>
      <c r="L633" s="94">
        <f>I633*(1-C633)</f>
        <v/>
      </c>
      <c r="M633" s="89">
        <f>SUMIFS(Regimes!$G$5:$G$10,Regimes!$A$5:$A$10,A633)</f>
        <v/>
      </c>
      <c r="N633" s="14">
        <f>Donnees_annuelles!D75*J633</f>
        <v/>
      </c>
      <c r="O633" s="14">
        <f>Donnees_annuelles!D75*K633</f>
        <v/>
      </c>
      <c r="P633" s="14">
        <f>N633+O633</f>
        <v/>
      </c>
      <c r="Q633" s="14">
        <f>Donnees_annuelles!D75*L633</f>
        <v/>
      </c>
      <c r="R633" s="114">
        <f>P633/Donnees_annuelles!AA75*Donnees_annuelles!AI75/Donnees_annuelles!AG75</f>
        <v/>
      </c>
      <c r="S633" s="114">
        <f>P633/Donnees_annuelles!AA75*Donnees_annuelles!AJ75/Donnees_annuelles!AH75</f>
        <v/>
      </c>
    </row>
    <row r="634">
      <c r="A634" s="84" t="inlineStr">
        <is>
          <t>SNCF</t>
        </is>
      </c>
      <c r="B634" s="88" t="n">
        <v>2018</v>
      </c>
      <c r="C634" s="93" t="n">
        <v>0.1</v>
      </c>
      <c r="D634" s="93" t="n">
        <v>0.08790000000000001</v>
      </c>
      <c r="E634" s="93" t="n">
        <v>0.371</v>
      </c>
      <c r="F634" s="7" t="inlineStr">
        <is>
          <t>légal</t>
        </is>
      </c>
      <c r="G634" s="93" t="n">
        <v>0</v>
      </c>
      <c r="H634" s="93" t="n">
        <v>0.002918</v>
      </c>
      <c r="I634" s="93" t="n">
        <v>0.74413</v>
      </c>
      <c r="J634" s="94">
        <f>D634*(1-C634)+G634*MIN(C634,0.2*(1-C634))+H634</f>
        <v/>
      </c>
      <c r="K634" s="94">
        <f>E634*(1-C634)+G634*MIN(C634,0.2*(1-C634))</f>
        <v/>
      </c>
      <c r="L634" s="94">
        <f>I634*(1-C634)</f>
        <v/>
      </c>
      <c r="M634" s="89">
        <f>SUMIFS(Regimes!$G$5:$G$10,Regimes!$A$5:$A$10,A634)</f>
        <v/>
      </c>
      <c r="N634" s="14">
        <f>Donnees_annuelles!D76*J634</f>
        <v/>
      </c>
      <c r="O634" s="14">
        <f>Donnees_annuelles!D76*K634</f>
        <v/>
      </c>
      <c r="P634" s="14">
        <f>N634+O634</f>
        <v/>
      </c>
      <c r="Q634" s="14">
        <f>Donnees_annuelles!D76*L634</f>
        <v/>
      </c>
      <c r="R634" s="114">
        <f>P634/Donnees_annuelles!AA76*Donnees_annuelles!AI76/Donnees_annuelles!AG76</f>
        <v/>
      </c>
      <c r="S634" s="114">
        <f>P634/Donnees_annuelles!AA76*Donnees_annuelles!AJ76/Donnees_annuelles!AH76</f>
        <v/>
      </c>
    </row>
    <row r="635">
      <c r="A635" s="84" t="inlineStr">
        <is>
          <t>SNCF</t>
        </is>
      </c>
      <c r="B635" s="88" t="n">
        <v>2019</v>
      </c>
      <c r="C635" s="93" t="n">
        <v>0.1</v>
      </c>
      <c r="D635" s="93" t="n">
        <v>0.0906</v>
      </c>
      <c r="E635" s="93" t="n">
        <v>0.3759</v>
      </c>
      <c r="F635" s="7" t="inlineStr">
        <is>
          <t>légal</t>
        </is>
      </c>
      <c r="G635" s="93" t="n">
        <v>0</v>
      </c>
      <c r="H635" s="93" t="n">
        <v>0.002918</v>
      </c>
      <c r="I635" s="93" t="n">
        <v>0.75705</v>
      </c>
      <c r="J635" s="94">
        <f>D635*(1-C635)+G635*MIN(C635,0.2*(1-C635))+H635</f>
        <v/>
      </c>
      <c r="K635" s="94">
        <f>E635*(1-C635)+G635*MIN(C635,0.2*(1-C635))</f>
        <v/>
      </c>
      <c r="L635" s="94">
        <f>I635*(1-C635)</f>
        <v/>
      </c>
      <c r="M635" s="89">
        <f>SUMIFS(Regimes!$G$5:$G$10,Regimes!$A$5:$A$10,A635)</f>
        <v/>
      </c>
      <c r="N635" s="14">
        <f>Donnees_annuelles!D77*J635</f>
        <v/>
      </c>
      <c r="O635" s="14">
        <f>Donnees_annuelles!D77*K635</f>
        <v/>
      </c>
      <c r="P635" s="14">
        <f>N635+O635</f>
        <v/>
      </c>
      <c r="Q635" s="14">
        <f>Donnees_annuelles!D77*L635</f>
        <v/>
      </c>
      <c r="R635" s="114">
        <f>P635/Donnees_annuelles!AA77*Donnees_annuelles!AI77/Donnees_annuelles!AG77</f>
        <v/>
      </c>
      <c r="S635" s="114">
        <f>P635/Donnees_annuelles!AA77*Donnees_annuelles!AJ77/Donnees_annuelles!AH77</f>
        <v/>
      </c>
    </row>
    <row r="636">
      <c r="A636" s="84" t="inlineStr">
        <is>
          <t>SNCF</t>
        </is>
      </c>
      <c r="B636" s="88" t="n">
        <v>2020</v>
      </c>
      <c r="C636" s="93" t="n">
        <v>0.1</v>
      </c>
      <c r="D636" s="93" t="n">
        <v>0.09329999999999999</v>
      </c>
      <c r="E636" s="93" t="n">
        <v>0.3779</v>
      </c>
      <c r="F636" s="7" t="inlineStr">
        <is>
          <t>légal</t>
        </is>
      </c>
      <c r="G636" s="93" t="n">
        <v>0</v>
      </c>
      <c r="H636" s="93" t="n">
        <v>0.002918</v>
      </c>
      <c r="I636" s="93" t="n">
        <v>0.78215</v>
      </c>
      <c r="J636" s="94">
        <f>D636*(1-C636)+G636*MIN(C636,0.2*(1-C636))+H636</f>
        <v/>
      </c>
      <c r="K636" s="94">
        <f>E636*(1-C636)+G636*MIN(C636,0.2*(1-C636))</f>
        <v/>
      </c>
      <c r="L636" s="94">
        <f>I636*(1-C636)</f>
        <v/>
      </c>
      <c r="M636" s="89">
        <f>SUMIFS(Regimes!$G$5:$G$10,Regimes!$A$5:$A$10,A636)</f>
        <v/>
      </c>
      <c r="N636" s="14">
        <f>Donnees_annuelles!D78*J636</f>
        <v/>
      </c>
      <c r="O636" s="14">
        <f>Donnees_annuelles!D78*K636</f>
        <v/>
      </c>
      <c r="P636" s="14">
        <f>N636+O636</f>
        <v/>
      </c>
      <c r="Q636" s="14">
        <f>Donnees_annuelles!D78*L636</f>
        <v/>
      </c>
      <c r="R636" s="114">
        <f>P636/Donnees_annuelles!AA78*Donnees_annuelles!AI78/Donnees_annuelles!AG78</f>
        <v/>
      </c>
      <c r="S636" s="114">
        <f>P636/Donnees_annuelles!AA78*Donnees_annuelles!AJ78/Donnees_annuelles!AH78</f>
        <v/>
      </c>
    </row>
    <row r="637">
      <c r="A637" s="84" t="inlineStr">
        <is>
          <t>SNCF</t>
        </is>
      </c>
      <c r="B637" s="88" t="n">
        <v>2021</v>
      </c>
      <c r="C637" s="93" t="n">
        <v>0.1</v>
      </c>
      <c r="D637" s="93" t="n">
        <v>0.096</v>
      </c>
      <c r="E637" s="93" t="n">
        <v>0.3807</v>
      </c>
      <c r="F637" s="7" t="inlineStr">
        <is>
          <t>légal</t>
        </is>
      </c>
      <c r="G637" s="93" t="n">
        <v>0</v>
      </c>
      <c r="H637" s="93" t="n">
        <v>0.002918</v>
      </c>
      <c r="I637" s="93" t="n">
        <v>0.79365</v>
      </c>
      <c r="J637" s="94">
        <f>D637*(1-C637)+G637*MIN(C637,0.2*(1-C637))+H637</f>
        <v/>
      </c>
      <c r="K637" s="94">
        <f>E637*(1-C637)+G637*MIN(C637,0.2*(1-C637))</f>
        <v/>
      </c>
      <c r="L637" s="94">
        <f>I637*(1-C637)</f>
        <v/>
      </c>
      <c r="M637" s="89">
        <f>SUMIFS(Regimes!$G$5:$G$10,Regimes!$A$5:$A$10,A637)</f>
        <v/>
      </c>
      <c r="N637" s="14">
        <f>Donnees_annuelles!D79*J637</f>
        <v/>
      </c>
      <c r="O637" s="14">
        <f>Donnees_annuelles!D79*K637</f>
        <v/>
      </c>
      <c r="P637" s="14">
        <f>N637+O637</f>
        <v/>
      </c>
      <c r="Q637" s="14">
        <f>Donnees_annuelles!D79*L637</f>
        <v/>
      </c>
      <c r="R637" s="114">
        <f>P637/Donnees_annuelles!AA79*Donnees_annuelles!AI79/Donnees_annuelles!AG79</f>
        <v/>
      </c>
      <c r="S637" s="114">
        <f>P637/Donnees_annuelles!AA79*Donnees_annuelles!AJ79/Donnees_annuelles!AH79</f>
        <v/>
      </c>
    </row>
    <row r="638">
      <c r="A638" s="84" t="inlineStr">
        <is>
          <t>SNCF</t>
        </is>
      </c>
      <c r="B638" s="88" t="n">
        <v>2022</v>
      </c>
      <c r="C638" s="93" t="n">
        <v>0.1</v>
      </c>
      <c r="D638" s="93" t="n">
        <v>0.0987</v>
      </c>
      <c r="E638" s="93" t="n">
        <v>0.3829</v>
      </c>
      <c r="F638" s="7" t="inlineStr">
        <is>
          <t>légal</t>
        </is>
      </c>
      <c r="G638" s="93" t="n">
        <v>0</v>
      </c>
      <c r="H638" s="93" t="n">
        <v>0.002918</v>
      </c>
      <c r="I638" s="93" t="n">
        <v>0.8071</v>
      </c>
      <c r="J638" s="94">
        <f>D638*(1-C638)+G638*MIN(C638,0.2*(1-C638))+H638</f>
        <v/>
      </c>
      <c r="K638" s="94">
        <f>E638*(1-C638)+G638*MIN(C638,0.2*(1-C638))</f>
        <v/>
      </c>
      <c r="L638" s="94">
        <f>I638*(1-C638)</f>
        <v/>
      </c>
      <c r="M638" s="89">
        <f>SUMIFS(Regimes!$G$5:$G$10,Regimes!$A$5:$A$10,A638)</f>
        <v/>
      </c>
      <c r="N638" s="14">
        <f>Donnees_annuelles!D80*J638</f>
        <v/>
      </c>
      <c r="O638" s="14">
        <f>Donnees_annuelles!D80*K638</f>
        <v/>
      </c>
      <c r="P638" s="14">
        <f>N638+O638</f>
        <v/>
      </c>
      <c r="Q638" s="14">
        <f>Donnees_annuelles!D80*L638</f>
        <v/>
      </c>
      <c r="R638" s="114">
        <f>P638/Donnees_annuelles!AA80*Donnees_annuelles!AI80/Donnees_annuelles!AG80</f>
        <v/>
      </c>
      <c r="S638" s="114">
        <f>P638/Donnees_annuelles!AA80*Donnees_annuelles!AJ80/Donnees_annuelles!AH80</f>
        <v/>
      </c>
    </row>
    <row r="639">
      <c r="A639" s="84" t="inlineStr">
        <is>
          <t>SNCF</t>
        </is>
      </c>
      <c r="B639" s="88" t="n">
        <v>2023</v>
      </c>
      <c r="C639" s="93" t="n">
        <v>0.1</v>
      </c>
      <c r="D639" s="93" t="n">
        <v>0.1014</v>
      </c>
      <c r="E639" s="93" t="n">
        <v>0.3857</v>
      </c>
      <c r="F639" s="7" t="inlineStr">
        <is>
          <t>légal</t>
        </is>
      </c>
      <c r="G639" s="93" t="n">
        <v>0</v>
      </c>
      <c r="H639" s="93" t="n">
        <v>0.002918</v>
      </c>
      <c r="I639" s="93" t="n">
        <v>0.8617899999999999</v>
      </c>
      <c r="J639" s="94">
        <f>D639*(1-C639)+G639*MIN(C639,0.2*(1-C639))+H639</f>
        <v/>
      </c>
      <c r="K639" s="94">
        <f>E639*(1-C639)+G639*MIN(C639,0.2*(1-C639))</f>
        <v/>
      </c>
      <c r="L639" s="94">
        <f>I639*(1-C639)</f>
        <v/>
      </c>
      <c r="M639" s="89">
        <f>SUMIFS(Regimes!$G$5:$G$10,Regimes!$A$5:$A$10,A639)</f>
        <v/>
      </c>
      <c r="N639" s="14">
        <f>Donnees_annuelles!D81*J639</f>
        <v/>
      </c>
      <c r="O639" s="14">
        <f>Donnees_annuelles!D81*K639</f>
        <v/>
      </c>
      <c r="P639" s="14">
        <f>N639+O639</f>
        <v/>
      </c>
      <c r="Q639" s="14">
        <f>Donnees_annuelles!D81*L639</f>
        <v/>
      </c>
      <c r="R639" s="114">
        <f>P639/Donnees_annuelles!AA81*Donnees_annuelles!AI81/Donnees_annuelles!AG81</f>
        <v/>
      </c>
      <c r="S639" s="114">
        <f>P639/Donnees_annuelles!AA81*Donnees_annuelles!AJ81/Donnees_annuelles!AH81</f>
        <v/>
      </c>
    </row>
    <row r="640">
      <c r="A640" s="84" t="inlineStr">
        <is>
          <t>SNCF</t>
        </is>
      </c>
      <c r="B640" s="88" t="n">
        <v>2024</v>
      </c>
      <c r="C640" s="93" t="n">
        <v>0.1</v>
      </c>
      <c r="D640" s="93" t="n">
        <v>0.1041</v>
      </c>
      <c r="E640" s="93" t="n">
        <v>0.3884</v>
      </c>
      <c r="F640" s="7" t="inlineStr">
        <is>
          <t>légal</t>
        </is>
      </c>
      <c r="G640" s="93" t="n">
        <v>0</v>
      </c>
      <c r="H640" s="93" t="n">
        <v>0.00252</v>
      </c>
      <c r="I640" s="93" t="n">
        <v>0.87387</v>
      </c>
      <c r="J640" s="94">
        <f>D640*(1-C640)+G640*MIN(C640,0.2*(1-C640))+H640</f>
        <v/>
      </c>
      <c r="K640" s="94">
        <f>E640*(1-C640)+G640*MIN(C640,0.2*(1-C640))</f>
        <v/>
      </c>
      <c r="L640" s="94">
        <f>I640*(1-C640)</f>
        <v/>
      </c>
      <c r="M640" s="89">
        <f>SUMIFS(Regimes!$G$5:$G$10,Regimes!$A$5:$A$10,A640)</f>
        <v/>
      </c>
      <c r="N640" s="14">
        <f>Donnees_annuelles!D82*J640</f>
        <v/>
      </c>
      <c r="O640" s="14">
        <f>Donnees_annuelles!D82*K640</f>
        <v/>
      </c>
      <c r="P640" s="14">
        <f>N640+O640</f>
        <v/>
      </c>
      <c r="Q640" s="14">
        <f>Donnees_annuelles!D82*L640</f>
        <v/>
      </c>
      <c r="R640" s="114">
        <f>P640/Donnees_annuelles!AA82*Donnees_annuelles!AI82/Donnees_annuelles!AG82</f>
        <v/>
      </c>
      <c r="S640" s="114">
        <f>P640/Donnees_annuelles!AA82*Donnees_annuelles!AJ82/Donnees_annuelles!AH82</f>
        <v/>
      </c>
    </row>
    <row r="641">
      <c r="A641" s="84" t="inlineStr">
        <is>
          <t>SNCF</t>
        </is>
      </c>
      <c r="B641" s="88" t="n">
        <v>2025</v>
      </c>
      <c r="C641" s="93" t="n">
        <v>0.1</v>
      </c>
      <c r="D641" s="93" t="n">
        <v>0.1068</v>
      </c>
      <c r="E641" s="93" t="n">
        <v>0.3762</v>
      </c>
      <c r="F641" s="7" t="inlineStr">
        <is>
          <t>légal</t>
        </is>
      </c>
      <c r="G641" s="93" t="n">
        <v>0</v>
      </c>
      <c r="H641" s="93" t="n">
        <v>0.00252</v>
      </c>
      <c r="I641" s="93" t="n">
        <v>0.80748</v>
      </c>
      <c r="J641" s="94">
        <f>D641*(1-C641)+G641*MIN(C641,0.2*(1-C641))+H641</f>
        <v/>
      </c>
      <c r="K641" s="94">
        <f>E641*(1-C641)+G641*MIN(C641,0.2*(1-C641))</f>
        <v/>
      </c>
      <c r="L641" s="94">
        <f>I641*(1-C641)</f>
        <v/>
      </c>
      <c r="M641" s="89">
        <f>SUMIFS(Regimes!$G$5:$G$10,Regimes!$A$5:$A$10,A641)</f>
        <v/>
      </c>
      <c r="N641" s="14">
        <f>Donnees_annuelles!D83*J641</f>
        <v/>
      </c>
      <c r="O641" s="14">
        <f>Donnees_annuelles!D83*K641</f>
        <v/>
      </c>
      <c r="P641" s="14">
        <f>N641+O641</f>
        <v/>
      </c>
      <c r="Q641" s="14">
        <f>Donnees_annuelles!D83*L641</f>
        <v/>
      </c>
      <c r="R641" s="114">
        <f>P641/Donnees_annuelles!AA83*Donnees_annuelles!AI83/Donnees_annuelles!AG83</f>
        <v/>
      </c>
      <c r="S641" s="114">
        <f>P641/Donnees_annuelles!AA83*Donnees_annuelles!AJ83/Donnees_annuelles!AH83</f>
        <v/>
      </c>
    </row>
    <row r="642">
      <c r="A642" s="84" t="inlineStr">
        <is>
          <t>SNCF</t>
        </is>
      </c>
      <c r="B642" s="88" t="n">
        <v>2026</v>
      </c>
      <c r="C642" s="93" t="n">
        <v>0.1</v>
      </c>
      <c r="D642" s="93" t="n">
        <v>0.1095</v>
      </c>
      <c r="E642" s="93" t="n">
        <v>0.3751</v>
      </c>
      <c r="F642" s="7" t="inlineStr">
        <is>
          <t>légal</t>
        </is>
      </c>
      <c r="G642" s="93" t="n">
        <v>0</v>
      </c>
      <c r="H642" s="93" t="n">
        <v>0.00252</v>
      </c>
      <c r="I642" s="93" t="n">
        <v>0.80748</v>
      </c>
      <c r="J642" s="94">
        <f>D642*(1-C642)+G642*MIN(C642,0.2*(1-C642))+H642</f>
        <v/>
      </c>
      <c r="K642" s="94">
        <f>E642*(1-C642)+G642*MIN(C642,0.2*(1-C642))</f>
        <v/>
      </c>
      <c r="L642" s="94">
        <f>I642*(1-C642)</f>
        <v/>
      </c>
      <c r="M642" s="89">
        <f>SUMIFS(Regimes!$G$5:$G$10,Regimes!$A$5:$A$10,A642)</f>
        <v/>
      </c>
      <c r="N642" s="14">
        <f>Donnees_annuelles!D84*J642</f>
        <v/>
      </c>
      <c r="O642" s="14">
        <f>Donnees_annuelles!D84*K642</f>
        <v/>
      </c>
      <c r="P642" s="14">
        <f>N642+O642</f>
        <v/>
      </c>
      <c r="Q642" s="14">
        <f>Donnees_annuelles!D84*L642</f>
        <v/>
      </c>
      <c r="R642" s="114">
        <f>P642/Donnees_annuelles!AA84*Donnees_annuelles!AI84/Donnees_annuelles!AG84</f>
        <v/>
      </c>
      <c r="S642" s="114">
        <f>P642/Donnees_annuelles!AA84*Donnees_annuelles!AJ84/Donnees_annuelles!AH84</f>
        <v/>
      </c>
    </row>
    <row r="643">
      <c r="A643" s="115" t="inlineStr">
        <is>
          <t>SNCF</t>
        </is>
      </c>
      <c r="B643" s="101" t="n">
        <v>2027</v>
      </c>
      <c r="C643" s="105" t="n">
        <v>0.1</v>
      </c>
      <c r="D643" s="105" t="n">
        <v>0.1095</v>
      </c>
      <c r="E643" s="105" t="n">
        <v>0.3751</v>
      </c>
      <c r="F643" s="116" t="inlineStr">
        <is>
          <t>légal</t>
        </is>
      </c>
      <c r="G643" s="105" t="n">
        <v>0</v>
      </c>
      <c r="H643" s="105" t="n">
        <v>0.00252</v>
      </c>
      <c r="I643" s="105" t="n">
        <v>0.80748</v>
      </c>
      <c r="J643" s="107">
        <f>D643*(1-C643)+G643*MIN(C643,0.2*(1-C643))+H643</f>
        <v/>
      </c>
      <c r="K643" s="107">
        <f>E643*(1-C643)+G643*MIN(C643,0.2*(1-C643))</f>
        <v/>
      </c>
      <c r="L643" s="107">
        <f>I643*(1-C643)</f>
        <v/>
      </c>
      <c r="M643" s="119">
        <f>SUMIFS(Regimes!$G$5:$G$10,Regimes!$A$5:$A$10,A643)</f>
        <v/>
      </c>
      <c r="N643" s="106">
        <f>Donnees_annuelles!D85*J643</f>
        <v/>
      </c>
      <c r="O643" s="106">
        <f>Donnees_annuelles!D85*K643</f>
        <v/>
      </c>
      <c r="P643" s="106">
        <f>N643+O643</f>
        <v/>
      </c>
      <c r="Q643" s="106">
        <f>Donnees_annuelles!D85*L643</f>
        <v/>
      </c>
      <c r="R643" s="118">
        <f>P643/Donnees_annuelles!AA85*Donnees_annuelles!AI85/Donnees_annuelles!AG85</f>
        <v/>
      </c>
      <c r="S643" s="118">
        <f>P643/Donnees_annuelles!AA85*Donnees_annuelles!AJ85/Donnees_annuelles!AH85</f>
        <v/>
      </c>
    </row>
    <row r="644">
      <c r="A644" s="115" t="inlineStr">
        <is>
          <t>SNCF</t>
        </is>
      </c>
      <c r="B644" s="101" t="n">
        <v>2028</v>
      </c>
      <c r="C644" s="105" t="n">
        <v>0.1</v>
      </c>
      <c r="D644" s="105" t="n">
        <v>0.1095</v>
      </c>
      <c r="E644" s="105" t="n">
        <v>0.3751</v>
      </c>
      <c r="F644" s="116" t="inlineStr">
        <is>
          <t>légal</t>
        </is>
      </c>
      <c r="G644" s="105" t="n">
        <v>0</v>
      </c>
      <c r="H644" s="105" t="n">
        <v>0.00252</v>
      </c>
      <c r="I644" s="105" t="n">
        <v>0.80748</v>
      </c>
      <c r="J644" s="107">
        <f>D644*(1-C644)+G644*MIN(C644,0.2*(1-C644))+H644</f>
        <v/>
      </c>
      <c r="K644" s="107">
        <f>E644*(1-C644)+G644*MIN(C644,0.2*(1-C644))</f>
        <v/>
      </c>
      <c r="L644" s="107">
        <f>I644*(1-C644)</f>
        <v/>
      </c>
      <c r="M644" s="119">
        <f>SUMIFS(Regimes!$G$5:$G$10,Regimes!$A$5:$A$10,A644)</f>
        <v/>
      </c>
      <c r="N644" s="106">
        <f>Donnees_annuelles!D86*J644</f>
        <v/>
      </c>
      <c r="O644" s="106">
        <f>Donnees_annuelles!D86*K644</f>
        <v/>
      </c>
      <c r="P644" s="106">
        <f>N644+O644</f>
        <v/>
      </c>
      <c r="Q644" s="106">
        <f>Donnees_annuelles!D86*L644</f>
        <v/>
      </c>
      <c r="R644" s="118">
        <f>P644/Donnees_annuelles!AA86*Donnees_annuelles!AI86/Donnees_annuelles!AG86</f>
        <v/>
      </c>
      <c r="S644" s="118">
        <f>P644/Donnees_annuelles!AA86*Donnees_annuelles!AJ86/Donnees_annuelles!AH86</f>
        <v/>
      </c>
    </row>
    <row r="645">
      <c r="A645" s="115" t="inlineStr">
        <is>
          <t>SNCF</t>
        </is>
      </c>
      <c r="B645" s="101" t="n">
        <v>2029</v>
      </c>
      <c r="C645" s="105" t="n">
        <v>0.1</v>
      </c>
      <c r="D645" s="105" t="n">
        <v>0.1095</v>
      </c>
      <c r="E645" s="105" t="n">
        <v>0.3751</v>
      </c>
      <c r="F645" s="116" t="inlineStr">
        <is>
          <t>légal</t>
        </is>
      </c>
      <c r="G645" s="105" t="n">
        <v>0</v>
      </c>
      <c r="H645" s="105" t="n">
        <v>0.00252</v>
      </c>
      <c r="I645" s="105" t="n">
        <v>0.80748</v>
      </c>
      <c r="J645" s="107">
        <f>D645*(1-C645)+G645*MIN(C645,0.2*(1-C645))+H645</f>
        <v/>
      </c>
      <c r="K645" s="107">
        <f>E645*(1-C645)+G645*MIN(C645,0.2*(1-C645))</f>
        <v/>
      </c>
      <c r="L645" s="107">
        <f>I645*(1-C645)</f>
        <v/>
      </c>
      <c r="M645" s="119">
        <f>SUMIFS(Regimes!$G$5:$G$10,Regimes!$A$5:$A$10,A645)</f>
        <v/>
      </c>
      <c r="N645" s="106">
        <f>Donnees_annuelles!D87*J645</f>
        <v/>
      </c>
      <c r="O645" s="106">
        <f>Donnees_annuelles!D87*K645</f>
        <v/>
      </c>
      <c r="P645" s="106">
        <f>N645+O645</f>
        <v/>
      </c>
      <c r="Q645" s="106">
        <f>Donnees_annuelles!D87*L645</f>
        <v/>
      </c>
      <c r="R645" s="118">
        <f>P645/Donnees_annuelles!AA87*Donnees_annuelles!AI87/Donnees_annuelles!AG87</f>
        <v/>
      </c>
      <c r="S645" s="118">
        <f>P645/Donnees_annuelles!AA87*Donnees_annuelles!AJ87/Donnees_annuelles!AH87</f>
        <v/>
      </c>
    </row>
    <row r="646">
      <c r="A646" s="115" t="inlineStr">
        <is>
          <t>SNCF</t>
        </is>
      </c>
      <c r="B646" s="101" t="n">
        <v>2030</v>
      </c>
      <c r="C646" s="105" t="n">
        <v>0.1</v>
      </c>
      <c r="D646" s="105" t="n">
        <v>0.1095</v>
      </c>
      <c r="E646" s="105" t="n">
        <v>0.3751</v>
      </c>
      <c r="F646" s="116" t="inlineStr">
        <is>
          <t>légal</t>
        </is>
      </c>
      <c r="G646" s="105" t="n">
        <v>0</v>
      </c>
      <c r="H646" s="105" t="n">
        <v>0.00252</v>
      </c>
      <c r="I646" s="105" t="n">
        <v>0.80748</v>
      </c>
      <c r="J646" s="107">
        <f>D646*(1-C646)+G646*MIN(C646,0.2*(1-C646))+H646</f>
        <v/>
      </c>
      <c r="K646" s="107">
        <f>E646*(1-C646)+G646*MIN(C646,0.2*(1-C646))</f>
        <v/>
      </c>
      <c r="L646" s="107">
        <f>I646*(1-C646)</f>
        <v/>
      </c>
      <c r="M646" s="119">
        <f>SUMIFS(Regimes!$G$5:$G$10,Regimes!$A$5:$A$10,A646)</f>
        <v/>
      </c>
      <c r="N646" s="106">
        <f>Donnees_annuelles!D88*J646</f>
        <v/>
      </c>
      <c r="O646" s="106">
        <f>Donnees_annuelles!D88*K646</f>
        <v/>
      </c>
      <c r="P646" s="106">
        <f>N646+O646</f>
        <v/>
      </c>
      <c r="Q646" s="106">
        <f>Donnees_annuelles!D88*L646</f>
        <v/>
      </c>
      <c r="R646" s="118">
        <f>P646/Donnees_annuelles!AA88*Donnees_annuelles!AI88/Donnees_annuelles!AG88</f>
        <v/>
      </c>
      <c r="S646" s="118">
        <f>P646/Donnees_annuelles!AA88*Donnees_annuelles!AJ88/Donnees_annuelles!AH88</f>
        <v/>
      </c>
    </row>
    <row r="647">
      <c r="A647" s="115" t="inlineStr">
        <is>
          <t>SNCF</t>
        </is>
      </c>
      <c r="B647" s="101" t="n">
        <v>2031</v>
      </c>
      <c r="C647" s="105" t="n">
        <v>0.1</v>
      </c>
      <c r="D647" s="105" t="n">
        <v>0.1095</v>
      </c>
      <c r="E647" s="105" t="n">
        <v>0.3751</v>
      </c>
      <c r="F647" s="116" t="inlineStr">
        <is>
          <t>légal</t>
        </is>
      </c>
      <c r="G647" s="105" t="n">
        <v>0</v>
      </c>
      <c r="H647" s="105" t="n">
        <v>0.00252</v>
      </c>
      <c r="I647" s="105" t="n">
        <v>0.80748</v>
      </c>
      <c r="J647" s="107">
        <f>D647*(1-C647)+G647*MIN(C647,0.2*(1-C647))+H647</f>
        <v/>
      </c>
      <c r="K647" s="107">
        <f>E647*(1-C647)+G647*MIN(C647,0.2*(1-C647))</f>
        <v/>
      </c>
      <c r="L647" s="107">
        <f>I647*(1-C647)</f>
        <v/>
      </c>
      <c r="M647" s="119">
        <f>SUMIFS(Regimes!$G$5:$G$10,Regimes!$A$5:$A$10,A647)</f>
        <v/>
      </c>
      <c r="N647" s="106">
        <f>Donnees_annuelles!D89*J647</f>
        <v/>
      </c>
      <c r="O647" s="106">
        <f>Donnees_annuelles!D89*K647</f>
        <v/>
      </c>
      <c r="P647" s="106">
        <f>N647+O647</f>
        <v/>
      </c>
      <c r="Q647" s="106">
        <f>Donnees_annuelles!D89*L647</f>
        <v/>
      </c>
      <c r="R647" s="118">
        <f>P647/Donnees_annuelles!AA89*Donnees_annuelles!AI89/Donnees_annuelles!AG89</f>
        <v/>
      </c>
      <c r="S647" s="118">
        <f>P647/Donnees_annuelles!AA89*Donnees_annuelles!AJ89/Donnees_annuelles!AH89</f>
        <v/>
      </c>
    </row>
    <row r="648">
      <c r="A648" s="115" t="inlineStr">
        <is>
          <t>SNCF</t>
        </is>
      </c>
      <c r="B648" s="101" t="n">
        <v>2032</v>
      </c>
      <c r="C648" s="105" t="n">
        <v>0.1</v>
      </c>
      <c r="D648" s="105" t="n">
        <v>0.1095</v>
      </c>
      <c r="E648" s="105" t="n">
        <v>0.3751</v>
      </c>
      <c r="F648" s="116" t="inlineStr">
        <is>
          <t>légal</t>
        </is>
      </c>
      <c r="G648" s="105" t="n">
        <v>0</v>
      </c>
      <c r="H648" s="105" t="n">
        <v>0.00252</v>
      </c>
      <c r="I648" s="105" t="n">
        <v>0.80748</v>
      </c>
      <c r="J648" s="107">
        <f>D648*(1-C648)+G648*MIN(C648,0.2*(1-C648))+H648</f>
        <v/>
      </c>
      <c r="K648" s="107">
        <f>E648*(1-C648)+G648*MIN(C648,0.2*(1-C648))</f>
        <v/>
      </c>
      <c r="L648" s="107">
        <f>I648*(1-C648)</f>
        <v/>
      </c>
      <c r="M648" s="119">
        <f>SUMIFS(Regimes!$G$5:$G$10,Regimes!$A$5:$A$10,A648)</f>
        <v/>
      </c>
      <c r="N648" s="106">
        <f>Donnees_annuelles!D90*J648</f>
        <v/>
      </c>
      <c r="O648" s="106">
        <f>Donnees_annuelles!D90*K648</f>
        <v/>
      </c>
      <c r="P648" s="106">
        <f>N648+O648</f>
        <v/>
      </c>
      <c r="Q648" s="106">
        <f>Donnees_annuelles!D90*L648</f>
        <v/>
      </c>
      <c r="R648" s="118">
        <f>P648/Donnees_annuelles!AA90*Donnees_annuelles!AI90/Donnees_annuelles!AG90</f>
        <v/>
      </c>
      <c r="S648" s="118">
        <f>P648/Donnees_annuelles!AA90*Donnees_annuelles!AJ90/Donnees_annuelles!AH90</f>
        <v/>
      </c>
    </row>
    <row r="649">
      <c r="A649" s="115" t="inlineStr">
        <is>
          <t>SNCF</t>
        </is>
      </c>
      <c r="B649" s="101" t="n">
        <v>2033</v>
      </c>
      <c r="C649" s="105" t="n">
        <v>0.1</v>
      </c>
      <c r="D649" s="105" t="n">
        <v>0.1095</v>
      </c>
      <c r="E649" s="105" t="n">
        <v>0.3751</v>
      </c>
      <c r="F649" s="116" t="inlineStr">
        <is>
          <t>légal</t>
        </is>
      </c>
      <c r="G649" s="105" t="n">
        <v>0</v>
      </c>
      <c r="H649" s="105" t="n">
        <v>0.00252</v>
      </c>
      <c r="I649" s="105" t="n">
        <v>0.80748</v>
      </c>
      <c r="J649" s="107">
        <f>D649*(1-C649)+G649*MIN(C649,0.2*(1-C649))+H649</f>
        <v/>
      </c>
      <c r="K649" s="107">
        <f>E649*(1-C649)+G649*MIN(C649,0.2*(1-C649))</f>
        <v/>
      </c>
      <c r="L649" s="107">
        <f>I649*(1-C649)</f>
        <v/>
      </c>
      <c r="M649" s="119">
        <f>SUMIFS(Regimes!$G$5:$G$10,Regimes!$A$5:$A$10,A649)</f>
        <v/>
      </c>
      <c r="N649" s="106">
        <f>Donnees_annuelles!D91*J649</f>
        <v/>
      </c>
      <c r="O649" s="106">
        <f>Donnees_annuelles!D91*K649</f>
        <v/>
      </c>
      <c r="P649" s="106">
        <f>N649+O649</f>
        <v/>
      </c>
      <c r="Q649" s="106">
        <f>Donnees_annuelles!D91*L649</f>
        <v/>
      </c>
      <c r="R649" s="118">
        <f>P649/Donnees_annuelles!AA91*Donnees_annuelles!AI91/Donnees_annuelles!AG91</f>
        <v/>
      </c>
      <c r="S649" s="118">
        <f>P649/Donnees_annuelles!AA91*Donnees_annuelles!AJ91/Donnees_annuelles!AH91</f>
        <v/>
      </c>
    </row>
    <row r="650">
      <c r="A650" s="115" t="inlineStr">
        <is>
          <t>SNCF</t>
        </is>
      </c>
      <c r="B650" s="101" t="n">
        <v>2034</v>
      </c>
      <c r="C650" s="105" t="n">
        <v>0.1</v>
      </c>
      <c r="D650" s="105" t="n">
        <v>0.1095</v>
      </c>
      <c r="E650" s="105" t="n">
        <v>0.3751</v>
      </c>
      <c r="F650" s="116" t="inlineStr">
        <is>
          <t>légal</t>
        </is>
      </c>
      <c r="G650" s="105" t="n">
        <v>0</v>
      </c>
      <c r="H650" s="105" t="n">
        <v>0.00252</v>
      </c>
      <c r="I650" s="105" t="n">
        <v>0.80748</v>
      </c>
      <c r="J650" s="107">
        <f>D650*(1-C650)+G650*MIN(C650,0.2*(1-C650))+H650</f>
        <v/>
      </c>
      <c r="K650" s="107">
        <f>E650*(1-C650)+G650*MIN(C650,0.2*(1-C650))</f>
        <v/>
      </c>
      <c r="L650" s="107">
        <f>I650*(1-C650)</f>
        <v/>
      </c>
      <c r="M650" s="119">
        <f>SUMIFS(Regimes!$G$5:$G$10,Regimes!$A$5:$A$10,A650)</f>
        <v/>
      </c>
      <c r="N650" s="106">
        <f>Donnees_annuelles!D92*J650</f>
        <v/>
      </c>
      <c r="O650" s="106">
        <f>Donnees_annuelles!D92*K650</f>
        <v/>
      </c>
      <c r="P650" s="106">
        <f>N650+O650</f>
        <v/>
      </c>
      <c r="Q650" s="106">
        <f>Donnees_annuelles!D92*L650</f>
        <v/>
      </c>
      <c r="R650" s="118">
        <f>P650/Donnees_annuelles!AA92*Donnees_annuelles!AI92/Donnees_annuelles!AG92</f>
        <v/>
      </c>
      <c r="S650" s="118">
        <f>P650/Donnees_annuelles!AA92*Donnees_annuelles!AJ92/Donnees_annuelles!AH92</f>
        <v/>
      </c>
    </row>
    <row r="651">
      <c r="A651" s="115" t="inlineStr">
        <is>
          <t>SNCF</t>
        </is>
      </c>
      <c r="B651" s="101" t="n">
        <v>2035</v>
      </c>
      <c r="C651" s="105" t="n">
        <v>0.1</v>
      </c>
      <c r="D651" s="105" t="n">
        <v>0.1095</v>
      </c>
      <c r="E651" s="105" t="n">
        <v>0.3751</v>
      </c>
      <c r="F651" s="116" t="inlineStr">
        <is>
          <t>légal</t>
        </is>
      </c>
      <c r="G651" s="105" t="n">
        <v>0</v>
      </c>
      <c r="H651" s="105" t="n">
        <v>0.00252</v>
      </c>
      <c r="I651" s="105" t="n">
        <v>0.80748</v>
      </c>
      <c r="J651" s="107">
        <f>D651*(1-C651)+G651*MIN(C651,0.2*(1-C651))+H651</f>
        <v/>
      </c>
      <c r="K651" s="107">
        <f>E651*(1-C651)+G651*MIN(C651,0.2*(1-C651))</f>
        <v/>
      </c>
      <c r="L651" s="107">
        <f>I651*(1-C651)</f>
        <v/>
      </c>
      <c r="M651" s="119">
        <f>SUMIFS(Regimes!$G$5:$G$10,Regimes!$A$5:$A$10,A651)</f>
        <v/>
      </c>
      <c r="N651" s="106">
        <f>Donnees_annuelles!D93*J651</f>
        <v/>
      </c>
      <c r="O651" s="106">
        <f>Donnees_annuelles!D93*K651</f>
        <v/>
      </c>
      <c r="P651" s="106">
        <f>N651+O651</f>
        <v/>
      </c>
      <c r="Q651" s="106">
        <f>Donnees_annuelles!D93*L651</f>
        <v/>
      </c>
      <c r="R651" s="118">
        <f>P651/Donnees_annuelles!AA93*Donnees_annuelles!AI93/Donnees_annuelles!AG93</f>
        <v/>
      </c>
      <c r="S651" s="118">
        <f>P651/Donnees_annuelles!AA93*Donnees_annuelles!AJ93/Donnees_annuelles!AH93</f>
        <v/>
      </c>
    </row>
    <row r="652">
      <c r="A652" s="115" t="inlineStr">
        <is>
          <t>SNCF</t>
        </is>
      </c>
      <c r="B652" s="101" t="n">
        <v>2036</v>
      </c>
      <c r="C652" s="105" t="n">
        <v>0.1</v>
      </c>
      <c r="D652" s="105" t="n">
        <v>0.1095</v>
      </c>
      <c r="E652" s="105" t="n">
        <v>0.3751</v>
      </c>
      <c r="F652" s="116" t="inlineStr">
        <is>
          <t>légal</t>
        </is>
      </c>
      <c r="G652" s="105" t="n">
        <v>0</v>
      </c>
      <c r="H652" s="105" t="n">
        <v>0.00252</v>
      </c>
      <c r="I652" s="105" t="n">
        <v>0.80748</v>
      </c>
      <c r="J652" s="107">
        <f>D652*(1-C652)+G652*MIN(C652,0.2*(1-C652))+H652</f>
        <v/>
      </c>
      <c r="K652" s="107">
        <f>E652*(1-C652)+G652*MIN(C652,0.2*(1-C652))</f>
        <v/>
      </c>
      <c r="L652" s="107">
        <f>I652*(1-C652)</f>
        <v/>
      </c>
      <c r="M652" s="119">
        <f>SUMIFS(Regimes!$G$5:$G$10,Regimes!$A$5:$A$10,A652)</f>
        <v/>
      </c>
      <c r="N652" s="106">
        <f>Donnees_annuelles!D94*J652</f>
        <v/>
      </c>
      <c r="O652" s="106">
        <f>Donnees_annuelles!D94*K652</f>
        <v/>
      </c>
      <c r="P652" s="106">
        <f>N652+O652</f>
        <v/>
      </c>
      <c r="Q652" s="106">
        <f>Donnees_annuelles!D94*L652</f>
        <v/>
      </c>
      <c r="R652" s="118">
        <f>P652/Donnees_annuelles!AA94*Donnees_annuelles!AI94/Donnees_annuelles!AG94</f>
        <v/>
      </c>
      <c r="S652" s="118">
        <f>P652/Donnees_annuelles!AA94*Donnees_annuelles!AJ94/Donnees_annuelles!AH94</f>
        <v/>
      </c>
    </row>
    <row r="653">
      <c r="A653" s="115" t="inlineStr">
        <is>
          <t>SNCF</t>
        </is>
      </c>
      <c r="B653" s="101" t="n">
        <v>2037</v>
      </c>
      <c r="C653" s="105" t="n">
        <v>0.1</v>
      </c>
      <c r="D653" s="105" t="n">
        <v>0.1095</v>
      </c>
      <c r="E653" s="105" t="n">
        <v>0.3751</v>
      </c>
      <c r="F653" s="116" t="inlineStr">
        <is>
          <t>légal</t>
        </is>
      </c>
      <c r="G653" s="105" t="n">
        <v>0</v>
      </c>
      <c r="H653" s="105" t="n">
        <v>0.00252</v>
      </c>
      <c r="I653" s="105" t="n">
        <v>0.80748</v>
      </c>
      <c r="J653" s="107">
        <f>D653*(1-C653)+G653*MIN(C653,0.2*(1-C653))+H653</f>
        <v/>
      </c>
      <c r="K653" s="107">
        <f>E653*(1-C653)+G653*MIN(C653,0.2*(1-C653))</f>
        <v/>
      </c>
      <c r="L653" s="107">
        <f>I653*(1-C653)</f>
        <v/>
      </c>
      <c r="M653" s="119">
        <f>SUMIFS(Regimes!$G$5:$G$10,Regimes!$A$5:$A$10,A653)</f>
        <v/>
      </c>
      <c r="N653" s="106">
        <f>Donnees_annuelles!D95*J653</f>
        <v/>
      </c>
      <c r="O653" s="106">
        <f>Donnees_annuelles!D95*K653</f>
        <v/>
      </c>
      <c r="P653" s="106">
        <f>N653+O653</f>
        <v/>
      </c>
      <c r="Q653" s="106">
        <f>Donnees_annuelles!D95*L653</f>
        <v/>
      </c>
      <c r="R653" s="118">
        <f>P653/Donnees_annuelles!AA95*Donnees_annuelles!AI95/Donnees_annuelles!AG95</f>
        <v/>
      </c>
      <c r="S653" s="118">
        <f>P653/Donnees_annuelles!AA95*Donnees_annuelles!AJ95/Donnees_annuelles!AH95</f>
        <v/>
      </c>
    </row>
    <row r="654">
      <c r="A654" s="115" t="inlineStr">
        <is>
          <t>SNCF</t>
        </is>
      </c>
      <c r="B654" s="101" t="n">
        <v>2038</v>
      </c>
      <c r="C654" s="105" t="n">
        <v>0.1</v>
      </c>
      <c r="D654" s="105" t="n">
        <v>0.1095</v>
      </c>
      <c r="E654" s="105" t="n">
        <v>0.3751</v>
      </c>
      <c r="F654" s="116" t="inlineStr">
        <is>
          <t>légal</t>
        </is>
      </c>
      <c r="G654" s="105" t="n">
        <v>0</v>
      </c>
      <c r="H654" s="105" t="n">
        <v>0.00252</v>
      </c>
      <c r="I654" s="105" t="n">
        <v>0.80748</v>
      </c>
      <c r="J654" s="107">
        <f>D654*(1-C654)+G654*MIN(C654,0.2*(1-C654))+H654</f>
        <v/>
      </c>
      <c r="K654" s="107">
        <f>E654*(1-C654)+G654*MIN(C654,0.2*(1-C654))</f>
        <v/>
      </c>
      <c r="L654" s="107">
        <f>I654*(1-C654)</f>
        <v/>
      </c>
      <c r="M654" s="119">
        <f>SUMIFS(Regimes!$G$5:$G$10,Regimes!$A$5:$A$10,A654)</f>
        <v/>
      </c>
      <c r="N654" s="106">
        <f>Donnees_annuelles!D96*J654</f>
        <v/>
      </c>
      <c r="O654" s="106">
        <f>Donnees_annuelles!D96*K654</f>
        <v/>
      </c>
      <c r="P654" s="106">
        <f>N654+O654</f>
        <v/>
      </c>
      <c r="Q654" s="106">
        <f>Donnees_annuelles!D96*L654</f>
        <v/>
      </c>
      <c r="R654" s="118">
        <f>P654/Donnees_annuelles!AA96*Donnees_annuelles!AI96/Donnees_annuelles!AG96</f>
        <v/>
      </c>
      <c r="S654" s="118">
        <f>P654/Donnees_annuelles!AA96*Donnees_annuelles!AJ96/Donnees_annuelles!AH96</f>
        <v/>
      </c>
    </row>
    <row r="655">
      <c r="A655" s="115" t="inlineStr">
        <is>
          <t>SNCF</t>
        </is>
      </c>
      <c r="B655" s="101" t="n">
        <v>2039</v>
      </c>
      <c r="C655" s="105" t="n">
        <v>0.1</v>
      </c>
      <c r="D655" s="105" t="n">
        <v>0.1095</v>
      </c>
      <c r="E655" s="105" t="n">
        <v>0.3751</v>
      </c>
      <c r="F655" s="116" t="inlineStr">
        <is>
          <t>légal</t>
        </is>
      </c>
      <c r="G655" s="105" t="n">
        <v>0</v>
      </c>
      <c r="H655" s="105" t="n">
        <v>0.00252</v>
      </c>
      <c r="I655" s="105" t="n">
        <v>0.80748</v>
      </c>
      <c r="J655" s="107">
        <f>D655*(1-C655)+G655*MIN(C655,0.2*(1-C655))+H655</f>
        <v/>
      </c>
      <c r="K655" s="107">
        <f>E655*(1-C655)+G655*MIN(C655,0.2*(1-C655))</f>
        <v/>
      </c>
      <c r="L655" s="107">
        <f>I655*(1-C655)</f>
        <v/>
      </c>
      <c r="M655" s="119">
        <f>SUMIFS(Regimes!$G$5:$G$10,Regimes!$A$5:$A$10,A655)</f>
        <v/>
      </c>
      <c r="N655" s="106">
        <f>Donnees_annuelles!D97*J655</f>
        <v/>
      </c>
      <c r="O655" s="106">
        <f>Donnees_annuelles!D97*K655</f>
        <v/>
      </c>
      <c r="P655" s="106">
        <f>N655+O655</f>
        <v/>
      </c>
      <c r="Q655" s="106">
        <f>Donnees_annuelles!D97*L655</f>
        <v/>
      </c>
      <c r="R655" s="118">
        <f>P655/Donnees_annuelles!AA97*Donnees_annuelles!AI97/Donnees_annuelles!AG97</f>
        <v/>
      </c>
      <c r="S655" s="118">
        <f>P655/Donnees_annuelles!AA97*Donnees_annuelles!AJ97/Donnees_annuelles!AH97</f>
        <v/>
      </c>
    </row>
    <row r="656">
      <c r="A656" s="115" t="inlineStr">
        <is>
          <t>SNCF</t>
        </is>
      </c>
      <c r="B656" s="101" t="n">
        <v>2040</v>
      </c>
      <c r="C656" s="105" t="n">
        <v>0.1</v>
      </c>
      <c r="D656" s="105" t="n">
        <v>0.1095</v>
      </c>
      <c r="E656" s="105" t="n">
        <v>0.3751</v>
      </c>
      <c r="F656" s="116" t="inlineStr">
        <is>
          <t>légal</t>
        </is>
      </c>
      <c r="G656" s="105" t="n">
        <v>0</v>
      </c>
      <c r="H656" s="105" t="n">
        <v>0.00252</v>
      </c>
      <c r="I656" s="105" t="n">
        <v>0.80748</v>
      </c>
      <c r="J656" s="107">
        <f>D656*(1-C656)+G656*MIN(C656,0.2*(1-C656))+H656</f>
        <v/>
      </c>
      <c r="K656" s="107">
        <f>E656*(1-C656)+G656*MIN(C656,0.2*(1-C656))</f>
        <v/>
      </c>
      <c r="L656" s="107">
        <f>I656*(1-C656)</f>
        <v/>
      </c>
      <c r="M656" s="119">
        <f>SUMIFS(Regimes!$G$5:$G$10,Regimes!$A$5:$A$10,A656)</f>
        <v/>
      </c>
      <c r="N656" s="106">
        <f>Donnees_annuelles!D98*J656</f>
        <v/>
      </c>
      <c r="O656" s="106">
        <f>Donnees_annuelles!D98*K656</f>
        <v/>
      </c>
      <c r="P656" s="106">
        <f>N656+O656</f>
        <v/>
      </c>
      <c r="Q656" s="106">
        <f>Donnees_annuelles!D98*L656</f>
        <v/>
      </c>
      <c r="R656" s="118">
        <f>P656/Donnees_annuelles!AA98*Donnees_annuelles!AI98/Donnees_annuelles!AG98</f>
        <v/>
      </c>
      <c r="S656" s="118">
        <f>P656/Donnees_annuelles!AA98*Donnees_annuelles!AJ98/Donnees_annuelles!AH98</f>
        <v/>
      </c>
    </row>
    <row r="657">
      <c r="A657" s="115" t="inlineStr">
        <is>
          <t>SNCF</t>
        </is>
      </c>
      <c r="B657" s="101" t="n">
        <v>2041</v>
      </c>
      <c r="C657" s="105" t="n">
        <v>0.1</v>
      </c>
      <c r="D657" s="105" t="n">
        <v>0.1095</v>
      </c>
      <c r="E657" s="105" t="n">
        <v>0.3751</v>
      </c>
      <c r="F657" s="116" t="inlineStr">
        <is>
          <t>légal</t>
        </is>
      </c>
      <c r="G657" s="105" t="n">
        <v>0</v>
      </c>
      <c r="H657" s="105" t="n">
        <v>0.00252</v>
      </c>
      <c r="I657" s="105" t="n">
        <v>0.80748</v>
      </c>
      <c r="J657" s="107">
        <f>D657*(1-C657)+G657*MIN(C657,0.2*(1-C657))+H657</f>
        <v/>
      </c>
      <c r="K657" s="107">
        <f>E657*(1-C657)+G657*MIN(C657,0.2*(1-C657))</f>
        <v/>
      </c>
      <c r="L657" s="107">
        <f>I657*(1-C657)</f>
        <v/>
      </c>
      <c r="M657" s="119">
        <f>SUMIFS(Regimes!$G$5:$G$10,Regimes!$A$5:$A$10,A657)</f>
        <v/>
      </c>
      <c r="N657" s="106">
        <f>Donnees_annuelles!D99*J657</f>
        <v/>
      </c>
      <c r="O657" s="106">
        <f>Donnees_annuelles!D99*K657</f>
        <v/>
      </c>
      <c r="P657" s="106">
        <f>N657+O657</f>
        <v/>
      </c>
      <c r="Q657" s="106">
        <f>Donnees_annuelles!D99*L657</f>
        <v/>
      </c>
      <c r="R657" s="118">
        <f>P657/Donnees_annuelles!AA99*Donnees_annuelles!AI99/Donnees_annuelles!AG99</f>
        <v/>
      </c>
      <c r="S657" s="118">
        <f>P657/Donnees_annuelles!AA99*Donnees_annuelles!AJ99/Donnees_annuelles!AH99</f>
        <v/>
      </c>
    </row>
    <row r="658">
      <c r="A658" s="115" t="inlineStr">
        <is>
          <t>SNCF</t>
        </is>
      </c>
      <c r="B658" s="101" t="n">
        <v>2042</v>
      </c>
      <c r="C658" s="105" t="n">
        <v>0.1</v>
      </c>
      <c r="D658" s="105" t="n">
        <v>0.1095</v>
      </c>
      <c r="E658" s="105" t="n">
        <v>0.3751</v>
      </c>
      <c r="F658" s="116" t="inlineStr">
        <is>
          <t>légal</t>
        </is>
      </c>
      <c r="G658" s="105" t="n">
        <v>0</v>
      </c>
      <c r="H658" s="105" t="n">
        <v>0.00252</v>
      </c>
      <c r="I658" s="105" t="n">
        <v>0.80748</v>
      </c>
      <c r="J658" s="107">
        <f>D658*(1-C658)+G658*MIN(C658,0.2*(1-C658))+H658</f>
        <v/>
      </c>
      <c r="K658" s="107">
        <f>E658*(1-C658)+G658*MIN(C658,0.2*(1-C658))</f>
        <v/>
      </c>
      <c r="L658" s="107">
        <f>I658*(1-C658)</f>
        <v/>
      </c>
      <c r="M658" s="119">
        <f>SUMIFS(Regimes!$G$5:$G$10,Regimes!$A$5:$A$10,A658)</f>
        <v/>
      </c>
      <c r="N658" s="106">
        <f>Donnees_annuelles!D100*J658</f>
        <v/>
      </c>
      <c r="O658" s="106">
        <f>Donnees_annuelles!D100*K658</f>
        <v/>
      </c>
      <c r="P658" s="106">
        <f>N658+O658</f>
        <v/>
      </c>
      <c r="Q658" s="106">
        <f>Donnees_annuelles!D100*L658</f>
        <v/>
      </c>
      <c r="R658" s="118">
        <f>P658/Donnees_annuelles!AA100*Donnees_annuelles!AI100/Donnees_annuelles!AG100</f>
        <v/>
      </c>
      <c r="S658" s="118">
        <f>P658/Donnees_annuelles!AA100*Donnees_annuelles!AJ100/Donnees_annuelles!AH100</f>
        <v/>
      </c>
    </row>
    <row r="659">
      <c r="A659" s="115" t="inlineStr">
        <is>
          <t>SNCF</t>
        </is>
      </c>
      <c r="B659" s="101" t="n">
        <v>2043</v>
      </c>
      <c r="C659" s="105" t="n">
        <v>0.1</v>
      </c>
      <c r="D659" s="105" t="n">
        <v>0.1095</v>
      </c>
      <c r="E659" s="105" t="n">
        <v>0.3751</v>
      </c>
      <c r="F659" s="116" t="inlineStr">
        <is>
          <t>légal</t>
        </is>
      </c>
      <c r="G659" s="105" t="n">
        <v>0</v>
      </c>
      <c r="H659" s="105" t="n">
        <v>0.00252</v>
      </c>
      <c r="I659" s="105" t="n">
        <v>0.80748</v>
      </c>
      <c r="J659" s="107">
        <f>D659*(1-C659)+G659*MIN(C659,0.2*(1-C659))+H659</f>
        <v/>
      </c>
      <c r="K659" s="107">
        <f>E659*(1-C659)+G659*MIN(C659,0.2*(1-C659))</f>
        <v/>
      </c>
      <c r="L659" s="107">
        <f>I659*(1-C659)</f>
        <v/>
      </c>
      <c r="M659" s="119">
        <f>SUMIFS(Regimes!$G$5:$G$10,Regimes!$A$5:$A$10,A659)</f>
        <v/>
      </c>
      <c r="N659" s="106">
        <f>Donnees_annuelles!D101*J659</f>
        <v/>
      </c>
      <c r="O659" s="106">
        <f>Donnees_annuelles!D101*K659</f>
        <v/>
      </c>
      <c r="P659" s="106">
        <f>N659+O659</f>
        <v/>
      </c>
      <c r="Q659" s="106">
        <f>Donnees_annuelles!D101*L659</f>
        <v/>
      </c>
      <c r="R659" s="118">
        <f>P659/Donnees_annuelles!AA101*Donnees_annuelles!AI101/Donnees_annuelles!AG101</f>
        <v/>
      </c>
      <c r="S659" s="118">
        <f>P659/Donnees_annuelles!AA101*Donnees_annuelles!AJ101/Donnees_annuelles!AH101</f>
        <v/>
      </c>
    </row>
    <row r="660">
      <c r="A660" s="115" t="inlineStr">
        <is>
          <t>SNCF</t>
        </is>
      </c>
      <c r="B660" s="101" t="n">
        <v>2044</v>
      </c>
      <c r="C660" s="105" t="n">
        <v>0.1</v>
      </c>
      <c r="D660" s="105" t="n">
        <v>0.1095</v>
      </c>
      <c r="E660" s="105" t="n">
        <v>0.3751</v>
      </c>
      <c r="F660" s="116" t="inlineStr">
        <is>
          <t>légal</t>
        </is>
      </c>
      <c r="G660" s="105" t="n">
        <v>0</v>
      </c>
      <c r="H660" s="105" t="n">
        <v>0.00252</v>
      </c>
      <c r="I660" s="105" t="n">
        <v>0.80748</v>
      </c>
      <c r="J660" s="107">
        <f>D660*(1-C660)+G660*MIN(C660,0.2*(1-C660))+H660</f>
        <v/>
      </c>
      <c r="K660" s="107">
        <f>E660*(1-C660)+G660*MIN(C660,0.2*(1-C660))</f>
        <v/>
      </c>
      <c r="L660" s="107">
        <f>I660*(1-C660)</f>
        <v/>
      </c>
      <c r="M660" s="119">
        <f>SUMIFS(Regimes!$G$5:$G$10,Regimes!$A$5:$A$10,A660)</f>
        <v/>
      </c>
      <c r="N660" s="106">
        <f>Donnees_annuelles!D102*J660</f>
        <v/>
      </c>
      <c r="O660" s="106">
        <f>Donnees_annuelles!D102*K660</f>
        <v/>
      </c>
      <c r="P660" s="106">
        <f>N660+O660</f>
        <v/>
      </c>
      <c r="Q660" s="106">
        <f>Donnees_annuelles!D102*L660</f>
        <v/>
      </c>
      <c r="R660" s="118">
        <f>P660/Donnees_annuelles!AA102*Donnees_annuelles!AI102/Donnees_annuelles!AG102</f>
        <v/>
      </c>
      <c r="S660" s="118">
        <f>P660/Donnees_annuelles!AA102*Donnees_annuelles!AJ102/Donnees_annuelles!AH102</f>
        <v/>
      </c>
    </row>
    <row r="661">
      <c r="A661" s="115" t="inlineStr">
        <is>
          <t>SNCF</t>
        </is>
      </c>
      <c r="B661" s="101" t="n">
        <v>2045</v>
      </c>
      <c r="C661" s="105" t="n">
        <v>0.1</v>
      </c>
      <c r="D661" s="105" t="n">
        <v>0.1095</v>
      </c>
      <c r="E661" s="105" t="n">
        <v>0.3751</v>
      </c>
      <c r="F661" s="116" t="inlineStr">
        <is>
          <t>légal</t>
        </is>
      </c>
      <c r="G661" s="105" t="n">
        <v>0</v>
      </c>
      <c r="H661" s="105" t="n">
        <v>0.00252</v>
      </c>
      <c r="I661" s="105" t="n">
        <v>0.80748</v>
      </c>
      <c r="J661" s="107">
        <f>D661*(1-C661)+G661*MIN(C661,0.2*(1-C661))+H661</f>
        <v/>
      </c>
      <c r="K661" s="107">
        <f>E661*(1-C661)+G661*MIN(C661,0.2*(1-C661))</f>
        <v/>
      </c>
      <c r="L661" s="107">
        <f>I661*(1-C661)</f>
        <v/>
      </c>
      <c r="M661" s="119">
        <f>SUMIFS(Regimes!$G$5:$G$10,Regimes!$A$5:$A$10,A661)</f>
        <v/>
      </c>
      <c r="N661" s="106">
        <f>Donnees_annuelles!D103*J661</f>
        <v/>
      </c>
      <c r="O661" s="106">
        <f>Donnees_annuelles!D103*K661</f>
        <v/>
      </c>
      <c r="P661" s="106">
        <f>N661+O661</f>
        <v/>
      </c>
      <c r="Q661" s="106">
        <f>Donnees_annuelles!D103*L661</f>
        <v/>
      </c>
      <c r="R661" s="118">
        <f>P661/Donnees_annuelles!AA103*Donnees_annuelles!AI103/Donnees_annuelles!AG103</f>
        <v/>
      </c>
      <c r="S661" s="118">
        <f>P661/Donnees_annuelles!AA103*Donnees_annuelles!AJ103/Donnees_annuelles!AH103</f>
        <v/>
      </c>
    </row>
    <row r="662">
      <c r="A662" s="115" t="inlineStr">
        <is>
          <t>SNCF</t>
        </is>
      </c>
      <c r="B662" s="101" t="n">
        <v>2046</v>
      </c>
      <c r="C662" s="105" t="n">
        <v>0.1</v>
      </c>
      <c r="D662" s="105" t="n">
        <v>0.1095</v>
      </c>
      <c r="E662" s="105" t="n">
        <v>0.3751</v>
      </c>
      <c r="F662" s="116" t="inlineStr">
        <is>
          <t>légal</t>
        </is>
      </c>
      <c r="G662" s="105" t="n">
        <v>0</v>
      </c>
      <c r="H662" s="105" t="n">
        <v>0.00252</v>
      </c>
      <c r="I662" s="105" t="n">
        <v>0.80748</v>
      </c>
      <c r="J662" s="107">
        <f>D662*(1-C662)+G662*MIN(C662,0.2*(1-C662))+H662</f>
        <v/>
      </c>
      <c r="K662" s="107">
        <f>E662*(1-C662)+G662*MIN(C662,0.2*(1-C662))</f>
        <v/>
      </c>
      <c r="L662" s="107">
        <f>I662*(1-C662)</f>
        <v/>
      </c>
      <c r="M662" s="119">
        <f>SUMIFS(Regimes!$G$5:$G$10,Regimes!$A$5:$A$10,A662)</f>
        <v/>
      </c>
      <c r="N662" s="106">
        <f>Donnees_annuelles!D104*J662</f>
        <v/>
      </c>
      <c r="O662" s="106">
        <f>Donnees_annuelles!D104*K662</f>
        <v/>
      </c>
      <c r="P662" s="106">
        <f>N662+O662</f>
        <v/>
      </c>
      <c r="Q662" s="106">
        <f>Donnees_annuelles!D104*L662</f>
        <v/>
      </c>
      <c r="R662" s="118">
        <f>P662/Donnees_annuelles!AA104*Donnees_annuelles!AI104/Donnees_annuelles!AG104</f>
        <v/>
      </c>
      <c r="S662" s="118">
        <f>P662/Donnees_annuelles!AA104*Donnees_annuelles!AJ104/Donnees_annuelles!AH104</f>
        <v/>
      </c>
    </row>
    <row r="663">
      <c r="A663" s="115" t="inlineStr">
        <is>
          <t>SNCF</t>
        </is>
      </c>
      <c r="B663" s="101" t="n">
        <v>2047</v>
      </c>
      <c r="C663" s="105" t="n">
        <v>0.1</v>
      </c>
      <c r="D663" s="105" t="n">
        <v>0.1095</v>
      </c>
      <c r="E663" s="105" t="n">
        <v>0.3751</v>
      </c>
      <c r="F663" s="116" t="inlineStr">
        <is>
          <t>légal</t>
        </is>
      </c>
      <c r="G663" s="105" t="n">
        <v>0</v>
      </c>
      <c r="H663" s="105" t="n">
        <v>0.00252</v>
      </c>
      <c r="I663" s="105" t="n">
        <v>0.80748</v>
      </c>
      <c r="J663" s="107">
        <f>D663*(1-C663)+G663*MIN(C663,0.2*(1-C663))+H663</f>
        <v/>
      </c>
      <c r="K663" s="107">
        <f>E663*(1-C663)+G663*MIN(C663,0.2*(1-C663))</f>
        <v/>
      </c>
      <c r="L663" s="107">
        <f>I663*(1-C663)</f>
        <v/>
      </c>
      <c r="M663" s="119">
        <f>SUMIFS(Regimes!$G$5:$G$10,Regimes!$A$5:$A$10,A663)</f>
        <v/>
      </c>
      <c r="N663" s="106">
        <f>Donnees_annuelles!D105*J663</f>
        <v/>
      </c>
      <c r="O663" s="106">
        <f>Donnees_annuelles!D105*K663</f>
        <v/>
      </c>
      <c r="P663" s="106">
        <f>N663+O663</f>
        <v/>
      </c>
      <c r="Q663" s="106">
        <f>Donnees_annuelles!D105*L663</f>
        <v/>
      </c>
      <c r="R663" s="118">
        <f>P663/Donnees_annuelles!AA105*Donnees_annuelles!AI105/Donnees_annuelles!AG105</f>
        <v/>
      </c>
      <c r="S663" s="118">
        <f>P663/Donnees_annuelles!AA105*Donnees_annuelles!AJ105/Donnees_annuelles!AH105</f>
        <v/>
      </c>
    </row>
    <row r="664">
      <c r="A664" s="115" t="inlineStr">
        <is>
          <t>SNCF</t>
        </is>
      </c>
      <c r="B664" s="101" t="n">
        <v>2048</v>
      </c>
      <c r="C664" s="105" t="n">
        <v>0.1</v>
      </c>
      <c r="D664" s="105" t="n">
        <v>0.1095</v>
      </c>
      <c r="E664" s="105" t="n">
        <v>0.3751</v>
      </c>
      <c r="F664" s="116" t="inlineStr">
        <is>
          <t>légal</t>
        </is>
      </c>
      <c r="G664" s="105" t="n">
        <v>0</v>
      </c>
      <c r="H664" s="105" t="n">
        <v>0.00252</v>
      </c>
      <c r="I664" s="105" t="n">
        <v>0.80748</v>
      </c>
      <c r="J664" s="107">
        <f>D664*(1-C664)+G664*MIN(C664,0.2*(1-C664))+H664</f>
        <v/>
      </c>
      <c r="K664" s="107">
        <f>E664*(1-C664)+G664*MIN(C664,0.2*(1-C664))</f>
        <v/>
      </c>
      <c r="L664" s="107">
        <f>I664*(1-C664)</f>
        <v/>
      </c>
      <c r="M664" s="119">
        <f>SUMIFS(Regimes!$G$5:$G$10,Regimes!$A$5:$A$10,A664)</f>
        <v/>
      </c>
      <c r="N664" s="106">
        <f>Donnees_annuelles!D106*J664</f>
        <v/>
      </c>
      <c r="O664" s="106">
        <f>Donnees_annuelles!D106*K664</f>
        <v/>
      </c>
      <c r="P664" s="106">
        <f>N664+O664</f>
        <v/>
      </c>
      <c r="Q664" s="106">
        <f>Donnees_annuelles!D106*L664</f>
        <v/>
      </c>
      <c r="R664" s="118">
        <f>P664/Donnees_annuelles!AA106*Donnees_annuelles!AI106/Donnees_annuelles!AG106</f>
        <v/>
      </c>
      <c r="S664" s="118">
        <f>P664/Donnees_annuelles!AA106*Donnees_annuelles!AJ106/Donnees_annuelles!AH106</f>
        <v/>
      </c>
    </row>
    <row r="665">
      <c r="A665" s="115" t="inlineStr">
        <is>
          <t>SNCF</t>
        </is>
      </c>
      <c r="B665" s="101" t="n">
        <v>2049</v>
      </c>
      <c r="C665" s="105" t="n">
        <v>0.1</v>
      </c>
      <c r="D665" s="105" t="n">
        <v>0.1095</v>
      </c>
      <c r="E665" s="105" t="n">
        <v>0.3751</v>
      </c>
      <c r="F665" s="116" t="inlineStr">
        <is>
          <t>légal</t>
        </is>
      </c>
      <c r="G665" s="105" t="n">
        <v>0</v>
      </c>
      <c r="H665" s="105" t="n">
        <v>0.00252</v>
      </c>
      <c r="I665" s="105" t="n">
        <v>0.80748</v>
      </c>
      <c r="J665" s="107">
        <f>D665*(1-C665)+G665*MIN(C665,0.2*(1-C665))+H665</f>
        <v/>
      </c>
      <c r="K665" s="107">
        <f>E665*(1-C665)+G665*MIN(C665,0.2*(1-C665))</f>
        <v/>
      </c>
      <c r="L665" s="107">
        <f>I665*(1-C665)</f>
        <v/>
      </c>
      <c r="M665" s="119">
        <f>SUMIFS(Regimes!$G$5:$G$10,Regimes!$A$5:$A$10,A665)</f>
        <v/>
      </c>
      <c r="N665" s="106">
        <f>Donnees_annuelles!D107*J665</f>
        <v/>
      </c>
      <c r="O665" s="106">
        <f>Donnees_annuelles!D107*K665</f>
        <v/>
      </c>
      <c r="P665" s="106">
        <f>N665+O665</f>
        <v/>
      </c>
      <c r="Q665" s="106">
        <f>Donnees_annuelles!D107*L665</f>
        <v/>
      </c>
      <c r="R665" s="118">
        <f>P665/Donnees_annuelles!AA107*Donnees_annuelles!AI107/Donnees_annuelles!AG107</f>
        <v/>
      </c>
      <c r="S665" s="118">
        <f>P665/Donnees_annuelles!AA107*Donnees_annuelles!AJ107/Donnees_annuelles!AH107</f>
        <v/>
      </c>
    </row>
    <row r="666">
      <c r="A666" s="115" t="inlineStr">
        <is>
          <t>SNCF</t>
        </is>
      </c>
      <c r="B666" s="101" t="n">
        <v>2050</v>
      </c>
      <c r="C666" s="105" t="n">
        <v>0.1</v>
      </c>
      <c r="D666" s="105" t="n">
        <v>0.1095</v>
      </c>
      <c r="E666" s="105" t="n">
        <v>0.3751</v>
      </c>
      <c r="F666" s="116" t="inlineStr">
        <is>
          <t>légal</t>
        </is>
      </c>
      <c r="G666" s="105" t="n">
        <v>0</v>
      </c>
      <c r="H666" s="105" t="n">
        <v>0.00252</v>
      </c>
      <c r="I666" s="105" t="n">
        <v>0.80748</v>
      </c>
      <c r="J666" s="107">
        <f>D666*(1-C666)+G666*MIN(C666,0.2*(1-C666))+H666</f>
        <v/>
      </c>
      <c r="K666" s="107">
        <f>E666*(1-C666)+G666*MIN(C666,0.2*(1-C666))</f>
        <v/>
      </c>
      <c r="L666" s="107">
        <f>I666*(1-C666)</f>
        <v/>
      </c>
      <c r="M666" s="119">
        <f>SUMIFS(Regimes!$G$5:$G$10,Regimes!$A$5:$A$10,A666)</f>
        <v/>
      </c>
      <c r="N666" s="106">
        <f>Donnees_annuelles!D108*J666</f>
        <v/>
      </c>
      <c r="O666" s="106">
        <f>Donnees_annuelles!D108*K666</f>
        <v/>
      </c>
      <c r="P666" s="106">
        <f>N666+O666</f>
        <v/>
      </c>
      <c r="Q666" s="106">
        <f>Donnees_annuelles!D108*L666</f>
        <v/>
      </c>
      <c r="R666" s="118">
        <f>P666/Donnees_annuelles!AA108*Donnees_annuelles!AI108/Donnees_annuelles!AG108</f>
        <v/>
      </c>
      <c r="S666" s="118">
        <f>P666/Donnees_annuelles!AA108*Donnees_annuelles!AJ108/Donnees_annuelles!AH108</f>
        <v/>
      </c>
    </row>
    <row r="667">
      <c r="A667" s="115" t="inlineStr">
        <is>
          <t>SNCF</t>
        </is>
      </c>
      <c r="B667" s="101" t="n">
        <v>2051</v>
      </c>
      <c r="C667" s="105" t="n">
        <v>0.1</v>
      </c>
      <c r="D667" s="105" t="n">
        <v>0.1095</v>
      </c>
      <c r="E667" s="105" t="n">
        <v>0.3751</v>
      </c>
      <c r="F667" s="116" t="inlineStr">
        <is>
          <t>légal</t>
        </is>
      </c>
      <c r="G667" s="105" t="n">
        <v>0</v>
      </c>
      <c r="H667" s="105" t="n">
        <v>0.00252</v>
      </c>
      <c r="I667" s="105" t="n">
        <v>0.80748</v>
      </c>
      <c r="J667" s="107">
        <f>D667*(1-C667)+G667*MIN(C667,0.2*(1-C667))+H667</f>
        <v/>
      </c>
      <c r="K667" s="107">
        <f>E667*(1-C667)+G667*MIN(C667,0.2*(1-C667))</f>
        <v/>
      </c>
      <c r="L667" s="107">
        <f>I667*(1-C667)</f>
        <v/>
      </c>
      <c r="M667" s="119">
        <f>SUMIFS(Regimes!$G$5:$G$10,Regimes!$A$5:$A$10,A667)</f>
        <v/>
      </c>
      <c r="N667" s="106">
        <f>Donnees_annuelles!D109*J667</f>
        <v/>
      </c>
      <c r="O667" s="106">
        <f>Donnees_annuelles!D109*K667</f>
        <v/>
      </c>
      <c r="P667" s="106">
        <f>N667+O667</f>
        <v/>
      </c>
      <c r="Q667" s="106">
        <f>Donnees_annuelles!D109*L667</f>
        <v/>
      </c>
      <c r="R667" s="118">
        <f>P667/Donnees_annuelles!AA109*Donnees_annuelles!AI109/Donnees_annuelles!AG109</f>
        <v/>
      </c>
      <c r="S667" s="118">
        <f>P667/Donnees_annuelles!AA109*Donnees_annuelles!AJ109/Donnees_annuelles!AH109</f>
        <v/>
      </c>
    </row>
    <row r="668">
      <c r="A668" s="115" t="inlineStr">
        <is>
          <t>SNCF</t>
        </is>
      </c>
      <c r="B668" s="101" t="n">
        <v>2052</v>
      </c>
      <c r="C668" s="105" t="n">
        <v>0.1</v>
      </c>
      <c r="D668" s="105" t="n">
        <v>0.1095</v>
      </c>
      <c r="E668" s="105" t="n">
        <v>0.3751</v>
      </c>
      <c r="F668" s="116" t="inlineStr">
        <is>
          <t>légal</t>
        </is>
      </c>
      <c r="G668" s="105" t="n">
        <v>0</v>
      </c>
      <c r="H668" s="105" t="n">
        <v>0.00252</v>
      </c>
      <c r="I668" s="105" t="n">
        <v>0.80748</v>
      </c>
      <c r="J668" s="107">
        <f>D668*(1-C668)+G668*MIN(C668,0.2*(1-C668))+H668</f>
        <v/>
      </c>
      <c r="K668" s="107">
        <f>E668*(1-C668)+G668*MIN(C668,0.2*(1-C668))</f>
        <v/>
      </c>
      <c r="L668" s="107">
        <f>I668*(1-C668)</f>
        <v/>
      </c>
      <c r="M668" s="119">
        <f>SUMIFS(Regimes!$G$5:$G$10,Regimes!$A$5:$A$10,A668)</f>
        <v/>
      </c>
      <c r="N668" s="106">
        <f>Donnees_annuelles!D110*J668</f>
        <v/>
      </c>
      <c r="O668" s="106">
        <f>Donnees_annuelles!D110*K668</f>
        <v/>
      </c>
      <c r="P668" s="106">
        <f>N668+O668</f>
        <v/>
      </c>
      <c r="Q668" s="106">
        <f>Donnees_annuelles!D110*L668</f>
        <v/>
      </c>
      <c r="R668" s="118">
        <f>P668/Donnees_annuelles!AA110*Donnees_annuelles!AI110/Donnees_annuelles!AG110</f>
        <v/>
      </c>
      <c r="S668" s="118">
        <f>P668/Donnees_annuelles!AA110*Donnees_annuelles!AJ110/Donnees_annuelles!AH110</f>
        <v/>
      </c>
    </row>
    <row r="669">
      <c r="A669" s="115" t="inlineStr">
        <is>
          <t>SNCF</t>
        </is>
      </c>
      <c r="B669" s="101" t="n">
        <v>2053</v>
      </c>
      <c r="C669" s="105" t="n">
        <v>0.1</v>
      </c>
      <c r="D669" s="105" t="n">
        <v>0.1095</v>
      </c>
      <c r="E669" s="105" t="n">
        <v>0.3751</v>
      </c>
      <c r="F669" s="116" t="inlineStr">
        <is>
          <t>légal</t>
        </is>
      </c>
      <c r="G669" s="105" t="n">
        <v>0</v>
      </c>
      <c r="H669" s="105" t="n">
        <v>0.00252</v>
      </c>
      <c r="I669" s="105" t="n">
        <v>0.80748</v>
      </c>
      <c r="J669" s="107">
        <f>D669*(1-C669)+G669*MIN(C669,0.2*(1-C669))+H669</f>
        <v/>
      </c>
      <c r="K669" s="107">
        <f>E669*(1-C669)+G669*MIN(C669,0.2*(1-C669))</f>
        <v/>
      </c>
      <c r="L669" s="107">
        <f>I669*(1-C669)</f>
        <v/>
      </c>
      <c r="M669" s="119">
        <f>SUMIFS(Regimes!$G$5:$G$10,Regimes!$A$5:$A$10,A669)</f>
        <v/>
      </c>
      <c r="N669" s="106">
        <f>Donnees_annuelles!D111*J669</f>
        <v/>
      </c>
      <c r="O669" s="106">
        <f>Donnees_annuelles!D111*K669</f>
        <v/>
      </c>
      <c r="P669" s="106">
        <f>N669+O669</f>
        <v/>
      </c>
      <c r="Q669" s="106">
        <f>Donnees_annuelles!D111*L669</f>
        <v/>
      </c>
      <c r="R669" s="118">
        <f>P669/Donnees_annuelles!AA111*Donnees_annuelles!AI111/Donnees_annuelles!AG111</f>
        <v/>
      </c>
      <c r="S669" s="118">
        <f>P669/Donnees_annuelles!AA111*Donnees_annuelles!AJ111/Donnees_annuelles!AH111</f>
        <v/>
      </c>
    </row>
    <row r="670">
      <c r="A670" s="115" t="inlineStr">
        <is>
          <t>SNCF</t>
        </is>
      </c>
      <c r="B670" s="101" t="n">
        <v>2054</v>
      </c>
      <c r="C670" s="105" t="n">
        <v>0.1</v>
      </c>
      <c r="D670" s="105" t="n">
        <v>0.1095</v>
      </c>
      <c r="E670" s="105" t="n">
        <v>0.3751</v>
      </c>
      <c r="F670" s="116" t="inlineStr">
        <is>
          <t>légal</t>
        </is>
      </c>
      <c r="G670" s="105" t="n">
        <v>0</v>
      </c>
      <c r="H670" s="105" t="n">
        <v>0.00252</v>
      </c>
      <c r="I670" s="105" t="n">
        <v>0.80748</v>
      </c>
      <c r="J670" s="107">
        <f>D670*(1-C670)+G670*MIN(C670,0.2*(1-C670))+H670</f>
        <v/>
      </c>
      <c r="K670" s="107">
        <f>E670*(1-C670)+G670*MIN(C670,0.2*(1-C670))</f>
        <v/>
      </c>
      <c r="L670" s="107">
        <f>I670*(1-C670)</f>
        <v/>
      </c>
      <c r="M670" s="119">
        <f>SUMIFS(Regimes!$G$5:$G$10,Regimes!$A$5:$A$10,A670)</f>
        <v/>
      </c>
      <c r="N670" s="106">
        <f>Donnees_annuelles!D112*J670</f>
        <v/>
      </c>
      <c r="O670" s="106">
        <f>Donnees_annuelles!D112*K670</f>
        <v/>
      </c>
      <c r="P670" s="106">
        <f>N670+O670</f>
        <v/>
      </c>
      <c r="Q670" s="106">
        <f>Donnees_annuelles!D112*L670</f>
        <v/>
      </c>
      <c r="R670" s="118">
        <f>P670/Donnees_annuelles!AA112*Donnees_annuelles!AI112/Donnees_annuelles!AG112</f>
        <v/>
      </c>
      <c r="S670" s="118">
        <f>P670/Donnees_annuelles!AA112*Donnees_annuelles!AJ112/Donnees_annuelles!AH112</f>
        <v/>
      </c>
    </row>
    <row r="671">
      <c r="A671" s="115" t="inlineStr">
        <is>
          <t>SNCF</t>
        </is>
      </c>
      <c r="B671" s="101" t="n">
        <v>2055</v>
      </c>
      <c r="C671" s="105" t="n">
        <v>0.1</v>
      </c>
      <c r="D671" s="105" t="n">
        <v>0.1095</v>
      </c>
      <c r="E671" s="105" t="n">
        <v>0.3751</v>
      </c>
      <c r="F671" s="116" t="inlineStr">
        <is>
          <t>légal</t>
        </is>
      </c>
      <c r="G671" s="105" t="n">
        <v>0</v>
      </c>
      <c r="H671" s="105" t="n">
        <v>0.00252</v>
      </c>
      <c r="I671" s="105" t="n">
        <v>0.80748</v>
      </c>
      <c r="J671" s="107">
        <f>D671*(1-C671)+G671*MIN(C671,0.2*(1-C671))+H671</f>
        <v/>
      </c>
      <c r="K671" s="107">
        <f>E671*(1-C671)+G671*MIN(C671,0.2*(1-C671))</f>
        <v/>
      </c>
      <c r="L671" s="107">
        <f>I671*(1-C671)</f>
        <v/>
      </c>
      <c r="M671" s="119">
        <f>SUMIFS(Regimes!$G$5:$G$10,Regimes!$A$5:$A$10,A671)</f>
        <v/>
      </c>
      <c r="N671" s="106">
        <f>Donnees_annuelles!D113*J671</f>
        <v/>
      </c>
      <c r="O671" s="106">
        <f>Donnees_annuelles!D113*K671</f>
        <v/>
      </c>
      <c r="P671" s="106">
        <f>N671+O671</f>
        <v/>
      </c>
      <c r="Q671" s="106">
        <f>Donnees_annuelles!D113*L671</f>
        <v/>
      </c>
      <c r="R671" s="118">
        <f>P671/Donnees_annuelles!AA113*Donnees_annuelles!AI113/Donnees_annuelles!AG113</f>
        <v/>
      </c>
      <c r="S671" s="118">
        <f>P671/Donnees_annuelles!AA113*Donnees_annuelles!AJ113/Donnees_annuelles!AH113</f>
        <v/>
      </c>
    </row>
    <row r="672">
      <c r="A672" s="115" t="inlineStr">
        <is>
          <t>SNCF</t>
        </is>
      </c>
      <c r="B672" s="101" t="n">
        <v>2056</v>
      </c>
      <c r="C672" s="105" t="n">
        <v>0.1</v>
      </c>
      <c r="D672" s="105" t="n">
        <v>0.1095</v>
      </c>
      <c r="E672" s="105" t="n">
        <v>0.3751</v>
      </c>
      <c r="F672" s="116" t="inlineStr">
        <is>
          <t>légal</t>
        </is>
      </c>
      <c r="G672" s="105" t="n">
        <v>0</v>
      </c>
      <c r="H672" s="105" t="n">
        <v>0.00252</v>
      </c>
      <c r="I672" s="105" t="n">
        <v>0.80748</v>
      </c>
      <c r="J672" s="107">
        <f>D672*(1-C672)+G672*MIN(C672,0.2*(1-C672))+H672</f>
        <v/>
      </c>
      <c r="K672" s="107">
        <f>E672*(1-C672)+G672*MIN(C672,0.2*(1-C672))</f>
        <v/>
      </c>
      <c r="L672" s="107">
        <f>I672*(1-C672)</f>
        <v/>
      </c>
      <c r="M672" s="119">
        <f>SUMIFS(Regimes!$G$5:$G$10,Regimes!$A$5:$A$10,A672)</f>
        <v/>
      </c>
      <c r="N672" s="106">
        <f>Donnees_annuelles!D114*J672</f>
        <v/>
      </c>
      <c r="O672" s="106">
        <f>Donnees_annuelles!D114*K672</f>
        <v/>
      </c>
      <c r="P672" s="106">
        <f>N672+O672</f>
        <v/>
      </c>
      <c r="Q672" s="106">
        <f>Donnees_annuelles!D114*L672</f>
        <v/>
      </c>
      <c r="R672" s="118">
        <f>P672/Donnees_annuelles!AA114*Donnees_annuelles!AI114/Donnees_annuelles!AG114</f>
        <v/>
      </c>
      <c r="S672" s="118">
        <f>P672/Donnees_annuelles!AA114*Donnees_annuelles!AJ114/Donnees_annuelles!AH114</f>
        <v/>
      </c>
    </row>
    <row r="673">
      <c r="A673" s="115" t="inlineStr">
        <is>
          <t>SNCF</t>
        </is>
      </c>
      <c r="B673" s="101" t="n">
        <v>2057</v>
      </c>
      <c r="C673" s="105" t="n">
        <v>0.1</v>
      </c>
      <c r="D673" s="105" t="n">
        <v>0.1095</v>
      </c>
      <c r="E673" s="105" t="n">
        <v>0.3751</v>
      </c>
      <c r="F673" s="116" t="inlineStr">
        <is>
          <t>légal</t>
        </is>
      </c>
      <c r="G673" s="105" t="n">
        <v>0</v>
      </c>
      <c r="H673" s="105" t="n">
        <v>0.00252</v>
      </c>
      <c r="I673" s="105" t="n">
        <v>0.80748</v>
      </c>
      <c r="J673" s="107">
        <f>D673*(1-C673)+G673*MIN(C673,0.2*(1-C673))+H673</f>
        <v/>
      </c>
      <c r="K673" s="107">
        <f>E673*(1-C673)+G673*MIN(C673,0.2*(1-C673))</f>
        <v/>
      </c>
      <c r="L673" s="107">
        <f>I673*(1-C673)</f>
        <v/>
      </c>
      <c r="M673" s="119">
        <f>SUMIFS(Regimes!$G$5:$G$10,Regimes!$A$5:$A$10,A673)</f>
        <v/>
      </c>
      <c r="N673" s="106">
        <f>Donnees_annuelles!D115*J673</f>
        <v/>
      </c>
      <c r="O673" s="106">
        <f>Donnees_annuelles!D115*K673</f>
        <v/>
      </c>
      <c r="P673" s="106">
        <f>N673+O673</f>
        <v/>
      </c>
      <c r="Q673" s="106">
        <f>Donnees_annuelles!D115*L673</f>
        <v/>
      </c>
      <c r="R673" s="118">
        <f>P673/Donnees_annuelles!AA115*Donnees_annuelles!AI115/Donnees_annuelles!AG115</f>
        <v/>
      </c>
      <c r="S673" s="118">
        <f>P673/Donnees_annuelles!AA115*Donnees_annuelles!AJ115/Donnees_annuelles!AH115</f>
        <v/>
      </c>
    </row>
    <row r="674">
      <c r="A674" s="115" t="inlineStr">
        <is>
          <t>SNCF</t>
        </is>
      </c>
      <c r="B674" s="101" t="n">
        <v>2058</v>
      </c>
      <c r="C674" s="105" t="n">
        <v>0.1</v>
      </c>
      <c r="D674" s="105" t="n">
        <v>0.1095</v>
      </c>
      <c r="E674" s="105" t="n">
        <v>0.3751</v>
      </c>
      <c r="F674" s="116" t="inlineStr">
        <is>
          <t>légal</t>
        </is>
      </c>
      <c r="G674" s="105" t="n">
        <v>0</v>
      </c>
      <c r="H674" s="105" t="n">
        <v>0.00252</v>
      </c>
      <c r="I674" s="105" t="n">
        <v>0.80748</v>
      </c>
      <c r="J674" s="107">
        <f>D674*(1-C674)+G674*MIN(C674,0.2*(1-C674))+H674</f>
        <v/>
      </c>
      <c r="K674" s="107">
        <f>E674*(1-C674)+G674*MIN(C674,0.2*(1-C674))</f>
        <v/>
      </c>
      <c r="L674" s="107">
        <f>I674*(1-C674)</f>
        <v/>
      </c>
      <c r="M674" s="119">
        <f>SUMIFS(Regimes!$G$5:$G$10,Regimes!$A$5:$A$10,A674)</f>
        <v/>
      </c>
      <c r="N674" s="106">
        <f>Donnees_annuelles!D116*J674</f>
        <v/>
      </c>
      <c r="O674" s="106">
        <f>Donnees_annuelles!D116*K674</f>
        <v/>
      </c>
      <c r="P674" s="106">
        <f>N674+O674</f>
        <v/>
      </c>
      <c r="Q674" s="106">
        <f>Donnees_annuelles!D116*L674</f>
        <v/>
      </c>
      <c r="R674" s="118">
        <f>P674/Donnees_annuelles!AA116*Donnees_annuelles!AI116/Donnees_annuelles!AG116</f>
        <v/>
      </c>
      <c r="S674" s="118">
        <f>P674/Donnees_annuelles!AA116*Donnees_annuelles!AJ116/Donnees_annuelles!AH116</f>
        <v/>
      </c>
    </row>
    <row r="675">
      <c r="A675" s="115" t="inlineStr">
        <is>
          <t>SNCF</t>
        </is>
      </c>
      <c r="B675" s="101" t="n">
        <v>2059</v>
      </c>
      <c r="C675" s="105" t="n">
        <v>0.1</v>
      </c>
      <c r="D675" s="105" t="n">
        <v>0.1095</v>
      </c>
      <c r="E675" s="105" t="n">
        <v>0.3751</v>
      </c>
      <c r="F675" s="116" t="inlineStr">
        <is>
          <t>légal</t>
        </is>
      </c>
      <c r="G675" s="105" t="n">
        <v>0</v>
      </c>
      <c r="H675" s="105" t="n">
        <v>0.00252</v>
      </c>
      <c r="I675" s="105" t="n">
        <v>0.80748</v>
      </c>
      <c r="J675" s="107">
        <f>D675*(1-C675)+G675*MIN(C675,0.2*(1-C675))+H675</f>
        <v/>
      </c>
      <c r="K675" s="107">
        <f>E675*(1-C675)+G675*MIN(C675,0.2*(1-C675))</f>
        <v/>
      </c>
      <c r="L675" s="107">
        <f>I675*(1-C675)</f>
        <v/>
      </c>
      <c r="M675" s="119">
        <f>SUMIFS(Regimes!$G$5:$G$10,Regimes!$A$5:$A$10,A675)</f>
        <v/>
      </c>
      <c r="N675" s="106">
        <f>Donnees_annuelles!D117*J675</f>
        <v/>
      </c>
      <c r="O675" s="106">
        <f>Donnees_annuelles!D117*K675</f>
        <v/>
      </c>
      <c r="P675" s="106">
        <f>N675+O675</f>
        <v/>
      </c>
      <c r="Q675" s="106">
        <f>Donnees_annuelles!D117*L675</f>
        <v/>
      </c>
      <c r="R675" s="118">
        <f>P675/Donnees_annuelles!AA117*Donnees_annuelles!AI117/Donnees_annuelles!AG117</f>
        <v/>
      </c>
      <c r="S675" s="118">
        <f>P675/Donnees_annuelles!AA117*Donnees_annuelles!AJ117/Donnees_annuelles!AH117</f>
        <v/>
      </c>
    </row>
    <row r="676">
      <c r="A676" s="115" t="inlineStr">
        <is>
          <t>SNCF</t>
        </is>
      </c>
      <c r="B676" s="101" t="n">
        <v>2060</v>
      </c>
      <c r="C676" s="105" t="n">
        <v>0.1</v>
      </c>
      <c r="D676" s="105" t="n">
        <v>0.1095</v>
      </c>
      <c r="E676" s="105" t="n">
        <v>0.3751</v>
      </c>
      <c r="F676" s="116" t="inlineStr">
        <is>
          <t>légal</t>
        </is>
      </c>
      <c r="G676" s="105" t="n">
        <v>0</v>
      </c>
      <c r="H676" s="105" t="n">
        <v>0.00252</v>
      </c>
      <c r="I676" s="105" t="n">
        <v>0.80748</v>
      </c>
      <c r="J676" s="107">
        <f>D676*(1-C676)+G676*MIN(C676,0.2*(1-C676))+H676</f>
        <v/>
      </c>
      <c r="K676" s="107">
        <f>E676*(1-C676)+G676*MIN(C676,0.2*(1-C676))</f>
        <v/>
      </c>
      <c r="L676" s="107">
        <f>I676*(1-C676)</f>
        <v/>
      </c>
      <c r="M676" s="119">
        <f>SUMIFS(Regimes!$G$5:$G$10,Regimes!$A$5:$A$10,A676)</f>
        <v/>
      </c>
      <c r="N676" s="106">
        <f>Donnees_annuelles!D118*J676</f>
        <v/>
      </c>
      <c r="O676" s="106">
        <f>Donnees_annuelles!D118*K676</f>
        <v/>
      </c>
      <c r="P676" s="106">
        <f>N676+O676</f>
        <v/>
      </c>
      <c r="Q676" s="106">
        <f>Donnees_annuelles!D118*L676</f>
        <v/>
      </c>
      <c r="R676" s="118">
        <f>P676/Donnees_annuelles!AA118*Donnees_annuelles!AI118/Donnees_annuelles!AG118</f>
        <v/>
      </c>
      <c r="S676" s="118">
        <f>P676/Donnees_annuelles!AA118*Donnees_annuelles!AJ118/Donnees_annuelles!AH118</f>
        <v/>
      </c>
    </row>
    <row r="677">
      <c r="A677" s="115" t="inlineStr">
        <is>
          <t>SNCF</t>
        </is>
      </c>
      <c r="B677" s="101" t="n">
        <v>2061</v>
      </c>
      <c r="C677" s="105" t="n">
        <v>0.1</v>
      </c>
      <c r="D677" s="105" t="n">
        <v>0.1095</v>
      </c>
      <c r="E677" s="105" t="n">
        <v>0.3751</v>
      </c>
      <c r="F677" s="116" t="inlineStr">
        <is>
          <t>légal</t>
        </is>
      </c>
      <c r="G677" s="105" t="n">
        <v>0</v>
      </c>
      <c r="H677" s="105" t="n">
        <v>0.00252</v>
      </c>
      <c r="I677" s="105" t="n">
        <v>0.80748</v>
      </c>
      <c r="J677" s="107">
        <f>D677*(1-C677)+G677*MIN(C677,0.2*(1-C677))+H677</f>
        <v/>
      </c>
      <c r="K677" s="107">
        <f>E677*(1-C677)+G677*MIN(C677,0.2*(1-C677))</f>
        <v/>
      </c>
      <c r="L677" s="107">
        <f>I677*(1-C677)</f>
        <v/>
      </c>
      <c r="M677" s="119">
        <f>SUMIFS(Regimes!$G$5:$G$10,Regimes!$A$5:$A$10,A677)</f>
        <v/>
      </c>
      <c r="N677" s="106">
        <f>Donnees_annuelles!D119*J677</f>
        <v/>
      </c>
      <c r="O677" s="106">
        <f>Donnees_annuelles!D119*K677</f>
        <v/>
      </c>
      <c r="P677" s="106">
        <f>N677+O677</f>
        <v/>
      </c>
      <c r="Q677" s="106">
        <f>Donnees_annuelles!D119*L677</f>
        <v/>
      </c>
      <c r="R677" s="118">
        <f>P677/Donnees_annuelles!AA119*Donnees_annuelles!AI119/Donnees_annuelles!AG119</f>
        <v/>
      </c>
      <c r="S677" s="118">
        <f>P677/Donnees_annuelles!AA119*Donnees_annuelles!AJ119/Donnees_annuelles!AH119</f>
        <v/>
      </c>
    </row>
    <row r="678">
      <c r="A678" s="115" t="inlineStr">
        <is>
          <t>SNCF</t>
        </is>
      </c>
      <c r="B678" s="101" t="n">
        <v>2062</v>
      </c>
      <c r="C678" s="105" t="n">
        <v>0.1</v>
      </c>
      <c r="D678" s="105" t="n">
        <v>0.1095</v>
      </c>
      <c r="E678" s="105" t="n">
        <v>0.3751</v>
      </c>
      <c r="F678" s="116" t="inlineStr">
        <is>
          <t>légal</t>
        </is>
      </c>
      <c r="G678" s="105" t="n">
        <v>0</v>
      </c>
      <c r="H678" s="105" t="n">
        <v>0.00252</v>
      </c>
      <c r="I678" s="105" t="n">
        <v>0.80748</v>
      </c>
      <c r="J678" s="107">
        <f>D678*(1-C678)+G678*MIN(C678,0.2*(1-C678))+H678</f>
        <v/>
      </c>
      <c r="K678" s="107">
        <f>E678*(1-C678)+G678*MIN(C678,0.2*(1-C678))</f>
        <v/>
      </c>
      <c r="L678" s="107">
        <f>I678*(1-C678)</f>
        <v/>
      </c>
      <c r="M678" s="119">
        <f>SUMIFS(Regimes!$G$5:$G$10,Regimes!$A$5:$A$10,A678)</f>
        <v/>
      </c>
      <c r="N678" s="106">
        <f>Donnees_annuelles!D120*J678</f>
        <v/>
      </c>
      <c r="O678" s="106">
        <f>Donnees_annuelles!D120*K678</f>
        <v/>
      </c>
      <c r="P678" s="106">
        <f>N678+O678</f>
        <v/>
      </c>
      <c r="Q678" s="106">
        <f>Donnees_annuelles!D120*L678</f>
        <v/>
      </c>
      <c r="R678" s="118">
        <f>P678/Donnees_annuelles!AA120*Donnees_annuelles!AI120/Donnees_annuelles!AG120</f>
        <v/>
      </c>
      <c r="S678" s="118">
        <f>P678/Donnees_annuelles!AA120*Donnees_annuelles!AJ120/Donnees_annuelles!AH120</f>
        <v/>
      </c>
    </row>
    <row r="679">
      <c r="A679" s="115" t="inlineStr">
        <is>
          <t>SNCF</t>
        </is>
      </c>
      <c r="B679" s="101" t="n">
        <v>2063</v>
      </c>
      <c r="C679" s="105" t="n">
        <v>0.1</v>
      </c>
      <c r="D679" s="105" t="n">
        <v>0.1095</v>
      </c>
      <c r="E679" s="105" t="n">
        <v>0.3751</v>
      </c>
      <c r="F679" s="116" t="inlineStr">
        <is>
          <t>légal</t>
        </is>
      </c>
      <c r="G679" s="105" t="n">
        <v>0</v>
      </c>
      <c r="H679" s="105" t="n">
        <v>0.00252</v>
      </c>
      <c r="I679" s="105" t="n">
        <v>0.80748</v>
      </c>
      <c r="J679" s="107">
        <f>D679*(1-C679)+G679*MIN(C679,0.2*(1-C679))+H679</f>
        <v/>
      </c>
      <c r="K679" s="107">
        <f>E679*(1-C679)+G679*MIN(C679,0.2*(1-C679))</f>
        <v/>
      </c>
      <c r="L679" s="107">
        <f>I679*(1-C679)</f>
        <v/>
      </c>
      <c r="M679" s="119">
        <f>SUMIFS(Regimes!$G$5:$G$10,Regimes!$A$5:$A$10,A679)</f>
        <v/>
      </c>
      <c r="N679" s="106">
        <f>Donnees_annuelles!D121*J679</f>
        <v/>
      </c>
      <c r="O679" s="106">
        <f>Donnees_annuelles!D121*K679</f>
        <v/>
      </c>
      <c r="P679" s="106">
        <f>N679+O679</f>
        <v/>
      </c>
      <c r="Q679" s="106">
        <f>Donnees_annuelles!D121*L679</f>
        <v/>
      </c>
      <c r="R679" s="118">
        <f>P679/Donnees_annuelles!AA121*Donnees_annuelles!AI121/Donnees_annuelles!AG121</f>
        <v/>
      </c>
      <c r="S679" s="118">
        <f>P679/Donnees_annuelles!AA121*Donnees_annuelles!AJ121/Donnees_annuelles!AH121</f>
        <v/>
      </c>
    </row>
    <row r="680">
      <c r="A680" s="115" t="inlineStr">
        <is>
          <t>SNCF</t>
        </is>
      </c>
      <c r="B680" s="101" t="n">
        <v>2064</v>
      </c>
      <c r="C680" s="105" t="n">
        <v>0.1</v>
      </c>
      <c r="D680" s="105" t="n">
        <v>0.1095</v>
      </c>
      <c r="E680" s="105" t="n">
        <v>0.3751</v>
      </c>
      <c r="F680" s="116" t="inlineStr">
        <is>
          <t>légal</t>
        </is>
      </c>
      <c r="G680" s="105" t="n">
        <v>0</v>
      </c>
      <c r="H680" s="105" t="n">
        <v>0.00252</v>
      </c>
      <c r="I680" s="105" t="n">
        <v>0.80748</v>
      </c>
      <c r="J680" s="107">
        <f>D680*(1-C680)+G680*MIN(C680,0.2*(1-C680))+H680</f>
        <v/>
      </c>
      <c r="K680" s="107">
        <f>E680*(1-C680)+G680*MIN(C680,0.2*(1-C680))</f>
        <v/>
      </c>
      <c r="L680" s="107">
        <f>I680*(1-C680)</f>
        <v/>
      </c>
      <c r="M680" s="119">
        <f>SUMIFS(Regimes!$G$5:$G$10,Regimes!$A$5:$A$10,A680)</f>
        <v/>
      </c>
      <c r="N680" s="106">
        <f>Donnees_annuelles!D122*J680</f>
        <v/>
      </c>
      <c r="O680" s="106">
        <f>Donnees_annuelles!D122*K680</f>
        <v/>
      </c>
      <c r="P680" s="106">
        <f>N680+O680</f>
        <v/>
      </c>
      <c r="Q680" s="106">
        <f>Donnees_annuelles!D122*L680</f>
        <v/>
      </c>
      <c r="R680" s="118">
        <f>P680/Donnees_annuelles!AA122*Donnees_annuelles!AI122/Donnees_annuelles!AG122</f>
        <v/>
      </c>
      <c r="S680" s="118">
        <f>P680/Donnees_annuelles!AA122*Donnees_annuelles!AJ122/Donnees_annuelles!AH122</f>
        <v/>
      </c>
    </row>
    <row r="681">
      <c r="A681" s="115" t="inlineStr">
        <is>
          <t>SNCF</t>
        </is>
      </c>
      <c r="B681" s="101" t="n">
        <v>2065</v>
      </c>
      <c r="C681" s="105" t="n">
        <v>0.1</v>
      </c>
      <c r="D681" s="105" t="n">
        <v>0.1095</v>
      </c>
      <c r="E681" s="105" t="n">
        <v>0.3751</v>
      </c>
      <c r="F681" s="116" t="inlineStr">
        <is>
          <t>légal</t>
        </is>
      </c>
      <c r="G681" s="105" t="n">
        <v>0</v>
      </c>
      <c r="H681" s="105" t="n">
        <v>0.00252</v>
      </c>
      <c r="I681" s="105" t="n">
        <v>0.80748</v>
      </c>
      <c r="J681" s="107">
        <f>D681*(1-C681)+G681*MIN(C681,0.2*(1-C681))+H681</f>
        <v/>
      </c>
      <c r="K681" s="107">
        <f>E681*(1-C681)+G681*MIN(C681,0.2*(1-C681))</f>
        <v/>
      </c>
      <c r="L681" s="107">
        <f>I681*(1-C681)</f>
        <v/>
      </c>
      <c r="M681" s="119">
        <f>SUMIFS(Regimes!$G$5:$G$10,Regimes!$A$5:$A$10,A681)</f>
        <v/>
      </c>
      <c r="N681" s="106">
        <f>Donnees_annuelles!D123*J681</f>
        <v/>
      </c>
      <c r="O681" s="106">
        <f>Donnees_annuelles!D123*K681</f>
        <v/>
      </c>
      <c r="P681" s="106">
        <f>N681+O681</f>
        <v/>
      </c>
      <c r="Q681" s="106">
        <f>Donnees_annuelles!D123*L681</f>
        <v/>
      </c>
      <c r="R681" s="118">
        <f>P681/Donnees_annuelles!AA123*Donnees_annuelles!AI123/Donnees_annuelles!AG123</f>
        <v/>
      </c>
      <c r="S681" s="118">
        <f>P681/Donnees_annuelles!AA123*Donnees_annuelles!AJ123/Donnees_annuelles!AH123</f>
        <v/>
      </c>
    </row>
    <row r="682">
      <c r="A682" s="115" t="inlineStr">
        <is>
          <t>SNCF</t>
        </is>
      </c>
      <c r="B682" s="101" t="n">
        <v>2066</v>
      </c>
      <c r="C682" s="105" t="n">
        <v>0.1</v>
      </c>
      <c r="D682" s="105" t="n">
        <v>0.1095</v>
      </c>
      <c r="E682" s="105" t="n">
        <v>0.3751</v>
      </c>
      <c r="F682" s="116" t="inlineStr">
        <is>
          <t>légal</t>
        </is>
      </c>
      <c r="G682" s="105" t="n">
        <v>0</v>
      </c>
      <c r="H682" s="105" t="n">
        <v>0.00252</v>
      </c>
      <c r="I682" s="105" t="n">
        <v>0.80748</v>
      </c>
      <c r="J682" s="107">
        <f>D682*(1-C682)+G682*MIN(C682,0.2*(1-C682))+H682</f>
        <v/>
      </c>
      <c r="K682" s="107">
        <f>E682*(1-C682)+G682*MIN(C682,0.2*(1-C682))</f>
        <v/>
      </c>
      <c r="L682" s="107">
        <f>I682*(1-C682)</f>
        <v/>
      </c>
      <c r="M682" s="119">
        <f>SUMIFS(Regimes!$G$5:$G$10,Regimes!$A$5:$A$10,A682)</f>
        <v/>
      </c>
      <c r="N682" s="106">
        <f>Donnees_annuelles!D124*J682</f>
        <v/>
      </c>
      <c r="O682" s="106">
        <f>Donnees_annuelles!D124*K682</f>
        <v/>
      </c>
      <c r="P682" s="106">
        <f>N682+O682</f>
        <v/>
      </c>
      <c r="Q682" s="106">
        <f>Donnees_annuelles!D124*L682</f>
        <v/>
      </c>
      <c r="R682" s="118">
        <f>P682/Donnees_annuelles!AA124*Donnees_annuelles!AI124/Donnees_annuelles!AG124</f>
        <v/>
      </c>
      <c r="S682" s="118">
        <f>P682/Donnees_annuelles!AA124*Donnees_annuelles!AJ124/Donnees_annuelles!AH124</f>
        <v/>
      </c>
    </row>
    <row r="683">
      <c r="A683" s="115" t="inlineStr">
        <is>
          <t>SNCF</t>
        </is>
      </c>
      <c r="B683" s="101" t="n">
        <v>2067</v>
      </c>
      <c r="C683" s="105" t="n">
        <v>0.1</v>
      </c>
      <c r="D683" s="105" t="n">
        <v>0.1095</v>
      </c>
      <c r="E683" s="105" t="n">
        <v>0.3751</v>
      </c>
      <c r="F683" s="116" t="inlineStr">
        <is>
          <t>légal</t>
        </is>
      </c>
      <c r="G683" s="105" t="n">
        <v>0</v>
      </c>
      <c r="H683" s="105" t="n">
        <v>0.00252</v>
      </c>
      <c r="I683" s="105" t="n">
        <v>0.80748</v>
      </c>
      <c r="J683" s="107">
        <f>D683*(1-C683)+G683*MIN(C683,0.2*(1-C683))+H683</f>
        <v/>
      </c>
      <c r="K683" s="107">
        <f>E683*(1-C683)+G683*MIN(C683,0.2*(1-C683))</f>
        <v/>
      </c>
      <c r="L683" s="107">
        <f>I683*(1-C683)</f>
        <v/>
      </c>
      <c r="M683" s="119">
        <f>SUMIFS(Regimes!$G$5:$G$10,Regimes!$A$5:$A$10,A683)</f>
        <v/>
      </c>
      <c r="N683" s="106">
        <f>Donnees_annuelles!D125*J683</f>
        <v/>
      </c>
      <c r="O683" s="106">
        <f>Donnees_annuelles!D125*K683</f>
        <v/>
      </c>
      <c r="P683" s="106">
        <f>N683+O683</f>
        <v/>
      </c>
      <c r="Q683" s="106">
        <f>Donnees_annuelles!D125*L683</f>
        <v/>
      </c>
      <c r="R683" s="118">
        <f>P683/Donnees_annuelles!AA125*Donnees_annuelles!AI125/Donnees_annuelles!AG125</f>
        <v/>
      </c>
      <c r="S683" s="118">
        <f>P683/Donnees_annuelles!AA125*Donnees_annuelles!AJ125/Donnees_annuelles!AH125</f>
        <v/>
      </c>
    </row>
    <row r="684">
      <c r="A684" s="115" t="inlineStr">
        <is>
          <t>SNCF</t>
        </is>
      </c>
      <c r="B684" s="101" t="n">
        <v>2068</v>
      </c>
      <c r="C684" s="105" t="n">
        <v>0.1</v>
      </c>
      <c r="D684" s="105" t="n">
        <v>0.1095</v>
      </c>
      <c r="E684" s="105" t="n">
        <v>0.3751</v>
      </c>
      <c r="F684" s="116" t="inlineStr">
        <is>
          <t>légal</t>
        </is>
      </c>
      <c r="G684" s="105" t="n">
        <v>0</v>
      </c>
      <c r="H684" s="105" t="n">
        <v>0.00252</v>
      </c>
      <c r="I684" s="105" t="n">
        <v>0.80748</v>
      </c>
      <c r="J684" s="107">
        <f>D684*(1-C684)+G684*MIN(C684,0.2*(1-C684))+H684</f>
        <v/>
      </c>
      <c r="K684" s="107">
        <f>E684*(1-C684)+G684*MIN(C684,0.2*(1-C684))</f>
        <v/>
      </c>
      <c r="L684" s="107">
        <f>I684*(1-C684)</f>
        <v/>
      </c>
      <c r="M684" s="119">
        <f>SUMIFS(Regimes!$G$5:$G$10,Regimes!$A$5:$A$10,A684)</f>
        <v/>
      </c>
      <c r="N684" s="106">
        <f>Donnees_annuelles!D126*J684</f>
        <v/>
      </c>
      <c r="O684" s="106">
        <f>Donnees_annuelles!D126*K684</f>
        <v/>
      </c>
      <c r="P684" s="106">
        <f>N684+O684</f>
        <v/>
      </c>
      <c r="Q684" s="106">
        <f>Donnees_annuelles!D126*L684</f>
        <v/>
      </c>
      <c r="R684" s="118">
        <f>P684/Donnees_annuelles!AA126*Donnees_annuelles!AI126/Donnees_annuelles!AG126</f>
        <v/>
      </c>
      <c r="S684" s="118">
        <f>P684/Donnees_annuelles!AA126*Donnees_annuelles!AJ126/Donnees_annuelles!AH126</f>
        <v/>
      </c>
    </row>
    <row r="685">
      <c r="A685" s="115" t="inlineStr">
        <is>
          <t>SNCF</t>
        </is>
      </c>
      <c r="B685" s="101" t="n">
        <v>2069</v>
      </c>
      <c r="C685" s="105" t="n">
        <v>0.1</v>
      </c>
      <c r="D685" s="105" t="n">
        <v>0.1095</v>
      </c>
      <c r="E685" s="105" t="n">
        <v>0.3751</v>
      </c>
      <c r="F685" s="116" t="inlineStr">
        <is>
          <t>légal</t>
        </is>
      </c>
      <c r="G685" s="105" t="n">
        <v>0</v>
      </c>
      <c r="H685" s="105" t="n">
        <v>0.00252</v>
      </c>
      <c r="I685" s="105" t="n">
        <v>0.80748</v>
      </c>
      <c r="J685" s="107">
        <f>D685*(1-C685)+G685*MIN(C685,0.2*(1-C685))+H685</f>
        <v/>
      </c>
      <c r="K685" s="107">
        <f>E685*(1-C685)+G685*MIN(C685,0.2*(1-C685))</f>
        <v/>
      </c>
      <c r="L685" s="107">
        <f>I685*(1-C685)</f>
        <v/>
      </c>
      <c r="M685" s="119">
        <f>SUMIFS(Regimes!$G$5:$G$10,Regimes!$A$5:$A$10,A685)</f>
        <v/>
      </c>
      <c r="N685" s="106">
        <f>Donnees_annuelles!D127*J685</f>
        <v/>
      </c>
      <c r="O685" s="106">
        <f>Donnees_annuelles!D127*K685</f>
        <v/>
      </c>
      <c r="P685" s="106">
        <f>N685+O685</f>
        <v/>
      </c>
      <c r="Q685" s="106">
        <f>Donnees_annuelles!D127*L685</f>
        <v/>
      </c>
      <c r="R685" s="118">
        <f>P685/Donnees_annuelles!AA127*Donnees_annuelles!AI127/Donnees_annuelles!AG127</f>
        <v/>
      </c>
      <c r="S685" s="118">
        <f>P685/Donnees_annuelles!AA127*Donnees_annuelles!AJ127/Donnees_annuelles!AH127</f>
        <v/>
      </c>
    </row>
    <row r="686">
      <c r="A686" s="115" t="inlineStr">
        <is>
          <t>SNCF</t>
        </is>
      </c>
      <c r="B686" s="101" t="n">
        <v>2070</v>
      </c>
      <c r="C686" s="105" t="n">
        <v>0.1</v>
      </c>
      <c r="D686" s="105" t="n">
        <v>0.1095</v>
      </c>
      <c r="E686" s="105" t="n">
        <v>0.3751</v>
      </c>
      <c r="F686" s="116" t="inlineStr">
        <is>
          <t>légal</t>
        </is>
      </c>
      <c r="G686" s="105" t="n">
        <v>0</v>
      </c>
      <c r="H686" s="105" t="n">
        <v>0.00252</v>
      </c>
      <c r="I686" s="105" t="n">
        <v>0.80748</v>
      </c>
      <c r="J686" s="107">
        <f>D686*(1-C686)+G686*MIN(C686,0.2*(1-C686))+H686</f>
        <v/>
      </c>
      <c r="K686" s="107">
        <f>E686*(1-C686)+G686*MIN(C686,0.2*(1-C686))</f>
        <v/>
      </c>
      <c r="L686" s="107">
        <f>I686*(1-C686)</f>
        <v/>
      </c>
      <c r="M686" s="119">
        <f>SUMIFS(Regimes!$G$5:$G$10,Regimes!$A$5:$A$10,A686)</f>
        <v/>
      </c>
      <c r="N686" s="106">
        <f>Donnees_annuelles!D128*J686</f>
        <v/>
      </c>
      <c r="O686" s="106">
        <f>Donnees_annuelles!D128*K686</f>
        <v/>
      </c>
      <c r="P686" s="106">
        <f>N686+O686</f>
        <v/>
      </c>
      <c r="Q686" s="106">
        <f>Donnees_annuelles!D128*L686</f>
        <v/>
      </c>
      <c r="R686" s="118">
        <f>P686/Donnees_annuelles!AA128*Donnees_annuelles!AI128/Donnees_annuelles!AG128</f>
        <v/>
      </c>
      <c r="S686" s="118">
        <f>P686/Donnees_annuelles!AA128*Donnees_annuelles!AJ128/Donnees_annuelles!AH128</f>
        <v/>
      </c>
    </row>
    <row r="687">
      <c r="A687" s="115" t="inlineStr">
        <is>
          <t>SNCF</t>
        </is>
      </c>
      <c r="B687" s="101" t="n">
        <v>2071</v>
      </c>
      <c r="C687" s="105" t="n">
        <v>0.1</v>
      </c>
      <c r="D687" s="105" t="n">
        <v>0.1095</v>
      </c>
      <c r="E687" s="105" t="n">
        <v>0.3751</v>
      </c>
      <c r="F687" s="116" t="inlineStr">
        <is>
          <t>légal</t>
        </is>
      </c>
      <c r="G687" s="105" t="n">
        <v>0</v>
      </c>
      <c r="H687" s="105" t="n">
        <v>0.00252</v>
      </c>
      <c r="I687" s="105" t="n">
        <v>0.80748</v>
      </c>
      <c r="J687" s="107">
        <f>D687*(1-C687)+G687*MIN(C687,0.2*(1-C687))+H687</f>
        <v/>
      </c>
      <c r="K687" s="107">
        <f>E687*(1-C687)+G687*MIN(C687,0.2*(1-C687))</f>
        <v/>
      </c>
      <c r="L687" s="107">
        <f>I687*(1-C687)</f>
        <v/>
      </c>
      <c r="M687" s="119">
        <f>SUMIFS(Regimes!$G$5:$G$10,Regimes!$A$5:$A$10,A687)</f>
        <v/>
      </c>
      <c r="N687" s="106">
        <f>Donnees_annuelles!D129*J687</f>
        <v/>
      </c>
      <c r="O687" s="106">
        <f>Donnees_annuelles!D129*K687</f>
        <v/>
      </c>
      <c r="P687" s="106">
        <f>N687+O687</f>
        <v/>
      </c>
      <c r="Q687" s="106">
        <f>Donnees_annuelles!D129*L687</f>
        <v/>
      </c>
      <c r="R687" s="118">
        <f>P687/Donnees_annuelles!AA129*Donnees_annuelles!AI129/Donnees_annuelles!AG129</f>
        <v/>
      </c>
      <c r="S687" s="118">
        <f>P687/Donnees_annuelles!AA129*Donnees_annuelles!AJ129/Donnees_annuelles!AH129</f>
        <v/>
      </c>
    </row>
    <row r="688">
      <c r="A688" s="115" t="inlineStr">
        <is>
          <t>SNCF</t>
        </is>
      </c>
      <c r="B688" s="101" t="n">
        <v>2072</v>
      </c>
      <c r="C688" s="105" t="n">
        <v>0.1</v>
      </c>
      <c r="D688" s="105" t="n">
        <v>0.1095</v>
      </c>
      <c r="E688" s="105" t="n">
        <v>0.3751</v>
      </c>
      <c r="F688" s="116" t="inlineStr">
        <is>
          <t>légal</t>
        </is>
      </c>
      <c r="G688" s="105" t="n">
        <v>0</v>
      </c>
      <c r="H688" s="105" t="n">
        <v>0.00252</v>
      </c>
      <c r="I688" s="105" t="n">
        <v>0.80748</v>
      </c>
      <c r="J688" s="107">
        <f>D688*(1-C688)+G688*MIN(C688,0.2*(1-C688))+H688</f>
        <v/>
      </c>
      <c r="K688" s="107">
        <f>E688*(1-C688)+G688*MIN(C688,0.2*(1-C688))</f>
        <v/>
      </c>
      <c r="L688" s="107">
        <f>I688*(1-C688)</f>
        <v/>
      </c>
      <c r="M688" s="119">
        <f>SUMIFS(Regimes!$G$5:$G$10,Regimes!$A$5:$A$10,A688)</f>
        <v/>
      </c>
      <c r="N688" s="106">
        <f>Donnees_annuelles!D130*J688</f>
        <v/>
      </c>
      <c r="O688" s="106">
        <f>Donnees_annuelles!D130*K688</f>
        <v/>
      </c>
      <c r="P688" s="106">
        <f>N688+O688</f>
        <v/>
      </c>
      <c r="Q688" s="106">
        <f>Donnees_annuelles!D130*L688</f>
        <v/>
      </c>
      <c r="R688" s="118">
        <f>P688/Donnees_annuelles!AA130*Donnees_annuelles!AI130/Donnees_annuelles!AG130</f>
        <v/>
      </c>
      <c r="S688" s="118">
        <f>P688/Donnees_annuelles!AA130*Donnees_annuelles!AJ130/Donnees_annuelles!AH130</f>
        <v/>
      </c>
    </row>
    <row r="689">
      <c r="A689" s="115" t="inlineStr">
        <is>
          <t>SNCF</t>
        </is>
      </c>
      <c r="B689" s="101" t="n">
        <v>2073</v>
      </c>
      <c r="C689" s="105" t="n">
        <v>0.1</v>
      </c>
      <c r="D689" s="105" t="n">
        <v>0.1095</v>
      </c>
      <c r="E689" s="105" t="n">
        <v>0.3751</v>
      </c>
      <c r="F689" s="116" t="inlineStr">
        <is>
          <t>légal</t>
        </is>
      </c>
      <c r="G689" s="105" t="n">
        <v>0</v>
      </c>
      <c r="H689" s="105" t="n">
        <v>0.00252</v>
      </c>
      <c r="I689" s="105" t="n">
        <v>0.80748</v>
      </c>
      <c r="J689" s="107">
        <f>D689*(1-C689)+G689*MIN(C689,0.2*(1-C689))+H689</f>
        <v/>
      </c>
      <c r="K689" s="107">
        <f>E689*(1-C689)+G689*MIN(C689,0.2*(1-C689))</f>
        <v/>
      </c>
      <c r="L689" s="107">
        <f>I689*(1-C689)</f>
        <v/>
      </c>
      <c r="M689" s="119">
        <f>SUMIFS(Regimes!$G$5:$G$10,Regimes!$A$5:$A$10,A689)</f>
        <v/>
      </c>
      <c r="N689" s="106">
        <f>Donnees_annuelles!D131*J689</f>
        <v/>
      </c>
      <c r="O689" s="106">
        <f>Donnees_annuelles!D131*K689</f>
        <v/>
      </c>
      <c r="P689" s="106">
        <f>N689+O689</f>
        <v/>
      </c>
      <c r="Q689" s="106">
        <f>Donnees_annuelles!D131*L689</f>
        <v/>
      </c>
      <c r="R689" s="118">
        <f>P689/Donnees_annuelles!AA131*Donnees_annuelles!AI131/Donnees_annuelles!AG131</f>
        <v/>
      </c>
      <c r="S689" s="118">
        <f>P689/Donnees_annuelles!AA131*Donnees_annuelles!AJ131/Donnees_annuelles!AH131</f>
        <v/>
      </c>
    </row>
    <row r="690">
      <c r="A690" s="115" t="inlineStr">
        <is>
          <t>SNCF</t>
        </is>
      </c>
      <c r="B690" s="101" t="n">
        <v>2074</v>
      </c>
      <c r="C690" s="105" t="n">
        <v>0.1</v>
      </c>
      <c r="D690" s="105" t="n">
        <v>0.1095</v>
      </c>
      <c r="E690" s="105" t="n">
        <v>0.3751</v>
      </c>
      <c r="F690" s="116" t="inlineStr">
        <is>
          <t>légal</t>
        </is>
      </c>
      <c r="G690" s="105" t="n">
        <v>0</v>
      </c>
      <c r="H690" s="105" t="n">
        <v>0.00252</v>
      </c>
      <c r="I690" s="105" t="n">
        <v>0.80748</v>
      </c>
      <c r="J690" s="107">
        <f>D690*(1-C690)+G690*MIN(C690,0.2*(1-C690))+H690</f>
        <v/>
      </c>
      <c r="K690" s="107">
        <f>E690*(1-C690)+G690*MIN(C690,0.2*(1-C690))</f>
        <v/>
      </c>
      <c r="L690" s="107">
        <f>I690*(1-C690)</f>
        <v/>
      </c>
      <c r="M690" s="119">
        <f>SUMIFS(Regimes!$G$5:$G$10,Regimes!$A$5:$A$10,A690)</f>
        <v/>
      </c>
      <c r="N690" s="106">
        <f>Donnees_annuelles!D132*J690</f>
        <v/>
      </c>
      <c r="O690" s="106">
        <f>Donnees_annuelles!D132*K690</f>
        <v/>
      </c>
      <c r="P690" s="106">
        <f>N690+O690</f>
        <v/>
      </c>
      <c r="Q690" s="106">
        <f>Donnees_annuelles!D132*L690</f>
        <v/>
      </c>
      <c r="R690" s="118">
        <f>P690/Donnees_annuelles!AA132*Donnees_annuelles!AI132/Donnees_annuelles!AG132</f>
        <v/>
      </c>
      <c r="S690" s="118">
        <f>P690/Donnees_annuelles!AA132*Donnees_annuelles!AJ132/Donnees_annuelles!AH132</f>
        <v/>
      </c>
    </row>
    <row r="691">
      <c r="A691" s="115" t="inlineStr">
        <is>
          <t>SNCF</t>
        </is>
      </c>
      <c r="B691" s="101" t="n">
        <v>2075</v>
      </c>
      <c r="C691" s="105" t="n">
        <v>0.1</v>
      </c>
      <c r="D691" s="105" t="n">
        <v>0.1095</v>
      </c>
      <c r="E691" s="105" t="n">
        <v>0.3751</v>
      </c>
      <c r="F691" s="116" t="inlineStr">
        <is>
          <t>légal</t>
        </is>
      </c>
      <c r="G691" s="105" t="n">
        <v>0</v>
      </c>
      <c r="H691" s="105" t="n">
        <v>0.00252</v>
      </c>
      <c r="I691" s="105" t="n">
        <v>0.80748</v>
      </c>
      <c r="J691" s="107">
        <f>D691*(1-C691)+G691*MIN(C691,0.2*(1-C691))+H691</f>
        <v/>
      </c>
      <c r="K691" s="107">
        <f>E691*(1-C691)+G691*MIN(C691,0.2*(1-C691))</f>
        <v/>
      </c>
      <c r="L691" s="107">
        <f>I691*(1-C691)</f>
        <v/>
      </c>
      <c r="M691" s="119">
        <f>SUMIFS(Regimes!$G$5:$G$10,Regimes!$A$5:$A$10,A691)</f>
        <v/>
      </c>
      <c r="N691" s="106">
        <f>Donnees_annuelles!D133*J691</f>
        <v/>
      </c>
      <c r="O691" s="106">
        <f>Donnees_annuelles!D133*K691</f>
        <v/>
      </c>
      <c r="P691" s="106">
        <f>N691+O691</f>
        <v/>
      </c>
      <c r="Q691" s="106">
        <f>Donnees_annuelles!D133*L691</f>
        <v/>
      </c>
      <c r="R691" s="118">
        <f>P691/Donnees_annuelles!AA133*Donnees_annuelles!AI133/Donnees_annuelles!AG133</f>
        <v/>
      </c>
      <c r="S691" s="118">
        <f>P691/Donnees_annuelles!AA133*Donnees_annuelles!AJ133/Donnees_annuelles!AH133</f>
        <v/>
      </c>
    </row>
    <row r="692">
      <c r="A692" s="115" t="inlineStr">
        <is>
          <t>SNCF</t>
        </is>
      </c>
      <c r="B692" s="101" t="n">
        <v>2076</v>
      </c>
      <c r="C692" s="105" t="n">
        <v>0.1</v>
      </c>
      <c r="D692" s="105" t="n">
        <v>0.1095</v>
      </c>
      <c r="E692" s="105" t="n">
        <v>0.3751</v>
      </c>
      <c r="F692" s="116" t="inlineStr">
        <is>
          <t>légal</t>
        </is>
      </c>
      <c r="G692" s="105" t="n">
        <v>0</v>
      </c>
      <c r="H692" s="105" t="n">
        <v>0.00252</v>
      </c>
      <c r="I692" s="105" t="n">
        <v>0.80748</v>
      </c>
      <c r="J692" s="107">
        <f>D692*(1-C692)+G692*MIN(C692,0.2*(1-C692))+H692</f>
        <v/>
      </c>
      <c r="K692" s="107">
        <f>E692*(1-C692)+G692*MIN(C692,0.2*(1-C692))</f>
        <v/>
      </c>
      <c r="L692" s="107">
        <f>I692*(1-C692)</f>
        <v/>
      </c>
      <c r="M692" s="119">
        <f>SUMIFS(Regimes!$G$5:$G$10,Regimes!$A$5:$A$10,A692)</f>
        <v/>
      </c>
      <c r="N692" s="106">
        <f>Donnees_annuelles!D134*J692</f>
        <v/>
      </c>
      <c r="O692" s="106">
        <f>Donnees_annuelles!D134*K692</f>
        <v/>
      </c>
      <c r="P692" s="106">
        <f>N692+O692</f>
        <v/>
      </c>
      <c r="Q692" s="106">
        <f>Donnees_annuelles!D134*L692</f>
        <v/>
      </c>
      <c r="R692" s="118">
        <f>P692/Donnees_annuelles!AA134*Donnees_annuelles!AI134/Donnees_annuelles!AG134</f>
        <v/>
      </c>
      <c r="S692" s="118">
        <f>P692/Donnees_annuelles!AA134*Donnees_annuelles!AJ134/Donnees_annuelles!AH134</f>
        <v/>
      </c>
    </row>
    <row r="693">
      <c r="A693" s="115" t="inlineStr">
        <is>
          <t>SNCF</t>
        </is>
      </c>
      <c r="B693" s="101" t="n">
        <v>2077</v>
      </c>
      <c r="C693" s="105" t="n">
        <v>0.1</v>
      </c>
      <c r="D693" s="105" t="n">
        <v>0.1095</v>
      </c>
      <c r="E693" s="105" t="n">
        <v>0.3751</v>
      </c>
      <c r="F693" s="116" t="inlineStr">
        <is>
          <t>légal</t>
        </is>
      </c>
      <c r="G693" s="105" t="n">
        <v>0</v>
      </c>
      <c r="H693" s="105" t="n">
        <v>0.00252</v>
      </c>
      <c r="I693" s="105" t="n">
        <v>0.80748</v>
      </c>
      <c r="J693" s="107">
        <f>D693*(1-C693)+G693*MIN(C693,0.2*(1-C693))+H693</f>
        <v/>
      </c>
      <c r="K693" s="107">
        <f>E693*(1-C693)+G693*MIN(C693,0.2*(1-C693))</f>
        <v/>
      </c>
      <c r="L693" s="107">
        <f>I693*(1-C693)</f>
        <v/>
      </c>
      <c r="M693" s="119">
        <f>SUMIFS(Regimes!$G$5:$G$10,Regimes!$A$5:$A$10,A693)</f>
        <v/>
      </c>
      <c r="N693" s="106">
        <f>Donnees_annuelles!D135*J693</f>
        <v/>
      </c>
      <c r="O693" s="106">
        <f>Donnees_annuelles!D135*K693</f>
        <v/>
      </c>
      <c r="P693" s="106">
        <f>N693+O693</f>
        <v/>
      </c>
      <c r="Q693" s="106">
        <f>Donnees_annuelles!D135*L693</f>
        <v/>
      </c>
      <c r="R693" s="118">
        <f>P693/Donnees_annuelles!AA135*Donnees_annuelles!AI135/Donnees_annuelles!AG135</f>
        <v/>
      </c>
      <c r="S693" s="118">
        <f>P693/Donnees_annuelles!AA135*Donnees_annuelles!AJ135/Donnees_annuelles!AH135</f>
        <v/>
      </c>
    </row>
    <row r="694">
      <c r="A694" s="115" t="inlineStr">
        <is>
          <t>SNCF</t>
        </is>
      </c>
      <c r="B694" s="101" t="n">
        <v>2078</v>
      </c>
      <c r="C694" s="105" t="n">
        <v>0.1</v>
      </c>
      <c r="D694" s="105" t="n">
        <v>0.1095</v>
      </c>
      <c r="E694" s="105" t="n">
        <v>0.3751</v>
      </c>
      <c r="F694" s="116" t="inlineStr">
        <is>
          <t>légal</t>
        </is>
      </c>
      <c r="G694" s="105" t="n">
        <v>0</v>
      </c>
      <c r="H694" s="105" t="n">
        <v>0.00252</v>
      </c>
      <c r="I694" s="105" t="n">
        <v>0.80748</v>
      </c>
      <c r="J694" s="107">
        <f>D694*(1-C694)+G694*MIN(C694,0.2*(1-C694))+H694</f>
        <v/>
      </c>
      <c r="K694" s="107">
        <f>E694*(1-C694)+G694*MIN(C694,0.2*(1-C694))</f>
        <v/>
      </c>
      <c r="L694" s="107">
        <f>I694*(1-C694)</f>
        <v/>
      </c>
      <c r="M694" s="119">
        <f>SUMIFS(Regimes!$G$5:$G$10,Regimes!$A$5:$A$10,A694)</f>
        <v/>
      </c>
      <c r="N694" s="106">
        <f>Donnees_annuelles!D136*J694</f>
        <v/>
      </c>
      <c r="O694" s="106">
        <f>Donnees_annuelles!D136*K694</f>
        <v/>
      </c>
      <c r="P694" s="106">
        <f>N694+O694</f>
        <v/>
      </c>
      <c r="Q694" s="106">
        <f>Donnees_annuelles!D136*L694</f>
        <v/>
      </c>
      <c r="R694" s="118">
        <f>P694/Donnees_annuelles!AA136*Donnees_annuelles!AI136/Donnees_annuelles!AG136</f>
        <v/>
      </c>
      <c r="S694" s="118">
        <f>P694/Donnees_annuelles!AA136*Donnees_annuelles!AJ136/Donnees_annuelles!AH136</f>
        <v/>
      </c>
    </row>
    <row r="695">
      <c r="A695" s="115" t="inlineStr">
        <is>
          <t>SNCF</t>
        </is>
      </c>
      <c r="B695" s="101" t="n">
        <v>2079</v>
      </c>
      <c r="C695" s="105" t="n">
        <v>0.1</v>
      </c>
      <c r="D695" s="105" t="n">
        <v>0.1095</v>
      </c>
      <c r="E695" s="105" t="n">
        <v>0.3751</v>
      </c>
      <c r="F695" s="116" t="inlineStr">
        <is>
          <t>légal</t>
        </is>
      </c>
      <c r="G695" s="105" t="n">
        <v>0</v>
      </c>
      <c r="H695" s="105" t="n">
        <v>0.00252</v>
      </c>
      <c r="I695" s="105" t="n">
        <v>0.80748</v>
      </c>
      <c r="J695" s="107">
        <f>D695*(1-C695)+G695*MIN(C695,0.2*(1-C695))+H695</f>
        <v/>
      </c>
      <c r="K695" s="107">
        <f>E695*(1-C695)+G695*MIN(C695,0.2*(1-C695))</f>
        <v/>
      </c>
      <c r="L695" s="107">
        <f>I695*(1-C695)</f>
        <v/>
      </c>
      <c r="M695" s="119">
        <f>SUMIFS(Regimes!$G$5:$G$10,Regimes!$A$5:$A$10,A695)</f>
        <v/>
      </c>
      <c r="N695" s="106">
        <f>Donnees_annuelles!D137*J695</f>
        <v/>
      </c>
      <c r="O695" s="106">
        <f>Donnees_annuelles!D137*K695</f>
        <v/>
      </c>
      <c r="P695" s="106">
        <f>N695+O695</f>
        <v/>
      </c>
      <c r="Q695" s="106">
        <f>Donnees_annuelles!D137*L695</f>
        <v/>
      </c>
      <c r="R695" s="118">
        <f>P695/Donnees_annuelles!AA137*Donnees_annuelles!AI137/Donnees_annuelles!AG137</f>
        <v/>
      </c>
      <c r="S695" s="118">
        <f>P695/Donnees_annuelles!AA137*Donnees_annuelles!AJ137/Donnees_annuelles!AH137</f>
        <v/>
      </c>
    </row>
    <row r="696">
      <c r="A696" s="115" t="inlineStr">
        <is>
          <t>SNCF</t>
        </is>
      </c>
      <c r="B696" s="101" t="n">
        <v>2080</v>
      </c>
      <c r="C696" s="105" t="n">
        <v>0.1</v>
      </c>
      <c r="D696" s="105" t="n">
        <v>0.1095</v>
      </c>
      <c r="E696" s="105" t="n">
        <v>0.3751</v>
      </c>
      <c r="F696" s="116" t="inlineStr">
        <is>
          <t>légal</t>
        </is>
      </c>
      <c r="G696" s="105" t="n">
        <v>0</v>
      </c>
      <c r="H696" s="105" t="n">
        <v>0.00252</v>
      </c>
      <c r="I696" s="105" t="n">
        <v>0.80748</v>
      </c>
      <c r="J696" s="107">
        <f>D696*(1-C696)+G696*MIN(C696,0.2*(1-C696))+H696</f>
        <v/>
      </c>
      <c r="K696" s="107">
        <f>E696*(1-C696)+G696*MIN(C696,0.2*(1-C696))</f>
        <v/>
      </c>
      <c r="L696" s="107">
        <f>I696*(1-C696)</f>
        <v/>
      </c>
      <c r="M696" s="119">
        <f>SUMIFS(Regimes!$G$5:$G$10,Regimes!$A$5:$A$10,A696)</f>
        <v/>
      </c>
      <c r="N696" s="106">
        <f>Donnees_annuelles!D138*J696</f>
        <v/>
      </c>
      <c r="O696" s="106">
        <f>Donnees_annuelles!D138*K696</f>
        <v/>
      </c>
      <c r="P696" s="106">
        <f>N696+O696</f>
        <v/>
      </c>
      <c r="Q696" s="106">
        <f>Donnees_annuelles!D138*L696</f>
        <v/>
      </c>
      <c r="R696" s="118">
        <f>P696/Donnees_annuelles!AA138*Donnees_annuelles!AI138/Donnees_annuelles!AG138</f>
        <v/>
      </c>
      <c r="S696" s="118">
        <f>P696/Donnees_annuelles!AA138*Donnees_annuelles!AJ138/Donnees_annuelles!AH138</f>
        <v/>
      </c>
    </row>
    <row r="697">
      <c r="A697" s="115" t="inlineStr">
        <is>
          <t>SNCF</t>
        </is>
      </c>
      <c r="B697" s="101" t="n">
        <v>2081</v>
      </c>
      <c r="C697" s="105" t="n">
        <v>0.1</v>
      </c>
      <c r="D697" s="105" t="n">
        <v>0.1095</v>
      </c>
      <c r="E697" s="105" t="n">
        <v>0.3751</v>
      </c>
      <c r="F697" s="116" t="inlineStr">
        <is>
          <t>légal</t>
        </is>
      </c>
      <c r="G697" s="105" t="n">
        <v>0</v>
      </c>
      <c r="H697" s="105" t="n">
        <v>0.00252</v>
      </c>
      <c r="I697" s="105" t="n">
        <v>0.80748</v>
      </c>
      <c r="J697" s="107">
        <f>D697*(1-C697)+G697*MIN(C697,0.2*(1-C697))+H697</f>
        <v/>
      </c>
      <c r="K697" s="107">
        <f>E697*(1-C697)+G697*MIN(C697,0.2*(1-C697))</f>
        <v/>
      </c>
      <c r="L697" s="107">
        <f>I697*(1-C697)</f>
        <v/>
      </c>
      <c r="M697" s="119">
        <f>SUMIFS(Regimes!$G$5:$G$10,Regimes!$A$5:$A$10,A697)</f>
        <v/>
      </c>
      <c r="N697" s="106">
        <f>Donnees_annuelles!D139*J697</f>
        <v/>
      </c>
      <c r="O697" s="106">
        <f>Donnees_annuelles!D139*K697</f>
        <v/>
      </c>
      <c r="P697" s="106">
        <f>N697+O697</f>
        <v/>
      </c>
      <c r="Q697" s="106">
        <f>Donnees_annuelles!D139*L697</f>
        <v/>
      </c>
      <c r="R697" s="118">
        <f>P697/Donnees_annuelles!AA139*Donnees_annuelles!AI139/Donnees_annuelles!AG139</f>
        <v/>
      </c>
      <c r="S697" s="118">
        <f>P697/Donnees_annuelles!AA139*Donnees_annuelles!AJ139/Donnees_annuelles!AH139</f>
        <v/>
      </c>
    </row>
    <row r="698">
      <c r="A698" s="115" t="inlineStr">
        <is>
          <t>SNCF</t>
        </is>
      </c>
      <c r="B698" s="101" t="n">
        <v>2082</v>
      </c>
      <c r="C698" s="105" t="n">
        <v>0.1</v>
      </c>
      <c r="D698" s="105" t="n">
        <v>0.1095</v>
      </c>
      <c r="E698" s="105" t="n">
        <v>0.3751</v>
      </c>
      <c r="F698" s="116" t="inlineStr">
        <is>
          <t>légal</t>
        </is>
      </c>
      <c r="G698" s="105" t="n">
        <v>0</v>
      </c>
      <c r="H698" s="105" t="n">
        <v>0.00252</v>
      </c>
      <c r="I698" s="105" t="n">
        <v>0.80748</v>
      </c>
      <c r="J698" s="107">
        <f>D698*(1-C698)+G698*MIN(C698,0.2*(1-C698))+H698</f>
        <v/>
      </c>
      <c r="K698" s="107">
        <f>E698*(1-C698)+G698*MIN(C698,0.2*(1-C698))</f>
        <v/>
      </c>
      <c r="L698" s="107">
        <f>I698*(1-C698)</f>
        <v/>
      </c>
      <c r="M698" s="119">
        <f>SUMIFS(Regimes!$G$5:$G$10,Regimes!$A$5:$A$10,A698)</f>
        <v/>
      </c>
      <c r="N698" s="106">
        <f>Donnees_annuelles!D140*J698</f>
        <v/>
      </c>
      <c r="O698" s="106">
        <f>Donnees_annuelles!D140*K698</f>
        <v/>
      </c>
      <c r="P698" s="106">
        <f>N698+O698</f>
        <v/>
      </c>
      <c r="Q698" s="106">
        <f>Donnees_annuelles!D140*L698</f>
        <v/>
      </c>
      <c r="R698" s="118">
        <f>P698/Donnees_annuelles!AA140*Donnees_annuelles!AI140/Donnees_annuelles!AG140</f>
        <v/>
      </c>
      <c r="S698" s="118">
        <f>P698/Donnees_annuelles!AA140*Donnees_annuelles!AJ140/Donnees_annuelles!AH140</f>
        <v/>
      </c>
    </row>
    <row r="699">
      <c r="A699" s="115" t="inlineStr">
        <is>
          <t>SNCF</t>
        </is>
      </c>
      <c r="B699" s="101" t="n">
        <v>2083</v>
      </c>
      <c r="C699" s="105" t="n">
        <v>0.1</v>
      </c>
      <c r="D699" s="105" t="n">
        <v>0.1095</v>
      </c>
      <c r="E699" s="105" t="n">
        <v>0.3751</v>
      </c>
      <c r="F699" s="116" t="inlineStr">
        <is>
          <t>légal</t>
        </is>
      </c>
      <c r="G699" s="105" t="n">
        <v>0</v>
      </c>
      <c r="H699" s="105" t="n">
        <v>0.00252</v>
      </c>
      <c r="I699" s="105" t="n">
        <v>0.80748</v>
      </c>
      <c r="J699" s="107">
        <f>D699*(1-C699)+G699*MIN(C699,0.2*(1-C699))+H699</f>
        <v/>
      </c>
      <c r="K699" s="107">
        <f>E699*(1-C699)+G699*MIN(C699,0.2*(1-C699))</f>
        <v/>
      </c>
      <c r="L699" s="107">
        <f>I699*(1-C699)</f>
        <v/>
      </c>
      <c r="M699" s="119">
        <f>SUMIFS(Regimes!$G$5:$G$10,Regimes!$A$5:$A$10,A699)</f>
        <v/>
      </c>
      <c r="N699" s="106">
        <f>Donnees_annuelles!D141*J699</f>
        <v/>
      </c>
      <c r="O699" s="106">
        <f>Donnees_annuelles!D141*K699</f>
        <v/>
      </c>
      <c r="P699" s="106">
        <f>N699+O699</f>
        <v/>
      </c>
      <c r="Q699" s="106">
        <f>Donnees_annuelles!D141*L699</f>
        <v/>
      </c>
      <c r="R699" s="118">
        <f>P699/Donnees_annuelles!AA141*Donnees_annuelles!AI141/Donnees_annuelles!AG141</f>
        <v/>
      </c>
      <c r="S699" s="118">
        <f>P699/Donnees_annuelles!AA141*Donnees_annuelles!AJ141/Donnees_annuelles!AH141</f>
        <v/>
      </c>
    </row>
    <row r="700">
      <c r="A700" s="115" t="inlineStr">
        <is>
          <t>SNCF</t>
        </is>
      </c>
      <c r="B700" s="101" t="n">
        <v>2084</v>
      </c>
      <c r="C700" s="105" t="n">
        <v>0.1</v>
      </c>
      <c r="D700" s="105" t="n">
        <v>0.1095</v>
      </c>
      <c r="E700" s="105" t="n">
        <v>0.3751</v>
      </c>
      <c r="F700" s="116" t="inlineStr">
        <is>
          <t>légal</t>
        </is>
      </c>
      <c r="G700" s="105" t="n">
        <v>0</v>
      </c>
      <c r="H700" s="105" t="n">
        <v>0.00252</v>
      </c>
      <c r="I700" s="105" t="n">
        <v>0.80748</v>
      </c>
      <c r="J700" s="107">
        <f>D700*(1-C700)+G700*MIN(C700,0.2*(1-C700))+H700</f>
        <v/>
      </c>
      <c r="K700" s="107">
        <f>E700*(1-C700)+G700*MIN(C700,0.2*(1-C700))</f>
        <v/>
      </c>
      <c r="L700" s="107">
        <f>I700*(1-C700)</f>
        <v/>
      </c>
      <c r="M700" s="119">
        <f>SUMIFS(Regimes!$G$5:$G$10,Regimes!$A$5:$A$10,A700)</f>
        <v/>
      </c>
      <c r="N700" s="106">
        <f>Donnees_annuelles!D142*J700</f>
        <v/>
      </c>
      <c r="O700" s="106">
        <f>Donnees_annuelles!D142*K700</f>
        <v/>
      </c>
      <c r="P700" s="106">
        <f>N700+O700</f>
        <v/>
      </c>
      <c r="Q700" s="106">
        <f>Donnees_annuelles!D142*L700</f>
        <v/>
      </c>
      <c r="R700" s="118">
        <f>P700/Donnees_annuelles!AA142*Donnees_annuelles!AI142/Donnees_annuelles!AG142</f>
        <v/>
      </c>
      <c r="S700" s="118">
        <f>P700/Donnees_annuelles!AA142*Donnees_annuelles!AJ142/Donnees_annuelles!AH142</f>
        <v/>
      </c>
    </row>
    <row r="701">
      <c r="A701" s="115" t="inlineStr">
        <is>
          <t>SNCF</t>
        </is>
      </c>
      <c r="B701" s="101" t="n">
        <v>2085</v>
      </c>
      <c r="C701" s="105" t="n">
        <v>0.1</v>
      </c>
      <c r="D701" s="105" t="n">
        <v>0.1095</v>
      </c>
      <c r="E701" s="105" t="n">
        <v>0.3751</v>
      </c>
      <c r="F701" s="116" t="inlineStr">
        <is>
          <t>légal</t>
        </is>
      </c>
      <c r="G701" s="105" t="n">
        <v>0</v>
      </c>
      <c r="H701" s="105" t="n">
        <v>0.00252</v>
      </c>
      <c r="I701" s="105" t="n">
        <v>0.80748</v>
      </c>
      <c r="J701" s="107">
        <f>D701*(1-C701)+G701*MIN(C701,0.2*(1-C701))+H701</f>
        <v/>
      </c>
      <c r="K701" s="107">
        <f>E701*(1-C701)+G701*MIN(C701,0.2*(1-C701))</f>
        <v/>
      </c>
      <c r="L701" s="107">
        <f>I701*(1-C701)</f>
        <v/>
      </c>
      <c r="M701" s="119">
        <f>SUMIFS(Regimes!$G$5:$G$10,Regimes!$A$5:$A$10,A701)</f>
        <v/>
      </c>
      <c r="N701" s="106">
        <f>Donnees_annuelles!D143*J701</f>
        <v/>
      </c>
      <c r="O701" s="106">
        <f>Donnees_annuelles!D143*K701</f>
        <v/>
      </c>
      <c r="P701" s="106">
        <f>N701+O701</f>
        <v/>
      </c>
      <c r="Q701" s="106">
        <f>Donnees_annuelles!D143*L701</f>
        <v/>
      </c>
      <c r="R701" s="118">
        <f>P701/Donnees_annuelles!AA143*Donnees_annuelles!AI143/Donnees_annuelles!AG143</f>
        <v/>
      </c>
      <c r="S701" s="118">
        <f>P701/Donnees_annuelles!AA143*Donnees_annuelles!AJ143/Donnees_annuelles!AH143</f>
        <v/>
      </c>
    </row>
    <row r="702">
      <c r="A702" s="115" t="inlineStr">
        <is>
          <t>SNCF</t>
        </is>
      </c>
      <c r="B702" s="101" t="n">
        <v>2086</v>
      </c>
      <c r="C702" s="105" t="n">
        <v>0.1</v>
      </c>
      <c r="D702" s="105" t="n">
        <v>0.1095</v>
      </c>
      <c r="E702" s="105" t="n">
        <v>0.3751</v>
      </c>
      <c r="F702" s="116" t="inlineStr">
        <is>
          <t>légal</t>
        </is>
      </c>
      <c r="G702" s="105" t="n">
        <v>0</v>
      </c>
      <c r="H702" s="105" t="n">
        <v>0.00252</v>
      </c>
      <c r="I702" s="105" t="n">
        <v>0.80748</v>
      </c>
      <c r="J702" s="107">
        <f>D702*(1-C702)+G702*MIN(C702,0.2*(1-C702))+H702</f>
        <v/>
      </c>
      <c r="K702" s="107">
        <f>E702*(1-C702)+G702*MIN(C702,0.2*(1-C702))</f>
        <v/>
      </c>
      <c r="L702" s="107">
        <f>I702*(1-C702)</f>
        <v/>
      </c>
      <c r="M702" s="119">
        <f>SUMIFS(Regimes!$G$5:$G$10,Regimes!$A$5:$A$10,A702)</f>
        <v/>
      </c>
      <c r="N702" s="106">
        <f>Donnees_annuelles!D144*J702</f>
        <v/>
      </c>
      <c r="O702" s="106">
        <f>Donnees_annuelles!D144*K702</f>
        <v/>
      </c>
      <c r="P702" s="106">
        <f>N702+O702</f>
        <v/>
      </c>
      <c r="Q702" s="106">
        <f>Donnees_annuelles!D144*L702</f>
        <v/>
      </c>
      <c r="R702" s="118">
        <f>P702/Donnees_annuelles!AA144*Donnees_annuelles!AI144/Donnees_annuelles!AG144</f>
        <v/>
      </c>
      <c r="S702" s="118">
        <f>P702/Donnees_annuelles!AA144*Donnees_annuelles!AJ144/Donnees_annuelles!AH144</f>
        <v/>
      </c>
    </row>
    <row r="703">
      <c r="A703" s="115" t="inlineStr">
        <is>
          <t>SNCF</t>
        </is>
      </c>
      <c r="B703" s="101" t="n">
        <v>2087</v>
      </c>
      <c r="C703" s="105" t="n">
        <v>0.1</v>
      </c>
      <c r="D703" s="105" t="n">
        <v>0.1095</v>
      </c>
      <c r="E703" s="105" t="n">
        <v>0.3751</v>
      </c>
      <c r="F703" s="116" t="inlineStr">
        <is>
          <t>légal</t>
        </is>
      </c>
      <c r="G703" s="105" t="n">
        <v>0</v>
      </c>
      <c r="H703" s="105" t="n">
        <v>0.00252</v>
      </c>
      <c r="I703" s="105" t="n">
        <v>0.80748</v>
      </c>
      <c r="J703" s="107">
        <f>D703*(1-C703)+G703*MIN(C703,0.2*(1-C703))+H703</f>
        <v/>
      </c>
      <c r="K703" s="107">
        <f>E703*(1-C703)+G703*MIN(C703,0.2*(1-C703))</f>
        <v/>
      </c>
      <c r="L703" s="107">
        <f>I703*(1-C703)</f>
        <v/>
      </c>
      <c r="M703" s="119">
        <f>SUMIFS(Regimes!$G$5:$G$10,Regimes!$A$5:$A$10,A703)</f>
        <v/>
      </c>
      <c r="N703" s="106">
        <f>Donnees_annuelles!D145*J703</f>
        <v/>
      </c>
      <c r="O703" s="106">
        <f>Donnees_annuelles!D145*K703</f>
        <v/>
      </c>
      <c r="P703" s="106">
        <f>N703+O703</f>
        <v/>
      </c>
      <c r="Q703" s="106">
        <f>Donnees_annuelles!D145*L703</f>
        <v/>
      </c>
      <c r="R703" s="118">
        <f>P703/Donnees_annuelles!AA145*Donnees_annuelles!AI145/Donnees_annuelles!AG145</f>
        <v/>
      </c>
      <c r="S703" s="118">
        <f>P703/Donnees_annuelles!AA145*Donnees_annuelles!AJ145/Donnees_annuelles!AH145</f>
        <v/>
      </c>
    </row>
    <row r="704">
      <c r="A704" s="115" t="inlineStr">
        <is>
          <t>SNCF</t>
        </is>
      </c>
      <c r="B704" s="101" t="n">
        <v>2088</v>
      </c>
      <c r="C704" s="105" t="n">
        <v>0.1</v>
      </c>
      <c r="D704" s="105" t="n">
        <v>0.1095</v>
      </c>
      <c r="E704" s="105" t="n">
        <v>0.3751</v>
      </c>
      <c r="F704" s="116" t="inlineStr">
        <is>
          <t>légal</t>
        </is>
      </c>
      <c r="G704" s="105" t="n">
        <v>0</v>
      </c>
      <c r="H704" s="105" t="n">
        <v>0.00252</v>
      </c>
      <c r="I704" s="105" t="n">
        <v>0.80748</v>
      </c>
      <c r="J704" s="107">
        <f>D704*(1-C704)+G704*MIN(C704,0.2*(1-C704))+H704</f>
        <v/>
      </c>
      <c r="K704" s="107">
        <f>E704*(1-C704)+G704*MIN(C704,0.2*(1-C704))</f>
        <v/>
      </c>
      <c r="L704" s="107">
        <f>I704*(1-C704)</f>
        <v/>
      </c>
      <c r="M704" s="119">
        <f>SUMIFS(Regimes!$G$5:$G$10,Regimes!$A$5:$A$10,A704)</f>
        <v/>
      </c>
      <c r="N704" s="106">
        <f>Donnees_annuelles!D146*J704</f>
        <v/>
      </c>
      <c r="O704" s="106">
        <f>Donnees_annuelles!D146*K704</f>
        <v/>
      </c>
      <c r="P704" s="106">
        <f>N704+O704</f>
        <v/>
      </c>
      <c r="Q704" s="106">
        <f>Donnees_annuelles!D146*L704</f>
        <v/>
      </c>
      <c r="R704" s="118">
        <f>P704/Donnees_annuelles!AA146*Donnees_annuelles!AI146/Donnees_annuelles!AG146</f>
        <v/>
      </c>
      <c r="S704" s="118">
        <f>P704/Donnees_annuelles!AA146*Donnees_annuelles!AJ146/Donnees_annuelles!AH146</f>
        <v/>
      </c>
    </row>
    <row r="705">
      <c r="A705" s="115" t="inlineStr">
        <is>
          <t>SNCF</t>
        </is>
      </c>
      <c r="B705" s="101" t="n">
        <v>2089</v>
      </c>
      <c r="C705" s="105" t="n">
        <v>0.1</v>
      </c>
      <c r="D705" s="105" t="n">
        <v>0.1095</v>
      </c>
      <c r="E705" s="105" t="n">
        <v>0.3751</v>
      </c>
      <c r="F705" s="116" t="inlineStr">
        <is>
          <t>légal</t>
        </is>
      </c>
      <c r="G705" s="105" t="n">
        <v>0</v>
      </c>
      <c r="H705" s="105" t="n">
        <v>0.00252</v>
      </c>
      <c r="I705" s="105" t="n">
        <v>0.80748</v>
      </c>
      <c r="J705" s="107">
        <f>D705*(1-C705)+G705*MIN(C705,0.2*(1-C705))+H705</f>
        <v/>
      </c>
      <c r="K705" s="107">
        <f>E705*(1-C705)+G705*MIN(C705,0.2*(1-C705))</f>
        <v/>
      </c>
      <c r="L705" s="107">
        <f>I705*(1-C705)</f>
        <v/>
      </c>
      <c r="M705" s="119">
        <f>SUMIFS(Regimes!$G$5:$G$10,Regimes!$A$5:$A$10,A705)</f>
        <v/>
      </c>
      <c r="N705" s="106">
        <f>Donnees_annuelles!D147*J705</f>
        <v/>
      </c>
      <c r="O705" s="106">
        <f>Donnees_annuelles!D147*K705</f>
        <v/>
      </c>
      <c r="P705" s="106">
        <f>N705+O705</f>
        <v/>
      </c>
      <c r="Q705" s="106">
        <f>Donnees_annuelles!D147*L705</f>
        <v/>
      </c>
      <c r="R705" s="118">
        <f>P705/Donnees_annuelles!AA147*Donnees_annuelles!AI147/Donnees_annuelles!AG147</f>
        <v/>
      </c>
      <c r="S705" s="118">
        <f>P705/Donnees_annuelles!AA147*Donnees_annuelles!AJ147/Donnees_annuelles!AH147</f>
        <v/>
      </c>
    </row>
    <row r="706">
      <c r="A706" s="115" t="inlineStr">
        <is>
          <t>SNCF</t>
        </is>
      </c>
      <c r="B706" s="101" t="n">
        <v>2090</v>
      </c>
      <c r="C706" s="105" t="n">
        <v>0.1</v>
      </c>
      <c r="D706" s="105" t="n">
        <v>0.1095</v>
      </c>
      <c r="E706" s="105" t="n">
        <v>0.3751</v>
      </c>
      <c r="F706" s="116" t="inlineStr">
        <is>
          <t>légal</t>
        </is>
      </c>
      <c r="G706" s="105" t="n">
        <v>0</v>
      </c>
      <c r="H706" s="105" t="n">
        <v>0.00252</v>
      </c>
      <c r="I706" s="105" t="n">
        <v>0.80748</v>
      </c>
      <c r="J706" s="107">
        <f>D706*(1-C706)+G706*MIN(C706,0.2*(1-C706))+H706</f>
        <v/>
      </c>
      <c r="K706" s="107">
        <f>E706*(1-C706)+G706*MIN(C706,0.2*(1-C706))</f>
        <v/>
      </c>
      <c r="L706" s="107">
        <f>I706*(1-C706)</f>
        <v/>
      </c>
      <c r="M706" s="119">
        <f>SUMIFS(Regimes!$G$5:$G$10,Regimes!$A$5:$A$10,A706)</f>
        <v/>
      </c>
      <c r="N706" s="106">
        <f>Donnees_annuelles!D148*J706</f>
        <v/>
      </c>
      <c r="O706" s="106">
        <f>Donnees_annuelles!D148*K706</f>
        <v/>
      </c>
      <c r="P706" s="106">
        <f>N706+O706</f>
        <v/>
      </c>
      <c r="Q706" s="106">
        <f>Donnees_annuelles!D148*L706</f>
        <v/>
      </c>
      <c r="R706" s="118">
        <f>P706/Donnees_annuelles!AA148*Donnees_annuelles!AI148/Donnees_annuelles!AG148</f>
        <v/>
      </c>
      <c r="S706" s="118">
        <f>P706/Donnees_annuelles!AA148*Donnees_annuelles!AJ148/Donnees_annuelles!AH148</f>
        <v/>
      </c>
    </row>
    <row r="707">
      <c r="A707" s="115" t="inlineStr">
        <is>
          <t>SNCF</t>
        </is>
      </c>
      <c r="B707" s="101" t="n">
        <v>2091</v>
      </c>
      <c r="C707" s="105" t="n">
        <v>0.1</v>
      </c>
      <c r="D707" s="105" t="n">
        <v>0.1095</v>
      </c>
      <c r="E707" s="105" t="n">
        <v>0.3751</v>
      </c>
      <c r="F707" s="116" t="inlineStr">
        <is>
          <t>légal</t>
        </is>
      </c>
      <c r="G707" s="105" t="n">
        <v>0</v>
      </c>
      <c r="H707" s="105" t="n">
        <v>0.00252</v>
      </c>
      <c r="I707" s="105" t="n">
        <v>0.80748</v>
      </c>
      <c r="J707" s="107">
        <f>D707*(1-C707)+G707*MIN(C707,0.2*(1-C707))+H707</f>
        <v/>
      </c>
      <c r="K707" s="107">
        <f>E707*(1-C707)+G707*MIN(C707,0.2*(1-C707))</f>
        <v/>
      </c>
      <c r="L707" s="107">
        <f>I707*(1-C707)</f>
        <v/>
      </c>
      <c r="M707" s="119">
        <f>SUMIFS(Regimes!$G$5:$G$10,Regimes!$A$5:$A$10,A707)</f>
        <v/>
      </c>
      <c r="N707" s="106">
        <f>Donnees_annuelles!D149*J707</f>
        <v/>
      </c>
      <c r="O707" s="106">
        <f>Donnees_annuelles!D149*K707</f>
        <v/>
      </c>
      <c r="P707" s="106">
        <f>N707+O707</f>
        <v/>
      </c>
      <c r="Q707" s="106">
        <f>Donnees_annuelles!D149*L707</f>
        <v/>
      </c>
      <c r="R707" s="118">
        <f>P707/Donnees_annuelles!AA149*Donnees_annuelles!AI149/Donnees_annuelles!AG149</f>
        <v/>
      </c>
      <c r="S707" s="118">
        <f>P707/Donnees_annuelles!AA149*Donnees_annuelles!AJ149/Donnees_annuelles!AH149</f>
        <v/>
      </c>
    </row>
    <row r="708">
      <c r="A708" s="115" t="inlineStr">
        <is>
          <t>SNCF</t>
        </is>
      </c>
      <c r="B708" s="101" t="n">
        <v>2092</v>
      </c>
      <c r="C708" s="105" t="n">
        <v>0.1</v>
      </c>
      <c r="D708" s="105" t="n">
        <v>0.1095</v>
      </c>
      <c r="E708" s="105" t="n">
        <v>0.3751</v>
      </c>
      <c r="F708" s="116" t="inlineStr">
        <is>
          <t>légal</t>
        </is>
      </c>
      <c r="G708" s="105" t="n">
        <v>0</v>
      </c>
      <c r="H708" s="105" t="n">
        <v>0.00252</v>
      </c>
      <c r="I708" s="105" t="n">
        <v>0.80748</v>
      </c>
      <c r="J708" s="107">
        <f>D708*(1-C708)+G708*MIN(C708,0.2*(1-C708))+H708</f>
        <v/>
      </c>
      <c r="K708" s="107">
        <f>E708*(1-C708)+G708*MIN(C708,0.2*(1-C708))</f>
        <v/>
      </c>
      <c r="L708" s="107">
        <f>I708*(1-C708)</f>
        <v/>
      </c>
      <c r="M708" s="119">
        <f>SUMIFS(Regimes!$G$5:$G$10,Regimes!$A$5:$A$10,A708)</f>
        <v/>
      </c>
      <c r="N708" s="106">
        <f>Donnees_annuelles!D150*J708</f>
        <v/>
      </c>
      <c r="O708" s="106">
        <f>Donnees_annuelles!D150*K708</f>
        <v/>
      </c>
      <c r="P708" s="106">
        <f>N708+O708</f>
        <v/>
      </c>
      <c r="Q708" s="106">
        <f>Donnees_annuelles!D150*L708</f>
        <v/>
      </c>
      <c r="R708" s="118">
        <f>P708/Donnees_annuelles!AA150*Donnees_annuelles!AI150/Donnees_annuelles!AG150</f>
        <v/>
      </c>
      <c r="S708" s="118">
        <f>P708/Donnees_annuelles!AA150*Donnees_annuelles!AJ150/Donnees_annuelles!AH150</f>
        <v/>
      </c>
    </row>
    <row r="709">
      <c r="A709" s="115" t="inlineStr">
        <is>
          <t>SNCF</t>
        </is>
      </c>
      <c r="B709" s="101" t="n">
        <v>2093</v>
      </c>
      <c r="C709" s="105" t="n">
        <v>0.1</v>
      </c>
      <c r="D709" s="105" t="n">
        <v>0.1095</v>
      </c>
      <c r="E709" s="105" t="n">
        <v>0.3751</v>
      </c>
      <c r="F709" s="116" t="inlineStr">
        <is>
          <t>légal</t>
        </is>
      </c>
      <c r="G709" s="105" t="n">
        <v>0</v>
      </c>
      <c r="H709" s="105" t="n">
        <v>0.00252</v>
      </c>
      <c r="I709" s="105" t="n">
        <v>0.80748</v>
      </c>
      <c r="J709" s="107">
        <f>D709*(1-C709)+G709*MIN(C709,0.2*(1-C709))+H709</f>
        <v/>
      </c>
      <c r="K709" s="107">
        <f>E709*(1-C709)+G709*MIN(C709,0.2*(1-C709))</f>
        <v/>
      </c>
      <c r="L709" s="107">
        <f>I709*(1-C709)</f>
        <v/>
      </c>
      <c r="M709" s="119">
        <f>SUMIFS(Regimes!$G$5:$G$10,Regimes!$A$5:$A$10,A709)</f>
        <v/>
      </c>
      <c r="N709" s="106">
        <f>Donnees_annuelles!D151*J709</f>
        <v/>
      </c>
      <c r="O709" s="106">
        <f>Donnees_annuelles!D151*K709</f>
        <v/>
      </c>
      <c r="P709" s="106">
        <f>N709+O709</f>
        <v/>
      </c>
      <c r="Q709" s="106">
        <f>Donnees_annuelles!D151*L709</f>
        <v/>
      </c>
      <c r="R709" s="118">
        <f>P709/Donnees_annuelles!AA151*Donnees_annuelles!AI151/Donnees_annuelles!AG151</f>
        <v/>
      </c>
      <c r="S709" s="118">
        <f>P709/Donnees_annuelles!AA151*Donnees_annuelles!AJ151/Donnees_annuelles!AH151</f>
        <v/>
      </c>
    </row>
    <row r="710">
      <c r="A710" s="115" t="inlineStr">
        <is>
          <t>SNCF</t>
        </is>
      </c>
      <c r="B710" s="101" t="n">
        <v>2094</v>
      </c>
      <c r="C710" s="105" t="n">
        <v>0.1</v>
      </c>
      <c r="D710" s="105" t="n">
        <v>0.1095</v>
      </c>
      <c r="E710" s="105" t="n">
        <v>0.3751</v>
      </c>
      <c r="F710" s="116" t="inlineStr">
        <is>
          <t>légal</t>
        </is>
      </c>
      <c r="G710" s="105" t="n">
        <v>0</v>
      </c>
      <c r="H710" s="105" t="n">
        <v>0.00252</v>
      </c>
      <c r="I710" s="105" t="n">
        <v>0.80748</v>
      </c>
      <c r="J710" s="107">
        <f>D710*(1-C710)+G710*MIN(C710,0.2*(1-C710))+H710</f>
        <v/>
      </c>
      <c r="K710" s="107">
        <f>E710*(1-C710)+G710*MIN(C710,0.2*(1-C710))</f>
        <v/>
      </c>
      <c r="L710" s="107">
        <f>I710*(1-C710)</f>
        <v/>
      </c>
      <c r="M710" s="119">
        <f>SUMIFS(Regimes!$G$5:$G$10,Regimes!$A$5:$A$10,A710)</f>
        <v/>
      </c>
      <c r="N710" s="106">
        <f>Donnees_annuelles!D152*J710</f>
        <v/>
      </c>
      <c r="O710" s="106">
        <f>Donnees_annuelles!D152*K710</f>
        <v/>
      </c>
      <c r="P710" s="106">
        <f>N710+O710</f>
        <v/>
      </c>
      <c r="Q710" s="106">
        <f>Donnees_annuelles!D152*L710</f>
        <v/>
      </c>
      <c r="R710" s="118">
        <f>P710/Donnees_annuelles!AA152*Donnees_annuelles!AI152/Donnees_annuelles!AG152</f>
        <v/>
      </c>
      <c r="S710" s="118">
        <f>P710/Donnees_annuelles!AA152*Donnees_annuelles!AJ152/Donnees_annuelles!AH152</f>
        <v/>
      </c>
    </row>
    <row r="711">
      <c r="A711" s="115" t="inlineStr">
        <is>
          <t>SNCF</t>
        </is>
      </c>
      <c r="B711" s="101" t="n">
        <v>2095</v>
      </c>
      <c r="C711" s="105" t="n">
        <v>0.1</v>
      </c>
      <c r="D711" s="105" t="n">
        <v>0.1095</v>
      </c>
      <c r="E711" s="105" t="n">
        <v>0.3751</v>
      </c>
      <c r="F711" s="116" t="inlineStr">
        <is>
          <t>légal</t>
        </is>
      </c>
      <c r="G711" s="105" t="n">
        <v>0</v>
      </c>
      <c r="H711" s="105" t="n">
        <v>0.00252</v>
      </c>
      <c r="I711" s="105" t="n">
        <v>0.80748</v>
      </c>
      <c r="J711" s="107">
        <f>D711*(1-C711)+G711*MIN(C711,0.2*(1-C711))+H711</f>
        <v/>
      </c>
      <c r="K711" s="107">
        <f>E711*(1-C711)+G711*MIN(C711,0.2*(1-C711))</f>
        <v/>
      </c>
      <c r="L711" s="107">
        <f>I711*(1-C711)</f>
        <v/>
      </c>
      <c r="M711" s="119">
        <f>SUMIFS(Regimes!$G$5:$G$10,Regimes!$A$5:$A$10,A711)</f>
        <v/>
      </c>
      <c r="N711" s="106">
        <f>Donnees_annuelles!D153*J711</f>
        <v/>
      </c>
      <c r="O711" s="106">
        <f>Donnees_annuelles!D153*K711</f>
        <v/>
      </c>
      <c r="P711" s="106">
        <f>N711+O711</f>
        <v/>
      </c>
      <c r="Q711" s="106">
        <f>Donnees_annuelles!D153*L711</f>
        <v/>
      </c>
      <c r="R711" s="118">
        <f>P711/Donnees_annuelles!AA153*Donnees_annuelles!AI153/Donnees_annuelles!AG153</f>
        <v/>
      </c>
      <c r="S711" s="118">
        <f>P711/Donnees_annuelles!AA153*Donnees_annuelles!AJ153/Donnees_annuelles!AH153</f>
        <v/>
      </c>
    </row>
    <row r="712">
      <c r="A712" s="115" t="inlineStr">
        <is>
          <t>SNCF</t>
        </is>
      </c>
      <c r="B712" s="101" t="n">
        <v>2096</v>
      </c>
      <c r="C712" s="105" t="n">
        <v>0.1</v>
      </c>
      <c r="D712" s="105" t="n">
        <v>0.1095</v>
      </c>
      <c r="E712" s="105" t="n">
        <v>0.3751</v>
      </c>
      <c r="F712" s="116" t="inlineStr">
        <is>
          <t>légal</t>
        </is>
      </c>
      <c r="G712" s="105" t="n">
        <v>0</v>
      </c>
      <c r="H712" s="105" t="n">
        <v>0.00252</v>
      </c>
      <c r="I712" s="105" t="n">
        <v>0.80748</v>
      </c>
      <c r="J712" s="107">
        <f>D712*(1-C712)+G712*MIN(C712,0.2*(1-C712))+H712</f>
        <v/>
      </c>
      <c r="K712" s="107">
        <f>E712*(1-C712)+G712*MIN(C712,0.2*(1-C712))</f>
        <v/>
      </c>
      <c r="L712" s="107">
        <f>I712*(1-C712)</f>
        <v/>
      </c>
      <c r="M712" s="119">
        <f>SUMIFS(Regimes!$G$5:$G$10,Regimes!$A$5:$A$10,A712)</f>
        <v/>
      </c>
      <c r="N712" s="106">
        <f>Donnees_annuelles!D154*J712</f>
        <v/>
      </c>
      <c r="O712" s="106">
        <f>Donnees_annuelles!D154*K712</f>
        <v/>
      </c>
      <c r="P712" s="106">
        <f>N712+O712</f>
        <v/>
      </c>
      <c r="Q712" s="106">
        <f>Donnees_annuelles!D154*L712</f>
        <v/>
      </c>
      <c r="R712" s="118">
        <f>P712/Donnees_annuelles!AA154*Donnees_annuelles!AI154/Donnees_annuelles!AG154</f>
        <v/>
      </c>
      <c r="S712" s="118">
        <f>P712/Donnees_annuelles!AA154*Donnees_annuelles!AJ154/Donnees_annuelles!AH154</f>
        <v/>
      </c>
    </row>
    <row r="713">
      <c r="A713" s="115" t="inlineStr">
        <is>
          <t>SNCF</t>
        </is>
      </c>
      <c r="B713" s="101" t="n">
        <v>2097</v>
      </c>
      <c r="C713" s="105" t="n">
        <v>0.1</v>
      </c>
      <c r="D713" s="105" t="n">
        <v>0.1095</v>
      </c>
      <c r="E713" s="105" t="n">
        <v>0.3751</v>
      </c>
      <c r="F713" s="116" t="inlineStr">
        <is>
          <t>légal</t>
        </is>
      </c>
      <c r="G713" s="105" t="n">
        <v>0</v>
      </c>
      <c r="H713" s="105" t="n">
        <v>0.00252</v>
      </c>
      <c r="I713" s="105" t="n">
        <v>0.80748</v>
      </c>
      <c r="J713" s="107">
        <f>D713*(1-C713)+G713*MIN(C713,0.2*(1-C713))+H713</f>
        <v/>
      </c>
      <c r="K713" s="107">
        <f>E713*(1-C713)+G713*MIN(C713,0.2*(1-C713))</f>
        <v/>
      </c>
      <c r="L713" s="107">
        <f>I713*(1-C713)</f>
        <v/>
      </c>
      <c r="M713" s="119">
        <f>SUMIFS(Regimes!$G$5:$G$10,Regimes!$A$5:$A$10,A713)</f>
        <v/>
      </c>
      <c r="N713" s="106">
        <f>Donnees_annuelles!D155*J713</f>
        <v/>
      </c>
      <c r="O713" s="106">
        <f>Donnees_annuelles!D155*K713</f>
        <v/>
      </c>
      <c r="P713" s="106">
        <f>N713+O713</f>
        <v/>
      </c>
      <c r="Q713" s="106">
        <f>Donnees_annuelles!D155*L713</f>
        <v/>
      </c>
      <c r="R713" s="118">
        <f>P713/Donnees_annuelles!AA155*Donnees_annuelles!AI155/Donnees_annuelles!AG155</f>
        <v/>
      </c>
      <c r="S713" s="118">
        <f>P713/Donnees_annuelles!AA155*Donnees_annuelles!AJ155/Donnees_annuelles!AH155</f>
        <v/>
      </c>
    </row>
    <row r="714">
      <c r="A714" s="115" t="inlineStr">
        <is>
          <t>SNCF</t>
        </is>
      </c>
      <c r="B714" s="101" t="n">
        <v>2098</v>
      </c>
      <c r="C714" s="105" t="n">
        <v>0.1</v>
      </c>
      <c r="D714" s="105" t="n">
        <v>0.1095</v>
      </c>
      <c r="E714" s="105" t="n">
        <v>0.3751</v>
      </c>
      <c r="F714" s="116" t="inlineStr">
        <is>
          <t>légal</t>
        </is>
      </c>
      <c r="G714" s="105" t="n">
        <v>0</v>
      </c>
      <c r="H714" s="105" t="n">
        <v>0.00252</v>
      </c>
      <c r="I714" s="105" t="n">
        <v>0.80748</v>
      </c>
      <c r="J714" s="107">
        <f>D714*(1-C714)+G714*MIN(C714,0.2*(1-C714))+H714</f>
        <v/>
      </c>
      <c r="K714" s="107">
        <f>E714*(1-C714)+G714*MIN(C714,0.2*(1-C714))</f>
        <v/>
      </c>
      <c r="L714" s="107">
        <f>I714*(1-C714)</f>
        <v/>
      </c>
      <c r="M714" s="119">
        <f>SUMIFS(Regimes!$G$5:$G$10,Regimes!$A$5:$A$10,A714)</f>
        <v/>
      </c>
      <c r="N714" s="106">
        <f>Donnees_annuelles!D156*J714</f>
        <v/>
      </c>
      <c r="O714" s="106">
        <f>Donnees_annuelles!D156*K714</f>
        <v/>
      </c>
      <c r="P714" s="106">
        <f>N714+O714</f>
        <v/>
      </c>
      <c r="Q714" s="106">
        <f>Donnees_annuelles!D156*L714</f>
        <v/>
      </c>
      <c r="R714" s="118">
        <f>P714/Donnees_annuelles!AA156*Donnees_annuelles!AI156/Donnees_annuelles!AG156</f>
        <v/>
      </c>
      <c r="S714" s="118">
        <f>P714/Donnees_annuelles!AA156*Donnees_annuelles!AJ156/Donnees_annuelles!AH156</f>
        <v/>
      </c>
    </row>
    <row r="715">
      <c r="A715" s="115" t="inlineStr">
        <is>
          <t>SNCF</t>
        </is>
      </c>
      <c r="B715" s="101" t="n">
        <v>2099</v>
      </c>
      <c r="C715" s="105" t="n">
        <v>0.1</v>
      </c>
      <c r="D715" s="105" t="n">
        <v>0.1095</v>
      </c>
      <c r="E715" s="105" t="n">
        <v>0.3751</v>
      </c>
      <c r="F715" s="116" t="inlineStr">
        <is>
          <t>légal</t>
        </is>
      </c>
      <c r="G715" s="105" t="n">
        <v>0</v>
      </c>
      <c r="H715" s="105" t="n">
        <v>0.00252</v>
      </c>
      <c r="I715" s="105" t="n">
        <v>0.80748</v>
      </c>
      <c r="J715" s="107">
        <f>D715*(1-C715)+G715*MIN(C715,0.2*(1-C715))+H715</f>
        <v/>
      </c>
      <c r="K715" s="107">
        <f>E715*(1-C715)+G715*MIN(C715,0.2*(1-C715))</f>
        <v/>
      </c>
      <c r="L715" s="107">
        <f>I715*(1-C715)</f>
        <v/>
      </c>
      <c r="M715" s="119">
        <f>SUMIFS(Regimes!$G$5:$G$10,Regimes!$A$5:$A$10,A715)</f>
        <v/>
      </c>
      <c r="N715" s="106">
        <f>Donnees_annuelles!D157*J715</f>
        <v/>
      </c>
      <c r="O715" s="106">
        <f>Donnees_annuelles!D157*K715</f>
        <v/>
      </c>
      <c r="P715" s="106">
        <f>N715+O715</f>
        <v/>
      </c>
      <c r="Q715" s="106">
        <f>Donnees_annuelles!D157*L715</f>
        <v/>
      </c>
      <c r="R715" s="118">
        <f>P715/Donnees_annuelles!AA157*Donnees_annuelles!AI157/Donnees_annuelles!AG157</f>
        <v/>
      </c>
      <c r="S715" s="118">
        <f>P715/Donnees_annuelles!AA157*Donnees_annuelles!AJ157/Donnees_annuelles!AH157</f>
        <v/>
      </c>
    </row>
    <row r="716">
      <c r="A716" s="115" t="inlineStr">
        <is>
          <t>SNCF</t>
        </is>
      </c>
      <c r="B716" s="101" t="n">
        <v>2100</v>
      </c>
      <c r="C716" s="105" t="n">
        <v>0.1</v>
      </c>
      <c r="D716" s="105" t="n">
        <v>0.1095</v>
      </c>
      <c r="E716" s="105" t="n">
        <v>0.3751</v>
      </c>
      <c r="F716" s="116" t="inlineStr">
        <is>
          <t>légal</t>
        </is>
      </c>
      <c r="G716" s="105" t="n">
        <v>0</v>
      </c>
      <c r="H716" s="105" t="n">
        <v>0.00252</v>
      </c>
      <c r="I716" s="105" t="n">
        <v>0.80748</v>
      </c>
      <c r="J716" s="107">
        <f>D716*(1-C716)+G716*MIN(C716,0.2*(1-C716))+H716</f>
        <v/>
      </c>
      <c r="K716" s="107">
        <f>E716*(1-C716)+G716*MIN(C716,0.2*(1-C716))</f>
        <v/>
      </c>
      <c r="L716" s="107">
        <f>I716*(1-C716)</f>
        <v/>
      </c>
      <c r="M716" s="119">
        <f>SUMIFS(Regimes!$G$5:$G$10,Regimes!$A$5:$A$10,A716)</f>
        <v/>
      </c>
      <c r="N716" s="106">
        <f>Donnees_annuelles!D158*J716</f>
        <v/>
      </c>
      <c r="O716" s="106">
        <f>Donnees_annuelles!D158*K716</f>
        <v/>
      </c>
      <c r="P716" s="106">
        <f>N716+O716</f>
        <v/>
      </c>
      <c r="Q716" s="106">
        <f>Donnees_annuelles!D158*L716</f>
        <v/>
      </c>
      <c r="R716" s="118">
        <f>P716/Donnees_annuelles!AA158*Donnees_annuelles!AI158/Donnees_annuelles!AG158</f>
        <v/>
      </c>
      <c r="S716" s="118">
        <f>P716/Donnees_annuelles!AA158*Donnees_annuelles!AJ158/Donnees_annuelles!AH158</f>
        <v/>
      </c>
    </row>
    <row r="717">
      <c r="A717" s="115" t="inlineStr">
        <is>
          <t>SNCF</t>
        </is>
      </c>
      <c r="B717" s="101" t="n">
        <v>2101</v>
      </c>
      <c r="C717" s="105" t="n">
        <v>0.1</v>
      </c>
      <c r="D717" s="105" t="n">
        <v>0.1095</v>
      </c>
      <c r="E717" s="105" t="n">
        <v>0.3751</v>
      </c>
      <c r="F717" s="116" t="inlineStr">
        <is>
          <t>légal</t>
        </is>
      </c>
      <c r="G717" s="105" t="n">
        <v>0</v>
      </c>
      <c r="H717" s="105" t="n">
        <v>0.00252</v>
      </c>
      <c r="I717" s="105" t="n">
        <v>0.80748</v>
      </c>
      <c r="J717" s="107">
        <f>D717*(1-C717)+G717*MIN(C717,0.2*(1-C717))+H717</f>
        <v/>
      </c>
      <c r="K717" s="107">
        <f>E717*(1-C717)+G717*MIN(C717,0.2*(1-C717))</f>
        <v/>
      </c>
      <c r="L717" s="107">
        <f>I717*(1-C717)</f>
        <v/>
      </c>
      <c r="M717" s="119">
        <f>SUMIFS(Regimes!$G$5:$G$10,Regimes!$A$5:$A$10,A717)</f>
        <v/>
      </c>
      <c r="N717" s="106">
        <f>Donnees_annuelles!D159*J717</f>
        <v/>
      </c>
      <c r="O717" s="106">
        <f>Donnees_annuelles!D159*K717</f>
        <v/>
      </c>
      <c r="P717" s="106">
        <f>N717+O717</f>
        <v/>
      </c>
      <c r="Q717" s="106">
        <f>Donnees_annuelles!D159*L717</f>
        <v/>
      </c>
      <c r="R717" s="118">
        <f>P717/Donnees_annuelles!AA159*Donnees_annuelles!AI159/Donnees_annuelles!AG159</f>
        <v/>
      </c>
      <c r="S717" s="118">
        <f>P717/Donnees_annuelles!AA159*Donnees_annuelles!AJ159/Donnees_annuelles!AH159</f>
        <v/>
      </c>
    </row>
    <row r="718">
      <c r="A718" s="115" t="inlineStr">
        <is>
          <t>SNCF</t>
        </is>
      </c>
      <c r="B718" s="101" t="n">
        <v>2102</v>
      </c>
      <c r="C718" s="105" t="n">
        <v>0.1</v>
      </c>
      <c r="D718" s="105" t="n">
        <v>0.1095</v>
      </c>
      <c r="E718" s="105" t="n">
        <v>0.3751</v>
      </c>
      <c r="F718" s="116" t="inlineStr">
        <is>
          <t>légal</t>
        </is>
      </c>
      <c r="G718" s="105" t="n">
        <v>0</v>
      </c>
      <c r="H718" s="105" t="n">
        <v>0.00252</v>
      </c>
      <c r="I718" s="105" t="n">
        <v>0.80748</v>
      </c>
      <c r="J718" s="107">
        <f>D718*(1-C718)+G718*MIN(C718,0.2*(1-C718))+H718</f>
        <v/>
      </c>
      <c r="K718" s="107">
        <f>E718*(1-C718)+G718*MIN(C718,0.2*(1-C718))</f>
        <v/>
      </c>
      <c r="L718" s="107">
        <f>I718*(1-C718)</f>
        <v/>
      </c>
      <c r="M718" s="119">
        <f>SUMIFS(Regimes!$G$5:$G$10,Regimes!$A$5:$A$10,A718)</f>
        <v/>
      </c>
      <c r="N718" s="106">
        <f>Donnees_annuelles!D160*J718</f>
        <v/>
      </c>
      <c r="O718" s="106">
        <f>Donnees_annuelles!D160*K718</f>
        <v/>
      </c>
      <c r="P718" s="106">
        <f>N718+O718</f>
        <v/>
      </c>
      <c r="Q718" s="106">
        <f>Donnees_annuelles!D160*L718</f>
        <v/>
      </c>
      <c r="R718" s="118">
        <f>P718/Donnees_annuelles!AA160*Donnees_annuelles!AI160/Donnees_annuelles!AG160</f>
        <v/>
      </c>
      <c r="S718" s="118">
        <f>P718/Donnees_annuelles!AA160*Donnees_annuelles!AJ160/Donnees_annuelles!AH160</f>
        <v/>
      </c>
    </row>
    <row r="719">
      <c r="A719" s="115" t="inlineStr">
        <is>
          <t>SNCF</t>
        </is>
      </c>
      <c r="B719" s="101" t="n">
        <v>2103</v>
      </c>
      <c r="C719" s="105" t="n">
        <v>0.1</v>
      </c>
      <c r="D719" s="105" t="n">
        <v>0.1095</v>
      </c>
      <c r="E719" s="105" t="n">
        <v>0.3751</v>
      </c>
      <c r="F719" s="116" t="inlineStr">
        <is>
          <t>légal</t>
        </is>
      </c>
      <c r="G719" s="105" t="n">
        <v>0</v>
      </c>
      <c r="H719" s="105" t="n">
        <v>0.00252</v>
      </c>
      <c r="I719" s="105" t="n">
        <v>0.80748</v>
      </c>
      <c r="J719" s="107">
        <f>D719*(1-C719)+G719*MIN(C719,0.2*(1-C719))+H719</f>
        <v/>
      </c>
      <c r="K719" s="107">
        <f>E719*(1-C719)+G719*MIN(C719,0.2*(1-C719))</f>
        <v/>
      </c>
      <c r="L719" s="107">
        <f>I719*(1-C719)</f>
        <v/>
      </c>
      <c r="M719" s="119">
        <f>SUMIFS(Regimes!$G$5:$G$10,Regimes!$A$5:$A$10,A719)</f>
        <v/>
      </c>
      <c r="N719" s="106">
        <f>Donnees_annuelles!D161*J719</f>
        <v/>
      </c>
      <c r="O719" s="106">
        <f>Donnees_annuelles!D161*K719</f>
        <v/>
      </c>
      <c r="P719" s="106">
        <f>N719+O719</f>
        <v/>
      </c>
      <c r="Q719" s="106">
        <f>Donnees_annuelles!D161*L719</f>
        <v/>
      </c>
      <c r="R719" s="118">
        <f>P719/Donnees_annuelles!AA161*Donnees_annuelles!AI161/Donnees_annuelles!AG161</f>
        <v/>
      </c>
      <c r="S719" s="118">
        <f>P719/Donnees_annuelles!AA161*Donnees_annuelles!AJ161/Donnees_annuelles!AH161</f>
        <v/>
      </c>
    </row>
    <row r="720">
      <c r="A720" s="115" t="inlineStr">
        <is>
          <t>SNCF</t>
        </is>
      </c>
      <c r="B720" s="101" t="n">
        <v>2104</v>
      </c>
      <c r="C720" s="105" t="n">
        <v>0.1</v>
      </c>
      <c r="D720" s="105" t="n">
        <v>0.1095</v>
      </c>
      <c r="E720" s="105" t="n">
        <v>0.3751</v>
      </c>
      <c r="F720" s="116" t="inlineStr">
        <is>
          <t>légal</t>
        </is>
      </c>
      <c r="G720" s="105" t="n">
        <v>0</v>
      </c>
      <c r="H720" s="105" t="n">
        <v>0.00252</v>
      </c>
      <c r="I720" s="105" t="n">
        <v>0.80748</v>
      </c>
      <c r="J720" s="107">
        <f>D720*(1-C720)+G720*MIN(C720,0.2*(1-C720))+H720</f>
        <v/>
      </c>
      <c r="K720" s="107">
        <f>E720*(1-C720)+G720*MIN(C720,0.2*(1-C720))</f>
        <v/>
      </c>
      <c r="L720" s="107">
        <f>I720*(1-C720)</f>
        <v/>
      </c>
      <c r="M720" s="119">
        <f>SUMIFS(Regimes!$G$5:$G$10,Regimes!$A$5:$A$10,A720)</f>
        <v/>
      </c>
      <c r="N720" s="106">
        <f>Donnees_annuelles!D162*J720</f>
        <v/>
      </c>
      <c r="O720" s="106">
        <f>Donnees_annuelles!D162*K720</f>
        <v/>
      </c>
      <c r="P720" s="106">
        <f>N720+O720</f>
        <v/>
      </c>
      <c r="Q720" s="106">
        <f>Donnees_annuelles!D162*L720</f>
        <v/>
      </c>
      <c r="R720" s="118">
        <f>P720/Donnees_annuelles!AA162*Donnees_annuelles!AI162/Donnees_annuelles!AG162</f>
        <v/>
      </c>
      <c r="S720" s="118">
        <f>P720/Donnees_annuelles!AA162*Donnees_annuelles!AJ162/Donnees_annuelles!AH162</f>
        <v/>
      </c>
    </row>
    <row r="721">
      <c r="A721" s="115" t="inlineStr">
        <is>
          <t>SNCF</t>
        </is>
      </c>
      <c r="B721" s="101" t="n">
        <v>2105</v>
      </c>
      <c r="C721" s="105" t="n">
        <v>0.1</v>
      </c>
      <c r="D721" s="105" t="n">
        <v>0.1095</v>
      </c>
      <c r="E721" s="105" t="n">
        <v>0.3751</v>
      </c>
      <c r="F721" s="116" t="inlineStr">
        <is>
          <t>légal</t>
        </is>
      </c>
      <c r="G721" s="105" t="n">
        <v>0</v>
      </c>
      <c r="H721" s="105" t="n">
        <v>0.00252</v>
      </c>
      <c r="I721" s="105" t="n">
        <v>0.80748</v>
      </c>
      <c r="J721" s="107">
        <f>D721*(1-C721)+G721*MIN(C721,0.2*(1-C721))+H721</f>
        <v/>
      </c>
      <c r="K721" s="107">
        <f>E721*(1-C721)+G721*MIN(C721,0.2*(1-C721))</f>
        <v/>
      </c>
      <c r="L721" s="107">
        <f>I721*(1-C721)</f>
        <v/>
      </c>
      <c r="M721" s="119">
        <f>SUMIFS(Regimes!$G$5:$G$10,Regimes!$A$5:$A$10,A721)</f>
        <v/>
      </c>
      <c r="N721" s="106">
        <f>Donnees_annuelles!D163*J721</f>
        <v/>
      </c>
      <c r="O721" s="106">
        <f>Donnees_annuelles!D163*K721</f>
        <v/>
      </c>
      <c r="P721" s="106">
        <f>N721+O721</f>
        <v/>
      </c>
      <c r="Q721" s="106">
        <f>Donnees_annuelles!D163*L721</f>
        <v/>
      </c>
      <c r="R721" s="118">
        <f>P721/Donnees_annuelles!AA163*Donnees_annuelles!AI163/Donnees_annuelles!AG163</f>
        <v/>
      </c>
      <c r="S721" s="118">
        <f>P721/Donnees_annuelles!AA163*Donnees_annuelles!AJ163/Donnees_annuelles!AH163</f>
        <v/>
      </c>
    </row>
    <row r="722">
      <c r="A722" s="115" t="inlineStr">
        <is>
          <t>SNCF</t>
        </is>
      </c>
      <c r="B722" s="101" t="n">
        <v>2106</v>
      </c>
      <c r="C722" s="105" t="n">
        <v>0.1</v>
      </c>
      <c r="D722" s="105" t="n">
        <v>0.1095</v>
      </c>
      <c r="E722" s="105" t="n">
        <v>0.3751</v>
      </c>
      <c r="F722" s="116" t="inlineStr">
        <is>
          <t>légal</t>
        </is>
      </c>
      <c r="G722" s="105" t="n">
        <v>0</v>
      </c>
      <c r="H722" s="105" t="n">
        <v>0.00252</v>
      </c>
      <c r="I722" s="105" t="n">
        <v>0.80748</v>
      </c>
      <c r="J722" s="107">
        <f>D722*(1-C722)+G722*MIN(C722,0.2*(1-C722))+H722</f>
        <v/>
      </c>
      <c r="K722" s="107">
        <f>E722*(1-C722)+G722*MIN(C722,0.2*(1-C722))</f>
        <v/>
      </c>
      <c r="L722" s="107">
        <f>I722*(1-C722)</f>
        <v/>
      </c>
      <c r="M722" s="119">
        <f>SUMIFS(Regimes!$G$5:$G$10,Regimes!$A$5:$A$10,A722)</f>
        <v/>
      </c>
      <c r="N722" s="106">
        <f>Donnees_annuelles!D164*J722</f>
        <v/>
      </c>
      <c r="O722" s="106">
        <f>Donnees_annuelles!D164*K722</f>
        <v/>
      </c>
      <c r="P722" s="106">
        <f>N722+O722</f>
        <v/>
      </c>
      <c r="Q722" s="106">
        <f>Donnees_annuelles!D164*L722</f>
        <v/>
      </c>
      <c r="R722" s="118">
        <f>P722/Donnees_annuelles!AA164*Donnees_annuelles!AI164/Donnees_annuelles!AG164</f>
        <v/>
      </c>
      <c r="S722" s="118">
        <f>P722/Donnees_annuelles!AA164*Donnees_annuelles!AJ164/Donnees_annuelles!AH164</f>
        <v/>
      </c>
    </row>
    <row r="723">
      <c r="A723" s="115" t="inlineStr">
        <is>
          <t>SNCF</t>
        </is>
      </c>
      <c r="B723" s="101" t="n">
        <v>2107</v>
      </c>
      <c r="C723" s="105" t="n">
        <v>0.1</v>
      </c>
      <c r="D723" s="105" t="n">
        <v>0.1095</v>
      </c>
      <c r="E723" s="105" t="n">
        <v>0.3751</v>
      </c>
      <c r="F723" s="116" t="inlineStr">
        <is>
          <t>légal</t>
        </is>
      </c>
      <c r="G723" s="105" t="n">
        <v>0</v>
      </c>
      <c r="H723" s="105" t="n">
        <v>0.00252</v>
      </c>
      <c r="I723" s="105" t="n">
        <v>0.80748</v>
      </c>
      <c r="J723" s="107">
        <f>D723*(1-C723)+G723*MIN(C723,0.2*(1-C723))+H723</f>
        <v/>
      </c>
      <c r="K723" s="107">
        <f>E723*(1-C723)+G723*MIN(C723,0.2*(1-C723))</f>
        <v/>
      </c>
      <c r="L723" s="107">
        <f>I723*(1-C723)</f>
        <v/>
      </c>
      <c r="M723" s="119">
        <f>SUMIFS(Regimes!$G$5:$G$10,Regimes!$A$5:$A$10,A723)</f>
        <v/>
      </c>
      <c r="N723" s="106">
        <f>Donnees_annuelles!D165*J723</f>
        <v/>
      </c>
      <c r="O723" s="106">
        <f>Donnees_annuelles!D165*K723</f>
        <v/>
      </c>
      <c r="P723" s="106">
        <f>N723+O723</f>
        <v/>
      </c>
      <c r="Q723" s="106">
        <f>Donnees_annuelles!D165*L723</f>
        <v/>
      </c>
      <c r="R723" s="118">
        <f>P723/Donnees_annuelles!AA165*Donnees_annuelles!AI165/Donnees_annuelles!AG165</f>
        <v/>
      </c>
      <c r="S723" s="118">
        <f>P723/Donnees_annuelles!AA165*Donnees_annuelles!AJ165/Donnees_annuelles!AH165</f>
        <v/>
      </c>
    </row>
    <row r="724">
      <c r="A724" s="115" t="inlineStr">
        <is>
          <t>SNCF</t>
        </is>
      </c>
      <c r="B724" s="101" t="n">
        <v>2108</v>
      </c>
      <c r="C724" s="105" t="n">
        <v>0.1</v>
      </c>
      <c r="D724" s="105" t="n">
        <v>0.1095</v>
      </c>
      <c r="E724" s="105" t="n">
        <v>0.3751</v>
      </c>
      <c r="F724" s="116" t="inlineStr">
        <is>
          <t>légal</t>
        </is>
      </c>
      <c r="G724" s="105" t="n">
        <v>0</v>
      </c>
      <c r="H724" s="105" t="n">
        <v>0.00252</v>
      </c>
      <c r="I724" s="105" t="n">
        <v>0.80748</v>
      </c>
      <c r="J724" s="107">
        <f>D724*(1-C724)+G724*MIN(C724,0.2*(1-C724))+H724</f>
        <v/>
      </c>
      <c r="K724" s="107">
        <f>E724*(1-C724)+G724*MIN(C724,0.2*(1-C724))</f>
        <v/>
      </c>
      <c r="L724" s="107">
        <f>I724*(1-C724)</f>
        <v/>
      </c>
      <c r="M724" s="119">
        <f>SUMIFS(Regimes!$G$5:$G$10,Regimes!$A$5:$A$10,A724)</f>
        <v/>
      </c>
      <c r="N724" s="106">
        <f>Donnees_annuelles!D166*J724</f>
        <v/>
      </c>
      <c r="O724" s="106">
        <f>Donnees_annuelles!D166*K724</f>
        <v/>
      </c>
      <c r="P724" s="106">
        <f>N724+O724</f>
        <v/>
      </c>
      <c r="Q724" s="106">
        <f>Donnees_annuelles!D166*L724</f>
        <v/>
      </c>
      <c r="R724" s="118">
        <f>P724/Donnees_annuelles!AA166*Donnees_annuelles!AI166/Donnees_annuelles!AG166</f>
        <v/>
      </c>
      <c r="S724" s="118">
        <f>P724/Donnees_annuelles!AA166*Donnees_annuelles!AJ166/Donnees_annuelles!AH166</f>
        <v/>
      </c>
    </row>
    <row r="725">
      <c r="A725" s="115" t="inlineStr">
        <is>
          <t>SNCF</t>
        </is>
      </c>
      <c r="B725" s="101" t="n">
        <v>2109</v>
      </c>
      <c r="C725" s="105" t="n">
        <v>0.1</v>
      </c>
      <c r="D725" s="105" t="n">
        <v>0.1095</v>
      </c>
      <c r="E725" s="105" t="n">
        <v>0.3751</v>
      </c>
      <c r="F725" s="116" t="inlineStr">
        <is>
          <t>légal</t>
        </is>
      </c>
      <c r="G725" s="105" t="n">
        <v>0</v>
      </c>
      <c r="H725" s="105" t="n">
        <v>0.00252</v>
      </c>
      <c r="I725" s="105" t="n">
        <v>0.80748</v>
      </c>
      <c r="J725" s="107">
        <f>D725*(1-C725)+G725*MIN(C725,0.2*(1-C725))+H725</f>
        <v/>
      </c>
      <c r="K725" s="107">
        <f>E725*(1-C725)+G725*MIN(C725,0.2*(1-C725))</f>
        <v/>
      </c>
      <c r="L725" s="107">
        <f>I725*(1-C725)</f>
        <v/>
      </c>
      <c r="M725" s="119">
        <f>SUMIFS(Regimes!$G$5:$G$10,Regimes!$A$5:$A$10,A725)</f>
        <v/>
      </c>
      <c r="N725" s="106">
        <f>Donnees_annuelles!D167*J725</f>
        <v/>
      </c>
      <c r="O725" s="106">
        <f>Donnees_annuelles!D167*K725</f>
        <v/>
      </c>
      <c r="P725" s="106">
        <f>N725+O725</f>
        <v/>
      </c>
      <c r="Q725" s="106">
        <f>Donnees_annuelles!D167*L725</f>
        <v/>
      </c>
      <c r="R725" s="118">
        <f>P725/Donnees_annuelles!AA167*Donnees_annuelles!AI167/Donnees_annuelles!AG167</f>
        <v/>
      </c>
      <c r="S725" s="118">
        <f>P725/Donnees_annuelles!AA167*Donnees_annuelles!AJ167/Donnees_annuelles!AH167</f>
        <v/>
      </c>
    </row>
    <row r="726">
      <c r="A726" s="115" t="inlineStr">
        <is>
          <t>SNCF</t>
        </is>
      </c>
      <c r="B726" s="101" t="n">
        <v>2110</v>
      </c>
      <c r="C726" s="105" t="n">
        <v>0.1</v>
      </c>
      <c r="D726" s="105" t="n">
        <v>0.1095</v>
      </c>
      <c r="E726" s="105" t="n">
        <v>0.3751</v>
      </c>
      <c r="F726" s="116" t="inlineStr">
        <is>
          <t>légal</t>
        </is>
      </c>
      <c r="G726" s="105" t="n">
        <v>0</v>
      </c>
      <c r="H726" s="105" t="n">
        <v>0.00252</v>
      </c>
      <c r="I726" s="105" t="n">
        <v>0.80748</v>
      </c>
      <c r="J726" s="107">
        <f>D726*(1-C726)+G726*MIN(C726,0.2*(1-C726))+H726</f>
        <v/>
      </c>
      <c r="K726" s="107">
        <f>E726*(1-C726)+G726*MIN(C726,0.2*(1-C726))</f>
        <v/>
      </c>
      <c r="L726" s="107">
        <f>I726*(1-C726)</f>
        <v/>
      </c>
      <c r="M726" s="119">
        <f>SUMIFS(Regimes!$G$5:$G$10,Regimes!$A$5:$A$10,A726)</f>
        <v/>
      </c>
      <c r="N726" s="106">
        <f>Donnees_annuelles!D168*J726</f>
        <v/>
      </c>
      <c r="O726" s="106">
        <f>Donnees_annuelles!D168*K726</f>
        <v/>
      </c>
      <c r="P726" s="106">
        <f>N726+O726</f>
        <v/>
      </c>
      <c r="Q726" s="106">
        <f>Donnees_annuelles!D168*L726</f>
        <v/>
      </c>
      <c r="R726" s="118">
        <f>P726/Donnees_annuelles!AA168*Donnees_annuelles!AI168/Donnees_annuelles!AG168</f>
        <v/>
      </c>
      <c r="S726" s="118">
        <f>P726/Donnees_annuelles!AA168*Donnees_annuelles!AJ168/Donnees_annuelles!AH168</f>
        <v/>
      </c>
    </row>
    <row r="727">
      <c r="A727" s="115" t="inlineStr">
        <is>
          <t>SNCF</t>
        </is>
      </c>
      <c r="B727" s="101" t="n">
        <v>2111</v>
      </c>
      <c r="C727" s="105" t="n">
        <v>0.1</v>
      </c>
      <c r="D727" s="105" t="n">
        <v>0.1095</v>
      </c>
      <c r="E727" s="105" t="n">
        <v>0.3751</v>
      </c>
      <c r="F727" s="116" t="inlineStr">
        <is>
          <t>légal</t>
        </is>
      </c>
      <c r="G727" s="105" t="n">
        <v>0</v>
      </c>
      <c r="H727" s="105" t="n">
        <v>0.00252</v>
      </c>
      <c r="I727" s="105" t="n">
        <v>0.80748</v>
      </c>
      <c r="J727" s="107">
        <f>D727*(1-C727)+G727*MIN(C727,0.2*(1-C727))+H727</f>
        <v/>
      </c>
      <c r="K727" s="107">
        <f>E727*(1-C727)+G727*MIN(C727,0.2*(1-C727))</f>
        <v/>
      </c>
      <c r="L727" s="107">
        <f>I727*(1-C727)</f>
        <v/>
      </c>
      <c r="M727" s="119">
        <f>SUMIFS(Regimes!$G$5:$G$10,Regimes!$A$5:$A$10,A727)</f>
        <v/>
      </c>
      <c r="N727" s="106">
        <f>Donnees_annuelles!D169*J727</f>
        <v/>
      </c>
      <c r="O727" s="106">
        <f>Donnees_annuelles!D169*K727</f>
        <v/>
      </c>
      <c r="P727" s="106">
        <f>N727+O727</f>
        <v/>
      </c>
      <c r="Q727" s="106">
        <f>Donnees_annuelles!D169*L727</f>
        <v/>
      </c>
      <c r="R727" s="118">
        <f>P727/Donnees_annuelles!AA169*Donnees_annuelles!AI169/Donnees_annuelles!AG169</f>
        <v/>
      </c>
      <c r="S727" s="118">
        <f>P727/Donnees_annuelles!AA169*Donnees_annuelles!AJ169/Donnees_annuelles!AH169</f>
        <v/>
      </c>
    </row>
    <row r="728">
      <c r="A728" s="115" t="inlineStr">
        <is>
          <t>SNCF</t>
        </is>
      </c>
      <c r="B728" s="101" t="n">
        <v>2112</v>
      </c>
      <c r="C728" s="105" t="n">
        <v>0.1</v>
      </c>
      <c r="D728" s="105" t="n">
        <v>0.1095</v>
      </c>
      <c r="E728" s="105" t="n">
        <v>0.3751</v>
      </c>
      <c r="F728" s="116" t="inlineStr">
        <is>
          <t>légal</t>
        </is>
      </c>
      <c r="G728" s="105" t="n">
        <v>0</v>
      </c>
      <c r="H728" s="105" t="n">
        <v>0.00252</v>
      </c>
      <c r="I728" s="105" t="n">
        <v>0.80748</v>
      </c>
      <c r="J728" s="107">
        <f>D728*(1-C728)+G728*MIN(C728,0.2*(1-C728))+H728</f>
        <v/>
      </c>
      <c r="K728" s="107">
        <f>E728*(1-C728)+G728*MIN(C728,0.2*(1-C728))</f>
        <v/>
      </c>
      <c r="L728" s="107">
        <f>I728*(1-C728)</f>
        <v/>
      </c>
      <c r="M728" s="119">
        <f>SUMIFS(Regimes!$G$5:$G$10,Regimes!$A$5:$A$10,A728)</f>
        <v/>
      </c>
      <c r="N728" s="106">
        <f>Donnees_annuelles!D170*J728</f>
        <v/>
      </c>
      <c r="O728" s="106">
        <f>Donnees_annuelles!D170*K728</f>
        <v/>
      </c>
      <c r="P728" s="106">
        <f>N728+O728</f>
        <v/>
      </c>
      <c r="Q728" s="106">
        <f>Donnees_annuelles!D170*L728</f>
        <v/>
      </c>
      <c r="R728" s="118">
        <f>P728/Donnees_annuelles!AA170*Donnees_annuelles!AI170/Donnees_annuelles!AG170</f>
        <v/>
      </c>
      <c r="S728" s="118">
        <f>P728/Donnees_annuelles!AA170*Donnees_annuelles!AJ170/Donnees_annuelles!AH170</f>
        <v/>
      </c>
    </row>
    <row r="729">
      <c r="A729" s="115" t="inlineStr">
        <is>
          <t>SNCF</t>
        </is>
      </c>
      <c r="B729" s="101" t="n">
        <v>2113</v>
      </c>
      <c r="C729" s="105" t="n">
        <v>0.1</v>
      </c>
      <c r="D729" s="105" t="n">
        <v>0.1095</v>
      </c>
      <c r="E729" s="105" t="n">
        <v>0.3751</v>
      </c>
      <c r="F729" s="116" t="inlineStr">
        <is>
          <t>légal</t>
        </is>
      </c>
      <c r="G729" s="105" t="n">
        <v>0</v>
      </c>
      <c r="H729" s="105" t="n">
        <v>0.00252</v>
      </c>
      <c r="I729" s="105" t="n">
        <v>0.80748</v>
      </c>
      <c r="J729" s="107">
        <f>D729*(1-C729)+G729*MIN(C729,0.2*(1-C729))+H729</f>
        <v/>
      </c>
      <c r="K729" s="107">
        <f>E729*(1-C729)+G729*MIN(C729,0.2*(1-C729))</f>
        <v/>
      </c>
      <c r="L729" s="107">
        <f>I729*(1-C729)</f>
        <v/>
      </c>
      <c r="M729" s="119">
        <f>SUMIFS(Regimes!$G$5:$G$10,Regimes!$A$5:$A$10,A729)</f>
        <v/>
      </c>
      <c r="N729" s="106">
        <f>Donnees_annuelles!D171*J729</f>
        <v/>
      </c>
      <c r="O729" s="106">
        <f>Donnees_annuelles!D171*K729</f>
        <v/>
      </c>
      <c r="P729" s="106">
        <f>N729+O729</f>
        <v/>
      </c>
      <c r="Q729" s="106">
        <f>Donnees_annuelles!D171*L729</f>
        <v/>
      </c>
      <c r="R729" s="118">
        <f>P729/Donnees_annuelles!AA171*Donnees_annuelles!AI171/Donnees_annuelles!AG171</f>
        <v/>
      </c>
      <c r="S729" s="118">
        <f>P729/Donnees_annuelles!AA171*Donnees_annuelles!AJ171/Donnees_annuelles!AH171</f>
        <v/>
      </c>
    </row>
    <row r="730">
      <c r="A730" s="115" t="inlineStr">
        <is>
          <t>SNCF</t>
        </is>
      </c>
      <c r="B730" s="101" t="n">
        <v>2114</v>
      </c>
      <c r="C730" s="105" t="n">
        <v>0.1</v>
      </c>
      <c r="D730" s="105" t="n">
        <v>0.1095</v>
      </c>
      <c r="E730" s="105" t="n">
        <v>0.3751</v>
      </c>
      <c r="F730" s="116" t="inlineStr">
        <is>
          <t>légal</t>
        </is>
      </c>
      <c r="G730" s="105" t="n">
        <v>0</v>
      </c>
      <c r="H730" s="105" t="n">
        <v>0.00252</v>
      </c>
      <c r="I730" s="105" t="n">
        <v>0.80748</v>
      </c>
      <c r="J730" s="107">
        <f>D730*(1-C730)+G730*MIN(C730,0.2*(1-C730))+H730</f>
        <v/>
      </c>
      <c r="K730" s="107">
        <f>E730*(1-C730)+G730*MIN(C730,0.2*(1-C730))</f>
        <v/>
      </c>
      <c r="L730" s="107">
        <f>I730*(1-C730)</f>
        <v/>
      </c>
      <c r="M730" s="119">
        <f>SUMIFS(Regimes!$G$5:$G$10,Regimes!$A$5:$A$10,A730)</f>
        <v/>
      </c>
      <c r="N730" s="106">
        <f>Donnees_annuelles!D172*J730</f>
        <v/>
      </c>
      <c r="O730" s="106">
        <f>Donnees_annuelles!D172*K730</f>
        <v/>
      </c>
      <c r="P730" s="106">
        <f>N730+O730</f>
        <v/>
      </c>
      <c r="Q730" s="106">
        <f>Donnees_annuelles!D172*L730</f>
        <v/>
      </c>
      <c r="R730" s="118">
        <f>P730/Donnees_annuelles!AA172*Donnees_annuelles!AI172/Donnees_annuelles!AG172</f>
        <v/>
      </c>
      <c r="S730" s="118">
        <f>P730/Donnees_annuelles!AA172*Donnees_annuelles!AJ172/Donnees_annuelles!AH172</f>
        <v/>
      </c>
    </row>
    <row r="731">
      <c r="A731" s="115" t="inlineStr">
        <is>
          <t>SNCF</t>
        </is>
      </c>
      <c r="B731" s="101" t="n">
        <v>2115</v>
      </c>
      <c r="C731" s="105" t="n">
        <v>0.1</v>
      </c>
      <c r="D731" s="105" t="n">
        <v>0.1095</v>
      </c>
      <c r="E731" s="105" t="n">
        <v>0.3751</v>
      </c>
      <c r="F731" s="116" t="inlineStr">
        <is>
          <t>légal</t>
        </is>
      </c>
      <c r="G731" s="105" t="n">
        <v>0</v>
      </c>
      <c r="H731" s="105" t="n">
        <v>0.00252</v>
      </c>
      <c r="I731" s="105" t="n">
        <v>0.80748</v>
      </c>
      <c r="J731" s="107">
        <f>D731*(1-C731)+G731*MIN(C731,0.2*(1-C731))+H731</f>
        <v/>
      </c>
      <c r="K731" s="107">
        <f>E731*(1-C731)+G731*MIN(C731,0.2*(1-C731))</f>
        <v/>
      </c>
      <c r="L731" s="107">
        <f>I731*(1-C731)</f>
        <v/>
      </c>
      <c r="M731" s="119">
        <f>SUMIFS(Regimes!$G$5:$G$10,Regimes!$A$5:$A$10,A731)</f>
        <v/>
      </c>
      <c r="N731" s="106">
        <f>Donnees_annuelles!D173*J731</f>
        <v/>
      </c>
      <c r="O731" s="106">
        <f>Donnees_annuelles!D173*K731</f>
        <v/>
      </c>
      <c r="P731" s="106">
        <f>N731+O731</f>
        <v/>
      </c>
      <c r="Q731" s="106">
        <f>Donnees_annuelles!D173*L731</f>
        <v/>
      </c>
      <c r="R731" s="118">
        <f>P731/Donnees_annuelles!AA173*Donnees_annuelles!AI173/Donnees_annuelles!AG173</f>
        <v/>
      </c>
      <c r="S731" s="118">
        <f>P731/Donnees_annuelles!AA173*Donnees_annuelles!AJ173/Donnees_annuelles!AH173</f>
        <v/>
      </c>
    </row>
    <row r="732">
      <c r="A732" s="115" t="inlineStr">
        <is>
          <t>SNCF</t>
        </is>
      </c>
      <c r="B732" s="101" t="n">
        <v>2116</v>
      </c>
      <c r="C732" s="105" t="n">
        <v>0.1</v>
      </c>
      <c r="D732" s="105" t="n">
        <v>0.1095</v>
      </c>
      <c r="E732" s="105" t="n">
        <v>0.3751</v>
      </c>
      <c r="F732" s="116" t="inlineStr">
        <is>
          <t>légal</t>
        </is>
      </c>
      <c r="G732" s="105" t="n">
        <v>0</v>
      </c>
      <c r="H732" s="105" t="n">
        <v>0.00252</v>
      </c>
      <c r="I732" s="105" t="n">
        <v>0.80748</v>
      </c>
      <c r="J732" s="107">
        <f>D732*(1-C732)+G732*MIN(C732,0.2*(1-C732))+H732</f>
        <v/>
      </c>
      <c r="K732" s="107">
        <f>E732*(1-C732)+G732*MIN(C732,0.2*(1-C732))</f>
        <v/>
      </c>
      <c r="L732" s="107">
        <f>I732*(1-C732)</f>
        <v/>
      </c>
      <c r="M732" s="119">
        <f>SUMIFS(Regimes!$G$5:$G$10,Regimes!$A$5:$A$10,A732)</f>
        <v/>
      </c>
      <c r="N732" s="106">
        <f>Donnees_annuelles!D174*J732</f>
        <v/>
      </c>
      <c r="O732" s="106">
        <f>Donnees_annuelles!D174*K732</f>
        <v/>
      </c>
      <c r="P732" s="106">
        <f>N732+O732</f>
        <v/>
      </c>
      <c r="Q732" s="106">
        <f>Donnees_annuelles!D174*L732</f>
        <v/>
      </c>
      <c r="R732" s="118">
        <f>P732/Donnees_annuelles!AA174*Donnees_annuelles!AI174/Donnees_annuelles!AG174</f>
        <v/>
      </c>
      <c r="S732" s="118">
        <f>P732/Donnees_annuelles!AA174*Donnees_annuelles!AJ174/Donnees_annuelles!AH174</f>
        <v/>
      </c>
    </row>
    <row r="733">
      <c r="A733" s="115" t="inlineStr">
        <is>
          <t>SNCF</t>
        </is>
      </c>
      <c r="B733" s="101" t="n">
        <v>2117</v>
      </c>
      <c r="C733" s="105" t="n">
        <v>0.1</v>
      </c>
      <c r="D733" s="105" t="n">
        <v>0.1095</v>
      </c>
      <c r="E733" s="105" t="n">
        <v>0.3751</v>
      </c>
      <c r="F733" s="116" t="inlineStr">
        <is>
          <t>légal</t>
        </is>
      </c>
      <c r="G733" s="105" t="n">
        <v>0</v>
      </c>
      <c r="H733" s="105" t="n">
        <v>0.00252</v>
      </c>
      <c r="I733" s="105" t="n">
        <v>0.80748</v>
      </c>
      <c r="J733" s="107">
        <f>D733*(1-C733)+G733*MIN(C733,0.2*(1-C733))+H733</f>
        <v/>
      </c>
      <c r="K733" s="107">
        <f>E733*(1-C733)+G733*MIN(C733,0.2*(1-C733))</f>
        <v/>
      </c>
      <c r="L733" s="107">
        <f>I733*(1-C733)</f>
        <v/>
      </c>
      <c r="M733" s="119">
        <f>SUMIFS(Regimes!$G$5:$G$10,Regimes!$A$5:$A$10,A733)</f>
        <v/>
      </c>
      <c r="N733" s="106">
        <f>Donnees_annuelles!D175*J733</f>
        <v/>
      </c>
      <c r="O733" s="106">
        <f>Donnees_annuelles!D175*K733</f>
        <v/>
      </c>
      <c r="P733" s="106">
        <f>N733+O733</f>
        <v/>
      </c>
      <c r="Q733" s="106">
        <f>Donnees_annuelles!D175*L733</f>
        <v/>
      </c>
      <c r="R733" s="118">
        <f>P733/Donnees_annuelles!AA175*Donnees_annuelles!AI175/Donnees_annuelles!AG175</f>
        <v/>
      </c>
      <c r="S733" s="118">
        <f>P733/Donnees_annuelles!AA175*Donnees_annuelles!AJ175/Donnees_annuelles!AH175</f>
        <v/>
      </c>
    </row>
    <row r="734">
      <c r="A734" s="115" t="inlineStr">
        <is>
          <t>SNCF</t>
        </is>
      </c>
      <c r="B734" s="101" t="n">
        <v>2118</v>
      </c>
      <c r="C734" s="105" t="n">
        <v>0.1</v>
      </c>
      <c r="D734" s="105" t="n">
        <v>0.1095</v>
      </c>
      <c r="E734" s="105" t="n">
        <v>0.3751</v>
      </c>
      <c r="F734" s="116" t="inlineStr">
        <is>
          <t>légal</t>
        </is>
      </c>
      <c r="G734" s="105" t="n">
        <v>0</v>
      </c>
      <c r="H734" s="105" t="n">
        <v>0.00252</v>
      </c>
      <c r="I734" s="105" t="n">
        <v>0.80748</v>
      </c>
      <c r="J734" s="107">
        <f>D734*(1-C734)+G734*MIN(C734,0.2*(1-C734))+H734</f>
        <v/>
      </c>
      <c r="K734" s="107">
        <f>E734*(1-C734)+G734*MIN(C734,0.2*(1-C734))</f>
        <v/>
      </c>
      <c r="L734" s="107">
        <f>I734*(1-C734)</f>
        <v/>
      </c>
      <c r="M734" s="119">
        <f>SUMIFS(Regimes!$G$5:$G$10,Regimes!$A$5:$A$10,A734)</f>
        <v/>
      </c>
      <c r="N734" s="106">
        <f>Donnees_annuelles!D176*J734</f>
        <v/>
      </c>
      <c r="O734" s="106">
        <f>Donnees_annuelles!D176*K734</f>
        <v/>
      </c>
      <c r="P734" s="106">
        <f>N734+O734</f>
        <v/>
      </c>
      <c r="Q734" s="106">
        <f>Donnees_annuelles!D176*L734</f>
        <v/>
      </c>
      <c r="R734" s="118">
        <f>P734/Donnees_annuelles!AA176*Donnees_annuelles!AI176/Donnees_annuelles!AG176</f>
        <v/>
      </c>
      <c r="S734" s="118">
        <f>P734/Donnees_annuelles!AA176*Donnees_annuelles!AJ176/Donnees_annuelles!AH176</f>
        <v/>
      </c>
    </row>
    <row r="735">
      <c r="A735" s="115" t="inlineStr">
        <is>
          <t>SNCF</t>
        </is>
      </c>
      <c r="B735" s="101" t="n">
        <v>2119</v>
      </c>
      <c r="C735" s="105" t="n">
        <v>0.1</v>
      </c>
      <c r="D735" s="105" t="n">
        <v>0.1095</v>
      </c>
      <c r="E735" s="105" t="n">
        <v>0.3751</v>
      </c>
      <c r="F735" s="116" t="inlineStr">
        <is>
          <t>légal</t>
        </is>
      </c>
      <c r="G735" s="105" t="n">
        <v>0</v>
      </c>
      <c r="H735" s="105" t="n">
        <v>0.00252</v>
      </c>
      <c r="I735" s="105" t="n">
        <v>0.80748</v>
      </c>
      <c r="J735" s="107">
        <f>D735*(1-C735)+G735*MIN(C735,0.2*(1-C735))+H735</f>
        <v/>
      </c>
      <c r="K735" s="107">
        <f>E735*(1-C735)+G735*MIN(C735,0.2*(1-C735))</f>
        <v/>
      </c>
      <c r="L735" s="107">
        <f>I735*(1-C735)</f>
        <v/>
      </c>
      <c r="M735" s="119">
        <f>SUMIFS(Regimes!$G$5:$G$10,Regimes!$A$5:$A$10,A735)</f>
        <v/>
      </c>
      <c r="N735" s="106">
        <f>Donnees_annuelles!D177*J735</f>
        <v/>
      </c>
      <c r="O735" s="106">
        <f>Donnees_annuelles!D177*K735</f>
        <v/>
      </c>
      <c r="P735" s="106">
        <f>N735+O735</f>
        <v/>
      </c>
      <c r="Q735" s="106">
        <f>Donnees_annuelles!D177*L735</f>
        <v/>
      </c>
      <c r="R735" s="118">
        <f>P735/Donnees_annuelles!AA177*Donnees_annuelles!AI177/Donnees_annuelles!AG177</f>
        <v/>
      </c>
      <c r="S735" s="118">
        <f>P735/Donnees_annuelles!AA177*Donnees_annuelles!AJ177/Donnees_annuelles!AH177</f>
        <v/>
      </c>
    </row>
    <row r="736">
      <c r="A736" s="115" t="inlineStr">
        <is>
          <t>SNCF</t>
        </is>
      </c>
      <c r="B736" s="101" t="n">
        <v>2120</v>
      </c>
      <c r="C736" s="105" t="n">
        <v>0.1</v>
      </c>
      <c r="D736" s="105" t="n">
        <v>0.1095</v>
      </c>
      <c r="E736" s="105" t="n">
        <v>0.3751</v>
      </c>
      <c r="F736" s="116" t="inlineStr">
        <is>
          <t>légal</t>
        </is>
      </c>
      <c r="G736" s="105" t="n">
        <v>0</v>
      </c>
      <c r="H736" s="105" t="n">
        <v>0.00252</v>
      </c>
      <c r="I736" s="105" t="n">
        <v>0.80748</v>
      </c>
      <c r="J736" s="107">
        <f>D736*(1-C736)+G736*MIN(C736,0.2*(1-C736))+H736</f>
        <v/>
      </c>
      <c r="K736" s="107">
        <f>E736*(1-C736)+G736*MIN(C736,0.2*(1-C736))</f>
        <v/>
      </c>
      <c r="L736" s="107">
        <f>I736*(1-C736)</f>
        <v/>
      </c>
      <c r="M736" s="119">
        <f>SUMIFS(Regimes!$G$5:$G$10,Regimes!$A$5:$A$10,A736)</f>
        <v/>
      </c>
      <c r="N736" s="106">
        <f>Donnees_annuelles!D178*J736</f>
        <v/>
      </c>
      <c r="O736" s="106">
        <f>Donnees_annuelles!D178*K736</f>
        <v/>
      </c>
      <c r="P736" s="106">
        <f>N736+O736</f>
        <v/>
      </c>
      <c r="Q736" s="106">
        <f>Donnees_annuelles!D178*L736</f>
        <v/>
      </c>
      <c r="R736" s="118">
        <f>P736/Donnees_annuelles!AA178*Donnees_annuelles!AI178/Donnees_annuelles!AG178</f>
        <v/>
      </c>
      <c r="S736" s="118">
        <f>P736/Donnees_annuelles!AA178*Donnees_annuelles!AJ178/Donnees_annuelles!AH178</f>
        <v/>
      </c>
    </row>
    <row r="737">
      <c r="A737" s="115" t="inlineStr">
        <is>
          <t>SNCF</t>
        </is>
      </c>
      <c r="B737" s="101" t="n">
        <v>2121</v>
      </c>
      <c r="C737" s="105" t="n">
        <v>0.1</v>
      </c>
      <c r="D737" s="105" t="n">
        <v>0.1095</v>
      </c>
      <c r="E737" s="105" t="n">
        <v>0.3751</v>
      </c>
      <c r="F737" s="116" t="inlineStr">
        <is>
          <t>légal</t>
        </is>
      </c>
      <c r="G737" s="105" t="n">
        <v>0</v>
      </c>
      <c r="H737" s="105" t="n">
        <v>0.00252</v>
      </c>
      <c r="I737" s="105" t="n">
        <v>0.80748</v>
      </c>
      <c r="J737" s="107">
        <f>D737*(1-C737)+G737*MIN(C737,0.2*(1-C737))+H737</f>
        <v/>
      </c>
      <c r="K737" s="107">
        <f>E737*(1-C737)+G737*MIN(C737,0.2*(1-C737))</f>
        <v/>
      </c>
      <c r="L737" s="107">
        <f>I737*(1-C737)</f>
        <v/>
      </c>
      <c r="M737" s="119">
        <f>SUMIFS(Regimes!$G$5:$G$10,Regimes!$A$5:$A$10,A737)</f>
        <v/>
      </c>
      <c r="N737" s="106">
        <f>Donnees_annuelles!D179*J737</f>
        <v/>
      </c>
      <c r="O737" s="106">
        <f>Donnees_annuelles!D179*K737</f>
        <v/>
      </c>
      <c r="P737" s="106">
        <f>N737+O737</f>
        <v/>
      </c>
      <c r="Q737" s="106">
        <f>Donnees_annuelles!D179*L737</f>
        <v/>
      </c>
      <c r="R737" s="118">
        <f>P737/Donnees_annuelles!AA179*Donnees_annuelles!AI179/Donnees_annuelles!AG179</f>
        <v/>
      </c>
      <c r="S737" s="118">
        <f>P737/Donnees_annuelles!AA179*Donnees_annuelles!AJ179/Donnees_annuelles!AH179</f>
        <v/>
      </c>
    </row>
    <row r="738">
      <c r="A738" s="115" t="inlineStr">
        <is>
          <t>SNCF</t>
        </is>
      </c>
      <c r="B738" s="101" t="n">
        <v>2122</v>
      </c>
      <c r="C738" s="105" t="n">
        <v>0.1</v>
      </c>
      <c r="D738" s="105" t="n">
        <v>0.1095</v>
      </c>
      <c r="E738" s="105" t="n">
        <v>0.3751</v>
      </c>
      <c r="F738" s="116" t="inlineStr">
        <is>
          <t>légal</t>
        </is>
      </c>
      <c r="G738" s="105" t="n">
        <v>0</v>
      </c>
      <c r="H738" s="105" t="n">
        <v>0.00252</v>
      </c>
      <c r="I738" s="105" t="n">
        <v>0.80748</v>
      </c>
      <c r="J738" s="107">
        <f>D738*(1-C738)+G738*MIN(C738,0.2*(1-C738))+H738</f>
        <v/>
      </c>
      <c r="K738" s="107">
        <f>E738*(1-C738)+G738*MIN(C738,0.2*(1-C738))</f>
        <v/>
      </c>
      <c r="L738" s="107">
        <f>I738*(1-C738)</f>
        <v/>
      </c>
      <c r="M738" s="119">
        <f>SUMIFS(Regimes!$G$5:$G$10,Regimes!$A$5:$A$10,A738)</f>
        <v/>
      </c>
      <c r="N738" s="106">
        <f>Donnees_annuelles!D180*J738</f>
        <v/>
      </c>
      <c r="O738" s="106">
        <f>Donnees_annuelles!D180*K738</f>
        <v/>
      </c>
      <c r="P738" s="106">
        <f>N738+O738</f>
        <v/>
      </c>
      <c r="Q738" s="106">
        <f>Donnees_annuelles!D180*L738</f>
        <v/>
      </c>
      <c r="R738" s="118">
        <f>P738/Donnees_annuelles!AA180*Donnees_annuelles!AI180/Donnees_annuelles!AG180</f>
        <v/>
      </c>
      <c r="S738" s="118">
        <f>P738/Donnees_annuelles!AA180*Donnees_annuelles!AJ180/Donnees_annuelles!AH180</f>
        <v/>
      </c>
    </row>
    <row r="739">
      <c r="A739" s="115" t="inlineStr">
        <is>
          <t>SNCF</t>
        </is>
      </c>
      <c r="B739" s="101" t="n">
        <v>2123</v>
      </c>
      <c r="C739" s="105" t="n">
        <v>0.1</v>
      </c>
      <c r="D739" s="105" t="n">
        <v>0.1095</v>
      </c>
      <c r="E739" s="105" t="n">
        <v>0.3751</v>
      </c>
      <c r="F739" s="116" t="inlineStr">
        <is>
          <t>légal</t>
        </is>
      </c>
      <c r="G739" s="105" t="n">
        <v>0</v>
      </c>
      <c r="H739" s="105" t="n">
        <v>0.00252</v>
      </c>
      <c r="I739" s="105" t="n">
        <v>0.80748</v>
      </c>
      <c r="J739" s="107">
        <f>D739*(1-C739)+G739*MIN(C739,0.2*(1-C739))+H739</f>
        <v/>
      </c>
      <c r="K739" s="107">
        <f>E739*(1-C739)+G739*MIN(C739,0.2*(1-C739))</f>
        <v/>
      </c>
      <c r="L739" s="107">
        <f>I739*(1-C739)</f>
        <v/>
      </c>
      <c r="M739" s="119">
        <f>SUMIFS(Regimes!$G$5:$G$10,Regimes!$A$5:$A$10,A739)</f>
        <v/>
      </c>
      <c r="N739" s="106">
        <f>Donnees_annuelles!D181*J739</f>
        <v/>
      </c>
      <c r="O739" s="106">
        <f>Donnees_annuelles!D181*K739</f>
        <v/>
      </c>
      <c r="P739" s="106">
        <f>N739+O739</f>
        <v/>
      </c>
      <c r="Q739" s="106">
        <f>Donnees_annuelles!D181*L739</f>
        <v/>
      </c>
      <c r="R739" s="118">
        <f>P739/Donnees_annuelles!AA181*Donnees_annuelles!AI181/Donnees_annuelles!AG181</f>
        <v/>
      </c>
      <c r="S739" s="118">
        <f>P739/Donnees_annuelles!AA181*Donnees_annuelles!AJ181/Donnees_annuelles!AH181</f>
        <v/>
      </c>
    </row>
    <row r="740">
      <c r="A740" s="115" t="inlineStr">
        <is>
          <t>SNCF</t>
        </is>
      </c>
      <c r="B740" s="101" t="n">
        <v>2124</v>
      </c>
      <c r="C740" s="105" t="n">
        <v>0.1</v>
      </c>
      <c r="D740" s="105" t="n">
        <v>0.1095</v>
      </c>
      <c r="E740" s="105" t="n">
        <v>0.3751</v>
      </c>
      <c r="F740" s="116" t="inlineStr">
        <is>
          <t>légal</t>
        </is>
      </c>
      <c r="G740" s="105" t="n">
        <v>0</v>
      </c>
      <c r="H740" s="105" t="n">
        <v>0.00252</v>
      </c>
      <c r="I740" s="105" t="n">
        <v>0.80748</v>
      </c>
      <c r="J740" s="107">
        <f>D740*(1-C740)+G740*MIN(C740,0.2*(1-C740))+H740</f>
        <v/>
      </c>
      <c r="K740" s="107">
        <f>E740*(1-C740)+G740*MIN(C740,0.2*(1-C740))</f>
        <v/>
      </c>
      <c r="L740" s="107">
        <f>I740*(1-C740)</f>
        <v/>
      </c>
      <c r="M740" s="119">
        <f>SUMIFS(Regimes!$G$5:$G$10,Regimes!$A$5:$A$10,A740)</f>
        <v/>
      </c>
      <c r="N740" s="106">
        <f>Donnees_annuelles!D182*J740</f>
        <v/>
      </c>
      <c r="O740" s="106">
        <f>Donnees_annuelles!D182*K740</f>
        <v/>
      </c>
      <c r="P740" s="106">
        <f>N740+O740</f>
        <v/>
      </c>
      <c r="Q740" s="106">
        <f>Donnees_annuelles!D182*L740</f>
        <v/>
      </c>
      <c r="R740" s="118">
        <f>P740/Donnees_annuelles!AA182*Donnees_annuelles!AI182/Donnees_annuelles!AG182</f>
        <v/>
      </c>
      <c r="S740" s="118">
        <f>P740/Donnees_annuelles!AA182*Donnees_annuelles!AJ182/Donnees_annuelles!AH182</f>
        <v/>
      </c>
    </row>
    <row r="741">
      <c r="A741" s="115" t="inlineStr">
        <is>
          <t>SNCF</t>
        </is>
      </c>
      <c r="B741" s="101" t="n">
        <v>2125</v>
      </c>
      <c r="C741" s="105" t="n">
        <v>0.1</v>
      </c>
      <c r="D741" s="105" t="n">
        <v>0.1095</v>
      </c>
      <c r="E741" s="105" t="n">
        <v>0.3751</v>
      </c>
      <c r="F741" s="116" t="inlineStr">
        <is>
          <t>légal</t>
        </is>
      </c>
      <c r="G741" s="105" t="n">
        <v>0</v>
      </c>
      <c r="H741" s="105" t="n">
        <v>0.00252</v>
      </c>
      <c r="I741" s="105" t="n">
        <v>0.80748</v>
      </c>
      <c r="J741" s="107">
        <f>D741*(1-C741)+G741*MIN(C741,0.2*(1-C741))+H741</f>
        <v/>
      </c>
      <c r="K741" s="107">
        <f>E741*(1-C741)+G741*MIN(C741,0.2*(1-C741))</f>
        <v/>
      </c>
      <c r="L741" s="107">
        <f>I741*(1-C741)</f>
        <v/>
      </c>
      <c r="M741" s="119">
        <f>SUMIFS(Regimes!$G$5:$G$10,Regimes!$A$5:$A$10,A741)</f>
        <v/>
      </c>
      <c r="N741" s="106">
        <f>Donnees_annuelles!D183*J741</f>
        <v/>
      </c>
      <c r="O741" s="106">
        <f>Donnees_annuelles!D183*K741</f>
        <v/>
      </c>
      <c r="P741" s="106">
        <f>N741+O741</f>
        <v/>
      </c>
      <c r="Q741" s="106">
        <f>Donnees_annuelles!D183*L741</f>
        <v/>
      </c>
      <c r="R741" s="118">
        <f>P741/Donnees_annuelles!AA183*Donnees_annuelles!AI183/Donnees_annuelles!AG183</f>
        <v/>
      </c>
      <c r="S741" s="118">
        <f>P741/Donnees_annuelles!AA183*Donnees_annuelles!AJ183/Donnees_annuelles!AH183</f>
        <v/>
      </c>
    </row>
    <row r="742">
      <c r="A742" s="115" t="inlineStr">
        <is>
          <t>SNCF</t>
        </is>
      </c>
      <c r="B742" s="101" t="n">
        <v>2126</v>
      </c>
      <c r="C742" s="105" t="n">
        <v>0.1</v>
      </c>
      <c r="D742" s="105" t="n">
        <v>0.1095</v>
      </c>
      <c r="E742" s="105" t="n">
        <v>0.3751</v>
      </c>
      <c r="F742" s="116" t="inlineStr">
        <is>
          <t>légal</t>
        </is>
      </c>
      <c r="G742" s="105" t="n">
        <v>0</v>
      </c>
      <c r="H742" s="105" t="n">
        <v>0.00252</v>
      </c>
      <c r="I742" s="105" t="n">
        <v>0.80748</v>
      </c>
      <c r="J742" s="107">
        <f>D742*(1-C742)+G742*MIN(C742,0.2*(1-C742))+H742</f>
        <v/>
      </c>
      <c r="K742" s="107">
        <f>E742*(1-C742)+G742*MIN(C742,0.2*(1-C742))</f>
        <v/>
      </c>
      <c r="L742" s="107">
        <f>I742*(1-C742)</f>
        <v/>
      </c>
      <c r="M742" s="119">
        <f>SUMIFS(Regimes!$G$5:$G$10,Regimes!$A$5:$A$10,A742)</f>
        <v/>
      </c>
      <c r="N742" s="106">
        <f>Donnees_annuelles!D184*J742</f>
        <v/>
      </c>
      <c r="O742" s="106">
        <f>Donnees_annuelles!D184*K742</f>
        <v/>
      </c>
      <c r="P742" s="106">
        <f>N742+O742</f>
        <v/>
      </c>
      <c r="Q742" s="106">
        <f>Donnees_annuelles!D184*L742</f>
        <v/>
      </c>
      <c r="R742" s="118">
        <f>P742/Donnees_annuelles!AA184*Donnees_annuelles!AI184/Donnees_annuelles!AG184</f>
        <v/>
      </c>
      <c r="S742" s="118">
        <f>P742/Donnees_annuelles!AA184*Donnees_annuelles!AJ184/Donnees_annuelles!AH184</f>
        <v/>
      </c>
    </row>
    <row r="743">
      <c r="A743" s="115" t="inlineStr">
        <is>
          <t>SNCF</t>
        </is>
      </c>
      <c r="B743" s="101" t="n">
        <v>2127</v>
      </c>
      <c r="C743" s="105" t="n">
        <v>0.1</v>
      </c>
      <c r="D743" s="105" t="n">
        <v>0.1095</v>
      </c>
      <c r="E743" s="105" t="n">
        <v>0.3751</v>
      </c>
      <c r="F743" s="116" t="inlineStr">
        <is>
          <t>légal</t>
        </is>
      </c>
      <c r="G743" s="105" t="n">
        <v>0</v>
      </c>
      <c r="H743" s="105" t="n">
        <v>0.00252</v>
      </c>
      <c r="I743" s="105" t="n">
        <v>0.80748</v>
      </c>
      <c r="J743" s="107">
        <f>D743*(1-C743)+G743*MIN(C743,0.2*(1-C743))+H743</f>
        <v/>
      </c>
      <c r="K743" s="107">
        <f>E743*(1-C743)+G743*MIN(C743,0.2*(1-C743))</f>
        <v/>
      </c>
      <c r="L743" s="107">
        <f>I743*(1-C743)</f>
        <v/>
      </c>
      <c r="M743" s="119">
        <f>SUMIFS(Regimes!$G$5:$G$10,Regimes!$A$5:$A$10,A743)</f>
        <v/>
      </c>
      <c r="N743" s="106">
        <f>Donnees_annuelles!D185*J743</f>
        <v/>
      </c>
      <c r="O743" s="106">
        <f>Donnees_annuelles!D185*K743</f>
        <v/>
      </c>
      <c r="P743" s="106">
        <f>N743+O743</f>
        <v/>
      </c>
      <c r="Q743" s="106">
        <f>Donnees_annuelles!D185*L743</f>
        <v/>
      </c>
      <c r="R743" s="118">
        <f>P743/Donnees_annuelles!AA185*Donnees_annuelles!AI185/Donnees_annuelles!AG185</f>
        <v/>
      </c>
      <c r="S743" s="118">
        <f>P743/Donnees_annuelles!AA185*Donnees_annuelles!AJ185/Donnees_annuelles!AH185</f>
        <v/>
      </c>
    </row>
    <row r="744">
      <c r="A744" s="115" t="inlineStr">
        <is>
          <t>SNCF</t>
        </is>
      </c>
      <c r="B744" s="101" t="n">
        <v>2128</v>
      </c>
      <c r="C744" s="105" t="n">
        <v>0.1</v>
      </c>
      <c r="D744" s="105" t="n">
        <v>0.1095</v>
      </c>
      <c r="E744" s="105" t="n">
        <v>0.3751</v>
      </c>
      <c r="F744" s="116" t="inlineStr">
        <is>
          <t>légal</t>
        </is>
      </c>
      <c r="G744" s="105" t="n">
        <v>0</v>
      </c>
      <c r="H744" s="105" t="n">
        <v>0.00252</v>
      </c>
      <c r="I744" s="105" t="n">
        <v>0.80748</v>
      </c>
      <c r="J744" s="107">
        <f>D744*(1-C744)+G744*MIN(C744,0.2*(1-C744))+H744</f>
        <v/>
      </c>
      <c r="K744" s="107">
        <f>E744*(1-C744)+G744*MIN(C744,0.2*(1-C744))</f>
        <v/>
      </c>
      <c r="L744" s="107">
        <f>I744*(1-C744)</f>
        <v/>
      </c>
      <c r="M744" s="119">
        <f>SUMIFS(Regimes!$G$5:$G$10,Regimes!$A$5:$A$10,A744)</f>
        <v/>
      </c>
      <c r="N744" s="106">
        <f>Donnees_annuelles!D186*J744</f>
        <v/>
      </c>
      <c r="O744" s="106">
        <f>Donnees_annuelles!D186*K744</f>
        <v/>
      </c>
      <c r="P744" s="106">
        <f>N744+O744</f>
        <v/>
      </c>
      <c r="Q744" s="106">
        <f>Donnees_annuelles!D186*L744</f>
        <v/>
      </c>
      <c r="R744" s="118">
        <f>P744/Donnees_annuelles!AA186*Donnees_annuelles!AI186/Donnees_annuelles!AG186</f>
        <v/>
      </c>
      <c r="S744" s="118">
        <f>P744/Donnees_annuelles!AA186*Donnees_annuelles!AJ186/Donnees_annuelles!AH186</f>
        <v/>
      </c>
    </row>
    <row r="745">
      <c r="A745" s="115" t="inlineStr">
        <is>
          <t>SNCF</t>
        </is>
      </c>
      <c r="B745" s="101" t="n">
        <v>2129</v>
      </c>
      <c r="C745" s="105" t="n">
        <v>0.1</v>
      </c>
      <c r="D745" s="105" t="n">
        <v>0.1095</v>
      </c>
      <c r="E745" s="105" t="n">
        <v>0.3751</v>
      </c>
      <c r="F745" s="116" t="inlineStr">
        <is>
          <t>légal</t>
        </is>
      </c>
      <c r="G745" s="105" t="n">
        <v>0</v>
      </c>
      <c r="H745" s="105" t="n">
        <v>0.00252</v>
      </c>
      <c r="I745" s="105" t="n">
        <v>0.80748</v>
      </c>
      <c r="J745" s="107">
        <f>D745*(1-C745)+G745*MIN(C745,0.2*(1-C745))+H745</f>
        <v/>
      </c>
      <c r="K745" s="107">
        <f>E745*(1-C745)+G745*MIN(C745,0.2*(1-C745))</f>
        <v/>
      </c>
      <c r="L745" s="107">
        <f>I745*(1-C745)</f>
        <v/>
      </c>
      <c r="M745" s="119">
        <f>SUMIFS(Regimes!$G$5:$G$10,Regimes!$A$5:$A$10,A745)</f>
        <v/>
      </c>
      <c r="N745" s="106">
        <f>Donnees_annuelles!D187*J745</f>
        <v/>
      </c>
      <c r="O745" s="106">
        <f>Donnees_annuelles!D187*K745</f>
        <v/>
      </c>
      <c r="P745" s="106">
        <f>N745+O745</f>
        <v/>
      </c>
      <c r="Q745" s="106">
        <f>Donnees_annuelles!D187*L745</f>
        <v/>
      </c>
      <c r="R745" s="118">
        <f>P745/Donnees_annuelles!AA187*Donnees_annuelles!AI187/Donnees_annuelles!AG187</f>
        <v/>
      </c>
      <c r="S745" s="118">
        <f>P745/Donnees_annuelles!AA187*Donnees_annuelles!AJ187/Donnees_annuelles!AH187</f>
        <v/>
      </c>
    </row>
    <row r="746">
      <c r="A746" s="115" t="inlineStr">
        <is>
          <t>SNCF</t>
        </is>
      </c>
      <c r="B746" s="101" t="n">
        <v>2130</v>
      </c>
      <c r="C746" s="105" t="n">
        <v>0.1</v>
      </c>
      <c r="D746" s="105" t="n">
        <v>0.1095</v>
      </c>
      <c r="E746" s="105" t="n">
        <v>0.3751</v>
      </c>
      <c r="F746" s="116" t="inlineStr">
        <is>
          <t>légal</t>
        </is>
      </c>
      <c r="G746" s="105" t="n">
        <v>0</v>
      </c>
      <c r="H746" s="105" t="n">
        <v>0.00252</v>
      </c>
      <c r="I746" s="105" t="n">
        <v>0.80748</v>
      </c>
      <c r="J746" s="107">
        <f>D746*(1-C746)+G746*MIN(C746,0.2*(1-C746))+H746</f>
        <v/>
      </c>
      <c r="K746" s="107">
        <f>E746*(1-C746)+G746*MIN(C746,0.2*(1-C746))</f>
        <v/>
      </c>
      <c r="L746" s="107">
        <f>I746*(1-C746)</f>
        <v/>
      </c>
      <c r="M746" s="119">
        <f>SUMIFS(Regimes!$G$5:$G$10,Regimes!$A$5:$A$10,A746)</f>
        <v/>
      </c>
      <c r="N746" s="106">
        <f>Donnees_annuelles!D188*J746</f>
        <v/>
      </c>
      <c r="O746" s="106">
        <f>Donnees_annuelles!D188*K746</f>
        <v/>
      </c>
      <c r="P746" s="106">
        <f>N746+O746</f>
        <v/>
      </c>
      <c r="Q746" s="106">
        <f>Donnees_annuelles!D188*L746</f>
        <v/>
      </c>
      <c r="R746" s="118">
        <f>P746/Donnees_annuelles!AA188*Donnees_annuelles!AI188/Donnees_annuelles!AG188</f>
        <v/>
      </c>
      <c r="S746" s="118">
        <f>P746/Donnees_annuelles!AA188*Donnees_annuelles!AJ188/Donnees_annuelles!AH188</f>
        <v/>
      </c>
    </row>
    <row r="747">
      <c r="A747" s="84" t="inlineStr">
        <is>
          <t>RATP</t>
        </is>
      </c>
      <c r="B747" s="88" t="n">
        <v>1945</v>
      </c>
      <c r="C747" s="93" t="n">
        <v>0.1</v>
      </c>
      <c r="D747" s="93" t="n">
        <v>0.06</v>
      </c>
      <c r="E747" s="93" t="n">
        <v>0.371</v>
      </c>
      <c r="F747" s="7" t="inlineStr">
        <is>
          <t>implicite estimé (analogie SNCF)</t>
        </is>
      </c>
      <c r="G747" s="93" t="n">
        <v>0</v>
      </c>
      <c r="H747" s="93" t="n">
        <v>0</v>
      </c>
      <c r="I747" s="93" t="n">
        <v>0</v>
      </c>
      <c r="J747" s="94">
        <f>D747*(1-C747)+G747*MIN(C747,0.2*(1-C747))+H747</f>
        <v/>
      </c>
      <c r="K747" s="94">
        <f>E747*(1-C747)+G747*MIN(C747,0.2*(1-C747))</f>
        <v/>
      </c>
      <c r="L747" s="94">
        <f>I747*(1-C747)</f>
        <v/>
      </c>
      <c r="M747" s="89">
        <f>SUMIFS(Regimes!$G$5:$G$10,Regimes!$A$5:$A$10,A747)</f>
        <v/>
      </c>
      <c r="N747" s="14">
        <f>Donnees_annuelles!D3*J747</f>
        <v/>
      </c>
      <c r="O747" s="14">
        <f>Donnees_annuelles!D3*K747</f>
        <v/>
      </c>
      <c r="P747" s="14">
        <f>N747+O747</f>
        <v/>
      </c>
      <c r="Q747" s="14">
        <f>Donnees_annuelles!D3*L747</f>
        <v/>
      </c>
      <c r="R747" s="114">
        <f>P747/Donnees_annuelles!AA3*Donnees_annuelles!AI3/Donnees_annuelles!AG3</f>
        <v/>
      </c>
      <c r="S747" s="114">
        <f>P747/Donnees_annuelles!AA3*Donnees_annuelles!AJ3/Donnees_annuelles!AH3</f>
        <v/>
      </c>
    </row>
    <row r="748">
      <c r="A748" s="84" t="inlineStr">
        <is>
          <t>RATP</t>
        </is>
      </c>
      <c r="B748" s="88" t="n">
        <v>1946</v>
      </c>
      <c r="C748" s="93" t="n">
        <v>0.1</v>
      </c>
      <c r="D748" s="93" t="n">
        <v>0.06</v>
      </c>
      <c r="E748" s="93" t="n">
        <v>0.371</v>
      </c>
      <c r="F748" s="7" t="inlineStr">
        <is>
          <t>implicite estimé (analogie SNCF)</t>
        </is>
      </c>
      <c r="G748" s="93" t="n">
        <v>0</v>
      </c>
      <c r="H748" s="93" t="n">
        <v>0</v>
      </c>
      <c r="I748" s="93" t="n">
        <v>0</v>
      </c>
      <c r="J748" s="94">
        <f>D748*(1-C748)+G748*MIN(C748,0.2*(1-C748))+H748</f>
        <v/>
      </c>
      <c r="K748" s="94">
        <f>E748*(1-C748)+G748*MIN(C748,0.2*(1-C748))</f>
        <v/>
      </c>
      <c r="L748" s="94">
        <f>I748*(1-C748)</f>
        <v/>
      </c>
      <c r="M748" s="89">
        <f>SUMIFS(Regimes!$G$5:$G$10,Regimes!$A$5:$A$10,A748)</f>
        <v/>
      </c>
      <c r="N748" s="14">
        <f>Donnees_annuelles!D4*J748</f>
        <v/>
      </c>
      <c r="O748" s="14">
        <f>Donnees_annuelles!D4*K748</f>
        <v/>
      </c>
      <c r="P748" s="14">
        <f>N748+O748</f>
        <v/>
      </c>
      <c r="Q748" s="14">
        <f>Donnees_annuelles!D4*L748</f>
        <v/>
      </c>
      <c r="R748" s="114">
        <f>P748/Donnees_annuelles!AA4*Donnees_annuelles!AI4/Donnees_annuelles!AG4</f>
        <v/>
      </c>
      <c r="S748" s="114">
        <f>P748/Donnees_annuelles!AA4*Donnees_annuelles!AJ4/Donnees_annuelles!AH4</f>
        <v/>
      </c>
    </row>
    <row r="749">
      <c r="A749" s="84" t="inlineStr">
        <is>
          <t>RATP</t>
        </is>
      </c>
      <c r="B749" s="88" t="n">
        <v>1947</v>
      </c>
      <c r="C749" s="93" t="n">
        <v>0.1</v>
      </c>
      <c r="D749" s="93" t="n">
        <v>0.06</v>
      </c>
      <c r="E749" s="93" t="n">
        <v>0.371</v>
      </c>
      <c r="F749" s="7" t="inlineStr">
        <is>
          <t>implicite estimé (analogie SNCF)</t>
        </is>
      </c>
      <c r="G749" s="93" t="n">
        <v>0</v>
      </c>
      <c r="H749" s="93" t="n">
        <v>0</v>
      </c>
      <c r="I749" s="93" t="n">
        <v>0</v>
      </c>
      <c r="J749" s="94">
        <f>D749*(1-C749)+G749*MIN(C749,0.2*(1-C749))+H749</f>
        <v/>
      </c>
      <c r="K749" s="94">
        <f>E749*(1-C749)+G749*MIN(C749,0.2*(1-C749))</f>
        <v/>
      </c>
      <c r="L749" s="94">
        <f>I749*(1-C749)</f>
        <v/>
      </c>
      <c r="M749" s="89">
        <f>SUMIFS(Regimes!$G$5:$G$10,Regimes!$A$5:$A$10,A749)</f>
        <v/>
      </c>
      <c r="N749" s="14">
        <f>Donnees_annuelles!D5*J749</f>
        <v/>
      </c>
      <c r="O749" s="14">
        <f>Donnees_annuelles!D5*K749</f>
        <v/>
      </c>
      <c r="P749" s="14">
        <f>N749+O749</f>
        <v/>
      </c>
      <c r="Q749" s="14">
        <f>Donnees_annuelles!D5*L749</f>
        <v/>
      </c>
      <c r="R749" s="114">
        <f>P749/Donnees_annuelles!AA5*Donnees_annuelles!AI5/Donnees_annuelles!AG5</f>
        <v/>
      </c>
      <c r="S749" s="114">
        <f>P749/Donnees_annuelles!AA5*Donnees_annuelles!AJ5/Donnees_annuelles!AH5</f>
        <v/>
      </c>
    </row>
    <row r="750">
      <c r="A750" s="84" t="inlineStr">
        <is>
          <t>RATP</t>
        </is>
      </c>
      <c r="B750" s="88" t="n">
        <v>1948</v>
      </c>
      <c r="C750" s="93" t="n">
        <v>0.1</v>
      </c>
      <c r="D750" s="93" t="n">
        <v>0.06</v>
      </c>
      <c r="E750" s="93" t="n">
        <v>0.371</v>
      </c>
      <c r="F750" s="7" t="inlineStr">
        <is>
          <t>implicite estimé (analogie SNCF)</t>
        </is>
      </c>
      <c r="G750" s="93" t="n">
        <v>0</v>
      </c>
      <c r="H750" s="93" t="n">
        <v>0</v>
      </c>
      <c r="I750" s="93" t="n">
        <v>0</v>
      </c>
      <c r="J750" s="94">
        <f>D750*(1-C750)+G750*MIN(C750,0.2*(1-C750))+H750</f>
        <v/>
      </c>
      <c r="K750" s="94">
        <f>E750*(1-C750)+G750*MIN(C750,0.2*(1-C750))</f>
        <v/>
      </c>
      <c r="L750" s="94">
        <f>I750*(1-C750)</f>
        <v/>
      </c>
      <c r="M750" s="89">
        <f>SUMIFS(Regimes!$G$5:$G$10,Regimes!$A$5:$A$10,A750)</f>
        <v/>
      </c>
      <c r="N750" s="14">
        <f>Donnees_annuelles!D6*J750</f>
        <v/>
      </c>
      <c r="O750" s="14">
        <f>Donnees_annuelles!D6*K750</f>
        <v/>
      </c>
      <c r="P750" s="14">
        <f>N750+O750</f>
        <v/>
      </c>
      <c r="Q750" s="14">
        <f>Donnees_annuelles!D6*L750</f>
        <v/>
      </c>
      <c r="R750" s="114">
        <f>P750/Donnees_annuelles!AA6*Donnees_annuelles!AI6/Donnees_annuelles!AG6</f>
        <v/>
      </c>
      <c r="S750" s="114">
        <f>P750/Donnees_annuelles!AA6*Donnees_annuelles!AJ6/Donnees_annuelles!AH6</f>
        <v/>
      </c>
    </row>
    <row r="751">
      <c r="A751" s="84" t="inlineStr">
        <is>
          <t>RATP</t>
        </is>
      </c>
      <c r="B751" s="88" t="n">
        <v>1949</v>
      </c>
      <c r="C751" s="93" t="n">
        <v>0.1</v>
      </c>
      <c r="D751" s="93" t="n">
        <v>0.06</v>
      </c>
      <c r="E751" s="93" t="n">
        <v>0.371</v>
      </c>
      <c r="F751" s="7" t="inlineStr">
        <is>
          <t>implicite estimé (analogie SNCF)</t>
        </is>
      </c>
      <c r="G751" s="93" t="n">
        <v>0</v>
      </c>
      <c r="H751" s="93" t="n">
        <v>0</v>
      </c>
      <c r="I751" s="93" t="n">
        <v>0</v>
      </c>
      <c r="J751" s="94">
        <f>D751*(1-C751)+G751*MIN(C751,0.2*(1-C751))+H751</f>
        <v/>
      </c>
      <c r="K751" s="94">
        <f>E751*(1-C751)+G751*MIN(C751,0.2*(1-C751))</f>
        <v/>
      </c>
      <c r="L751" s="94">
        <f>I751*(1-C751)</f>
        <v/>
      </c>
      <c r="M751" s="89">
        <f>SUMIFS(Regimes!$G$5:$G$10,Regimes!$A$5:$A$10,A751)</f>
        <v/>
      </c>
      <c r="N751" s="14">
        <f>Donnees_annuelles!D7*J751</f>
        <v/>
      </c>
      <c r="O751" s="14">
        <f>Donnees_annuelles!D7*K751</f>
        <v/>
      </c>
      <c r="P751" s="14">
        <f>N751+O751</f>
        <v/>
      </c>
      <c r="Q751" s="14">
        <f>Donnees_annuelles!D7*L751</f>
        <v/>
      </c>
      <c r="R751" s="114">
        <f>P751/Donnees_annuelles!AA7*Donnees_annuelles!AI7/Donnees_annuelles!AG7</f>
        <v/>
      </c>
      <c r="S751" s="114">
        <f>P751/Donnees_annuelles!AA7*Donnees_annuelles!AJ7/Donnees_annuelles!AH7</f>
        <v/>
      </c>
    </row>
    <row r="752">
      <c r="A752" s="84" t="inlineStr">
        <is>
          <t>RATP</t>
        </is>
      </c>
      <c r="B752" s="88" t="n">
        <v>1950</v>
      </c>
      <c r="C752" s="93" t="n">
        <v>0.1</v>
      </c>
      <c r="D752" s="93" t="n">
        <v>0.06</v>
      </c>
      <c r="E752" s="93" t="n">
        <v>0.371</v>
      </c>
      <c r="F752" s="7" t="inlineStr">
        <is>
          <t>implicite estimé (analogie SNCF)</t>
        </is>
      </c>
      <c r="G752" s="93" t="n">
        <v>0</v>
      </c>
      <c r="H752" s="93" t="n">
        <v>0</v>
      </c>
      <c r="I752" s="93" t="n">
        <v>0</v>
      </c>
      <c r="J752" s="94">
        <f>D752*(1-C752)+G752*MIN(C752,0.2*(1-C752))+H752</f>
        <v/>
      </c>
      <c r="K752" s="94">
        <f>E752*(1-C752)+G752*MIN(C752,0.2*(1-C752))</f>
        <v/>
      </c>
      <c r="L752" s="94">
        <f>I752*(1-C752)</f>
        <v/>
      </c>
      <c r="M752" s="89">
        <f>SUMIFS(Regimes!$G$5:$G$10,Regimes!$A$5:$A$10,A752)</f>
        <v/>
      </c>
      <c r="N752" s="14">
        <f>Donnees_annuelles!D8*J752</f>
        <v/>
      </c>
      <c r="O752" s="14">
        <f>Donnees_annuelles!D8*K752</f>
        <v/>
      </c>
      <c r="P752" s="14">
        <f>N752+O752</f>
        <v/>
      </c>
      <c r="Q752" s="14">
        <f>Donnees_annuelles!D8*L752</f>
        <v/>
      </c>
      <c r="R752" s="114">
        <f>P752/Donnees_annuelles!AA8*Donnees_annuelles!AI8/Donnees_annuelles!AG8</f>
        <v/>
      </c>
      <c r="S752" s="114">
        <f>P752/Donnees_annuelles!AA8*Donnees_annuelles!AJ8/Donnees_annuelles!AH8</f>
        <v/>
      </c>
    </row>
    <row r="753">
      <c r="A753" s="84" t="inlineStr">
        <is>
          <t>RATP</t>
        </is>
      </c>
      <c r="B753" s="88" t="n">
        <v>1951</v>
      </c>
      <c r="C753" s="93" t="n">
        <v>0.1</v>
      </c>
      <c r="D753" s="93" t="n">
        <v>0.06</v>
      </c>
      <c r="E753" s="93" t="n">
        <v>0.371</v>
      </c>
      <c r="F753" s="7" t="inlineStr">
        <is>
          <t>implicite estimé (analogie SNCF)</t>
        </is>
      </c>
      <c r="G753" s="93" t="n">
        <v>0</v>
      </c>
      <c r="H753" s="93" t="n">
        <v>0</v>
      </c>
      <c r="I753" s="93" t="n">
        <v>0</v>
      </c>
      <c r="J753" s="94">
        <f>D753*(1-C753)+G753*MIN(C753,0.2*(1-C753))+H753</f>
        <v/>
      </c>
      <c r="K753" s="94">
        <f>E753*(1-C753)+G753*MIN(C753,0.2*(1-C753))</f>
        <v/>
      </c>
      <c r="L753" s="94">
        <f>I753*(1-C753)</f>
        <v/>
      </c>
      <c r="M753" s="89">
        <f>SUMIFS(Regimes!$G$5:$G$10,Regimes!$A$5:$A$10,A753)</f>
        <v/>
      </c>
      <c r="N753" s="14">
        <f>Donnees_annuelles!D9*J753</f>
        <v/>
      </c>
      <c r="O753" s="14">
        <f>Donnees_annuelles!D9*K753</f>
        <v/>
      </c>
      <c r="P753" s="14">
        <f>N753+O753</f>
        <v/>
      </c>
      <c r="Q753" s="14">
        <f>Donnees_annuelles!D9*L753</f>
        <v/>
      </c>
      <c r="R753" s="114">
        <f>P753/Donnees_annuelles!AA9*Donnees_annuelles!AI9/Donnees_annuelles!AG9</f>
        <v/>
      </c>
      <c r="S753" s="114">
        <f>P753/Donnees_annuelles!AA9*Donnees_annuelles!AJ9/Donnees_annuelles!AH9</f>
        <v/>
      </c>
    </row>
    <row r="754">
      <c r="A754" s="84" t="inlineStr">
        <is>
          <t>RATP</t>
        </is>
      </c>
      <c r="B754" s="88" t="n">
        <v>1952</v>
      </c>
      <c r="C754" s="93" t="n">
        <v>0.1</v>
      </c>
      <c r="D754" s="93" t="n">
        <v>0.06</v>
      </c>
      <c r="E754" s="93" t="n">
        <v>0.371</v>
      </c>
      <c r="F754" s="7" t="inlineStr">
        <is>
          <t>implicite estimé (analogie SNCF)</t>
        </is>
      </c>
      <c r="G754" s="93" t="n">
        <v>0</v>
      </c>
      <c r="H754" s="93" t="n">
        <v>0</v>
      </c>
      <c r="I754" s="93" t="n">
        <v>0</v>
      </c>
      <c r="J754" s="94">
        <f>D754*(1-C754)+G754*MIN(C754,0.2*(1-C754))+H754</f>
        <v/>
      </c>
      <c r="K754" s="94">
        <f>E754*(1-C754)+G754*MIN(C754,0.2*(1-C754))</f>
        <v/>
      </c>
      <c r="L754" s="94">
        <f>I754*(1-C754)</f>
        <v/>
      </c>
      <c r="M754" s="89">
        <f>SUMIFS(Regimes!$G$5:$G$10,Regimes!$A$5:$A$10,A754)</f>
        <v/>
      </c>
      <c r="N754" s="14">
        <f>Donnees_annuelles!D10*J754</f>
        <v/>
      </c>
      <c r="O754" s="14">
        <f>Donnees_annuelles!D10*K754</f>
        <v/>
      </c>
      <c r="P754" s="14">
        <f>N754+O754</f>
        <v/>
      </c>
      <c r="Q754" s="14">
        <f>Donnees_annuelles!D10*L754</f>
        <v/>
      </c>
      <c r="R754" s="114">
        <f>P754/Donnees_annuelles!AA10*Donnees_annuelles!AI10/Donnees_annuelles!AG10</f>
        <v/>
      </c>
      <c r="S754" s="114">
        <f>P754/Donnees_annuelles!AA10*Donnees_annuelles!AJ10/Donnees_annuelles!AH10</f>
        <v/>
      </c>
    </row>
    <row r="755">
      <c r="A755" s="84" t="inlineStr">
        <is>
          <t>RATP</t>
        </is>
      </c>
      <c r="B755" s="88" t="n">
        <v>1953</v>
      </c>
      <c r="C755" s="93" t="n">
        <v>0.1</v>
      </c>
      <c r="D755" s="93" t="n">
        <v>0.06</v>
      </c>
      <c r="E755" s="93" t="n">
        <v>0.371</v>
      </c>
      <c r="F755" s="7" t="inlineStr">
        <is>
          <t>implicite estimé (analogie SNCF)</t>
        </is>
      </c>
      <c r="G755" s="93" t="n">
        <v>0</v>
      </c>
      <c r="H755" s="93" t="n">
        <v>0</v>
      </c>
      <c r="I755" s="93" t="n">
        <v>0</v>
      </c>
      <c r="J755" s="94">
        <f>D755*(1-C755)+G755*MIN(C755,0.2*(1-C755))+H755</f>
        <v/>
      </c>
      <c r="K755" s="94">
        <f>E755*(1-C755)+G755*MIN(C755,0.2*(1-C755))</f>
        <v/>
      </c>
      <c r="L755" s="94">
        <f>I755*(1-C755)</f>
        <v/>
      </c>
      <c r="M755" s="89">
        <f>SUMIFS(Regimes!$G$5:$G$10,Regimes!$A$5:$A$10,A755)</f>
        <v/>
      </c>
      <c r="N755" s="14">
        <f>Donnees_annuelles!D11*J755</f>
        <v/>
      </c>
      <c r="O755" s="14">
        <f>Donnees_annuelles!D11*K755</f>
        <v/>
      </c>
      <c r="P755" s="14">
        <f>N755+O755</f>
        <v/>
      </c>
      <c r="Q755" s="14">
        <f>Donnees_annuelles!D11*L755</f>
        <v/>
      </c>
      <c r="R755" s="114">
        <f>P755/Donnees_annuelles!AA11*Donnees_annuelles!AI11/Donnees_annuelles!AG11</f>
        <v/>
      </c>
      <c r="S755" s="114">
        <f>P755/Donnees_annuelles!AA11*Donnees_annuelles!AJ11/Donnees_annuelles!AH11</f>
        <v/>
      </c>
    </row>
    <row r="756">
      <c r="A756" s="84" t="inlineStr">
        <is>
          <t>RATP</t>
        </is>
      </c>
      <c r="B756" s="88" t="n">
        <v>1954</v>
      </c>
      <c r="C756" s="93" t="n">
        <v>0.1</v>
      </c>
      <c r="D756" s="93" t="n">
        <v>0.06</v>
      </c>
      <c r="E756" s="93" t="n">
        <v>0.371</v>
      </c>
      <c r="F756" s="7" t="inlineStr">
        <is>
          <t>implicite estimé (analogie SNCF)</t>
        </is>
      </c>
      <c r="G756" s="93" t="n">
        <v>0</v>
      </c>
      <c r="H756" s="93" t="n">
        <v>0</v>
      </c>
      <c r="I756" s="93" t="n">
        <v>0</v>
      </c>
      <c r="J756" s="94">
        <f>D756*(1-C756)+G756*MIN(C756,0.2*(1-C756))+H756</f>
        <v/>
      </c>
      <c r="K756" s="94">
        <f>E756*(1-C756)+G756*MIN(C756,0.2*(1-C756))</f>
        <v/>
      </c>
      <c r="L756" s="94">
        <f>I756*(1-C756)</f>
        <v/>
      </c>
      <c r="M756" s="89">
        <f>SUMIFS(Regimes!$G$5:$G$10,Regimes!$A$5:$A$10,A756)</f>
        <v/>
      </c>
      <c r="N756" s="14">
        <f>Donnees_annuelles!D12*J756</f>
        <v/>
      </c>
      <c r="O756" s="14">
        <f>Donnees_annuelles!D12*K756</f>
        <v/>
      </c>
      <c r="P756" s="14">
        <f>N756+O756</f>
        <v/>
      </c>
      <c r="Q756" s="14">
        <f>Donnees_annuelles!D12*L756</f>
        <v/>
      </c>
      <c r="R756" s="114">
        <f>P756/Donnees_annuelles!AA12*Donnees_annuelles!AI12/Donnees_annuelles!AG12</f>
        <v/>
      </c>
      <c r="S756" s="114">
        <f>P756/Donnees_annuelles!AA12*Donnees_annuelles!AJ12/Donnees_annuelles!AH12</f>
        <v/>
      </c>
    </row>
    <row r="757">
      <c r="A757" s="84" t="inlineStr">
        <is>
          <t>RATP</t>
        </is>
      </c>
      <c r="B757" s="88" t="n">
        <v>1955</v>
      </c>
      <c r="C757" s="93" t="n">
        <v>0.1</v>
      </c>
      <c r="D757" s="93" t="n">
        <v>0.06</v>
      </c>
      <c r="E757" s="93" t="n">
        <v>0.371</v>
      </c>
      <c r="F757" s="7" t="inlineStr">
        <is>
          <t>implicite estimé (analogie SNCF)</t>
        </is>
      </c>
      <c r="G757" s="93" t="n">
        <v>0</v>
      </c>
      <c r="H757" s="93" t="n">
        <v>0</v>
      </c>
      <c r="I757" s="93" t="n">
        <v>0</v>
      </c>
      <c r="J757" s="94">
        <f>D757*(1-C757)+G757*MIN(C757,0.2*(1-C757))+H757</f>
        <v/>
      </c>
      <c r="K757" s="94">
        <f>E757*(1-C757)+G757*MIN(C757,0.2*(1-C757))</f>
        <v/>
      </c>
      <c r="L757" s="94">
        <f>I757*(1-C757)</f>
        <v/>
      </c>
      <c r="M757" s="89">
        <f>SUMIFS(Regimes!$G$5:$G$10,Regimes!$A$5:$A$10,A757)</f>
        <v/>
      </c>
      <c r="N757" s="14">
        <f>Donnees_annuelles!D13*J757</f>
        <v/>
      </c>
      <c r="O757" s="14">
        <f>Donnees_annuelles!D13*K757</f>
        <v/>
      </c>
      <c r="P757" s="14">
        <f>N757+O757</f>
        <v/>
      </c>
      <c r="Q757" s="14">
        <f>Donnees_annuelles!D13*L757</f>
        <v/>
      </c>
      <c r="R757" s="114">
        <f>P757/Donnees_annuelles!AA13*Donnees_annuelles!AI13/Donnees_annuelles!AG13</f>
        <v/>
      </c>
      <c r="S757" s="114">
        <f>P757/Donnees_annuelles!AA13*Donnees_annuelles!AJ13/Donnees_annuelles!AH13</f>
        <v/>
      </c>
    </row>
    <row r="758">
      <c r="A758" s="84" t="inlineStr">
        <is>
          <t>RATP</t>
        </is>
      </c>
      <c r="B758" s="88" t="n">
        <v>1956</v>
      </c>
      <c r="C758" s="93" t="n">
        <v>0.1</v>
      </c>
      <c r="D758" s="93" t="n">
        <v>0.06</v>
      </c>
      <c r="E758" s="93" t="n">
        <v>0.371</v>
      </c>
      <c r="F758" s="7" t="inlineStr">
        <is>
          <t>implicite estimé (analogie SNCF)</t>
        </is>
      </c>
      <c r="G758" s="93" t="n">
        <v>0</v>
      </c>
      <c r="H758" s="93" t="n">
        <v>0</v>
      </c>
      <c r="I758" s="93" t="n">
        <v>0</v>
      </c>
      <c r="J758" s="94">
        <f>D758*(1-C758)+G758*MIN(C758,0.2*(1-C758))+H758</f>
        <v/>
      </c>
      <c r="K758" s="94">
        <f>E758*(1-C758)+G758*MIN(C758,0.2*(1-C758))</f>
        <v/>
      </c>
      <c r="L758" s="94">
        <f>I758*(1-C758)</f>
        <v/>
      </c>
      <c r="M758" s="89">
        <f>SUMIFS(Regimes!$G$5:$G$10,Regimes!$A$5:$A$10,A758)</f>
        <v/>
      </c>
      <c r="N758" s="14">
        <f>Donnees_annuelles!D14*J758</f>
        <v/>
      </c>
      <c r="O758" s="14">
        <f>Donnees_annuelles!D14*K758</f>
        <v/>
      </c>
      <c r="P758" s="14">
        <f>N758+O758</f>
        <v/>
      </c>
      <c r="Q758" s="14">
        <f>Donnees_annuelles!D14*L758</f>
        <v/>
      </c>
      <c r="R758" s="114">
        <f>P758/Donnees_annuelles!AA14*Donnees_annuelles!AI14/Donnees_annuelles!AG14</f>
        <v/>
      </c>
      <c r="S758" s="114">
        <f>P758/Donnees_annuelles!AA14*Donnees_annuelles!AJ14/Donnees_annuelles!AH14</f>
        <v/>
      </c>
    </row>
    <row r="759">
      <c r="A759" s="84" t="inlineStr">
        <is>
          <t>RATP</t>
        </is>
      </c>
      <c r="B759" s="88" t="n">
        <v>1957</v>
      </c>
      <c r="C759" s="93" t="n">
        <v>0.1</v>
      </c>
      <c r="D759" s="93" t="n">
        <v>0.06</v>
      </c>
      <c r="E759" s="93" t="n">
        <v>0.371</v>
      </c>
      <c r="F759" s="7" t="inlineStr">
        <is>
          <t>implicite estimé (analogie SNCF)</t>
        </is>
      </c>
      <c r="G759" s="93" t="n">
        <v>0</v>
      </c>
      <c r="H759" s="93" t="n">
        <v>0</v>
      </c>
      <c r="I759" s="93" t="n">
        <v>0</v>
      </c>
      <c r="J759" s="94">
        <f>D759*(1-C759)+G759*MIN(C759,0.2*(1-C759))+H759</f>
        <v/>
      </c>
      <c r="K759" s="94">
        <f>E759*(1-C759)+G759*MIN(C759,0.2*(1-C759))</f>
        <v/>
      </c>
      <c r="L759" s="94">
        <f>I759*(1-C759)</f>
        <v/>
      </c>
      <c r="M759" s="89">
        <f>SUMIFS(Regimes!$G$5:$G$10,Regimes!$A$5:$A$10,A759)</f>
        <v/>
      </c>
      <c r="N759" s="14">
        <f>Donnees_annuelles!D15*J759</f>
        <v/>
      </c>
      <c r="O759" s="14">
        <f>Donnees_annuelles!D15*K759</f>
        <v/>
      </c>
      <c r="P759" s="14">
        <f>N759+O759</f>
        <v/>
      </c>
      <c r="Q759" s="14">
        <f>Donnees_annuelles!D15*L759</f>
        <v/>
      </c>
      <c r="R759" s="114">
        <f>P759/Donnees_annuelles!AA15*Donnees_annuelles!AI15/Donnees_annuelles!AG15</f>
        <v/>
      </c>
      <c r="S759" s="114">
        <f>P759/Donnees_annuelles!AA15*Donnees_annuelles!AJ15/Donnees_annuelles!AH15</f>
        <v/>
      </c>
    </row>
    <row r="760">
      <c r="A760" s="84" t="inlineStr">
        <is>
          <t>RATP</t>
        </is>
      </c>
      <c r="B760" s="88" t="n">
        <v>1958</v>
      </c>
      <c r="C760" s="93" t="n">
        <v>0.1</v>
      </c>
      <c r="D760" s="93" t="n">
        <v>0.06</v>
      </c>
      <c r="E760" s="93" t="n">
        <v>0.371</v>
      </c>
      <c r="F760" s="7" t="inlineStr">
        <is>
          <t>implicite estimé (analogie SNCF)</t>
        </is>
      </c>
      <c r="G760" s="93" t="n">
        <v>0</v>
      </c>
      <c r="H760" s="93" t="n">
        <v>0</v>
      </c>
      <c r="I760" s="93" t="n">
        <v>0</v>
      </c>
      <c r="J760" s="94">
        <f>D760*(1-C760)+G760*MIN(C760,0.2*(1-C760))+H760</f>
        <v/>
      </c>
      <c r="K760" s="94">
        <f>E760*(1-C760)+G760*MIN(C760,0.2*(1-C760))</f>
        <v/>
      </c>
      <c r="L760" s="94">
        <f>I760*(1-C760)</f>
        <v/>
      </c>
      <c r="M760" s="89">
        <f>SUMIFS(Regimes!$G$5:$G$10,Regimes!$A$5:$A$10,A760)</f>
        <v/>
      </c>
      <c r="N760" s="14">
        <f>Donnees_annuelles!D16*J760</f>
        <v/>
      </c>
      <c r="O760" s="14">
        <f>Donnees_annuelles!D16*K760</f>
        <v/>
      </c>
      <c r="P760" s="14">
        <f>N760+O760</f>
        <v/>
      </c>
      <c r="Q760" s="14">
        <f>Donnees_annuelles!D16*L760</f>
        <v/>
      </c>
      <c r="R760" s="114">
        <f>P760/Donnees_annuelles!AA16*Donnees_annuelles!AI16/Donnees_annuelles!AG16</f>
        <v/>
      </c>
      <c r="S760" s="114">
        <f>P760/Donnees_annuelles!AA16*Donnees_annuelles!AJ16/Donnees_annuelles!AH16</f>
        <v/>
      </c>
    </row>
    <row r="761">
      <c r="A761" s="84" t="inlineStr">
        <is>
          <t>RATP</t>
        </is>
      </c>
      <c r="B761" s="88" t="n">
        <v>1959</v>
      </c>
      <c r="C761" s="93" t="n">
        <v>0.1</v>
      </c>
      <c r="D761" s="93" t="n">
        <v>0.06</v>
      </c>
      <c r="E761" s="93" t="n">
        <v>0.371</v>
      </c>
      <c r="F761" s="7" t="inlineStr">
        <is>
          <t>implicite estimé (analogie SNCF)</t>
        </is>
      </c>
      <c r="G761" s="93" t="n">
        <v>0</v>
      </c>
      <c r="H761" s="93" t="n">
        <v>0</v>
      </c>
      <c r="I761" s="93" t="n">
        <v>0</v>
      </c>
      <c r="J761" s="94">
        <f>D761*(1-C761)+G761*MIN(C761,0.2*(1-C761))+H761</f>
        <v/>
      </c>
      <c r="K761" s="94">
        <f>E761*(1-C761)+G761*MIN(C761,0.2*(1-C761))</f>
        <v/>
      </c>
      <c r="L761" s="94">
        <f>I761*(1-C761)</f>
        <v/>
      </c>
      <c r="M761" s="89">
        <f>SUMIFS(Regimes!$G$5:$G$10,Regimes!$A$5:$A$10,A761)</f>
        <v/>
      </c>
      <c r="N761" s="14">
        <f>Donnees_annuelles!D17*J761</f>
        <v/>
      </c>
      <c r="O761" s="14">
        <f>Donnees_annuelles!D17*K761</f>
        <v/>
      </c>
      <c r="P761" s="14">
        <f>N761+O761</f>
        <v/>
      </c>
      <c r="Q761" s="14">
        <f>Donnees_annuelles!D17*L761</f>
        <v/>
      </c>
      <c r="R761" s="114">
        <f>P761/Donnees_annuelles!AA17*Donnees_annuelles!AI17/Donnees_annuelles!AG17</f>
        <v/>
      </c>
      <c r="S761" s="114">
        <f>P761/Donnees_annuelles!AA17*Donnees_annuelles!AJ17/Donnees_annuelles!AH17</f>
        <v/>
      </c>
    </row>
    <row r="762">
      <c r="A762" s="84" t="inlineStr">
        <is>
          <t>RATP</t>
        </is>
      </c>
      <c r="B762" s="88" t="n">
        <v>1960</v>
      </c>
      <c r="C762" s="93" t="n">
        <v>0.1</v>
      </c>
      <c r="D762" s="93" t="n">
        <v>0.06</v>
      </c>
      <c r="E762" s="93" t="n">
        <v>0.371</v>
      </c>
      <c r="F762" s="7" t="inlineStr">
        <is>
          <t>implicite estimé (analogie SNCF)</t>
        </is>
      </c>
      <c r="G762" s="93" t="n">
        <v>0</v>
      </c>
      <c r="H762" s="93" t="n">
        <v>0</v>
      </c>
      <c r="I762" s="93" t="n">
        <v>0</v>
      </c>
      <c r="J762" s="94">
        <f>D762*(1-C762)+G762*MIN(C762,0.2*(1-C762))+H762</f>
        <v/>
      </c>
      <c r="K762" s="94">
        <f>E762*(1-C762)+G762*MIN(C762,0.2*(1-C762))</f>
        <v/>
      </c>
      <c r="L762" s="94">
        <f>I762*(1-C762)</f>
        <v/>
      </c>
      <c r="M762" s="89">
        <f>SUMIFS(Regimes!$G$5:$G$10,Regimes!$A$5:$A$10,A762)</f>
        <v/>
      </c>
      <c r="N762" s="14">
        <f>Donnees_annuelles!D18*J762</f>
        <v/>
      </c>
      <c r="O762" s="14">
        <f>Donnees_annuelles!D18*K762</f>
        <v/>
      </c>
      <c r="P762" s="14">
        <f>N762+O762</f>
        <v/>
      </c>
      <c r="Q762" s="14">
        <f>Donnees_annuelles!D18*L762</f>
        <v/>
      </c>
      <c r="R762" s="114">
        <f>P762/Donnees_annuelles!AA18*Donnees_annuelles!AI18/Donnees_annuelles!AG18</f>
        <v/>
      </c>
      <c r="S762" s="114">
        <f>P762/Donnees_annuelles!AA18*Donnees_annuelles!AJ18/Donnees_annuelles!AH18</f>
        <v/>
      </c>
    </row>
    <row r="763">
      <c r="A763" s="84" t="inlineStr">
        <is>
          <t>RATP</t>
        </is>
      </c>
      <c r="B763" s="88" t="n">
        <v>1961</v>
      </c>
      <c r="C763" s="93" t="n">
        <v>0.1</v>
      </c>
      <c r="D763" s="93" t="n">
        <v>0.06</v>
      </c>
      <c r="E763" s="93" t="n">
        <v>0.371</v>
      </c>
      <c r="F763" s="7" t="inlineStr">
        <is>
          <t>implicite estimé (analogie SNCF)</t>
        </is>
      </c>
      <c r="G763" s="93" t="n">
        <v>0</v>
      </c>
      <c r="H763" s="93" t="n">
        <v>0</v>
      </c>
      <c r="I763" s="93" t="n">
        <v>0</v>
      </c>
      <c r="J763" s="94">
        <f>D763*(1-C763)+G763*MIN(C763,0.2*(1-C763))+H763</f>
        <v/>
      </c>
      <c r="K763" s="94">
        <f>E763*(1-C763)+G763*MIN(C763,0.2*(1-C763))</f>
        <v/>
      </c>
      <c r="L763" s="94">
        <f>I763*(1-C763)</f>
        <v/>
      </c>
      <c r="M763" s="89">
        <f>SUMIFS(Regimes!$G$5:$G$10,Regimes!$A$5:$A$10,A763)</f>
        <v/>
      </c>
      <c r="N763" s="14">
        <f>Donnees_annuelles!D19*J763</f>
        <v/>
      </c>
      <c r="O763" s="14">
        <f>Donnees_annuelles!D19*K763</f>
        <v/>
      </c>
      <c r="P763" s="14">
        <f>N763+O763</f>
        <v/>
      </c>
      <c r="Q763" s="14">
        <f>Donnees_annuelles!D19*L763</f>
        <v/>
      </c>
      <c r="R763" s="114">
        <f>P763/Donnees_annuelles!AA19*Donnees_annuelles!AI19/Donnees_annuelles!AG19</f>
        <v/>
      </c>
      <c r="S763" s="114">
        <f>P763/Donnees_annuelles!AA19*Donnees_annuelles!AJ19/Donnees_annuelles!AH19</f>
        <v/>
      </c>
    </row>
    <row r="764">
      <c r="A764" s="84" t="inlineStr">
        <is>
          <t>RATP</t>
        </is>
      </c>
      <c r="B764" s="88" t="n">
        <v>1962</v>
      </c>
      <c r="C764" s="93" t="n">
        <v>0.1</v>
      </c>
      <c r="D764" s="93" t="n">
        <v>0.06</v>
      </c>
      <c r="E764" s="93" t="n">
        <v>0.371</v>
      </c>
      <c r="F764" s="7" t="inlineStr">
        <is>
          <t>implicite estimé (analogie SNCF)</t>
        </is>
      </c>
      <c r="G764" s="93" t="n">
        <v>0</v>
      </c>
      <c r="H764" s="93" t="n">
        <v>0</v>
      </c>
      <c r="I764" s="93" t="n">
        <v>0</v>
      </c>
      <c r="J764" s="94">
        <f>D764*(1-C764)+G764*MIN(C764,0.2*(1-C764))+H764</f>
        <v/>
      </c>
      <c r="K764" s="94">
        <f>E764*(1-C764)+G764*MIN(C764,0.2*(1-C764))</f>
        <v/>
      </c>
      <c r="L764" s="94">
        <f>I764*(1-C764)</f>
        <v/>
      </c>
      <c r="M764" s="89">
        <f>SUMIFS(Regimes!$G$5:$G$10,Regimes!$A$5:$A$10,A764)</f>
        <v/>
      </c>
      <c r="N764" s="14">
        <f>Donnees_annuelles!D20*J764</f>
        <v/>
      </c>
      <c r="O764" s="14">
        <f>Donnees_annuelles!D20*K764</f>
        <v/>
      </c>
      <c r="P764" s="14">
        <f>N764+O764</f>
        <v/>
      </c>
      <c r="Q764" s="14">
        <f>Donnees_annuelles!D20*L764</f>
        <v/>
      </c>
      <c r="R764" s="114">
        <f>P764/Donnees_annuelles!AA20*Donnees_annuelles!AI20/Donnees_annuelles!AG20</f>
        <v/>
      </c>
      <c r="S764" s="114">
        <f>P764/Donnees_annuelles!AA20*Donnees_annuelles!AJ20/Donnees_annuelles!AH20</f>
        <v/>
      </c>
    </row>
    <row r="765">
      <c r="A765" s="84" t="inlineStr">
        <is>
          <t>RATP</t>
        </is>
      </c>
      <c r="B765" s="88" t="n">
        <v>1963</v>
      </c>
      <c r="C765" s="93" t="n">
        <v>0.1</v>
      </c>
      <c r="D765" s="93" t="n">
        <v>0.06</v>
      </c>
      <c r="E765" s="93" t="n">
        <v>0.371</v>
      </c>
      <c r="F765" s="7" t="inlineStr">
        <is>
          <t>implicite estimé (analogie SNCF)</t>
        </is>
      </c>
      <c r="G765" s="93" t="n">
        <v>0</v>
      </c>
      <c r="H765" s="93" t="n">
        <v>0</v>
      </c>
      <c r="I765" s="93" t="n">
        <v>0</v>
      </c>
      <c r="J765" s="94">
        <f>D765*(1-C765)+G765*MIN(C765,0.2*(1-C765))+H765</f>
        <v/>
      </c>
      <c r="K765" s="94">
        <f>E765*(1-C765)+G765*MIN(C765,0.2*(1-C765))</f>
        <v/>
      </c>
      <c r="L765" s="94">
        <f>I765*(1-C765)</f>
        <v/>
      </c>
      <c r="M765" s="89">
        <f>SUMIFS(Regimes!$G$5:$G$10,Regimes!$A$5:$A$10,A765)</f>
        <v/>
      </c>
      <c r="N765" s="14">
        <f>Donnees_annuelles!D21*J765</f>
        <v/>
      </c>
      <c r="O765" s="14">
        <f>Donnees_annuelles!D21*K765</f>
        <v/>
      </c>
      <c r="P765" s="14">
        <f>N765+O765</f>
        <v/>
      </c>
      <c r="Q765" s="14">
        <f>Donnees_annuelles!D21*L765</f>
        <v/>
      </c>
      <c r="R765" s="114">
        <f>P765/Donnees_annuelles!AA21*Donnees_annuelles!AI21/Donnees_annuelles!AG21</f>
        <v/>
      </c>
      <c r="S765" s="114">
        <f>P765/Donnees_annuelles!AA21*Donnees_annuelles!AJ21/Donnees_annuelles!AH21</f>
        <v/>
      </c>
    </row>
    <row r="766">
      <c r="A766" s="84" t="inlineStr">
        <is>
          <t>RATP</t>
        </is>
      </c>
      <c r="B766" s="88" t="n">
        <v>1964</v>
      </c>
      <c r="C766" s="93" t="n">
        <v>0.1</v>
      </c>
      <c r="D766" s="93" t="n">
        <v>0.06</v>
      </c>
      <c r="E766" s="93" t="n">
        <v>0.371</v>
      </c>
      <c r="F766" s="7" t="inlineStr">
        <is>
          <t>implicite estimé (analogie SNCF)</t>
        </is>
      </c>
      <c r="G766" s="93" t="n">
        <v>0</v>
      </c>
      <c r="H766" s="93" t="n">
        <v>0</v>
      </c>
      <c r="I766" s="93" t="n">
        <v>0</v>
      </c>
      <c r="J766" s="94">
        <f>D766*(1-C766)+G766*MIN(C766,0.2*(1-C766))+H766</f>
        <v/>
      </c>
      <c r="K766" s="94">
        <f>E766*(1-C766)+G766*MIN(C766,0.2*(1-C766))</f>
        <v/>
      </c>
      <c r="L766" s="94">
        <f>I766*(1-C766)</f>
        <v/>
      </c>
      <c r="M766" s="89">
        <f>SUMIFS(Regimes!$G$5:$G$10,Regimes!$A$5:$A$10,A766)</f>
        <v/>
      </c>
      <c r="N766" s="14">
        <f>Donnees_annuelles!D22*J766</f>
        <v/>
      </c>
      <c r="O766" s="14">
        <f>Donnees_annuelles!D22*K766</f>
        <v/>
      </c>
      <c r="P766" s="14">
        <f>N766+O766</f>
        <v/>
      </c>
      <c r="Q766" s="14">
        <f>Donnees_annuelles!D22*L766</f>
        <v/>
      </c>
      <c r="R766" s="114">
        <f>P766/Donnees_annuelles!AA22*Donnees_annuelles!AI22/Donnees_annuelles!AG22</f>
        <v/>
      </c>
      <c r="S766" s="114">
        <f>P766/Donnees_annuelles!AA22*Donnees_annuelles!AJ22/Donnees_annuelles!AH22</f>
        <v/>
      </c>
    </row>
    <row r="767">
      <c r="A767" s="84" t="inlineStr">
        <is>
          <t>RATP</t>
        </is>
      </c>
      <c r="B767" s="88" t="n">
        <v>1965</v>
      </c>
      <c r="C767" s="93" t="n">
        <v>0.1</v>
      </c>
      <c r="D767" s="93" t="n">
        <v>0.06</v>
      </c>
      <c r="E767" s="93" t="n">
        <v>0.371</v>
      </c>
      <c r="F767" s="7" t="inlineStr">
        <is>
          <t>implicite estimé (analogie SNCF)</t>
        </is>
      </c>
      <c r="G767" s="93" t="n">
        <v>0</v>
      </c>
      <c r="H767" s="93" t="n">
        <v>0</v>
      </c>
      <c r="I767" s="93" t="n">
        <v>0</v>
      </c>
      <c r="J767" s="94">
        <f>D767*(1-C767)+G767*MIN(C767,0.2*(1-C767))+H767</f>
        <v/>
      </c>
      <c r="K767" s="94">
        <f>E767*(1-C767)+G767*MIN(C767,0.2*(1-C767))</f>
        <v/>
      </c>
      <c r="L767" s="94">
        <f>I767*(1-C767)</f>
        <v/>
      </c>
      <c r="M767" s="89">
        <f>SUMIFS(Regimes!$G$5:$G$10,Regimes!$A$5:$A$10,A767)</f>
        <v/>
      </c>
      <c r="N767" s="14">
        <f>Donnees_annuelles!D23*J767</f>
        <v/>
      </c>
      <c r="O767" s="14">
        <f>Donnees_annuelles!D23*K767</f>
        <v/>
      </c>
      <c r="P767" s="14">
        <f>N767+O767</f>
        <v/>
      </c>
      <c r="Q767" s="14">
        <f>Donnees_annuelles!D23*L767</f>
        <v/>
      </c>
      <c r="R767" s="114">
        <f>P767/Donnees_annuelles!AA23*Donnees_annuelles!AI23/Donnees_annuelles!AG23</f>
        <v/>
      </c>
      <c r="S767" s="114">
        <f>P767/Donnees_annuelles!AA23*Donnees_annuelles!AJ23/Donnees_annuelles!AH23</f>
        <v/>
      </c>
    </row>
    <row r="768">
      <c r="A768" s="84" t="inlineStr">
        <is>
          <t>RATP</t>
        </is>
      </c>
      <c r="B768" s="88" t="n">
        <v>1966</v>
      </c>
      <c r="C768" s="93" t="n">
        <v>0.1</v>
      </c>
      <c r="D768" s="93" t="n">
        <v>0.06</v>
      </c>
      <c r="E768" s="93" t="n">
        <v>0.371</v>
      </c>
      <c r="F768" s="7" t="inlineStr">
        <is>
          <t>implicite estimé (analogie SNCF)</t>
        </is>
      </c>
      <c r="G768" s="93" t="n">
        <v>0</v>
      </c>
      <c r="H768" s="93" t="n">
        <v>0</v>
      </c>
      <c r="I768" s="93" t="n">
        <v>0</v>
      </c>
      <c r="J768" s="94">
        <f>D768*(1-C768)+G768*MIN(C768,0.2*(1-C768))+H768</f>
        <v/>
      </c>
      <c r="K768" s="94">
        <f>E768*(1-C768)+G768*MIN(C768,0.2*(1-C768))</f>
        <v/>
      </c>
      <c r="L768" s="94">
        <f>I768*(1-C768)</f>
        <v/>
      </c>
      <c r="M768" s="89">
        <f>SUMIFS(Regimes!$G$5:$G$10,Regimes!$A$5:$A$10,A768)</f>
        <v/>
      </c>
      <c r="N768" s="14">
        <f>Donnees_annuelles!D24*J768</f>
        <v/>
      </c>
      <c r="O768" s="14">
        <f>Donnees_annuelles!D24*K768</f>
        <v/>
      </c>
      <c r="P768" s="14">
        <f>N768+O768</f>
        <v/>
      </c>
      <c r="Q768" s="14">
        <f>Donnees_annuelles!D24*L768</f>
        <v/>
      </c>
      <c r="R768" s="114">
        <f>P768/Donnees_annuelles!AA24*Donnees_annuelles!AI24/Donnees_annuelles!AG24</f>
        <v/>
      </c>
      <c r="S768" s="114">
        <f>P768/Donnees_annuelles!AA24*Donnees_annuelles!AJ24/Donnees_annuelles!AH24</f>
        <v/>
      </c>
    </row>
    <row r="769">
      <c r="A769" s="84" t="inlineStr">
        <is>
          <t>RATP</t>
        </is>
      </c>
      <c r="B769" s="88" t="n">
        <v>1967</v>
      </c>
      <c r="C769" s="93" t="n">
        <v>0.1</v>
      </c>
      <c r="D769" s="93" t="n">
        <v>0.06</v>
      </c>
      <c r="E769" s="93" t="n">
        <v>0.371</v>
      </c>
      <c r="F769" s="7" t="inlineStr">
        <is>
          <t>implicite estimé (analogie SNCF)</t>
        </is>
      </c>
      <c r="G769" s="93" t="n">
        <v>0</v>
      </c>
      <c r="H769" s="93" t="n">
        <v>0</v>
      </c>
      <c r="I769" s="93" t="n">
        <v>0</v>
      </c>
      <c r="J769" s="94">
        <f>D769*(1-C769)+G769*MIN(C769,0.2*(1-C769))+H769</f>
        <v/>
      </c>
      <c r="K769" s="94">
        <f>E769*(1-C769)+G769*MIN(C769,0.2*(1-C769))</f>
        <v/>
      </c>
      <c r="L769" s="94">
        <f>I769*(1-C769)</f>
        <v/>
      </c>
      <c r="M769" s="89">
        <f>SUMIFS(Regimes!$G$5:$G$10,Regimes!$A$5:$A$10,A769)</f>
        <v/>
      </c>
      <c r="N769" s="14">
        <f>Donnees_annuelles!D25*J769</f>
        <v/>
      </c>
      <c r="O769" s="14">
        <f>Donnees_annuelles!D25*K769</f>
        <v/>
      </c>
      <c r="P769" s="14">
        <f>N769+O769</f>
        <v/>
      </c>
      <c r="Q769" s="14">
        <f>Donnees_annuelles!D25*L769</f>
        <v/>
      </c>
      <c r="R769" s="114">
        <f>P769/Donnees_annuelles!AA25*Donnees_annuelles!AI25/Donnees_annuelles!AG25</f>
        <v/>
      </c>
      <c r="S769" s="114">
        <f>P769/Donnees_annuelles!AA25*Donnees_annuelles!AJ25/Donnees_annuelles!AH25</f>
        <v/>
      </c>
    </row>
    <row r="770">
      <c r="A770" s="84" t="inlineStr">
        <is>
          <t>RATP</t>
        </is>
      </c>
      <c r="B770" s="88" t="n">
        <v>1968</v>
      </c>
      <c r="C770" s="93" t="n">
        <v>0.1</v>
      </c>
      <c r="D770" s="93" t="n">
        <v>0.06</v>
      </c>
      <c r="E770" s="93" t="n">
        <v>0.371</v>
      </c>
      <c r="F770" s="7" t="inlineStr">
        <is>
          <t>implicite estimé (analogie SNCF)</t>
        </is>
      </c>
      <c r="G770" s="93" t="n">
        <v>0</v>
      </c>
      <c r="H770" s="93" t="n">
        <v>0</v>
      </c>
      <c r="I770" s="93" t="n">
        <v>0</v>
      </c>
      <c r="J770" s="94">
        <f>D770*(1-C770)+G770*MIN(C770,0.2*(1-C770))+H770</f>
        <v/>
      </c>
      <c r="K770" s="94">
        <f>E770*(1-C770)+G770*MIN(C770,0.2*(1-C770))</f>
        <v/>
      </c>
      <c r="L770" s="94">
        <f>I770*(1-C770)</f>
        <v/>
      </c>
      <c r="M770" s="89">
        <f>SUMIFS(Regimes!$G$5:$G$10,Regimes!$A$5:$A$10,A770)</f>
        <v/>
      </c>
      <c r="N770" s="14">
        <f>Donnees_annuelles!D26*J770</f>
        <v/>
      </c>
      <c r="O770" s="14">
        <f>Donnees_annuelles!D26*K770</f>
        <v/>
      </c>
      <c r="P770" s="14">
        <f>N770+O770</f>
        <v/>
      </c>
      <c r="Q770" s="14">
        <f>Donnees_annuelles!D26*L770</f>
        <v/>
      </c>
      <c r="R770" s="114">
        <f>P770/Donnees_annuelles!AA26*Donnees_annuelles!AI26/Donnees_annuelles!AG26</f>
        <v/>
      </c>
      <c r="S770" s="114">
        <f>P770/Donnees_annuelles!AA26*Donnees_annuelles!AJ26/Donnees_annuelles!AH26</f>
        <v/>
      </c>
    </row>
    <row r="771">
      <c r="A771" s="84" t="inlineStr">
        <is>
          <t>RATP</t>
        </is>
      </c>
      <c r="B771" s="88" t="n">
        <v>1969</v>
      </c>
      <c r="C771" s="93" t="n">
        <v>0.1</v>
      </c>
      <c r="D771" s="93" t="n">
        <v>0.06</v>
      </c>
      <c r="E771" s="93" t="n">
        <v>0.371</v>
      </c>
      <c r="F771" s="7" t="inlineStr">
        <is>
          <t>implicite estimé (analogie SNCF)</t>
        </is>
      </c>
      <c r="G771" s="93" t="n">
        <v>0</v>
      </c>
      <c r="H771" s="93" t="n">
        <v>0</v>
      </c>
      <c r="I771" s="93" t="n">
        <v>0</v>
      </c>
      <c r="J771" s="94">
        <f>D771*(1-C771)+G771*MIN(C771,0.2*(1-C771))+H771</f>
        <v/>
      </c>
      <c r="K771" s="94">
        <f>E771*(1-C771)+G771*MIN(C771,0.2*(1-C771))</f>
        <v/>
      </c>
      <c r="L771" s="94">
        <f>I771*(1-C771)</f>
        <v/>
      </c>
      <c r="M771" s="89">
        <f>SUMIFS(Regimes!$G$5:$G$10,Regimes!$A$5:$A$10,A771)</f>
        <v/>
      </c>
      <c r="N771" s="14">
        <f>Donnees_annuelles!D27*J771</f>
        <v/>
      </c>
      <c r="O771" s="14">
        <f>Donnees_annuelles!D27*K771</f>
        <v/>
      </c>
      <c r="P771" s="14">
        <f>N771+O771</f>
        <v/>
      </c>
      <c r="Q771" s="14">
        <f>Donnees_annuelles!D27*L771</f>
        <v/>
      </c>
      <c r="R771" s="114">
        <f>P771/Donnees_annuelles!AA27*Donnees_annuelles!AI27/Donnees_annuelles!AG27</f>
        <v/>
      </c>
      <c r="S771" s="114">
        <f>P771/Donnees_annuelles!AA27*Donnees_annuelles!AJ27/Donnees_annuelles!AH27</f>
        <v/>
      </c>
    </row>
    <row r="772">
      <c r="A772" s="84" t="inlineStr">
        <is>
          <t>RATP</t>
        </is>
      </c>
      <c r="B772" s="88" t="n">
        <v>1970</v>
      </c>
      <c r="C772" s="93" t="n">
        <v>0.1</v>
      </c>
      <c r="D772" s="93" t="n">
        <v>0.06</v>
      </c>
      <c r="E772" s="93" t="n">
        <v>0.371</v>
      </c>
      <c r="F772" s="7" t="inlineStr">
        <is>
          <t>implicite estimé (analogie SNCF)</t>
        </is>
      </c>
      <c r="G772" s="93" t="n">
        <v>0</v>
      </c>
      <c r="H772" s="93" t="n">
        <v>0</v>
      </c>
      <c r="I772" s="93" t="n">
        <v>0</v>
      </c>
      <c r="J772" s="94">
        <f>D772*(1-C772)+G772*MIN(C772,0.2*(1-C772))+H772</f>
        <v/>
      </c>
      <c r="K772" s="94">
        <f>E772*(1-C772)+G772*MIN(C772,0.2*(1-C772))</f>
        <v/>
      </c>
      <c r="L772" s="94">
        <f>I772*(1-C772)</f>
        <v/>
      </c>
      <c r="M772" s="89">
        <f>SUMIFS(Regimes!$G$5:$G$10,Regimes!$A$5:$A$10,A772)</f>
        <v/>
      </c>
      <c r="N772" s="14">
        <f>Donnees_annuelles!D28*J772</f>
        <v/>
      </c>
      <c r="O772" s="14">
        <f>Donnees_annuelles!D28*K772</f>
        <v/>
      </c>
      <c r="P772" s="14">
        <f>N772+O772</f>
        <v/>
      </c>
      <c r="Q772" s="14">
        <f>Donnees_annuelles!D28*L772</f>
        <v/>
      </c>
      <c r="R772" s="114">
        <f>P772/Donnees_annuelles!AA28*Donnees_annuelles!AI28/Donnees_annuelles!AG28</f>
        <v/>
      </c>
      <c r="S772" s="114">
        <f>P772/Donnees_annuelles!AA28*Donnees_annuelles!AJ28/Donnees_annuelles!AH28</f>
        <v/>
      </c>
    </row>
    <row r="773">
      <c r="A773" s="84" t="inlineStr">
        <is>
          <t>RATP</t>
        </is>
      </c>
      <c r="B773" s="88" t="n">
        <v>1971</v>
      </c>
      <c r="C773" s="93" t="n">
        <v>0.1</v>
      </c>
      <c r="D773" s="93" t="n">
        <v>0.06</v>
      </c>
      <c r="E773" s="93" t="n">
        <v>0.335</v>
      </c>
      <c r="F773" s="7" t="inlineStr">
        <is>
          <t>implicite estimé (analogie SNCF)</t>
        </is>
      </c>
      <c r="G773" s="93" t="n">
        <v>0</v>
      </c>
      <c r="H773" s="93" t="n">
        <v>0</v>
      </c>
      <c r="I773" s="93" t="n">
        <v>0</v>
      </c>
      <c r="J773" s="94">
        <f>D773*(1-C773)+G773*MIN(C773,0.2*(1-C773))+H773</f>
        <v/>
      </c>
      <c r="K773" s="94">
        <f>E773*(1-C773)+G773*MIN(C773,0.2*(1-C773))</f>
        <v/>
      </c>
      <c r="L773" s="94">
        <f>I773*(1-C773)</f>
        <v/>
      </c>
      <c r="M773" s="89">
        <f>SUMIFS(Regimes!$G$5:$G$10,Regimes!$A$5:$A$10,A773)</f>
        <v/>
      </c>
      <c r="N773" s="14">
        <f>Donnees_annuelles!D29*J773</f>
        <v/>
      </c>
      <c r="O773" s="14">
        <f>Donnees_annuelles!D29*K773</f>
        <v/>
      </c>
      <c r="P773" s="14">
        <f>N773+O773</f>
        <v/>
      </c>
      <c r="Q773" s="14">
        <f>Donnees_annuelles!D29*L773</f>
        <v/>
      </c>
      <c r="R773" s="114">
        <f>P773/Donnees_annuelles!AA29*Donnees_annuelles!AI29/Donnees_annuelles!AG29</f>
        <v/>
      </c>
      <c r="S773" s="114">
        <f>P773/Donnees_annuelles!AA29*Donnees_annuelles!AJ29/Donnees_annuelles!AH29</f>
        <v/>
      </c>
    </row>
    <row r="774">
      <c r="A774" s="84" t="inlineStr">
        <is>
          <t>RATP</t>
        </is>
      </c>
      <c r="B774" s="88" t="n">
        <v>1972</v>
      </c>
      <c r="C774" s="93" t="n">
        <v>0.1</v>
      </c>
      <c r="D774" s="93" t="n">
        <v>0.06</v>
      </c>
      <c r="E774" s="93" t="n">
        <v>0.335</v>
      </c>
      <c r="F774" s="7" t="inlineStr">
        <is>
          <t>implicite estimé (analogie SNCF)</t>
        </is>
      </c>
      <c r="G774" s="93" t="n">
        <v>0</v>
      </c>
      <c r="H774" s="93" t="n">
        <v>0</v>
      </c>
      <c r="I774" s="93" t="n">
        <v>0</v>
      </c>
      <c r="J774" s="94">
        <f>D774*(1-C774)+G774*MIN(C774,0.2*(1-C774))+H774</f>
        <v/>
      </c>
      <c r="K774" s="94">
        <f>E774*(1-C774)+G774*MIN(C774,0.2*(1-C774))</f>
        <v/>
      </c>
      <c r="L774" s="94">
        <f>I774*(1-C774)</f>
        <v/>
      </c>
      <c r="M774" s="89">
        <f>SUMIFS(Regimes!$G$5:$G$10,Regimes!$A$5:$A$10,A774)</f>
        <v/>
      </c>
      <c r="N774" s="14">
        <f>Donnees_annuelles!D30*J774</f>
        <v/>
      </c>
      <c r="O774" s="14">
        <f>Donnees_annuelles!D30*K774</f>
        <v/>
      </c>
      <c r="P774" s="14">
        <f>N774+O774</f>
        <v/>
      </c>
      <c r="Q774" s="14">
        <f>Donnees_annuelles!D30*L774</f>
        <v/>
      </c>
      <c r="R774" s="114">
        <f>P774/Donnees_annuelles!AA30*Donnees_annuelles!AI30/Donnees_annuelles!AG30</f>
        <v/>
      </c>
      <c r="S774" s="114">
        <f>P774/Donnees_annuelles!AA30*Donnees_annuelles!AJ30/Donnees_annuelles!AH30</f>
        <v/>
      </c>
    </row>
    <row r="775">
      <c r="A775" s="84" t="inlineStr">
        <is>
          <t>RATP</t>
        </is>
      </c>
      <c r="B775" s="88" t="n">
        <v>1973</v>
      </c>
      <c r="C775" s="93" t="n">
        <v>0.1</v>
      </c>
      <c r="D775" s="93" t="n">
        <v>0.06</v>
      </c>
      <c r="E775" s="93" t="n">
        <v>0.335</v>
      </c>
      <c r="F775" s="7" t="inlineStr">
        <is>
          <t>implicite estimé (analogie SNCF)</t>
        </is>
      </c>
      <c r="G775" s="93" t="n">
        <v>0</v>
      </c>
      <c r="H775" s="93" t="n">
        <v>0</v>
      </c>
      <c r="I775" s="93" t="n">
        <v>0</v>
      </c>
      <c r="J775" s="94">
        <f>D775*(1-C775)+G775*MIN(C775,0.2*(1-C775))+H775</f>
        <v/>
      </c>
      <c r="K775" s="94">
        <f>E775*(1-C775)+G775*MIN(C775,0.2*(1-C775))</f>
        <v/>
      </c>
      <c r="L775" s="94">
        <f>I775*(1-C775)</f>
        <v/>
      </c>
      <c r="M775" s="89">
        <f>SUMIFS(Regimes!$G$5:$G$10,Regimes!$A$5:$A$10,A775)</f>
        <v/>
      </c>
      <c r="N775" s="14">
        <f>Donnees_annuelles!D31*J775</f>
        <v/>
      </c>
      <c r="O775" s="14">
        <f>Donnees_annuelles!D31*K775</f>
        <v/>
      </c>
      <c r="P775" s="14">
        <f>N775+O775</f>
        <v/>
      </c>
      <c r="Q775" s="14">
        <f>Donnees_annuelles!D31*L775</f>
        <v/>
      </c>
      <c r="R775" s="114">
        <f>P775/Donnees_annuelles!AA31*Donnees_annuelles!AI31/Donnees_annuelles!AG31</f>
        <v/>
      </c>
      <c r="S775" s="114">
        <f>P775/Donnees_annuelles!AA31*Donnees_annuelles!AJ31/Donnees_annuelles!AH31</f>
        <v/>
      </c>
    </row>
    <row r="776">
      <c r="A776" s="84" t="inlineStr">
        <is>
          <t>RATP</t>
        </is>
      </c>
      <c r="B776" s="88" t="n">
        <v>1974</v>
      </c>
      <c r="C776" s="93" t="n">
        <v>0.1</v>
      </c>
      <c r="D776" s="93" t="n">
        <v>0.06</v>
      </c>
      <c r="E776" s="93" t="n">
        <v>0.335</v>
      </c>
      <c r="F776" s="7" t="inlineStr">
        <is>
          <t>implicite estimé (analogie SNCF)</t>
        </is>
      </c>
      <c r="G776" s="93" t="n">
        <v>0</v>
      </c>
      <c r="H776" s="93" t="n">
        <v>0</v>
      </c>
      <c r="I776" s="93" t="n">
        <v>0</v>
      </c>
      <c r="J776" s="94">
        <f>D776*(1-C776)+G776*MIN(C776,0.2*(1-C776))+H776</f>
        <v/>
      </c>
      <c r="K776" s="94">
        <f>E776*(1-C776)+G776*MIN(C776,0.2*(1-C776))</f>
        <v/>
      </c>
      <c r="L776" s="94">
        <f>I776*(1-C776)</f>
        <v/>
      </c>
      <c r="M776" s="89">
        <f>SUMIFS(Regimes!$G$5:$G$10,Regimes!$A$5:$A$10,A776)</f>
        <v/>
      </c>
      <c r="N776" s="14">
        <f>Donnees_annuelles!D32*J776</f>
        <v/>
      </c>
      <c r="O776" s="14">
        <f>Donnees_annuelles!D32*K776</f>
        <v/>
      </c>
      <c r="P776" s="14">
        <f>N776+O776</f>
        <v/>
      </c>
      <c r="Q776" s="14">
        <f>Donnees_annuelles!D32*L776</f>
        <v/>
      </c>
      <c r="R776" s="114">
        <f>P776/Donnees_annuelles!AA32*Donnees_annuelles!AI32/Donnees_annuelles!AG32</f>
        <v/>
      </c>
      <c r="S776" s="114">
        <f>P776/Donnees_annuelles!AA32*Donnees_annuelles!AJ32/Donnees_annuelles!AH32</f>
        <v/>
      </c>
    </row>
    <row r="777">
      <c r="A777" s="84" t="inlineStr">
        <is>
          <t>RATP</t>
        </is>
      </c>
      <c r="B777" s="88" t="n">
        <v>1975</v>
      </c>
      <c r="C777" s="93" t="n">
        <v>0.1</v>
      </c>
      <c r="D777" s="93" t="n">
        <v>0.06</v>
      </c>
      <c r="E777" s="93" t="n">
        <v>0.335</v>
      </c>
      <c r="F777" s="7" t="inlineStr">
        <is>
          <t>implicite estimé (analogie SNCF)</t>
        </is>
      </c>
      <c r="G777" s="93" t="n">
        <v>0</v>
      </c>
      <c r="H777" s="93" t="n">
        <v>0</v>
      </c>
      <c r="I777" s="93" t="n">
        <v>0</v>
      </c>
      <c r="J777" s="94">
        <f>D777*(1-C777)+G777*MIN(C777,0.2*(1-C777))+H777</f>
        <v/>
      </c>
      <c r="K777" s="94">
        <f>E777*(1-C777)+G777*MIN(C777,0.2*(1-C777))</f>
        <v/>
      </c>
      <c r="L777" s="94">
        <f>I777*(1-C777)</f>
        <v/>
      </c>
      <c r="M777" s="89">
        <f>SUMIFS(Regimes!$G$5:$G$10,Regimes!$A$5:$A$10,A777)</f>
        <v/>
      </c>
      <c r="N777" s="14">
        <f>Donnees_annuelles!D33*J777</f>
        <v/>
      </c>
      <c r="O777" s="14">
        <f>Donnees_annuelles!D33*K777</f>
        <v/>
      </c>
      <c r="P777" s="14">
        <f>N777+O777</f>
        <v/>
      </c>
      <c r="Q777" s="14">
        <f>Donnees_annuelles!D33*L777</f>
        <v/>
      </c>
      <c r="R777" s="114">
        <f>P777/Donnees_annuelles!AA33*Donnees_annuelles!AI33/Donnees_annuelles!AG33</f>
        <v/>
      </c>
      <c r="S777" s="114">
        <f>P777/Donnees_annuelles!AA33*Donnees_annuelles!AJ33/Donnees_annuelles!AH33</f>
        <v/>
      </c>
    </row>
    <row r="778">
      <c r="A778" s="84" t="inlineStr">
        <is>
          <t>RATP</t>
        </is>
      </c>
      <c r="B778" s="88" t="n">
        <v>1976</v>
      </c>
      <c r="C778" s="93" t="n">
        <v>0.1</v>
      </c>
      <c r="D778" s="93" t="n">
        <v>0.06</v>
      </c>
      <c r="E778" s="93" t="n">
        <v>0.335</v>
      </c>
      <c r="F778" s="7" t="inlineStr">
        <is>
          <t>implicite estimé (analogie SNCF)</t>
        </is>
      </c>
      <c r="G778" s="93" t="n">
        <v>0</v>
      </c>
      <c r="H778" s="93" t="n">
        <v>0</v>
      </c>
      <c r="I778" s="93" t="n">
        <v>0</v>
      </c>
      <c r="J778" s="94">
        <f>D778*(1-C778)+G778*MIN(C778,0.2*(1-C778))+H778</f>
        <v/>
      </c>
      <c r="K778" s="94">
        <f>E778*(1-C778)+G778*MIN(C778,0.2*(1-C778))</f>
        <v/>
      </c>
      <c r="L778" s="94">
        <f>I778*(1-C778)</f>
        <v/>
      </c>
      <c r="M778" s="89">
        <f>SUMIFS(Regimes!$G$5:$G$10,Regimes!$A$5:$A$10,A778)</f>
        <v/>
      </c>
      <c r="N778" s="14">
        <f>Donnees_annuelles!D34*J778</f>
        <v/>
      </c>
      <c r="O778" s="14">
        <f>Donnees_annuelles!D34*K778</f>
        <v/>
      </c>
      <c r="P778" s="14">
        <f>N778+O778</f>
        <v/>
      </c>
      <c r="Q778" s="14">
        <f>Donnees_annuelles!D34*L778</f>
        <v/>
      </c>
      <c r="R778" s="114">
        <f>P778/Donnees_annuelles!AA34*Donnees_annuelles!AI34/Donnees_annuelles!AG34</f>
        <v/>
      </c>
      <c r="S778" s="114">
        <f>P778/Donnees_annuelles!AA34*Donnees_annuelles!AJ34/Donnees_annuelles!AH34</f>
        <v/>
      </c>
    </row>
    <row r="779">
      <c r="A779" s="84" t="inlineStr">
        <is>
          <t>RATP</t>
        </is>
      </c>
      <c r="B779" s="88" t="n">
        <v>1977</v>
      </c>
      <c r="C779" s="93" t="n">
        <v>0.1</v>
      </c>
      <c r="D779" s="93" t="n">
        <v>0.06</v>
      </c>
      <c r="E779" s="93" t="n">
        <v>0.335</v>
      </c>
      <c r="F779" s="7" t="inlineStr">
        <is>
          <t>implicite estimé (analogie SNCF)</t>
        </is>
      </c>
      <c r="G779" s="93" t="n">
        <v>0</v>
      </c>
      <c r="H779" s="93" t="n">
        <v>0</v>
      </c>
      <c r="I779" s="93" t="n">
        <v>0</v>
      </c>
      <c r="J779" s="94">
        <f>D779*(1-C779)+G779*MIN(C779,0.2*(1-C779))+H779</f>
        <v/>
      </c>
      <c r="K779" s="94">
        <f>E779*(1-C779)+G779*MIN(C779,0.2*(1-C779))</f>
        <v/>
      </c>
      <c r="L779" s="94">
        <f>I779*(1-C779)</f>
        <v/>
      </c>
      <c r="M779" s="89">
        <f>SUMIFS(Regimes!$G$5:$G$10,Regimes!$A$5:$A$10,A779)</f>
        <v/>
      </c>
      <c r="N779" s="14">
        <f>Donnees_annuelles!D35*J779</f>
        <v/>
      </c>
      <c r="O779" s="14">
        <f>Donnees_annuelles!D35*K779</f>
        <v/>
      </c>
      <c r="P779" s="14">
        <f>N779+O779</f>
        <v/>
      </c>
      <c r="Q779" s="14">
        <f>Donnees_annuelles!D35*L779</f>
        <v/>
      </c>
      <c r="R779" s="114">
        <f>P779/Donnees_annuelles!AA35*Donnees_annuelles!AI35/Donnees_annuelles!AG35</f>
        <v/>
      </c>
      <c r="S779" s="114">
        <f>P779/Donnees_annuelles!AA35*Donnees_annuelles!AJ35/Donnees_annuelles!AH35</f>
        <v/>
      </c>
    </row>
    <row r="780">
      <c r="A780" s="84" t="inlineStr">
        <is>
          <t>RATP</t>
        </is>
      </c>
      <c r="B780" s="88" t="n">
        <v>1978</v>
      </c>
      <c r="C780" s="93" t="n">
        <v>0.1</v>
      </c>
      <c r="D780" s="93" t="n">
        <v>0.06</v>
      </c>
      <c r="E780" s="93" t="n">
        <v>0.335</v>
      </c>
      <c r="F780" s="7" t="inlineStr">
        <is>
          <t>implicite estimé (analogie SNCF)</t>
        </is>
      </c>
      <c r="G780" s="93" t="n">
        <v>0</v>
      </c>
      <c r="H780" s="93" t="n">
        <v>0</v>
      </c>
      <c r="I780" s="93" t="n">
        <v>0</v>
      </c>
      <c r="J780" s="94">
        <f>D780*(1-C780)+G780*MIN(C780,0.2*(1-C780))+H780</f>
        <v/>
      </c>
      <c r="K780" s="94">
        <f>E780*(1-C780)+G780*MIN(C780,0.2*(1-C780))</f>
        <v/>
      </c>
      <c r="L780" s="94">
        <f>I780*(1-C780)</f>
        <v/>
      </c>
      <c r="M780" s="89">
        <f>SUMIFS(Regimes!$G$5:$G$10,Regimes!$A$5:$A$10,A780)</f>
        <v/>
      </c>
      <c r="N780" s="14">
        <f>Donnees_annuelles!D36*J780</f>
        <v/>
      </c>
      <c r="O780" s="14">
        <f>Donnees_annuelles!D36*K780</f>
        <v/>
      </c>
      <c r="P780" s="14">
        <f>N780+O780</f>
        <v/>
      </c>
      <c r="Q780" s="14">
        <f>Donnees_annuelles!D36*L780</f>
        <v/>
      </c>
      <c r="R780" s="114">
        <f>P780/Donnees_annuelles!AA36*Donnees_annuelles!AI36/Donnees_annuelles!AG36</f>
        <v/>
      </c>
      <c r="S780" s="114">
        <f>P780/Donnees_annuelles!AA36*Donnees_annuelles!AJ36/Donnees_annuelles!AH36</f>
        <v/>
      </c>
    </row>
    <row r="781">
      <c r="A781" s="84" t="inlineStr">
        <is>
          <t>RATP</t>
        </is>
      </c>
      <c r="B781" s="88" t="n">
        <v>1979</v>
      </c>
      <c r="C781" s="93" t="n">
        <v>0.1</v>
      </c>
      <c r="D781" s="93" t="n">
        <v>0.06</v>
      </c>
      <c r="E781" s="93" t="n">
        <v>0.335</v>
      </c>
      <c r="F781" s="7" t="inlineStr">
        <is>
          <t>implicite estimé (analogie SNCF)</t>
        </is>
      </c>
      <c r="G781" s="93" t="n">
        <v>0</v>
      </c>
      <c r="H781" s="93" t="n">
        <v>0</v>
      </c>
      <c r="I781" s="93" t="n">
        <v>0</v>
      </c>
      <c r="J781" s="94">
        <f>D781*(1-C781)+G781*MIN(C781,0.2*(1-C781))+H781</f>
        <v/>
      </c>
      <c r="K781" s="94">
        <f>E781*(1-C781)+G781*MIN(C781,0.2*(1-C781))</f>
        <v/>
      </c>
      <c r="L781" s="94">
        <f>I781*(1-C781)</f>
        <v/>
      </c>
      <c r="M781" s="89">
        <f>SUMIFS(Regimes!$G$5:$G$10,Regimes!$A$5:$A$10,A781)</f>
        <v/>
      </c>
      <c r="N781" s="14">
        <f>Donnees_annuelles!D37*J781</f>
        <v/>
      </c>
      <c r="O781" s="14">
        <f>Donnees_annuelles!D37*K781</f>
        <v/>
      </c>
      <c r="P781" s="14">
        <f>N781+O781</f>
        <v/>
      </c>
      <c r="Q781" s="14">
        <f>Donnees_annuelles!D37*L781</f>
        <v/>
      </c>
      <c r="R781" s="114">
        <f>P781/Donnees_annuelles!AA37*Donnees_annuelles!AI37/Donnees_annuelles!AG37</f>
        <v/>
      </c>
      <c r="S781" s="114">
        <f>P781/Donnees_annuelles!AA37*Donnees_annuelles!AJ37/Donnees_annuelles!AH37</f>
        <v/>
      </c>
    </row>
    <row r="782">
      <c r="A782" s="84" t="inlineStr">
        <is>
          <t>RATP</t>
        </is>
      </c>
      <c r="B782" s="88" t="n">
        <v>1980</v>
      </c>
      <c r="C782" s="93" t="n">
        <v>0.1</v>
      </c>
      <c r="D782" s="93" t="n">
        <v>0.06</v>
      </c>
      <c r="E782" s="93" t="n">
        <v>0.335</v>
      </c>
      <c r="F782" s="7" t="inlineStr">
        <is>
          <t>implicite estimé (analogie SNCF)</t>
        </is>
      </c>
      <c r="G782" s="93" t="n">
        <v>0</v>
      </c>
      <c r="H782" s="93" t="n">
        <v>0</v>
      </c>
      <c r="I782" s="93" t="n">
        <v>0</v>
      </c>
      <c r="J782" s="94">
        <f>D782*(1-C782)+G782*MIN(C782,0.2*(1-C782))+H782</f>
        <v/>
      </c>
      <c r="K782" s="94">
        <f>E782*(1-C782)+G782*MIN(C782,0.2*(1-C782))</f>
        <v/>
      </c>
      <c r="L782" s="94">
        <f>I782*(1-C782)</f>
        <v/>
      </c>
      <c r="M782" s="89">
        <f>SUMIFS(Regimes!$G$5:$G$10,Regimes!$A$5:$A$10,A782)</f>
        <v/>
      </c>
      <c r="N782" s="14">
        <f>Donnees_annuelles!D38*J782</f>
        <v/>
      </c>
      <c r="O782" s="14">
        <f>Donnees_annuelles!D38*K782</f>
        <v/>
      </c>
      <c r="P782" s="14">
        <f>N782+O782</f>
        <v/>
      </c>
      <c r="Q782" s="14">
        <f>Donnees_annuelles!D38*L782</f>
        <v/>
      </c>
      <c r="R782" s="114">
        <f>P782/Donnees_annuelles!AA38*Donnees_annuelles!AI38/Donnees_annuelles!AG38</f>
        <v/>
      </c>
      <c r="S782" s="114">
        <f>P782/Donnees_annuelles!AA38*Donnees_annuelles!AJ38/Donnees_annuelles!AH38</f>
        <v/>
      </c>
    </row>
    <row r="783">
      <c r="A783" s="84" t="inlineStr">
        <is>
          <t>RATP</t>
        </is>
      </c>
      <c r="B783" s="88" t="n">
        <v>1981</v>
      </c>
      <c r="C783" s="93" t="n">
        <v>0.1</v>
      </c>
      <c r="D783" s="93" t="n">
        <v>0.06</v>
      </c>
      <c r="E783" s="93" t="n">
        <v>0.335</v>
      </c>
      <c r="F783" s="7" t="inlineStr">
        <is>
          <t>implicite estimé (analogie SNCF)</t>
        </is>
      </c>
      <c r="G783" s="93" t="n">
        <v>0</v>
      </c>
      <c r="H783" s="93" t="n">
        <v>0</v>
      </c>
      <c r="I783" s="93" t="n">
        <v>0</v>
      </c>
      <c r="J783" s="94">
        <f>D783*(1-C783)+G783*MIN(C783,0.2*(1-C783))+H783</f>
        <v/>
      </c>
      <c r="K783" s="94">
        <f>E783*(1-C783)+G783*MIN(C783,0.2*(1-C783))</f>
        <v/>
      </c>
      <c r="L783" s="94">
        <f>I783*(1-C783)</f>
        <v/>
      </c>
      <c r="M783" s="89">
        <f>SUMIFS(Regimes!$G$5:$G$10,Regimes!$A$5:$A$10,A783)</f>
        <v/>
      </c>
      <c r="N783" s="14">
        <f>Donnees_annuelles!D39*J783</f>
        <v/>
      </c>
      <c r="O783" s="14">
        <f>Donnees_annuelles!D39*K783</f>
        <v/>
      </c>
      <c r="P783" s="14">
        <f>N783+O783</f>
        <v/>
      </c>
      <c r="Q783" s="14">
        <f>Donnees_annuelles!D39*L783</f>
        <v/>
      </c>
      <c r="R783" s="114">
        <f>P783/Donnees_annuelles!AA39*Donnees_annuelles!AI39/Donnees_annuelles!AG39</f>
        <v/>
      </c>
      <c r="S783" s="114">
        <f>P783/Donnees_annuelles!AA39*Donnees_annuelles!AJ39/Donnees_annuelles!AH39</f>
        <v/>
      </c>
    </row>
    <row r="784">
      <c r="A784" s="84" t="inlineStr">
        <is>
          <t>RATP</t>
        </is>
      </c>
      <c r="B784" s="88" t="n">
        <v>1982</v>
      </c>
      <c r="C784" s="93" t="n">
        <v>0.1</v>
      </c>
      <c r="D784" s="93" t="n">
        <v>0.06</v>
      </c>
      <c r="E784" s="93" t="n">
        <v>0.335</v>
      </c>
      <c r="F784" s="7" t="inlineStr">
        <is>
          <t>implicite estimé (analogie SNCF)</t>
        </is>
      </c>
      <c r="G784" s="93" t="n">
        <v>0</v>
      </c>
      <c r="H784" s="93" t="n">
        <v>0</v>
      </c>
      <c r="I784" s="93" t="n">
        <v>0</v>
      </c>
      <c r="J784" s="94">
        <f>D784*(1-C784)+G784*MIN(C784,0.2*(1-C784))+H784</f>
        <v/>
      </c>
      <c r="K784" s="94">
        <f>E784*(1-C784)+G784*MIN(C784,0.2*(1-C784))</f>
        <v/>
      </c>
      <c r="L784" s="94">
        <f>I784*(1-C784)</f>
        <v/>
      </c>
      <c r="M784" s="89">
        <f>SUMIFS(Regimes!$G$5:$G$10,Regimes!$A$5:$A$10,A784)</f>
        <v/>
      </c>
      <c r="N784" s="14">
        <f>Donnees_annuelles!D40*J784</f>
        <v/>
      </c>
      <c r="O784" s="14">
        <f>Donnees_annuelles!D40*K784</f>
        <v/>
      </c>
      <c r="P784" s="14">
        <f>N784+O784</f>
        <v/>
      </c>
      <c r="Q784" s="14">
        <f>Donnees_annuelles!D40*L784</f>
        <v/>
      </c>
      <c r="R784" s="114">
        <f>P784/Donnees_annuelles!AA40*Donnees_annuelles!AI40/Donnees_annuelles!AG40</f>
        <v/>
      </c>
      <c r="S784" s="114">
        <f>P784/Donnees_annuelles!AA40*Donnees_annuelles!AJ40/Donnees_annuelles!AH40</f>
        <v/>
      </c>
    </row>
    <row r="785">
      <c r="A785" s="84" t="inlineStr">
        <is>
          <t>RATP</t>
        </is>
      </c>
      <c r="B785" s="88" t="n">
        <v>1983</v>
      </c>
      <c r="C785" s="93" t="n">
        <v>0.1</v>
      </c>
      <c r="D785" s="93" t="n">
        <v>0.06</v>
      </c>
      <c r="E785" s="93" t="n">
        <v>0.335</v>
      </c>
      <c r="F785" s="7" t="inlineStr">
        <is>
          <t>implicite estimé (analogie SNCF)</t>
        </is>
      </c>
      <c r="G785" s="93" t="n">
        <v>0</v>
      </c>
      <c r="H785" s="93" t="n">
        <v>0</v>
      </c>
      <c r="I785" s="93" t="n">
        <v>0</v>
      </c>
      <c r="J785" s="94">
        <f>D785*(1-C785)+G785*MIN(C785,0.2*(1-C785))+H785</f>
        <v/>
      </c>
      <c r="K785" s="94">
        <f>E785*(1-C785)+G785*MIN(C785,0.2*(1-C785))</f>
        <v/>
      </c>
      <c r="L785" s="94">
        <f>I785*(1-C785)</f>
        <v/>
      </c>
      <c r="M785" s="89">
        <f>SUMIFS(Regimes!$G$5:$G$10,Regimes!$A$5:$A$10,A785)</f>
        <v/>
      </c>
      <c r="N785" s="14">
        <f>Donnees_annuelles!D41*J785</f>
        <v/>
      </c>
      <c r="O785" s="14">
        <f>Donnees_annuelles!D41*K785</f>
        <v/>
      </c>
      <c r="P785" s="14">
        <f>N785+O785</f>
        <v/>
      </c>
      <c r="Q785" s="14">
        <f>Donnees_annuelles!D41*L785</f>
        <v/>
      </c>
      <c r="R785" s="114">
        <f>P785/Donnees_annuelles!AA41*Donnees_annuelles!AI41/Donnees_annuelles!AG41</f>
        <v/>
      </c>
      <c r="S785" s="114">
        <f>P785/Donnees_annuelles!AA41*Donnees_annuelles!AJ41/Donnees_annuelles!AH41</f>
        <v/>
      </c>
    </row>
    <row r="786">
      <c r="A786" s="84" t="inlineStr">
        <is>
          <t>RATP</t>
        </is>
      </c>
      <c r="B786" s="88" t="n">
        <v>1984</v>
      </c>
      <c r="C786" s="93" t="n">
        <v>0.1</v>
      </c>
      <c r="D786" s="93" t="n">
        <v>0.075</v>
      </c>
      <c r="E786" s="93" t="n">
        <v>0.335</v>
      </c>
      <c r="F786" s="7" t="inlineStr">
        <is>
          <t>implicite estimé (analogie SNCF)</t>
        </is>
      </c>
      <c r="G786" s="93" t="n">
        <v>0</v>
      </c>
      <c r="H786" s="93" t="n">
        <v>0</v>
      </c>
      <c r="I786" s="93" t="n">
        <v>0</v>
      </c>
      <c r="J786" s="94">
        <f>D786*(1-C786)+G786*MIN(C786,0.2*(1-C786))+H786</f>
        <v/>
      </c>
      <c r="K786" s="94">
        <f>E786*(1-C786)+G786*MIN(C786,0.2*(1-C786))</f>
        <v/>
      </c>
      <c r="L786" s="94">
        <f>I786*(1-C786)</f>
        <v/>
      </c>
      <c r="M786" s="89">
        <f>SUMIFS(Regimes!$G$5:$G$10,Regimes!$A$5:$A$10,A786)</f>
        <v/>
      </c>
      <c r="N786" s="14">
        <f>Donnees_annuelles!D42*J786</f>
        <v/>
      </c>
      <c r="O786" s="14">
        <f>Donnees_annuelles!D42*K786</f>
        <v/>
      </c>
      <c r="P786" s="14">
        <f>N786+O786</f>
        <v/>
      </c>
      <c r="Q786" s="14">
        <f>Donnees_annuelles!D42*L786</f>
        <v/>
      </c>
      <c r="R786" s="114">
        <f>P786/Donnees_annuelles!AA42*Donnees_annuelles!AI42/Donnees_annuelles!AG42</f>
        <v/>
      </c>
      <c r="S786" s="114">
        <f>P786/Donnees_annuelles!AA42*Donnees_annuelles!AJ42/Donnees_annuelles!AH42</f>
        <v/>
      </c>
    </row>
    <row r="787">
      <c r="A787" s="84" t="inlineStr">
        <is>
          <t>RATP</t>
        </is>
      </c>
      <c r="B787" s="88" t="n">
        <v>1985</v>
      </c>
      <c r="C787" s="93" t="n">
        <v>0.1</v>
      </c>
      <c r="D787" s="93" t="n">
        <v>0.075</v>
      </c>
      <c r="E787" s="93" t="n">
        <v>0.335</v>
      </c>
      <c r="F787" s="7" t="inlineStr">
        <is>
          <t>implicite estimé (analogie SNCF)</t>
        </is>
      </c>
      <c r="G787" s="93" t="n">
        <v>0</v>
      </c>
      <c r="H787" s="93" t="n">
        <v>0</v>
      </c>
      <c r="I787" s="93" t="n">
        <v>0</v>
      </c>
      <c r="J787" s="94">
        <f>D787*(1-C787)+G787*MIN(C787,0.2*(1-C787))+H787</f>
        <v/>
      </c>
      <c r="K787" s="94">
        <f>E787*(1-C787)+G787*MIN(C787,0.2*(1-C787))</f>
        <v/>
      </c>
      <c r="L787" s="94">
        <f>I787*(1-C787)</f>
        <v/>
      </c>
      <c r="M787" s="89">
        <f>SUMIFS(Regimes!$G$5:$G$10,Regimes!$A$5:$A$10,A787)</f>
        <v/>
      </c>
      <c r="N787" s="14">
        <f>Donnees_annuelles!D43*J787</f>
        <v/>
      </c>
      <c r="O787" s="14">
        <f>Donnees_annuelles!D43*K787</f>
        <v/>
      </c>
      <c r="P787" s="14">
        <f>N787+O787</f>
        <v/>
      </c>
      <c r="Q787" s="14">
        <f>Donnees_annuelles!D43*L787</f>
        <v/>
      </c>
      <c r="R787" s="114">
        <f>P787/Donnees_annuelles!AA43*Donnees_annuelles!AI43/Donnees_annuelles!AG43</f>
        <v/>
      </c>
      <c r="S787" s="114">
        <f>P787/Donnees_annuelles!AA43*Donnees_annuelles!AJ43/Donnees_annuelles!AH43</f>
        <v/>
      </c>
    </row>
    <row r="788">
      <c r="A788" s="84" t="inlineStr">
        <is>
          <t>RATP</t>
        </is>
      </c>
      <c r="B788" s="88" t="n">
        <v>1986</v>
      </c>
      <c r="C788" s="93" t="n">
        <v>0.1</v>
      </c>
      <c r="D788" s="93" t="n">
        <v>0.075</v>
      </c>
      <c r="E788" s="93" t="n">
        <v>0.335</v>
      </c>
      <c r="F788" s="7" t="inlineStr">
        <is>
          <t>implicite estimé (analogie SNCF)</t>
        </is>
      </c>
      <c r="G788" s="93" t="n">
        <v>0</v>
      </c>
      <c r="H788" s="93" t="n">
        <v>0</v>
      </c>
      <c r="I788" s="93" t="n">
        <v>0</v>
      </c>
      <c r="J788" s="94">
        <f>D788*(1-C788)+G788*MIN(C788,0.2*(1-C788))+H788</f>
        <v/>
      </c>
      <c r="K788" s="94">
        <f>E788*(1-C788)+G788*MIN(C788,0.2*(1-C788))</f>
        <v/>
      </c>
      <c r="L788" s="94">
        <f>I788*(1-C788)</f>
        <v/>
      </c>
      <c r="M788" s="89">
        <f>SUMIFS(Regimes!$G$5:$G$10,Regimes!$A$5:$A$10,A788)</f>
        <v/>
      </c>
      <c r="N788" s="14">
        <f>Donnees_annuelles!D44*J788</f>
        <v/>
      </c>
      <c r="O788" s="14">
        <f>Donnees_annuelles!D44*K788</f>
        <v/>
      </c>
      <c r="P788" s="14">
        <f>N788+O788</f>
        <v/>
      </c>
      <c r="Q788" s="14">
        <f>Donnees_annuelles!D44*L788</f>
        <v/>
      </c>
      <c r="R788" s="114">
        <f>P788/Donnees_annuelles!AA44*Donnees_annuelles!AI44/Donnees_annuelles!AG44</f>
        <v/>
      </c>
      <c r="S788" s="114">
        <f>P788/Donnees_annuelles!AA44*Donnees_annuelles!AJ44/Donnees_annuelles!AH44</f>
        <v/>
      </c>
    </row>
    <row r="789">
      <c r="A789" s="84" t="inlineStr">
        <is>
          <t>RATP</t>
        </is>
      </c>
      <c r="B789" s="88" t="n">
        <v>1987</v>
      </c>
      <c r="C789" s="93" t="n">
        <v>0.1</v>
      </c>
      <c r="D789" s="93" t="n">
        <v>0.075</v>
      </c>
      <c r="E789" s="93" t="n">
        <v>0.335</v>
      </c>
      <c r="F789" s="7" t="inlineStr">
        <is>
          <t>implicite estimé (analogie SNCF)</t>
        </is>
      </c>
      <c r="G789" s="93" t="n">
        <v>0</v>
      </c>
      <c r="H789" s="93" t="n">
        <v>0</v>
      </c>
      <c r="I789" s="93" t="n">
        <v>0</v>
      </c>
      <c r="J789" s="94">
        <f>D789*(1-C789)+G789*MIN(C789,0.2*(1-C789))+H789</f>
        <v/>
      </c>
      <c r="K789" s="94">
        <f>E789*(1-C789)+G789*MIN(C789,0.2*(1-C789))</f>
        <v/>
      </c>
      <c r="L789" s="94">
        <f>I789*(1-C789)</f>
        <v/>
      </c>
      <c r="M789" s="89">
        <f>SUMIFS(Regimes!$G$5:$G$10,Regimes!$A$5:$A$10,A789)</f>
        <v/>
      </c>
      <c r="N789" s="14">
        <f>Donnees_annuelles!D45*J789</f>
        <v/>
      </c>
      <c r="O789" s="14">
        <f>Donnees_annuelles!D45*K789</f>
        <v/>
      </c>
      <c r="P789" s="14">
        <f>N789+O789</f>
        <v/>
      </c>
      <c r="Q789" s="14">
        <f>Donnees_annuelles!D45*L789</f>
        <v/>
      </c>
      <c r="R789" s="114">
        <f>P789/Donnees_annuelles!AA45*Donnees_annuelles!AI45/Donnees_annuelles!AG45</f>
        <v/>
      </c>
      <c r="S789" s="114">
        <f>P789/Donnees_annuelles!AA45*Donnees_annuelles!AJ45/Donnees_annuelles!AH45</f>
        <v/>
      </c>
    </row>
    <row r="790">
      <c r="A790" s="84" t="inlineStr">
        <is>
          <t>RATP</t>
        </is>
      </c>
      <c r="B790" s="88" t="n">
        <v>1988</v>
      </c>
      <c r="C790" s="93" t="n">
        <v>0.1</v>
      </c>
      <c r="D790" s="93" t="n">
        <v>0.075</v>
      </c>
      <c r="E790" s="93" t="n">
        <v>0.335</v>
      </c>
      <c r="F790" s="7" t="inlineStr">
        <is>
          <t>implicite estimé (analogie SNCF)</t>
        </is>
      </c>
      <c r="G790" s="93" t="n">
        <v>0</v>
      </c>
      <c r="H790" s="93" t="n">
        <v>0</v>
      </c>
      <c r="I790" s="93" t="n">
        <v>0</v>
      </c>
      <c r="J790" s="94">
        <f>D790*(1-C790)+G790*MIN(C790,0.2*(1-C790))+H790</f>
        <v/>
      </c>
      <c r="K790" s="94">
        <f>E790*(1-C790)+G790*MIN(C790,0.2*(1-C790))</f>
        <v/>
      </c>
      <c r="L790" s="94">
        <f>I790*(1-C790)</f>
        <v/>
      </c>
      <c r="M790" s="89">
        <f>SUMIFS(Regimes!$G$5:$G$10,Regimes!$A$5:$A$10,A790)</f>
        <v/>
      </c>
      <c r="N790" s="14">
        <f>Donnees_annuelles!D46*J790</f>
        <v/>
      </c>
      <c r="O790" s="14">
        <f>Donnees_annuelles!D46*K790</f>
        <v/>
      </c>
      <c r="P790" s="14">
        <f>N790+O790</f>
        <v/>
      </c>
      <c r="Q790" s="14">
        <f>Donnees_annuelles!D46*L790</f>
        <v/>
      </c>
      <c r="R790" s="114">
        <f>P790/Donnees_annuelles!AA46*Donnees_annuelles!AI46/Donnees_annuelles!AG46</f>
        <v/>
      </c>
      <c r="S790" s="114">
        <f>P790/Donnees_annuelles!AA46*Donnees_annuelles!AJ46/Donnees_annuelles!AH46</f>
        <v/>
      </c>
    </row>
    <row r="791">
      <c r="A791" s="84" t="inlineStr">
        <is>
          <t>RATP</t>
        </is>
      </c>
      <c r="B791" s="88" t="n">
        <v>1989</v>
      </c>
      <c r="C791" s="93" t="n">
        <v>0.1</v>
      </c>
      <c r="D791" s="93" t="n">
        <v>0.075</v>
      </c>
      <c r="E791" s="93" t="n">
        <v>0.335</v>
      </c>
      <c r="F791" s="7" t="inlineStr">
        <is>
          <t>implicite estimé (analogie SNCF)</t>
        </is>
      </c>
      <c r="G791" s="93" t="n">
        <v>0</v>
      </c>
      <c r="H791" s="93" t="n">
        <v>0</v>
      </c>
      <c r="I791" s="93" t="n">
        <v>0</v>
      </c>
      <c r="J791" s="94">
        <f>D791*(1-C791)+G791*MIN(C791,0.2*(1-C791))+H791</f>
        <v/>
      </c>
      <c r="K791" s="94">
        <f>E791*(1-C791)+G791*MIN(C791,0.2*(1-C791))</f>
        <v/>
      </c>
      <c r="L791" s="94">
        <f>I791*(1-C791)</f>
        <v/>
      </c>
      <c r="M791" s="89">
        <f>SUMIFS(Regimes!$G$5:$G$10,Regimes!$A$5:$A$10,A791)</f>
        <v/>
      </c>
      <c r="N791" s="14">
        <f>Donnees_annuelles!D47*J791</f>
        <v/>
      </c>
      <c r="O791" s="14">
        <f>Donnees_annuelles!D47*K791</f>
        <v/>
      </c>
      <c r="P791" s="14">
        <f>N791+O791</f>
        <v/>
      </c>
      <c r="Q791" s="14">
        <f>Donnees_annuelles!D47*L791</f>
        <v/>
      </c>
      <c r="R791" s="114">
        <f>P791/Donnees_annuelles!AA47*Donnees_annuelles!AI47/Donnees_annuelles!AG47</f>
        <v/>
      </c>
      <c r="S791" s="114">
        <f>P791/Donnees_annuelles!AA47*Donnees_annuelles!AJ47/Donnees_annuelles!AH47</f>
        <v/>
      </c>
    </row>
    <row r="792">
      <c r="A792" s="84" t="inlineStr">
        <is>
          <t>RATP</t>
        </is>
      </c>
      <c r="B792" s="88" t="n">
        <v>1990</v>
      </c>
      <c r="C792" s="93" t="n">
        <v>0.1</v>
      </c>
      <c r="D792" s="93" t="n">
        <v>0.075</v>
      </c>
      <c r="E792" s="93" t="n">
        <v>0.335</v>
      </c>
      <c r="F792" s="7" t="inlineStr">
        <is>
          <t>implicite estimé (analogie SNCF)</t>
        </is>
      </c>
      <c r="G792" s="93" t="n">
        <v>0</v>
      </c>
      <c r="H792" s="93" t="n">
        <v>0</v>
      </c>
      <c r="I792" s="93" t="n">
        <v>0</v>
      </c>
      <c r="J792" s="94">
        <f>D792*(1-C792)+G792*MIN(C792,0.2*(1-C792))+H792</f>
        <v/>
      </c>
      <c r="K792" s="94">
        <f>E792*(1-C792)+G792*MIN(C792,0.2*(1-C792))</f>
        <v/>
      </c>
      <c r="L792" s="94">
        <f>I792*(1-C792)</f>
        <v/>
      </c>
      <c r="M792" s="89">
        <f>SUMIFS(Regimes!$G$5:$G$10,Regimes!$A$5:$A$10,A792)</f>
        <v/>
      </c>
      <c r="N792" s="14">
        <f>Donnees_annuelles!D48*J792</f>
        <v/>
      </c>
      <c r="O792" s="14">
        <f>Donnees_annuelles!D48*K792</f>
        <v/>
      </c>
      <c r="P792" s="14">
        <f>N792+O792</f>
        <v/>
      </c>
      <c r="Q792" s="14">
        <f>Donnees_annuelles!D48*L792</f>
        <v/>
      </c>
      <c r="R792" s="114">
        <f>P792/Donnees_annuelles!AA48*Donnees_annuelles!AI48/Donnees_annuelles!AG48</f>
        <v/>
      </c>
      <c r="S792" s="114">
        <f>P792/Donnees_annuelles!AA48*Donnees_annuelles!AJ48/Donnees_annuelles!AH48</f>
        <v/>
      </c>
    </row>
    <row r="793">
      <c r="A793" s="84" t="inlineStr">
        <is>
          <t>RATP</t>
        </is>
      </c>
      <c r="B793" s="88" t="n">
        <v>1991</v>
      </c>
      <c r="C793" s="93" t="n">
        <v>0.1</v>
      </c>
      <c r="D793" s="93" t="n">
        <v>0.07820000000000001</v>
      </c>
      <c r="E793" s="93" t="n">
        <v>0.3362</v>
      </c>
      <c r="F793" s="7" t="inlineStr">
        <is>
          <t>implicite estimé (analogie SNCF)</t>
        </is>
      </c>
      <c r="G793" s="93" t="n">
        <v>0</v>
      </c>
      <c r="H793" s="93" t="n">
        <v>0</v>
      </c>
      <c r="I793" s="93" t="n">
        <v>0</v>
      </c>
      <c r="J793" s="94">
        <f>D793*(1-C793)+G793*MIN(C793,0.2*(1-C793))+H793</f>
        <v/>
      </c>
      <c r="K793" s="94">
        <f>E793*(1-C793)+G793*MIN(C793,0.2*(1-C793))</f>
        <v/>
      </c>
      <c r="L793" s="94">
        <f>I793*(1-C793)</f>
        <v/>
      </c>
      <c r="M793" s="89">
        <f>SUMIFS(Regimes!$G$5:$G$10,Regimes!$A$5:$A$10,A793)</f>
        <v/>
      </c>
      <c r="N793" s="14">
        <f>Donnees_annuelles!D49*J793</f>
        <v/>
      </c>
      <c r="O793" s="14">
        <f>Donnees_annuelles!D49*K793</f>
        <v/>
      </c>
      <c r="P793" s="14">
        <f>N793+O793</f>
        <v/>
      </c>
      <c r="Q793" s="14">
        <f>Donnees_annuelles!D49*L793</f>
        <v/>
      </c>
      <c r="R793" s="114">
        <f>P793/Donnees_annuelles!AA49*Donnees_annuelles!AI49/Donnees_annuelles!AG49</f>
        <v/>
      </c>
      <c r="S793" s="114">
        <f>P793/Donnees_annuelles!AA49*Donnees_annuelles!AJ49/Donnees_annuelles!AH49</f>
        <v/>
      </c>
    </row>
    <row r="794">
      <c r="A794" s="84" t="inlineStr">
        <is>
          <t>RATP</t>
        </is>
      </c>
      <c r="B794" s="88" t="n">
        <v>1992</v>
      </c>
      <c r="C794" s="93" t="n">
        <v>0.1</v>
      </c>
      <c r="D794" s="93" t="n">
        <v>0.0785</v>
      </c>
      <c r="E794" s="93" t="n">
        <v>0.3362</v>
      </c>
      <c r="F794" s="7" t="inlineStr">
        <is>
          <t>implicite estimé (analogie SNCF)</t>
        </is>
      </c>
      <c r="G794" s="93" t="n">
        <v>0</v>
      </c>
      <c r="H794" s="93" t="n">
        <v>0</v>
      </c>
      <c r="I794" s="93" t="n">
        <v>0</v>
      </c>
      <c r="J794" s="94">
        <f>D794*(1-C794)+G794*MIN(C794,0.2*(1-C794))+H794</f>
        <v/>
      </c>
      <c r="K794" s="94">
        <f>E794*(1-C794)+G794*MIN(C794,0.2*(1-C794))</f>
        <v/>
      </c>
      <c r="L794" s="94">
        <f>I794*(1-C794)</f>
        <v/>
      </c>
      <c r="M794" s="89">
        <f>SUMIFS(Regimes!$G$5:$G$10,Regimes!$A$5:$A$10,A794)</f>
        <v/>
      </c>
      <c r="N794" s="14">
        <f>Donnees_annuelles!D50*J794</f>
        <v/>
      </c>
      <c r="O794" s="14">
        <f>Donnees_annuelles!D50*K794</f>
        <v/>
      </c>
      <c r="P794" s="14">
        <f>N794+O794</f>
        <v/>
      </c>
      <c r="Q794" s="14">
        <f>Donnees_annuelles!D50*L794</f>
        <v/>
      </c>
      <c r="R794" s="114">
        <f>P794/Donnees_annuelles!AA50*Donnees_annuelles!AI50/Donnees_annuelles!AG50</f>
        <v/>
      </c>
      <c r="S794" s="114">
        <f>P794/Donnees_annuelles!AA50*Donnees_annuelles!AJ50/Donnees_annuelles!AH50</f>
        <v/>
      </c>
    </row>
    <row r="795">
      <c r="A795" s="84" t="inlineStr">
        <is>
          <t>RATP</t>
        </is>
      </c>
      <c r="B795" s="88" t="n">
        <v>1993</v>
      </c>
      <c r="C795" s="93" t="n">
        <v>0.1</v>
      </c>
      <c r="D795" s="93" t="n">
        <v>0.0785</v>
      </c>
      <c r="E795" s="93" t="n">
        <v>0.3362</v>
      </c>
      <c r="F795" s="7" t="inlineStr">
        <is>
          <t>implicite estimé (analogie SNCF)</t>
        </is>
      </c>
      <c r="G795" s="93" t="n">
        <v>0</v>
      </c>
      <c r="H795" s="93" t="n">
        <v>0.006226</v>
      </c>
      <c r="I795" s="93" t="n">
        <v>0</v>
      </c>
      <c r="J795" s="94">
        <f>D795*(1-C795)+G795*MIN(C795,0.2*(1-C795))+H795</f>
        <v/>
      </c>
      <c r="K795" s="94">
        <f>E795*(1-C795)+G795*MIN(C795,0.2*(1-C795))</f>
        <v/>
      </c>
      <c r="L795" s="94">
        <f>I795*(1-C795)</f>
        <v/>
      </c>
      <c r="M795" s="89">
        <f>SUMIFS(Regimes!$G$5:$G$10,Regimes!$A$5:$A$10,A795)</f>
        <v/>
      </c>
      <c r="N795" s="14">
        <f>Donnees_annuelles!D51*J795</f>
        <v/>
      </c>
      <c r="O795" s="14">
        <f>Donnees_annuelles!D51*K795</f>
        <v/>
      </c>
      <c r="P795" s="14">
        <f>N795+O795</f>
        <v/>
      </c>
      <c r="Q795" s="14">
        <f>Donnees_annuelles!D51*L795</f>
        <v/>
      </c>
      <c r="R795" s="114">
        <f>P795/Donnees_annuelles!AA51*Donnees_annuelles!AI51/Donnees_annuelles!AG51</f>
        <v/>
      </c>
      <c r="S795" s="114">
        <f>P795/Donnees_annuelles!AA51*Donnees_annuelles!AJ51/Donnees_annuelles!AH51</f>
        <v/>
      </c>
    </row>
    <row r="796">
      <c r="A796" s="84" t="inlineStr">
        <is>
          <t>RATP</t>
        </is>
      </c>
      <c r="B796" s="88" t="n">
        <v>1994</v>
      </c>
      <c r="C796" s="93" t="n">
        <v>0.1</v>
      </c>
      <c r="D796" s="93" t="n">
        <v>0.0785</v>
      </c>
      <c r="E796" s="93" t="n">
        <v>0.3362</v>
      </c>
      <c r="F796" s="7" t="inlineStr">
        <is>
          <t>implicite estimé (analogie SNCF)</t>
        </is>
      </c>
      <c r="G796" s="93" t="n">
        <v>0</v>
      </c>
      <c r="H796" s="93" t="n">
        <v>0.01235</v>
      </c>
      <c r="I796" s="93" t="n">
        <v>0</v>
      </c>
      <c r="J796" s="94">
        <f>D796*(1-C796)+G796*MIN(C796,0.2*(1-C796))+H796</f>
        <v/>
      </c>
      <c r="K796" s="94">
        <f>E796*(1-C796)+G796*MIN(C796,0.2*(1-C796))</f>
        <v/>
      </c>
      <c r="L796" s="94">
        <f>I796*(1-C796)</f>
        <v/>
      </c>
      <c r="M796" s="89">
        <f>SUMIFS(Regimes!$G$5:$G$10,Regimes!$A$5:$A$10,A796)</f>
        <v/>
      </c>
      <c r="N796" s="14">
        <f>Donnees_annuelles!D52*J796</f>
        <v/>
      </c>
      <c r="O796" s="14">
        <f>Donnees_annuelles!D52*K796</f>
        <v/>
      </c>
      <c r="P796" s="14">
        <f>N796+O796</f>
        <v/>
      </c>
      <c r="Q796" s="14">
        <f>Donnees_annuelles!D52*L796</f>
        <v/>
      </c>
      <c r="R796" s="114">
        <f>P796/Donnees_annuelles!AA52*Donnees_annuelles!AI52/Donnees_annuelles!AG52</f>
        <v/>
      </c>
      <c r="S796" s="114">
        <f>P796/Donnees_annuelles!AA52*Donnees_annuelles!AJ52/Donnees_annuelles!AH52</f>
        <v/>
      </c>
    </row>
    <row r="797">
      <c r="A797" s="84" t="inlineStr">
        <is>
          <t>RATP</t>
        </is>
      </c>
      <c r="B797" s="88" t="n">
        <v>1995</v>
      </c>
      <c r="C797" s="93" t="n">
        <v>0.1</v>
      </c>
      <c r="D797" s="93" t="n">
        <v>0.0785</v>
      </c>
      <c r="E797" s="93" t="n">
        <v>0.3362</v>
      </c>
      <c r="F797" s="7" t="inlineStr">
        <is>
          <t>implicite estimé (analogie SNCF)</t>
        </is>
      </c>
      <c r="G797" s="93" t="n">
        <v>0</v>
      </c>
      <c r="H797" s="93" t="n">
        <v>0.01235</v>
      </c>
      <c r="I797" s="93" t="n">
        <v>0</v>
      </c>
      <c r="J797" s="94">
        <f>D797*(1-C797)+G797*MIN(C797,0.2*(1-C797))+H797</f>
        <v/>
      </c>
      <c r="K797" s="94">
        <f>E797*(1-C797)+G797*MIN(C797,0.2*(1-C797))</f>
        <v/>
      </c>
      <c r="L797" s="94">
        <f>I797*(1-C797)</f>
        <v/>
      </c>
      <c r="M797" s="89">
        <f>SUMIFS(Regimes!$G$5:$G$10,Regimes!$A$5:$A$10,A797)</f>
        <v/>
      </c>
      <c r="N797" s="14">
        <f>Donnees_annuelles!D53*J797</f>
        <v/>
      </c>
      <c r="O797" s="14">
        <f>Donnees_annuelles!D53*K797</f>
        <v/>
      </c>
      <c r="P797" s="14">
        <f>N797+O797</f>
        <v/>
      </c>
      <c r="Q797" s="14">
        <f>Donnees_annuelles!D53*L797</f>
        <v/>
      </c>
      <c r="R797" s="114">
        <f>P797/Donnees_annuelles!AA53*Donnees_annuelles!AI53/Donnees_annuelles!AG53</f>
        <v/>
      </c>
      <c r="S797" s="114">
        <f>P797/Donnees_annuelles!AA53*Donnees_annuelles!AJ53/Donnees_annuelles!AH53</f>
        <v/>
      </c>
    </row>
    <row r="798">
      <c r="A798" s="84" t="inlineStr">
        <is>
          <t>RATP</t>
        </is>
      </c>
      <c r="B798" s="88" t="n">
        <v>1996</v>
      </c>
      <c r="C798" s="93" t="n">
        <v>0.1</v>
      </c>
      <c r="D798" s="93" t="n">
        <v>0.0785</v>
      </c>
      <c r="E798" s="93" t="n">
        <v>0.3362</v>
      </c>
      <c r="F798" s="7" t="inlineStr">
        <is>
          <t>implicite estimé (analogie SNCF)</t>
        </is>
      </c>
      <c r="G798" s="93" t="n">
        <v>0</v>
      </c>
      <c r="H798" s="93" t="n">
        <v>0.013524</v>
      </c>
      <c r="I798" s="93" t="n">
        <v>0</v>
      </c>
      <c r="J798" s="94">
        <f>D798*(1-C798)+G798*MIN(C798,0.2*(1-C798))+H798</f>
        <v/>
      </c>
      <c r="K798" s="94">
        <f>E798*(1-C798)+G798*MIN(C798,0.2*(1-C798))</f>
        <v/>
      </c>
      <c r="L798" s="94">
        <f>I798*(1-C798)</f>
        <v/>
      </c>
      <c r="M798" s="89">
        <f>SUMIFS(Regimes!$G$5:$G$10,Regimes!$A$5:$A$10,A798)</f>
        <v/>
      </c>
      <c r="N798" s="14">
        <f>Donnees_annuelles!D54*J798</f>
        <v/>
      </c>
      <c r="O798" s="14">
        <f>Donnees_annuelles!D54*K798</f>
        <v/>
      </c>
      <c r="P798" s="14">
        <f>N798+O798</f>
        <v/>
      </c>
      <c r="Q798" s="14">
        <f>Donnees_annuelles!D54*L798</f>
        <v/>
      </c>
      <c r="R798" s="114">
        <f>P798/Donnees_annuelles!AA54*Donnees_annuelles!AI54/Donnees_annuelles!AG54</f>
        <v/>
      </c>
      <c r="S798" s="114">
        <f>P798/Donnees_annuelles!AA54*Donnees_annuelles!AJ54/Donnees_annuelles!AH54</f>
        <v/>
      </c>
    </row>
    <row r="799">
      <c r="A799" s="84" t="inlineStr">
        <is>
          <t>RATP</t>
        </is>
      </c>
      <c r="B799" s="88" t="n">
        <v>1997</v>
      </c>
      <c r="C799" s="93" t="n">
        <v>0.1</v>
      </c>
      <c r="D799" s="93" t="n">
        <v>0.0785</v>
      </c>
      <c r="E799" s="93" t="n">
        <v>0.3362</v>
      </c>
      <c r="F799" s="7" t="inlineStr">
        <is>
          <t>implicite estimé (analogie SNCF)</t>
        </is>
      </c>
      <c r="G799" s="93" t="n">
        <v>0</v>
      </c>
      <c r="H799" s="93" t="n">
        <v>0.013632</v>
      </c>
      <c r="I799" s="93" t="n">
        <v>0</v>
      </c>
      <c r="J799" s="94">
        <f>D799*(1-C799)+G799*MIN(C799,0.2*(1-C799))+H799</f>
        <v/>
      </c>
      <c r="K799" s="94">
        <f>E799*(1-C799)+G799*MIN(C799,0.2*(1-C799))</f>
        <v/>
      </c>
      <c r="L799" s="94">
        <f>I799*(1-C799)</f>
        <v/>
      </c>
      <c r="M799" s="89">
        <f>SUMIFS(Regimes!$G$5:$G$10,Regimes!$A$5:$A$10,A799)</f>
        <v/>
      </c>
      <c r="N799" s="14">
        <f>Donnees_annuelles!D55*J799</f>
        <v/>
      </c>
      <c r="O799" s="14">
        <f>Donnees_annuelles!D55*K799</f>
        <v/>
      </c>
      <c r="P799" s="14">
        <f>N799+O799</f>
        <v/>
      </c>
      <c r="Q799" s="14">
        <f>Donnees_annuelles!D55*L799</f>
        <v/>
      </c>
      <c r="R799" s="114">
        <f>P799/Donnees_annuelles!AA55*Donnees_annuelles!AI55/Donnees_annuelles!AG55</f>
        <v/>
      </c>
      <c r="S799" s="114">
        <f>P799/Donnees_annuelles!AA55*Donnees_annuelles!AJ55/Donnees_annuelles!AH55</f>
        <v/>
      </c>
    </row>
    <row r="800">
      <c r="A800" s="84" t="inlineStr">
        <is>
          <t>RATP</t>
        </is>
      </c>
      <c r="B800" s="88" t="n">
        <v>1998</v>
      </c>
      <c r="C800" s="93" t="n">
        <v>0.1</v>
      </c>
      <c r="D800" s="93" t="n">
        <v>0.0785</v>
      </c>
      <c r="E800" s="93" t="n">
        <v>0.3362</v>
      </c>
      <c r="F800" s="7" t="inlineStr">
        <is>
          <t>implicite estimé (analogie SNCF)</t>
        </is>
      </c>
      <c r="G800" s="93" t="n">
        <v>0</v>
      </c>
      <c r="H800" s="93" t="n">
        <v>0.013632</v>
      </c>
      <c r="I800" s="93" t="n">
        <v>0</v>
      </c>
      <c r="J800" s="94">
        <f>D800*(1-C800)+G800*MIN(C800,0.2*(1-C800))+H800</f>
        <v/>
      </c>
      <c r="K800" s="94">
        <f>E800*(1-C800)+G800*MIN(C800,0.2*(1-C800))</f>
        <v/>
      </c>
      <c r="L800" s="94">
        <f>I800*(1-C800)</f>
        <v/>
      </c>
      <c r="M800" s="89">
        <f>SUMIFS(Regimes!$G$5:$G$10,Regimes!$A$5:$A$10,A800)</f>
        <v/>
      </c>
      <c r="N800" s="14">
        <f>Donnees_annuelles!D56*J800</f>
        <v/>
      </c>
      <c r="O800" s="14">
        <f>Donnees_annuelles!D56*K800</f>
        <v/>
      </c>
      <c r="P800" s="14">
        <f>N800+O800</f>
        <v/>
      </c>
      <c r="Q800" s="14">
        <f>Donnees_annuelles!D56*L800</f>
        <v/>
      </c>
      <c r="R800" s="114">
        <f>P800/Donnees_annuelles!AA56*Donnees_annuelles!AI56/Donnees_annuelles!AG56</f>
        <v/>
      </c>
      <c r="S800" s="114">
        <f>P800/Donnees_annuelles!AA56*Donnees_annuelles!AJ56/Donnees_annuelles!AH56</f>
        <v/>
      </c>
    </row>
    <row r="801">
      <c r="A801" s="84" t="inlineStr">
        <is>
          <t>RATP</t>
        </is>
      </c>
      <c r="B801" s="88" t="n">
        <v>1999</v>
      </c>
      <c r="C801" s="93" t="n">
        <v>0.1</v>
      </c>
      <c r="D801" s="93" t="n">
        <v>0.0785</v>
      </c>
      <c r="E801" s="93" t="n">
        <v>0.3362</v>
      </c>
      <c r="F801" s="7" t="inlineStr">
        <is>
          <t>implicite estimé (analogie SNCF)</t>
        </is>
      </c>
      <c r="G801" s="93" t="n">
        <v>0</v>
      </c>
      <c r="H801" s="93" t="n">
        <v>0.013632</v>
      </c>
      <c r="I801" s="93" t="n">
        <v>0</v>
      </c>
      <c r="J801" s="94">
        <f>D801*(1-C801)+G801*MIN(C801,0.2*(1-C801))+H801</f>
        <v/>
      </c>
      <c r="K801" s="94">
        <f>E801*(1-C801)+G801*MIN(C801,0.2*(1-C801))</f>
        <v/>
      </c>
      <c r="L801" s="94">
        <f>I801*(1-C801)</f>
        <v/>
      </c>
      <c r="M801" s="89">
        <f>SUMIFS(Regimes!$G$5:$G$10,Regimes!$A$5:$A$10,A801)</f>
        <v/>
      </c>
      <c r="N801" s="14">
        <f>Donnees_annuelles!D57*J801</f>
        <v/>
      </c>
      <c r="O801" s="14">
        <f>Donnees_annuelles!D57*K801</f>
        <v/>
      </c>
      <c r="P801" s="14">
        <f>N801+O801</f>
        <v/>
      </c>
      <c r="Q801" s="14">
        <f>Donnees_annuelles!D57*L801</f>
        <v/>
      </c>
      <c r="R801" s="114">
        <f>P801/Donnees_annuelles!AA57*Donnees_annuelles!AI57/Donnees_annuelles!AG57</f>
        <v/>
      </c>
      <c r="S801" s="114">
        <f>P801/Donnees_annuelles!AA57*Donnees_annuelles!AJ57/Donnees_annuelles!AH57</f>
        <v/>
      </c>
    </row>
    <row r="802">
      <c r="A802" s="84" t="inlineStr">
        <is>
          <t>RATP</t>
        </is>
      </c>
      <c r="B802" s="88" t="n">
        <v>2000</v>
      </c>
      <c r="C802" s="93" t="n">
        <v>0.1</v>
      </c>
      <c r="D802" s="93" t="n">
        <v>0.0785</v>
      </c>
      <c r="E802" s="93" t="n">
        <v>0.3362</v>
      </c>
      <c r="F802" s="7" t="inlineStr">
        <is>
          <t>implicite estimé (analogie SNCF)</t>
        </is>
      </c>
      <c r="G802" s="93" t="n">
        <v>0</v>
      </c>
      <c r="H802" s="93" t="n">
        <v>0.013632</v>
      </c>
      <c r="I802" s="93" t="n">
        <v>0</v>
      </c>
      <c r="J802" s="94">
        <f>D802*(1-C802)+G802*MIN(C802,0.2*(1-C802))+H802</f>
        <v/>
      </c>
      <c r="K802" s="94">
        <f>E802*(1-C802)+G802*MIN(C802,0.2*(1-C802))</f>
        <v/>
      </c>
      <c r="L802" s="94">
        <f>I802*(1-C802)</f>
        <v/>
      </c>
      <c r="M802" s="89">
        <f>SUMIFS(Regimes!$G$5:$G$10,Regimes!$A$5:$A$10,A802)</f>
        <v/>
      </c>
      <c r="N802" s="14">
        <f>Donnees_annuelles!D58*J802</f>
        <v/>
      </c>
      <c r="O802" s="14">
        <f>Donnees_annuelles!D58*K802</f>
        <v/>
      </c>
      <c r="P802" s="14">
        <f>N802+O802</f>
        <v/>
      </c>
      <c r="Q802" s="14">
        <f>Donnees_annuelles!D58*L802</f>
        <v/>
      </c>
      <c r="R802" s="114">
        <f>P802/Donnees_annuelles!AA58*Donnees_annuelles!AI58/Donnees_annuelles!AG58</f>
        <v/>
      </c>
      <c r="S802" s="114">
        <f>P802/Donnees_annuelles!AA58*Donnees_annuelles!AJ58/Donnees_annuelles!AH58</f>
        <v/>
      </c>
    </row>
    <row r="803">
      <c r="A803" s="84" t="inlineStr">
        <is>
          <t>RATP</t>
        </is>
      </c>
      <c r="B803" s="88" t="n">
        <v>2001</v>
      </c>
      <c r="C803" s="93" t="n">
        <v>0.1</v>
      </c>
      <c r="D803" s="93" t="n">
        <v>0.0785</v>
      </c>
      <c r="E803" s="93" t="n">
        <v>0.3362</v>
      </c>
      <c r="F803" s="7" t="inlineStr">
        <is>
          <t>implicite estimé (analogie SNCF)</t>
        </is>
      </c>
      <c r="G803" s="93" t="n">
        <v>0</v>
      </c>
      <c r="H803" s="93" t="n">
        <v>0.012207</v>
      </c>
      <c r="I803" s="93" t="n">
        <v>0</v>
      </c>
      <c r="J803" s="94">
        <f>D803*(1-C803)+G803*MIN(C803,0.2*(1-C803))+H803</f>
        <v/>
      </c>
      <c r="K803" s="94">
        <f>E803*(1-C803)+G803*MIN(C803,0.2*(1-C803))</f>
        <v/>
      </c>
      <c r="L803" s="94">
        <f>I803*(1-C803)</f>
        <v/>
      </c>
      <c r="M803" s="89">
        <f>SUMIFS(Regimes!$G$5:$G$10,Regimes!$A$5:$A$10,A803)</f>
        <v/>
      </c>
      <c r="N803" s="14">
        <f>Donnees_annuelles!D59*J803</f>
        <v/>
      </c>
      <c r="O803" s="14">
        <f>Donnees_annuelles!D59*K803</f>
        <v/>
      </c>
      <c r="P803" s="14">
        <f>N803+O803</f>
        <v/>
      </c>
      <c r="Q803" s="14">
        <f>Donnees_annuelles!D59*L803</f>
        <v/>
      </c>
      <c r="R803" s="114">
        <f>P803/Donnees_annuelles!AA59*Donnees_annuelles!AI59/Donnees_annuelles!AG59</f>
        <v/>
      </c>
      <c r="S803" s="114">
        <f>P803/Donnees_annuelles!AA59*Donnees_annuelles!AJ59/Donnees_annuelles!AH59</f>
        <v/>
      </c>
    </row>
    <row r="804">
      <c r="A804" s="84" t="inlineStr">
        <is>
          <t>RATP</t>
        </is>
      </c>
      <c r="B804" s="88" t="n">
        <v>2002</v>
      </c>
      <c r="C804" s="93" t="n">
        <v>0.1</v>
      </c>
      <c r="D804" s="93" t="n">
        <v>0.0785</v>
      </c>
      <c r="E804" s="93" t="n">
        <v>0.3362</v>
      </c>
      <c r="F804" s="7" t="inlineStr">
        <is>
          <t>implicite estimé (analogie SNCF)</t>
        </is>
      </c>
      <c r="G804" s="93" t="n">
        <v>0</v>
      </c>
      <c r="H804" s="93" t="n">
        <v>0.011258</v>
      </c>
      <c r="I804" s="93" t="n">
        <v>0</v>
      </c>
      <c r="J804" s="94">
        <f>D804*(1-C804)+G804*MIN(C804,0.2*(1-C804))+H804</f>
        <v/>
      </c>
      <c r="K804" s="94">
        <f>E804*(1-C804)+G804*MIN(C804,0.2*(1-C804))</f>
        <v/>
      </c>
      <c r="L804" s="94">
        <f>I804*(1-C804)</f>
        <v/>
      </c>
      <c r="M804" s="89">
        <f>SUMIFS(Regimes!$G$5:$G$10,Regimes!$A$5:$A$10,A804)</f>
        <v/>
      </c>
      <c r="N804" s="14">
        <f>Donnees_annuelles!D60*J804</f>
        <v/>
      </c>
      <c r="O804" s="14">
        <f>Donnees_annuelles!D60*K804</f>
        <v/>
      </c>
      <c r="P804" s="14">
        <f>N804+O804</f>
        <v/>
      </c>
      <c r="Q804" s="14">
        <f>Donnees_annuelles!D60*L804</f>
        <v/>
      </c>
      <c r="R804" s="114">
        <f>P804/Donnees_annuelles!AA60*Donnees_annuelles!AI60/Donnees_annuelles!AG60</f>
        <v/>
      </c>
      <c r="S804" s="114">
        <f>P804/Donnees_annuelles!AA60*Donnees_annuelles!AJ60/Donnees_annuelles!AH60</f>
        <v/>
      </c>
    </row>
    <row r="805">
      <c r="A805" s="84" t="inlineStr">
        <is>
          <t>RATP</t>
        </is>
      </c>
      <c r="B805" s="88" t="n">
        <v>2003</v>
      </c>
      <c r="C805" s="93" t="n">
        <v>0.1</v>
      </c>
      <c r="D805" s="93" t="n">
        <v>0.0785</v>
      </c>
      <c r="E805" s="93" t="n">
        <v>0.3362</v>
      </c>
      <c r="F805" s="7" t="inlineStr">
        <is>
          <t>implicite estimé (analogie SNCF)</t>
        </is>
      </c>
      <c r="G805" s="93" t="n">
        <v>0</v>
      </c>
      <c r="H805" s="93" t="n">
        <v>0.011258</v>
      </c>
      <c r="I805" s="93" t="n">
        <v>0</v>
      </c>
      <c r="J805" s="94">
        <f>D805*(1-C805)+G805*MIN(C805,0.2*(1-C805))+H805</f>
        <v/>
      </c>
      <c r="K805" s="94">
        <f>E805*(1-C805)+G805*MIN(C805,0.2*(1-C805))</f>
        <v/>
      </c>
      <c r="L805" s="94">
        <f>I805*(1-C805)</f>
        <v/>
      </c>
      <c r="M805" s="89">
        <f>SUMIFS(Regimes!$G$5:$G$10,Regimes!$A$5:$A$10,A805)</f>
        <v/>
      </c>
      <c r="N805" s="14">
        <f>Donnees_annuelles!D61*J805</f>
        <v/>
      </c>
      <c r="O805" s="14">
        <f>Donnees_annuelles!D61*K805</f>
        <v/>
      </c>
      <c r="P805" s="14">
        <f>N805+O805</f>
        <v/>
      </c>
      <c r="Q805" s="14">
        <f>Donnees_annuelles!D61*L805</f>
        <v/>
      </c>
      <c r="R805" s="114">
        <f>P805/Donnees_annuelles!AA61*Donnees_annuelles!AI61/Donnees_annuelles!AG61</f>
        <v/>
      </c>
      <c r="S805" s="114">
        <f>P805/Donnees_annuelles!AA61*Donnees_annuelles!AJ61/Donnees_annuelles!AH61</f>
        <v/>
      </c>
    </row>
    <row r="806">
      <c r="A806" s="84" t="inlineStr">
        <is>
          <t>RATP</t>
        </is>
      </c>
      <c r="B806" s="88" t="n">
        <v>2004</v>
      </c>
      <c r="C806" s="93" t="n">
        <v>0.1</v>
      </c>
      <c r="D806" s="93" t="n">
        <v>0.0785</v>
      </c>
      <c r="E806" s="93" t="n">
        <v>0.3362</v>
      </c>
      <c r="F806" s="7" t="inlineStr">
        <is>
          <t>implicite estimé (analogie SNCF)</t>
        </is>
      </c>
      <c r="G806" s="93" t="n">
        <v>0</v>
      </c>
      <c r="H806" s="93" t="n">
        <v>0.011258</v>
      </c>
      <c r="I806" s="93" t="n">
        <v>0</v>
      </c>
      <c r="J806" s="94">
        <f>D806*(1-C806)+G806*MIN(C806,0.2*(1-C806))+H806</f>
        <v/>
      </c>
      <c r="K806" s="94">
        <f>E806*(1-C806)+G806*MIN(C806,0.2*(1-C806))</f>
        <v/>
      </c>
      <c r="L806" s="94">
        <f>I806*(1-C806)</f>
        <v/>
      </c>
      <c r="M806" s="89">
        <f>SUMIFS(Regimes!$G$5:$G$10,Regimes!$A$5:$A$10,A806)</f>
        <v/>
      </c>
      <c r="N806" s="14">
        <f>Donnees_annuelles!D62*J806</f>
        <v/>
      </c>
      <c r="O806" s="14">
        <f>Donnees_annuelles!D62*K806</f>
        <v/>
      </c>
      <c r="P806" s="14">
        <f>N806+O806</f>
        <v/>
      </c>
      <c r="Q806" s="14">
        <f>Donnees_annuelles!D62*L806</f>
        <v/>
      </c>
      <c r="R806" s="114">
        <f>P806/Donnees_annuelles!AA62*Donnees_annuelles!AI62/Donnees_annuelles!AG62</f>
        <v/>
      </c>
      <c r="S806" s="114">
        <f>P806/Donnees_annuelles!AA62*Donnees_annuelles!AJ62/Donnees_annuelles!AH62</f>
        <v/>
      </c>
    </row>
    <row r="807">
      <c r="A807" s="84" t="inlineStr">
        <is>
          <t>RATP</t>
        </is>
      </c>
      <c r="B807" s="88" t="n">
        <v>2005</v>
      </c>
      <c r="C807" s="93" t="n">
        <v>0.1</v>
      </c>
      <c r="D807" s="93" t="n">
        <v>0.0785</v>
      </c>
      <c r="E807" s="93" t="n">
        <v>0.3362</v>
      </c>
      <c r="F807" s="7" t="inlineStr">
        <is>
          <t>implicite estimé (analogie SNCF)</t>
        </is>
      </c>
      <c r="G807" s="93" t="n">
        <v>0</v>
      </c>
      <c r="H807" s="93" t="n">
        <v>0.011494</v>
      </c>
      <c r="I807" s="93" t="n">
        <v>0</v>
      </c>
      <c r="J807" s="94">
        <f>D807*(1-C807)+G807*MIN(C807,0.2*(1-C807))+H807</f>
        <v/>
      </c>
      <c r="K807" s="94">
        <f>E807*(1-C807)+G807*MIN(C807,0.2*(1-C807))</f>
        <v/>
      </c>
      <c r="L807" s="94">
        <f>I807*(1-C807)</f>
        <v/>
      </c>
      <c r="M807" s="89">
        <f>SUMIFS(Regimes!$G$5:$G$10,Regimes!$A$5:$A$10,A807)</f>
        <v/>
      </c>
      <c r="N807" s="14">
        <f>Donnees_annuelles!D63*J807</f>
        <v/>
      </c>
      <c r="O807" s="14">
        <f>Donnees_annuelles!D63*K807</f>
        <v/>
      </c>
      <c r="P807" s="14">
        <f>N807+O807</f>
        <v/>
      </c>
      <c r="Q807" s="14">
        <f>Donnees_annuelles!D63*L807</f>
        <v/>
      </c>
      <c r="R807" s="114">
        <f>P807/Donnees_annuelles!AA63*Donnees_annuelles!AI63/Donnees_annuelles!AG63</f>
        <v/>
      </c>
      <c r="S807" s="114">
        <f>P807/Donnees_annuelles!AA63*Donnees_annuelles!AJ63/Donnees_annuelles!AH63</f>
        <v/>
      </c>
    </row>
    <row r="808">
      <c r="A808" s="84" t="inlineStr">
        <is>
          <t>RATP</t>
        </is>
      </c>
      <c r="B808" s="88" t="n">
        <v>2006</v>
      </c>
      <c r="C808" s="93" t="n">
        <v>0.1</v>
      </c>
      <c r="D808" s="93" t="n">
        <v>0.12</v>
      </c>
      <c r="E808" s="93" t="n">
        <v>0.18</v>
      </c>
      <c r="F808" s="7" t="inlineStr">
        <is>
          <t>légal</t>
        </is>
      </c>
      <c r="G808" s="93" t="n">
        <v>0</v>
      </c>
      <c r="H808" s="93" t="n">
        <v>0.011494</v>
      </c>
      <c r="I808" s="93" t="n">
        <v>0.26186</v>
      </c>
      <c r="J808" s="94">
        <f>D808*(1-C808)+G808*MIN(C808,0.2*(1-C808))+H808</f>
        <v/>
      </c>
      <c r="K808" s="94">
        <f>E808*(1-C808)+G808*MIN(C808,0.2*(1-C808))</f>
        <v/>
      </c>
      <c r="L808" s="94">
        <f>I808*(1-C808)</f>
        <v/>
      </c>
      <c r="M808" s="89">
        <f>SUMIFS(Regimes!$G$5:$G$10,Regimes!$A$5:$A$10,A808)</f>
        <v/>
      </c>
      <c r="N808" s="14">
        <f>Donnees_annuelles!D64*J808</f>
        <v/>
      </c>
      <c r="O808" s="14">
        <f>Donnees_annuelles!D64*K808</f>
        <v/>
      </c>
      <c r="P808" s="14">
        <f>N808+O808</f>
        <v/>
      </c>
      <c r="Q808" s="14">
        <f>Donnees_annuelles!D64*L808</f>
        <v/>
      </c>
      <c r="R808" s="114">
        <f>P808/Donnees_annuelles!AA64*Donnees_annuelles!AI64/Donnees_annuelles!AG64</f>
        <v/>
      </c>
      <c r="S808" s="114">
        <f>P808/Donnees_annuelles!AA64*Donnees_annuelles!AJ64/Donnees_annuelles!AH64</f>
        <v/>
      </c>
    </row>
    <row r="809">
      <c r="A809" s="84" t="inlineStr">
        <is>
          <t>RATP</t>
        </is>
      </c>
      <c r="B809" s="88" t="n">
        <v>2007</v>
      </c>
      <c r="C809" s="93" t="n">
        <v>0.1</v>
      </c>
      <c r="D809" s="93" t="n">
        <v>0.12</v>
      </c>
      <c r="E809" s="93" t="n">
        <v>0.18</v>
      </c>
      <c r="F809" s="7" t="inlineStr">
        <is>
          <t>légal</t>
        </is>
      </c>
      <c r="G809" s="93" t="n">
        <v>0</v>
      </c>
      <c r="H809" s="93" t="n">
        <v>0.011494</v>
      </c>
      <c r="I809" s="93" t="n">
        <v>0.26186</v>
      </c>
      <c r="J809" s="94">
        <f>D809*(1-C809)+G809*MIN(C809,0.2*(1-C809))+H809</f>
        <v/>
      </c>
      <c r="K809" s="94">
        <f>E809*(1-C809)+G809*MIN(C809,0.2*(1-C809))</f>
        <v/>
      </c>
      <c r="L809" s="94">
        <f>I809*(1-C809)</f>
        <v/>
      </c>
      <c r="M809" s="89">
        <f>SUMIFS(Regimes!$G$5:$G$10,Regimes!$A$5:$A$10,A809)</f>
        <v/>
      </c>
      <c r="N809" s="14">
        <f>Donnees_annuelles!D65*J809</f>
        <v/>
      </c>
      <c r="O809" s="14">
        <f>Donnees_annuelles!D65*K809</f>
        <v/>
      </c>
      <c r="P809" s="14">
        <f>N809+O809</f>
        <v/>
      </c>
      <c r="Q809" s="14">
        <f>Donnees_annuelles!D65*L809</f>
        <v/>
      </c>
      <c r="R809" s="114">
        <f>P809/Donnees_annuelles!AA65*Donnees_annuelles!AI65/Donnees_annuelles!AG65</f>
        <v/>
      </c>
      <c r="S809" s="114">
        <f>P809/Donnees_annuelles!AA65*Donnees_annuelles!AJ65/Donnees_annuelles!AH65</f>
        <v/>
      </c>
    </row>
    <row r="810">
      <c r="A810" s="84" t="inlineStr">
        <is>
          <t>RATP</t>
        </is>
      </c>
      <c r="B810" s="88" t="n">
        <v>2008</v>
      </c>
      <c r="C810" s="93" t="n">
        <v>0.1</v>
      </c>
      <c r="D810" s="93" t="n">
        <v>0.12</v>
      </c>
      <c r="E810" s="93" t="n">
        <v>0.18</v>
      </c>
      <c r="F810" s="7" t="inlineStr">
        <is>
          <t>légal</t>
        </is>
      </c>
      <c r="G810" s="93" t="n">
        <v>0</v>
      </c>
      <c r="H810" s="93" t="n">
        <v>0.011494</v>
      </c>
      <c r="I810" s="93" t="n">
        <v>0.29711</v>
      </c>
      <c r="J810" s="94">
        <f>D810*(1-C810)+G810*MIN(C810,0.2*(1-C810))+H810</f>
        <v/>
      </c>
      <c r="K810" s="94">
        <f>E810*(1-C810)+G810*MIN(C810,0.2*(1-C810))</f>
        <v/>
      </c>
      <c r="L810" s="94">
        <f>I810*(1-C810)</f>
        <v/>
      </c>
      <c r="M810" s="89">
        <f>SUMIFS(Regimes!$G$5:$G$10,Regimes!$A$5:$A$10,A810)</f>
        <v/>
      </c>
      <c r="N810" s="14">
        <f>Donnees_annuelles!D66*J810</f>
        <v/>
      </c>
      <c r="O810" s="14">
        <f>Donnees_annuelles!D66*K810</f>
        <v/>
      </c>
      <c r="P810" s="14">
        <f>N810+O810</f>
        <v/>
      </c>
      <c r="Q810" s="14">
        <f>Donnees_annuelles!D66*L810</f>
        <v/>
      </c>
      <c r="R810" s="114">
        <f>P810/Donnees_annuelles!AA66*Donnees_annuelles!AI66/Donnees_annuelles!AG66</f>
        <v/>
      </c>
      <c r="S810" s="114">
        <f>P810/Donnees_annuelles!AA66*Donnees_annuelles!AJ66/Donnees_annuelles!AH66</f>
        <v/>
      </c>
    </row>
    <row r="811">
      <c r="A811" s="84" t="inlineStr">
        <is>
          <t>RATP</t>
        </is>
      </c>
      <c r="B811" s="88" t="n">
        <v>2009</v>
      </c>
      <c r="C811" s="93" t="n">
        <v>0.1</v>
      </c>
      <c r="D811" s="93" t="n">
        <v>0.12</v>
      </c>
      <c r="E811" s="93" t="n">
        <v>0.18</v>
      </c>
      <c r="F811" s="7" t="inlineStr">
        <is>
          <t>légal</t>
        </is>
      </c>
      <c r="G811" s="93" t="n">
        <v>0</v>
      </c>
      <c r="H811" s="93" t="n">
        <v>0.010078</v>
      </c>
      <c r="I811" s="93" t="n">
        <v>0.33236</v>
      </c>
      <c r="J811" s="94">
        <f>D811*(1-C811)+G811*MIN(C811,0.2*(1-C811))+H811</f>
        <v/>
      </c>
      <c r="K811" s="94">
        <f>E811*(1-C811)+G811*MIN(C811,0.2*(1-C811))</f>
        <v/>
      </c>
      <c r="L811" s="94">
        <f>I811*(1-C811)</f>
        <v/>
      </c>
      <c r="M811" s="89">
        <f>SUMIFS(Regimes!$G$5:$G$10,Regimes!$A$5:$A$10,A811)</f>
        <v/>
      </c>
      <c r="N811" s="14">
        <f>Donnees_annuelles!D67*J811</f>
        <v/>
      </c>
      <c r="O811" s="14">
        <f>Donnees_annuelles!D67*K811</f>
        <v/>
      </c>
      <c r="P811" s="14">
        <f>N811+O811</f>
        <v/>
      </c>
      <c r="Q811" s="14">
        <f>Donnees_annuelles!D67*L811</f>
        <v/>
      </c>
      <c r="R811" s="114">
        <f>P811/Donnees_annuelles!AA67*Donnees_annuelles!AI67/Donnees_annuelles!AG67</f>
        <v/>
      </c>
      <c r="S811" s="114">
        <f>P811/Donnees_annuelles!AA67*Donnees_annuelles!AJ67/Donnees_annuelles!AH67</f>
        <v/>
      </c>
    </row>
    <row r="812">
      <c r="A812" s="84" t="inlineStr">
        <is>
          <t>RATP</t>
        </is>
      </c>
      <c r="B812" s="88" t="n">
        <v>2010</v>
      </c>
      <c r="C812" s="93" t="n">
        <v>0.1</v>
      </c>
      <c r="D812" s="93" t="n">
        <v>0.12</v>
      </c>
      <c r="E812" s="93" t="n">
        <v>0.18</v>
      </c>
      <c r="F812" s="7" t="inlineStr">
        <is>
          <t>légal</t>
        </is>
      </c>
      <c r="G812" s="93" t="n">
        <v>0</v>
      </c>
      <c r="H812" s="93" t="n">
        <v>0.010078</v>
      </c>
      <c r="I812" s="93" t="n">
        <v>0.33941</v>
      </c>
      <c r="J812" s="94">
        <f>D812*(1-C812)+G812*MIN(C812,0.2*(1-C812))+H812</f>
        <v/>
      </c>
      <c r="K812" s="94">
        <f>E812*(1-C812)+G812*MIN(C812,0.2*(1-C812))</f>
        <v/>
      </c>
      <c r="L812" s="94">
        <f>I812*(1-C812)</f>
        <v/>
      </c>
      <c r="M812" s="89">
        <f>SUMIFS(Regimes!$G$5:$G$10,Regimes!$A$5:$A$10,A812)</f>
        <v/>
      </c>
      <c r="N812" s="14">
        <f>Donnees_annuelles!D68*J812</f>
        <v/>
      </c>
      <c r="O812" s="14">
        <f>Donnees_annuelles!D68*K812</f>
        <v/>
      </c>
      <c r="P812" s="14">
        <f>N812+O812</f>
        <v/>
      </c>
      <c r="Q812" s="14">
        <f>Donnees_annuelles!D68*L812</f>
        <v/>
      </c>
      <c r="R812" s="114">
        <f>P812/Donnees_annuelles!AA68*Donnees_annuelles!AI68/Donnees_annuelles!AG68</f>
        <v/>
      </c>
      <c r="S812" s="114">
        <f>P812/Donnees_annuelles!AA68*Donnees_annuelles!AJ68/Donnees_annuelles!AH68</f>
        <v/>
      </c>
    </row>
    <row r="813">
      <c r="A813" s="84" t="inlineStr">
        <is>
          <t>RATP</t>
        </is>
      </c>
      <c r="B813" s="88" t="n">
        <v>2011</v>
      </c>
      <c r="C813" s="93" t="n">
        <v>0.1</v>
      </c>
      <c r="D813" s="93" t="n">
        <v>0.12</v>
      </c>
      <c r="E813" s="93" t="n">
        <v>0.18</v>
      </c>
      <c r="F813" s="7" t="inlineStr">
        <is>
          <t>légal</t>
        </is>
      </c>
      <c r="G813" s="93" t="n">
        <v>0</v>
      </c>
      <c r="H813" s="93" t="n">
        <v>0.010812</v>
      </c>
      <c r="I813" s="93" t="n">
        <v>0.35367</v>
      </c>
      <c r="J813" s="94">
        <f>D813*(1-C813)+G813*MIN(C813,0.2*(1-C813))+H813</f>
        <v/>
      </c>
      <c r="K813" s="94">
        <f>E813*(1-C813)+G813*MIN(C813,0.2*(1-C813))</f>
        <v/>
      </c>
      <c r="L813" s="94">
        <f>I813*(1-C813)</f>
        <v/>
      </c>
      <c r="M813" s="89">
        <f>SUMIFS(Regimes!$G$5:$G$10,Regimes!$A$5:$A$10,A813)</f>
        <v/>
      </c>
      <c r="N813" s="14">
        <f>Donnees_annuelles!D69*J813</f>
        <v/>
      </c>
      <c r="O813" s="14">
        <f>Donnees_annuelles!D69*K813</f>
        <v/>
      </c>
      <c r="P813" s="14">
        <f>N813+O813</f>
        <v/>
      </c>
      <c r="Q813" s="14">
        <f>Donnees_annuelles!D69*L813</f>
        <v/>
      </c>
      <c r="R813" s="114">
        <f>P813/Donnees_annuelles!AA69*Donnees_annuelles!AI69/Donnees_annuelles!AG69</f>
        <v/>
      </c>
      <c r="S813" s="114">
        <f>P813/Donnees_annuelles!AA69*Donnees_annuelles!AJ69/Donnees_annuelles!AH69</f>
        <v/>
      </c>
    </row>
    <row r="814">
      <c r="A814" s="84" t="inlineStr">
        <is>
          <t>RATP</t>
        </is>
      </c>
      <c r="B814" s="88" t="n">
        <v>2012</v>
      </c>
      <c r="C814" s="93" t="n">
        <v>0.1</v>
      </c>
      <c r="D814" s="93" t="n">
        <v>0.12</v>
      </c>
      <c r="E814" s="93" t="n">
        <v>0.18</v>
      </c>
      <c r="F814" s="7" t="inlineStr">
        <is>
          <t>légal</t>
        </is>
      </c>
      <c r="G814" s="93" t="n">
        <v>0</v>
      </c>
      <c r="H814" s="93" t="n">
        <v>0.010951</v>
      </c>
      <c r="I814" s="93" t="n">
        <v>0.38608</v>
      </c>
      <c r="J814" s="94">
        <f>D814*(1-C814)+G814*MIN(C814,0.2*(1-C814))+H814</f>
        <v/>
      </c>
      <c r="K814" s="94">
        <f>E814*(1-C814)+G814*MIN(C814,0.2*(1-C814))</f>
        <v/>
      </c>
      <c r="L814" s="94">
        <f>I814*(1-C814)</f>
        <v/>
      </c>
      <c r="M814" s="89">
        <f>SUMIFS(Regimes!$G$5:$G$10,Regimes!$A$5:$A$10,A814)</f>
        <v/>
      </c>
      <c r="N814" s="14">
        <f>Donnees_annuelles!D70*J814</f>
        <v/>
      </c>
      <c r="O814" s="14">
        <f>Donnees_annuelles!D70*K814</f>
        <v/>
      </c>
      <c r="P814" s="14">
        <f>N814+O814</f>
        <v/>
      </c>
      <c r="Q814" s="14">
        <f>Donnees_annuelles!D70*L814</f>
        <v/>
      </c>
      <c r="R814" s="114">
        <f>P814/Donnees_annuelles!AA70*Donnees_annuelles!AI70/Donnees_annuelles!AG70</f>
        <v/>
      </c>
      <c r="S814" s="114">
        <f>P814/Donnees_annuelles!AA70*Donnees_annuelles!AJ70/Donnees_annuelles!AH70</f>
        <v/>
      </c>
    </row>
    <row r="815">
      <c r="A815" s="84" t="inlineStr">
        <is>
          <t>RATP</t>
        </is>
      </c>
      <c r="B815" s="88" t="n">
        <v>2013</v>
      </c>
      <c r="C815" s="93" t="n">
        <v>0.1</v>
      </c>
      <c r="D815" s="93" t="n">
        <v>0.12</v>
      </c>
      <c r="E815" s="93" t="n">
        <v>0.1806</v>
      </c>
      <c r="F815" s="7" t="inlineStr">
        <is>
          <t>légal</t>
        </is>
      </c>
      <c r="G815" s="93" t="n">
        <v>0</v>
      </c>
      <c r="H815" s="93" t="n">
        <v>0.010951</v>
      </c>
      <c r="I815" s="93" t="n">
        <v>0.39737</v>
      </c>
      <c r="J815" s="94">
        <f>D815*(1-C815)+G815*MIN(C815,0.2*(1-C815))+H815</f>
        <v/>
      </c>
      <c r="K815" s="94">
        <f>E815*(1-C815)+G815*MIN(C815,0.2*(1-C815))</f>
        <v/>
      </c>
      <c r="L815" s="94">
        <f>I815*(1-C815)</f>
        <v/>
      </c>
      <c r="M815" s="89">
        <f>SUMIFS(Regimes!$G$5:$G$10,Regimes!$A$5:$A$10,A815)</f>
        <v/>
      </c>
      <c r="N815" s="14">
        <f>Donnees_annuelles!D71*J815</f>
        <v/>
      </c>
      <c r="O815" s="14">
        <f>Donnees_annuelles!D71*K815</f>
        <v/>
      </c>
      <c r="P815" s="14">
        <f>N815+O815</f>
        <v/>
      </c>
      <c r="Q815" s="14">
        <f>Donnees_annuelles!D71*L815</f>
        <v/>
      </c>
      <c r="R815" s="114">
        <f>P815/Donnees_annuelles!AA71*Donnees_annuelles!AI71/Donnees_annuelles!AG71</f>
        <v/>
      </c>
      <c r="S815" s="114">
        <f>P815/Donnees_annuelles!AA71*Donnees_annuelles!AJ71/Donnees_annuelles!AH71</f>
        <v/>
      </c>
    </row>
    <row r="816">
      <c r="A816" s="84" t="inlineStr">
        <is>
          <t>RATP</t>
        </is>
      </c>
      <c r="B816" s="88" t="n">
        <v>2014</v>
      </c>
      <c r="C816" s="93" t="n">
        <v>0.1</v>
      </c>
      <c r="D816" s="93" t="n">
        <v>0.122</v>
      </c>
      <c r="E816" s="93" t="n">
        <v>0.1839</v>
      </c>
      <c r="F816" s="7" t="inlineStr">
        <is>
          <t>légal</t>
        </is>
      </c>
      <c r="G816" s="93" t="n">
        <v>0</v>
      </c>
      <c r="H816" s="93" t="n">
        <v>0.010951</v>
      </c>
      <c r="I816" s="93" t="n">
        <v>0.40867</v>
      </c>
      <c r="J816" s="94">
        <f>D816*(1-C816)+G816*MIN(C816,0.2*(1-C816))+H816</f>
        <v/>
      </c>
      <c r="K816" s="94">
        <f>E816*(1-C816)+G816*MIN(C816,0.2*(1-C816))</f>
        <v/>
      </c>
      <c r="L816" s="94">
        <f>I816*(1-C816)</f>
        <v/>
      </c>
      <c r="M816" s="89">
        <f>SUMIFS(Regimes!$G$5:$G$10,Regimes!$A$5:$A$10,A816)</f>
        <v/>
      </c>
      <c r="N816" s="14">
        <f>Donnees_annuelles!D72*J816</f>
        <v/>
      </c>
      <c r="O816" s="14">
        <f>Donnees_annuelles!D72*K816</f>
        <v/>
      </c>
      <c r="P816" s="14">
        <f>N816+O816</f>
        <v/>
      </c>
      <c r="Q816" s="14">
        <f>Donnees_annuelles!D72*L816</f>
        <v/>
      </c>
      <c r="R816" s="114">
        <f>P816/Donnees_annuelles!AA72*Donnees_annuelles!AI72/Donnees_annuelles!AG72</f>
        <v/>
      </c>
      <c r="S816" s="114">
        <f>P816/Donnees_annuelles!AA72*Donnees_annuelles!AJ72/Donnees_annuelles!AH72</f>
        <v/>
      </c>
    </row>
    <row r="817">
      <c r="A817" s="84" t="inlineStr">
        <is>
          <t>RATP</t>
        </is>
      </c>
      <c r="B817" s="88" t="n">
        <v>2015</v>
      </c>
      <c r="C817" s="93" t="n">
        <v>0.1</v>
      </c>
      <c r="D817" s="93" t="n">
        <v>0.123</v>
      </c>
      <c r="E817" s="93" t="n">
        <v>0.1856</v>
      </c>
      <c r="F817" s="7" t="inlineStr">
        <is>
          <t>légal</t>
        </is>
      </c>
      <c r="G817" s="93" t="n">
        <v>0</v>
      </c>
      <c r="H817" s="93" t="n">
        <v>0.010951</v>
      </c>
      <c r="I817" s="93" t="n">
        <v>0.41996</v>
      </c>
      <c r="J817" s="94">
        <f>D817*(1-C817)+G817*MIN(C817,0.2*(1-C817))+H817</f>
        <v/>
      </c>
      <c r="K817" s="94">
        <f>E817*(1-C817)+G817*MIN(C817,0.2*(1-C817))</f>
        <v/>
      </c>
      <c r="L817" s="94">
        <f>I817*(1-C817)</f>
        <v/>
      </c>
      <c r="M817" s="89">
        <f>SUMIFS(Regimes!$G$5:$G$10,Regimes!$A$5:$A$10,A817)</f>
        <v/>
      </c>
      <c r="N817" s="14">
        <f>Donnees_annuelles!D73*J817</f>
        <v/>
      </c>
      <c r="O817" s="14">
        <f>Donnees_annuelles!D73*K817</f>
        <v/>
      </c>
      <c r="P817" s="14">
        <f>N817+O817</f>
        <v/>
      </c>
      <c r="Q817" s="14">
        <f>Donnees_annuelles!D73*L817</f>
        <v/>
      </c>
      <c r="R817" s="114">
        <f>P817/Donnees_annuelles!AA73*Donnees_annuelles!AI73/Donnees_annuelles!AG73</f>
        <v/>
      </c>
      <c r="S817" s="114">
        <f>P817/Donnees_annuelles!AA73*Donnees_annuelles!AJ73/Donnees_annuelles!AH73</f>
        <v/>
      </c>
    </row>
    <row r="818">
      <c r="A818" s="84" t="inlineStr">
        <is>
          <t>RATP</t>
        </is>
      </c>
      <c r="B818" s="88" t="n">
        <v>2016</v>
      </c>
      <c r="C818" s="93" t="n">
        <v>0.1</v>
      </c>
      <c r="D818" s="93" t="n">
        <v>0.1235</v>
      </c>
      <c r="E818" s="93" t="n">
        <v>0.19</v>
      </c>
      <c r="F818" s="7" t="inlineStr">
        <is>
          <t>légal</t>
        </is>
      </c>
      <c r="G818" s="93" t="n">
        <v>0</v>
      </c>
      <c r="H818" s="93" t="n">
        <v>0.002918</v>
      </c>
      <c r="I818" s="93" t="n">
        <v>0.43125</v>
      </c>
      <c r="J818" s="94">
        <f>D818*(1-C818)+G818*MIN(C818,0.2*(1-C818))+H818</f>
        <v/>
      </c>
      <c r="K818" s="94">
        <f>E818*(1-C818)+G818*MIN(C818,0.2*(1-C818))</f>
        <v/>
      </c>
      <c r="L818" s="94">
        <f>I818*(1-C818)</f>
        <v/>
      </c>
      <c r="M818" s="89">
        <f>SUMIFS(Regimes!$G$5:$G$10,Regimes!$A$5:$A$10,A818)</f>
        <v/>
      </c>
      <c r="N818" s="14">
        <f>Donnees_annuelles!D74*J818</f>
        <v/>
      </c>
      <c r="O818" s="14">
        <f>Donnees_annuelles!D74*K818</f>
        <v/>
      </c>
      <c r="P818" s="14">
        <f>N818+O818</f>
        <v/>
      </c>
      <c r="Q818" s="14">
        <f>Donnees_annuelles!D74*L818</f>
        <v/>
      </c>
      <c r="R818" s="114">
        <f>P818/Donnees_annuelles!AA74*Donnees_annuelles!AI74/Donnees_annuelles!AG74</f>
        <v/>
      </c>
      <c r="S818" s="114">
        <f>P818/Donnees_annuelles!AA74*Donnees_annuelles!AJ74/Donnees_annuelles!AH74</f>
        <v/>
      </c>
    </row>
    <row r="819">
      <c r="A819" s="84" t="inlineStr">
        <is>
          <t>RATP</t>
        </is>
      </c>
      <c r="B819" s="88" t="n">
        <v>2017</v>
      </c>
      <c r="C819" s="93" t="n">
        <v>0.1</v>
      </c>
      <c r="D819" s="93" t="n">
        <v>0.125</v>
      </c>
      <c r="E819" s="93" t="n">
        <v>0.1906</v>
      </c>
      <c r="F819" s="7" t="inlineStr">
        <is>
          <t>légal</t>
        </is>
      </c>
      <c r="G819" s="93" t="n">
        <v>0</v>
      </c>
      <c r="H819" s="93" t="n">
        <v>0.002918</v>
      </c>
      <c r="I819" s="93" t="n">
        <v>0.44406</v>
      </c>
      <c r="J819" s="94">
        <f>D819*(1-C819)+G819*MIN(C819,0.2*(1-C819))+H819</f>
        <v/>
      </c>
      <c r="K819" s="94">
        <f>E819*(1-C819)+G819*MIN(C819,0.2*(1-C819))</f>
        <v/>
      </c>
      <c r="L819" s="94">
        <f>I819*(1-C819)</f>
        <v/>
      </c>
      <c r="M819" s="89">
        <f>SUMIFS(Regimes!$G$5:$G$10,Regimes!$A$5:$A$10,A819)</f>
        <v/>
      </c>
      <c r="N819" s="14">
        <f>Donnees_annuelles!D75*J819</f>
        <v/>
      </c>
      <c r="O819" s="14">
        <f>Donnees_annuelles!D75*K819</f>
        <v/>
      </c>
      <c r="P819" s="14">
        <f>N819+O819</f>
        <v/>
      </c>
      <c r="Q819" s="14">
        <f>Donnees_annuelles!D75*L819</f>
        <v/>
      </c>
      <c r="R819" s="114">
        <f>P819/Donnees_annuelles!AA75*Donnees_annuelles!AI75/Donnees_annuelles!AG75</f>
        <v/>
      </c>
      <c r="S819" s="114">
        <f>P819/Donnees_annuelles!AA75*Donnees_annuelles!AJ75/Donnees_annuelles!AH75</f>
        <v/>
      </c>
    </row>
    <row r="820">
      <c r="A820" s="84" t="inlineStr">
        <is>
          <t>RATP</t>
        </is>
      </c>
      <c r="B820" s="88" t="n">
        <v>2018</v>
      </c>
      <c r="C820" s="93" t="n">
        <v>0.1</v>
      </c>
      <c r="D820" s="93" t="n">
        <v>0.1255</v>
      </c>
      <c r="E820" s="93" t="n">
        <v>0.1929</v>
      </c>
      <c r="F820" s="7" t="inlineStr">
        <is>
          <t>légal</t>
        </is>
      </c>
      <c r="G820" s="93" t="n">
        <v>0</v>
      </c>
      <c r="H820" s="93" t="n">
        <v>0.002918</v>
      </c>
      <c r="I820" s="93" t="n">
        <v>0.44662</v>
      </c>
      <c r="J820" s="94">
        <f>D820*(1-C820)+G820*MIN(C820,0.2*(1-C820))+H820</f>
        <v/>
      </c>
      <c r="K820" s="94">
        <f>E820*(1-C820)+G820*MIN(C820,0.2*(1-C820))</f>
        <v/>
      </c>
      <c r="L820" s="94">
        <f>I820*(1-C820)</f>
        <v/>
      </c>
      <c r="M820" s="89">
        <f>SUMIFS(Regimes!$G$5:$G$10,Regimes!$A$5:$A$10,A820)</f>
        <v/>
      </c>
      <c r="N820" s="14">
        <f>Donnees_annuelles!D76*J820</f>
        <v/>
      </c>
      <c r="O820" s="14">
        <f>Donnees_annuelles!D76*K820</f>
        <v/>
      </c>
      <c r="P820" s="14">
        <f>N820+O820</f>
        <v/>
      </c>
      <c r="Q820" s="14">
        <f>Donnees_annuelles!D76*L820</f>
        <v/>
      </c>
      <c r="R820" s="114">
        <f>P820/Donnees_annuelles!AA76*Donnees_annuelles!AI76/Donnees_annuelles!AG76</f>
        <v/>
      </c>
      <c r="S820" s="114">
        <f>P820/Donnees_annuelles!AA76*Donnees_annuelles!AJ76/Donnees_annuelles!AH76</f>
        <v/>
      </c>
    </row>
    <row r="821">
      <c r="A821" s="84" t="inlineStr">
        <is>
          <t>RATP</t>
        </is>
      </c>
      <c r="B821" s="88" t="n">
        <v>2019</v>
      </c>
      <c r="C821" s="93" t="n">
        <v>0.1</v>
      </c>
      <c r="D821" s="93" t="n">
        <v>0.1295</v>
      </c>
      <c r="E821" s="93" t="n">
        <v>0.1918</v>
      </c>
      <c r="F821" s="7" t="inlineStr">
        <is>
          <t>légal</t>
        </is>
      </c>
      <c r="G821" s="93" t="n">
        <v>0</v>
      </c>
      <c r="H821" s="93" t="n">
        <v>0.002918</v>
      </c>
      <c r="I821" s="93" t="n">
        <v>0.44919</v>
      </c>
      <c r="J821" s="94">
        <f>D821*(1-C821)+G821*MIN(C821,0.2*(1-C821))+H821</f>
        <v/>
      </c>
      <c r="K821" s="94">
        <f>E821*(1-C821)+G821*MIN(C821,0.2*(1-C821))</f>
        <v/>
      </c>
      <c r="L821" s="94">
        <f>I821*(1-C821)</f>
        <v/>
      </c>
      <c r="M821" s="89">
        <f>SUMIFS(Regimes!$G$5:$G$10,Regimes!$A$5:$A$10,A821)</f>
        <v/>
      </c>
      <c r="N821" s="14">
        <f>Donnees_annuelles!D77*J821</f>
        <v/>
      </c>
      <c r="O821" s="14">
        <f>Donnees_annuelles!D77*K821</f>
        <v/>
      </c>
      <c r="P821" s="14">
        <f>N821+O821</f>
        <v/>
      </c>
      <c r="Q821" s="14">
        <f>Donnees_annuelles!D77*L821</f>
        <v/>
      </c>
      <c r="R821" s="114">
        <f>P821/Donnees_annuelles!AA77*Donnees_annuelles!AI77/Donnees_annuelles!AG77</f>
        <v/>
      </c>
      <c r="S821" s="114">
        <f>P821/Donnees_annuelles!AA77*Donnees_annuelles!AJ77/Donnees_annuelles!AH77</f>
        <v/>
      </c>
    </row>
    <row r="822">
      <c r="A822" s="84" t="inlineStr">
        <is>
          <t>RATP</t>
        </is>
      </c>
      <c r="B822" s="88" t="n">
        <v>2020</v>
      </c>
      <c r="C822" s="93" t="n">
        <v>0.1</v>
      </c>
      <c r="D822" s="93" t="n">
        <v>0.1295</v>
      </c>
      <c r="E822" s="93" t="n">
        <v>0.1884</v>
      </c>
      <c r="F822" s="7" t="inlineStr">
        <is>
          <t>légal</t>
        </is>
      </c>
      <c r="G822" s="93" t="n">
        <v>0</v>
      </c>
      <c r="H822" s="93" t="n">
        <v>0.002918</v>
      </c>
      <c r="I822" s="93" t="n">
        <v>0.48661</v>
      </c>
      <c r="J822" s="94">
        <f>D822*(1-C822)+G822*MIN(C822,0.2*(1-C822))+H822</f>
        <v/>
      </c>
      <c r="K822" s="94">
        <f>E822*(1-C822)+G822*MIN(C822,0.2*(1-C822))</f>
        <v/>
      </c>
      <c r="L822" s="94">
        <f>I822*(1-C822)</f>
        <v/>
      </c>
      <c r="M822" s="89">
        <f>SUMIFS(Regimes!$G$5:$G$10,Regimes!$A$5:$A$10,A822)</f>
        <v/>
      </c>
      <c r="N822" s="14">
        <f>Donnees_annuelles!D78*J822</f>
        <v/>
      </c>
      <c r="O822" s="14">
        <f>Donnees_annuelles!D78*K822</f>
        <v/>
      </c>
      <c r="P822" s="14">
        <f>N822+O822</f>
        <v/>
      </c>
      <c r="Q822" s="14">
        <f>Donnees_annuelles!D78*L822</f>
        <v/>
      </c>
      <c r="R822" s="114">
        <f>P822/Donnees_annuelles!AA78*Donnees_annuelles!AI78/Donnees_annuelles!AG78</f>
        <v/>
      </c>
      <c r="S822" s="114">
        <f>P822/Donnees_annuelles!AA78*Donnees_annuelles!AJ78/Donnees_annuelles!AH78</f>
        <v/>
      </c>
    </row>
    <row r="823">
      <c r="A823" s="84" t="inlineStr">
        <is>
          <t>RATP</t>
        </is>
      </c>
      <c r="B823" s="88" t="n">
        <v>2021</v>
      </c>
      <c r="C823" s="93" t="n">
        <v>0.1</v>
      </c>
      <c r="D823" s="93" t="n">
        <v>0.1295</v>
      </c>
      <c r="E823" s="93" t="n">
        <v>0.1913</v>
      </c>
      <c r="F823" s="7" t="inlineStr">
        <is>
          <t>légal</t>
        </is>
      </c>
      <c r="G823" s="93" t="n">
        <v>0</v>
      </c>
      <c r="H823" s="93" t="n">
        <v>0.002918</v>
      </c>
      <c r="I823" s="93" t="n">
        <v>0.48369</v>
      </c>
      <c r="J823" s="94">
        <f>D823*(1-C823)+G823*MIN(C823,0.2*(1-C823))+H823</f>
        <v/>
      </c>
      <c r="K823" s="94">
        <f>E823*(1-C823)+G823*MIN(C823,0.2*(1-C823))</f>
        <v/>
      </c>
      <c r="L823" s="94">
        <f>I823*(1-C823)</f>
        <v/>
      </c>
      <c r="M823" s="89">
        <f>SUMIFS(Regimes!$G$5:$G$10,Regimes!$A$5:$A$10,A823)</f>
        <v/>
      </c>
      <c r="N823" s="14">
        <f>Donnees_annuelles!D79*J823</f>
        <v/>
      </c>
      <c r="O823" s="14">
        <f>Donnees_annuelles!D79*K823</f>
        <v/>
      </c>
      <c r="P823" s="14">
        <f>N823+O823</f>
        <v/>
      </c>
      <c r="Q823" s="14">
        <f>Donnees_annuelles!D79*L823</f>
        <v/>
      </c>
      <c r="R823" s="114">
        <f>P823/Donnees_annuelles!AA79*Donnees_annuelles!AI79/Donnees_annuelles!AG79</f>
        <v/>
      </c>
      <c r="S823" s="114">
        <f>P823/Donnees_annuelles!AA79*Donnees_annuelles!AJ79/Donnees_annuelles!AH79</f>
        <v/>
      </c>
    </row>
    <row r="824">
      <c r="A824" s="84" t="inlineStr">
        <is>
          <t>RATP</t>
        </is>
      </c>
      <c r="B824" s="88" t="n">
        <v>2022</v>
      </c>
      <c r="C824" s="93" t="n">
        <v>0.1</v>
      </c>
      <c r="D824" s="93" t="n">
        <v>0.1295</v>
      </c>
      <c r="E824" s="93" t="n">
        <v>0.191</v>
      </c>
      <c r="F824" s="7" t="inlineStr">
        <is>
          <t>légal</t>
        </is>
      </c>
      <c r="G824" s="93" t="n">
        <v>0</v>
      </c>
      <c r="H824" s="93" t="n">
        <v>0.002918</v>
      </c>
      <c r="I824" s="93" t="n">
        <v>0.48879</v>
      </c>
      <c r="J824" s="94">
        <f>D824*(1-C824)+G824*MIN(C824,0.2*(1-C824))+H824</f>
        <v/>
      </c>
      <c r="K824" s="94">
        <f>E824*(1-C824)+G824*MIN(C824,0.2*(1-C824))</f>
        <v/>
      </c>
      <c r="L824" s="94">
        <f>I824*(1-C824)</f>
        <v/>
      </c>
      <c r="M824" s="89">
        <f>SUMIFS(Regimes!$G$5:$G$10,Regimes!$A$5:$A$10,A824)</f>
        <v/>
      </c>
      <c r="N824" s="14">
        <f>Donnees_annuelles!D80*J824</f>
        <v/>
      </c>
      <c r="O824" s="14">
        <f>Donnees_annuelles!D80*K824</f>
        <v/>
      </c>
      <c r="P824" s="14">
        <f>N824+O824</f>
        <v/>
      </c>
      <c r="Q824" s="14">
        <f>Donnees_annuelles!D80*L824</f>
        <v/>
      </c>
      <c r="R824" s="114">
        <f>P824/Donnees_annuelles!AA80*Donnees_annuelles!AI80/Donnees_annuelles!AG80</f>
        <v/>
      </c>
      <c r="S824" s="114">
        <f>P824/Donnees_annuelles!AA80*Donnees_annuelles!AJ80/Donnees_annuelles!AH80</f>
        <v/>
      </c>
    </row>
    <row r="825">
      <c r="A825" s="84" t="inlineStr">
        <is>
          <t>RATP</t>
        </is>
      </c>
      <c r="B825" s="88" t="n">
        <v>2023</v>
      </c>
      <c r="C825" s="93" t="n">
        <v>0.1</v>
      </c>
      <c r="D825" s="93" t="n">
        <v>0.1295</v>
      </c>
      <c r="E825" s="93" t="n">
        <v>0.1902</v>
      </c>
      <c r="F825" s="7" t="inlineStr">
        <is>
          <t>légal</t>
        </is>
      </c>
      <c r="G825" s="93" t="n">
        <v>0</v>
      </c>
      <c r="H825" s="93" t="n">
        <v>0.002918</v>
      </c>
      <c r="I825" s="93" t="n">
        <v>0.51855</v>
      </c>
      <c r="J825" s="94">
        <f>D825*(1-C825)+G825*MIN(C825,0.2*(1-C825))+H825</f>
        <v/>
      </c>
      <c r="K825" s="94">
        <f>E825*(1-C825)+G825*MIN(C825,0.2*(1-C825))</f>
        <v/>
      </c>
      <c r="L825" s="94">
        <f>I825*(1-C825)</f>
        <v/>
      </c>
      <c r="M825" s="89">
        <f>SUMIFS(Regimes!$G$5:$G$10,Regimes!$A$5:$A$10,A825)</f>
        <v/>
      </c>
      <c r="N825" s="14">
        <f>Donnees_annuelles!D81*J825</f>
        <v/>
      </c>
      <c r="O825" s="14">
        <f>Donnees_annuelles!D81*K825</f>
        <v/>
      </c>
      <c r="P825" s="14">
        <f>N825+O825</f>
        <v/>
      </c>
      <c r="Q825" s="14">
        <f>Donnees_annuelles!D81*L825</f>
        <v/>
      </c>
      <c r="R825" s="114">
        <f>P825/Donnees_annuelles!AA81*Donnees_annuelles!AI81/Donnees_annuelles!AG81</f>
        <v/>
      </c>
      <c r="S825" s="114">
        <f>P825/Donnees_annuelles!AA81*Donnees_annuelles!AJ81/Donnees_annuelles!AH81</f>
        <v/>
      </c>
    </row>
    <row r="826">
      <c r="A826" s="84" t="inlineStr">
        <is>
          <t>RATP</t>
        </is>
      </c>
      <c r="B826" s="88" t="n">
        <v>2024</v>
      </c>
      <c r="C826" s="93" t="n">
        <v>0.1</v>
      </c>
      <c r="D826" s="93" t="n">
        <v>0.1295</v>
      </c>
      <c r="E826" s="93" t="n">
        <v>0.1943</v>
      </c>
      <c r="F826" s="7" t="inlineStr">
        <is>
          <t>légal</t>
        </is>
      </c>
      <c r="G826" s="93" t="n">
        <v>0</v>
      </c>
      <c r="H826" s="93" t="n">
        <v>0.00252</v>
      </c>
      <c r="I826" s="93" t="n">
        <v>0.57442</v>
      </c>
      <c r="J826" s="94">
        <f>D826*(1-C826)+G826*MIN(C826,0.2*(1-C826))+H826</f>
        <v/>
      </c>
      <c r="K826" s="94">
        <f>E826*(1-C826)+G826*MIN(C826,0.2*(1-C826))</f>
        <v/>
      </c>
      <c r="L826" s="94">
        <f>I826*(1-C826)</f>
        <v/>
      </c>
      <c r="M826" s="89">
        <f>SUMIFS(Regimes!$G$5:$G$10,Regimes!$A$5:$A$10,A826)</f>
        <v/>
      </c>
      <c r="N826" s="14">
        <f>Donnees_annuelles!D82*J826</f>
        <v/>
      </c>
      <c r="O826" s="14">
        <f>Donnees_annuelles!D82*K826</f>
        <v/>
      </c>
      <c r="P826" s="14">
        <f>N826+O826</f>
        <v/>
      </c>
      <c r="Q826" s="14">
        <f>Donnees_annuelles!D82*L826</f>
        <v/>
      </c>
      <c r="R826" s="114">
        <f>P826/Donnees_annuelles!AA82*Donnees_annuelles!AI82/Donnees_annuelles!AG82</f>
        <v/>
      </c>
      <c r="S826" s="114">
        <f>P826/Donnees_annuelles!AA82*Donnees_annuelles!AJ82/Donnees_annuelles!AH82</f>
        <v/>
      </c>
    </row>
    <row r="827">
      <c r="A827" s="84" t="inlineStr">
        <is>
          <t>RATP</t>
        </is>
      </c>
      <c r="B827" s="88" t="n">
        <v>2025</v>
      </c>
      <c r="C827" s="93" t="n">
        <v>0.1</v>
      </c>
      <c r="D827" s="93" t="n">
        <v>0.1295</v>
      </c>
      <c r="E827" s="93" t="n">
        <v>0.1913</v>
      </c>
      <c r="F827" s="7" t="inlineStr">
        <is>
          <t>légal</t>
        </is>
      </c>
      <c r="G827" s="93" t="n">
        <v>0</v>
      </c>
      <c r="H827" s="93" t="n">
        <v>0.00252</v>
      </c>
      <c r="I827" s="93" t="n">
        <v>0.57872</v>
      </c>
      <c r="J827" s="94">
        <f>D827*(1-C827)+G827*MIN(C827,0.2*(1-C827))+H827</f>
        <v/>
      </c>
      <c r="K827" s="94">
        <f>E827*(1-C827)+G827*MIN(C827,0.2*(1-C827))</f>
        <v/>
      </c>
      <c r="L827" s="94">
        <f>I827*(1-C827)</f>
        <v/>
      </c>
      <c r="M827" s="89">
        <f>SUMIFS(Regimes!$G$5:$G$10,Regimes!$A$5:$A$10,A827)</f>
        <v/>
      </c>
      <c r="N827" s="14">
        <f>Donnees_annuelles!D83*J827</f>
        <v/>
      </c>
      <c r="O827" s="14">
        <f>Donnees_annuelles!D83*K827</f>
        <v/>
      </c>
      <c r="P827" s="14">
        <f>N827+O827</f>
        <v/>
      </c>
      <c r="Q827" s="14">
        <f>Donnees_annuelles!D83*L827</f>
        <v/>
      </c>
      <c r="R827" s="114">
        <f>P827/Donnees_annuelles!AA83*Donnees_annuelles!AI83/Donnees_annuelles!AG83</f>
        <v/>
      </c>
      <c r="S827" s="114">
        <f>P827/Donnees_annuelles!AA83*Donnees_annuelles!AJ83/Donnees_annuelles!AH83</f>
        <v/>
      </c>
    </row>
    <row r="828">
      <c r="A828" s="84" t="inlineStr">
        <is>
          <t>RATP</t>
        </is>
      </c>
      <c r="B828" s="88" t="n">
        <v>2026</v>
      </c>
      <c r="C828" s="93" t="n">
        <v>0.1</v>
      </c>
      <c r="D828" s="93" t="n">
        <v>0.1295</v>
      </c>
      <c r="E828" s="93" t="n">
        <v>0.1913</v>
      </c>
      <c r="F828" s="7" t="inlineStr">
        <is>
          <t>légal</t>
        </is>
      </c>
      <c r="G828" s="93" t="n">
        <v>0</v>
      </c>
      <c r="H828" s="93" t="n">
        <v>0.00252</v>
      </c>
      <c r="I828" s="93" t="n">
        <v>0.57872</v>
      </c>
      <c r="J828" s="94">
        <f>D828*(1-C828)+G828*MIN(C828,0.2*(1-C828))+H828</f>
        <v/>
      </c>
      <c r="K828" s="94">
        <f>E828*(1-C828)+G828*MIN(C828,0.2*(1-C828))</f>
        <v/>
      </c>
      <c r="L828" s="94">
        <f>I828*(1-C828)</f>
        <v/>
      </c>
      <c r="M828" s="89">
        <f>SUMIFS(Regimes!$G$5:$G$10,Regimes!$A$5:$A$10,A828)</f>
        <v/>
      </c>
      <c r="N828" s="14">
        <f>Donnees_annuelles!D84*J828</f>
        <v/>
      </c>
      <c r="O828" s="14">
        <f>Donnees_annuelles!D84*K828</f>
        <v/>
      </c>
      <c r="P828" s="14">
        <f>N828+O828</f>
        <v/>
      </c>
      <c r="Q828" s="14">
        <f>Donnees_annuelles!D84*L828</f>
        <v/>
      </c>
      <c r="R828" s="114">
        <f>P828/Donnees_annuelles!AA84*Donnees_annuelles!AI84/Donnees_annuelles!AG84</f>
        <v/>
      </c>
      <c r="S828" s="114">
        <f>P828/Donnees_annuelles!AA84*Donnees_annuelles!AJ84/Donnees_annuelles!AH84</f>
        <v/>
      </c>
    </row>
    <row r="829">
      <c r="A829" s="115" t="inlineStr">
        <is>
          <t>RATP</t>
        </is>
      </c>
      <c r="B829" s="101" t="n">
        <v>2027</v>
      </c>
      <c r="C829" s="105" t="n">
        <v>0.1</v>
      </c>
      <c r="D829" s="105" t="n">
        <v>0.1295</v>
      </c>
      <c r="E829" s="105" t="n">
        <v>0.1913</v>
      </c>
      <c r="F829" s="116" t="inlineStr">
        <is>
          <t>légal</t>
        </is>
      </c>
      <c r="G829" s="105" t="n">
        <v>0</v>
      </c>
      <c r="H829" s="105" t="n">
        <v>0.00252</v>
      </c>
      <c r="I829" s="105" t="n">
        <v>0.57872</v>
      </c>
      <c r="J829" s="107">
        <f>D829*(1-C829)+G829*MIN(C829,0.2*(1-C829))+H829</f>
        <v/>
      </c>
      <c r="K829" s="107">
        <f>E829*(1-C829)+G829*MIN(C829,0.2*(1-C829))</f>
        <v/>
      </c>
      <c r="L829" s="107">
        <f>I829*(1-C829)</f>
        <v/>
      </c>
      <c r="M829" s="119">
        <f>SUMIFS(Regimes!$G$5:$G$10,Regimes!$A$5:$A$10,A829)</f>
        <v/>
      </c>
      <c r="N829" s="106">
        <f>Donnees_annuelles!D85*J829</f>
        <v/>
      </c>
      <c r="O829" s="106">
        <f>Donnees_annuelles!D85*K829</f>
        <v/>
      </c>
      <c r="P829" s="106">
        <f>N829+O829</f>
        <v/>
      </c>
      <c r="Q829" s="106">
        <f>Donnees_annuelles!D85*L829</f>
        <v/>
      </c>
      <c r="R829" s="118">
        <f>P829/Donnees_annuelles!AA85*Donnees_annuelles!AI85/Donnees_annuelles!AG85</f>
        <v/>
      </c>
      <c r="S829" s="118">
        <f>P829/Donnees_annuelles!AA85*Donnees_annuelles!AJ85/Donnees_annuelles!AH85</f>
        <v/>
      </c>
    </row>
    <row r="830">
      <c r="A830" s="115" t="inlineStr">
        <is>
          <t>RATP</t>
        </is>
      </c>
      <c r="B830" s="101" t="n">
        <v>2028</v>
      </c>
      <c r="C830" s="105" t="n">
        <v>0.1</v>
      </c>
      <c r="D830" s="105" t="n">
        <v>0.1295</v>
      </c>
      <c r="E830" s="105" t="n">
        <v>0.1913</v>
      </c>
      <c r="F830" s="116" t="inlineStr">
        <is>
          <t>légal</t>
        </is>
      </c>
      <c r="G830" s="105" t="n">
        <v>0</v>
      </c>
      <c r="H830" s="105" t="n">
        <v>0.00252</v>
      </c>
      <c r="I830" s="105" t="n">
        <v>0.57872</v>
      </c>
      <c r="J830" s="107">
        <f>D830*(1-C830)+G830*MIN(C830,0.2*(1-C830))+H830</f>
        <v/>
      </c>
      <c r="K830" s="107">
        <f>E830*(1-C830)+G830*MIN(C830,0.2*(1-C830))</f>
        <v/>
      </c>
      <c r="L830" s="107">
        <f>I830*(1-C830)</f>
        <v/>
      </c>
      <c r="M830" s="119">
        <f>SUMIFS(Regimes!$G$5:$G$10,Regimes!$A$5:$A$10,A830)</f>
        <v/>
      </c>
      <c r="N830" s="106">
        <f>Donnees_annuelles!D86*J830</f>
        <v/>
      </c>
      <c r="O830" s="106">
        <f>Donnees_annuelles!D86*K830</f>
        <v/>
      </c>
      <c r="P830" s="106">
        <f>N830+O830</f>
        <v/>
      </c>
      <c r="Q830" s="106">
        <f>Donnees_annuelles!D86*L830</f>
        <v/>
      </c>
      <c r="R830" s="118">
        <f>P830/Donnees_annuelles!AA86*Donnees_annuelles!AI86/Donnees_annuelles!AG86</f>
        <v/>
      </c>
      <c r="S830" s="118">
        <f>P830/Donnees_annuelles!AA86*Donnees_annuelles!AJ86/Donnees_annuelles!AH86</f>
        <v/>
      </c>
    </row>
    <row r="831">
      <c r="A831" s="115" t="inlineStr">
        <is>
          <t>RATP</t>
        </is>
      </c>
      <c r="B831" s="101" t="n">
        <v>2029</v>
      </c>
      <c r="C831" s="105" t="n">
        <v>0.1</v>
      </c>
      <c r="D831" s="105" t="n">
        <v>0.1295</v>
      </c>
      <c r="E831" s="105" t="n">
        <v>0.1913</v>
      </c>
      <c r="F831" s="116" t="inlineStr">
        <is>
          <t>légal</t>
        </is>
      </c>
      <c r="G831" s="105" t="n">
        <v>0</v>
      </c>
      <c r="H831" s="105" t="n">
        <v>0.00252</v>
      </c>
      <c r="I831" s="105" t="n">
        <v>0.57872</v>
      </c>
      <c r="J831" s="107">
        <f>D831*(1-C831)+G831*MIN(C831,0.2*(1-C831))+H831</f>
        <v/>
      </c>
      <c r="K831" s="107">
        <f>E831*(1-C831)+G831*MIN(C831,0.2*(1-C831))</f>
        <v/>
      </c>
      <c r="L831" s="107">
        <f>I831*(1-C831)</f>
        <v/>
      </c>
      <c r="M831" s="119">
        <f>SUMIFS(Regimes!$G$5:$G$10,Regimes!$A$5:$A$10,A831)</f>
        <v/>
      </c>
      <c r="N831" s="106">
        <f>Donnees_annuelles!D87*J831</f>
        <v/>
      </c>
      <c r="O831" s="106">
        <f>Donnees_annuelles!D87*K831</f>
        <v/>
      </c>
      <c r="P831" s="106">
        <f>N831+O831</f>
        <v/>
      </c>
      <c r="Q831" s="106">
        <f>Donnees_annuelles!D87*L831</f>
        <v/>
      </c>
      <c r="R831" s="118">
        <f>P831/Donnees_annuelles!AA87*Donnees_annuelles!AI87/Donnees_annuelles!AG87</f>
        <v/>
      </c>
      <c r="S831" s="118">
        <f>P831/Donnees_annuelles!AA87*Donnees_annuelles!AJ87/Donnees_annuelles!AH87</f>
        <v/>
      </c>
    </row>
    <row r="832">
      <c r="A832" s="115" t="inlineStr">
        <is>
          <t>RATP</t>
        </is>
      </c>
      <c r="B832" s="101" t="n">
        <v>2030</v>
      </c>
      <c r="C832" s="105" t="n">
        <v>0.1</v>
      </c>
      <c r="D832" s="105" t="n">
        <v>0.1295</v>
      </c>
      <c r="E832" s="105" t="n">
        <v>0.1913</v>
      </c>
      <c r="F832" s="116" t="inlineStr">
        <is>
          <t>légal</t>
        </is>
      </c>
      <c r="G832" s="105" t="n">
        <v>0</v>
      </c>
      <c r="H832" s="105" t="n">
        <v>0.00252</v>
      </c>
      <c r="I832" s="105" t="n">
        <v>0.57872</v>
      </c>
      <c r="J832" s="107">
        <f>D832*(1-C832)+G832*MIN(C832,0.2*(1-C832))+H832</f>
        <v/>
      </c>
      <c r="K832" s="107">
        <f>E832*(1-C832)+G832*MIN(C832,0.2*(1-C832))</f>
        <v/>
      </c>
      <c r="L832" s="107">
        <f>I832*(1-C832)</f>
        <v/>
      </c>
      <c r="M832" s="119">
        <f>SUMIFS(Regimes!$G$5:$G$10,Regimes!$A$5:$A$10,A832)</f>
        <v/>
      </c>
      <c r="N832" s="106">
        <f>Donnees_annuelles!D88*J832</f>
        <v/>
      </c>
      <c r="O832" s="106">
        <f>Donnees_annuelles!D88*K832</f>
        <v/>
      </c>
      <c r="P832" s="106">
        <f>N832+O832</f>
        <v/>
      </c>
      <c r="Q832" s="106">
        <f>Donnees_annuelles!D88*L832</f>
        <v/>
      </c>
      <c r="R832" s="118">
        <f>P832/Donnees_annuelles!AA88*Donnees_annuelles!AI88/Donnees_annuelles!AG88</f>
        <v/>
      </c>
      <c r="S832" s="118">
        <f>P832/Donnees_annuelles!AA88*Donnees_annuelles!AJ88/Donnees_annuelles!AH88</f>
        <v/>
      </c>
    </row>
    <row r="833">
      <c r="A833" s="115" t="inlineStr">
        <is>
          <t>RATP</t>
        </is>
      </c>
      <c r="B833" s="101" t="n">
        <v>2031</v>
      </c>
      <c r="C833" s="105" t="n">
        <v>0.1</v>
      </c>
      <c r="D833" s="105" t="n">
        <v>0.1295</v>
      </c>
      <c r="E833" s="105" t="n">
        <v>0.1913</v>
      </c>
      <c r="F833" s="116" t="inlineStr">
        <is>
          <t>légal</t>
        </is>
      </c>
      <c r="G833" s="105" t="n">
        <v>0</v>
      </c>
      <c r="H833" s="105" t="n">
        <v>0.00252</v>
      </c>
      <c r="I833" s="105" t="n">
        <v>0.57872</v>
      </c>
      <c r="J833" s="107">
        <f>D833*(1-C833)+G833*MIN(C833,0.2*(1-C833))+H833</f>
        <v/>
      </c>
      <c r="K833" s="107">
        <f>E833*(1-C833)+G833*MIN(C833,0.2*(1-C833))</f>
        <v/>
      </c>
      <c r="L833" s="107">
        <f>I833*(1-C833)</f>
        <v/>
      </c>
      <c r="M833" s="119">
        <f>SUMIFS(Regimes!$G$5:$G$10,Regimes!$A$5:$A$10,A833)</f>
        <v/>
      </c>
      <c r="N833" s="106">
        <f>Donnees_annuelles!D89*J833</f>
        <v/>
      </c>
      <c r="O833" s="106">
        <f>Donnees_annuelles!D89*K833</f>
        <v/>
      </c>
      <c r="P833" s="106">
        <f>N833+O833</f>
        <v/>
      </c>
      <c r="Q833" s="106">
        <f>Donnees_annuelles!D89*L833</f>
        <v/>
      </c>
      <c r="R833" s="118">
        <f>P833/Donnees_annuelles!AA89*Donnees_annuelles!AI89/Donnees_annuelles!AG89</f>
        <v/>
      </c>
      <c r="S833" s="118">
        <f>P833/Donnees_annuelles!AA89*Donnees_annuelles!AJ89/Donnees_annuelles!AH89</f>
        <v/>
      </c>
    </row>
    <row r="834">
      <c r="A834" s="115" t="inlineStr">
        <is>
          <t>RATP</t>
        </is>
      </c>
      <c r="B834" s="101" t="n">
        <v>2032</v>
      </c>
      <c r="C834" s="105" t="n">
        <v>0.1</v>
      </c>
      <c r="D834" s="105" t="n">
        <v>0.1295</v>
      </c>
      <c r="E834" s="105" t="n">
        <v>0.1913</v>
      </c>
      <c r="F834" s="116" t="inlineStr">
        <is>
          <t>légal</t>
        </is>
      </c>
      <c r="G834" s="105" t="n">
        <v>0</v>
      </c>
      <c r="H834" s="105" t="n">
        <v>0.00252</v>
      </c>
      <c r="I834" s="105" t="n">
        <v>0.57872</v>
      </c>
      <c r="J834" s="107">
        <f>D834*(1-C834)+G834*MIN(C834,0.2*(1-C834))+H834</f>
        <v/>
      </c>
      <c r="K834" s="107">
        <f>E834*(1-C834)+G834*MIN(C834,0.2*(1-C834))</f>
        <v/>
      </c>
      <c r="L834" s="107">
        <f>I834*(1-C834)</f>
        <v/>
      </c>
      <c r="M834" s="119">
        <f>SUMIFS(Regimes!$G$5:$G$10,Regimes!$A$5:$A$10,A834)</f>
        <v/>
      </c>
      <c r="N834" s="106">
        <f>Donnees_annuelles!D90*J834</f>
        <v/>
      </c>
      <c r="O834" s="106">
        <f>Donnees_annuelles!D90*K834</f>
        <v/>
      </c>
      <c r="P834" s="106">
        <f>N834+O834</f>
        <v/>
      </c>
      <c r="Q834" s="106">
        <f>Donnees_annuelles!D90*L834</f>
        <v/>
      </c>
      <c r="R834" s="118">
        <f>P834/Donnees_annuelles!AA90*Donnees_annuelles!AI90/Donnees_annuelles!AG90</f>
        <v/>
      </c>
      <c r="S834" s="118">
        <f>P834/Donnees_annuelles!AA90*Donnees_annuelles!AJ90/Donnees_annuelles!AH90</f>
        <v/>
      </c>
    </row>
    <row r="835">
      <c r="A835" s="115" t="inlineStr">
        <is>
          <t>RATP</t>
        </is>
      </c>
      <c r="B835" s="101" t="n">
        <v>2033</v>
      </c>
      <c r="C835" s="105" t="n">
        <v>0.1</v>
      </c>
      <c r="D835" s="105" t="n">
        <v>0.1295</v>
      </c>
      <c r="E835" s="105" t="n">
        <v>0.1913</v>
      </c>
      <c r="F835" s="116" t="inlineStr">
        <is>
          <t>légal</t>
        </is>
      </c>
      <c r="G835" s="105" t="n">
        <v>0</v>
      </c>
      <c r="H835" s="105" t="n">
        <v>0.00252</v>
      </c>
      <c r="I835" s="105" t="n">
        <v>0.57872</v>
      </c>
      <c r="J835" s="107">
        <f>D835*(1-C835)+G835*MIN(C835,0.2*(1-C835))+H835</f>
        <v/>
      </c>
      <c r="K835" s="107">
        <f>E835*(1-C835)+G835*MIN(C835,0.2*(1-C835))</f>
        <v/>
      </c>
      <c r="L835" s="107">
        <f>I835*(1-C835)</f>
        <v/>
      </c>
      <c r="M835" s="119">
        <f>SUMIFS(Regimes!$G$5:$G$10,Regimes!$A$5:$A$10,A835)</f>
        <v/>
      </c>
      <c r="N835" s="106">
        <f>Donnees_annuelles!D91*J835</f>
        <v/>
      </c>
      <c r="O835" s="106">
        <f>Donnees_annuelles!D91*K835</f>
        <v/>
      </c>
      <c r="P835" s="106">
        <f>N835+O835</f>
        <v/>
      </c>
      <c r="Q835" s="106">
        <f>Donnees_annuelles!D91*L835</f>
        <v/>
      </c>
      <c r="R835" s="118">
        <f>P835/Donnees_annuelles!AA91*Donnees_annuelles!AI91/Donnees_annuelles!AG91</f>
        <v/>
      </c>
      <c r="S835" s="118">
        <f>P835/Donnees_annuelles!AA91*Donnees_annuelles!AJ91/Donnees_annuelles!AH91</f>
        <v/>
      </c>
    </row>
    <row r="836">
      <c r="A836" s="115" t="inlineStr">
        <is>
          <t>RATP</t>
        </is>
      </c>
      <c r="B836" s="101" t="n">
        <v>2034</v>
      </c>
      <c r="C836" s="105" t="n">
        <v>0.1</v>
      </c>
      <c r="D836" s="105" t="n">
        <v>0.1295</v>
      </c>
      <c r="E836" s="105" t="n">
        <v>0.1913</v>
      </c>
      <c r="F836" s="116" t="inlineStr">
        <is>
          <t>légal</t>
        </is>
      </c>
      <c r="G836" s="105" t="n">
        <v>0</v>
      </c>
      <c r="H836" s="105" t="n">
        <v>0.00252</v>
      </c>
      <c r="I836" s="105" t="n">
        <v>0.57872</v>
      </c>
      <c r="J836" s="107">
        <f>D836*(1-C836)+G836*MIN(C836,0.2*(1-C836))+H836</f>
        <v/>
      </c>
      <c r="K836" s="107">
        <f>E836*(1-C836)+G836*MIN(C836,0.2*(1-C836))</f>
        <v/>
      </c>
      <c r="L836" s="107">
        <f>I836*(1-C836)</f>
        <v/>
      </c>
      <c r="M836" s="119">
        <f>SUMIFS(Regimes!$G$5:$G$10,Regimes!$A$5:$A$10,A836)</f>
        <v/>
      </c>
      <c r="N836" s="106">
        <f>Donnees_annuelles!D92*J836</f>
        <v/>
      </c>
      <c r="O836" s="106">
        <f>Donnees_annuelles!D92*K836</f>
        <v/>
      </c>
      <c r="P836" s="106">
        <f>N836+O836</f>
        <v/>
      </c>
      <c r="Q836" s="106">
        <f>Donnees_annuelles!D92*L836</f>
        <v/>
      </c>
      <c r="R836" s="118">
        <f>P836/Donnees_annuelles!AA92*Donnees_annuelles!AI92/Donnees_annuelles!AG92</f>
        <v/>
      </c>
      <c r="S836" s="118">
        <f>P836/Donnees_annuelles!AA92*Donnees_annuelles!AJ92/Donnees_annuelles!AH92</f>
        <v/>
      </c>
    </row>
    <row r="837">
      <c r="A837" s="115" t="inlineStr">
        <is>
          <t>RATP</t>
        </is>
      </c>
      <c r="B837" s="101" t="n">
        <v>2035</v>
      </c>
      <c r="C837" s="105" t="n">
        <v>0.1</v>
      </c>
      <c r="D837" s="105" t="n">
        <v>0.1295</v>
      </c>
      <c r="E837" s="105" t="n">
        <v>0.1913</v>
      </c>
      <c r="F837" s="116" t="inlineStr">
        <is>
          <t>légal</t>
        </is>
      </c>
      <c r="G837" s="105" t="n">
        <v>0</v>
      </c>
      <c r="H837" s="105" t="n">
        <v>0.00252</v>
      </c>
      <c r="I837" s="105" t="n">
        <v>0.57872</v>
      </c>
      <c r="J837" s="107">
        <f>D837*(1-C837)+G837*MIN(C837,0.2*(1-C837))+H837</f>
        <v/>
      </c>
      <c r="K837" s="107">
        <f>E837*(1-C837)+G837*MIN(C837,0.2*(1-C837))</f>
        <v/>
      </c>
      <c r="L837" s="107">
        <f>I837*(1-C837)</f>
        <v/>
      </c>
      <c r="M837" s="119">
        <f>SUMIFS(Regimes!$G$5:$G$10,Regimes!$A$5:$A$10,A837)</f>
        <v/>
      </c>
      <c r="N837" s="106">
        <f>Donnees_annuelles!D93*J837</f>
        <v/>
      </c>
      <c r="O837" s="106">
        <f>Donnees_annuelles!D93*K837</f>
        <v/>
      </c>
      <c r="P837" s="106">
        <f>N837+O837</f>
        <v/>
      </c>
      <c r="Q837" s="106">
        <f>Donnees_annuelles!D93*L837</f>
        <v/>
      </c>
      <c r="R837" s="118">
        <f>P837/Donnees_annuelles!AA93*Donnees_annuelles!AI93/Donnees_annuelles!AG93</f>
        <v/>
      </c>
      <c r="S837" s="118">
        <f>P837/Donnees_annuelles!AA93*Donnees_annuelles!AJ93/Donnees_annuelles!AH93</f>
        <v/>
      </c>
    </row>
    <row r="838">
      <c r="A838" s="115" t="inlineStr">
        <is>
          <t>RATP</t>
        </is>
      </c>
      <c r="B838" s="101" t="n">
        <v>2036</v>
      </c>
      <c r="C838" s="105" t="n">
        <v>0.1</v>
      </c>
      <c r="D838" s="105" t="n">
        <v>0.1295</v>
      </c>
      <c r="E838" s="105" t="n">
        <v>0.1913</v>
      </c>
      <c r="F838" s="116" t="inlineStr">
        <is>
          <t>légal</t>
        </is>
      </c>
      <c r="G838" s="105" t="n">
        <v>0</v>
      </c>
      <c r="H838" s="105" t="n">
        <v>0.00252</v>
      </c>
      <c r="I838" s="105" t="n">
        <v>0.57872</v>
      </c>
      <c r="J838" s="107">
        <f>D838*(1-C838)+G838*MIN(C838,0.2*(1-C838))+H838</f>
        <v/>
      </c>
      <c r="K838" s="107">
        <f>E838*(1-C838)+G838*MIN(C838,0.2*(1-C838))</f>
        <v/>
      </c>
      <c r="L838" s="107">
        <f>I838*(1-C838)</f>
        <v/>
      </c>
      <c r="M838" s="119">
        <f>SUMIFS(Regimes!$G$5:$G$10,Regimes!$A$5:$A$10,A838)</f>
        <v/>
      </c>
      <c r="N838" s="106">
        <f>Donnees_annuelles!D94*J838</f>
        <v/>
      </c>
      <c r="O838" s="106">
        <f>Donnees_annuelles!D94*K838</f>
        <v/>
      </c>
      <c r="P838" s="106">
        <f>N838+O838</f>
        <v/>
      </c>
      <c r="Q838" s="106">
        <f>Donnees_annuelles!D94*L838</f>
        <v/>
      </c>
      <c r="R838" s="118">
        <f>P838/Donnees_annuelles!AA94*Donnees_annuelles!AI94/Donnees_annuelles!AG94</f>
        <v/>
      </c>
      <c r="S838" s="118">
        <f>P838/Donnees_annuelles!AA94*Donnees_annuelles!AJ94/Donnees_annuelles!AH94</f>
        <v/>
      </c>
    </row>
    <row r="839">
      <c r="A839" s="115" t="inlineStr">
        <is>
          <t>RATP</t>
        </is>
      </c>
      <c r="B839" s="101" t="n">
        <v>2037</v>
      </c>
      <c r="C839" s="105" t="n">
        <v>0.1</v>
      </c>
      <c r="D839" s="105" t="n">
        <v>0.1295</v>
      </c>
      <c r="E839" s="105" t="n">
        <v>0.1913</v>
      </c>
      <c r="F839" s="116" t="inlineStr">
        <is>
          <t>légal</t>
        </is>
      </c>
      <c r="G839" s="105" t="n">
        <v>0</v>
      </c>
      <c r="H839" s="105" t="n">
        <v>0.00252</v>
      </c>
      <c r="I839" s="105" t="n">
        <v>0.57872</v>
      </c>
      <c r="J839" s="107">
        <f>D839*(1-C839)+G839*MIN(C839,0.2*(1-C839))+H839</f>
        <v/>
      </c>
      <c r="K839" s="107">
        <f>E839*(1-C839)+G839*MIN(C839,0.2*(1-C839))</f>
        <v/>
      </c>
      <c r="L839" s="107">
        <f>I839*(1-C839)</f>
        <v/>
      </c>
      <c r="M839" s="119">
        <f>SUMIFS(Regimes!$G$5:$G$10,Regimes!$A$5:$A$10,A839)</f>
        <v/>
      </c>
      <c r="N839" s="106">
        <f>Donnees_annuelles!D95*J839</f>
        <v/>
      </c>
      <c r="O839" s="106">
        <f>Donnees_annuelles!D95*K839</f>
        <v/>
      </c>
      <c r="P839" s="106">
        <f>N839+O839</f>
        <v/>
      </c>
      <c r="Q839" s="106">
        <f>Donnees_annuelles!D95*L839</f>
        <v/>
      </c>
      <c r="R839" s="118">
        <f>P839/Donnees_annuelles!AA95*Donnees_annuelles!AI95/Donnees_annuelles!AG95</f>
        <v/>
      </c>
      <c r="S839" s="118">
        <f>P839/Donnees_annuelles!AA95*Donnees_annuelles!AJ95/Donnees_annuelles!AH95</f>
        <v/>
      </c>
    </row>
    <row r="840">
      <c r="A840" s="115" t="inlineStr">
        <is>
          <t>RATP</t>
        </is>
      </c>
      <c r="B840" s="101" t="n">
        <v>2038</v>
      </c>
      <c r="C840" s="105" t="n">
        <v>0.1</v>
      </c>
      <c r="D840" s="105" t="n">
        <v>0.1295</v>
      </c>
      <c r="E840" s="105" t="n">
        <v>0.1913</v>
      </c>
      <c r="F840" s="116" t="inlineStr">
        <is>
          <t>légal</t>
        </is>
      </c>
      <c r="G840" s="105" t="n">
        <v>0</v>
      </c>
      <c r="H840" s="105" t="n">
        <v>0.00252</v>
      </c>
      <c r="I840" s="105" t="n">
        <v>0.57872</v>
      </c>
      <c r="J840" s="107">
        <f>D840*(1-C840)+G840*MIN(C840,0.2*(1-C840))+H840</f>
        <v/>
      </c>
      <c r="K840" s="107">
        <f>E840*(1-C840)+G840*MIN(C840,0.2*(1-C840))</f>
        <v/>
      </c>
      <c r="L840" s="107">
        <f>I840*(1-C840)</f>
        <v/>
      </c>
      <c r="M840" s="119">
        <f>SUMIFS(Regimes!$G$5:$G$10,Regimes!$A$5:$A$10,A840)</f>
        <v/>
      </c>
      <c r="N840" s="106">
        <f>Donnees_annuelles!D96*J840</f>
        <v/>
      </c>
      <c r="O840" s="106">
        <f>Donnees_annuelles!D96*K840</f>
        <v/>
      </c>
      <c r="P840" s="106">
        <f>N840+O840</f>
        <v/>
      </c>
      <c r="Q840" s="106">
        <f>Donnees_annuelles!D96*L840</f>
        <v/>
      </c>
      <c r="R840" s="118">
        <f>P840/Donnees_annuelles!AA96*Donnees_annuelles!AI96/Donnees_annuelles!AG96</f>
        <v/>
      </c>
      <c r="S840" s="118">
        <f>P840/Donnees_annuelles!AA96*Donnees_annuelles!AJ96/Donnees_annuelles!AH96</f>
        <v/>
      </c>
    </row>
    <row r="841">
      <c r="A841" s="115" t="inlineStr">
        <is>
          <t>RATP</t>
        </is>
      </c>
      <c r="B841" s="101" t="n">
        <v>2039</v>
      </c>
      <c r="C841" s="105" t="n">
        <v>0.1</v>
      </c>
      <c r="D841" s="105" t="n">
        <v>0.1295</v>
      </c>
      <c r="E841" s="105" t="n">
        <v>0.1913</v>
      </c>
      <c r="F841" s="116" t="inlineStr">
        <is>
          <t>légal</t>
        </is>
      </c>
      <c r="G841" s="105" t="n">
        <v>0</v>
      </c>
      <c r="H841" s="105" t="n">
        <v>0.00252</v>
      </c>
      <c r="I841" s="105" t="n">
        <v>0.57872</v>
      </c>
      <c r="J841" s="107">
        <f>D841*(1-C841)+G841*MIN(C841,0.2*(1-C841))+H841</f>
        <v/>
      </c>
      <c r="K841" s="107">
        <f>E841*(1-C841)+G841*MIN(C841,0.2*(1-C841))</f>
        <v/>
      </c>
      <c r="L841" s="107">
        <f>I841*(1-C841)</f>
        <v/>
      </c>
      <c r="M841" s="119">
        <f>SUMIFS(Regimes!$G$5:$G$10,Regimes!$A$5:$A$10,A841)</f>
        <v/>
      </c>
      <c r="N841" s="106">
        <f>Donnees_annuelles!D97*J841</f>
        <v/>
      </c>
      <c r="O841" s="106">
        <f>Donnees_annuelles!D97*K841</f>
        <v/>
      </c>
      <c r="P841" s="106">
        <f>N841+O841</f>
        <v/>
      </c>
      <c r="Q841" s="106">
        <f>Donnees_annuelles!D97*L841</f>
        <v/>
      </c>
      <c r="R841" s="118">
        <f>P841/Donnees_annuelles!AA97*Donnees_annuelles!AI97/Donnees_annuelles!AG97</f>
        <v/>
      </c>
      <c r="S841" s="118">
        <f>P841/Donnees_annuelles!AA97*Donnees_annuelles!AJ97/Donnees_annuelles!AH97</f>
        <v/>
      </c>
    </row>
    <row r="842">
      <c r="A842" s="115" t="inlineStr">
        <is>
          <t>RATP</t>
        </is>
      </c>
      <c r="B842" s="101" t="n">
        <v>2040</v>
      </c>
      <c r="C842" s="105" t="n">
        <v>0.1</v>
      </c>
      <c r="D842" s="105" t="n">
        <v>0.1295</v>
      </c>
      <c r="E842" s="105" t="n">
        <v>0.1913</v>
      </c>
      <c r="F842" s="116" t="inlineStr">
        <is>
          <t>légal</t>
        </is>
      </c>
      <c r="G842" s="105" t="n">
        <v>0</v>
      </c>
      <c r="H842" s="105" t="n">
        <v>0.00252</v>
      </c>
      <c r="I842" s="105" t="n">
        <v>0.57872</v>
      </c>
      <c r="J842" s="107">
        <f>D842*(1-C842)+G842*MIN(C842,0.2*(1-C842))+H842</f>
        <v/>
      </c>
      <c r="K842" s="107">
        <f>E842*(1-C842)+G842*MIN(C842,0.2*(1-C842))</f>
        <v/>
      </c>
      <c r="L842" s="107">
        <f>I842*(1-C842)</f>
        <v/>
      </c>
      <c r="M842" s="119">
        <f>SUMIFS(Regimes!$G$5:$G$10,Regimes!$A$5:$A$10,A842)</f>
        <v/>
      </c>
      <c r="N842" s="106">
        <f>Donnees_annuelles!D98*J842</f>
        <v/>
      </c>
      <c r="O842" s="106">
        <f>Donnees_annuelles!D98*K842</f>
        <v/>
      </c>
      <c r="P842" s="106">
        <f>N842+O842</f>
        <v/>
      </c>
      <c r="Q842" s="106">
        <f>Donnees_annuelles!D98*L842</f>
        <v/>
      </c>
      <c r="R842" s="118">
        <f>P842/Donnees_annuelles!AA98*Donnees_annuelles!AI98/Donnees_annuelles!AG98</f>
        <v/>
      </c>
      <c r="S842" s="118">
        <f>P842/Donnees_annuelles!AA98*Donnees_annuelles!AJ98/Donnees_annuelles!AH98</f>
        <v/>
      </c>
    </row>
    <row r="843">
      <c r="A843" s="115" t="inlineStr">
        <is>
          <t>RATP</t>
        </is>
      </c>
      <c r="B843" s="101" t="n">
        <v>2041</v>
      </c>
      <c r="C843" s="105" t="n">
        <v>0.1</v>
      </c>
      <c r="D843" s="105" t="n">
        <v>0.1295</v>
      </c>
      <c r="E843" s="105" t="n">
        <v>0.1913</v>
      </c>
      <c r="F843" s="116" t="inlineStr">
        <is>
          <t>légal</t>
        </is>
      </c>
      <c r="G843" s="105" t="n">
        <v>0</v>
      </c>
      <c r="H843" s="105" t="n">
        <v>0.00252</v>
      </c>
      <c r="I843" s="105" t="n">
        <v>0.57872</v>
      </c>
      <c r="J843" s="107">
        <f>D843*(1-C843)+G843*MIN(C843,0.2*(1-C843))+H843</f>
        <v/>
      </c>
      <c r="K843" s="107">
        <f>E843*(1-C843)+G843*MIN(C843,0.2*(1-C843))</f>
        <v/>
      </c>
      <c r="L843" s="107">
        <f>I843*(1-C843)</f>
        <v/>
      </c>
      <c r="M843" s="119">
        <f>SUMIFS(Regimes!$G$5:$G$10,Regimes!$A$5:$A$10,A843)</f>
        <v/>
      </c>
      <c r="N843" s="106">
        <f>Donnees_annuelles!D99*J843</f>
        <v/>
      </c>
      <c r="O843" s="106">
        <f>Donnees_annuelles!D99*K843</f>
        <v/>
      </c>
      <c r="P843" s="106">
        <f>N843+O843</f>
        <v/>
      </c>
      <c r="Q843" s="106">
        <f>Donnees_annuelles!D99*L843</f>
        <v/>
      </c>
      <c r="R843" s="118">
        <f>P843/Donnees_annuelles!AA99*Donnees_annuelles!AI99/Donnees_annuelles!AG99</f>
        <v/>
      </c>
      <c r="S843" s="118">
        <f>P843/Donnees_annuelles!AA99*Donnees_annuelles!AJ99/Donnees_annuelles!AH99</f>
        <v/>
      </c>
    </row>
    <row r="844">
      <c r="A844" s="115" t="inlineStr">
        <is>
          <t>RATP</t>
        </is>
      </c>
      <c r="B844" s="101" t="n">
        <v>2042</v>
      </c>
      <c r="C844" s="105" t="n">
        <v>0.1</v>
      </c>
      <c r="D844" s="105" t="n">
        <v>0.1295</v>
      </c>
      <c r="E844" s="105" t="n">
        <v>0.1913</v>
      </c>
      <c r="F844" s="116" t="inlineStr">
        <is>
          <t>légal</t>
        </is>
      </c>
      <c r="G844" s="105" t="n">
        <v>0</v>
      </c>
      <c r="H844" s="105" t="n">
        <v>0.00252</v>
      </c>
      <c r="I844" s="105" t="n">
        <v>0.57872</v>
      </c>
      <c r="J844" s="107">
        <f>D844*(1-C844)+G844*MIN(C844,0.2*(1-C844))+H844</f>
        <v/>
      </c>
      <c r="K844" s="107">
        <f>E844*(1-C844)+G844*MIN(C844,0.2*(1-C844))</f>
        <v/>
      </c>
      <c r="L844" s="107">
        <f>I844*(1-C844)</f>
        <v/>
      </c>
      <c r="M844" s="119">
        <f>SUMIFS(Regimes!$G$5:$G$10,Regimes!$A$5:$A$10,A844)</f>
        <v/>
      </c>
      <c r="N844" s="106">
        <f>Donnees_annuelles!D100*J844</f>
        <v/>
      </c>
      <c r="O844" s="106">
        <f>Donnees_annuelles!D100*K844</f>
        <v/>
      </c>
      <c r="P844" s="106">
        <f>N844+O844</f>
        <v/>
      </c>
      <c r="Q844" s="106">
        <f>Donnees_annuelles!D100*L844</f>
        <v/>
      </c>
      <c r="R844" s="118">
        <f>P844/Donnees_annuelles!AA100*Donnees_annuelles!AI100/Donnees_annuelles!AG100</f>
        <v/>
      </c>
      <c r="S844" s="118">
        <f>P844/Donnees_annuelles!AA100*Donnees_annuelles!AJ100/Donnees_annuelles!AH100</f>
        <v/>
      </c>
    </row>
    <row r="845">
      <c r="A845" s="115" t="inlineStr">
        <is>
          <t>RATP</t>
        </is>
      </c>
      <c r="B845" s="101" t="n">
        <v>2043</v>
      </c>
      <c r="C845" s="105" t="n">
        <v>0.1</v>
      </c>
      <c r="D845" s="105" t="n">
        <v>0.1295</v>
      </c>
      <c r="E845" s="105" t="n">
        <v>0.1913</v>
      </c>
      <c r="F845" s="116" t="inlineStr">
        <is>
          <t>légal</t>
        </is>
      </c>
      <c r="G845" s="105" t="n">
        <v>0</v>
      </c>
      <c r="H845" s="105" t="n">
        <v>0.00252</v>
      </c>
      <c r="I845" s="105" t="n">
        <v>0.57872</v>
      </c>
      <c r="J845" s="107">
        <f>D845*(1-C845)+G845*MIN(C845,0.2*(1-C845))+H845</f>
        <v/>
      </c>
      <c r="K845" s="107">
        <f>E845*(1-C845)+G845*MIN(C845,0.2*(1-C845))</f>
        <v/>
      </c>
      <c r="L845" s="107">
        <f>I845*(1-C845)</f>
        <v/>
      </c>
      <c r="M845" s="119">
        <f>SUMIFS(Regimes!$G$5:$G$10,Regimes!$A$5:$A$10,A845)</f>
        <v/>
      </c>
      <c r="N845" s="106">
        <f>Donnees_annuelles!D101*J845</f>
        <v/>
      </c>
      <c r="O845" s="106">
        <f>Donnees_annuelles!D101*K845</f>
        <v/>
      </c>
      <c r="P845" s="106">
        <f>N845+O845</f>
        <v/>
      </c>
      <c r="Q845" s="106">
        <f>Donnees_annuelles!D101*L845</f>
        <v/>
      </c>
      <c r="R845" s="118">
        <f>P845/Donnees_annuelles!AA101*Donnees_annuelles!AI101/Donnees_annuelles!AG101</f>
        <v/>
      </c>
      <c r="S845" s="118">
        <f>P845/Donnees_annuelles!AA101*Donnees_annuelles!AJ101/Donnees_annuelles!AH101</f>
        <v/>
      </c>
    </row>
    <row r="846">
      <c r="A846" s="115" t="inlineStr">
        <is>
          <t>RATP</t>
        </is>
      </c>
      <c r="B846" s="101" t="n">
        <v>2044</v>
      </c>
      <c r="C846" s="105" t="n">
        <v>0.1</v>
      </c>
      <c r="D846" s="105" t="n">
        <v>0.1295</v>
      </c>
      <c r="E846" s="105" t="n">
        <v>0.1913</v>
      </c>
      <c r="F846" s="116" t="inlineStr">
        <is>
          <t>légal</t>
        </is>
      </c>
      <c r="G846" s="105" t="n">
        <v>0</v>
      </c>
      <c r="H846" s="105" t="n">
        <v>0.00252</v>
      </c>
      <c r="I846" s="105" t="n">
        <v>0.57872</v>
      </c>
      <c r="J846" s="107">
        <f>D846*(1-C846)+G846*MIN(C846,0.2*(1-C846))+H846</f>
        <v/>
      </c>
      <c r="K846" s="107">
        <f>E846*(1-C846)+G846*MIN(C846,0.2*(1-C846))</f>
        <v/>
      </c>
      <c r="L846" s="107">
        <f>I846*(1-C846)</f>
        <v/>
      </c>
      <c r="M846" s="119">
        <f>SUMIFS(Regimes!$G$5:$G$10,Regimes!$A$5:$A$10,A846)</f>
        <v/>
      </c>
      <c r="N846" s="106">
        <f>Donnees_annuelles!D102*J846</f>
        <v/>
      </c>
      <c r="O846" s="106">
        <f>Donnees_annuelles!D102*K846</f>
        <v/>
      </c>
      <c r="P846" s="106">
        <f>N846+O846</f>
        <v/>
      </c>
      <c r="Q846" s="106">
        <f>Donnees_annuelles!D102*L846</f>
        <v/>
      </c>
      <c r="R846" s="118">
        <f>P846/Donnees_annuelles!AA102*Donnees_annuelles!AI102/Donnees_annuelles!AG102</f>
        <v/>
      </c>
      <c r="S846" s="118">
        <f>P846/Donnees_annuelles!AA102*Donnees_annuelles!AJ102/Donnees_annuelles!AH102</f>
        <v/>
      </c>
    </row>
    <row r="847">
      <c r="A847" s="115" t="inlineStr">
        <is>
          <t>RATP</t>
        </is>
      </c>
      <c r="B847" s="101" t="n">
        <v>2045</v>
      </c>
      <c r="C847" s="105" t="n">
        <v>0.1</v>
      </c>
      <c r="D847" s="105" t="n">
        <v>0.1295</v>
      </c>
      <c r="E847" s="105" t="n">
        <v>0.1913</v>
      </c>
      <c r="F847" s="116" t="inlineStr">
        <is>
          <t>légal</t>
        </is>
      </c>
      <c r="G847" s="105" t="n">
        <v>0</v>
      </c>
      <c r="H847" s="105" t="n">
        <v>0.00252</v>
      </c>
      <c r="I847" s="105" t="n">
        <v>0.57872</v>
      </c>
      <c r="J847" s="107">
        <f>D847*(1-C847)+G847*MIN(C847,0.2*(1-C847))+H847</f>
        <v/>
      </c>
      <c r="K847" s="107">
        <f>E847*(1-C847)+G847*MIN(C847,0.2*(1-C847))</f>
        <v/>
      </c>
      <c r="L847" s="107">
        <f>I847*(1-C847)</f>
        <v/>
      </c>
      <c r="M847" s="119">
        <f>SUMIFS(Regimes!$G$5:$G$10,Regimes!$A$5:$A$10,A847)</f>
        <v/>
      </c>
      <c r="N847" s="106">
        <f>Donnees_annuelles!D103*J847</f>
        <v/>
      </c>
      <c r="O847" s="106">
        <f>Donnees_annuelles!D103*K847</f>
        <v/>
      </c>
      <c r="P847" s="106">
        <f>N847+O847</f>
        <v/>
      </c>
      <c r="Q847" s="106">
        <f>Donnees_annuelles!D103*L847</f>
        <v/>
      </c>
      <c r="R847" s="118">
        <f>P847/Donnees_annuelles!AA103*Donnees_annuelles!AI103/Donnees_annuelles!AG103</f>
        <v/>
      </c>
      <c r="S847" s="118">
        <f>P847/Donnees_annuelles!AA103*Donnees_annuelles!AJ103/Donnees_annuelles!AH103</f>
        <v/>
      </c>
    </row>
    <row r="848">
      <c r="A848" s="115" t="inlineStr">
        <is>
          <t>RATP</t>
        </is>
      </c>
      <c r="B848" s="101" t="n">
        <v>2046</v>
      </c>
      <c r="C848" s="105" t="n">
        <v>0.1</v>
      </c>
      <c r="D848" s="105" t="n">
        <v>0.1295</v>
      </c>
      <c r="E848" s="105" t="n">
        <v>0.1913</v>
      </c>
      <c r="F848" s="116" t="inlineStr">
        <is>
          <t>légal</t>
        </is>
      </c>
      <c r="G848" s="105" t="n">
        <v>0</v>
      </c>
      <c r="H848" s="105" t="n">
        <v>0.00252</v>
      </c>
      <c r="I848" s="105" t="n">
        <v>0.57872</v>
      </c>
      <c r="J848" s="107">
        <f>D848*(1-C848)+G848*MIN(C848,0.2*(1-C848))+H848</f>
        <v/>
      </c>
      <c r="K848" s="107">
        <f>E848*(1-C848)+G848*MIN(C848,0.2*(1-C848))</f>
        <v/>
      </c>
      <c r="L848" s="107">
        <f>I848*(1-C848)</f>
        <v/>
      </c>
      <c r="M848" s="119">
        <f>SUMIFS(Regimes!$G$5:$G$10,Regimes!$A$5:$A$10,A848)</f>
        <v/>
      </c>
      <c r="N848" s="106">
        <f>Donnees_annuelles!D104*J848</f>
        <v/>
      </c>
      <c r="O848" s="106">
        <f>Donnees_annuelles!D104*K848</f>
        <v/>
      </c>
      <c r="P848" s="106">
        <f>N848+O848</f>
        <v/>
      </c>
      <c r="Q848" s="106">
        <f>Donnees_annuelles!D104*L848</f>
        <v/>
      </c>
      <c r="R848" s="118">
        <f>P848/Donnees_annuelles!AA104*Donnees_annuelles!AI104/Donnees_annuelles!AG104</f>
        <v/>
      </c>
      <c r="S848" s="118">
        <f>P848/Donnees_annuelles!AA104*Donnees_annuelles!AJ104/Donnees_annuelles!AH104</f>
        <v/>
      </c>
    </row>
    <row r="849">
      <c r="A849" s="115" t="inlineStr">
        <is>
          <t>RATP</t>
        </is>
      </c>
      <c r="B849" s="101" t="n">
        <v>2047</v>
      </c>
      <c r="C849" s="105" t="n">
        <v>0.1</v>
      </c>
      <c r="D849" s="105" t="n">
        <v>0.1295</v>
      </c>
      <c r="E849" s="105" t="n">
        <v>0.1913</v>
      </c>
      <c r="F849" s="116" t="inlineStr">
        <is>
          <t>légal</t>
        </is>
      </c>
      <c r="G849" s="105" t="n">
        <v>0</v>
      </c>
      <c r="H849" s="105" t="n">
        <v>0.00252</v>
      </c>
      <c r="I849" s="105" t="n">
        <v>0.57872</v>
      </c>
      <c r="J849" s="107">
        <f>D849*(1-C849)+G849*MIN(C849,0.2*(1-C849))+H849</f>
        <v/>
      </c>
      <c r="K849" s="107">
        <f>E849*(1-C849)+G849*MIN(C849,0.2*(1-C849))</f>
        <v/>
      </c>
      <c r="L849" s="107">
        <f>I849*(1-C849)</f>
        <v/>
      </c>
      <c r="M849" s="119">
        <f>SUMIFS(Regimes!$G$5:$G$10,Regimes!$A$5:$A$10,A849)</f>
        <v/>
      </c>
      <c r="N849" s="106">
        <f>Donnees_annuelles!D105*J849</f>
        <v/>
      </c>
      <c r="O849" s="106">
        <f>Donnees_annuelles!D105*K849</f>
        <v/>
      </c>
      <c r="P849" s="106">
        <f>N849+O849</f>
        <v/>
      </c>
      <c r="Q849" s="106">
        <f>Donnees_annuelles!D105*L849</f>
        <v/>
      </c>
      <c r="R849" s="118">
        <f>P849/Donnees_annuelles!AA105*Donnees_annuelles!AI105/Donnees_annuelles!AG105</f>
        <v/>
      </c>
      <c r="S849" s="118">
        <f>P849/Donnees_annuelles!AA105*Donnees_annuelles!AJ105/Donnees_annuelles!AH105</f>
        <v/>
      </c>
    </row>
    <row r="850">
      <c r="A850" s="115" t="inlineStr">
        <is>
          <t>RATP</t>
        </is>
      </c>
      <c r="B850" s="101" t="n">
        <v>2048</v>
      </c>
      <c r="C850" s="105" t="n">
        <v>0.1</v>
      </c>
      <c r="D850" s="105" t="n">
        <v>0.1295</v>
      </c>
      <c r="E850" s="105" t="n">
        <v>0.1913</v>
      </c>
      <c r="F850" s="116" t="inlineStr">
        <is>
          <t>légal</t>
        </is>
      </c>
      <c r="G850" s="105" t="n">
        <v>0</v>
      </c>
      <c r="H850" s="105" t="n">
        <v>0.00252</v>
      </c>
      <c r="I850" s="105" t="n">
        <v>0.57872</v>
      </c>
      <c r="J850" s="107">
        <f>D850*(1-C850)+G850*MIN(C850,0.2*(1-C850))+H850</f>
        <v/>
      </c>
      <c r="K850" s="107">
        <f>E850*(1-C850)+G850*MIN(C850,0.2*(1-C850))</f>
        <v/>
      </c>
      <c r="L850" s="107">
        <f>I850*(1-C850)</f>
        <v/>
      </c>
      <c r="M850" s="119">
        <f>SUMIFS(Regimes!$G$5:$G$10,Regimes!$A$5:$A$10,A850)</f>
        <v/>
      </c>
      <c r="N850" s="106">
        <f>Donnees_annuelles!D106*J850</f>
        <v/>
      </c>
      <c r="O850" s="106">
        <f>Donnees_annuelles!D106*K850</f>
        <v/>
      </c>
      <c r="P850" s="106">
        <f>N850+O850</f>
        <v/>
      </c>
      <c r="Q850" s="106">
        <f>Donnees_annuelles!D106*L850</f>
        <v/>
      </c>
      <c r="R850" s="118">
        <f>P850/Donnees_annuelles!AA106*Donnees_annuelles!AI106/Donnees_annuelles!AG106</f>
        <v/>
      </c>
      <c r="S850" s="118">
        <f>P850/Donnees_annuelles!AA106*Donnees_annuelles!AJ106/Donnees_annuelles!AH106</f>
        <v/>
      </c>
    </row>
    <row r="851">
      <c r="A851" s="115" t="inlineStr">
        <is>
          <t>RATP</t>
        </is>
      </c>
      <c r="B851" s="101" t="n">
        <v>2049</v>
      </c>
      <c r="C851" s="105" t="n">
        <v>0.1</v>
      </c>
      <c r="D851" s="105" t="n">
        <v>0.1295</v>
      </c>
      <c r="E851" s="105" t="n">
        <v>0.1913</v>
      </c>
      <c r="F851" s="116" t="inlineStr">
        <is>
          <t>légal</t>
        </is>
      </c>
      <c r="G851" s="105" t="n">
        <v>0</v>
      </c>
      <c r="H851" s="105" t="n">
        <v>0.00252</v>
      </c>
      <c r="I851" s="105" t="n">
        <v>0.57872</v>
      </c>
      <c r="J851" s="107">
        <f>D851*(1-C851)+G851*MIN(C851,0.2*(1-C851))+H851</f>
        <v/>
      </c>
      <c r="K851" s="107">
        <f>E851*(1-C851)+G851*MIN(C851,0.2*(1-C851))</f>
        <v/>
      </c>
      <c r="L851" s="107">
        <f>I851*(1-C851)</f>
        <v/>
      </c>
      <c r="M851" s="119">
        <f>SUMIFS(Regimes!$G$5:$G$10,Regimes!$A$5:$A$10,A851)</f>
        <v/>
      </c>
      <c r="N851" s="106">
        <f>Donnees_annuelles!D107*J851</f>
        <v/>
      </c>
      <c r="O851" s="106">
        <f>Donnees_annuelles!D107*K851</f>
        <v/>
      </c>
      <c r="P851" s="106">
        <f>N851+O851</f>
        <v/>
      </c>
      <c r="Q851" s="106">
        <f>Donnees_annuelles!D107*L851</f>
        <v/>
      </c>
      <c r="R851" s="118">
        <f>P851/Donnees_annuelles!AA107*Donnees_annuelles!AI107/Donnees_annuelles!AG107</f>
        <v/>
      </c>
      <c r="S851" s="118">
        <f>P851/Donnees_annuelles!AA107*Donnees_annuelles!AJ107/Donnees_annuelles!AH107</f>
        <v/>
      </c>
    </row>
    <row r="852">
      <c r="A852" s="115" t="inlineStr">
        <is>
          <t>RATP</t>
        </is>
      </c>
      <c r="B852" s="101" t="n">
        <v>2050</v>
      </c>
      <c r="C852" s="105" t="n">
        <v>0.1</v>
      </c>
      <c r="D852" s="105" t="n">
        <v>0.1295</v>
      </c>
      <c r="E852" s="105" t="n">
        <v>0.1913</v>
      </c>
      <c r="F852" s="116" t="inlineStr">
        <is>
          <t>légal</t>
        </is>
      </c>
      <c r="G852" s="105" t="n">
        <v>0</v>
      </c>
      <c r="H852" s="105" t="n">
        <v>0.00252</v>
      </c>
      <c r="I852" s="105" t="n">
        <v>0.57872</v>
      </c>
      <c r="J852" s="107">
        <f>D852*(1-C852)+G852*MIN(C852,0.2*(1-C852))+H852</f>
        <v/>
      </c>
      <c r="K852" s="107">
        <f>E852*(1-C852)+G852*MIN(C852,0.2*(1-C852))</f>
        <v/>
      </c>
      <c r="L852" s="107">
        <f>I852*(1-C852)</f>
        <v/>
      </c>
      <c r="M852" s="119">
        <f>SUMIFS(Regimes!$G$5:$G$10,Regimes!$A$5:$A$10,A852)</f>
        <v/>
      </c>
      <c r="N852" s="106">
        <f>Donnees_annuelles!D108*J852</f>
        <v/>
      </c>
      <c r="O852" s="106">
        <f>Donnees_annuelles!D108*K852</f>
        <v/>
      </c>
      <c r="P852" s="106">
        <f>N852+O852</f>
        <v/>
      </c>
      <c r="Q852" s="106">
        <f>Donnees_annuelles!D108*L852</f>
        <v/>
      </c>
      <c r="R852" s="118">
        <f>P852/Donnees_annuelles!AA108*Donnees_annuelles!AI108/Donnees_annuelles!AG108</f>
        <v/>
      </c>
      <c r="S852" s="118">
        <f>P852/Donnees_annuelles!AA108*Donnees_annuelles!AJ108/Donnees_annuelles!AH108</f>
        <v/>
      </c>
    </row>
    <row r="853">
      <c r="A853" s="115" t="inlineStr">
        <is>
          <t>RATP</t>
        </is>
      </c>
      <c r="B853" s="101" t="n">
        <v>2051</v>
      </c>
      <c r="C853" s="105" t="n">
        <v>0.1</v>
      </c>
      <c r="D853" s="105" t="n">
        <v>0.1295</v>
      </c>
      <c r="E853" s="105" t="n">
        <v>0.1913</v>
      </c>
      <c r="F853" s="116" t="inlineStr">
        <is>
          <t>légal</t>
        </is>
      </c>
      <c r="G853" s="105" t="n">
        <v>0</v>
      </c>
      <c r="H853" s="105" t="n">
        <v>0.00252</v>
      </c>
      <c r="I853" s="105" t="n">
        <v>0.57872</v>
      </c>
      <c r="J853" s="107">
        <f>D853*(1-C853)+G853*MIN(C853,0.2*(1-C853))+H853</f>
        <v/>
      </c>
      <c r="K853" s="107">
        <f>E853*(1-C853)+G853*MIN(C853,0.2*(1-C853))</f>
        <v/>
      </c>
      <c r="L853" s="107">
        <f>I853*(1-C853)</f>
        <v/>
      </c>
      <c r="M853" s="119">
        <f>SUMIFS(Regimes!$G$5:$G$10,Regimes!$A$5:$A$10,A853)</f>
        <v/>
      </c>
      <c r="N853" s="106">
        <f>Donnees_annuelles!D109*J853</f>
        <v/>
      </c>
      <c r="O853" s="106">
        <f>Donnees_annuelles!D109*K853</f>
        <v/>
      </c>
      <c r="P853" s="106">
        <f>N853+O853</f>
        <v/>
      </c>
      <c r="Q853" s="106">
        <f>Donnees_annuelles!D109*L853</f>
        <v/>
      </c>
      <c r="R853" s="118">
        <f>P853/Donnees_annuelles!AA109*Donnees_annuelles!AI109/Donnees_annuelles!AG109</f>
        <v/>
      </c>
      <c r="S853" s="118">
        <f>P853/Donnees_annuelles!AA109*Donnees_annuelles!AJ109/Donnees_annuelles!AH109</f>
        <v/>
      </c>
    </row>
    <row r="854">
      <c r="A854" s="115" t="inlineStr">
        <is>
          <t>RATP</t>
        </is>
      </c>
      <c r="B854" s="101" t="n">
        <v>2052</v>
      </c>
      <c r="C854" s="105" t="n">
        <v>0.1</v>
      </c>
      <c r="D854" s="105" t="n">
        <v>0.1295</v>
      </c>
      <c r="E854" s="105" t="n">
        <v>0.1913</v>
      </c>
      <c r="F854" s="116" t="inlineStr">
        <is>
          <t>légal</t>
        </is>
      </c>
      <c r="G854" s="105" t="n">
        <v>0</v>
      </c>
      <c r="H854" s="105" t="n">
        <v>0.00252</v>
      </c>
      <c r="I854" s="105" t="n">
        <v>0.57872</v>
      </c>
      <c r="J854" s="107">
        <f>D854*(1-C854)+G854*MIN(C854,0.2*(1-C854))+H854</f>
        <v/>
      </c>
      <c r="K854" s="107">
        <f>E854*(1-C854)+G854*MIN(C854,0.2*(1-C854))</f>
        <v/>
      </c>
      <c r="L854" s="107">
        <f>I854*(1-C854)</f>
        <v/>
      </c>
      <c r="M854" s="119">
        <f>SUMIFS(Regimes!$G$5:$G$10,Regimes!$A$5:$A$10,A854)</f>
        <v/>
      </c>
      <c r="N854" s="106">
        <f>Donnees_annuelles!D110*J854</f>
        <v/>
      </c>
      <c r="O854" s="106">
        <f>Donnees_annuelles!D110*K854</f>
        <v/>
      </c>
      <c r="P854" s="106">
        <f>N854+O854</f>
        <v/>
      </c>
      <c r="Q854" s="106">
        <f>Donnees_annuelles!D110*L854</f>
        <v/>
      </c>
      <c r="R854" s="118">
        <f>P854/Donnees_annuelles!AA110*Donnees_annuelles!AI110/Donnees_annuelles!AG110</f>
        <v/>
      </c>
      <c r="S854" s="118">
        <f>P854/Donnees_annuelles!AA110*Donnees_annuelles!AJ110/Donnees_annuelles!AH110</f>
        <v/>
      </c>
    </row>
    <row r="855">
      <c r="A855" s="115" t="inlineStr">
        <is>
          <t>RATP</t>
        </is>
      </c>
      <c r="B855" s="101" t="n">
        <v>2053</v>
      </c>
      <c r="C855" s="105" t="n">
        <v>0.1</v>
      </c>
      <c r="D855" s="105" t="n">
        <v>0.1295</v>
      </c>
      <c r="E855" s="105" t="n">
        <v>0.1913</v>
      </c>
      <c r="F855" s="116" t="inlineStr">
        <is>
          <t>légal</t>
        </is>
      </c>
      <c r="G855" s="105" t="n">
        <v>0</v>
      </c>
      <c r="H855" s="105" t="n">
        <v>0.00252</v>
      </c>
      <c r="I855" s="105" t="n">
        <v>0.57872</v>
      </c>
      <c r="J855" s="107">
        <f>D855*(1-C855)+G855*MIN(C855,0.2*(1-C855))+H855</f>
        <v/>
      </c>
      <c r="K855" s="107">
        <f>E855*(1-C855)+G855*MIN(C855,0.2*(1-C855))</f>
        <v/>
      </c>
      <c r="L855" s="107">
        <f>I855*(1-C855)</f>
        <v/>
      </c>
      <c r="M855" s="119">
        <f>SUMIFS(Regimes!$G$5:$G$10,Regimes!$A$5:$A$10,A855)</f>
        <v/>
      </c>
      <c r="N855" s="106">
        <f>Donnees_annuelles!D111*J855</f>
        <v/>
      </c>
      <c r="O855" s="106">
        <f>Donnees_annuelles!D111*K855</f>
        <v/>
      </c>
      <c r="P855" s="106">
        <f>N855+O855</f>
        <v/>
      </c>
      <c r="Q855" s="106">
        <f>Donnees_annuelles!D111*L855</f>
        <v/>
      </c>
      <c r="R855" s="118">
        <f>P855/Donnees_annuelles!AA111*Donnees_annuelles!AI111/Donnees_annuelles!AG111</f>
        <v/>
      </c>
      <c r="S855" s="118">
        <f>P855/Donnees_annuelles!AA111*Donnees_annuelles!AJ111/Donnees_annuelles!AH111</f>
        <v/>
      </c>
    </row>
    <row r="856">
      <c r="A856" s="115" t="inlineStr">
        <is>
          <t>RATP</t>
        </is>
      </c>
      <c r="B856" s="101" t="n">
        <v>2054</v>
      </c>
      <c r="C856" s="105" t="n">
        <v>0.1</v>
      </c>
      <c r="D856" s="105" t="n">
        <v>0.1295</v>
      </c>
      <c r="E856" s="105" t="n">
        <v>0.1913</v>
      </c>
      <c r="F856" s="116" t="inlineStr">
        <is>
          <t>légal</t>
        </is>
      </c>
      <c r="G856" s="105" t="n">
        <v>0</v>
      </c>
      <c r="H856" s="105" t="n">
        <v>0.00252</v>
      </c>
      <c r="I856" s="105" t="n">
        <v>0.57872</v>
      </c>
      <c r="J856" s="107">
        <f>D856*(1-C856)+G856*MIN(C856,0.2*(1-C856))+H856</f>
        <v/>
      </c>
      <c r="K856" s="107">
        <f>E856*(1-C856)+G856*MIN(C856,0.2*(1-C856))</f>
        <v/>
      </c>
      <c r="L856" s="107">
        <f>I856*(1-C856)</f>
        <v/>
      </c>
      <c r="M856" s="119">
        <f>SUMIFS(Regimes!$G$5:$G$10,Regimes!$A$5:$A$10,A856)</f>
        <v/>
      </c>
      <c r="N856" s="106">
        <f>Donnees_annuelles!D112*J856</f>
        <v/>
      </c>
      <c r="O856" s="106">
        <f>Donnees_annuelles!D112*K856</f>
        <v/>
      </c>
      <c r="P856" s="106">
        <f>N856+O856</f>
        <v/>
      </c>
      <c r="Q856" s="106">
        <f>Donnees_annuelles!D112*L856</f>
        <v/>
      </c>
      <c r="R856" s="118">
        <f>P856/Donnees_annuelles!AA112*Donnees_annuelles!AI112/Donnees_annuelles!AG112</f>
        <v/>
      </c>
      <c r="S856" s="118">
        <f>P856/Donnees_annuelles!AA112*Donnees_annuelles!AJ112/Donnees_annuelles!AH112</f>
        <v/>
      </c>
    </row>
    <row r="857">
      <c r="A857" s="115" t="inlineStr">
        <is>
          <t>RATP</t>
        </is>
      </c>
      <c r="B857" s="101" t="n">
        <v>2055</v>
      </c>
      <c r="C857" s="105" t="n">
        <v>0.1</v>
      </c>
      <c r="D857" s="105" t="n">
        <v>0.1295</v>
      </c>
      <c r="E857" s="105" t="n">
        <v>0.1913</v>
      </c>
      <c r="F857" s="116" t="inlineStr">
        <is>
          <t>légal</t>
        </is>
      </c>
      <c r="G857" s="105" t="n">
        <v>0</v>
      </c>
      <c r="H857" s="105" t="n">
        <v>0.00252</v>
      </c>
      <c r="I857" s="105" t="n">
        <v>0.57872</v>
      </c>
      <c r="J857" s="107">
        <f>D857*(1-C857)+G857*MIN(C857,0.2*(1-C857))+H857</f>
        <v/>
      </c>
      <c r="K857" s="107">
        <f>E857*(1-C857)+G857*MIN(C857,0.2*(1-C857))</f>
        <v/>
      </c>
      <c r="L857" s="107">
        <f>I857*(1-C857)</f>
        <v/>
      </c>
      <c r="M857" s="119">
        <f>SUMIFS(Regimes!$G$5:$G$10,Regimes!$A$5:$A$10,A857)</f>
        <v/>
      </c>
      <c r="N857" s="106">
        <f>Donnees_annuelles!D113*J857</f>
        <v/>
      </c>
      <c r="O857" s="106">
        <f>Donnees_annuelles!D113*K857</f>
        <v/>
      </c>
      <c r="P857" s="106">
        <f>N857+O857</f>
        <v/>
      </c>
      <c r="Q857" s="106">
        <f>Donnees_annuelles!D113*L857</f>
        <v/>
      </c>
      <c r="R857" s="118">
        <f>P857/Donnees_annuelles!AA113*Donnees_annuelles!AI113/Donnees_annuelles!AG113</f>
        <v/>
      </c>
      <c r="S857" s="118">
        <f>P857/Donnees_annuelles!AA113*Donnees_annuelles!AJ113/Donnees_annuelles!AH113</f>
        <v/>
      </c>
    </row>
    <row r="858">
      <c r="A858" s="115" t="inlineStr">
        <is>
          <t>RATP</t>
        </is>
      </c>
      <c r="B858" s="101" t="n">
        <v>2056</v>
      </c>
      <c r="C858" s="105" t="n">
        <v>0.1</v>
      </c>
      <c r="D858" s="105" t="n">
        <v>0.1295</v>
      </c>
      <c r="E858" s="105" t="n">
        <v>0.1913</v>
      </c>
      <c r="F858" s="116" t="inlineStr">
        <is>
          <t>légal</t>
        </is>
      </c>
      <c r="G858" s="105" t="n">
        <v>0</v>
      </c>
      <c r="H858" s="105" t="n">
        <v>0.00252</v>
      </c>
      <c r="I858" s="105" t="n">
        <v>0.57872</v>
      </c>
      <c r="J858" s="107">
        <f>D858*(1-C858)+G858*MIN(C858,0.2*(1-C858))+H858</f>
        <v/>
      </c>
      <c r="K858" s="107">
        <f>E858*(1-C858)+G858*MIN(C858,0.2*(1-C858))</f>
        <v/>
      </c>
      <c r="L858" s="107">
        <f>I858*(1-C858)</f>
        <v/>
      </c>
      <c r="M858" s="119">
        <f>SUMIFS(Regimes!$G$5:$G$10,Regimes!$A$5:$A$10,A858)</f>
        <v/>
      </c>
      <c r="N858" s="106">
        <f>Donnees_annuelles!D114*J858</f>
        <v/>
      </c>
      <c r="O858" s="106">
        <f>Donnees_annuelles!D114*K858</f>
        <v/>
      </c>
      <c r="P858" s="106">
        <f>N858+O858</f>
        <v/>
      </c>
      <c r="Q858" s="106">
        <f>Donnees_annuelles!D114*L858</f>
        <v/>
      </c>
      <c r="R858" s="118">
        <f>P858/Donnees_annuelles!AA114*Donnees_annuelles!AI114/Donnees_annuelles!AG114</f>
        <v/>
      </c>
      <c r="S858" s="118">
        <f>P858/Donnees_annuelles!AA114*Donnees_annuelles!AJ114/Donnees_annuelles!AH114</f>
        <v/>
      </c>
    </row>
    <row r="859">
      <c r="A859" s="115" t="inlineStr">
        <is>
          <t>RATP</t>
        </is>
      </c>
      <c r="B859" s="101" t="n">
        <v>2057</v>
      </c>
      <c r="C859" s="105" t="n">
        <v>0.1</v>
      </c>
      <c r="D859" s="105" t="n">
        <v>0.1295</v>
      </c>
      <c r="E859" s="105" t="n">
        <v>0.1913</v>
      </c>
      <c r="F859" s="116" t="inlineStr">
        <is>
          <t>légal</t>
        </is>
      </c>
      <c r="G859" s="105" t="n">
        <v>0</v>
      </c>
      <c r="H859" s="105" t="n">
        <v>0.00252</v>
      </c>
      <c r="I859" s="105" t="n">
        <v>0.57872</v>
      </c>
      <c r="J859" s="107">
        <f>D859*(1-C859)+G859*MIN(C859,0.2*(1-C859))+H859</f>
        <v/>
      </c>
      <c r="K859" s="107">
        <f>E859*(1-C859)+G859*MIN(C859,0.2*(1-C859))</f>
        <v/>
      </c>
      <c r="L859" s="107">
        <f>I859*(1-C859)</f>
        <v/>
      </c>
      <c r="M859" s="119">
        <f>SUMIFS(Regimes!$G$5:$G$10,Regimes!$A$5:$A$10,A859)</f>
        <v/>
      </c>
      <c r="N859" s="106">
        <f>Donnees_annuelles!D115*J859</f>
        <v/>
      </c>
      <c r="O859" s="106">
        <f>Donnees_annuelles!D115*K859</f>
        <v/>
      </c>
      <c r="P859" s="106">
        <f>N859+O859</f>
        <v/>
      </c>
      <c r="Q859" s="106">
        <f>Donnees_annuelles!D115*L859</f>
        <v/>
      </c>
      <c r="R859" s="118">
        <f>P859/Donnees_annuelles!AA115*Donnees_annuelles!AI115/Donnees_annuelles!AG115</f>
        <v/>
      </c>
      <c r="S859" s="118">
        <f>P859/Donnees_annuelles!AA115*Donnees_annuelles!AJ115/Donnees_annuelles!AH115</f>
        <v/>
      </c>
    </row>
    <row r="860">
      <c r="A860" s="115" t="inlineStr">
        <is>
          <t>RATP</t>
        </is>
      </c>
      <c r="B860" s="101" t="n">
        <v>2058</v>
      </c>
      <c r="C860" s="105" t="n">
        <v>0.1</v>
      </c>
      <c r="D860" s="105" t="n">
        <v>0.1295</v>
      </c>
      <c r="E860" s="105" t="n">
        <v>0.1913</v>
      </c>
      <c r="F860" s="116" t="inlineStr">
        <is>
          <t>légal</t>
        </is>
      </c>
      <c r="G860" s="105" t="n">
        <v>0</v>
      </c>
      <c r="H860" s="105" t="n">
        <v>0.00252</v>
      </c>
      <c r="I860" s="105" t="n">
        <v>0.57872</v>
      </c>
      <c r="J860" s="107">
        <f>D860*(1-C860)+G860*MIN(C860,0.2*(1-C860))+H860</f>
        <v/>
      </c>
      <c r="K860" s="107">
        <f>E860*(1-C860)+G860*MIN(C860,0.2*(1-C860))</f>
        <v/>
      </c>
      <c r="L860" s="107">
        <f>I860*(1-C860)</f>
        <v/>
      </c>
      <c r="M860" s="119">
        <f>SUMIFS(Regimes!$G$5:$G$10,Regimes!$A$5:$A$10,A860)</f>
        <v/>
      </c>
      <c r="N860" s="106">
        <f>Donnees_annuelles!D116*J860</f>
        <v/>
      </c>
      <c r="O860" s="106">
        <f>Donnees_annuelles!D116*K860</f>
        <v/>
      </c>
      <c r="P860" s="106">
        <f>N860+O860</f>
        <v/>
      </c>
      <c r="Q860" s="106">
        <f>Donnees_annuelles!D116*L860</f>
        <v/>
      </c>
      <c r="R860" s="118">
        <f>P860/Donnees_annuelles!AA116*Donnees_annuelles!AI116/Donnees_annuelles!AG116</f>
        <v/>
      </c>
      <c r="S860" s="118">
        <f>P860/Donnees_annuelles!AA116*Donnees_annuelles!AJ116/Donnees_annuelles!AH116</f>
        <v/>
      </c>
    </row>
    <row r="861">
      <c r="A861" s="115" t="inlineStr">
        <is>
          <t>RATP</t>
        </is>
      </c>
      <c r="B861" s="101" t="n">
        <v>2059</v>
      </c>
      <c r="C861" s="105" t="n">
        <v>0.1</v>
      </c>
      <c r="D861" s="105" t="n">
        <v>0.1295</v>
      </c>
      <c r="E861" s="105" t="n">
        <v>0.1913</v>
      </c>
      <c r="F861" s="116" t="inlineStr">
        <is>
          <t>légal</t>
        </is>
      </c>
      <c r="G861" s="105" t="n">
        <v>0</v>
      </c>
      <c r="H861" s="105" t="n">
        <v>0.00252</v>
      </c>
      <c r="I861" s="105" t="n">
        <v>0.57872</v>
      </c>
      <c r="J861" s="107">
        <f>D861*(1-C861)+G861*MIN(C861,0.2*(1-C861))+H861</f>
        <v/>
      </c>
      <c r="K861" s="107">
        <f>E861*(1-C861)+G861*MIN(C861,0.2*(1-C861))</f>
        <v/>
      </c>
      <c r="L861" s="107">
        <f>I861*(1-C861)</f>
        <v/>
      </c>
      <c r="M861" s="119">
        <f>SUMIFS(Regimes!$G$5:$G$10,Regimes!$A$5:$A$10,A861)</f>
        <v/>
      </c>
      <c r="N861" s="106">
        <f>Donnees_annuelles!D117*J861</f>
        <v/>
      </c>
      <c r="O861" s="106">
        <f>Donnees_annuelles!D117*K861</f>
        <v/>
      </c>
      <c r="P861" s="106">
        <f>N861+O861</f>
        <v/>
      </c>
      <c r="Q861" s="106">
        <f>Donnees_annuelles!D117*L861</f>
        <v/>
      </c>
      <c r="R861" s="118">
        <f>P861/Donnees_annuelles!AA117*Donnees_annuelles!AI117/Donnees_annuelles!AG117</f>
        <v/>
      </c>
      <c r="S861" s="118">
        <f>P861/Donnees_annuelles!AA117*Donnees_annuelles!AJ117/Donnees_annuelles!AH117</f>
        <v/>
      </c>
    </row>
    <row r="862">
      <c r="A862" s="115" t="inlineStr">
        <is>
          <t>RATP</t>
        </is>
      </c>
      <c r="B862" s="101" t="n">
        <v>2060</v>
      </c>
      <c r="C862" s="105" t="n">
        <v>0.1</v>
      </c>
      <c r="D862" s="105" t="n">
        <v>0.1295</v>
      </c>
      <c r="E862" s="105" t="n">
        <v>0.1913</v>
      </c>
      <c r="F862" s="116" t="inlineStr">
        <is>
          <t>légal</t>
        </is>
      </c>
      <c r="G862" s="105" t="n">
        <v>0</v>
      </c>
      <c r="H862" s="105" t="n">
        <v>0.00252</v>
      </c>
      <c r="I862" s="105" t="n">
        <v>0.57872</v>
      </c>
      <c r="J862" s="107">
        <f>D862*(1-C862)+G862*MIN(C862,0.2*(1-C862))+H862</f>
        <v/>
      </c>
      <c r="K862" s="107">
        <f>E862*(1-C862)+G862*MIN(C862,0.2*(1-C862))</f>
        <v/>
      </c>
      <c r="L862" s="107">
        <f>I862*(1-C862)</f>
        <v/>
      </c>
      <c r="M862" s="119">
        <f>SUMIFS(Regimes!$G$5:$G$10,Regimes!$A$5:$A$10,A862)</f>
        <v/>
      </c>
      <c r="N862" s="106">
        <f>Donnees_annuelles!D118*J862</f>
        <v/>
      </c>
      <c r="O862" s="106">
        <f>Donnees_annuelles!D118*K862</f>
        <v/>
      </c>
      <c r="P862" s="106">
        <f>N862+O862</f>
        <v/>
      </c>
      <c r="Q862" s="106">
        <f>Donnees_annuelles!D118*L862</f>
        <v/>
      </c>
      <c r="R862" s="118">
        <f>P862/Donnees_annuelles!AA118*Donnees_annuelles!AI118/Donnees_annuelles!AG118</f>
        <v/>
      </c>
      <c r="S862" s="118">
        <f>P862/Donnees_annuelles!AA118*Donnees_annuelles!AJ118/Donnees_annuelles!AH118</f>
        <v/>
      </c>
    </row>
    <row r="863">
      <c r="A863" s="115" t="inlineStr">
        <is>
          <t>RATP</t>
        </is>
      </c>
      <c r="B863" s="101" t="n">
        <v>2061</v>
      </c>
      <c r="C863" s="105" t="n">
        <v>0.1</v>
      </c>
      <c r="D863" s="105" t="n">
        <v>0.1295</v>
      </c>
      <c r="E863" s="105" t="n">
        <v>0.1913</v>
      </c>
      <c r="F863" s="116" t="inlineStr">
        <is>
          <t>légal</t>
        </is>
      </c>
      <c r="G863" s="105" t="n">
        <v>0</v>
      </c>
      <c r="H863" s="105" t="n">
        <v>0.00252</v>
      </c>
      <c r="I863" s="105" t="n">
        <v>0.57872</v>
      </c>
      <c r="J863" s="107">
        <f>D863*(1-C863)+G863*MIN(C863,0.2*(1-C863))+H863</f>
        <v/>
      </c>
      <c r="K863" s="107">
        <f>E863*(1-C863)+G863*MIN(C863,0.2*(1-C863))</f>
        <v/>
      </c>
      <c r="L863" s="107">
        <f>I863*(1-C863)</f>
        <v/>
      </c>
      <c r="M863" s="119">
        <f>SUMIFS(Regimes!$G$5:$G$10,Regimes!$A$5:$A$10,A863)</f>
        <v/>
      </c>
      <c r="N863" s="106">
        <f>Donnees_annuelles!D119*J863</f>
        <v/>
      </c>
      <c r="O863" s="106">
        <f>Donnees_annuelles!D119*K863</f>
        <v/>
      </c>
      <c r="P863" s="106">
        <f>N863+O863</f>
        <v/>
      </c>
      <c r="Q863" s="106">
        <f>Donnees_annuelles!D119*L863</f>
        <v/>
      </c>
      <c r="R863" s="118">
        <f>P863/Donnees_annuelles!AA119*Donnees_annuelles!AI119/Donnees_annuelles!AG119</f>
        <v/>
      </c>
      <c r="S863" s="118">
        <f>P863/Donnees_annuelles!AA119*Donnees_annuelles!AJ119/Donnees_annuelles!AH119</f>
        <v/>
      </c>
    </row>
    <row r="864">
      <c r="A864" s="115" t="inlineStr">
        <is>
          <t>RATP</t>
        </is>
      </c>
      <c r="B864" s="101" t="n">
        <v>2062</v>
      </c>
      <c r="C864" s="105" t="n">
        <v>0.1</v>
      </c>
      <c r="D864" s="105" t="n">
        <v>0.1295</v>
      </c>
      <c r="E864" s="105" t="n">
        <v>0.1913</v>
      </c>
      <c r="F864" s="116" t="inlineStr">
        <is>
          <t>légal</t>
        </is>
      </c>
      <c r="G864" s="105" t="n">
        <v>0</v>
      </c>
      <c r="H864" s="105" t="n">
        <v>0.00252</v>
      </c>
      <c r="I864" s="105" t="n">
        <v>0.57872</v>
      </c>
      <c r="J864" s="107">
        <f>D864*(1-C864)+G864*MIN(C864,0.2*(1-C864))+H864</f>
        <v/>
      </c>
      <c r="K864" s="107">
        <f>E864*(1-C864)+G864*MIN(C864,0.2*(1-C864))</f>
        <v/>
      </c>
      <c r="L864" s="107">
        <f>I864*(1-C864)</f>
        <v/>
      </c>
      <c r="M864" s="119">
        <f>SUMIFS(Regimes!$G$5:$G$10,Regimes!$A$5:$A$10,A864)</f>
        <v/>
      </c>
      <c r="N864" s="106">
        <f>Donnees_annuelles!D120*J864</f>
        <v/>
      </c>
      <c r="O864" s="106">
        <f>Donnees_annuelles!D120*K864</f>
        <v/>
      </c>
      <c r="P864" s="106">
        <f>N864+O864</f>
        <v/>
      </c>
      <c r="Q864" s="106">
        <f>Donnees_annuelles!D120*L864</f>
        <v/>
      </c>
      <c r="R864" s="118">
        <f>P864/Donnees_annuelles!AA120*Donnees_annuelles!AI120/Donnees_annuelles!AG120</f>
        <v/>
      </c>
      <c r="S864" s="118">
        <f>P864/Donnees_annuelles!AA120*Donnees_annuelles!AJ120/Donnees_annuelles!AH120</f>
        <v/>
      </c>
    </row>
    <row r="865">
      <c r="A865" s="115" t="inlineStr">
        <is>
          <t>RATP</t>
        </is>
      </c>
      <c r="B865" s="101" t="n">
        <v>2063</v>
      </c>
      <c r="C865" s="105" t="n">
        <v>0.1</v>
      </c>
      <c r="D865" s="105" t="n">
        <v>0.1295</v>
      </c>
      <c r="E865" s="105" t="n">
        <v>0.1913</v>
      </c>
      <c r="F865" s="116" t="inlineStr">
        <is>
          <t>légal</t>
        </is>
      </c>
      <c r="G865" s="105" t="n">
        <v>0</v>
      </c>
      <c r="H865" s="105" t="n">
        <v>0.00252</v>
      </c>
      <c r="I865" s="105" t="n">
        <v>0.57872</v>
      </c>
      <c r="J865" s="107">
        <f>D865*(1-C865)+G865*MIN(C865,0.2*(1-C865))+H865</f>
        <v/>
      </c>
      <c r="K865" s="107">
        <f>E865*(1-C865)+G865*MIN(C865,0.2*(1-C865))</f>
        <v/>
      </c>
      <c r="L865" s="107">
        <f>I865*(1-C865)</f>
        <v/>
      </c>
      <c r="M865" s="119">
        <f>SUMIFS(Regimes!$G$5:$G$10,Regimes!$A$5:$A$10,A865)</f>
        <v/>
      </c>
      <c r="N865" s="106">
        <f>Donnees_annuelles!D121*J865</f>
        <v/>
      </c>
      <c r="O865" s="106">
        <f>Donnees_annuelles!D121*K865</f>
        <v/>
      </c>
      <c r="P865" s="106">
        <f>N865+O865</f>
        <v/>
      </c>
      <c r="Q865" s="106">
        <f>Donnees_annuelles!D121*L865</f>
        <v/>
      </c>
      <c r="R865" s="118">
        <f>P865/Donnees_annuelles!AA121*Donnees_annuelles!AI121/Donnees_annuelles!AG121</f>
        <v/>
      </c>
      <c r="S865" s="118">
        <f>P865/Donnees_annuelles!AA121*Donnees_annuelles!AJ121/Donnees_annuelles!AH121</f>
        <v/>
      </c>
    </row>
    <row r="866">
      <c r="A866" s="115" t="inlineStr">
        <is>
          <t>RATP</t>
        </is>
      </c>
      <c r="B866" s="101" t="n">
        <v>2064</v>
      </c>
      <c r="C866" s="105" t="n">
        <v>0.1</v>
      </c>
      <c r="D866" s="105" t="n">
        <v>0.1295</v>
      </c>
      <c r="E866" s="105" t="n">
        <v>0.1913</v>
      </c>
      <c r="F866" s="116" t="inlineStr">
        <is>
          <t>légal</t>
        </is>
      </c>
      <c r="G866" s="105" t="n">
        <v>0</v>
      </c>
      <c r="H866" s="105" t="n">
        <v>0.00252</v>
      </c>
      <c r="I866" s="105" t="n">
        <v>0.57872</v>
      </c>
      <c r="J866" s="107">
        <f>D866*(1-C866)+G866*MIN(C866,0.2*(1-C866))+H866</f>
        <v/>
      </c>
      <c r="K866" s="107">
        <f>E866*(1-C866)+G866*MIN(C866,0.2*(1-C866))</f>
        <v/>
      </c>
      <c r="L866" s="107">
        <f>I866*(1-C866)</f>
        <v/>
      </c>
      <c r="M866" s="119">
        <f>SUMIFS(Regimes!$G$5:$G$10,Regimes!$A$5:$A$10,A866)</f>
        <v/>
      </c>
      <c r="N866" s="106">
        <f>Donnees_annuelles!D122*J866</f>
        <v/>
      </c>
      <c r="O866" s="106">
        <f>Donnees_annuelles!D122*K866</f>
        <v/>
      </c>
      <c r="P866" s="106">
        <f>N866+O866</f>
        <v/>
      </c>
      <c r="Q866" s="106">
        <f>Donnees_annuelles!D122*L866</f>
        <v/>
      </c>
      <c r="R866" s="118">
        <f>P866/Donnees_annuelles!AA122*Donnees_annuelles!AI122/Donnees_annuelles!AG122</f>
        <v/>
      </c>
      <c r="S866" s="118">
        <f>P866/Donnees_annuelles!AA122*Donnees_annuelles!AJ122/Donnees_annuelles!AH122</f>
        <v/>
      </c>
    </row>
    <row r="867">
      <c r="A867" s="115" t="inlineStr">
        <is>
          <t>RATP</t>
        </is>
      </c>
      <c r="B867" s="101" t="n">
        <v>2065</v>
      </c>
      <c r="C867" s="105" t="n">
        <v>0.1</v>
      </c>
      <c r="D867" s="105" t="n">
        <v>0.1295</v>
      </c>
      <c r="E867" s="105" t="n">
        <v>0.1913</v>
      </c>
      <c r="F867" s="116" t="inlineStr">
        <is>
          <t>légal</t>
        </is>
      </c>
      <c r="G867" s="105" t="n">
        <v>0</v>
      </c>
      <c r="H867" s="105" t="n">
        <v>0.00252</v>
      </c>
      <c r="I867" s="105" t="n">
        <v>0.57872</v>
      </c>
      <c r="J867" s="107">
        <f>D867*(1-C867)+G867*MIN(C867,0.2*(1-C867))+H867</f>
        <v/>
      </c>
      <c r="K867" s="107">
        <f>E867*(1-C867)+G867*MIN(C867,0.2*(1-C867))</f>
        <v/>
      </c>
      <c r="L867" s="107">
        <f>I867*(1-C867)</f>
        <v/>
      </c>
      <c r="M867" s="119">
        <f>SUMIFS(Regimes!$G$5:$G$10,Regimes!$A$5:$A$10,A867)</f>
        <v/>
      </c>
      <c r="N867" s="106">
        <f>Donnees_annuelles!D123*J867</f>
        <v/>
      </c>
      <c r="O867" s="106">
        <f>Donnees_annuelles!D123*K867</f>
        <v/>
      </c>
      <c r="P867" s="106">
        <f>N867+O867</f>
        <v/>
      </c>
      <c r="Q867" s="106">
        <f>Donnees_annuelles!D123*L867</f>
        <v/>
      </c>
      <c r="R867" s="118">
        <f>P867/Donnees_annuelles!AA123*Donnees_annuelles!AI123/Donnees_annuelles!AG123</f>
        <v/>
      </c>
      <c r="S867" s="118">
        <f>P867/Donnees_annuelles!AA123*Donnees_annuelles!AJ123/Donnees_annuelles!AH123</f>
        <v/>
      </c>
    </row>
    <row r="868">
      <c r="A868" s="115" t="inlineStr">
        <is>
          <t>RATP</t>
        </is>
      </c>
      <c r="B868" s="101" t="n">
        <v>2066</v>
      </c>
      <c r="C868" s="105" t="n">
        <v>0.1</v>
      </c>
      <c r="D868" s="105" t="n">
        <v>0.1295</v>
      </c>
      <c r="E868" s="105" t="n">
        <v>0.1913</v>
      </c>
      <c r="F868" s="116" t="inlineStr">
        <is>
          <t>légal</t>
        </is>
      </c>
      <c r="G868" s="105" t="n">
        <v>0</v>
      </c>
      <c r="H868" s="105" t="n">
        <v>0.00252</v>
      </c>
      <c r="I868" s="105" t="n">
        <v>0.57872</v>
      </c>
      <c r="J868" s="107">
        <f>D868*(1-C868)+G868*MIN(C868,0.2*(1-C868))+H868</f>
        <v/>
      </c>
      <c r="K868" s="107">
        <f>E868*(1-C868)+G868*MIN(C868,0.2*(1-C868))</f>
        <v/>
      </c>
      <c r="L868" s="107">
        <f>I868*(1-C868)</f>
        <v/>
      </c>
      <c r="M868" s="119">
        <f>SUMIFS(Regimes!$G$5:$G$10,Regimes!$A$5:$A$10,A868)</f>
        <v/>
      </c>
      <c r="N868" s="106">
        <f>Donnees_annuelles!D124*J868</f>
        <v/>
      </c>
      <c r="O868" s="106">
        <f>Donnees_annuelles!D124*K868</f>
        <v/>
      </c>
      <c r="P868" s="106">
        <f>N868+O868</f>
        <v/>
      </c>
      <c r="Q868" s="106">
        <f>Donnees_annuelles!D124*L868</f>
        <v/>
      </c>
      <c r="R868" s="118">
        <f>P868/Donnees_annuelles!AA124*Donnees_annuelles!AI124/Donnees_annuelles!AG124</f>
        <v/>
      </c>
      <c r="S868" s="118">
        <f>P868/Donnees_annuelles!AA124*Donnees_annuelles!AJ124/Donnees_annuelles!AH124</f>
        <v/>
      </c>
    </row>
    <row r="869">
      <c r="A869" s="115" t="inlineStr">
        <is>
          <t>RATP</t>
        </is>
      </c>
      <c r="B869" s="101" t="n">
        <v>2067</v>
      </c>
      <c r="C869" s="105" t="n">
        <v>0.1</v>
      </c>
      <c r="D869" s="105" t="n">
        <v>0.1295</v>
      </c>
      <c r="E869" s="105" t="n">
        <v>0.1913</v>
      </c>
      <c r="F869" s="116" t="inlineStr">
        <is>
          <t>légal</t>
        </is>
      </c>
      <c r="G869" s="105" t="n">
        <v>0</v>
      </c>
      <c r="H869" s="105" t="n">
        <v>0.00252</v>
      </c>
      <c r="I869" s="105" t="n">
        <v>0.57872</v>
      </c>
      <c r="J869" s="107">
        <f>D869*(1-C869)+G869*MIN(C869,0.2*(1-C869))+H869</f>
        <v/>
      </c>
      <c r="K869" s="107">
        <f>E869*(1-C869)+G869*MIN(C869,0.2*(1-C869))</f>
        <v/>
      </c>
      <c r="L869" s="107">
        <f>I869*(1-C869)</f>
        <v/>
      </c>
      <c r="M869" s="119">
        <f>SUMIFS(Regimes!$G$5:$G$10,Regimes!$A$5:$A$10,A869)</f>
        <v/>
      </c>
      <c r="N869" s="106">
        <f>Donnees_annuelles!D125*J869</f>
        <v/>
      </c>
      <c r="O869" s="106">
        <f>Donnees_annuelles!D125*K869</f>
        <v/>
      </c>
      <c r="P869" s="106">
        <f>N869+O869</f>
        <v/>
      </c>
      <c r="Q869" s="106">
        <f>Donnees_annuelles!D125*L869</f>
        <v/>
      </c>
      <c r="R869" s="118">
        <f>P869/Donnees_annuelles!AA125*Donnees_annuelles!AI125/Donnees_annuelles!AG125</f>
        <v/>
      </c>
      <c r="S869" s="118">
        <f>P869/Donnees_annuelles!AA125*Donnees_annuelles!AJ125/Donnees_annuelles!AH125</f>
        <v/>
      </c>
    </row>
    <row r="870">
      <c r="A870" s="115" t="inlineStr">
        <is>
          <t>RATP</t>
        </is>
      </c>
      <c r="B870" s="101" t="n">
        <v>2068</v>
      </c>
      <c r="C870" s="105" t="n">
        <v>0.1</v>
      </c>
      <c r="D870" s="105" t="n">
        <v>0.1295</v>
      </c>
      <c r="E870" s="105" t="n">
        <v>0.1913</v>
      </c>
      <c r="F870" s="116" t="inlineStr">
        <is>
          <t>légal</t>
        </is>
      </c>
      <c r="G870" s="105" t="n">
        <v>0</v>
      </c>
      <c r="H870" s="105" t="n">
        <v>0.00252</v>
      </c>
      <c r="I870" s="105" t="n">
        <v>0.57872</v>
      </c>
      <c r="J870" s="107">
        <f>D870*(1-C870)+G870*MIN(C870,0.2*(1-C870))+H870</f>
        <v/>
      </c>
      <c r="K870" s="107">
        <f>E870*(1-C870)+G870*MIN(C870,0.2*(1-C870))</f>
        <v/>
      </c>
      <c r="L870" s="107">
        <f>I870*(1-C870)</f>
        <v/>
      </c>
      <c r="M870" s="119">
        <f>SUMIFS(Regimes!$G$5:$G$10,Regimes!$A$5:$A$10,A870)</f>
        <v/>
      </c>
      <c r="N870" s="106">
        <f>Donnees_annuelles!D126*J870</f>
        <v/>
      </c>
      <c r="O870" s="106">
        <f>Donnees_annuelles!D126*K870</f>
        <v/>
      </c>
      <c r="P870" s="106">
        <f>N870+O870</f>
        <v/>
      </c>
      <c r="Q870" s="106">
        <f>Donnees_annuelles!D126*L870</f>
        <v/>
      </c>
      <c r="R870" s="118">
        <f>P870/Donnees_annuelles!AA126*Donnees_annuelles!AI126/Donnees_annuelles!AG126</f>
        <v/>
      </c>
      <c r="S870" s="118">
        <f>P870/Donnees_annuelles!AA126*Donnees_annuelles!AJ126/Donnees_annuelles!AH126</f>
        <v/>
      </c>
    </row>
    <row r="871">
      <c r="A871" s="115" t="inlineStr">
        <is>
          <t>RATP</t>
        </is>
      </c>
      <c r="B871" s="101" t="n">
        <v>2069</v>
      </c>
      <c r="C871" s="105" t="n">
        <v>0.1</v>
      </c>
      <c r="D871" s="105" t="n">
        <v>0.1295</v>
      </c>
      <c r="E871" s="105" t="n">
        <v>0.1913</v>
      </c>
      <c r="F871" s="116" t="inlineStr">
        <is>
          <t>légal</t>
        </is>
      </c>
      <c r="G871" s="105" t="n">
        <v>0</v>
      </c>
      <c r="H871" s="105" t="n">
        <v>0.00252</v>
      </c>
      <c r="I871" s="105" t="n">
        <v>0.57872</v>
      </c>
      <c r="J871" s="107">
        <f>D871*(1-C871)+G871*MIN(C871,0.2*(1-C871))+H871</f>
        <v/>
      </c>
      <c r="K871" s="107">
        <f>E871*(1-C871)+G871*MIN(C871,0.2*(1-C871))</f>
        <v/>
      </c>
      <c r="L871" s="107">
        <f>I871*(1-C871)</f>
        <v/>
      </c>
      <c r="M871" s="119">
        <f>SUMIFS(Regimes!$G$5:$G$10,Regimes!$A$5:$A$10,A871)</f>
        <v/>
      </c>
      <c r="N871" s="106">
        <f>Donnees_annuelles!D127*J871</f>
        <v/>
      </c>
      <c r="O871" s="106">
        <f>Donnees_annuelles!D127*K871</f>
        <v/>
      </c>
      <c r="P871" s="106">
        <f>N871+O871</f>
        <v/>
      </c>
      <c r="Q871" s="106">
        <f>Donnees_annuelles!D127*L871</f>
        <v/>
      </c>
      <c r="R871" s="118">
        <f>P871/Donnees_annuelles!AA127*Donnees_annuelles!AI127/Donnees_annuelles!AG127</f>
        <v/>
      </c>
      <c r="S871" s="118">
        <f>P871/Donnees_annuelles!AA127*Donnees_annuelles!AJ127/Donnees_annuelles!AH127</f>
        <v/>
      </c>
    </row>
    <row r="872">
      <c r="A872" s="115" t="inlineStr">
        <is>
          <t>RATP</t>
        </is>
      </c>
      <c r="B872" s="101" t="n">
        <v>2070</v>
      </c>
      <c r="C872" s="105" t="n">
        <v>0.1</v>
      </c>
      <c r="D872" s="105" t="n">
        <v>0.1295</v>
      </c>
      <c r="E872" s="105" t="n">
        <v>0.1913</v>
      </c>
      <c r="F872" s="116" t="inlineStr">
        <is>
          <t>légal</t>
        </is>
      </c>
      <c r="G872" s="105" t="n">
        <v>0</v>
      </c>
      <c r="H872" s="105" t="n">
        <v>0.00252</v>
      </c>
      <c r="I872" s="105" t="n">
        <v>0.57872</v>
      </c>
      <c r="J872" s="107">
        <f>D872*(1-C872)+G872*MIN(C872,0.2*(1-C872))+H872</f>
        <v/>
      </c>
      <c r="K872" s="107">
        <f>E872*(1-C872)+G872*MIN(C872,0.2*(1-C872))</f>
        <v/>
      </c>
      <c r="L872" s="107">
        <f>I872*(1-C872)</f>
        <v/>
      </c>
      <c r="M872" s="119">
        <f>SUMIFS(Regimes!$G$5:$G$10,Regimes!$A$5:$A$10,A872)</f>
        <v/>
      </c>
      <c r="N872" s="106">
        <f>Donnees_annuelles!D128*J872</f>
        <v/>
      </c>
      <c r="O872" s="106">
        <f>Donnees_annuelles!D128*K872</f>
        <v/>
      </c>
      <c r="P872" s="106">
        <f>N872+O872</f>
        <v/>
      </c>
      <c r="Q872" s="106">
        <f>Donnees_annuelles!D128*L872</f>
        <v/>
      </c>
      <c r="R872" s="118">
        <f>P872/Donnees_annuelles!AA128*Donnees_annuelles!AI128/Donnees_annuelles!AG128</f>
        <v/>
      </c>
      <c r="S872" s="118">
        <f>P872/Donnees_annuelles!AA128*Donnees_annuelles!AJ128/Donnees_annuelles!AH128</f>
        <v/>
      </c>
    </row>
    <row r="873">
      <c r="A873" s="115" t="inlineStr">
        <is>
          <t>RATP</t>
        </is>
      </c>
      <c r="B873" s="101" t="n">
        <v>2071</v>
      </c>
      <c r="C873" s="105" t="n">
        <v>0.1</v>
      </c>
      <c r="D873" s="105" t="n">
        <v>0.1295</v>
      </c>
      <c r="E873" s="105" t="n">
        <v>0.1913</v>
      </c>
      <c r="F873" s="116" t="inlineStr">
        <is>
          <t>légal</t>
        </is>
      </c>
      <c r="G873" s="105" t="n">
        <v>0</v>
      </c>
      <c r="H873" s="105" t="n">
        <v>0.00252</v>
      </c>
      <c r="I873" s="105" t="n">
        <v>0.57872</v>
      </c>
      <c r="J873" s="107">
        <f>D873*(1-C873)+G873*MIN(C873,0.2*(1-C873))+H873</f>
        <v/>
      </c>
      <c r="K873" s="107">
        <f>E873*(1-C873)+G873*MIN(C873,0.2*(1-C873))</f>
        <v/>
      </c>
      <c r="L873" s="107">
        <f>I873*(1-C873)</f>
        <v/>
      </c>
      <c r="M873" s="119">
        <f>SUMIFS(Regimes!$G$5:$G$10,Regimes!$A$5:$A$10,A873)</f>
        <v/>
      </c>
      <c r="N873" s="106">
        <f>Donnees_annuelles!D129*J873</f>
        <v/>
      </c>
      <c r="O873" s="106">
        <f>Donnees_annuelles!D129*K873</f>
        <v/>
      </c>
      <c r="P873" s="106">
        <f>N873+O873</f>
        <v/>
      </c>
      <c r="Q873" s="106">
        <f>Donnees_annuelles!D129*L873</f>
        <v/>
      </c>
      <c r="R873" s="118">
        <f>P873/Donnees_annuelles!AA129*Donnees_annuelles!AI129/Donnees_annuelles!AG129</f>
        <v/>
      </c>
      <c r="S873" s="118">
        <f>P873/Donnees_annuelles!AA129*Donnees_annuelles!AJ129/Donnees_annuelles!AH129</f>
        <v/>
      </c>
    </row>
    <row r="874">
      <c r="A874" s="115" t="inlineStr">
        <is>
          <t>RATP</t>
        </is>
      </c>
      <c r="B874" s="101" t="n">
        <v>2072</v>
      </c>
      <c r="C874" s="105" t="n">
        <v>0.1</v>
      </c>
      <c r="D874" s="105" t="n">
        <v>0.1295</v>
      </c>
      <c r="E874" s="105" t="n">
        <v>0.1913</v>
      </c>
      <c r="F874" s="116" t="inlineStr">
        <is>
          <t>légal</t>
        </is>
      </c>
      <c r="G874" s="105" t="n">
        <v>0</v>
      </c>
      <c r="H874" s="105" t="n">
        <v>0.00252</v>
      </c>
      <c r="I874" s="105" t="n">
        <v>0.57872</v>
      </c>
      <c r="J874" s="107">
        <f>D874*(1-C874)+G874*MIN(C874,0.2*(1-C874))+H874</f>
        <v/>
      </c>
      <c r="K874" s="107">
        <f>E874*(1-C874)+G874*MIN(C874,0.2*(1-C874))</f>
        <v/>
      </c>
      <c r="L874" s="107">
        <f>I874*(1-C874)</f>
        <v/>
      </c>
      <c r="M874" s="119">
        <f>SUMIFS(Regimes!$G$5:$G$10,Regimes!$A$5:$A$10,A874)</f>
        <v/>
      </c>
      <c r="N874" s="106">
        <f>Donnees_annuelles!D130*J874</f>
        <v/>
      </c>
      <c r="O874" s="106">
        <f>Donnees_annuelles!D130*K874</f>
        <v/>
      </c>
      <c r="P874" s="106">
        <f>N874+O874</f>
        <v/>
      </c>
      <c r="Q874" s="106">
        <f>Donnees_annuelles!D130*L874</f>
        <v/>
      </c>
      <c r="R874" s="118">
        <f>P874/Donnees_annuelles!AA130*Donnees_annuelles!AI130/Donnees_annuelles!AG130</f>
        <v/>
      </c>
      <c r="S874" s="118">
        <f>P874/Donnees_annuelles!AA130*Donnees_annuelles!AJ130/Donnees_annuelles!AH130</f>
        <v/>
      </c>
    </row>
    <row r="875">
      <c r="A875" s="115" t="inlineStr">
        <is>
          <t>RATP</t>
        </is>
      </c>
      <c r="B875" s="101" t="n">
        <v>2073</v>
      </c>
      <c r="C875" s="105" t="n">
        <v>0.1</v>
      </c>
      <c r="D875" s="105" t="n">
        <v>0.1295</v>
      </c>
      <c r="E875" s="105" t="n">
        <v>0.1913</v>
      </c>
      <c r="F875" s="116" t="inlineStr">
        <is>
          <t>légal</t>
        </is>
      </c>
      <c r="G875" s="105" t="n">
        <v>0</v>
      </c>
      <c r="H875" s="105" t="n">
        <v>0.00252</v>
      </c>
      <c r="I875" s="105" t="n">
        <v>0.57872</v>
      </c>
      <c r="J875" s="107">
        <f>D875*(1-C875)+G875*MIN(C875,0.2*(1-C875))+H875</f>
        <v/>
      </c>
      <c r="K875" s="107">
        <f>E875*(1-C875)+G875*MIN(C875,0.2*(1-C875))</f>
        <v/>
      </c>
      <c r="L875" s="107">
        <f>I875*(1-C875)</f>
        <v/>
      </c>
      <c r="M875" s="119">
        <f>SUMIFS(Regimes!$G$5:$G$10,Regimes!$A$5:$A$10,A875)</f>
        <v/>
      </c>
      <c r="N875" s="106">
        <f>Donnees_annuelles!D131*J875</f>
        <v/>
      </c>
      <c r="O875" s="106">
        <f>Donnees_annuelles!D131*K875</f>
        <v/>
      </c>
      <c r="P875" s="106">
        <f>N875+O875</f>
        <v/>
      </c>
      <c r="Q875" s="106">
        <f>Donnees_annuelles!D131*L875</f>
        <v/>
      </c>
      <c r="R875" s="118">
        <f>P875/Donnees_annuelles!AA131*Donnees_annuelles!AI131/Donnees_annuelles!AG131</f>
        <v/>
      </c>
      <c r="S875" s="118">
        <f>P875/Donnees_annuelles!AA131*Donnees_annuelles!AJ131/Donnees_annuelles!AH131</f>
        <v/>
      </c>
    </row>
    <row r="876">
      <c r="A876" s="115" t="inlineStr">
        <is>
          <t>RATP</t>
        </is>
      </c>
      <c r="B876" s="101" t="n">
        <v>2074</v>
      </c>
      <c r="C876" s="105" t="n">
        <v>0.1</v>
      </c>
      <c r="D876" s="105" t="n">
        <v>0.1295</v>
      </c>
      <c r="E876" s="105" t="n">
        <v>0.1913</v>
      </c>
      <c r="F876" s="116" t="inlineStr">
        <is>
          <t>légal</t>
        </is>
      </c>
      <c r="G876" s="105" t="n">
        <v>0</v>
      </c>
      <c r="H876" s="105" t="n">
        <v>0.00252</v>
      </c>
      <c r="I876" s="105" t="n">
        <v>0.57872</v>
      </c>
      <c r="J876" s="107">
        <f>D876*(1-C876)+G876*MIN(C876,0.2*(1-C876))+H876</f>
        <v/>
      </c>
      <c r="K876" s="107">
        <f>E876*(1-C876)+G876*MIN(C876,0.2*(1-C876))</f>
        <v/>
      </c>
      <c r="L876" s="107">
        <f>I876*(1-C876)</f>
        <v/>
      </c>
      <c r="M876" s="119">
        <f>SUMIFS(Regimes!$G$5:$G$10,Regimes!$A$5:$A$10,A876)</f>
        <v/>
      </c>
      <c r="N876" s="106">
        <f>Donnees_annuelles!D132*J876</f>
        <v/>
      </c>
      <c r="O876" s="106">
        <f>Donnees_annuelles!D132*K876</f>
        <v/>
      </c>
      <c r="P876" s="106">
        <f>N876+O876</f>
        <v/>
      </c>
      <c r="Q876" s="106">
        <f>Donnees_annuelles!D132*L876</f>
        <v/>
      </c>
      <c r="R876" s="118">
        <f>P876/Donnees_annuelles!AA132*Donnees_annuelles!AI132/Donnees_annuelles!AG132</f>
        <v/>
      </c>
      <c r="S876" s="118">
        <f>P876/Donnees_annuelles!AA132*Donnees_annuelles!AJ132/Donnees_annuelles!AH132</f>
        <v/>
      </c>
    </row>
    <row r="877">
      <c r="A877" s="115" t="inlineStr">
        <is>
          <t>RATP</t>
        </is>
      </c>
      <c r="B877" s="101" t="n">
        <v>2075</v>
      </c>
      <c r="C877" s="105" t="n">
        <v>0.1</v>
      </c>
      <c r="D877" s="105" t="n">
        <v>0.1295</v>
      </c>
      <c r="E877" s="105" t="n">
        <v>0.1913</v>
      </c>
      <c r="F877" s="116" t="inlineStr">
        <is>
          <t>légal</t>
        </is>
      </c>
      <c r="G877" s="105" t="n">
        <v>0</v>
      </c>
      <c r="H877" s="105" t="n">
        <v>0.00252</v>
      </c>
      <c r="I877" s="105" t="n">
        <v>0.57872</v>
      </c>
      <c r="J877" s="107">
        <f>D877*(1-C877)+G877*MIN(C877,0.2*(1-C877))+H877</f>
        <v/>
      </c>
      <c r="K877" s="107">
        <f>E877*(1-C877)+G877*MIN(C877,0.2*(1-C877))</f>
        <v/>
      </c>
      <c r="L877" s="107">
        <f>I877*(1-C877)</f>
        <v/>
      </c>
      <c r="M877" s="119">
        <f>SUMIFS(Regimes!$G$5:$G$10,Regimes!$A$5:$A$10,A877)</f>
        <v/>
      </c>
      <c r="N877" s="106">
        <f>Donnees_annuelles!D133*J877</f>
        <v/>
      </c>
      <c r="O877" s="106">
        <f>Donnees_annuelles!D133*K877</f>
        <v/>
      </c>
      <c r="P877" s="106">
        <f>N877+O877</f>
        <v/>
      </c>
      <c r="Q877" s="106">
        <f>Donnees_annuelles!D133*L877</f>
        <v/>
      </c>
      <c r="R877" s="118">
        <f>P877/Donnees_annuelles!AA133*Donnees_annuelles!AI133/Donnees_annuelles!AG133</f>
        <v/>
      </c>
      <c r="S877" s="118">
        <f>P877/Donnees_annuelles!AA133*Donnees_annuelles!AJ133/Donnees_annuelles!AH133</f>
        <v/>
      </c>
    </row>
    <row r="878">
      <c r="A878" s="115" t="inlineStr">
        <is>
          <t>RATP</t>
        </is>
      </c>
      <c r="B878" s="101" t="n">
        <v>2076</v>
      </c>
      <c r="C878" s="105" t="n">
        <v>0.1</v>
      </c>
      <c r="D878" s="105" t="n">
        <v>0.1295</v>
      </c>
      <c r="E878" s="105" t="n">
        <v>0.1913</v>
      </c>
      <c r="F878" s="116" t="inlineStr">
        <is>
          <t>légal</t>
        </is>
      </c>
      <c r="G878" s="105" t="n">
        <v>0</v>
      </c>
      <c r="H878" s="105" t="n">
        <v>0.00252</v>
      </c>
      <c r="I878" s="105" t="n">
        <v>0.57872</v>
      </c>
      <c r="J878" s="107">
        <f>D878*(1-C878)+G878*MIN(C878,0.2*(1-C878))+H878</f>
        <v/>
      </c>
      <c r="K878" s="107">
        <f>E878*(1-C878)+G878*MIN(C878,0.2*(1-C878))</f>
        <v/>
      </c>
      <c r="L878" s="107">
        <f>I878*(1-C878)</f>
        <v/>
      </c>
      <c r="M878" s="119">
        <f>SUMIFS(Regimes!$G$5:$G$10,Regimes!$A$5:$A$10,A878)</f>
        <v/>
      </c>
      <c r="N878" s="106">
        <f>Donnees_annuelles!D134*J878</f>
        <v/>
      </c>
      <c r="O878" s="106">
        <f>Donnees_annuelles!D134*K878</f>
        <v/>
      </c>
      <c r="P878" s="106">
        <f>N878+O878</f>
        <v/>
      </c>
      <c r="Q878" s="106">
        <f>Donnees_annuelles!D134*L878</f>
        <v/>
      </c>
      <c r="R878" s="118">
        <f>P878/Donnees_annuelles!AA134*Donnees_annuelles!AI134/Donnees_annuelles!AG134</f>
        <v/>
      </c>
      <c r="S878" s="118">
        <f>P878/Donnees_annuelles!AA134*Donnees_annuelles!AJ134/Donnees_annuelles!AH134</f>
        <v/>
      </c>
    </row>
    <row r="879">
      <c r="A879" s="115" t="inlineStr">
        <is>
          <t>RATP</t>
        </is>
      </c>
      <c r="B879" s="101" t="n">
        <v>2077</v>
      </c>
      <c r="C879" s="105" t="n">
        <v>0.1</v>
      </c>
      <c r="D879" s="105" t="n">
        <v>0.1295</v>
      </c>
      <c r="E879" s="105" t="n">
        <v>0.1913</v>
      </c>
      <c r="F879" s="116" t="inlineStr">
        <is>
          <t>légal</t>
        </is>
      </c>
      <c r="G879" s="105" t="n">
        <v>0</v>
      </c>
      <c r="H879" s="105" t="n">
        <v>0.00252</v>
      </c>
      <c r="I879" s="105" t="n">
        <v>0.57872</v>
      </c>
      <c r="J879" s="107">
        <f>D879*(1-C879)+G879*MIN(C879,0.2*(1-C879))+H879</f>
        <v/>
      </c>
      <c r="K879" s="107">
        <f>E879*(1-C879)+G879*MIN(C879,0.2*(1-C879))</f>
        <v/>
      </c>
      <c r="L879" s="107">
        <f>I879*(1-C879)</f>
        <v/>
      </c>
      <c r="M879" s="119">
        <f>SUMIFS(Regimes!$G$5:$G$10,Regimes!$A$5:$A$10,A879)</f>
        <v/>
      </c>
      <c r="N879" s="106">
        <f>Donnees_annuelles!D135*J879</f>
        <v/>
      </c>
      <c r="O879" s="106">
        <f>Donnees_annuelles!D135*K879</f>
        <v/>
      </c>
      <c r="P879" s="106">
        <f>N879+O879</f>
        <v/>
      </c>
      <c r="Q879" s="106">
        <f>Donnees_annuelles!D135*L879</f>
        <v/>
      </c>
      <c r="R879" s="118">
        <f>P879/Donnees_annuelles!AA135*Donnees_annuelles!AI135/Donnees_annuelles!AG135</f>
        <v/>
      </c>
      <c r="S879" s="118">
        <f>P879/Donnees_annuelles!AA135*Donnees_annuelles!AJ135/Donnees_annuelles!AH135</f>
        <v/>
      </c>
    </row>
    <row r="880">
      <c r="A880" s="115" t="inlineStr">
        <is>
          <t>RATP</t>
        </is>
      </c>
      <c r="B880" s="101" t="n">
        <v>2078</v>
      </c>
      <c r="C880" s="105" t="n">
        <v>0.1</v>
      </c>
      <c r="D880" s="105" t="n">
        <v>0.1295</v>
      </c>
      <c r="E880" s="105" t="n">
        <v>0.1913</v>
      </c>
      <c r="F880" s="116" t="inlineStr">
        <is>
          <t>légal</t>
        </is>
      </c>
      <c r="G880" s="105" t="n">
        <v>0</v>
      </c>
      <c r="H880" s="105" t="n">
        <v>0.00252</v>
      </c>
      <c r="I880" s="105" t="n">
        <v>0.57872</v>
      </c>
      <c r="J880" s="107">
        <f>D880*(1-C880)+G880*MIN(C880,0.2*(1-C880))+H880</f>
        <v/>
      </c>
      <c r="K880" s="107">
        <f>E880*(1-C880)+G880*MIN(C880,0.2*(1-C880))</f>
        <v/>
      </c>
      <c r="L880" s="107">
        <f>I880*(1-C880)</f>
        <v/>
      </c>
      <c r="M880" s="119">
        <f>SUMIFS(Regimes!$G$5:$G$10,Regimes!$A$5:$A$10,A880)</f>
        <v/>
      </c>
      <c r="N880" s="106">
        <f>Donnees_annuelles!D136*J880</f>
        <v/>
      </c>
      <c r="O880" s="106">
        <f>Donnees_annuelles!D136*K880</f>
        <v/>
      </c>
      <c r="P880" s="106">
        <f>N880+O880</f>
        <v/>
      </c>
      <c r="Q880" s="106">
        <f>Donnees_annuelles!D136*L880</f>
        <v/>
      </c>
      <c r="R880" s="118">
        <f>P880/Donnees_annuelles!AA136*Donnees_annuelles!AI136/Donnees_annuelles!AG136</f>
        <v/>
      </c>
      <c r="S880" s="118">
        <f>P880/Donnees_annuelles!AA136*Donnees_annuelles!AJ136/Donnees_annuelles!AH136</f>
        <v/>
      </c>
    </row>
    <row r="881">
      <c r="A881" s="115" t="inlineStr">
        <is>
          <t>RATP</t>
        </is>
      </c>
      <c r="B881" s="101" t="n">
        <v>2079</v>
      </c>
      <c r="C881" s="105" t="n">
        <v>0.1</v>
      </c>
      <c r="D881" s="105" t="n">
        <v>0.1295</v>
      </c>
      <c r="E881" s="105" t="n">
        <v>0.1913</v>
      </c>
      <c r="F881" s="116" t="inlineStr">
        <is>
          <t>légal</t>
        </is>
      </c>
      <c r="G881" s="105" t="n">
        <v>0</v>
      </c>
      <c r="H881" s="105" t="n">
        <v>0.00252</v>
      </c>
      <c r="I881" s="105" t="n">
        <v>0.57872</v>
      </c>
      <c r="J881" s="107">
        <f>D881*(1-C881)+G881*MIN(C881,0.2*(1-C881))+H881</f>
        <v/>
      </c>
      <c r="K881" s="107">
        <f>E881*(1-C881)+G881*MIN(C881,0.2*(1-C881))</f>
        <v/>
      </c>
      <c r="L881" s="107">
        <f>I881*(1-C881)</f>
        <v/>
      </c>
      <c r="M881" s="119">
        <f>SUMIFS(Regimes!$G$5:$G$10,Regimes!$A$5:$A$10,A881)</f>
        <v/>
      </c>
      <c r="N881" s="106">
        <f>Donnees_annuelles!D137*J881</f>
        <v/>
      </c>
      <c r="O881" s="106">
        <f>Donnees_annuelles!D137*K881</f>
        <v/>
      </c>
      <c r="P881" s="106">
        <f>N881+O881</f>
        <v/>
      </c>
      <c r="Q881" s="106">
        <f>Donnees_annuelles!D137*L881</f>
        <v/>
      </c>
      <c r="R881" s="118">
        <f>P881/Donnees_annuelles!AA137*Donnees_annuelles!AI137/Donnees_annuelles!AG137</f>
        <v/>
      </c>
      <c r="S881" s="118">
        <f>P881/Donnees_annuelles!AA137*Donnees_annuelles!AJ137/Donnees_annuelles!AH137</f>
        <v/>
      </c>
    </row>
    <row r="882">
      <c r="A882" s="115" t="inlineStr">
        <is>
          <t>RATP</t>
        </is>
      </c>
      <c r="B882" s="101" t="n">
        <v>2080</v>
      </c>
      <c r="C882" s="105" t="n">
        <v>0.1</v>
      </c>
      <c r="D882" s="105" t="n">
        <v>0.1295</v>
      </c>
      <c r="E882" s="105" t="n">
        <v>0.1913</v>
      </c>
      <c r="F882" s="116" t="inlineStr">
        <is>
          <t>légal</t>
        </is>
      </c>
      <c r="G882" s="105" t="n">
        <v>0</v>
      </c>
      <c r="H882" s="105" t="n">
        <v>0.00252</v>
      </c>
      <c r="I882" s="105" t="n">
        <v>0.57872</v>
      </c>
      <c r="J882" s="107">
        <f>D882*(1-C882)+G882*MIN(C882,0.2*(1-C882))+H882</f>
        <v/>
      </c>
      <c r="K882" s="107">
        <f>E882*(1-C882)+G882*MIN(C882,0.2*(1-C882))</f>
        <v/>
      </c>
      <c r="L882" s="107">
        <f>I882*(1-C882)</f>
        <v/>
      </c>
      <c r="M882" s="119">
        <f>SUMIFS(Regimes!$G$5:$G$10,Regimes!$A$5:$A$10,A882)</f>
        <v/>
      </c>
      <c r="N882" s="106">
        <f>Donnees_annuelles!D138*J882</f>
        <v/>
      </c>
      <c r="O882" s="106">
        <f>Donnees_annuelles!D138*K882</f>
        <v/>
      </c>
      <c r="P882" s="106">
        <f>N882+O882</f>
        <v/>
      </c>
      <c r="Q882" s="106">
        <f>Donnees_annuelles!D138*L882</f>
        <v/>
      </c>
      <c r="R882" s="118">
        <f>P882/Donnees_annuelles!AA138*Donnees_annuelles!AI138/Donnees_annuelles!AG138</f>
        <v/>
      </c>
      <c r="S882" s="118">
        <f>P882/Donnees_annuelles!AA138*Donnees_annuelles!AJ138/Donnees_annuelles!AH138</f>
        <v/>
      </c>
    </row>
    <row r="883">
      <c r="A883" s="115" t="inlineStr">
        <is>
          <t>RATP</t>
        </is>
      </c>
      <c r="B883" s="101" t="n">
        <v>2081</v>
      </c>
      <c r="C883" s="105" t="n">
        <v>0.1</v>
      </c>
      <c r="D883" s="105" t="n">
        <v>0.1295</v>
      </c>
      <c r="E883" s="105" t="n">
        <v>0.1913</v>
      </c>
      <c r="F883" s="116" t="inlineStr">
        <is>
          <t>légal</t>
        </is>
      </c>
      <c r="G883" s="105" t="n">
        <v>0</v>
      </c>
      <c r="H883" s="105" t="n">
        <v>0.00252</v>
      </c>
      <c r="I883" s="105" t="n">
        <v>0.57872</v>
      </c>
      <c r="J883" s="107">
        <f>D883*(1-C883)+G883*MIN(C883,0.2*(1-C883))+H883</f>
        <v/>
      </c>
      <c r="K883" s="107">
        <f>E883*(1-C883)+G883*MIN(C883,0.2*(1-C883))</f>
        <v/>
      </c>
      <c r="L883" s="107">
        <f>I883*(1-C883)</f>
        <v/>
      </c>
      <c r="M883" s="119">
        <f>SUMIFS(Regimes!$G$5:$G$10,Regimes!$A$5:$A$10,A883)</f>
        <v/>
      </c>
      <c r="N883" s="106">
        <f>Donnees_annuelles!D139*J883</f>
        <v/>
      </c>
      <c r="O883" s="106">
        <f>Donnees_annuelles!D139*K883</f>
        <v/>
      </c>
      <c r="P883" s="106">
        <f>N883+O883</f>
        <v/>
      </c>
      <c r="Q883" s="106">
        <f>Donnees_annuelles!D139*L883</f>
        <v/>
      </c>
      <c r="R883" s="118">
        <f>P883/Donnees_annuelles!AA139*Donnees_annuelles!AI139/Donnees_annuelles!AG139</f>
        <v/>
      </c>
      <c r="S883" s="118">
        <f>P883/Donnees_annuelles!AA139*Donnees_annuelles!AJ139/Donnees_annuelles!AH139</f>
        <v/>
      </c>
    </row>
    <row r="884">
      <c r="A884" s="115" t="inlineStr">
        <is>
          <t>RATP</t>
        </is>
      </c>
      <c r="B884" s="101" t="n">
        <v>2082</v>
      </c>
      <c r="C884" s="105" t="n">
        <v>0.1</v>
      </c>
      <c r="D884" s="105" t="n">
        <v>0.1295</v>
      </c>
      <c r="E884" s="105" t="n">
        <v>0.1913</v>
      </c>
      <c r="F884" s="116" t="inlineStr">
        <is>
          <t>légal</t>
        </is>
      </c>
      <c r="G884" s="105" t="n">
        <v>0</v>
      </c>
      <c r="H884" s="105" t="n">
        <v>0.00252</v>
      </c>
      <c r="I884" s="105" t="n">
        <v>0.57872</v>
      </c>
      <c r="J884" s="107">
        <f>D884*(1-C884)+G884*MIN(C884,0.2*(1-C884))+H884</f>
        <v/>
      </c>
      <c r="K884" s="107">
        <f>E884*(1-C884)+G884*MIN(C884,0.2*(1-C884))</f>
        <v/>
      </c>
      <c r="L884" s="107">
        <f>I884*(1-C884)</f>
        <v/>
      </c>
      <c r="M884" s="119">
        <f>SUMIFS(Regimes!$G$5:$G$10,Regimes!$A$5:$A$10,A884)</f>
        <v/>
      </c>
      <c r="N884" s="106">
        <f>Donnees_annuelles!D140*J884</f>
        <v/>
      </c>
      <c r="O884" s="106">
        <f>Donnees_annuelles!D140*K884</f>
        <v/>
      </c>
      <c r="P884" s="106">
        <f>N884+O884</f>
        <v/>
      </c>
      <c r="Q884" s="106">
        <f>Donnees_annuelles!D140*L884</f>
        <v/>
      </c>
      <c r="R884" s="118">
        <f>P884/Donnees_annuelles!AA140*Donnees_annuelles!AI140/Donnees_annuelles!AG140</f>
        <v/>
      </c>
      <c r="S884" s="118">
        <f>P884/Donnees_annuelles!AA140*Donnees_annuelles!AJ140/Donnees_annuelles!AH140</f>
        <v/>
      </c>
    </row>
    <row r="885">
      <c r="A885" s="115" t="inlineStr">
        <is>
          <t>RATP</t>
        </is>
      </c>
      <c r="B885" s="101" t="n">
        <v>2083</v>
      </c>
      <c r="C885" s="105" t="n">
        <v>0.1</v>
      </c>
      <c r="D885" s="105" t="n">
        <v>0.1295</v>
      </c>
      <c r="E885" s="105" t="n">
        <v>0.1913</v>
      </c>
      <c r="F885" s="116" t="inlineStr">
        <is>
          <t>légal</t>
        </is>
      </c>
      <c r="G885" s="105" t="n">
        <v>0</v>
      </c>
      <c r="H885" s="105" t="n">
        <v>0.00252</v>
      </c>
      <c r="I885" s="105" t="n">
        <v>0.57872</v>
      </c>
      <c r="J885" s="107">
        <f>D885*(1-C885)+G885*MIN(C885,0.2*(1-C885))+H885</f>
        <v/>
      </c>
      <c r="K885" s="107">
        <f>E885*(1-C885)+G885*MIN(C885,0.2*(1-C885))</f>
        <v/>
      </c>
      <c r="L885" s="107">
        <f>I885*(1-C885)</f>
        <v/>
      </c>
      <c r="M885" s="119">
        <f>SUMIFS(Regimes!$G$5:$G$10,Regimes!$A$5:$A$10,A885)</f>
        <v/>
      </c>
      <c r="N885" s="106">
        <f>Donnees_annuelles!D141*J885</f>
        <v/>
      </c>
      <c r="O885" s="106">
        <f>Donnees_annuelles!D141*K885</f>
        <v/>
      </c>
      <c r="P885" s="106">
        <f>N885+O885</f>
        <v/>
      </c>
      <c r="Q885" s="106">
        <f>Donnees_annuelles!D141*L885</f>
        <v/>
      </c>
      <c r="R885" s="118">
        <f>P885/Donnees_annuelles!AA141*Donnees_annuelles!AI141/Donnees_annuelles!AG141</f>
        <v/>
      </c>
      <c r="S885" s="118">
        <f>P885/Donnees_annuelles!AA141*Donnees_annuelles!AJ141/Donnees_annuelles!AH141</f>
        <v/>
      </c>
    </row>
    <row r="886">
      <c r="A886" s="115" t="inlineStr">
        <is>
          <t>RATP</t>
        </is>
      </c>
      <c r="B886" s="101" t="n">
        <v>2084</v>
      </c>
      <c r="C886" s="105" t="n">
        <v>0.1</v>
      </c>
      <c r="D886" s="105" t="n">
        <v>0.1295</v>
      </c>
      <c r="E886" s="105" t="n">
        <v>0.1913</v>
      </c>
      <c r="F886" s="116" t="inlineStr">
        <is>
          <t>légal</t>
        </is>
      </c>
      <c r="G886" s="105" t="n">
        <v>0</v>
      </c>
      <c r="H886" s="105" t="n">
        <v>0.00252</v>
      </c>
      <c r="I886" s="105" t="n">
        <v>0.57872</v>
      </c>
      <c r="J886" s="107">
        <f>D886*(1-C886)+G886*MIN(C886,0.2*(1-C886))+H886</f>
        <v/>
      </c>
      <c r="K886" s="107">
        <f>E886*(1-C886)+G886*MIN(C886,0.2*(1-C886))</f>
        <v/>
      </c>
      <c r="L886" s="107">
        <f>I886*(1-C886)</f>
        <v/>
      </c>
      <c r="M886" s="119">
        <f>SUMIFS(Regimes!$G$5:$G$10,Regimes!$A$5:$A$10,A886)</f>
        <v/>
      </c>
      <c r="N886" s="106">
        <f>Donnees_annuelles!D142*J886</f>
        <v/>
      </c>
      <c r="O886" s="106">
        <f>Donnees_annuelles!D142*K886</f>
        <v/>
      </c>
      <c r="P886" s="106">
        <f>N886+O886</f>
        <v/>
      </c>
      <c r="Q886" s="106">
        <f>Donnees_annuelles!D142*L886</f>
        <v/>
      </c>
      <c r="R886" s="118">
        <f>P886/Donnees_annuelles!AA142*Donnees_annuelles!AI142/Donnees_annuelles!AG142</f>
        <v/>
      </c>
      <c r="S886" s="118">
        <f>P886/Donnees_annuelles!AA142*Donnees_annuelles!AJ142/Donnees_annuelles!AH142</f>
        <v/>
      </c>
    </row>
    <row r="887">
      <c r="A887" s="115" t="inlineStr">
        <is>
          <t>RATP</t>
        </is>
      </c>
      <c r="B887" s="101" t="n">
        <v>2085</v>
      </c>
      <c r="C887" s="105" t="n">
        <v>0.1</v>
      </c>
      <c r="D887" s="105" t="n">
        <v>0.1295</v>
      </c>
      <c r="E887" s="105" t="n">
        <v>0.1913</v>
      </c>
      <c r="F887" s="116" t="inlineStr">
        <is>
          <t>légal</t>
        </is>
      </c>
      <c r="G887" s="105" t="n">
        <v>0</v>
      </c>
      <c r="H887" s="105" t="n">
        <v>0.00252</v>
      </c>
      <c r="I887" s="105" t="n">
        <v>0.57872</v>
      </c>
      <c r="J887" s="107">
        <f>D887*(1-C887)+G887*MIN(C887,0.2*(1-C887))+H887</f>
        <v/>
      </c>
      <c r="K887" s="107">
        <f>E887*(1-C887)+G887*MIN(C887,0.2*(1-C887))</f>
        <v/>
      </c>
      <c r="L887" s="107">
        <f>I887*(1-C887)</f>
        <v/>
      </c>
      <c r="M887" s="119">
        <f>SUMIFS(Regimes!$G$5:$G$10,Regimes!$A$5:$A$10,A887)</f>
        <v/>
      </c>
      <c r="N887" s="106">
        <f>Donnees_annuelles!D143*J887</f>
        <v/>
      </c>
      <c r="O887" s="106">
        <f>Donnees_annuelles!D143*K887</f>
        <v/>
      </c>
      <c r="P887" s="106">
        <f>N887+O887</f>
        <v/>
      </c>
      <c r="Q887" s="106">
        <f>Donnees_annuelles!D143*L887</f>
        <v/>
      </c>
      <c r="R887" s="118">
        <f>P887/Donnees_annuelles!AA143*Donnees_annuelles!AI143/Donnees_annuelles!AG143</f>
        <v/>
      </c>
      <c r="S887" s="118">
        <f>P887/Donnees_annuelles!AA143*Donnees_annuelles!AJ143/Donnees_annuelles!AH143</f>
        <v/>
      </c>
    </row>
    <row r="888">
      <c r="A888" s="115" t="inlineStr">
        <is>
          <t>RATP</t>
        </is>
      </c>
      <c r="B888" s="101" t="n">
        <v>2086</v>
      </c>
      <c r="C888" s="105" t="n">
        <v>0.1</v>
      </c>
      <c r="D888" s="105" t="n">
        <v>0.1295</v>
      </c>
      <c r="E888" s="105" t="n">
        <v>0.1913</v>
      </c>
      <c r="F888" s="116" t="inlineStr">
        <is>
          <t>légal</t>
        </is>
      </c>
      <c r="G888" s="105" t="n">
        <v>0</v>
      </c>
      <c r="H888" s="105" t="n">
        <v>0.00252</v>
      </c>
      <c r="I888" s="105" t="n">
        <v>0.57872</v>
      </c>
      <c r="J888" s="107">
        <f>D888*(1-C888)+G888*MIN(C888,0.2*(1-C888))+H888</f>
        <v/>
      </c>
      <c r="K888" s="107">
        <f>E888*(1-C888)+G888*MIN(C888,0.2*(1-C888))</f>
        <v/>
      </c>
      <c r="L888" s="107">
        <f>I888*(1-C888)</f>
        <v/>
      </c>
      <c r="M888" s="119">
        <f>SUMIFS(Regimes!$G$5:$G$10,Regimes!$A$5:$A$10,A888)</f>
        <v/>
      </c>
      <c r="N888" s="106">
        <f>Donnees_annuelles!D144*J888</f>
        <v/>
      </c>
      <c r="O888" s="106">
        <f>Donnees_annuelles!D144*K888</f>
        <v/>
      </c>
      <c r="P888" s="106">
        <f>N888+O888</f>
        <v/>
      </c>
      <c r="Q888" s="106">
        <f>Donnees_annuelles!D144*L888</f>
        <v/>
      </c>
      <c r="R888" s="118">
        <f>P888/Donnees_annuelles!AA144*Donnees_annuelles!AI144/Donnees_annuelles!AG144</f>
        <v/>
      </c>
      <c r="S888" s="118">
        <f>P888/Donnees_annuelles!AA144*Donnees_annuelles!AJ144/Donnees_annuelles!AH144</f>
        <v/>
      </c>
    </row>
    <row r="889">
      <c r="A889" s="115" t="inlineStr">
        <is>
          <t>RATP</t>
        </is>
      </c>
      <c r="B889" s="101" t="n">
        <v>2087</v>
      </c>
      <c r="C889" s="105" t="n">
        <v>0.1</v>
      </c>
      <c r="D889" s="105" t="n">
        <v>0.1295</v>
      </c>
      <c r="E889" s="105" t="n">
        <v>0.1913</v>
      </c>
      <c r="F889" s="116" t="inlineStr">
        <is>
          <t>légal</t>
        </is>
      </c>
      <c r="G889" s="105" t="n">
        <v>0</v>
      </c>
      <c r="H889" s="105" t="n">
        <v>0.00252</v>
      </c>
      <c r="I889" s="105" t="n">
        <v>0.57872</v>
      </c>
      <c r="J889" s="107">
        <f>D889*(1-C889)+G889*MIN(C889,0.2*(1-C889))+H889</f>
        <v/>
      </c>
      <c r="K889" s="107">
        <f>E889*(1-C889)+G889*MIN(C889,0.2*(1-C889))</f>
        <v/>
      </c>
      <c r="L889" s="107">
        <f>I889*(1-C889)</f>
        <v/>
      </c>
      <c r="M889" s="119">
        <f>SUMIFS(Regimes!$G$5:$G$10,Regimes!$A$5:$A$10,A889)</f>
        <v/>
      </c>
      <c r="N889" s="106">
        <f>Donnees_annuelles!D145*J889</f>
        <v/>
      </c>
      <c r="O889" s="106">
        <f>Donnees_annuelles!D145*K889</f>
        <v/>
      </c>
      <c r="P889" s="106">
        <f>N889+O889</f>
        <v/>
      </c>
      <c r="Q889" s="106">
        <f>Donnees_annuelles!D145*L889</f>
        <v/>
      </c>
      <c r="R889" s="118">
        <f>P889/Donnees_annuelles!AA145*Donnees_annuelles!AI145/Donnees_annuelles!AG145</f>
        <v/>
      </c>
      <c r="S889" s="118">
        <f>P889/Donnees_annuelles!AA145*Donnees_annuelles!AJ145/Donnees_annuelles!AH145</f>
        <v/>
      </c>
    </row>
    <row r="890">
      <c r="A890" s="115" t="inlineStr">
        <is>
          <t>RATP</t>
        </is>
      </c>
      <c r="B890" s="101" t="n">
        <v>2088</v>
      </c>
      <c r="C890" s="105" t="n">
        <v>0.1</v>
      </c>
      <c r="D890" s="105" t="n">
        <v>0.1295</v>
      </c>
      <c r="E890" s="105" t="n">
        <v>0.1913</v>
      </c>
      <c r="F890" s="116" t="inlineStr">
        <is>
          <t>légal</t>
        </is>
      </c>
      <c r="G890" s="105" t="n">
        <v>0</v>
      </c>
      <c r="H890" s="105" t="n">
        <v>0.00252</v>
      </c>
      <c r="I890" s="105" t="n">
        <v>0.57872</v>
      </c>
      <c r="J890" s="107">
        <f>D890*(1-C890)+G890*MIN(C890,0.2*(1-C890))+H890</f>
        <v/>
      </c>
      <c r="K890" s="107">
        <f>E890*(1-C890)+G890*MIN(C890,0.2*(1-C890))</f>
        <v/>
      </c>
      <c r="L890" s="107">
        <f>I890*(1-C890)</f>
        <v/>
      </c>
      <c r="M890" s="119">
        <f>SUMIFS(Regimes!$G$5:$G$10,Regimes!$A$5:$A$10,A890)</f>
        <v/>
      </c>
      <c r="N890" s="106">
        <f>Donnees_annuelles!D146*J890</f>
        <v/>
      </c>
      <c r="O890" s="106">
        <f>Donnees_annuelles!D146*K890</f>
        <v/>
      </c>
      <c r="P890" s="106">
        <f>N890+O890</f>
        <v/>
      </c>
      <c r="Q890" s="106">
        <f>Donnees_annuelles!D146*L890</f>
        <v/>
      </c>
      <c r="R890" s="118">
        <f>P890/Donnees_annuelles!AA146*Donnees_annuelles!AI146/Donnees_annuelles!AG146</f>
        <v/>
      </c>
      <c r="S890" s="118">
        <f>P890/Donnees_annuelles!AA146*Donnees_annuelles!AJ146/Donnees_annuelles!AH146</f>
        <v/>
      </c>
    </row>
    <row r="891">
      <c r="A891" s="115" t="inlineStr">
        <is>
          <t>RATP</t>
        </is>
      </c>
      <c r="B891" s="101" t="n">
        <v>2089</v>
      </c>
      <c r="C891" s="105" t="n">
        <v>0.1</v>
      </c>
      <c r="D891" s="105" t="n">
        <v>0.1295</v>
      </c>
      <c r="E891" s="105" t="n">
        <v>0.1913</v>
      </c>
      <c r="F891" s="116" t="inlineStr">
        <is>
          <t>légal</t>
        </is>
      </c>
      <c r="G891" s="105" t="n">
        <v>0</v>
      </c>
      <c r="H891" s="105" t="n">
        <v>0.00252</v>
      </c>
      <c r="I891" s="105" t="n">
        <v>0.57872</v>
      </c>
      <c r="J891" s="107">
        <f>D891*(1-C891)+G891*MIN(C891,0.2*(1-C891))+H891</f>
        <v/>
      </c>
      <c r="K891" s="107">
        <f>E891*(1-C891)+G891*MIN(C891,0.2*(1-C891))</f>
        <v/>
      </c>
      <c r="L891" s="107">
        <f>I891*(1-C891)</f>
        <v/>
      </c>
      <c r="M891" s="119">
        <f>SUMIFS(Regimes!$G$5:$G$10,Regimes!$A$5:$A$10,A891)</f>
        <v/>
      </c>
      <c r="N891" s="106">
        <f>Donnees_annuelles!D147*J891</f>
        <v/>
      </c>
      <c r="O891" s="106">
        <f>Donnees_annuelles!D147*K891</f>
        <v/>
      </c>
      <c r="P891" s="106">
        <f>N891+O891</f>
        <v/>
      </c>
      <c r="Q891" s="106">
        <f>Donnees_annuelles!D147*L891</f>
        <v/>
      </c>
      <c r="R891" s="118">
        <f>P891/Donnees_annuelles!AA147*Donnees_annuelles!AI147/Donnees_annuelles!AG147</f>
        <v/>
      </c>
      <c r="S891" s="118">
        <f>P891/Donnees_annuelles!AA147*Donnees_annuelles!AJ147/Donnees_annuelles!AH147</f>
        <v/>
      </c>
    </row>
    <row r="892">
      <c r="A892" s="115" t="inlineStr">
        <is>
          <t>RATP</t>
        </is>
      </c>
      <c r="B892" s="101" t="n">
        <v>2090</v>
      </c>
      <c r="C892" s="105" t="n">
        <v>0.1</v>
      </c>
      <c r="D892" s="105" t="n">
        <v>0.1295</v>
      </c>
      <c r="E892" s="105" t="n">
        <v>0.1913</v>
      </c>
      <c r="F892" s="116" t="inlineStr">
        <is>
          <t>légal</t>
        </is>
      </c>
      <c r="G892" s="105" t="n">
        <v>0</v>
      </c>
      <c r="H892" s="105" t="n">
        <v>0.00252</v>
      </c>
      <c r="I892" s="105" t="n">
        <v>0.57872</v>
      </c>
      <c r="J892" s="107">
        <f>D892*(1-C892)+G892*MIN(C892,0.2*(1-C892))+H892</f>
        <v/>
      </c>
      <c r="K892" s="107">
        <f>E892*(1-C892)+G892*MIN(C892,0.2*(1-C892))</f>
        <v/>
      </c>
      <c r="L892" s="107">
        <f>I892*(1-C892)</f>
        <v/>
      </c>
      <c r="M892" s="119">
        <f>SUMIFS(Regimes!$G$5:$G$10,Regimes!$A$5:$A$10,A892)</f>
        <v/>
      </c>
      <c r="N892" s="106">
        <f>Donnees_annuelles!D148*J892</f>
        <v/>
      </c>
      <c r="O892" s="106">
        <f>Donnees_annuelles!D148*K892</f>
        <v/>
      </c>
      <c r="P892" s="106">
        <f>N892+O892</f>
        <v/>
      </c>
      <c r="Q892" s="106">
        <f>Donnees_annuelles!D148*L892</f>
        <v/>
      </c>
      <c r="R892" s="118">
        <f>P892/Donnees_annuelles!AA148*Donnees_annuelles!AI148/Donnees_annuelles!AG148</f>
        <v/>
      </c>
      <c r="S892" s="118">
        <f>P892/Donnees_annuelles!AA148*Donnees_annuelles!AJ148/Donnees_annuelles!AH148</f>
        <v/>
      </c>
    </row>
    <row r="893">
      <c r="A893" s="115" t="inlineStr">
        <is>
          <t>RATP</t>
        </is>
      </c>
      <c r="B893" s="101" t="n">
        <v>2091</v>
      </c>
      <c r="C893" s="105" t="n">
        <v>0.1</v>
      </c>
      <c r="D893" s="105" t="n">
        <v>0.1295</v>
      </c>
      <c r="E893" s="105" t="n">
        <v>0.1913</v>
      </c>
      <c r="F893" s="116" t="inlineStr">
        <is>
          <t>légal</t>
        </is>
      </c>
      <c r="G893" s="105" t="n">
        <v>0</v>
      </c>
      <c r="H893" s="105" t="n">
        <v>0.00252</v>
      </c>
      <c r="I893" s="105" t="n">
        <v>0.57872</v>
      </c>
      <c r="J893" s="107">
        <f>D893*(1-C893)+G893*MIN(C893,0.2*(1-C893))+H893</f>
        <v/>
      </c>
      <c r="K893" s="107">
        <f>E893*(1-C893)+G893*MIN(C893,0.2*(1-C893))</f>
        <v/>
      </c>
      <c r="L893" s="107">
        <f>I893*(1-C893)</f>
        <v/>
      </c>
      <c r="M893" s="119">
        <f>SUMIFS(Regimes!$G$5:$G$10,Regimes!$A$5:$A$10,A893)</f>
        <v/>
      </c>
      <c r="N893" s="106">
        <f>Donnees_annuelles!D149*J893</f>
        <v/>
      </c>
      <c r="O893" s="106">
        <f>Donnees_annuelles!D149*K893</f>
        <v/>
      </c>
      <c r="P893" s="106">
        <f>N893+O893</f>
        <v/>
      </c>
      <c r="Q893" s="106">
        <f>Donnees_annuelles!D149*L893</f>
        <v/>
      </c>
      <c r="R893" s="118">
        <f>P893/Donnees_annuelles!AA149*Donnees_annuelles!AI149/Donnees_annuelles!AG149</f>
        <v/>
      </c>
      <c r="S893" s="118">
        <f>P893/Donnees_annuelles!AA149*Donnees_annuelles!AJ149/Donnees_annuelles!AH149</f>
        <v/>
      </c>
    </row>
    <row r="894">
      <c r="A894" s="115" t="inlineStr">
        <is>
          <t>RATP</t>
        </is>
      </c>
      <c r="B894" s="101" t="n">
        <v>2092</v>
      </c>
      <c r="C894" s="105" t="n">
        <v>0.1</v>
      </c>
      <c r="D894" s="105" t="n">
        <v>0.1295</v>
      </c>
      <c r="E894" s="105" t="n">
        <v>0.1913</v>
      </c>
      <c r="F894" s="116" t="inlineStr">
        <is>
          <t>légal</t>
        </is>
      </c>
      <c r="G894" s="105" t="n">
        <v>0</v>
      </c>
      <c r="H894" s="105" t="n">
        <v>0.00252</v>
      </c>
      <c r="I894" s="105" t="n">
        <v>0.57872</v>
      </c>
      <c r="J894" s="107">
        <f>D894*(1-C894)+G894*MIN(C894,0.2*(1-C894))+H894</f>
        <v/>
      </c>
      <c r="K894" s="107">
        <f>E894*(1-C894)+G894*MIN(C894,0.2*(1-C894))</f>
        <v/>
      </c>
      <c r="L894" s="107">
        <f>I894*(1-C894)</f>
        <v/>
      </c>
      <c r="M894" s="119">
        <f>SUMIFS(Regimes!$G$5:$G$10,Regimes!$A$5:$A$10,A894)</f>
        <v/>
      </c>
      <c r="N894" s="106">
        <f>Donnees_annuelles!D150*J894</f>
        <v/>
      </c>
      <c r="O894" s="106">
        <f>Donnees_annuelles!D150*K894</f>
        <v/>
      </c>
      <c r="P894" s="106">
        <f>N894+O894</f>
        <v/>
      </c>
      <c r="Q894" s="106">
        <f>Donnees_annuelles!D150*L894</f>
        <v/>
      </c>
      <c r="R894" s="118">
        <f>P894/Donnees_annuelles!AA150*Donnees_annuelles!AI150/Donnees_annuelles!AG150</f>
        <v/>
      </c>
      <c r="S894" s="118">
        <f>P894/Donnees_annuelles!AA150*Donnees_annuelles!AJ150/Donnees_annuelles!AH150</f>
        <v/>
      </c>
    </row>
    <row r="895">
      <c r="A895" s="115" t="inlineStr">
        <is>
          <t>RATP</t>
        </is>
      </c>
      <c r="B895" s="101" t="n">
        <v>2093</v>
      </c>
      <c r="C895" s="105" t="n">
        <v>0.1</v>
      </c>
      <c r="D895" s="105" t="n">
        <v>0.1295</v>
      </c>
      <c r="E895" s="105" t="n">
        <v>0.1913</v>
      </c>
      <c r="F895" s="116" t="inlineStr">
        <is>
          <t>légal</t>
        </is>
      </c>
      <c r="G895" s="105" t="n">
        <v>0</v>
      </c>
      <c r="H895" s="105" t="n">
        <v>0.00252</v>
      </c>
      <c r="I895" s="105" t="n">
        <v>0.57872</v>
      </c>
      <c r="J895" s="107">
        <f>D895*(1-C895)+G895*MIN(C895,0.2*(1-C895))+H895</f>
        <v/>
      </c>
      <c r="K895" s="107">
        <f>E895*(1-C895)+G895*MIN(C895,0.2*(1-C895))</f>
        <v/>
      </c>
      <c r="L895" s="107">
        <f>I895*(1-C895)</f>
        <v/>
      </c>
      <c r="M895" s="119">
        <f>SUMIFS(Regimes!$G$5:$G$10,Regimes!$A$5:$A$10,A895)</f>
        <v/>
      </c>
      <c r="N895" s="106">
        <f>Donnees_annuelles!D151*J895</f>
        <v/>
      </c>
      <c r="O895" s="106">
        <f>Donnees_annuelles!D151*K895</f>
        <v/>
      </c>
      <c r="P895" s="106">
        <f>N895+O895</f>
        <v/>
      </c>
      <c r="Q895" s="106">
        <f>Donnees_annuelles!D151*L895</f>
        <v/>
      </c>
      <c r="R895" s="118">
        <f>P895/Donnees_annuelles!AA151*Donnees_annuelles!AI151/Donnees_annuelles!AG151</f>
        <v/>
      </c>
      <c r="S895" s="118">
        <f>P895/Donnees_annuelles!AA151*Donnees_annuelles!AJ151/Donnees_annuelles!AH151</f>
        <v/>
      </c>
    </row>
    <row r="896">
      <c r="A896" s="115" t="inlineStr">
        <is>
          <t>RATP</t>
        </is>
      </c>
      <c r="B896" s="101" t="n">
        <v>2094</v>
      </c>
      <c r="C896" s="105" t="n">
        <v>0.1</v>
      </c>
      <c r="D896" s="105" t="n">
        <v>0.1295</v>
      </c>
      <c r="E896" s="105" t="n">
        <v>0.1913</v>
      </c>
      <c r="F896" s="116" t="inlineStr">
        <is>
          <t>légal</t>
        </is>
      </c>
      <c r="G896" s="105" t="n">
        <v>0</v>
      </c>
      <c r="H896" s="105" t="n">
        <v>0.00252</v>
      </c>
      <c r="I896" s="105" t="n">
        <v>0.57872</v>
      </c>
      <c r="J896" s="107">
        <f>D896*(1-C896)+G896*MIN(C896,0.2*(1-C896))+H896</f>
        <v/>
      </c>
      <c r="K896" s="107">
        <f>E896*(1-C896)+G896*MIN(C896,0.2*(1-C896))</f>
        <v/>
      </c>
      <c r="L896" s="107">
        <f>I896*(1-C896)</f>
        <v/>
      </c>
      <c r="M896" s="119">
        <f>SUMIFS(Regimes!$G$5:$G$10,Regimes!$A$5:$A$10,A896)</f>
        <v/>
      </c>
      <c r="N896" s="106">
        <f>Donnees_annuelles!D152*J896</f>
        <v/>
      </c>
      <c r="O896" s="106">
        <f>Donnees_annuelles!D152*K896</f>
        <v/>
      </c>
      <c r="P896" s="106">
        <f>N896+O896</f>
        <v/>
      </c>
      <c r="Q896" s="106">
        <f>Donnees_annuelles!D152*L896</f>
        <v/>
      </c>
      <c r="R896" s="118">
        <f>P896/Donnees_annuelles!AA152*Donnees_annuelles!AI152/Donnees_annuelles!AG152</f>
        <v/>
      </c>
      <c r="S896" s="118">
        <f>P896/Donnees_annuelles!AA152*Donnees_annuelles!AJ152/Donnees_annuelles!AH152</f>
        <v/>
      </c>
    </row>
    <row r="897">
      <c r="A897" s="115" t="inlineStr">
        <is>
          <t>RATP</t>
        </is>
      </c>
      <c r="B897" s="101" t="n">
        <v>2095</v>
      </c>
      <c r="C897" s="105" t="n">
        <v>0.1</v>
      </c>
      <c r="D897" s="105" t="n">
        <v>0.1295</v>
      </c>
      <c r="E897" s="105" t="n">
        <v>0.1913</v>
      </c>
      <c r="F897" s="116" t="inlineStr">
        <is>
          <t>légal</t>
        </is>
      </c>
      <c r="G897" s="105" t="n">
        <v>0</v>
      </c>
      <c r="H897" s="105" t="n">
        <v>0.00252</v>
      </c>
      <c r="I897" s="105" t="n">
        <v>0.57872</v>
      </c>
      <c r="J897" s="107">
        <f>D897*(1-C897)+G897*MIN(C897,0.2*(1-C897))+H897</f>
        <v/>
      </c>
      <c r="K897" s="107">
        <f>E897*(1-C897)+G897*MIN(C897,0.2*(1-C897))</f>
        <v/>
      </c>
      <c r="L897" s="107">
        <f>I897*(1-C897)</f>
        <v/>
      </c>
      <c r="M897" s="119">
        <f>SUMIFS(Regimes!$G$5:$G$10,Regimes!$A$5:$A$10,A897)</f>
        <v/>
      </c>
      <c r="N897" s="106">
        <f>Donnees_annuelles!D153*J897</f>
        <v/>
      </c>
      <c r="O897" s="106">
        <f>Donnees_annuelles!D153*K897</f>
        <v/>
      </c>
      <c r="P897" s="106">
        <f>N897+O897</f>
        <v/>
      </c>
      <c r="Q897" s="106">
        <f>Donnees_annuelles!D153*L897</f>
        <v/>
      </c>
      <c r="R897" s="118">
        <f>P897/Donnees_annuelles!AA153*Donnees_annuelles!AI153/Donnees_annuelles!AG153</f>
        <v/>
      </c>
      <c r="S897" s="118">
        <f>P897/Donnees_annuelles!AA153*Donnees_annuelles!AJ153/Donnees_annuelles!AH153</f>
        <v/>
      </c>
    </row>
    <row r="898">
      <c r="A898" s="115" t="inlineStr">
        <is>
          <t>RATP</t>
        </is>
      </c>
      <c r="B898" s="101" t="n">
        <v>2096</v>
      </c>
      <c r="C898" s="105" t="n">
        <v>0.1</v>
      </c>
      <c r="D898" s="105" t="n">
        <v>0.1295</v>
      </c>
      <c r="E898" s="105" t="n">
        <v>0.1913</v>
      </c>
      <c r="F898" s="116" t="inlineStr">
        <is>
          <t>légal</t>
        </is>
      </c>
      <c r="G898" s="105" t="n">
        <v>0</v>
      </c>
      <c r="H898" s="105" t="n">
        <v>0.00252</v>
      </c>
      <c r="I898" s="105" t="n">
        <v>0.57872</v>
      </c>
      <c r="J898" s="107">
        <f>D898*(1-C898)+G898*MIN(C898,0.2*(1-C898))+H898</f>
        <v/>
      </c>
      <c r="K898" s="107">
        <f>E898*(1-C898)+G898*MIN(C898,0.2*(1-C898))</f>
        <v/>
      </c>
      <c r="L898" s="107">
        <f>I898*(1-C898)</f>
        <v/>
      </c>
      <c r="M898" s="119">
        <f>SUMIFS(Regimes!$G$5:$G$10,Regimes!$A$5:$A$10,A898)</f>
        <v/>
      </c>
      <c r="N898" s="106">
        <f>Donnees_annuelles!D154*J898</f>
        <v/>
      </c>
      <c r="O898" s="106">
        <f>Donnees_annuelles!D154*K898</f>
        <v/>
      </c>
      <c r="P898" s="106">
        <f>N898+O898</f>
        <v/>
      </c>
      <c r="Q898" s="106">
        <f>Donnees_annuelles!D154*L898</f>
        <v/>
      </c>
      <c r="R898" s="118">
        <f>P898/Donnees_annuelles!AA154*Donnees_annuelles!AI154/Donnees_annuelles!AG154</f>
        <v/>
      </c>
      <c r="S898" s="118">
        <f>P898/Donnees_annuelles!AA154*Donnees_annuelles!AJ154/Donnees_annuelles!AH154</f>
        <v/>
      </c>
    </row>
    <row r="899">
      <c r="A899" s="115" t="inlineStr">
        <is>
          <t>RATP</t>
        </is>
      </c>
      <c r="B899" s="101" t="n">
        <v>2097</v>
      </c>
      <c r="C899" s="105" t="n">
        <v>0.1</v>
      </c>
      <c r="D899" s="105" t="n">
        <v>0.1295</v>
      </c>
      <c r="E899" s="105" t="n">
        <v>0.1913</v>
      </c>
      <c r="F899" s="116" t="inlineStr">
        <is>
          <t>légal</t>
        </is>
      </c>
      <c r="G899" s="105" t="n">
        <v>0</v>
      </c>
      <c r="H899" s="105" t="n">
        <v>0.00252</v>
      </c>
      <c r="I899" s="105" t="n">
        <v>0.57872</v>
      </c>
      <c r="J899" s="107">
        <f>D899*(1-C899)+G899*MIN(C899,0.2*(1-C899))+H899</f>
        <v/>
      </c>
      <c r="K899" s="107">
        <f>E899*(1-C899)+G899*MIN(C899,0.2*(1-C899))</f>
        <v/>
      </c>
      <c r="L899" s="107">
        <f>I899*(1-C899)</f>
        <v/>
      </c>
      <c r="M899" s="119">
        <f>SUMIFS(Regimes!$G$5:$G$10,Regimes!$A$5:$A$10,A899)</f>
        <v/>
      </c>
      <c r="N899" s="106">
        <f>Donnees_annuelles!D155*J899</f>
        <v/>
      </c>
      <c r="O899" s="106">
        <f>Donnees_annuelles!D155*K899</f>
        <v/>
      </c>
      <c r="P899" s="106">
        <f>N899+O899</f>
        <v/>
      </c>
      <c r="Q899" s="106">
        <f>Donnees_annuelles!D155*L899</f>
        <v/>
      </c>
      <c r="R899" s="118">
        <f>P899/Donnees_annuelles!AA155*Donnees_annuelles!AI155/Donnees_annuelles!AG155</f>
        <v/>
      </c>
      <c r="S899" s="118">
        <f>P899/Donnees_annuelles!AA155*Donnees_annuelles!AJ155/Donnees_annuelles!AH155</f>
        <v/>
      </c>
    </row>
    <row r="900">
      <c r="A900" s="115" t="inlineStr">
        <is>
          <t>RATP</t>
        </is>
      </c>
      <c r="B900" s="101" t="n">
        <v>2098</v>
      </c>
      <c r="C900" s="105" t="n">
        <v>0.1</v>
      </c>
      <c r="D900" s="105" t="n">
        <v>0.1295</v>
      </c>
      <c r="E900" s="105" t="n">
        <v>0.1913</v>
      </c>
      <c r="F900" s="116" t="inlineStr">
        <is>
          <t>légal</t>
        </is>
      </c>
      <c r="G900" s="105" t="n">
        <v>0</v>
      </c>
      <c r="H900" s="105" t="n">
        <v>0.00252</v>
      </c>
      <c r="I900" s="105" t="n">
        <v>0.57872</v>
      </c>
      <c r="J900" s="107">
        <f>D900*(1-C900)+G900*MIN(C900,0.2*(1-C900))+H900</f>
        <v/>
      </c>
      <c r="K900" s="107">
        <f>E900*(1-C900)+G900*MIN(C900,0.2*(1-C900))</f>
        <v/>
      </c>
      <c r="L900" s="107">
        <f>I900*(1-C900)</f>
        <v/>
      </c>
      <c r="M900" s="119">
        <f>SUMIFS(Regimes!$G$5:$G$10,Regimes!$A$5:$A$10,A900)</f>
        <v/>
      </c>
      <c r="N900" s="106">
        <f>Donnees_annuelles!D156*J900</f>
        <v/>
      </c>
      <c r="O900" s="106">
        <f>Donnees_annuelles!D156*K900</f>
        <v/>
      </c>
      <c r="P900" s="106">
        <f>N900+O900</f>
        <v/>
      </c>
      <c r="Q900" s="106">
        <f>Donnees_annuelles!D156*L900</f>
        <v/>
      </c>
      <c r="R900" s="118">
        <f>P900/Donnees_annuelles!AA156*Donnees_annuelles!AI156/Donnees_annuelles!AG156</f>
        <v/>
      </c>
      <c r="S900" s="118">
        <f>P900/Donnees_annuelles!AA156*Donnees_annuelles!AJ156/Donnees_annuelles!AH156</f>
        <v/>
      </c>
    </row>
    <row r="901">
      <c r="A901" s="115" t="inlineStr">
        <is>
          <t>RATP</t>
        </is>
      </c>
      <c r="B901" s="101" t="n">
        <v>2099</v>
      </c>
      <c r="C901" s="105" t="n">
        <v>0.1</v>
      </c>
      <c r="D901" s="105" t="n">
        <v>0.1295</v>
      </c>
      <c r="E901" s="105" t="n">
        <v>0.1913</v>
      </c>
      <c r="F901" s="116" t="inlineStr">
        <is>
          <t>légal</t>
        </is>
      </c>
      <c r="G901" s="105" t="n">
        <v>0</v>
      </c>
      <c r="H901" s="105" t="n">
        <v>0.00252</v>
      </c>
      <c r="I901" s="105" t="n">
        <v>0.57872</v>
      </c>
      <c r="J901" s="107">
        <f>D901*(1-C901)+G901*MIN(C901,0.2*(1-C901))+H901</f>
        <v/>
      </c>
      <c r="K901" s="107">
        <f>E901*(1-C901)+G901*MIN(C901,0.2*(1-C901))</f>
        <v/>
      </c>
      <c r="L901" s="107">
        <f>I901*(1-C901)</f>
        <v/>
      </c>
      <c r="M901" s="119">
        <f>SUMIFS(Regimes!$G$5:$G$10,Regimes!$A$5:$A$10,A901)</f>
        <v/>
      </c>
      <c r="N901" s="106">
        <f>Donnees_annuelles!D157*J901</f>
        <v/>
      </c>
      <c r="O901" s="106">
        <f>Donnees_annuelles!D157*K901</f>
        <v/>
      </c>
      <c r="P901" s="106">
        <f>N901+O901</f>
        <v/>
      </c>
      <c r="Q901" s="106">
        <f>Donnees_annuelles!D157*L901</f>
        <v/>
      </c>
      <c r="R901" s="118">
        <f>P901/Donnees_annuelles!AA157*Donnees_annuelles!AI157/Donnees_annuelles!AG157</f>
        <v/>
      </c>
      <c r="S901" s="118">
        <f>P901/Donnees_annuelles!AA157*Donnees_annuelles!AJ157/Donnees_annuelles!AH157</f>
        <v/>
      </c>
    </row>
    <row r="902">
      <c r="A902" s="115" t="inlineStr">
        <is>
          <t>RATP</t>
        </is>
      </c>
      <c r="B902" s="101" t="n">
        <v>2100</v>
      </c>
      <c r="C902" s="105" t="n">
        <v>0.1</v>
      </c>
      <c r="D902" s="105" t="n">
        <v>0.1295</v>
      </c>
      <c r="E902" s="105" t="n">
        <v>0.1913</v>
      </c>
      <c r="F902" s="116" t="inlineStr">
        <is>
          <t>légal</t>
        </is>
      </c>
      <c r="G902" s="105" t="n">
        <v>0</v>
      </c>
      <c r="H902" s="105" t="n">
        <v>0.00252</v>
      </c>
      <c r="I902" s="105" t="n">
        <v>0.57872</v>
      </c>
      <c r="J902" s="107">
        <f>D902*(1-C902)+G902*MIN(C902,0.2*(1-C902))+H902</f>
        <v/>
      </c>
      <c r="K902" s="107">
        <f>E902*(1-C902)+G902*MIN(C902,0.2*(1-C902))</f>
        <v/>
      </c>
      <c r="L902" s="107">
        <f>I902*(1-C902)</f>
        <v/>
      </c>
      <c r="M902" s="119">
        <f>SUMIFS(Regimes!$G$5:$G$10,Regimes!$A$5:$A$10,A902)</f>
        <v/>
      </c>
      <c r="N902" s="106">
        <f>Donnees_annuelles!D158*J902</f>
        <v/>
      </c>
      <c r="O902" s="106">
        <f>Donnees_annuelles!D158*K902</f>
        <v/>
      </c>
      <c r="P902" s="106">
        <f>N902+O902</f>
        <v/>
      </c>
      <c r="Q902" s="106">
        <f>Donnees_annuelles!D158*L902</f>
        <v/>
      </c>
      <c r="R902" s="118">
        <f>P902/Donnees_annuelles!AA158*Donnees_annuelles!AI158/Donnees_annuelles!AG158</f>
        <v/>
      </c>
      <c r="S902" s="118">
        <f>P902/Donnees_annuelles!AA158*Donnees_annuelles!AJ158/Donnees_annuelles!AH158</f>
        <v/>
      </c>
    </row>
    <row r="903">
      <c r="A903" s="115" t="inlineStr">
        <is>
          <t>RATP</t>
        </is>
      </c>
      <c r="B903" s="101" t="n">
        <v>2101</v>
      </c>
      <c r="C903" s="105" t="n">
        <v>0.1</v>
      </c>
      <c r="D903" s="105" t="n">
        <v>0.1295</v>
      </c>
      <c r="E903" s="105" t="n">
        <v>0.1913</v>
      </c>
      <c r="F903" s="116" t="inlineStr">
        <is>
          <t>légal</t>
        </is>
      </c>
      <c r="G903" s="105" t="n">
        <v>0</v>
      </c>
      <c r="H903" s="105" t="n">
        <v>0.00252</v>
      </c>
      <c r="I903" s="105" t="n">
        <v>0.57872</v>
      </c>
      <c r="J903" s="107">
        <f>D903*(1-C903)+G903*MIN(C903,0.2*(1-C903))+H903</f>
        <v/>
      </c>
      <c r="K903" s="107">
        <f>E903*(1-C903)+G903*MIN(C903,0.2*(1-C903))</f>
        <v/>
      </c>
      <c r="L903" s="107">
        <f>I903*(1-C903)</f>
        <v/>
      </c>
      <c r="M903" s="119">
        <f>SUMIFS(Regimes!$G$5:$G$10,Regimes!$A$5:$A$10,A903)</f>
        <v/>
      </c>
      <c r="N903" s="106">
        <f>Donnees_annuelles!D159*J903</f>
        <v/>
      </c>
      <c r="O903" s="106">
        <f>Donnees_annuelles!D159*K903</f>
        <v/>
      </c>
      <c r="P903" s="106">
        <f>N903+O903</f>
        <v/>
      </c>
      <c r="Q903" s="106">
        <f>Donnees_annuelles!D159*L903</f>
        <v/>
      </c>
      <c r="R903" s="118">
        <f>P903/Donnees_annuelles!AA159*Donnees_annuelles!AI159/Donnees_annuelles!AG159</f>
        <v/>
      </c>
      <c r="S903" s="118">
        <f>P903/Donnees_annuelles!AA159*Donnees_annuelles!AJ159/Donnees_annuelles!AH159</f>
        <v/>
      </c>
    </row>
    <row r="904">
      <c r="A904" s="115" t="inlineStr">
        <is>
          <t>RATP</t>
        </is>
      </c>
      <c r="B904" s="101" t="n">
        <v>2102</v>
      </c>
      <c r="C904" s="105" t="n">
        <v>0.1</v>
      </c>
      <c r="D904" s="105" t="n">
        <v>0.1295</v>
      </c>
      <c r="E904" s="105" t="n">
        <v>0.1913</v>
      </c>
      <c r="F904" s="116" t="inlineStr">
        <is>
          <t>légal</t>
        </is>
      </c>
      <c r="G904" s="105" t="n">
        <v>0</v>
      </c>
      <c r="H904" s="105" t="n">
        <v>0.00252</v>
      </c>
      <c r="I904" s="105" t="n">
        <v>0.57872</v>
      </c>
      <c r="J904" s="107">
        <f>D904*(1-C904)+G904*MIN(C904,0.2*(1-C904))+H904</f>
        <v/>
      </c>
      <c r="K904" s="107">
        <f>E904*(1-C904)+G904*MIN(C904,0.2*(1-C904))</f>
        <v/>
      </c>
      <c r="L904" s="107">
        <f>I904*(1-C904)</f>
        <v/>
      </c>
      <c r="M904" s="119">
        <f>SUMIFS(Regimes!$G$5:$G$10,Regimes!$A$5:$A$10,A904)</f>
        <v/>
      </c>
      <c r="N904" s="106">
        <f>Donnees_annuelles!D160*J904</f>
        <v/>
      </c>
      <c r="O904" s="106">
        <f>Donnees_annuelles!D160*K904</f>
        <v/>
      </c>
      <c r="P904" s="106">
        <f>N904+O904</f>
        <v/>
      </c>
      <c r="Q904" s="106">
        <f>Donnees_annuelles!D160*L904</f>
        <v/>
      </c>
      <c r="R904" s="118">
        <f>P904/Donnees_annuelles!AA160*Donnees_annuelles!AI160/Donnees_annuelles!AG160</f>
        <v/>
      </c>
      <c r="S904" s="118">
        <f>P904/Donnees_annuelles!AA160*Donnees_annuelles!AJ160/Donnees_annuelles!AH160</f>
        <v/>
      </c>
    </row>
    <row r="905">
      <c r="A905" s="115" t="inlineStr">
        <is>
          <t>RATP</t>
        </is>
      </c>
      <c r="B905" s="101" t="n">
        <v>2103</v>
      </c>
      <c r="C905" s="105" t="n">
        <v>0.1</v>
      </c>
      <c r="D905" s="105" t="n">
        <v>0.1295</v>
      </c>
      <c r="E905" s="105" t="n">
        <v>0.1913</v>
      </c>
      <c r="F905" s="116" t="inlineStr">
        <is>
          <t>légal</t>
        </is>
      </c>
      <c r="G905" s="105" t="n">
        <v>0</v>
      </c>
      <c r="H905" s="105" t="n">
        <v>0.00252</v>
      </c>
      <c r="I905" s="105" t="n">
        <v>0.57872</v>
      </c>
      <c r="J905" s="107">
        <f>D905*(1-C905)+G905*MIN(C905,0.2*(1-C905))+H905</f>
        <v/>
      </c>
      <c r="K905" s="107">
        <f>E905*(1-C905)+G905*MIN(C905,0.2*(1-C905))</f>
        <v/>
      </c>
      <c r="L905" s="107">
        <f>I905*(1-C905)</f>
        <v/>
      </c>
      <c r="M905" s="119">
        <f>SUMIFS(Regimes!$G$5:$G$10,Regimes!$A$5:$A$10,A905)</f>
        <v/>
      </c>
      <c r="N905" s="106">
        <f>Donnees_annuelles!D161*J905</f>
        <v/>
      </c>
      <c r="O905" s="106">
        <f>Donnees_annuelles!D161*K905</f>
        <v/>
      </c>
      <c r="P905" s="106">
        <f>N905+O905</f>
        <v/>
      </c>
      <c r="Q905" s="106">
        <f>Donnees_annuelles!D161*L905</f>
        <v/>
      </c>
      <c r="R905" s="118">
        <f>P905/Donnees_annuelles!AA161*Donnees_annuelles!AI161/Donnees_annuelles!AG161</f>
        <v/>
      </c>
      <c r="S905" s="118">
        <f>P905/Donnees_annuelles!AA161*Donnees_annuelles!AJ161/Donnees_annuelles!AH161</f>
        <v/>
      </c>
    </row>
    <row r="906">
      <c r="A906" s="115" t="inlineStr">
        <is>
          <t>RATP</t>
        </is>
      </c>
      <c r="B906" s="101" t="n">
        <v>2104</v>
      </c>
      <c r="C906" s="105" t="n">
        <v>0.1</v>
      </c>
      <c r="D906" s="105" t="n">
        <v>0.1295</v>
      </c>
      <c r="E906" s="105" t="n">
        <v>0.1913</v>
      </c>
      <c r="F906" s="116" t="inlineStr">
        <is>
          <t>légal</t>
        </is>
      </c>
      <c r="G906" s="105" t="n">
        <v>0</v>
      </c>
      <c r="H906" s="105" t="n">
        <v>0.00252</v>
      </c>
      <c r="I906" s="105" t="n">
        <v>0.57872</v>
      </c>
      <c r="J906" s="107">
        <f>D906*(1-C906)+G906*MIN(C906,0.2*(1-C906))+H906</f>
        <v/>
      </c>
      <c r="K906" s="107">
        <f>E906*(1-C906)+G906*MIN(C906,0.2*(1-C906))</f>
        <v/>
      </c>
      <c r="L906" s="107">
        <f>I906*(1-C906)</f>
        <v/>
      </c>
      <c r="M906" s="119">
        <f>SUMIFS(Regimes!$G$5:$G$10,Regimes!$A$5:$A$10,A906)</f>
        <v/>
      </c>
      <c r="N906" s="106">
        <f>Donnees_annuelles!D162*J906</f>
        <v/>
      </c>
      <c r="O906" s="106">
        <f>Donnees_annuelles!D162*K906</f>
        <v/>
      </c>
      <c r="P906" s="106">
        <f>N906+O906</f>
        <v/>
      </c>
      <c r="Q906" s="106">
        <f>Donnees_annuelles!D162*L906</f>
        <v/>
      </c>
      <c r="R906" s="118">
        <f>P906/Donnees_annuelles!AA162*Donnees_annuelles!AI162/Donnees_annuelles!AG162</f>
        <v/>
      </c>
      <c r="S906" s="118">
        <f>P906/Donnees_annuelles!AA162*Donnees_annuelles!AJ162/Donnees_annuelles!AH162</f>
        <v/>
      </c>
    </row>
    <row r="907">
      <c r="A907" s="115" t="inlineStr">
        <is>
          <t>RATP</t>
        </is>
      </c>
      <c r="B907" s="101" t="n">
        <v>2105</v>
      </c>
      <c r="C907" s="105" t="n">
        <v>0.1</v>
      </c>
      <c r="D907" s="105" t="n">
        <v>0.1295</v>
      </c>
      <c r="E907" s="105" t="n">
        <v>0.1913</v>
      </c>
      <c r="F907" s="116" t="inlineStr">
        <is>
          <t>légal</t>
        </is>
      </c>
      <c r="G907" s="105" t="n">
        <v>0</v>
      </c>
      <c r="H907" s="105" t="n">
        <v>0.00252</v>
      </c>
      <c r="I907" s="105" t="n">
        <v>0.57872</v>
      </c>
      <c r="J907" s="107">
        <f>D907*(1-C907)+G907*MIN(C907,0.2*(1-C907))+H907</f>
        <v/>
      </c>
      <c r="K907" s="107">
        <f>E907*(1-C907)+G907*MIN(C907,0.2*(1-C907))</f>
        <v/>
      </c>
      <c r="L907" s="107">
        <f>I907*(1-C907)</f>
        <v/>
      </c>
      <c r="M907" s="119">
        <f>SUMIFS(Regimes!$G$5:$G$10,Regimes!$A$5:$A$10,A907)</f>
        <v/>
      </c>
      <c r="N907" s="106">
        <f>Donnees_annuelles!D163*J907</f>
        <v/>
      </c>
      <c r="O907" s="106">
        <f>Donnees_annuelles!D163*K907</f>
        <v/>
      </c>
      <c r="P907" s="106">
        <f>N907+O907</f>
        <v/>
      </c>
      <c r="Q907" s="106">
        <f>Donnees_annuelles!D163*L907</f>
        <v/>
      </c>
      <c r="R907" s="118">
        <f>P907/Donnees_annuelles!AA163*Donnees_annuelles!AI163/Donnees_annuelles!AG163</f>
        <v/>
      </c>
      <c r="S907" s="118">
        <f>P907/Donnees_annuelles!AA163*Donnees_annuelles!AJ163/Donnees_annuelles!AH163</f>
        <v/>
      </c>
    </row>
    <row r="908">
      <c r="A908" s="115" t="inlineStr">
        <is>
          <t>RATP</t>
        </is>
      </c>
      <c r="B908" s="101" t="n">
        <v>2106</v>
      </c>
      <c r="C908" s="105" t="n">
        <v>0.1</v>
      </c>
      <c r="D908" s="105" t="n">
        <v>0.1295</v>
      </c>
      <c r="E908" s="105" t="n">
        <v>0.1913</v>
      </c>
      <c r="F908" s="116" t="inlineStr">
        <is>
          <t>légal</t>
        </is>
      </c>
      <c r="G908" s="105" t="n">
        <v>0</v>
      </c>
      <c r="H908" s="105" t="n">
        <v>0.00252</v>
      </c>
      <c r="I908" s="105" t="n">
        <v>0.57872</v>
      </c>
      <c r="J908" s="107">
        <f>D908*(1-C908)+G908*MIN(C908,0.2*(1-C908))+H908</f>
        <v/>
      </c>
      <c r="K908" s="107">
        <f>E908*(1-C908)+G908*MIN(C908,0.2*(1-C908))</f>
        <v/>
      </c>
      <c r="L908" s="107">
        <f>I908*(1-C908)</f>
        <v/>
      </c>
      <c r="M908" s="119">
        <f>SUMIFS(Regimes!$G$5:$G$10,Regimes!$A$5:$A$10,A908)</f>
        <v/>
      </c>
      <c r="N908" s="106">
        <f>Donnees_annuelles!D164*J908</f>
        <v/>
      </c>
      <c r="O908" s="106">
        <f>Donnees_annuelles!D164*K908</f>
        <v/>
      </c>
      <c r="P908" s="106">
        <f>N908+O908</f>
        <v/>
      </c>
      <c r="Q908" s="106">
        <f>Donnees_annuelles!D164*L908</f>
        <v/>
      </c>
      <c r="R908" s="118">
        <f>P908/Donnees_annuelles!AA164*Donnees_annuelles!AI164/Donnees_annuelles!AG164</f>
        <v/>
      </c>
      <c r="S908" s="118">
        <f>P908/Donnees_annuelles!AA164*Donnees_annuelles!AJ164/Donnees_annuelles!AH164</f>
        <v/>
      </c>
    </row>
    <row r="909">
      <c r="A909" s="115" t="inlineStr">
        <is>
          <t>RATP</t>
        </is>
      </c>
      <c r="B909" s="101" t="n">
        <v>2107</v>
      </c>
      <c r="C909" s="105" t="n">
        <v>0.1</v>
      </c>
      <c r="D909" s="105" t="n">
        <v>0.1295</v>
      </c>
      <c r="E909" s="105" t="n">
        <v>0.1913</v>
      </c>
      <c r="F909" s="116" t="inlineStr">
        <is>
          <t>légal</t>
        </is>
      </c>
      <c r="G909" s="105" t="n">
        <v>0</v>
      </c>
      <c r="H909" s="105" t="n">
        <v>0.00252</v>
      </c>
      <c r="I909" s="105" t="n">
        <v>0.57872</v>
      </c>
      <c r="J909" s="107">
        <f>D909*(1-C909)+G909*MIN(C909,0.2*(1-C909))+H909</f>
        <v/>
      </c>
      <c r="K909" s="107">
        <f>E909*(1-C909)+G909*MIN(C909,0.2*(1-C909))</f>
        <v/>
      </c>
      <c r="L909" s="107">
        <f>I909*(1-C909)</f>
        <v/>
      </c>
      <c r="M909" s="119">
        <f>SUMIFS(Regimes!$G$5:$G$10,Regimes!$A$5:$A$10,A909)</f>
        <v/>
      </c>
      <c r="N909" s="106">
        <f>Donnees_annuelles!D165*J909</f>
        <v/>
      </c>
      <c r="O909" s="106">
        <f>Donnees_annuelles!D165*K909</f>
        <v/>
      </c>
      <c r="P909" s="106">
        <f>N909+O909</f>
        <v/>
      </c>
      <c r="Q909" s="106">
        <f>Donnees_annuelles!D165*L909</f>
        <v/>
      </c>
      <c r="R909" s="118">
        <f>P909/Donnees_annuelles!AA165*Donnees_annuelles!AI165/Donnees_annuelles!AG165</f>
        <v/>
      </c>
      <c r="S909" s="118">
        <f>P909/Donnees_annuelles!AA165*Donnees_annuelles!AJ165/Donnees_annuelles!AH165</f>
        <v/>
      </c>
    </row>
    <row r="910">
      <c r="A910" s="115" t="inlineStr">
        <is>
          <t>RATP</t>
        </is>
      </c>
      <c r="B910" s="101" t="n">
        <v>2108</v>
      </c>
      <c r="C910" s="105" t="n">
        <v>0.1</v>
      </c>
      <c r="D910" s="105" t="n">
        <v>0.1295</v>
      </c>
      <c r="E910" s="105" t="n">
        <v>0.1913</v>
      </c>
      <c r="F910" s="116" t="inlineStr">
        <is>
          <t>légal</t>
        </is>
      </c>
      <c r="G910" s="105" t="n">
        <v>0</v>
      </c>
      <c r="H910" s="105" t="n">
        <v>0.00252</v>
      </c>
      <c r="I910" s="105" t="n">
        <v>0.57872</v>
      </c>
      <c r="J910" s="107">
        <f>D910*(1-C910)+G910*MIN(C910,0.2*(1-C910))+H910</f>
        <v/>
      </c>
      <c r="K910" s="107">
        <f>E910*(1-C910)+G910*MIN(C910,0.2*(1-C910))</f>
        <v/>
      </c>
      <c r="L910" s="107">
        <f>I910*(1-C910)</f>
        <v/>
      </c>
      <c r="M910" s="119">
        <f>SUMIFS(Regimes!$G$5:$G$10,Regimes!$A$5:$A$10,A910)</f>
        <v/>
      </c>
      <c r="N910" s="106">
        <f>Donnees_annuelles!D166*J910</f>
        <v/>
      </c>
      <c r="O910" s="106">
        <f>Donnees_annuelles!D166*K910</f>
        <v/>
      </c>
      <c r="P910" s="106">
        <f>N910+O910</f>
        <v/>
      </c>
      <c r="Q910" s="106">
        <f>Donnees_annuelles!D166*L910</f>
        <v/>
      </c>
      <c r="R910" s="118">
        <f>P910/Donnees_annuelles!AA166*Donnees_annuelles!AI166/Donnees_annuelles!AG166</f>
        <v/>
      </c>
      <c r="S910" s="118">
        <f>P910/Donnees_annuelles!AA166*Donnees_annuelles!AJ166/Donnees_annuelles!AH166</f>
        <v/>
      </c>
    </row>
    <row r="911">
      <c r="A911" s="115" t="inlineStr">
        <is>
          <t>RATP</t>
        </is>
      </c>
      <c r="B911" s="101" t="n">
        <v>2109</v>
      </c>
      <c r="C911" s="105" t="n">
        <v>0.1</v>
      </c>
      <c r="D911" s="105" t="n">
        <v>0.1295</v>
      </c>
      <c r="E911" s="105" t="n">
        <v>0.1913</v>
      </c>
      <c r="F911" s="116" t="inlineStr">
        <is>
          <t>légal</t>
        </is>
      </c>
      <c r="G911" s="105" t="n">
        <v>0</v>
      </c>
      <c r="H911" s="105" t="n">
        <v>0.00252</v>
      </c>
      <c r="I911" s="105" t="n">
        <v>0.57872</v>
      </c>
      <c r="J911" s="107">
        <f>D911*(1-C911)+G911*MIN(C911,0.2*(1-C911))+H911</f>
        <v/>
      </c>
      <c r="K911" s="107">
        <f>E911*(1-C911)+G911*MIN(C911,0.2*(1-C911))</f>
        <v/>
      </c>
      <c r="L911" s="107">
        <f>I911*(1-C911)</f>
        <v/>
      </c>
      <c r="M911" s="119">
        <f>SUMIFS(Regimes!$G$5:$G$10,Regimes!$A$5:$A$10,A911)</f>
        <v/>
      </c>
      <c r="N911" s="106">
        <f>Donnees_annuelles!D167*J911</f>
        <v/>
      </c>
      <c r="O911" s="106">
        <f>Donnees_annuelles!D167*K911</f>
        <v/>
      </c>
      <c r="P911" s="106">
        <f>N911+O911</f>
        <v/>
      </c>
      <c r="Q911" s="106">
        <f>Donnees_annuelles!D167*L911</f>
        <v/>
      </c>
      <c r="R911" s="118">
        <f>P911/Donnees_annuelles!AA167*Donnees_annuelles!AI167/Donnees_annuelles!AG167</f>
        <v/>
      </c>
      <c r="S911" s="118">
        <f>P911/Donnees_annuelles!AA167*Donnees_annuelles!AJ167/Donnees_annuelles!AH167</f>
        <v/>
      </c>
    </row>
    <row r="912">
      <c r="A912" s="115" t="inlineStr">
        <is>
          <t>RATP</t>
        </is>
      </c>
      <c r="B912" s="101" t="n">
        <v>2110</v>
      </c>
      <c r="C912" s="105" t="n">
        <v>0.1</v>
      </c>
      <c r="D912" s="105" t="n">
        <v>0.1295</v>
      </c>
      <c r="E912" s="105" t="n">
        <v>0.1913</v>
      </c>
      <c r="F912" s="116" t="inlineStr">
        <is>
          <t>légal</t>
        </is>
      </c>
      <c r="G912" s="105" t="n">
        <v>0</v>
      </c>
      <c r="H912" s="105" t="n">
        <v>0.00252</v>
      </c>
      <c r="I912" s="105" t="n">
        <v>0.57872</v>
      </c>
      <c r="J912" s="107">
        <f>D912*(1-C912)+G912*MIN(C912,0.2*(1-C912))+H912</f>
        <v/>
      </c>
      <c r="K912" s="107">
        <f>E912*(1-C912)+G912*MIN(C912,0.2*(1-C912))</f>
        <v/>
      </c>
      <c r="L912" s="107">
        <f>I912*(1-C912)</f>
        <v/>
      </c>
      <c r="M912" s="119">
        <f>SUMIFS(Regimes!$G$5:$G$10,Regimes!$A$5:$A$10,A912)</f>
        <v/>
      </c>
      <c r="N912" s="106">
        <f>Donnees_annuelles!D168*J912</f>
        <v/>
      </c>
      <c r="O912" s="106">
        <f>Donnees_annuelles!D168*K912</f>
        <v/>
      </c>
      <c r="P912" s="106">
        <f>N912+O912</f>
        <v/>
      </c>
      <c r="Q912" s="106">
        <f>Donnees_annuelles!D168*L912</f>
        <v/>
      </c>
      <c r="R912" s="118">
        <f>P912/Donnees_annuelles!AA168*Donnees_annuelles!AI168/Donnees_annuelles!AG168</f>
        <v/>
      </c>
      <c r="S912" s="118">
        <f>P912/Donnees_annuelles!AA168*Donnees_annuelles!AJ168/Donnees_annuelles!AH168</f>
        <v/>
      </c>
    </row>
    <row r="913">
      <c r="A913" s="115" t="inlineStr">
        <is>
          <t>RATP</t>
        </is>
      </c>
      <c r="B913" s="101" t="n">
        <v>2111</v>
      </c>
      <c r="C913" s="105" t="n">
        <v>0.1</v>
      </c>
      <c r="D913" s="105" t="n">
        <v>0.1295</v>
      </c>
      <c r="E913" s="105" t="n">
        <v>0.1913</v>
      </c>
      <c r="F913" s="116" t="inlineStr">
        <is>
          <t>légal</t>
        </is>
      </c>
      <c r="G913" s="105" t="n">
        <v>0</v>
      </c>
      <c r="H913" s="105" t="n">
        <v>0.00252</v>
      </c>
      <c r="I913" s="105" t="n">
        <v>0.57872</v>
      </c>
      <c r="J913" s="107">
        <f>D913*(1-C913)+G913*MIN(C913,0.2*(1-C913))+H913</f>
        <v/>
      </c>
      <c r="K913" s="107">
        <f>E913*(1-C913)+G913*MIN(C913,0.2*(1-C913))</f>
        <v/>
      </c>
      <c r="L913" s="107">
        <f>I913*(1-C913)</f>
        <v/>
      </c>
      <c r="M913" s="119">
        <f>SUMIFS(Regimes!$G$5:$G$10,Regimes!$A$5:$A$10,A913)</f>
        <v/>
      </c>
      <c r="N913" s="106">
        <f>Donnees_annuelles!D169*J913</f>
        <v/>
      </c>
      <c r="O913" s="106">
        <f>Donnees_annuelles!D169*K913</f>
        <v/>
      </c>
      <c r="P913" s="106">
        <f>N913+O913</f>
        <v/>
      </c>
      <c r="Q913" s="106">
        <f>Donnees_annuelles!D169*L913</f>
        <v/>
      </c>
      <c r="R913" s="118">
        <f>P913/Donnees_annuelles!AA169*Donnees_annuelles!AI169/Donnees_annuelles!AG169</f>
        <v/>
      </c>
      <c r="S913" s="118">
        <f>P913/Donnees_annuelles!AA169*Donnees_annuelles!AJ169/Donnees_annuelles!AH169</f>
        <v/>
      </c>
    </row>
    <row r="914">
      <c r="A914" s="115" t="inlineStr">
        <is>
          <t>RATP</t>
        </is>
      </c>
      <c r="B914" s="101" t="n">
        <v>2112</v>
      </c>
      <c r="C914" s="105" t="n">
        <v>0.1</v>
      </c>
      <c r="D914" s="105" t="n">
        <v>0.1295</v>
      </c>
      <c r="E914" s="105" t="n">
        <v>0.1913</v>
      </c>
      <c r="F914" s="116" t="inlineStr">
        <is>
          <t>légal</t>
        </is>
      </c>
      <c r="G914" s="105" t="n">
        <v>0</v>
      </c>
      <c r="H914" s="105" t="n">
        <v>0.00252</v>
      </c>
      <c r="I914" s="105" t="n">
        <v>0.57872</v>
      </c>
      <c r="J914" s="107">
        <f>D914*(1-C914)+G914*MIN(C914,0.2*(1-C914))+H914</f>
        <v/>
      </c>
      <c r="K914" s="107">
        <f>E914*(1-C914)+G914*MIN(C914,0.2*(1-C914))</f>
        <v/>
      </c>
      <c r="L914" s="107">
        <f>I914*(1-C914)</f>
        <v/>
      </c>
      <c r="M914" s="119">
        <f>SUMIFS(Regimes!$G$5:$G$10,Regimes!$A$5:$A$10,A914)</f>
        <v/>
      </c>
      <c r="N914" s="106">
        <f>Donnees_annuelles!D170*J914</f>
        <v/>
      </c>
      <c r="O914" s="106">
        <f>Donnees_annuelles!D170*K914</f>
        <v/>
      </c>
      <c r="P914" s="106">
        <f>N914+O914</f>
        <v/>
      </c>
      <c r="Q914" s="106">
        <f>Donnees_annuelles!D170*L914</f>
        <v/>
      </c>
      <c r="R914" s="118">
        <f>P914/Donnees_annuelles!AA170*Donnees_annuelles!AI170/Donnees_annuelles!AG170</f>
        <v/>
      </c>
      <c r="S914" s="118">
        <f>P914/Donnees_annuelles!AA170*Donnees_annuelles!AJ170/Donnees_annuelles!AH170</f>
        <v/>
      </c>
    </row>
    <row r="915">
      <c r="A915" s="115" t="inlineStr">
        <is>
          <t>RATP</t>
        </is>
      </c>
      <c r="B915" s="101" t="n">
        <v>2113</v>
      </c>
      <c r="C915" s="105" t="n">
        <v>0.1</v>
      </c>
      <c r="D915" s="105" t="n">
        <v>0.1295</v>
      </c>
      <c r="E915" s="105" t="n">
        <v>0.1913</v>
      </c>
      <c r="F915" s="116" t="inlineStr">
        <is>
          <t>légal</t>
        </is>
      </c>
      <c r="G915" s="105" t="n">
        <v>0</v>
      </c>
      <c r="H915" s="105" t="n">
        <v>0.00252</v>
      </c>
      <c r="I915" s="105" t="n">
        <v>0.57872</v>
      </c>
      <c r="J915" s="107">
        <f>D915*(1-C915)+G915*MIN(C915,0.2*(1-C915))+H915</f>
        <v/>
      </c>
      <c r="K915" s="107">
        <f>E915*(1-C915)+G915*MIN(C915,0.2*(1-C915))</f>
        <v/>
      </c>
      <c r="L915" s="107">
        <f>I915*(1-C915)</f>
        <v/>
      </c>
      <c r="M915" s="119">
        <f>SUMIFS(Regimes!$G$5:$G$10,Regimes!$A$5:$A$10,A915)</f>
        <v/>
      </c>
      <c r="N915" s="106">
        <f>Donnees_annuelles!D171*J915</f>
        <v/>
      </c>
      <c r="O915" s="106">
        <f>Donnees_annuelles!D171*K915</f>
        <v/>
      </c>
      <c r="P915" s="106">
        <f>N915+O915</f>
        <v/>
      </c>
      <c r="Q915" s="106">
        <f>Donnees_annuelles!D171*L915</f>
        <v/>
      </c>
      <c r="R915" s="118">
        <f>P915/Donnees_annuelles!AA171*Donnees_annuelles!AI171/Donnees_annuelles!AG171</f>
        <v/>
      </c>
      <c r="S915" s="118">
        <f>P915/Donnees_annuelles!AA171*Donnees_annuelles!AJ171/Donnees_annuelles!AH171</f>
        <v/>
      </c>
    </row>
    <row r="916">
      <c r="A916" s="115" t="inlineStr">
        <is>
          <t>RATP</t>
        </is>
      </c>
      <c r="B916" s="101" t="n">
        <v>2114</v>
      </c>
      <c r="C916" s="105" t="n">
        <v>0.1</v>
      </c>
      <c r="D916" s="105" t="n">
        <v>0.1295</v>
      </c>
      <c r="E916" s="105" t="n">
        <v>0.1913</v>
      </c>
      <c r="F916" s="116" t="inlineStr">
        <is>
          <t>légal</t>
        </is>
      </c>
      <c r="G916" s="105" t="n">
        <v>0</v>
      </c>
      <c r="H916" s="105" t="n">
        <v>0.00252</v>
      </c>
      <c r="I916" s="105" t="n">
        <v>0.57872</v>
      </c>
      <c r="J916" s="107">
        <f>D916*(1-C916)+G916*MIN(C916,0.2*(1-C916))+H916</f>
        <v/>
      </c>
      <c r="K916" s="107">
        <f>E916*(1-C916)+G916*MIN(C916,0.2*(1-C916))</f>
        <v/>
      </c>
      <c r="L916" s="107">
        <f>I916*(1-C916)</f>
        <v/>
      </c>
      <c r="M916" s="119">
        <f>SUMIFS(Regimes!$G$5:$G$10,Regimes!$A$5:$A$10,A916)</f>
        <v/>
      </c>
      <c r="N916" s="106">
        <f>Donnees_annuelles!D172*J916</f>
        <v/>
      </c>
      <c r="O916" s="106">
        <f>Donnees_annuelles!D172*K916</f>
        <v/>
      </c>
      <c r="P916" s="106">
        <f>N916+O916</f>
        <v/>
      </c>
      <c r="Q916" s="106">
        <f>Donnees_annuelles!D172*L916</f>
        <v/>
      </c>
      <c r="R916" s="118">
        <f>P916/Donnees_annuelles!AA172*Donnees_annuelles!AI172/Donnees_annuelles!AG172</f>
        <v/>
      </c>
      <c r="S916" s="118">
        <f>P916/Donnees_annuelles!AA172*Donnees_annuelles!AJ172/Donnees_annuelles!AH172</f>
        <v/>
      </c>
    </row>
    <row r="917">
      <c r="A917" s="115" t="inlineStr">
        <is>
          <t>RATP</t>
        </is>
      </c>
      <c r="B917" s="101" t="n">
        <v>2115</v>
      </c>
      <c r="C917" s="105" t="n">
        <v>0.1</v>
      </c>
      <c r="D917" s="105" t="n">
        <v>0.1295</v>
      </c>
      <c r="E917" s="105" t="n">
        <v>0.1913</v>
      </c>
      <c r="F917" s="116" t="inlineStr">
        <is>
          <t>légal</t>
        </is>
      </c>
      <c r="G917" s="105" t="n">
        <v>0</v>
      </c>
      <c r="H917" s="105" t="n">
        <v>0.00252</v>
      </c>
      <c r="I917" s="105" t="n">
        <v>0.57872</v>
      </c>
      <c r="J917" s="107">
        <f>D917*(1-C917)+G917*MIN(C917,0.2*(1-C917))+H917</f>
        <v/>
      </c>
      <c r="K917" s="107">
        <f>E917*(1-C917)+G917*MIN(C917,0.2*(1-C917))</f>
        <v/>
      </c>
      <c r="L917" s="107">
        <f>I917*(1-C917)</f>
        <v/>
      </c>
      <c r="M917" s="119">
        <f>SUMIFS(Regimes!$G$5:$G$10,Regimes!$A$5:$A$10,A917)</f>
        <v/>
      </c>
      <c r="N917" s="106">
        <f>Donnees_annuelles!D173*J917</f>
        <v/>
      </c>
      <c r="O917" s="106">
        <f>Donnees_annuelles!D173*K917</f>
        <v/>
      </c>
      <c r="P917" s="106">
        <f>N917+O917</f>
        <v/>
      </c>
      <c r="Q917" s="106">
        <f>Donnees_annuelles!D173*L917</f>
        <v/>
      </c>
      <c r="R917" s="118">
        <f>P917/Donnees_annuelles!AA173*Donnees_annuelles!AI173/Donnees_annuelles!AG173</f>
        <v/>
      </c>
      <c r="S917" s="118">
        <f>P917/Donnees_annuelles!AA173*Donnees_annuelles!AJ173/Donnees_annuelles!AH173</f>
        <v/>
      </c>
    </row>
    <row r="918">
      <c r="A918" s="115" t="inlineStr">
        <is>
          <t>RATP</t>
        </is>
      </c>
      <c r="B918" s="101" t="n">
        <v>2116</v>
      </c>
      <c r="C918" s="105" t="n">
        <v>0.1</v>
      </c>
      <c r="D918" s="105" t="n">
        <v>0.1295</v>
      </c>
      <c r="E918" s="105" t="n">
        <v>0.1913</v>
      </c>
      <c r="F918" s="116" t="inlineStr">
        <is>
          <t>légal</t>
        </is>
      </c>
      <c r="G918" s="105" t="n">
        <v>0</v>
      </c>
      <c r="H918" s="105" t="n">
        <v>0.00252</v>
      </c>
      <c r="I918" s="105" t="n">
        <v>0.57872</v>
      </c>
      <c r="J918" s="107">
        <f>D918*(1-C918)+G918*MIN(C918,0.2*(1-C918))+H918</f>
        <v/>
      </c>
      <c r="K918" s="107">
        <f>E918*(1-C918)+G918*MIN(C918,0.2*(1-C918))</f>
        <v/>
      </c>
      <c r="L918" s="107">
        <f>I918*(1-C918)</f>
        <v/>
      </c>
      <c r="M918" s="119">
        <f>SUMIFS(Regimes!$G$5:$G$10,Regimes!$A$5:$A$10,A918)</f>
        <v/>
      </c>
      <c r="N918" s="106">
        <f>Donnees_annuelles!D174*J918</f>
        <v/>
      </c>
      <c r="O918" s="106">
        <f>Donnees_annuelles!D174*K918</f>
        <v/>
      </c>
      <c r="P918" s="106">
        <f>N918+O918</f>
        <v/>
      </c>
      <c r="Q918" s="106">
        <f>Donnees_annuelles!D174*L918</f>
        <v/>
      </c>
      <c r="R918" s="118">
        <f>P918/Donnees_annuelles!AA174*Donnees_annuelles!AI174/Donnees_annuelles!AG174</f>
        <v/>
      </c>
      <c r="S918" s="118">
        <f>P918/Donnees_annuelles!AA174*Donnees_annuelles!AJ174/Donnees_annuelles!AH174</f>
        <v/>
      </c>
    </row>
    <row r="919">
      <c r="A919" s="115" t="inlineStr">
        <is>
          <t>RATP</t>
        </is>
      </c>
      <c r="B919" s="101" t="n">
        <v>2117</v>
      </c>
      <c r="C919" s="105" t="n">
        <v>0.1</v>
      </c>
      <c r="D919" s="105" t="n">
        <v>0.1295</v>
      </c>
      <c r="E919" s="105" t="n">
        <v>0.1913</v>
      </c>
      <c r="F919" s="116" t="inlineStr">
        <is>
          <t>légal</t>
        </is>
      </c>
      <c r="G919" s="105" t="n">
        <v>0</v>
      </c>
      <c r="H919" s="105" t="n">
        <v>0.00252</v>
      </c>
      <c r="I919" s="105" t="n">
        <v>0.57872</v>
      </c>
      <c r="J919" s="107">
        <f>D919*(1-C919)+G919*MIN(C919,0.2*(1-C919))+H919</f>
        <v/>
      </c>
      <c r="K919" s="107">
        <f>E919*(1-C919)+G919*MIN(C919,0.2*(1-C919))</f>
        <v/>
      </c>
      <c r="L919" s="107">
        <f>I919*(1-C919)</f>
        <v/>
      </c>
      <c r="M919" s="119">
        <f>SUMIFS(Regimes!$G$5:$G$10,Regimes!$A$5:$A$10,A919)</f>
        <v/>
      </c>
      <c r="N919" s="106">
        <f>Donnees_annuelles!D175*J919</f>
        <v/>
      </c>
      <c r="O919" s="106">
        <f>Donnees_annuelles!D175*K919</f>
        <v/>
      </c>
      <c r="P919" s="106">
        <f>N919+O919</f>
        <v/>
      </c>
      <c r="Q919" s="106">
        <f>Donnees_annuelles!D175*L919</f>
        <v/>
      </c>
      <c r="R919" s="118">
        <f>P919/Donnees_annuelles!AA175*Donnees_annuelles!AI175/Donnees_annuelles!AG175</f>
        <v/>
      </c>
      <c r="S919" s="118">
        <f>P919/Donnees_annuelles!AA175*Donnees_annuelles!AJ175/Donnees_annuelles!AH175</f>
        <v/>
      </c>
    </row>
    <row r="920">
      <c r="A920" s="115" t="inlineStr">
        <is>
          <t>RATP</t>
        </is>
      </c>
      <c r="B920" s="101" t="n">
        <v>2118</v>
      </c>
      <c r="C920" s="105" t="n">
        <v>0.1</v>
      </c>
      <c r="D920" s="105" t="n">
        <v>0.1295</v>
      </c>
      <c r="E920" s="105" t="n">
        <v>0.1913</v>
      </c>
      <c r="F920" s="116" t="inlineStr">
        <is>
          <t>légal</t>
        </is>
      </c>
      <c r="G920" s="105" t="n">
        <v>0</v>
      </c>
      <c r="H920" s="105" t="n">
        <v>0.00252</v>
      </c>
      <c r="I920" s="105" t="n">
        <v>0.57872</v>
      </c>
      <c r="J920" s="107">
        <f>D920*(1-C920)+G920*MIN(C920,0.2*(1-C920))+H920</f>
        <v/>
      </c>
      <c r="K920" s="107">
        <f>E920*(1-C920)+G920*MIN(C920,0.2*(1-C920))</f>
        <v/>
      </c>
      <c r="L920" s="107">
        <f>I920*(1-C920)</f>
        <v/>
      </c>
      <c r="M920" s="119">
        <f>SUMIFS(Regimes!$G$5:$G$10,Regimes!$A$5:$A$10,A920)</f>
        <v/>
      </c>
      <c r="N920" s="106">
        <f>Donnees_annuelles!D176*J920</f>
        <v/>
      </c>
      <c r="O920" s="106">
        <f>Donnees_annuelles!D176*K920</f>
        <v/>
      </c>
      <c r="P920" s="106">
        <f>N920+O920</f>
        <v/>
      </c>
      <c r="Q920" s="106">
        <f>Donnees_annuelles!D176*L920</f>
        <v/>
      </c>
      <c r="R920" s="118">
        <f>P920/Donnees_annuelles!AA176*Donnees_annuelles!AI176/Donnees_annuelles!AG176</f>
        <v/>
      </c>
      <c r="S920" s="118">
        <f>P920/Donnees_annuelles!AA176*Donnees_annuelles!AJ176/Donnees_annuelles!AH176</f>
        <v/>
      </c>
    </row>
    <row r="921">
      <c r="A921" s="115" t="inlineStr">
        <is>
          <t>RATP</t>
        </is>
      </c>
      <c r="B921" s="101" t="n">
        <v>2119</v>
      </c>
      <c r="C921" s="105" t="n">
        <v>0.1</v>
      </c>
      <c r="D921" s="105" t="n">
        <v>0.1295</v>
      </c>
      <c r="E921" s="105" t="n">
        <v>0.1913</v>
      </c>
      <c r="F921" s="116" t="inlineStr">
        <is>
          <t>légal</t>
        </is>
      </c>
      <c r="G921" s="105" t="n">
        <v>0</v>
      </c>
      <c r="H921" s="105" t="n">
        <v>0.00252</v>
      </c>
      <c r="I921" s="105" t="n">
        <v>0.57872</v>
      </c>
      <c r="J921" s="107">
        <f>D921*(1-C921)+G921*MIN(C921,0.2*(1-C921))+H921</f>
        <v/>
      </c>
      <c r="K921" s="107">
        <f>E921*(1-C921)+G921*MIN(C921,0.2*(1-C921))</f>
        <v/>
      </c>
      <c r="L921" s="107">
        <f>I921*(1-C921)</f>
        <v/>
      </c>
      <c r="M921" s="119">
        <f>SUMIFS(Regimes!$G$5:$G$10,Regimes!$A$5:$A$10,A921)</f>
        <v/>
      </c>
      <c r="N921" s="106">
        <f>Donnees_annuelles!D177*J921</f>
        <v/>
      </c>
      <c r="O921" s="106">
        <f>Donnees_annuelles!D177*K921</f>
        <v/>
      </c>
      <c r="P921" s="106">
        <f>N921+O921</f>
        <v/>
      </c>
      <c r="Q921" s="106">
        <f>Donnees_annuelles!D177*L921</f>
        <v/>
      </c>
      <c r="R921" s="118">
        <f>P921/Donnees_annuelles!AA177*Donnees_annuelles!AI177/Donnees_annuelles!AG177</f>
        <v/>
      </c>
      <c r="S921" s="118">
        <f>P921/Donnees_annuelles!AA177*Donnees_annuelles!AJ177/Donnees_annuelles!AH177</f>
        <v/>
      </c>
    </row>
    <row r="922">
      <c r="A922" s="115" t="inlineStr">
        <is>
          <t>RATP</t>
        </is>
      </c>
      <c r="B922" s="101" t="n">
        <v>2120</v>
      </c>
      <c r="C922" s="105" t="n">
        <v>0.1</v>
      </c>
      <c r="D922" s="105" t="n">
        <v>0.1295</v>
      </c>
      <c r="E922" s="105" t="n">
        <v>0.1913</v>
      </c>
      <c r="F922" s="116" t="inlineStr">
        <is>
          <t>légal</t>
        </is>
      </c>
      <c r="G922" s="105" t="n">
        <v>0</v>
      </c>
      <c r="H922" s="105" t="n">
        <v>0.00252</v>
      </c>
      <c r="I922" s="105" t="n">
        <v>0.57872</v>
      </c>
      <c r="J922" s="107">
        <f>D922*(1-C922)+G922*MIN(C922,0.2*(1-C922))+H922</f>
        <v/>
      </c>
      <c r="K922" s="107">
        <f>E922*(1-C922)+G922*MIN(C922,0.2*(1-C922))</f>
        <v/>
      </c>
      <c r="L922" s="107">
        <f>I922*(1-C922)</f>
        <v/>
      </c>
      <c r="M922" s="119">
        <f>SUMIFS(Regimes!$G$5:$G$10,Regimes!$A$5:$A$10,A922)</f>
        <v/>
      </c>
      <c r="N922" s="106">
        <f>Donnees_annuelles!D178*J922</f>
        <v/>
      </c>
      <c r="O922" s="106">
        <f>Donnees_annuelles!D178*K922</f>
        <v/>
      </c>
      <c r="P922" s="106">
        <f>N922+O922</f>
        <v/>
      </c>
      <c r="Q922" s="106">
        <f>Donnees_annuelles!D178*L922</f>
        <v/>
      </c>
      <c r="R922" s="118">
        <f>P922/Donnees_annuelles!AA178*Donnees_annuelles!AI178/Donnees_annuelles!AG178</f>
        <v/>
      </c>
      <c r="S922" s="118">
        <f>P922/Donnees_annuelles!AA178*Donnees_annuelles!AJ178/Donnees_annuelles!AH178</f>
        <v/>
      </c>
    </row>
    <row r="923">
      <c r="A923" s="115" t="inlineStr">
        <is>
          <t>RATP</t>
        </is>
      </c>
      <c r="B923" s="101" t="n">
        <v>2121</v>
      </c>
      <c r="C923" s="105" t="n">
        <v>0.1</v>
      </c>
      <c r="D923" s="105" t="n">
        <v>0.1295</v>
      </c>
      <c r="E923" s="105" t="n">
        <v>0.1913</v>
      </c>
      <c r="F923" s="116" t="inlineStr">
        <is>
          <t>légal</t>
        </is>
      </c>
      <c r="G923" s="105" t="n">
        <v>0</v>
      </c>
      <c r="H923" s="105" t="n">
        <v>0.00252</v>
      </c>
      <c r="I923" s="105" t="n">
        <v>0.57872</v>
      </c>
      <c r="J923" s="107">
        <f>D923*(1-C923)+G923*MIN(C923,0.2*(1-C923))+H923</f>
        <v/>
      </c>
      <c r="K923" s="107">
        <f>E923*(1-C923)+G923*MIN(C923,0.2*(1-C923))</f>
        <v/>
      </c>
      <c r="L923" s="107">
        <f>I923*(1-C923)</f>
        <v/>
      </c>
      <c r="M923" s="119">
        <f>SUMIFS(Regimes!$G$5:$G$10,Regimes!$A$5:$A$10,A923)</f>
        <v/>
      </c>
      <c r="N923" s="106">
        <f>Donnees_annuelles!D179*J923</f>
        <v/>
      </c>
      <c r="O923" s="106">
        <f>Donnees_annuelles!D179*K923</f>
        <v/>
      </c>
      <c r="P923" s="106">
        <f>N923+O923</f>
        <v/>
      </c>
      <c r="Q923" s="106">
        <f>Donnees_annuelles!D179*L923</f>
        <v/>
      </c>
      <c r="R923" s="118">
        <f>P923/Donnees_annuelles!AA179*Donnees_annuelles!AI179/Donnees_annuelles!AG179</f>
        <v/>
      </c>
      <c r="S923" s="118">
        <f>P923/Donnees_annuelles!AA179*Donnees_annuelles!AJ179/Donnees_annuelles!AH179</f>
        <v/>
      </c>
    </row>
    <row r="924">
      <c r="A924" s="115" t="inlineStr">
        <is>
          <t>RATP</t>
        </is>
      </c>
      <c r="B924" s="101" t="n">
        <v>2122</v>
      </c>
      <c r="C924" s="105" t="n">
        <v>0.1</v>
      </c>
      <c r="D924" s="105" t="n">
        <v>0.1295</v>
      </c>
      <c r="E924" s="105" t="n">
        <v>0.1913</v>
      </c>
      <c r="F924" s="116" t="inlineStr">
        <is>
          <t>légal</t>
        </is>
      </c>
      <c r="G924" s="105" t="n">
        <v>0</v>
      </c>
      <c r="H924" s="105" t="n">
        <v>0.00252</v>
      </c>
      <c r="I924" s="105" t="n">
        <v>0.57872</v>
      </c>
      <c r="J924" s="107">
        <f>D924*(1-C924)+G924*MIN(C924,0.2*(1-C924))+H924</f>
        <v/>
      </c>
      <c r="K924" s="107">
        <f>E924*(1-C924)+G924*MIN(C924,0.2*(1-C924))</f>
        <v/>
      </c>
      <c r="L924" s="107">
        <f>I924*(1-C924)</f>
        <v/>
      </c>
      <c r="M924" s="119">
        <f>SUMIFS(Regimes!$G$5:$G$10,Regimes!$A$5:$A$10,A924)</f>
        <v/>
      </c>
      <c r="N924" s="106">
        <f>Donnees_annuelles!D180*J924</f>
        <v/>
      </c>
      <c r="O924" s="106">
        <f>Donnees_annuelles!D180*K924</f>
        <v/>
      </c>
      <c r="P924" s="106">
        <f>N924+O924</f>
        <v/>
      </c>
      <c r="Q924" s="106">
        <f>Donnees_annuelles!D180*L924</f>
        <v/>
      </c>
      <c r="R924" s="118">
        <f>P924/Donnees_annuelles!AA180*Donnees_annuelles!AI180/Donnees_annuelles!AG180</f>
        <v/>
      </c>
      <c r="S924" s="118">
        <f>P924/Donnees_annuelles!AA180*Donnees_annuelles!AJ180/Donnees_annuelles!AH180</f>
        <v/>
      </c>
    </row>
    <row r="925">
      <c r="A925" s="115" t="inlineStr">
        <is>
          <t>RATP</t>
        </is>
      </c>
      <c r="B925" s="101" t="n">
        <v>2123</v>
      </c>
      <c r="C925" s="105" t="n">
        <v>0.1</v>
      </c>
      <c r="D925" s="105" t="n">
        <v>0.1295</v>
      </c>
      <c r="E925" s="105" t="n">
        <v>0.1913</v>
      </c>
      <c r="F925" s="116" t="inlineStr">
        <is>
          <t>légal</t>
        </is>
      </c>
      <c r="G925" s="105" t="n">
        <v>0</v>
      </c>
      <c r="H925" s="105" t="n">
        <v>0.00252</v>
      </c>
      <c r="I925" s="105" t="n">
        <v>0.57872</v>
      </c>
      <c r="J925" s="107">
        <f>D925*(1-C925)+G925*MIN(C925,0.2*(1-C925))+H925</f>
        <v/>
      </c>
      <c r="K925" s="107">
        <f>E925*(1-C925)+G925*MIN(C925,0.2*(1-C925))</f>
        <v/>
      </c>
      <c r="L925" s="107">
        <f>I925*(1-C925)</f>
        <v/>
      </c>
      <c r="M925" s="119">
        <f>SUMIFS(Regimes!$G$5:$G$10,Regimes!$A$5:$A$10,A925)</f>
        <v/>
      </c>
      <c r="N925" s="106">
        <f>Donnees_annuelles!D181*J925</f>
        <v/>
      </c>
      <c r="O925" s="106">
        <f>Donnees_annuelles!D181*K925</f>
        <v/>
      </c>
      <c r="P925" s="106">
        <f>N925+O925</f>
        <v/>
      </c>
      <c r="Q925" s="106">
        <f>Donnees_annuelles!D181*L925</f>
        <v/>
      </c>
      <c r="R925" s="118">
        <f>P925/Donnees_annuelles!AA181*Donnees_annuelles!AI181/Donnees_annuelles!AG181</f>
        <v/>
      </c>
      <c r="S925" s="118">
        <f>P925/Donnees_annuelles!AA181*Donnees_annuelles!AJ181/Donnees_annuelles!AH181</f>
        <v/>
      </c>
    </row>
    <row r="926">
      <c r="A926" s="115" t="inlineStr">
        <is>
          <t>RATP</t>
        </is>
      </c>
      <c r="B926" s="101" t="n">
        <v>2124</v>
      </c>
      <c r="C926" s="105" t="n">
        <v>0.1</v>
      </c>
      <c r="D926" s="105" t="n">
        <v>0.1295</v>
      </c>
      <c r="E926" s="105" t="n">
        <v>0.1913</v>
      </c>
      <c r="F926" s="116" t="inlineStr">
        <is>
          <t>légal</t>
        </is>
      </c>
      <c r="G926" s="105" t="n">
        <v>0</v>
      </c>
      <c r="H926" s="105" t="n">
        <v>0.00252</v>
      </c>
      <c r="I926" s="105" t="n">
        <v>0.57872</v>
      </c>
      <c r="J926" s="107">
        <f>D926*(1-C926)+G926*MIN(C926,0.2*(1-C926))+H926</f>
        <v/>
      </c>
      <c r="K926" s="107">
        <f>E926*(1-C926)+G926*MIN(C926,0.2*(1-C926))</f>
        <v/>
      </c>
      <c r="L926" s="107">
        <f>I926*(1-C926)</f>
        <v/>
      </c>
      <c r="M926" s="119">
        <f>SUMIFS(Regimes!$G$5:$G$10,Regimes!$A$5:$A$10,A926)</f>
        <v/>
      </c>
      <c r="N926" s="106">
        <f>Donnees_annuelles!D182*J926</f>
        <v/>
      </c>
      <c r="O926" s="106">
        <f>Donnees_annuelles!D182*K926</f>
        <v/>
      </c>
      <c r="P926" s="106">
        <f>N926+O926</f>
        <v/>
      </c>
      <c r="Q926" s="106">
        <f>Donnees_annuelles!D182*L926</f>
        <v/>
      </c>
      <c r="R926" s="118">
        <f>P926/Donnees_annuelles!AA182*Donnees_annuelles!AI182/Donnees_annuelles!AG182</f>
        <v/>
      </c>
      <c r="S926" s="118">
        <f>P926/Donnees_annuelles!AA182*Donnees_annuelles!AJ182/Donnees_annuelles!AH182</f>
        <v/>
      </c>
    </row>
    <row r="927">
      <c r="A927" s="115" t="inlineStr">
        <is>
          <t>RATP</t>
        </is>
      </c>
      <c r="B927" s="101" t="n">
        <v>2125</v>
      </c>
      <c r="C927" s="105" t="n">
        <v>0.1</v>
      </c>
      <c r="D927" s="105" t="n">
        <v>0.1295</v>
      </c>
      <c r="E927" s="105" t="n">
        <v>0.1913</v>
      </c>
      <c r="F927" s="116" t="inlineStr">
        <is>
          <t>légal</t>
        </is>
      </c>
      <c r="G927" s="105" t="n">
        <v>0</v>
      </c>
      <c r="H927" s="105" t="n">
        <v>0.00252</v>
      </c>
      <c r="I927" s="105" t="n">
        <v>0.57872</v>
      </c>
      <c r="J927" s="107">
        <f>D927*(1-C927)+G927*MIN(C927,0.2*(1-C927))+H927</f>
        <v/>
      </c>
      <c r="K927" s="107">
        <f>E927*(1-C927)+G927*MIN(C927,0.2*(1-C927))</f>
        <v/>
      </c>
      <c r="L927" s="107">
        <f>I927*(1-C927)</f>
        <v/>
      </c>
      <c r="M927" s="119">
        <f>SUMIFS(Regimes!$G$5:$G$10,Regimes!$A$5:$A$10,A927)</f>
        <v/>
      </c>
      <c r="N927" s="106">
        <f>Donnees_annuelles!D183*J927</f>
        <v/>
      </c>
      <c r="O927" s="106">
        <f>Donnees_annuelles!D183*K927</f>
        <v/>
      </c>
      <c r="P927" s="106">
        <f>N927+O927</f>
        <v/>
      </c>
      <c r="Q927" s="106">
        <f>Donnees_annuelles!D183*L927</f>
        <v/>
      </c>
      <c r="R927" s="118">
        <f>P927/Donnees_annuelles!AA183*Donnees_annuelles!AI183/Donnees_annuelles!AG183</f>
        <v/>
      </c>
      <c r="S927" s="118">
        <f>P927/Donnees_annuelles!AA183*Donnees_annuelles!AJ183/Donnees_annuelles!AH183</f>
        <v/>
      </c>
    </row>
    <row r="928">
      <c r="A928" s="115" t="inlineStr">
        <is>
          <t>RATP</t>
        </is>
      </c>
      <c r="B928" s="101" t="n">
        <v>2126</v>
      </c>
      <c r="C928" s="105" t="n">
        <v>0.1</v>
      </c>
      <c r="D928" s="105" t="n">
        <v>0.1295</v>
      </c>
      <c r="E928" s="105" t="n">
        <v>0.1913</v>
      </c>
      <c r="F928" s="116" t="inlineStr">
        <is>
          <t>légal</t>
        </is>
      </c>
      <c r="G928" s="105" t="n">
        <v>0</v>
      </c>
      <c r="H928" s="105" t="n">
        <v>0.00252</v>
      </c>
      <c r="I928" s="105" t="n">
        <v>0.57872</v>
      </c>
      <c r="J928" s="107">
        <f>D928*(1-C928)+G928*MIN(C928,0.2*(1-C928))+H928</f>
        <v/>
      </c>
      <c r="K928" s="107">
        <f>E928*(1-C928)+G928*MIN(C928,0.2*(1-C928))</f>
        <v/>
      </c>
      <c r="L928" s="107">
        <f>I928*(1-C928)</f>
        <v/>
      </c>
      <c r="M928" s="119">
        <f>SUMIFS(Regimes!$G$5:$G$10,Regimes!$A$5:$A$10,A928)</f>
        <v/>
      </c>
      <c r="N928" s="106">
        <f>Donnees_annuelles!D184*J928</f>
        <v/>
      </c>
      <c r="O928" s="106">
        <f>Donnees_annuelles!D184*K928</f>
        <v/>
      </c>
      <c r="P928" s="106">
        <f>N928+O928</f>
        <v/>
      </c>
      <c r="Q928" s="106">
        <f>Donnees_annuelles!D184*L928</f>
        <v/>
      </c>
      <c r="R928" s="118">
        <f>P928/Donnees_annuelles!AA184*Donnees_annuelles!AI184/Donnees_annuelles!AG184</f>
        <v/>
      </c>
      <c r="S928" s="118">
        <f>P928/Donnees_annuelles!AA184*Donnees_annuelles!AJ184/Donnees_annuelles!AH184</f>
        <v/>
      </c>
    </row>
    <row r="929">
      <c r="A929" s="115" t="inlineStr">
        <is>
          <t>RATP</t>
        </is>
      </c>
      <c r="B929" s="101" t="n">
        <v>2127</v>
      </c>
      <c r="C929" s="105" t="n">
        <v>0.1</v>
      </c>
      <c r="D929" s="105" t="n">
        <v>0.1295</v>
      </c>
      <c r="E929" s="105" t="n">
        <v>0.1913</v>
      </c>
      <c r="F929" s="116" t="inlineStr">
        <is>
          <t>légal</t>
        </is>
      </c>
      <c r="G929" s="105" t="n">
        <v>0</v>
      </c>
      <c r="H929" s="105" t="n">
        <v>0.00252</v>
      </c>
      <c r="I929" s="105" t="n">
        <v>0.57872</v>
      </c>
      <c r="J929" s="107">
        <f>D929*(1-C929)+G929*MIN(C929,0.2*(1-C929))+H929</f>
        <v/>
      </c>
      <c r="K929" s="107">
        <f>E929*(1-C929)+G929*MIN(C929,0.2*(1-C929))</f>
        <v/>
      </c>
      <c r="L929" s="107">
        <f>I929*(1-C929)</f>
        <v/>
      </c>
      <c r="M929" s="119">
        <f>SUMIFS(Regimes!$G$5:$G$10,Regimes!$A$5:$A$10,A929)</f>
        <v/>
      </c>
      <c r="N929" s="106">
        <f>Donnees_annuelles!D185*J929</f>
        <v/>
      </c>
      <c r="O929" s="106">
        <f>Donnees_annuelles!D185*K929</f>
        <v/>
      </c>
      <c r="P929" s="106">
        <f>N929+O929</f>
        <v/>
      </c>
      <c r="Q929" s="106">
        <f>Donnees_annuelles!D185*L929</f>
        <v/>
      </c>
      <c r="R929" s="118">
        <f>P929/Donnees_annuelles!AA185*Donnees_annuelles!AI185/Donnees_annuelles!AG185</f>
        <v/>
      </c>
      <c r="S929" s="118">
        <f>P929/Donnees_annuelles!AA185*Donnees_annuelles!AJ185/Donnees_annuelles!AH185</f>
        <v/>
      </c>
    </row>
    <row r="930">
      <c r="A930" s="115" t="inlineStr">
        <is>
          <t>RATP</t>
        </is>
      </c>
      <c r="B930" s="101" t="n">
        <v>2128</v>
      </c>
      <c r="C930" s="105" t="n">
        <v>0.1</v>
      </c>
      <c r="D930" s="105" t="n">
        <v>0.1295</v>
      </c>
      <c r="E930" s="105" t="n">
        <v>0.1913</v>
      </c>
      <c r="F930" s="116" t="inlineStr">
        <is>
          <t>légal</t>
        </is>
      </c>
      <c r="G930" s="105" t="n">
        <v>0</v>
      </c>
      <c r="H930" s="105" t="n">
        <v>0.00252</v>
      </c>
      <c r="I930" s="105" t="n">
        <v>0.57872</v>
      </c>
      <c r="J930" s="107">
        <f>D930*(1-C930)+G930*MIN(C930,0.2*(1-C930))+H930</f>
        <v/>
      </c>
      <c r="K930" s="107">
        <f>E930*(1-C930)+G930*MIN(C930,0.2*(1-C930))</f>
        <v/>
      </c>
      <c r="L930" s="107">
        <f>I930*(1-C930)</f>
        <v/>
      </c>
      <c r="M930" s="119">
        <f>SUMIFS(Regimes!$G$5:$G$10,Regimes!$A$5:$A$10,A930)</f>
        <v/>
      </c>
      <c r="N930" s="106">
        <f>Donnees_annuelles!D186*J930</f>
        <v/>
      </c>
      <c r="O930" s="106">
        <f>Donnees_annuelles!D186*K930</f>
        <v/>
      </c>
      <c r="P930" s="106">
        <f>N930+O930</f>
        <v/>
      </c>
      <c r="Q930" s="106">
        <f>Donnees_annuelles!D186*L930</f>
        <v/>
      </c>
      <c r="R930" s="118">
        <f>P930/Donnees_annuelles!AA186*Donnees_annuelles!AI186/Donnees_annuelles!AG186</f>
        <v/>
      </c>
      <c r="S930" s="118">
        <f>P930/Donnees_annuelles!AA186*Donnees_annuelles!AJ186/Donnees_annuelles!AH186</f>
        <v/>
      </c>
    </row>
    <row r="931">
      <c r="A931" s="115" t="inlineStr">
        <is>
          <t>RATP</t>
        </is>
      </c>
      <c r="B931" s="101" t="n">
        <v>2129</v>
      </c>
      <c r="C931" s="105" t="n">
        <v>0.1</v>
      </c>
      <c r="D931" s="105" t="n">
        <v>0.1295</v>
      </c>
      <c r="E931" s="105" t="n">
        <v>0.1913</v>
      </c>
      <c r="F931" s="116" t="inlineStr">
        <is>
          <t>légal</t>
        </is>
      </c>
      <c r="G931" s="105" t="n">
        <v>0</v>
      </c>
      <c r="H931" s="105" t="n">
        <v>0.00252</v>
      </c>
      <c r="I931" s="105" t="n">
        <v>0.57872</v>
      </c>
      <c r="J931" s="107">
        <f>D931*(1-C931)+G931*MIN(C931,0.2*(1-C931))+H931</f>
        <v/>
      </c>
      <c r="K931" s="107">
        <f>E931*(1-C931)+G931*MIN(C931,0.2*(1-C931))</f>
        <v/>
      </c>
      <c r="L931" s="107">
        <f>I931*(1-C931)</f>
        <v/>
      </c>
      <c r="M931" s="119">
        <f>SUMIFS(Regimes!$G$5:$G$10,Regimes!$A$5:$A$10,A931)</f>
        <v/>
      </c>
      <c r="N931" s="106">
        <f>Donnees_annuelles!D187*J931</f>
        <v/>
      </c>
      <c r="O931" s="106">
        <f>Donnees_annuelles!D187*K931</f>
        <v/>
      </c>
      <c r="P931" s="106">
        <f>N931+O931</f>
        <v/>
      </c>
      <c r="Q931" s="106">
        <f>Donnees_annuelles!D187*L931</f>
        <v/>
      </c>
      <c r="R931" s="118">
        <f>P931/Donnees_annuelles!AA187*Donnees_annuelles!AI187/Donnees_annuelles!AG187</f>
        <v/>
      </c>
      <c r="S931" s="118">
        <f>P931/Donnees_annuelles!AA187*Donnees_annuelles!AJ187/Donnees_annuelles!AH187</f>
        <v/>
      </c>
    </row>
    <row r="932">
      <c r="A932" s="115" t="inlineStr">
        <is>
          <t>RATP</t>
        </is>
      </c>
      <c r="B932" s="101" t="n">
        <v>2130</v>
      </c>
      <c r="C932" s="105" t="n">
        <v>0.1</v>
      </c>
      <c r="D932" s="105" t="n">
        <v>0.1295</v>
      </c>
      <c r="E932" s="105" t="n">
        <v>0.1913</v>
      </c>
      <c r="F932" s="116" t="inlineStr">
        <is>
          <t>légal</t>
        </is>
      </c>
      <c r="G932" s="105" t="n">
        <v>0</v>
      </c>
      <c r="H932" s="105" t="n">
        <v>0.00252</v>
      </c>
      <c r="I932" s="105" t="n">
        <v>0.57872</v>
      </c>
      <c r="J932" s="107">
        <f>D932*(1-C932)+G932*MIN(C932,0.2*(1-C932))+H932</f>
        <v/>
      </c>
      <c r="K932" s="107">
        <f>E932*(1-C932)+G932*MIN(C932,0.2*(1-C932))</f>
        <v/>
      </c>
      <c r="L932" s="107">
        <f>I932*(1-C932)</f>
        <v/>
      </c>
      <c r="M932" s="119">
        <f>SUMIFS(Regimes!$G$5:$G$10,Regimes!$A$5:$A$10,A932)</f>
        <v/>
      </c>
      <c r="N932" s="106">
        <f>Donnees_annuelles!D188*J932</f>
        <v/>
      </c>
      <c r="O932" s="106">
        <f>Donnees_annuelles!D188*K932</f>
        <v/>
      </c>
      <c r="P932" s="106">
        <f>N932+O932</f>
        <v/>
      </c>
      <c r="Q932" s="106">
        <f>Donnees_annuelles!D188*L932</f>
        <v/>
      </c>
      <c r="R932" s="118">
        <f>P932/Donnees_annuelles!AA188*Donnees_annuelles!AI188/Donnees_annuelles!AG188</f>
        <v/>
      </c>
      <c r="S932" s="118">
        <f>P932/Donnees_annuelles!AA188*Donnees_annuelles!AJ188/Donnees_annuelles!AH188</f>
        <v/>
      </c>
    </row>
    <row r="933">
      <c r="A933" s="84" t="inlineStr">
        <is>
          <t>IEG</t>
        </is>
      </c>
      <c r="B933" s="88" t="n">
        <v>1945</v>
      </c>
      <c r="C933" s="93" t="n">
        <v>0.1</v>
      </c>
      <c r="D933" s="93" t="n">
        <v>0.06</v>
      </c>
      <c r="E933" s="93" t="n">
        <v>0.371</v>
      </c>
      <c r="F933" s="7" t="inlineStr">
        <is>
          <t>implicite estimé (analogie SNCF)</t>
        </is>
      </c>
      <c r="G933" s="93" t="n">
        <v>0</v>
      </c>
      <c r="H933" s="93" t="n">
        <v>0</v>
      </c>
      <c r="I933" s="93" t="n">
        <v>0</v>
      </c>
      <c r="J933" s="94">
        <f>D933*(1-C933)+G933*MIN(C933,0.2*(1-C933))+H933</f>
        <v/>
      </c>
      <c r="K933" s="94">
        <f>E933*(1-C933)+G933*MIN(C933,0.2*(1-C933))</f>
        <v/>
      </c>
      <c r="L933" s="94">
        <f>I933*(1-C933)</f>
        <v/>
      </c>
      <c r="M933" s="89">
        <f>SUMIFS(Regimes!$G$5:$G$10,Regimes!$A$5:$A$10,A933)</f>
        <v/>
      </c>
      <c r="N933" s="14">
        <f>Donnees_annuelles!D3*J933</f>
        <v/>
      </c>
      <c r="O933" s="14">
        <f>Donnees_annuelles!D3*K933</f>
        <v/>
      </c>
      <c r="P933" s="14">
        <f>N933+O933</f>
        <v/>
      </c>
      <c r="Q933" s="14">
        <f>Donnees_annuelles!D3*L933</f>
        <v/>
      </c>
      <c r="R933" s="114">
        <f>P933/Donnees_annuelles!AA3*Donnees_annuelles!AI3/Donnees_annuelles!AG3</f>
        <v/>
      </c>
      <c r="S933" s="114">
        <f>P933/Donnees_annuelles!AA3*Donnees_annuelles!AJ3/Donnees_annuelles!AH3</f>
        <v/>
      </c>
    </row>
    <row r="934">
      <c r="A934" s="84" t="inlineStr">
        <is>
          <t>IEG</t>
        </is>
      </c>
      <c r="B934" s="88" t="n">
        <v>1946</v>
      </c>
      <c r="C934" s="93" t="n">
        <v>0.1</v>
      </c>
      <c r="D934" s="93" t="n">
        <v>0.06</v>
      </c>
      <c r="E934" s="93" t="n">
        <v>0.371</v>
      </c>
      <c r="F934" s="7" t="inlineStr">
        <is>
          <t>implicite estimé (analogie SNCF)</t>
        </is>
      </c>
      <c r="G934" s="93" t="n">
        <v>0</v>
      </c>
      <c r="H934" s="93" t="n">
        <v>0</v>
      </c>
      <c r="I934" s="93" t="n">
        <v>0</v>
      </c>
      <c r="J934" s="94">
        <f>D934*(1-C934)+G934*MIN(C934,0.2*(1-C934))+H934</f>
        <v/>
      </c>
      <c r="K934" s="94">
        <f>E934*(1-C934)+G934*MIN(C934,0.2*(1-C934))</f>
        <v/>
      </c>
      <c r="L934" s="94">
        <f>I934*(1-C934)</f>
        <v/>
      </c>
      <c r="M934" s="89">
        <f>SUMIFS(Regimes!$G$5:$G$10,Regimes!$A$5:$A$10,A934)</f>
        <v/>
      </c>
      <c r="N934" s="14">
        <f>Donnees_annuelles!D4*J934</f>
        <v/>
      </c>
      <c r="O934" s="14">
        <f>Donnees_annuelles!D4*K934</f>
        <v/>
      </c>
      <c r="P934" s="14">
        <f>N934+O934</f>
        <v/>
      </c>
      <c r="Q934" s="14">
        <f>Donnees_annuelles!D4*L934</f>
        <v/>
      </c>
      <c r="R934" s="114">
        <f>P934/Donnees_annuelles!AA4*Donnees_annuelles!AI4/Donnees_annuelles!AG4</f>
        <v/>
      </c>
      <c r="S934" s="114">
        <f>P934/Donnees_annuelles!AA4*Donnees_annuelles!AJ4/Donnees_annuelles!AH4</f>
        <v/>
      </c>
    </row>
    <row r="935">
      <c r="A935" s="84" t="inlineStr">
        <is>
          <t>IEG</t>
        </is>
      </c>
      <c r="B935" s="88" t="n">
        <v>1947</v>
      </c>
      <c r="C935" s="93" t="n">
        <v>0.1</v>
      </c>
      <c r="D935" s="93" t="n">
        <v>0.06</v>
      </c>
      <c r="E935" s="93" t="n">
        <v>0.371</v>
      </c>
      <c r="F935" s="7" t="inlineStr">
        <is>
          <t>implicite estimé (analogie SNCF)</t>
        </is>
      </c>
      <c r="G935" s="93" t="n">
        <v>0</v>
      </c>
      <c r="H935" s="93" t="n">
        <v>0</v>
      </c>
      <c r="I935" s="93" t="n">
        <v>0</v>
      </c>
      <c r="J935" s="94">
        <f>D935*(1-C935)+G935*MIN(C935,0.2*(1-C935))+H935</f>
        <v/>
      </c>
      <c r="K935" s="94">
        <f>E935*(1-C935)+G935*MIN(C935,0.2*(1-C935))</f>
        <v/>
      </c>
      <c r="L935" s="94">
        <f>I935*(1-C935)</f>
        <v/>
      </c>
      <c r="M935" s="89">
        <f>SUMIFS(Regimes!$G$5:$G$10,Regimes!$A$5:$A$10,A935)</f>
        <v/>
      </c>
      <c r="N935" s="14">
        <f>Donnees_annuelles!D5*J935</f>
        <v/>
      </c>
      <c r="O935" s="14">
        <f>Donnees_annuelles!D5*K935</f>
        <v/>
      </c>
      <c r="P935" s="14">
        <f>N935+O935</f>
        <v/>
      </c>
      <c r="Q935" s="14">
        <f>Donnees_annuelles!D5*L935</f>
        <v/>
      </c>
      <c r="R935" s="114">
        <f>P935/Donnees_annuelles!AA5*Donnees_annuelles!AI5/Donnees_annuelles!AG5</f>
        <v/>
      </c>
      <c r="S935" s="114">
        <f>P935/Donnees_annuelles!AA5*Donnees_annuelles!AJ5/Donnees_annuelles!AH5</f>
        <v/>
      </c>
    </row>
    <row r="936">
      <c r="A936" s="84" t="inlineStr">
        <is>
          <t>IEG</t>
        </is>
      </c>
      <c r="B936" s="88" t="n">
        <v>1948</v>
      </c>
      <c r="C936" s="93" t="n">
        <v>0.1</v>
      </c>
      <c r="D936" s="93" t="n">
        <v>0.06</v>
      </c>
      <c r="E936" s="93" t="n">
        <v>0.371</v>
      </c>
      <c r="F936" s="7" t="inlineStr">
        <is>
          <t>implicite estimé (analogie SNCF)</t>
        </is>
      </c>
      <c r="G936" s="93" t="n">
        <v>0</v>
      </c>
      <c r="H936" s="93" t="n">
        <v>0</v>
      </c>
      <c r="I936" s="93" t="n">
        <v>0</v>
      </c>
      <c r="J936" s="94">
        <f>D936*(1-C936)+G936*MIN(C936,0.2*(1-C936))+H936</f>
        <v/>
      </c>
      <c r="K936" s="94">
        <f>E936*(1-C936)+G936*MIN(C936,0.2*(1-C936))</f>
        <v/>
      </c>
      <c r="L936" s="94">
        <f>I936*(1-C936)</f>
        <v/>
      </c>
      <c r="M936" s="89">
        <f>SUMIFS(Regimes!$G$5:$G$10,Regimes!$A$5:$A$10,A936)</f>
        <v/>
      </c>
      <c r="N936" s="14">
        <f>Donnees_annuelles!D6*J936</f>
        <v/>
      </c>
      <c r="O936" s="14">
        <f>Donnees_annuelles!D6*K936</f>
        <v/>
      </c>
      <c r="P936" s="14">
        <f>N936+O936</f>
        <v/>
      </c>
      <c r="Q936" s="14">
        <f>Donnees_annuelles!D6*L936</f>
        <v/>
      </c>
      <c r="R936" s="114">
        <f>P936/Donnees_annuelles!AA6*Donnees_annuelles!AI6/Donnees_annuelles!AG6</f>
        <v/>
      </c>
      <c r="S936" s="114">
        <f>P936/Donnees_annuelles!AA6*Donnees_annuelles!AJ6/Donnees_annuelles!AH6</f>
        <v/>
      </c>
    </row>
    <row r="937">
      <c r="A937" s="84" t="inlineStr">
        <is>
          <t>IEG</t>
        </is>
      </c>
      <c r="B937" s="88" t="n">
        <v>1949</v>
      </c>
      <c r="C937" s="93" t="n">
        <v>0.1</v>
      </c>
      <c r="D937" s="93" t="n">
        <v>0.06</v>
      </c>
      <c r="E937" s="93" t="n">
        <v>0.371</v>
      </c>
      <c r="F937" s="7" t="inlineStr">
        <is>
          <t>implicite estimé (analogie SNCF)</t>
        </is>
      </c>
      <c r="G937" s="93" t="n">
        <v>0</v>
      </c>
      <c r="H937" s="93" t="n">
        <v>0</v>
      </c>
      <c r="I937" s="93" t="n">
        <v>0</v>
      </c>
      <c r="J937" s="94">
        <f>D937*(1-C937)+G937*MIN(C937,0.2*(1-C937))+H937</f>
        <v/>
      </c>
      <c r="K937" s="94">
        <f>E937*(1-C937)+G937*MIN(C937,0.2*(1-C937))</f>
        <v/>
      </c>
      <c r="L937" s="94">
        <f>I937*(1-C937)</f>
        <v/>
      </c>
      <c r="M937" s="89">
        <f>SUMIFS(Regimes!$G$5:$G$10,Regimes!$A$5:$A$10,A937)</f>
        <v/>
      </c>
      <c r="N937" s="14">
        <f>Donnees_annuelles!D7*J937</f>
        <v/>
      </c>
      <c r="O937" s="14">
        <f>Donnees_annuelles!D7*K937</f>
        <v/>
      </c>
      <c r="P937" s="14">
        <f>N937+O937</f>
        <v/>
      </c>
      <c r="Q937" s="14">
        <f>Donnees_annuelles!D7*L937</f>
        <v/>
      </c>
      <c r="R937" s="114">
        <f>P937/Donnees_annuelles!AA7*Donnees_annuelles!AI7/Donnees_annuelles!AG7</f>
        <v/>
      </c>
      <c r="S937" s="114">
        <f>P937/Donnees_annuelles!AA7*Donnees_annuelles!AJ7/Donnees_annuelles!AH7</f>
        <v/>
      </c>
    </row>
    <row r="938">
      <c r="A938" s="84" t="inlineStr">
        <is>
          <t>IEG</t>
        </is>
      </c>
      <c r="B938" s="88" t="n">
        <v>1950</v>
      </c>
      <c r="C938" s="93" t="n">
        <v>0.1</v>
      </c>
      <c r="D938" s="93" t="n">
        <v>0.06</v>
      </c>
      <c r="E938" s="93" t="n">
        <v>0.371</v>
      </c>
      <c r="F938" s="7" t="inlineStr">
        <is>
          <t>implicite estimé (analogie SNCF)</t>
        </is>
      </c>
      <c r="G938" s="93" t="n">
        <v>0</v>
      </c>
      <c r="H938" s="93" t="n">
        <v>0</v>
      </c>
      <c r="I938" s="93" t="n">
        <v>0</v>
      </c>
      <c r="J938" s="94">
        <f>D938*(1-C938)+G938*MIN(C938,0.2*(1-C938))+H938</f>
        <v/>
      </c>
      <c r="K938" s="94">
        <f>E938*(1-C938)+G938*MIN(C938,0.2*(1-C938))</f>
        <v/>
      </c>
      <c r="L938" s="94">
        <f>I938*(1-C938)</f>
        <v/>
      </c>
      <c r="M938" s="89">
        <f>SUMIFS(Regimes!$G$5:$G$10,Regimes!$A$5:$A$10,A938)</f>
        <v/>
      </c>
      <c r="N938" s="14">
        <f>Donnees_annuelles!D8*J938</f>
        <v/>
      </c>
      <c r="O938" s="14">
        <f>Donnees_annuelles!D8*K938</f>
        <v/>
      </c>
      <c r="P938" s="14">
        <f>N938+O938</f>
        <v/>
      </c>
      <c r="Q938" s="14">
        <f>Donnees_annuelles!D8*L938</f>
        <v/>
      </c>
      <c r="R938" s="114">
        <f>P938/Donnees_annuelles!AA8*Donnees_annuelles!AI8/Donnees_annuelles!AG8</f>
        <v/>
      </c>
      <c r="S938" s="114">
        <f>P938/Donnees_annuelles!AA8*Donnees_annuelles!AJ8/Donnees_annuelles!AH8</f>
        <v/>
      </c>
    </row>
    <row r="939">
      <c r="A939" s="84" t="inlineStr">
        <is>
          <t>IEG</t>
        </is>
      </c>
      <c r="B939" s="88" t="n">
        <v>1951</v>
      </c>
      <c r="C939" s="93" t="n">
        <v>0.1</v>
      </c>
      <c r="D939" s="93" t="n">
        <v>0.06</v>
      </c>
      <c r="E939" s="93" t="n">
        <v>0.371</v>
      </c>
      <c r="F939" s="7" t="inlineStr">
        <is>
          <t>implicite estimé (analogie SNCF)</t>
        </is>
      </c>
      <c r="G939" s="93" t="n">
        <v>0</v>
      </c>
      <c r="H939" s="93" t="n">
        <v>0</v>
      </c>
      <c r="I939" s="93" t="n">
        <v>0</v>
      </c>
      <c r="J939" s="94">
        <f>D939*(1-C939)+G939*MIN(C939,0.2*(1-C939))+H939</f>
        <v/>
      </c>
      <c r="K939" s="94">
        <f>E939*(1-C939)+G939*MIN(C939,0.2*(1-C939))</f>
        <v/>
      </c>
      <c r="L939" s="94">
        <f>I939*(1-C939)</f>
        <v/>
      </c>
      <c r="M939" s="89">
        <f>SUMIFS(Regimes!$G$5:$G$10,Regimes!$A$5:$A$10,A939)</f>
        <v/>
      </c>
      <c r="N939" s="14">
        <f>Donnees_annuelles!D9*J939</f>
        <v/>
      </c>
      <c r="O939" s="14">
        <f>Donnees_annuelles!D9*K939</f>
        <v/>
      </c>
      <c r="P939" s="14">
        <f>N939+O939</f>
        <v/>
      </c>
      <c r="Q939" s="14">
        <f>Donnees_annuelles!D9*L939</f>
        <v/>
      </c>
      <c r="R939" s="114">
        <f>P939/Donnees_annuelles!AA9*Donnees_annuelles!AI9/Donnees_annuelles!AG9</f>
        <v/>
      </c>
      <c r="S939" s="114">
        <f>P939/Donnees_annuelles!AA9*Donnees_annuelles!AJ9/Donnees_annuelles!AH9</f>
        <v/>
      </c>
    </row>
    <row r="940">
      <c r="A940" s="84" t="inlineStr">
        <is>
          <t>IEG</t>
        </is>
      </c>
      <c r="B940" s="88" t="n">
        <v>1952</v>
      </c>
      <c r="C940" s="93" t="n">
        <v>0.1</v>
      </c>
      <c r="D940" s="93" t="n">
        <v>0.06</v>
      </c>
      <c r="E940" s="93" t="n">
        <v>0.371</v>
      </c>
      <c r="F940" s="7" t="inlineStr">
        <is>
          <t>implicite estimé (analogie SNCF)</t>
        </is>
      </c>
      <c r="G940" s="93" t="n">
        <v>0</v>
      </c>
      <c r="H940" s="93" t="n">
        <v>0</v>
      </c>
      <c r="I940" s="93" t="n">
        <v>0</v>
      </c>
      <c r="J940" s="94">
        <f>D940*(1-C940)+G940*MIN(C940,0.2*(1-C940))+H940</f>
        <v/>
      </c>
      <c r="K940" s="94">
        <f>E940*(1-C940)+G940*MIN(C940,0.2*(1-C940))</f>
        <v/>
      </c>
      <c r="L940" s="94">
        <f>I940*(1-C940)</f>
        <v/>
      </c>
      <c r="M940" s="89">
        <f>SUMIFS(Regimes!$G$5:$G$10,Regimes!$A$5:$A$10,A940)</f>
        <v/>
      </c>
      <c r="N940" s="14">
        <f>Donnees_annuelles!D10*J940</f>
        <v/>
      </c>
      <c r="O940" s="14">
        <f>Donnees_annuelles!D10*K940</f>
        <v/>
      </c>
      <c r="P940" s="14">
        <f>N940+O940</f>
        <v/>
      </c>
      <c r="Q940" s="14">
        <f>Donnees_annuelles!D10*L940</f>
        <v/>
      </c>
      <c r="R940" s="114">
        <f>P940/Donnees_annuelles!AA10*Donnees_annuelles!AI10/Donnees_annuelles!AG10</f>
        <v/>
      </c>
      <c r="S940" s="114">
        <f>P940/Donnees_annuelles!AA10*Donnees_annuelles!AJ10/Donnees_annuelles!AH10</f>
        <v/>
      </c>
    </row>
    <row r="941">
      <c r="A941" s="84" t="inlineStr">
        <is>
          <t>IEG</t>
        </is>
      </c>
      <c r="B941" s="88" t="n">
        <v>1953</v>
      </c>
      <c r="C941" s="93" t="n">
        <v>0.1</v>
      </c>
      <c r="D941" s="93" t="n">
        <v>0.06</v>
      </c>
      <c r="E941" s="93" t="n">
        <v>0.371</v>
      </c>
      <c r="F941" s="7" t="inlineStr">
        <is>
          <t>implicite estimé (analogie SNCF)</t>
        </is>
      </c>
      <c r="G941" s="93" t="n">
        <v>0</v>
      </c>
      <c r="H941" s="93" t="n">
        <v>0</v>
      </c>
      <c r="I941" s="93" t="n">
        <v>0</v>
      </c>
      <c r="J941" s="94">
        <f>D941*(1-C941)+G941*MIN(C941,0.2*(1-C941))+H941</f>
        <v/>
      </c>
      <c r="K941" s="94">
        <f>E941*(1-C941)+G941*MIN(C941,0.2*(1-C941))</f>
        <v/>
      </c>
      <c r="L941" s="94">
        <f>I941*(1-C941)</f>
        <v/>
      </c>
      <c r="M941" s="89">
        <f>SUMIFS(Regimes!$G$5:$G$10,Regimes!$A$5:$A$10,A941)</f>
        <v/>
      </c>
      <c r="N941" s="14">
        <f>Donnees_annuelles!D11*J941</f>
        <v/>
      </c>
      <c r="O941" s="14">
        <f>Donnees_annuelles!D11*K941</f>
        <v/>
      </c>
      <c r="P941" s="14">
        <f>N941+O941</f>
        <v/>
      </c>
      <c r="Q941" s="14">
        <f>Donnees_annuelles!D11*L941</f>
        <v/>
      </c>
      <c r="R941" s="114">
        <f>P941/Donnees_annuelles!AA11*Donnees_annuelles!AI11/Donnees_annuelles!AG11</f>
        <v/>
      </c>
      <c r="S941" s="114">
        <f>P941/Donnees_annuelles!AA11*Donnees_annuelles!AJ11/Donnees_annuelles!AH11</f>
        <v/>
      </c>
    </row>
    <row r="942">
      <c r="A942" s="84" t="inlineStr">
        <is>
          <t>IEG</t>
        </is>
      </c>
      <c r="B942" s="88" t="n">
        <v>1954</v>
      </c>
      <c r="C942" s="93" t="n">
        <v>0.1</v>
      </c>
      <c r="D942" s="93" t="n">
        <v>0.06</v>
      </c>
      <c r="E942" s="93" t="n">
        <v>0.371</v>
      </c>
      <c r="F942" s="7" t="inlineStr">
        <is>
          <t>implicite estimé (analogie SNCF)</t>
        </is>
      </c>
      <c r="G942" s="93" t="n">
        <v>0</v>
      </c>
      <c r="H942" s="93" t="n">
        <v>0</v>
      </c>
      <c r="I942" s="93" t="n">
        <v>0</v>
      </c>
      <c r="J942" s="94">
        <f>D942*(1-C942)+G942*MIN(C942,0.2*(1-C942))+H942</f>
        <v/>
      </c>
      <c r="K942" s="94">
        <f>E942*(1-C942)+G942*MIN(C942,0.2*(1-C942))</f>
        <v/>
      </c>
      <c r="L942" s="94">
        <f>I942*(1-C942)</f>
        <v/>
      </c>
      <c r="M942" s="89">
        <f>SUMIFS(Regimes!$G$5:$G$10,Regimes!$A$5:$A$10,A942)</f>
        <v/>
      </c>
      <c r="N942" s="14">
        <f>Donnees_annuelles!D12*J942</f>
        <v/>
      </c>
      <c r="O942" s="14">
        <f>Donnees_annuelles!D12*K942</f>
        <v/>
      </c>
      <c r="P942" s="14">
        <f>N942+O942</f>
        <v/>
      </c>
      <c r="Q942" s="14">
        <f>Donnees_annuelles!D12*L942</f>
        <v/>
      </c>
      <c r="R942" s="114">
        <f>P942/Donnees_annuelles!AA12*Donnees_annuelles!AI12/Donnees_annuelles!AG12</f>
        <v/>
      </c>
      <c r="S942" s="114">
        <f>P942/Donnees_annuelles!AA12*Donnees_annuelles!AJ12/Donnees_annuelles!AH12</f>
        <v/>
      </c>
    </row>
    <row r="943">
      <c r="A943" s="84" t="inlineStr">
        <is>
          <t>IEG</t>
        </is>
      </c>
      <c r="B943" s="88" t="n">
        <v>1955</v>
      </c>
      <c r="C943" s="93" t="n">
        <v>0.1</v>
      </c>
      <c r="D943" s="93" t="n">
        <v>0.06</v>
      </c>
      <c r="E943" s="93" t="n">
        <v>0.371</v>
      </c>
      <c r="F943" s="7" t="inlineStr">
        <is>
          <t>implicite estimé (analogie SNCF)</t>
        </is>
      </c>
      <c r="G943" s="93" t="n">
        <v>0</v>
      </c>
      <c r="H943" s="93" t="n">
        <v>0</v>
      </c>
      <c r="I943" s="93" t="n">
        <v>0</v>
      </c>
      <c r="J943" s="94">
        <f>D943*(1-C943)+G943*MIN(C943,0.2*(1-C943))+H943</f>
        <v/>
      </c>
      <c r="K943" s="94">
        <f>E943*(1-C943)+G943*MIN(C943,0.2*(1-C943))</f>
        <v/>
      </c>
      <c r="L943" s="94">
        <f>I943*(1-C943)</f>
        <v/>
      </c>
      <c r="M943" s="89">
        <f>SUMIFS(Regimes!$G$5:$G$10,Regimes!$A$5:$A$10,A943)</f>
        <v/>
      </c>
      <c r="N943" s="14">
        <f>Donnees_annuelles!D13*J943</f>
        <v/>
      </c>
      <c r="O943" s="14">
        <f>Donnees_annuelles!D13*K943</f>
        <v/>
      </c>
      <c r="P943" s="14">
        <f>N943+O943</f>
        <v/>
      </c>
      <c r="Q943" s="14">
        <f>Donnees_annuelles!D13*L943</f>
        <v/>
      </c>
      <c r="R943" s="114">
        <f>P943/Donnees_annuelles!AA13*Donnees_annuelles!AI13/Donnees_annuelles!AG13</f>
        <v/>
      </c>
      <c r="S943" s="114">
        <f>P943/Donnees_annuelles!AA13*Donnees_annuelles!AJ13/Donnees_annuelles!AH13</f>
        <v/>
      </c>
    </row>
    <row r="944">
      <c r="A944" s="84" t="inlineStr">
        <is>
          <t>IEG</t>
        </is>
      </c>
      <c r="B944" s="88" t="n">
        <v>1956</v>
      </c>
      <c r="C944" s="93" t="n">
        <v>0.1</v>
      </c>
      <c r="D944" s="93" t="n">
        <v>0.06</v>
      </c>
      <c r="E944" s="93" t="n">
        <v>0.371</v>
      </c>
      <c r="F944" s="7" t="inlineStr">
        <is>
          <t>implicite estimé (analogie SNCF)</t>
        </is>
      </c>
      <c r="G944" s="93" t="n">
        <v>0</v>
      </c>
      <c r="H944" s="93" t="n">
        <v>0</v>
      </c>
      <c r="I944" s="93" t="n">
        <v>0</v>
      </c>
      <c r="J944" s="94">
        <f>D944*(1-C944)+G944*MIN(C944,0.2*(1-C944))+H944</f>
        <v/>
      </c>
      <c r="K944" s="94">
        <f>E944*(1-C944)+G944*MIN(C944,0.2*(1-C944))</f>
        <v/>
      </c>
      <c r="L944" s="94">
        <f>I944*(1-C944)</f>
        <v/>
      </c>
      <c r="M944" s="89">
        <f>SUMIFS(Regimes!$G$5:$G$10,Regimes!$A$5:$A$10,A944)</f>
        <v/>
      </c>
      <c r="N944" s="14">
        <f>Donnees_annuelles!D14*J944</f>
        <v/>
      </c>
      <c r="O944" s="14">
        <f>Donnees_annuelles!D14*K944</f>
        <v/>
      </c>
      <c r="P944" s="14">
        <f>N944+O944</f>
        <v/>
      </c>
      <c r="Q944" s="14">
        <f>Donnees_annuelles!D14*L944</f>
        <v/>
      </c>
      <c r="R944" s="114">
        <f>P944/Donnees_annuelles!AA14*Donnees_annuelles!AI14/Donnees_annuelles!AG14</f>
        <v/>
      </c>
      <c r="S944" s="114">
        <f>P944/Donnees_annuelles!AA14*Donnees_annuelles!AJ14/Donnees_annuelles!AH14</f>
        <v/>
      </c>
    </row>
    <row r="945">
      <c r="A945" s="84" t="inlineStr">
        <is>
          <t>IEG</t>
        </is>
      </c>
      <c r="B945" s="88" t="n">
        <v>1957</v>
      </c>
      <c r="C945" s="93" t="n">
        <v>0.1</v>
      </c>
      <c r="D945" s="93" t="n">
        <v>0.06</v>
      </c>
      <c r="E945" s="93" t="n">
        <v>0.371</v>
      </c>
      <c r="F945" s="7" t="inlineStr">
        <is>
          <t>implicite estimé (analogie SNCF)</t>
        </is>
      </c>
      <c r="G945" s="93" t="n">
        <v>0</v>
      </c>
      <c r="H945" s="93" t="n">
        <v>0</v>
      </c>
      <c r="I945" s="93" t="n">
        <v>0</v>
      </c>
      <c r="J945" s="94">
        <f>D945*(1-C945)+G945*MIN(C945,0.2*(1-C945))+H945</f>
        <v/>
      </c>
      <c r="K945" s="94">
        <f>E945*(1-C945)+G945*MIN(C945,0.2*(1-C945))</f>
        <v/>
      </c>
      <c r="L945" s="94">
        <f>I945*(1-C945)</f>
        <v/>
      </c>
      <c r="M945" s="89">
        <f>SUMIFS(Regimes!$G$5:$G$10,Regimes!$A$5:$A$10,A945)</f>
        <v/>
      </c>
      <c r="N945" s="14">
        <f>Donnees_annuelles!D15*J945</f>
        <v/>
      </c>
      <c r="O945" s="14">
        <f>Donnees_annuelles!D15*K945</f>
        <v/>
      </c>
      <c r="P945" s="14">
        <f>N945+O945</f>
        <v/>
      </c>
      <c r="Q945" s="14">
        <f>Donnees_annuelles!D15*L945</f>
        <v/>
      </c>
      <c r="R945" s="114">
        <f>P945/Donnees_annuelles!AA15*Donnees_annuelles!AI15/Donnees_annuelles!AG15</f>
        <v/>
      </c>
      <c r="S945" s="114">
        <f>P945/Donnees_annuelles!AA15*Donnees_annuelles!AJ15/Donnees_annuelles!AH15</f>
        <v/>
      </c>
    </row>
    <row r="946">
      <c r="A946" s="84" t="inlineStr">
        <is>
          <t>IEG</t>
        </is>
      </c>
      <c r="B946" s="88" t="n">
        <v>1958</v>
      </c>
      <c r="C946" s="93" t="n">
        <v>0.1</v>
      </c>
      <c r="D946" s="93" t="n">
        <v>0.06</v>
      </c>
      <c r="E946" s="93" t="n">
        <v>0.371</v>
      </c>
      <c r="F946" s="7" t="inlineStr">
        <is>
          <t>implicite estimé (analogie SNCF)</t>
        </is>
      </c>
      <c r="G946" s="93" t="n">
        <v>0</v>
      </c>
      <c r="H946" s="93" t="n">
        <v>0</v>
      </c>
      <c r="I946" s="93" t="n">
        <v>0</v>
      </c>
      <c r="J946" s="94">
        <f>D946*(1-C946)+G946*MIN(C946,0.2*(1-C946))+H946</f>
        <v/>
      </c>
      <c r="K946" s="94">
        <f>E946*(1-C946)+G946*MIN(C946,0.2*(1-C946))</f>
        <v/>
      </c>
      <c r="L946" s="94">
        <f>I946*(1-C946)</f>
        <v/>
      </c>
      <c r="M946" s="89">
        <f>SUMIFS(Regimes!$G$5:$G$10,Regimes!$A$5:$A$10,A946)</f>
        <v/>
      </c>
      <c r="N946" s="14">
        <f>Donnees_annuelles!D16*J946</f>
        <v/>
      </c>
      <c r="O946" s="14">
        <f>Donnees_annuelles!D16*K946</f>
        <v/>
      </c>
      <c r="P946" s="14">
        <f>N946+O946</f>
        <v/>
      </c>
      <c r="Q946" s="14">
        <f>Donnees_annuelles!D16*L946</f>
        <v/>
      </c>
      <c r="R946" s="114">
        <f>P946/Donnees_annuelles!AA16*Donnees_annuelles!AI16/Donnees_annuelles!AG16</f>
        <v/>
      </c>
      <c r="S946" s="114">
        <f>P946/Donnees_annuelles!AA16*Donnees_annuelles!AJ16/Donnees_annuelles!AH16</f>
        <v/>
      </c>
    </row>
    <row r="947">
      <c r="A947" s="84" t="inlineStr">
        <is>
          <t>IEG</t>
        </is>
      </c>
      <c r="B947" s="88" t="n">
        <v>1959</v>
      </c>
      <c r="C947" s="93" t="n">
        <v>0.1</v>
      </c>
      <c r="D947" s="93" t="n">
        <v>0.06</v>
      </c>
      <c r="E947" s="93" t="n">
        <v>0.371</v>
      </c>
      <c r="F947" s="7" t="inlineStr">
        <is>
          <t>implicite estimé (analogie SNCF)</t>
        </is>
      </c>
      <c r="G947" s="93" t="n">
        <v>0</v>
      </c>
      <c r="H947" s="93" t="n">
        <v>0</v>
      </c>
      <c r="I947" s="93" t="n">
        <v>0</v>
      </c>
      <c r="J947" s="94">
        <f>D947*(1-C947)+G947*MIN(C947,0.2*(1-C947))+H947</f>
        <v/>
      </c>
      <c r="K947" s="94">
        <f>E947*(1-C947)+G947*MIN(C947,0.2*(1-C947))</f>
        <v/>
      </c>
      <c r="L947" s="94">
        <f>I947*(1-C947)</f>
        <v/>
      </c>
      <c r="M947" s="89">
        <f>SUMIFS(Regimes!$G$5:$G$10,Regimes!$A$5:$A$10,A947)</f>
        <v/>
      </c>
      <c r="N947" s="14">
        <f>Donnees_annuelles!D17*J947</f>
        <v/>
      </c>
      <c r="O947" s="14">
        <f>Donnees_annuelles!D17*K947</f>
        <v/>
      </c>
      <c r="P947" s="14">
        <f>N947+O947</f>
        <v/>
      </c>
      <c r="Q947" s="14">
        <f>Donnees_annuelles!D17*L947</f>
        <v/>
      </c>
      <c r="R947" s="114">
        <f>P947/Donnees_annuelles!AA17*Donnees_annuelles!AI17/Donnees_annuelles!AG17</f>
        <v/>
      </c>
      <c r="S947" s="114">
        <f>P947/Donnees_annuelles!AA17*Donnees_annuelles!AJ17/Donnees_annuelles!AH17</f>
        <v/>
      </c>
    </row>
    <row r="948">
      <c r="A948" s="84" t="inlineStr">
        <is>
          <t>IEG</t>
        </is>
      </c>
      <c r="B948" s="88" t="n">
        <v>1960</v>
      </c>
      <c r="C948" s="93" t="n">
        <v>0.1</v>
      </c>
      <c r="D948" s="93" t="n">
        <v>0.06</v>
      </c>
      <c r="E948" s="93" t="n">
        <v>0.371</v>
      </c>
      <c r="F948" s="7" t="inlineStr">
        <is>
          <t>implicite estimé (analogie SNCF)</t>
        </is>
      </c>
      <c r="G948" s="93" t="n">
        <v>0</v>
      </c>
      <c r="H948" s="93" t="n">
        <v>0</v>
      </c>
      <c r="I948" s="93" t="n">
        <v>0</v>
      </c>
      <c r="J948" s="94">
        <f>D948*(1-C948)+G948*MIN(C948,0.2*(1-C948))+H948</f>
        <v/>
      </c>
      <c r="K948" s="94">
        <f>E948*(1-C948)+G948*MIN(C948,0.2*(1-C948))</f>
        <v/>
      </c>
      <c r="L948" s="94">
        <f>I948*(1-C948)</f>
        <v/>
      </c>
      <c r="M948" s="89">
        <f>SUMIFS(Regimes!$G$5:$G$10,Regimes!$A$5:$A$10,A948)</f>
        <v/>
      </c>
      <c r="N948" s="14">
        <f>Donnees_annuelles!D18*J948</f>
        <v/>
      </c>
      <c r="O948" s="14">
        <f>Donnees_annuelles!D18*K948</f>
        <v/>
      </c>
      <c r="P948" s="14">
        <f>N948+O948</f>
        <v/>
      </c>
      <c r="Q948" s="14">
        <f>Donnees_annuelles!D18*L948</f>
        <v/>
      </c>
      <c r="R948" s="114">
        <f>P948/Donnees_annuelles!AA18*Donnees_annuelles!AI18/Donnees_annuelles!AG18</f>
        <v/>
      </c>
      <c r="S948" s="114">
        <f>P948/Donnees_annuelles!AA18*Donnees_annuelles!AJ18/Donnees_annuelles!AH18</f>
        <v/>
      </c>
    </row>
    <row r="949">
      <c r="A949" s="84" t="inlineStr">
        <is>
          <t>IEG</t>
        </is>
      </c>
      <c r="B949" s="88" t="n">
        <v>1961</v>
      </c>
      <c r="C949" s="93" t="n">
        <v>0.1</v>
      </c>
      <c r="D949" s="93" t="n">
        <v>0.06</v>
      </c>
      <c r="E949" s="93" t="n">
        <v>0.371</v>
      </c>
      <c r="F949" s="7" t="inlineStr">
        <is>
          <t>implicite estimé (analogie SNCF)</t>
        </is>
      </c>
      <c r="G949" s="93" t="n">
        <v>0</v>
      </c>
      <c r="H949" s="93" t="n">
        <v>0</v>
      </c>
      <c r="I949" s="93" t="n">
        <v>0</v>
      </c>
      <c r="J949" s="94">
        <f>D949*(1-C949)+G949*MIN(C949,0.2*(1-C949))+H949</f>
        <v/>
      </c>
      <c r="K949" s="94">
        <f>E949*(1-C949)+G949*MIN(C949,0.2*(1-C949))</f>
        <v/>
      </c>
      <c r="L949" s="94">
        <f>I949*(1-C949)</f>
        <v/>
      </c>
      <c r="M949" s="89">
        <f>SUMIFS(Regimes!$G$5:$G$10,Regimes!$A$5:$A$10,A949)</f>
        <v/>
      </c>
      <c r="N949" s="14">
        <f>Donnees_annuelles!D19*J949</f>
        <v/>
      </c>
      <c r="O949" s="14">
        <f>Donnees_annuelles!D19*K949</f>
        <v/>
      </c>
      <c r="P949" s="14">
        <f>N949+O949</f>
        <v/>
      </c>
      <c r="Q949" s="14">
        <f>Donnees_annuelles!D19*L949</f>
        <v/>
      </c>
      <c r="R949" s="114">
        <f>P949/Donnees_annuelles!AA19*Donnees_annuelles!AI19/Donnees_annuelles!AG19</f>
        <v/>
      </c>
      <c r="S949" s="114">
        <f>P949/Donnees_annuelles!AA19*Donnees_annuelles!AJ19/Donnees_annuelles!AH19</f>
        <v/>
      </c>
    </row>
    <row r="950">
      <c r="A950" s="84" t="inlineStr">
        <is>
          <t>IEG</t>
        </is>
      </c>
      <c r="B950" s="88" t="n">
        <v>1962</v>
      </c>
      <c r="C950" s="93" t="n">
        <v>0.1</v>
      </c>
      <c r="D950" s="93" t="n">
        <v>0.06</v>
      </c>
      <c r="E950" s="93" t="n">
        <v>0.371</v>
      </c>
      <c r="F950" s="7" t="inlineStr">
        <is>
          <t>implicite estimé (analogie SNCF)</t>
        </is>
      </c>
      <c r="G950" s="93" t="n">
        <v>0</v>
      </c>
      <c r="H950" s="93" t="n">
        <v>0</v>
      </c>
      <c r="I950" s="93" t="n">
        <v>0</v>
      </c>
      <c r="J950" s="94">
        <f>D950*(1-C950)+G950*MIN(C950,0.2*(1-C950))+H950</f>
        <v/>
      </c>
      <c r="K950" s="94">
        <f>E950*(1-C950)+G950*MIN(C950,0.2*(1-C950))</f>
        <v/>
      </c>
      <c r="L950" s="94">
        <f>I950*(1-C950)</f>
        <v/>
      </c>
      <c r="M950" s="89">
        <f>SUMIFS(Regimes!$G$5:$G$10,Regimes!$A$5:$A$10,A950)</f>
        <v/>
      </c>
      <c r="N950" s="14">
        <f>Donnees_annuelles!D20*J950</f>
        <v/>
      </c>
      <c r="O950" s="14">
        <f>Donnees_annuelles!D20*K950</f>
        <v/>
      </c>
      <c r="P950" s="14">
        <f>N950+O950</f>
        <v/>
      </c>
      <c r="Q950" s="14">
        <f>Donnees_annuelles!D20*L950</f>
        <v/>
      </c>
      <c r="R950" s="114">
        <f>P950/Donnees_annuelles!AA20*Donnees_annuelles!AI20/Donnees_annuelles!AG20</f>
        <v/>
      </c>
      <c r="S950" s="114">
        <f>P950/Donnees_annuelles!AA20*Donnees_annuelles!AJ20/Donnees_annuelles!AH20</f>
        <v/>
      </c>
    </row>
    <row r="951">
      <c r="A951" s="84" t="inlineStr">
        <is>
          <t>IEG</t>
        </is>
      </c>
      <c r="B951" s="88" t="n">
        <v>1963</v>
      </c>
      <c r="C951" s="93" t="n">
        <v>0.1</v>
      </c>
      <c r="D951" s="93" t="n">
        <v>0.06</v>
      </c>
      <c r="E951" s="93" t="n">
        <v>0.371</v>
      </c>
      <c r="F951" s="7" t="inlineStr">
        <is>
          <t>implicite estimé (analogie SNCF)</t>
        </is>
      </c>
      <c r="G951" s="93" t="n">
        <v>0</v>
      </c>
      <c r="H951" s="93" t="n">
        <v>0</v>
      </c>
      <c r="I951" s="93" t="n">
        <v>0</v>
      </c>
      <c r="J951" s="94">
        <f>D951*(1-C951)+G951*MIN(C951,0.2*(1-C951))+H951</f>
        <v/>
      </c>
      <c r="K951" s="94">
        <f>E951*(1-C951)+G951*MIN(C951,0.2*(1-C951))</f>
        <v/>
      </c>
      <c r="L951" s="94">
        <f>I951*(1-C951)</f>
        <v/>
      </c>
      <c r="M951" s="89">
        <f>SUMIFS(Regimes!$G$5:$G$10,Regimes!$A$5:$A$10,A951)</f>
        <v/>
      </c>
      <c r="N951" s="14">
        <f>Donnees_annuelles!D21*J951</f>
        <v/>
      </c>
      <c r="O951" s="14">
        <f>Donnees_annuelles!D21*K951</f>
        <v/>
      </c>
      <c r="P951" s="14">
        <f>N951+O951</f>
        <v/>
      </c>
      <c r="Q951" s="14">
        <f>Donnees_annuelles!D21*L951</f>
        <v/>
      </c>
      <c r="R951" s="114">
        <f>P951/Donnees_annuelles!AA21*Donnees_annuelles!AI21/Donnees_annuelles!AG21</f>
        <v/>
      </c>
      <c r="S951" s="114">
        <f>P951/Donnees_annuelles!AA21*Donnees_annuelles!AJ21/Donnees_annuelles!AH21</f>
        <v/>
      </c>
    </row>
    <row r="952">
      <c r="A952" s="84" t="inlineStr">
        <is>
          <t>IEG</t>
        </is>
      </c>
      <c r="B952" s="88" t="n">
        <v>1964</v>
      </c>
      <c r="C952" s="93" t="n">
        <v>0.1</v>
      </c>
      <c r="D952" s="93" t="n">
        <v>0.06</v>
      </c>
      <c r="E952" s="93" t="n">
        <v>0.371</v>
      </c>
      <c r="F952" s="7" t="inlineStr">
        <is>
          <t>implicite estimé (analogie SNCF)</t>
        </is>
      </c>
      <c r="G952" s="93" t="n">
        <v>0</v>
      </c>
      <c r="H952" s="93" t="n">
        <v>0</v>
      </c>
      <c r="I952" s="93" t="n">
        <v>0</v>
      </c>
      <c r="J952" s="94">
        <f>D952*(1-C952)+G952*MIN(C952,0.2*(1-C952))+H952</f>
        <v/>
      </c>
      <c r="K952" s="94">
        <f>E952*(1-C952)+G952*MIN(C952,0.2*(1-C952))</f>
        <v/>
      </c>
      <c r="L952" s="94">
        <f>I952*(1-C952)</f>
        <v/>
      </c>
      <c r="M952" s="89">
        <f>SUMIFS(Regimes!$G$5:$G$10,Regimes!$A$5:$A$10,A952)</f>
        <v/>
      </c>
      <c r="N952" s="14">
        <f>Donnees_annuelles!D22*J952</f>
        <v/>
      </c>
      <c r="O952" s="14">
        <f>Donnees_annuelles!D22*K952</f>
        <v/>
      </c>
      <c r="P952" s="14">
        <f>N952+O952</f>
        <v/>
      </c>
      <c r="Q952" s="14">
        <f>Donnees_annuelles!D22*L952</f>
        <v/>
      </c>
      <c r="R952" s="114">
        <f>P952/Donnees_annuelles!AA22*Donnees_annuelles!AI22/Donnees_annuelles!AG22</f>
        <v/>
      </c>
      <c r="S952" s="114">
        <f>P952/Donnees_annuelles!AA22*Donnees_annuelles!AJ22/Donnees_annuelles!AH22</f>
        <v/>
      </c>
    </row>
    <row r="953">
      <c r="A953" s="84" t="inlineStr">
        <is>
          <t>IEG</t>
        </is>
      </c>
      <c r="B953" s="88" t="n">
        <v>1965</v>
      </c>
      <c r="C953" s="93" t="n">
        <v>0.1</v>
      </c>
      <c r="D953" s="93" t="n">
        <v>0.06</v>
      </c>
      <c r="E953" s="93" t="n">
        <v>0.371</v>
      </c>
      <c r="F953" s="7" t="inlineStr">
        <is>
          <t>implicite estimé (analogie SNCF)</t>
        </is>
      </c>
      <c r="G953" s="93" t="n">
        <v>0</v>
      </c>
      <c r="H953" s="93" t="n">
        <v>0</v>
      </c>
      <c r="I953" s="93" t="n">
        <v>0</v>
      </c>
      <c r="J953" s="94">
        <f>D953*(1-C953)+G953*MIN(C953,0.2*(1-C953))+H953</f>
        <v/>
      </c>
      <c r="K953" s="94">
        <f>E953*(1-C953)+G953*MIN(C953,0.2*(1-C953))</f>
        <v/>
      </c>
      <c r="L953" s="94">
        <f>I953*(1-C953)</f>
        <v/>
      </c>
      <c r="M953" s="89">
        <f>SUMIFS(Regimes!$G$5:$G$10,Regimes!$A$5:$A$10,A953)</f>
        <v/>
      </c>
      <c r="N953" s="14">
        <f>Donnees_annuelles!D23*J953</f>
        <v/>
      </c>
      <c r="O953" s="14">
        <f>Donnees_annuelles!D23*K953</f>
        <v/>
      </c>
      <c r="P953" s="14">
        <f>N953+O953</f>
        <v/>
      </c>
      <c r="Q953" s="14">
        <f>Donnees_annuelles!D23*L953</f>
        <v/>
      </c>
      <c r="R953" s="114">
        <f>P953/Donnees_annuelles!AA23*Donnees_annuelles!AI23/Donnees_annuelles!AG23</f>
        <v/>
      </c>
      <c r="S953" s="114">
        <f>P953/Donnees_annuelles!AA23*Donnees_annuelles!AJ23/Donnees_annuelles!AH23</f>
        <v/>
      </c>
    </row>
    <row r="954">
      <c r="A954" s="84" t="inlineStr">
        <is>
          <t>IEG</t>
        </is>
      </c>
      <c r="B954" s="88" t="n">
        <v>1966</v>
      </c>
      <c r="C954" s="93" t="n">
        <v>0.1</v>
      </c>
      <c r="D954" s="93" t="n">
        <v>0.06</v>
      </c>
      <c r="E954" s="93" t="n">
        <v>0.371</v>
      </c>
      <c r="F954" s="7" t="inlineStr">
        <is>
          <t>implicite estimé (analogie SNCF)</t>
        </is>
      </c>
      <c r="G954" s="93" t="n">
        <v>0</v>
      </c>
      <c r="H954" s="93" t="n">
        <v>0</v>
      </c>
      <c r="I954" s="93" t="n">
        <v>0</v>
      </c>
      <c r="J954" s="94">
        <f>D954*(1-C954)+G954*MIN(C954,0.2*(1-C954))+H954</f>
        <v/>
      </c>
      <c r="K954" s="94">
        <f>E954*(1-C954)+G954*MIN(C954,0.2*(1-C954))</f>
        <v/>
      </c>
      <c r="L954" s="94">
        <f>I954*(1-C954)</f>
        <v/>
      </c>
      <c r="M954" s="89">
        <f>SUMIFS(Regimes!$G$5:$G$10,Regimes!$A$5:$A$10,A954)</f>
        <v/>
      </c>
      <c r="N954" s="14">
        <f>Donnees_annuelles!D24*J954</f>
        <v/>
      </c>
      <c r="O954" s="14">
        <f>Donnees_annuelles!D24*K954</f>
        <v/>
      </c>
      <c r="P954" s="14">
        <f>N954+O954</f>
        <v/>
      </c>
      <c r="Q954" s="14">
        <f>Donnees_annuelles!D24*L954</f>
        <v/>
      </c>
      <c r="R954" s="114">
        <f>P954/Donnees_annuelles!AA24*Donnees_annuelles!AI24/Donnees_annuelles!AG24</f>
        <v/>
      </c>
      <c r="S954" s="114">
        <f>P954/Donnees_annuelles!AA24*Donnees_annuelles!AJ24/Donnees_annuelles!AH24</f>
        <v/>
      </c>
    </row>
    <row r="955">
      <c r="A955" s="84" t="inlineStr">
        <is>
          <t>IEG</t>
        </is>
      </c>
      <c r="B955" s="88" t="n">
        <v>1967</v>
      </c>
      <c r="C955" s="93" t="n">
        <v>0.1</v>
      </c>
      <c r="D955" s="93" t="n">
        <v>0.06</v>
      </c>
      <c r="E955" s="93" t="n">
        <v>0.371</v>
      </c>
      <c r="F955" s="7" t="inlineStr">
        <is>
          <t>implicite estimé (analogie SNCF)</t>
        </is>
      </c>
      <c r="G955" s="93" t="n">
        <v>0</v>
      </c>
      <c r="H955" s="93" t="n">
        <v>0</v>
      </c>
      <c r="I955" s="93" t="n">
        <v>0</v>
      </c>
      <c r="J955" s="94">
        <f>D955*(1-C955)+G955*MIN(C955,0.2*(1-C955))+H955</f>
        <v/>
      </c>
      <c r="K955" s="94">
        <f>E955*(1-C955)+G955*MIN(C955,0.2*(1-C955))</f>
        <v/>
      </c>
      <c r="L955" s="94">
        <f>I955*(1-C955)</f>
        <v/>
      </c>
      <c r="M955" s="89">
        <f>SUMIFS(Regimes!$G$5:$G$10,Regimes!$A$5:$A$10,A955)</f>
        <v/>
      </c>
      <c r="N955" s="14">
        <f>Donnees_annuelles!D25*J955</f>
        <v/>
      </c>
      <c r="O955" s="14">
        <f>Donnees_annuelles!D25*K955</f>
        <v/>
      </c>
      <c r="P955" s="14">
        <f>N955+O955</f>
        <v/>
      </c>
      <c r="Q955" s="14">
        <f>Donnees_annuelles!D25*L955</f>
        <v/>
      </c>
      <c r="R955" s="114">
        <f>P955/Donnees_annuelles!AA25*Donnees_annuelles!AI25/Donnees_annuelles!AG25</f>
        <v/>
      </c>
      <c r="S955" s="114">
        <f>P955/Donnees_annuelles!AA25*Donnees_annuelles!AJ25/Donnees_annuelles!AH25</f>
        <v/>
      </c>
    </row>
    <row r="956">
      <c r="A956" s="84" t="inlineStr">
        <is>
          <t>IEG</t>
        </is>
      </c>
      <c r="B956" s="88" t="n">
        <v>1968</v>
      </c>
      <c r="C956" s="93" t="n">
        <v>0.1</v>
      </c>
      <c r="D956" s="93" t="n">
        <v>0.06</v>
      </c>
      <c r="E956" s="93" t="n">
        <v>0.371</v>
      </c>
      <c r="F956" s="7" t="inlineStr">
        <is>
          <t>implicite estimé (analogie SNCF)</t>
        </is>
      </c>
      <c r="G956" s="93" t="n">
        <v>0</v>
      </c>
      <c r="H956" s="93" t="n">
        <v>0</v>
      </c>
      <c r="I956" s="93" t="n">
        <v>0</v>
      </c>
      <c r="J956" s="94">
        <f>D956*(1-C956)+G956*MIN(C956,0.2*(1-C956))+H956</f>
        <v/>
      </c>
      <c r="K956" s="94">
        <f>E956*(1-C956)+G956*MIN(C956,0.2*(1-C956))</f>
        <v/>
      </c>
      <c r="L956" s="94">
        <f>I956*(1-C956)</f>
        <v/>
      </c>
      <c r="M956" s="89">
        <f>SUMIFS(Regimes!$G$5:$G$10,Regimes!$A$5:$A$10,A956)</f>
        <v/>
      </c>
      <c r="N956" s="14">
        <f>Donnees_annuelles!D26*J956</f>
        <v/>
      </c>
      <c r="O956" s="14">
        <f>Donnees_annuelles!D26*K956</f>
        <v/>
      </c>
      <c r="P956" s="14">
        <f>N956+O956</f>
        <v/>
      </c>
      <c r="Q956" s="14">
        <f>Donnees_annuelles!D26*L956</f>
        <v/>
      </c>
      <c r="R956" s="114">
        <f>P956/Donnees_annuelles!AA26*Donnees_annuelles!AI26/Donnees_annuelles!AG26</f>
        <v/>
      </c>
      <c r="S956" s="114">
        <f>P956/Donnees_annuelles!AA26*Donnees_annuelles!AJ26/Donnees_annuelles!AH26</f>
        <v/>
      </c>
    </row>
    <row r="957">
      <c r="A957" s="84" t="inlineStr">
        <is>
          <t>IEG</t>
        </is>
      </c>
      <c r="B957" s="88" t="n">
        <v>1969</v>
      </c>
      <c r="C957" s="93" t="n">
        <v>0.1</v>
      </c>
      <c r="D957" s="93" t="n">
        <v>0.06</v>
      </c>
      <c r="E957" s="93" t="n">
        <v>0.371</v>
      </c>
      <c r="F957" s="7" t="inlineStr">
        <is>
          <t>implicite estimé (analogie SNCF)</t>
        </is>
      </c>
      <c r="G957" s="93" t="n">
        <v>0</v>
      </c>
      <c r="H957" s="93" t="n">
        <v>0</v>
      </c>
      <c r="I957" s="93" t="n">
        <v>0</v>
      </c>
      <c r="J957" s="94">
        <f>D957*(1-C957)+G957*MIN(C957,0.2*(1-C957))+H957</f>
        <v/>
      </c>
      <c r="K957" s="94">
        <f>E957*(1-C957)+G957*MIN(C957,0.2*(1-C957))</f>
        <v/>
      </c>
      <c r="L957" s="94">
        <f>I957*(1-C957)</f>
        <v/>
      </c>
      <c r="M957" s="89">
        <f>SUMIFS(Regimes!$G$5:$G$10,Regimes!$A$5:$A$10,A957)</f>
        <v/>
      </c>
      <c r="N957" s="14">
        <f>Donnees_annuelles!D27*J957</f>
        <v/>
      </c>
      <c r="O957" s="14">
        <f>Donnees_annuelles!D27*K957</f>
        <v/>
      </c>
      <c r="P957" s="14">
        <f>N957+O957</f>
        <v/>
      </c>
      <c r="Q957" s="14">
        <f>Donnees_annuelles!D27*L957</f>
        <v/>
      </c>
      <c r="R957" s="114">
        <f>P957/Donnees_annuelles!AA27*Donnees_annuelles!AI27/Donnees_annuelles!AG27</f>
        <v/>
      </c>
      <c r="S957" s="114">
        <f>P957/Donnees_annuelles!AA27*Donnees_annuelles!AJ27/Donnees_annuelles!AH27</f>
        <v/>
      </c>
    </row>
    <row r="958">
      <c r="A958" s="84" t="inlineStr">
        <is>
          <t>IEG</t>
        </is>
      </c>
      <c r="B958" s="88" t="n">
        <v>1970</v>
      </c>
      <c r="C958" s="93" t="n">
        <v>0.1</v>
      </c>
      <c r="D958" s="93" t="n">
        <v>0.06</v>
      </c>
      <c r="E958" s="93" t="n">
        <v>0.371</v>
      </c>
      <c r="F958" s="7" t="inlineStr">
        <is>
          <t>implicite estimé (analogie SNCF)</t>
        </is>
      </c>
      <c r="G958" s="93" t="n">
        <v>0</v>
      </c>
      <c r="H958" s="93" t="n">
        <v>0</v>
      </c>
      <c r="I958" s="93" t="n">
        <v>0</v>
      </c>
      <c r="J958" s="94">
        <f>D958*(1-C958)+G958*MIN(C958,0.2*(1-C958))+H958</f>
        <v/>
      </c>
      <c r="K958" s="94">
        <f>E958*(1-C958)+G958*MIN(C958,0.2*(1-C958))</f>
        <v/>
      </c>
      <c r="L958" s="94">
        <f>I958*(1-C958)</f>
        <v/>
      </c>
      <c r="M958" s="89">
        <f>SUMIFS(Regimes!$G$5:$G$10,Regimes!$A$5:$A$10,A958)</f>
        <v/>
      </c>
      <c r="N958" s="14">
        <f>Donnees_annuelles!D28*J958</f>
        <v/>
      </c>
      <c r="O958" s="14">
        <f>Donnees_annuelles!D28*K958</f>
        <v/>
      </c>
      <c r="P958" s="14">
        <f>N958+O958</f>
        <v/>
      </c>
      <c r="Q958" s="14">
        <f>Donnees_annuelles!D28*L958</f>
        <v/>
      </c>
      <c r="R958" s="114">
        <f>P958/Donnees_annuelles!AA28*Donnees_annuelles!AI28/Donnees_annuelles!AG28</f>
        <v/>
      </c>
      <c r="S958" s="114">
        <f>P958/Donnees_annuelles!AA28*Donnees_annuelles!AJ28/Donnees_annuelles!AH28</f>
        <v/>
      </c>
    </row>
    <row r="959">
      <c r="A959" s="84" t="inlineStr">
        <is>
          <t>IEG</t>
        </is>
      </c>
      <c r="B959" s="88" t="n">
        <v>1971</v>
      </c>
      <c r="C959" s="93" t="n">
        <v>0.1</v>
      </c>
      <c r="D959" s="93" t="n">
        <v>0.06</v>
      </c>
      <c r="E959" s="93" t="n">
        <v>0.335</v>
      </c>
      <c r="F959" s="7" t="inlineStr">
        <is>
          <t>implicite estimé (analogie SNCF)</t>
        </is>
      </c>
      <c r="G959" s="93" t="n">
        <v>0</v>
      </c>
      <c r="H959" s="93" t="n">
        <v>0</v>
      </c>
      <c r="I959" s="93" t="n">
        <v>0</v>
      </c>
      <c r="J959" s="94">
        <f>D959*(1-C959)+G959*MIN(C959,0.2*(1-C959))+H959</f>
        <v/>
      </c>
      <c r="K959" s="94">
        <f>E959*(1-C959)+G959*MIN(C959,0.2*(1-C959))</f>
        <v/>
      </c>
      <c r="L959" s="94">
        <f>I959*(1-C959)</f>
        <v/>
      </c>
      <c r="M959" s="89">
        <f>SUMIFS(Regimes!$G$5:$G$10,Regimes!$A$5:$A$10,A959)</f>
        <v/>
      </c>
      <c r="N959" s="14">
        <f>Donnees_annuelles!D29*J959</f>
        <v/>
      </c>
      <c r="O959" s="14">
        <f>Donnees_annuelles!D29*K959</f>
        <v/>
      </c>
      <c r="P959" s="14">
        <f>N959+O959</f>
        <v/>
      </c>
      <c r="Q959" s="14">
        <f>Donnees_annuelles!D29*L959</f>
        <v/>
      </c>
      <c r="R959" s="114">
        <f>P959/Donnees_annuelles!AA29*Donnees_annuelles!AI29/Donnees_annuelles!AG29</f>
        <v/>
      </c>
      <c r="S959" s="114">
        <f>P959/Donnees_annuelles!AA29*Donnees_annuelles!AJ29/Donnees_annuelles!AH29</f>
        <v/>
      </c>
    </row>
    <row r="960">
      <c r="A960" s="84" t="inlineStr">
        <is>
          <t>IEG</t>
        </is>
      </c>
      <c r="B960" s="88" t="n">
        <v>1972</v>
      </c>
      <c r="C960" s="93" t="n">
        <v>0.1</v>
      </c>
      <c r="D960" s="93" t="n">
        <v>0.06</v>
      </c>
      <c r="E960" s="93" t="n">
        <v>0.335</v>
      </c>
      <c r="F960" s="7" t="inlineStr">
        <is>
          <t>implicite estimé (analogie SNCF)</t>
        </is>
      </c>
      <c r="G960" s="93" t="n">
        <v>0</v>
      </c>
      <c r="H960" s="93" t="n">
        <v>0</v>
      </c>
      <c r="I960" s="93" t="n">
        <v>0</v>
      </c>
      <c r="J960" s="94">
        <f>D960*(1-C960)+G960*MIN(C960,0.2*(1-C960))+H960</f>
        <v/>
      </c>
      <c r="K960" s="94">
        <f>E960*(1-C960)+G960*MIN(C960,0.2*(1-C960))</f>
        <v/>
      </c>
      <c r="L960" s="94">
        <f>I960*(1-C960)</f>
        <v/>
      </c>
      <c r="M960" s="89">
        <f>SUMIFS(Regimes!$G$5:$G$10,Regimes!$A$5:$A$10,A960)</f>
        <v/>
      </c>
      <c r="N960" s="14">
        <f>Donnees_annuelles!D30*J960</f>
        <v/>
      </c>
      <c r="O960" s="14">
        <f>Donnees_annuelles!D30*K960</f>
        <v/>
      </c>
      <c r="P960" s="14">
        <f>N960+O960</f>
        <v/>
      </c>
      <c r="Q960" s="14">
        <f>Donnees_annuelles!D30*L960</f>
        <v/>
      </c>
      <c r="R960" s="114">
        <f>P960/Donnees_annuelles!AA30*Donnees_annuelles!AI30/Donnees_annuelles!AG30</f>
        <v/>
      </c>
      <c r="S960" s="114">
        <f>P960/Donnees_annuelles!AA30*Donnees_annuelles!AJ30/Donnees_annuelles!AH30</f>
        <v/>
      </c>
    </row>
    <row r="961">
      <c r="A961" s="84" t="inlineStr">
        <is>
          <t>IEG</t>
        </is>
      </c>
      <c r="B961" s="88" t="n">
        <v>1973</v>
      </c>
      <c r="C961" s="93" t="n">
        <v>0.1</v>
      </c>
      <c r="D961" s="93" t="n">
        <v>0.06</v>
      </c>
      <c r="E961" s="93" t="n">
        <v>0.335</v>
      </c>
      <c r="F961" s="7" t="inlineStr">
        <is>
          <t>implicite estimé (analogie SNCF)</t>
        </is>
      </c>
      <c r="G961" s="93" t="n">
        <v>0</v>
      </c>
      <c r="H961" s="93" t="n">
        <v>0</v>
      </c>
      <c r="I961" s="93" t="n">
        <v>0</v>
      </c>
      <c r="J961" s="94">
        <f>D961*(1-C961)+G961*MIN(C961,0.2*(1-C961))+H961</f>
        <v/>
      </c>
      <c r="K961" s="94">
        <f>E961*(1-C961)+G961*MIN(C961,0.2*(1-C961))</f>
        <v/>
      </c>
      <c r="L961" s="94">
        <f>I961*(1-C961)</f>
        <v/>
      </c>
      <c r="M961" s="89">
        <f>SUMIFS(Regimes!$G$5:$G$10,Regimes!$A$5:$A$10,A961)</f>
        <v/>
      </c>
      <c r="N961" s="14">
        <f>Donnees_annuelles!D31*J961</f>
        <v/>
      </c>
      <c r="O961" s="14">
        <f>Donnees_annuelles!D31*K961</f>
        <v/>
      </c>
      <c r="P961" s="14">
        <f>N961+O961</f>
        <v/>
      </c>
      <c r="Q961" s="14">
        <f>Donnees_annuelles!D31*L961</f>
        <v/>
      </c>
      <c r="R961" s="114">
        <f>P961/Donnees_annuelles!AA31*Donnees_annuelles!AI31/Donnees_annuelles!AG31</f>
        <v/>
      </c>
      <c r="S961" s="114">
        <f>P961/Donnees_annuelles!AA31*Donnees_annuelles!AJ31/Donnees_annuelles!AH31</f>
        <v/>
      </c>
    </row>
    <row r="962">
      <c r="A962" s="84" t="inlineStr">
        <is>
          <t>IEG</t>
        </is>
      </c>
      <c r="B962" s="88" t="n">
        <v>1974</v>
      </c>
      <c r="C962" s="93" t="n">
        <v>0.1</v>
      </c>
      <c r="D962" s="93" t="n">
        <v>0.06</v>
      </c>
      <c r="E962" s="93" t="n">
        <v>0.335</v>
      </c>
      <c r="F962" s="7" t="inlineStr">
        <is>
          <t>implicite estimé (analogie SNCF)</t>
        </is>
      </c>
      <c r="G962" s="93" t="n">
        <v>0</v>
      </c>
      <c r="H962" s="93" t="n">
        <v>0</v>
      </c>
      <c r="I962" s="93" t="n">
        <v>0</v>
      </c>
      <c r="J962" s="94">
        <f>D962*(1-C962)+G962*MIN(C962,0.2*(1-C962))+H962</f>
        <v/>
      </c>
      <c r="K962" s="94">
        <f>E962*(1-C962)+G962*MIN(C962,0.2*(1-C962))</f>
        <v/>
      </c>
      <c r="L962" s="94">
        <f>I962*(1-C962)</f>
        <v/>
      </c>
      <c r="M962" s="89">
        <f>SUMIFS(Regimes!$G$5:$G$10,Regimes!$A$5:$A$10,A962)</f>
        <v/>
      </c>
      <c r="N962" s="14">
        <f>Donnees_annuelles!D32*J962</f>
        <v/>
      </c>
      <c r="O962" s="14">
        <f>Donnees_annuelles!D32*K962</f>
        <v/>
      </c>
      <c r="P962" s="14">
        <f>N962+O962</f>
        <v/>
      </c>
      <c r="Q962" s="14">
        <f>Donnees_annuelles!D32*L962</f>
        <v/>
      </c>
      <c r="R962" s="114">
        <f>P962/Donnees_annuelles!AA32*Donnees_annuelles!AI32/Donnees_annuelles!AG32</f>
        <v/>
      </c>
      <c r="S962" s="114">
        <f>P962/Donnees_annuelles!AA32*Donnees_annuelles!AJ32/Donnees_annuelles!AH32</f>
        <v/>
      </c>
    </row>
    <row r="963">
      <c r="A963" s="84" t="inlineStr">
        <is>
          <t>IEG</t>
        </is>
      </c>
      <c r="B963" s="88" t="n">
        <v>1975</v>
      </c>
      <c r="C963" s="93" t="n">
        <v>0.1</v>
      </c>
      <c r="D963" s="93" t="n">
        <v>0.06</v>
      </c>
      <c r="E963" s="93" t="n">
        <v>0.335</v>
      </c>
      <c r="F963" s="7" t="inlineStr">
        <is>
          <t>implicite estimé (analogie SNCF)</t>
        </is>
      </c>
      <c r="G963" s="93" t="n">
        <v>0</v>
      </c>
      <c r="H963" s="93" t="n">
        <v>0</v>
      </c>
      <c r="I963" s="93" t="n">
        <v>0</v>
      </c>
      <c r="J963" s="94">
        <f>D963*(1-C963)+G963*MIN(C963,0.2*(1-C963))+H963</f>
        <v/>
      </c>
      <c r="K963" s="94">
        <f>E963*(1-C963)+G963*MIN(C963,0.2*(1-C963))</f>
        <v/>
      </c>
      <c r="L963" s="94">
        <f>I963*(1-C963)</f>
        <v/>
      </c>
      <c r="M963" s="89">
        <f>SUMIFS(Regimes!$G$5:$G$10,Regimes!$A$5:$A$10,A963)</f>
        <v/>
      </c>
      <c r="N963" s="14">
        <f>Donnees_annuelles!D33*J963</f>
        <v/>
      </c>
      <c r="O963" s="14">
        <f>Donnees_annuelles!D33*K963</f>
        <v/>
      </c>
      <c r="P963" s="14">
        <f>N963+O963</f>
        <v/>
      </c>
      <c r="Q963" s="14">
        <f>Donnees_annuelles!D33*L963</f>
        <v/>
      </c>
      <c r="R963" s="114">
        <f>P963/Donnees_annuelles!AA33*Donnees_annuelles!AI33/Donnees_annuelles!AG33</f>
        <v/>
      </c>
      <c r="S963" s="114">
        <f>P963/Donnees_annuelles!AA33*Donnees_annuelles!AJ33/Donnees_annuelles!AH33</f>
        <v/>
      </c>
    </row>
    <row r="964">
      <c r="A964" s="84" t="inlineStr">
        <is>
          <t>IEG</t>
        </is>
      </c>
      <c r="B964" s="88" t="n">
        <v>1976</v>
      </c>
      <c r="C964" s="93" t="n">
        <v>0.1</v>
      </c>
      <c r="D964" s="93" t="n">
        <v>0.06</v>
      </c>
      <c r="E964" s="93" t="n">
        <v>0.335</v>
      </c>
      <c r="F964" s="7" t="inlineStr">
        <is>
          <t>implicite estimé (analogie SNCF)</t>
        </is>
      </c>
      <c r="G964" s="93" t="n">
        <v>0</v>
      </c>
      <c r="H964" s="93" t="n">
        <v>0</v>
      </c>
      <c r="I964" s="93" t="n">
        <v>0</v>
      </c>
      <c r="J964" s="94">
        <f>D964*(1-C964)+G964*MIN(C964,0.2*(1-C964))+H964</f>
        <v/>
      </c>
      <c r="K964" s="94">
        <f>E964*(1-C964)+G964*MIN(C964,0.2*(1-C964))</f>
        <v/>
      </c>
      <c r="L964" s="94">
        <f>I964*(1-C964)</f>
        <v/>
      </c>
      <c r="M964" s="89">
        <f>SUMIFS(Regimes!$G$5:$G$10,Regimes!$A$5:$A$10,A964)</f>
        <v/>
      </c>
      <c r="N964" s="14">
        <f>Donnees_annuelles!D34*J964</f>
        <v/>
      </c>
      <c r="O964" s="14">
        <f>Donnees_annuelles!D34*K964</f>
        <v/>
      </c>
      <c r="P964" s="14">
        <f>N964+O964</f>
        <v/>
      </c>
      <c r="Q964" s="14">
        <f>Donnees_annuelles!D34*L964</f>
        <v/>
      </c>
      <c r="R964" s="114">
        <f>P964/Donnees_annuelles!AA34*Donnees_annuelles!AI34/Donnees_annuelles!AG34</f>
        <v/>
      </c>
      <c r="S964" s="114">
        <f>P964/Donnees_annuelles!AA34*Donnees_annuelles!AJ34/Donnees_annuelles!AH34</f>
        <v/>
      </c>
    </row>
    <row r="965">
      <c r="A965" s="84" t="inlineStr">
        <is>
          <t>IEG</t>
        </is>
      </c>
      <c r="B965" s="88" t="n">
        <v>1977</v>
      </c>
      <c r="C965" s="93" t="n">
        <v>0.1</v>
      </c>
      <c r="D965" s="93" t="n">
        <v>0.06</v>
      </c>
      <c r="E965" s="93" t="n">
        <v>0.335</v>
      </c>
      <c r="F965" s="7" t="inlineStr">
        <is>
          <t>implicite estimé (analogie SNCF)</t>
        </is>
      </c>
      <c r="G965" s="93" t="n">
        <v>0</v>
      </c>
      <c r="H965" s="93" t="n">
        <v>0</v>
      </c>
      <c r="I965" s="93" t="n">
        <v>0</v>
      </c>
      <c r="J965" s="94">
        <f>D965*(1-C965)+G965*MIN(C965,0.2*(1-C965))+H965</f>
        <v/>
      </c>
      <c r="K965" s="94">
        <f>E965*(1-C965)+G965*MIN(C965,0.2*(1-C965))</f>
        <v/>
      </c>
      <c r="L965" s="94">
        <f>I965*(1-C965)</f>
        <v/>
      </c>
      <c r="M965" s="89">
        <f>SUMIFS(Regimes!$G$5:$G$10,Regimes!$A$5:$A$10,A965)</f>
        <v/>
      </c>
      <c r="N965" s="14">
        <f>Donnees_annuelles!D35*J965</f>
        <v/>
      </c>
      <c r="O965" s="14">
        <f>Donnees_annuelles!D35*K965</f>
        <v/>
      </c>
      <c r="P965" s="14">
        <f>N965+O965</f>
        <v/>
      </c>
      <c r="Q965" s="14">
        <f>Donnees_annuelles!D35*L965</f>
        <v/>
      </c>
      <c r="R965" s="114">
        <f>P965/Donnees_annuelles!AA35*Donnees_annuelles!AI35/Donnees_annuelles!AG35</f>
        <v/>
      </c>
      <c r="S965" s="114">
        <f>P965/Donnees_annuelles!AA35*Donnees_annuelles!AJ35/Donnees_annuelles!AH35</f>
        <v/>
      </c>
    </row>
    <row r="966">
      <c r="A966" s="84" t="inlineStr">
        <is>
          <t>IEG</t>
        </is>
      </c>
      <c r="B966" s="88" t="n">
        <v>1978</v>
      </c>
      <c r="C966" s="93" t="n">
        <v>0.1</v>
      </c>
      <c r="D966" s="93" t="n">
        <v>0.06</v>
      </c>
      <c r="E966" s="93" t="n">
        <v>0.335</v>
      </c>
      <c r="F966" s="7" t="inlineStr">
        <is>
          <t>implicite estimé (analogie SNCF)</t>
        </is>
      </c>
      <c r="G966" s="93" t="n">
        <v>0</v>
      </c>
      <c r="H966" s="93" t="n">
        <v>0</v>
      </c>
      <c r="I966" s="93" t="n">
        <v>0</v>
      </c>
      <c r="J966" s="94">
        <f>D966*(1-C966)+G966*MIN(C966,0.2*(1-C966))+H966</f>
        <v/>
      </c>
      <c r="K966" s="94">
        <f>E966*(1-C966)+G966*MIN(C966,0.2*(1-C966))</f>
        <v/>
      </c>
      <c r="L966" s="94">
        <f>I966*(1-C966)</f>
        <v/>
      </c>
      <c r="M966" s="89">
        <f>SUMIFS(Regimes!$G$5:$G$10,Regimes!$A$5:$A$10,A966)</f>
        <v/>
      </c>
      <c r="N966" s="14">
        <f>Donnees_annuelles!D36*J966</f>
        <v/>
      </c>
      <c r="O966" s="14">
        <f>Donnees_annuelles!D36*K966</f>
        <v/>
      </c>
      <c r="P966" s="14">
        <f>N966+O966</f>
        <v/>
      </c>
      <c r="Q966" s="14">
        <f>Donnees_annuelles!D36*L966</f>
        <v/>
      </c>
      <c r="R966" s="114">
        <f>P966/Donnees_annuelles!AA36*Donnees_annuelles!AI36/Donnees_annuelles!AG36</f>
        <v/>
      </c>
      <c r="S966" s="114">
        <f>P966/Donnees_annuelles!AA36*Donnees_annuelles!AJ36/Donnees_annuelles!AH36</f>
        <v/>
      </c>
    </row>
    <row r="967">
      <c r="A967" s="84" t="inlineStr">
        <is>
          <t>IEG</t>
        </is>
      </c>
      <c r="B967" s="88" t="n">
        <v>1979</v>
      </c>
      <c r="C967" s="93" t="n">
        <v>0.1</v>
      </c>
      <c r="D967" s="93" t="n">
        <v>0.06</v>
      </c>
      <c r="E967" s="93" t="n">
        <v>0.335</v>
      </c>
      <c r="F967" s="7" t="inlineStr">
        <is>
          <t>implicite estimé (analogie SNCF)</t>
        </is>
      </c>
      <c r="G967" s="93" t="n">
        <v>0</v>
      </c>
      <c r="H967" s="93" t="n">
        <v>0</v>
      </c>
      <c r="I967" s="93" t="n">
        <v>0</v>
      </c>
      <c r="J967" s="94">
        <f>D967*(1-C967)+G967*MIN(C967,0.2*(1-C967))+H967</f>
        <v/>
      </c>
      <c r="K967" s="94">
        <f>E967*(1-C967)+G967*MIN(C967,0.2*(1-C967))</f>
        <v/>
      </c>
      <c r="L967" s="94">
        <f>I967*(1-C967)</f>
        <v/>
      </c>
      <c r="M967" s="89">
        <f>SUMIFS(Regimes!$G$5:$G$10,Regimes!$A$5:$A$10,A967)</f>
        <v/>
      </c>
      <c r="N967" s="14">
        <f>Donnees_annuelles!D37*J967</f>
        <v/>
      </c>
      <c r="O967" s="14">
        <f>Donnees_annuelles!D37*K967</f>
        <v/>
      </c>
      <c r="P967" s="14">
        <f>N967+O967</f>
        <v/>
      </c>
      <c r="Q967" s="14">
        <f>Donnees_annuelles!D37*L967</f>
        <v/>
      </c>
      <c r="R967" s="114">
        <f>P967/Donnees_annuelles!AA37*Donnees_annuelles!AI37/Donnees_annuelles!AG37</f>
        <v/>
      </c>
      <c r="S967" s="114">
        <f>P967/Donnees_annuelles!AA37*Donnees_annuelles!AJ37/Donnees_annuelles!AH37</f>
        <v/>
      </c>
    </row>
    <row r="968">
      <c r="A968" s="84" t="inlineStr">
        <is>
          <t>IEG</t>
        </is>
      </c>
      <c r="B968" s="88" t="n">
        <v>1980</v>
      </c>
      <c r="C968" s="93" t="n">
        <v>0.1</v>
      </c>
      <c r="D968" s="93" t="n">
        <v>0.06</v>
      </c>
      <c r="E968" s="93" t="n">
        <v>0.335</v>
      </c>
      <c r="F968" s="7" t="inlineStr">
        <is>
          <t>implicite estimé (analogie SNCF)</t>
        </is>
      </c>
      <c r="G968" s="93" t="n">
        <v>0</v>
      </c>
      <c r="H968" s="93" t="n">
        <v>0</v>
      </c>
      <c r="I968" s="93" t="n">
        <v>0</v>
      </c>
      <c r="J968" s="94">
        <f>D968*(1-C968)+G968*MIN(C968,0.2*(1-C968))+H968</f>
        <v/>
      </c>
      <c r="K968" s="94">
        <f>E968*(1-C968)+G968*MIN(C968,0.2*(1-C968))</f>
        <v/>
      </c>
      <c r="L968" s="94">
        <f>I968*(1-C968)</f>
        <v/>
      </c>
      <c r="M968" s="89">
        <f>SUMIFS(Regimes!$G$5:$G$10,Regimes!$A$5:$A$10,A968)</f>
        <v/>
      </c>
      <c r="N968" s="14">
        <f>Donnees_annuelles!D38*J968</f>
        <v/>
      </c>
      <c r="O968" s="14">
        <f>Donnees_annuelles!D38*K968</f>
        <v/>
      </c>
      <c r="P968" s="14">
        <f>N968+O968</f>
        <v/>
      </c>
      <c r="Q968" s="14">
        <f>Donnees_annuelles!D38*L968</f>
        <v/>
      </c>
      <c r="R968" s="114">
        <f>P968/Donnees_annuelles!AA38*Donnees_annuelles!AI38/Donnees_annuelles!AG38</f>
        <v/>
      </c>
      <c r="S968" s="114">
        <f>P968/Donnees_annuelles!AA38*Donnees_annuelles!AJ38/Donnees_annuelles!AH38</f>
        <v/>
      </c>
    </row>
    <row r="969">
      <c r="A969" s="84" t="inlineStr">
        <is>
          <t>IEG</t>
        </is>
      </c>
      <c r="B969" s="88" t="n">
        <v>1981</v>
      </c>
      <c r="C969" s="93" t="n">
        <v>0.1</v>
      </c>
      <c r="D969" s="93" t="n">
        <v>0.06</v>
      </c>
      <c r="E969" s="93" t="n">
        <v>0.335</v>
      </c>
      <c r="F969" s="7" t="inlineStr">
        <is>
          <t>implicite estimé (analogie SNCF)</t>
        </is>
      </c>
      <c r="G969" s="93" t="n">
        <v>0</v>
      </c>
      <c r="H969" s="93" t="n">
        <v>0</v>
      </c>
      <c r="I969" s="93" t="n">
        <v>0</v>
      </c>
      <c r="J969" s="94">
        <f>D969*(1-C969)+G969*MIN(C969,0.2*(1-C969))+H969</f>
        <v/>
      </c>
      <c r="K969" s="94">
        <f>E969*(1-C969)+G969*MIN(C969,0.2*(1-C969))</f>
        <v/>
      </c>
      <c r="L969" s="94">
        <f>I969*(1-C969)</f>
        <v/>
      </c>
      <c r="M969" s="89">
        <f>SUMIFS(Regimes!$G$5:$G$10,Regimes!$A$5:$A$10,A969)</f>
        <v/>
      </c>
      <c r="N969" s="14">
        <f>Donnees_annuelles!D39*J969</f>
        <v/>
      </c>
      <c r="O969" s="14">
        <f>Donnees_annuelles!D39*K969</f>
        <v/>
      </c>
      <c r="P969" s="14">
        <f>N969+O969</f>
        <v/>
      </c>
      <c r="Q969" s="14">
        <f>Donnees_annuelles!D39*L969</f>
        <v/>
      </c>
      <c r="R969" s="114">
        <f>P969/Donnees_annuelles!AA39*Donnees_annuelles!AI39/Donnees_annuelles!AG39</f>
        <v/>
      </c>
      <c r="S969" s="114">
        <f>P969/Donnees_annuelles!AA39*Donnees_annuelles!AJ39/Donnees_annuelles!AH39</f>
        <v/>
      </c>
    </row>
    <row r="970">
      <c r="A970" s="84" t="inlineStr">
        <is>
          <t>IEG</t>
        </is>
      </c>
      <c r="B970" s="88" t="n">
        <v>1982</v>
      </c>
      <c r="C970" s="93" t="n">
        <v>0.1</v>
      </c>
      <c r="D970" s="93" t="n">
        <v>0.06</v>
      </c>
      <c r="E970" s="93" t="n">
        <v>0.335</v>
      </c>
      <c r="F970" s="7" t="inlineStr">
        <is>
          <t>implicite estimé (analogie SNCF)</t>
        </is>
      </c>
      <c r="G970" s="93" t="n">
        <v>0</v>
      </c>
      <c r="H970" s="93" t="n">
        <v>0</v>
      </c>
      <c r="I970" s="93" t="n">
        <v>0</v>
      </c>
      <c r="J970" s="94">
        <f>D970*(1-C970)+G970*MIN(C970,0.2*(1-C970))+H970</f>
        <v/>
      </c>
      <c r="K970" s="94">
        <f>E970*(1-C970)+G970*MIN(C970,0.2*(1-C970))</f>
        <v/>
      </c>
      <c r="L970" s="94">
        <f>I970*(1-C970)</f>
        <v/>
      </c>
      <c r="M970" s="89">
        <f>SUMIFS(Regimes!$G$5:$G$10,Regimes!$A$5:$A$10,A970)</f>
        <v/>
      </c>
      <c r="N970" s="14">
        <f>Donnees_annuelles!D40*J970</f>
        <v/>
      </c>
      <c r="O970" s="14">
        <f>Donnees_annuelles!D40*K970</f>
        <v/>
      </c>
      <c r="P970" s="14">
        <f>N970+O970</f>
        <v/>
      </c>
      <c r="Q970" s="14">
        <f>Donnees_annuelles!D40*L970</f>
        <v/>
      </c>
      <c r="R970" s="114">
        <f>P970/Donnees_annuelles!AA40*Donnees_annuelles!AI40/Donnees_annuelles!AG40</f>
        <v/>
      </c>
      <c r="S970" s="114">
        <f>P970/Donnees_annuelles!AA40*Donnees_annuelles!AJ40/Donnees_annuelles!AH40</f>
        <v/>
      </c>
    </row>
    <row r="971">
      <c r="A971" s="84" t="inlineStr">
        <is>
          <t>IEG</t>
        </is>
      </c>
      <c r="B971" s="88" t="n">
        <v>1983</v>
      </c>
      <c r="C971" s="93" t="n">
        <v>0.1</v>
      </c>
      <c r="D971" s="93" t="n">
        <v>0.06</v>
      </c>
      <c r="E971" s="93" t="n">
        <v>0.335</v>
      </c>
      <c r="F971" s="7" t="inlineStr">
        <is>
          <t>implicite estimé (analogie SNCF)</t>
        </is>
      </c>
      <c r="G971" s="93" t="n">
        <v>0</v>
      </c>
      <c r="H971" s="93" t="n">
        <v>0</v>
      </c>
      <c r="I971" s="93" t="n">
        <v>0</v>
      </c>
      <c r="J971" s="94">
        <f>D971*(1-C971)+G971*MIN(C971,0.2*(1-C971))+H971</f>
        <v/>
      </c>
      <c r="K971" s="94">
        <f>E971*(1-C971)+G971*MIN(C971,0.2*(1-C971))</f>
        <v/>
      </c>
      <c r="L971" s="94">
        <f>I971*(1-C971)</f>
        <v/>
      </c>
      <c r="M971" s="89">
        <f>SUMIFS(Regimes!$G$5:$G$10,Regimes!$A$5:$A$10,A971)</f>
        <v/>
      </c>
      <c r="N971" s="14">
        <f>Donnees_annuelles!D41*J971</f>
        <v/>
      </c>
      <c r="O971" s="14">
        <f>Donnees_annuelles!D41*K971</f>
        <v/>
      </c>
      <c r="P971" s="14">
        <f>N971+O971</f>
        <v/>
      </c>
      <c r="Q971" s="14">
        <f>Donnees_annuelles!D41*L971</f>
        <v/>
      </c>
      <c r="R971" s="114">
        <f>P971/Donnees_annuelles!AA41*Donnees_annuelles!AI41/Donnees_annuelles!AG41</f>
        <v/>
      </c>
      <c r="S971" s="114">
        <f>P971/Donnees_annuelles!AA41*Donnees_annuelles!AJ41/Donnees_annuelles!AH41</f>
        <v/>
      </c>
    </row>
    <row r="972">
      <c r="A972" s="84" t="inlineStr">
        <is>
          <t>IEG</t>
        </is>
      </c>
      <c r="B972" s="88" t="n">
        <v>1984</v>
      </c>
      <c r="C972" s="93" t="n">
        <v>0.1</v>
      </c>
      <c r="D972" s="93" t="n">
        <v>0.075</v>
      </c>
      <c r="E972" s="93" t="n">
        <v>0.335</v>
      </c>
      <c r="F972" s="7" t="inlineStr">
        <is>
          <t>implicite estimé (analogie SNCF)</t>
        </is>
      </c>
      <c r="G972" s="93" t="n">
        <v>0</v>
      </c>
      <c r="H972" s="93" t="n">
        <v>0</v>
      </c>
      <c r="I972" s="93" t="n">
        <v>0</v>
      </c>
      <c r="J972" s="94">
        <f>D972*(1-C972)+G972*MIN(C972,0.2*(1-C972))+H972</f>
        <v/>
      </c>
      <c r="K972" s="94">
        <f>E972*(1-C972)+G972*MIN(C972,0.2*(1-C972))</f>
        <v/>
      </c>
      <c r="L972" s="94">
        <f>I972*(1-C972)</f>
        <v/>
      </c>
      <c r="M972" s="89">
        <f>SUMIFS(Regimes!$G$5:$G$10,Regimes!$A$5:$A$10,A972)</f>
        <v/>
      </c>
      <c r="N972" s="14">
        <f>Donnees_annuelles!D42*J972</f>
        <v/>
      </c>
      <c r="O972" s="14">
        <f>Donnees_annuelles!D42*K972</f>
        <v/>
      </c>
      <c r="P972" s="14">
        <f>N972+O972</f>
        <v/>
      </c>
      <c r="Q972" s="14">
        <f>Donnees_annuelles!D42*L972</f>
        <v/>
      </c>
      <c r="R972" s="114">
        <f>P972/Donnees_annuelles!AA42*Donnees_annuelles!AI42/Donnees_annuelles!AG42</f>
        <v/>
      </c>
      <c r="S972" s="114">
        <f>P972/Donnees_annuelles!AA42*Donnees_annuelles!AJ42/Donnees_annuelles!AH42</f>
        <v/>
      </c>
    </row>
    <row r="973">
      <c r="A973" s="84" t="inlineStr">
        <is>
          <t>IEG</t>
        </is>
      </c>
      <c r="B973" s="88" t="n">
        <v>1985</v>
      </c>
      <c r="C973" s="93" t="n">
        <v>0.1</v>
      </c>
      <c r="D973" s="93" t="n">
        <v>0.075</v>
      </c>
      <c r="E973" s="93" t="n">
        <v>0.335</v>
      </c>
      <c r="F973" s="7" t="inlineStr">
        <is>
          <t>implicite estimé (analogie SNCF)</t>
        </is>
      </c>
      <c r="G973" s="93" t="n">
        <v>0</v>
      </c>
      <c r="H973" s="93" t="n">
        <v>0</v>
      </c>
      <c r="I973" s="93" t="n">
        <v>0</v>
      </c>
      <c r="J973" s="94">
        <f>D973*(1-C973)+G973*MIN(C973,0.2*(1-C973))+H973</f>
        <v/>
      </c>
      <c r="K973" s="94">
        <f>E973*(1-C973)+G973*MIN(C973,0.2*(1-C973))</f>
        <v/>
      </c>
      <c r="L973" s="94">
        <f>I973*(1-C973)</f>
        <v/>
      </c>
      <c r="M973" s="89">
        <f>SUMIFS(Regimes!$G$5:$G$10,Regimes!$A$5:$A$10,A973)</f>
        <v/>
      </c>
      <c r="N973" s="14">
        <f>Donnees_annuelles!D43*J973</f>
        <v/>
      </c>
      <c r="O973" s="14">
        <f>Donnees_annuelles!D43*K973</f>
        <v/>
      </c>
      <c r="P973" s="14">
        <f>N973+O973</f>
        <v/>
      </c>
      <c r="Q973" s="14">
        <f>Donnees_annuelles!D43*L973</f>
        <v/>
      </c>
      <c r="R973" s="114">
        <f>P973/Donnees_annuelles!AA43*Donnees_annuelles!AI43/Donnees_annuelles!AG43</f>
        <v/>
      </c>
      <c r="S973" s="114">
        <f>P973/Donnees_annuelles!AA43*Donnees_annuelles!AJ43/Donnees_annuelles!AH43</f>
        <v/>
      </c>
    </row>
    <row r="974">
      <c r="A974" s="84" t="inlineStr">
        <is>
          <t>IEG</t>
        </is>
      </c>
      <c r="B974" s="88" t="n">
        <v>1986</v>
      </c>
      <c r="C974" s="93" t="n">
        <v>0.1</v>
      </c>
      <c r="D974" s="93" t="n">
        <v>0.075</v>
      </c>
      <c r="E974" s="93" t="n">
        <v>0.335</v>
      </c>
      <c r="F974" s="7" t="inlineStr">
        <is>
          <t>implicite estimé (analogie SNCF)</t>
        </is>
      </c>
      <c r="G974" s="93" t="n">
        <v>0</v>
      </c>
      <c r="H974" s="93" t="n">
        <v>0</v>
      </c>
      <c r="I974" s="93" t="n">
        <v>0</v>
      </c>
      <c r="J974" s="94">
        <f>D974*(1-C974)+G974*MIN(C974,0.2*(1-C974))+H974</f>
        <v/>
      </c>
      <c r="K974" s="94">
        <f>E974*(1-C974)+G974*MIN(C974,0.2*(1-C974))</f>
        <v/>
      </c>
      <c r="L974" s="94">
        <f>I974*(1-C974)</f>
        <v/>
      </c>
      <c r="M974" s="89">
        <f>SUMIFS(Regimes!$G$5:$G$10,Regimes!$A$5:$A$10,A974)</f>
        <v/>
      </c>
      <c r="N974" s="14">
        <f>Donnees_annuelles!D44*J974</f>
        <v/>
      </c>
      <c r="O974" s="14">
        <f>Donnees_annuelles!D44*K974</f>
        <v/>
      </c>
      <c r="P974" s="14">
        <f>N974+O974</f>
        <v/>
      </c>
      <c r="Q974" s="14">
        <f>Donnees_annuelles!D44*L974</f>
        <v/>
      </c>
      <c r="R974" s="114">
        <f>P974/Donnees_annuelles!AA44*Donnees_annuelles!AI44/Donnees_annuelles!AG44</f>
        <v/>
      </c>
      <c r="S974" s="114">
        <f>P974/Donnees_annuelles!AA44*Donnees_annuelles!AJ44/Donnees_annuelles!AH44</f>
        <v/>
      </c>
    </row>
    <row r="975">
      <c r="A975" s="84" t="inlineStr">
        <is>
          <t>IEG</t>
        </is>
      </c>
      <c r="B975" s="88" t="n">
        <v>1987</v>
      </c>
      <c r="C975" s="93" t="n">
        <v>0.1</v>
      </c>
      <c r="D975" s="93" t="n">
        <v>0.075</v>
      </c>
      <c r="E975" s="93" t="n">
        <v>0.335</v>
      </c>
      <c r="F975" s="7" t="inlineStr">
        <is>
          <t>implicite estimé (analogie SNCF)</t>
        </is>
      </c>
      <c r="G975" s="93" t="n">
        <v>0</v>
      </c>
      <c r="H975" s="93" t="n">
        <v>0</v>
      </c>
      <c r="I975" s="93" t="n">
        <v>0</v>
      </c>
      <c r="J975" s="94">
        <f>D975*(1-C975)+G975*MIN(C975,0.2*(1-C975))+H975</f>
        <v/>
      </c>
      <c r="K975" s="94">
        <f>E975*(1-C975)+G975*MIN(C975,0.2*(1-C975))</f>
        <v/>
      </c>
      <c r="L975" s="94">
        <f>I975*(1-C975)</f>
        <v/>
      </c>
      <c r="M975" s="89">
        <f>SUMIFS(Regimes!$G$5:$G$10,Regimes!$A$5:$A$10,A975)</f>
        <v/>
      </c>
      <c r="N975" s="14">
        <f>Donnees_annuelles!D45*J975</f>
        <v/>
      </c>
      <c r="O975" s="14">
        <f>Donnees_annuelles!D45*K975</f>
        <v/>
      </c>
      <c r="P975" s="14">
        <f>N975+O975</f>
        <v/>
      </c>
      <c r="Q975" s="14">
        <f>Donnees_annuelles!D45*L975</f>
        <v/>
      </c>
      <c r="R975" s="114">
        <f>P975/Donnees_annuelles!AA45*Donnees_annuelles!AI45/Donnees_annuelles!AG45</f>
        <v/>
      </c>
      <c r="S975" s="114">
        <f>P975/Donnees_annuelles!AA45*Donnees_annuelles!AJ45/Donnees_annuelles!AH45</f>
        <v/>
      </c>
    </row>
    <row r="976">
      <c r="A976" s="84" t="inlineStr">
        <is>
          <t>IEG</t>
        </is>
      </c>
      <c r="B976" s="88" t="n">
        <v>1988</v>
      </c>
      <c r="C976" s="93" t="n">
        <v>0.1</v>
      </c>
      <c r="D976" s="93" t="n">
        <v>0.075</v>
      </c>
      <c r="E976" s="93" t="n">
        <v>0.335</v>
      </c>
      <c r="F976" s="7" t="inlineStr">
        <is>
          <t>implicite estimé (analogie SNCF)</t>
        </is>
      </c>
      <c r="G976" s="93" t="n">
        <v>0</v>
      </c>
      <c r="H976" s="93" t="n">
        <v>0</v>
      </c>
      <c r="I976" s="93" t="n">
        <v>0</v>
      </c>
      <c r="J976" s="94">
        <f>D976*(1-C976)+G976*MIN(C976,0.2*(1-C976))+H976</f>
        <v/>
      </c>
      <c r="K976" s="94">
        <f>E976*(1-C976)+G976*MIN(C976,0.2*(1-C976))</f>
        <v/>
      </c>
      <c r="L976" s="94">
        <f>I976*(1-C976)</f>
        <v/>
      </c>
      <c r="M976" s="89">
        <f>SUMIFS(Regimes!$G$5:$G$10,Regimes!$A$5:$A$10,A976)</f>
        <v/>
      </c>
      <c r="N976" s="14">
        <f>Donnees_annuelles!D46*J976</f>
        <v/>
      </c>
      <c r="O976" s="14">
        <f>Donnees_annuelles!D46*K976</f>
        <v/>
      </c>
      <c r="P976" s="14">
        <f>N976+O976</f>
        <v/>
      </c>
      <c r="Q976" s="14">
        <f>Donnees_annuelles!D46*L976</f>
        <v/>
      </c>
      <c r="R976" s="114">
        <f>P976/Donnees_annuelles!AA46*Donnees_annuelles!AI46/Donnees_annuelles!AG46</f>
        <v/>
      </c>
      <c r="S976" s="114">
        <f>P976/Donnees_annuelles!AA46*Donnees_annuelles!AJ46/Donnees_annuelles!AH46</f>
        <v/>
      </c>
    </row>
    <row r="977">
      <c r="A977" s="84" t="inlineStr">
        <is>
          <t>IEG</t>
        </is>
      </c>
      <c r="B977" s="88" t="n">
        <v>1989</v>
      </c>
      <c r="C977" s="93" t="n">
        <v>0.1</v>
      </c>
      <c r="D977" s="93" t="n">
        <v>0.075</v>
      </c>
      <c r="E977" s="93" t="n">
        <v>0.335</v>
      </c>
      <c r="F977" s="7" t="inlineStr">
        <is>
          <t>implicite estimé (analogie SNCF)</t>
        </is>
      </c>
      <c r="G977" s="93" t="n">
        <v>0</v>
      </c>
      <c r="H977" s="93" t="n">
        <v>0</v>
      </c>
      <c r="I977" s="93" t="n">
        <v>0</v>
      </c>
      <c r="J977" s="94">
        <f>D977*(1-C977)+G977*MIN(C977,0.2*(1-C977))+H977</f>
        <v/>
      </c>
      <c r="K977" s="94">
        <f>E977*(1-C977)+G977*MIN(C977,0.2*(1-C977))</f>
        <v/>
      </c>
      <c r="L977" s="94">
        <f>I977*(1-C977)</f>
        <v/>
      </c>
      <c r="M977" s="89">
        <f>SUMIFS(Regimes!$G$5:$G$10,Regimes!$A$5:$A$10,A977)</f>
        <v/>
      </c>
      <c r="N977" s="14">
        <f>Donnees_annuelles!D47*J977</f>
        <v/>
      </c>
      <c r="O977" s="14">
        <f>Donnees_annuelles!D47*K977</f>
        <v/>
      </c>
      <c r="P977" s="14">
        <f>N977+O977</f>
        <v/>
      </c>
      <c r="Q977" s="14">
        <f>Donnees_annuelles!D47*L977</f>
        <v/>
      </c>
      <c r="R977" s="114">
        <f>P977/Donnees_annuelles!AA47*Donnees_annuelles!AI47/Donnees_annuelles!AG47</f>
        <v/>
      </c>
      <c r="S977" s="114">
        <f>P977/Donnees_annuelles!AA47*Donnees_annuelles!AJ47/Donnees_annuelles!AH47</f>
        <v/>
      </c>
    </row>
    <row r="978">
      <c r="A978" s="84" t="inlineStr">
        <is>
          <t>IEG</t>
        </is>
      </c>
      <c r="B978" s="88" t="n">
        <v>1990</v>
      </c>
      <c r="C978" s="93" t="n">
        <v>0.1</v>
      </c>
      <c r="D978" s="93" t="n">
        <v>0.075</v>
      </c>
      <c r="E978" s="93" t="n">
        <v>0.335</v>
      </c>
      <c r="F978" s="7" t="inlineStr">
        <is>
          <t>implicite estimé (analogie SNCF)</t>
        </is>
      </c>
      <c r="G978" s="93" t="n">
        <v>0</v>
      </c>
      <c r="H978" s="93" t="n">
        <v>0</v>
      </c>
      <c r="I978" s="93" t="n">
        <v>0</v>
      </c>
      <c r="J978" s="94">
        <f>D978*(1-C978)+G978*MIN(C978,0.2*(1-C978))+H978</f>
        <v/>
      </c>
      <c r="K978" s="94">
        <f>E978*(1-C978)+G978*MIN(C978,0.2*(1-C978))</f>
        <v/>
      </c>
      <c r="L978" s="94">
        <f>I978*(1-C978)</f>
        <v/>
      </c>
      <c r="M978" s="89">
        <f>SUMIFS(Regimes!$G$5:$G$10,Regimes!$A$5:$A$10,A978)</f>
        <v/>
      </c>
      <c r="N978" s="14">
        <f>Donnees_annuelles!D48*J978</f>
        <v/>
      </c>
      <c r="O978" s="14">
        <f>Donnees_annuelles!D48*K978</f>
        <v/>
      </c>
      <c r="P978" s="14">
        <f>N978+O978</f>
        <v/>
      </c>
      <c r="Q978" s="14">
        <f>Donnees_annuelles!D48*L978</f>
        <v/>
      </c>
      <c r="R978" s="114">
        <f>P978/Donnees_annuelles!AA48*Donnees_annuelles!AI48/Donnees_annuelles!AG48</f>
        <v/>
      </c>
      <c r="S978" s="114">
        <f>P978/Donnees_annuelles!AA48*Donnees_annuelles!AJ48/Donnees_annuelles!AH48</f>
        <v/>
      </c>
    </row>
    <row r="979">
      <c r="A979" s="84" t="inlineStr">
        <is>
          <t>IEG</t>
        </is>
      </c>
      <c r="B979" s="88" t="n">
        <v>1991</v>
      </c>
      <c r="C979" s="93" t="n">
        <v>0.1</v>
      </c>
      <c r="D979" s="93" t="n">
        <v>0.07820000000000001</v>
      </c>
      <c r="E979" s="93" t="n">
        <v>0.3362</v>
      </c>
      <c r="F979" s="7" t="inlineStr">
        <is>
          <t>implicite estimé (analogie SNCF)</t>
        </is>
      </c>
      <c r="G979" s="93" t="n">
        <v>0</v>
      </c>
      <c r="H979" s="93" t="n">
        <v>0</v>
      </c>
      <c r="I979" s="93" t="n">
        <v>0</v>
      </c>
      <c r="J979" s="94">
        <f>D979*(1-C979)+G979*MIN(C979,0.2*(1-C979))+H979</f>
        <v/>
      </c>
      <c r="K979" s="94">
        <f>E979*(1-C979)+G979*MIN(C979,0.2*(1-C979))</f>
        <v/>
      </c>
      <c r="L979" s="94">
        <f>I979*(1-C979)</f>
        <v/>
      </c>
      <c r="M979" s="89">
        <f>SUMIFS(Regimes!$G$5:$G$10,Regimes!$A$5:$A$10,A979)</f>
        <v/>
      </c>
      <c r="N979" s="14">
        <f>Donnees_annuelles!D49*J979</f>
        <v/>
      </c>
      <c r="O979" s="14">
        <f>Donnees_annuelles!D49*K979</f>
        <v/>
      </c>
      <c r="P979" s="14">
        <f>N979+O979</f>
        <v/>
      </c>
      <c r="Q979" s="14">
        <f>Donnees_annuelles!D49*L979</f>
        <v/>
      </c>
      <c r="R979" s="114">
        <f>P979/Donnees_annuelles!AA49*Donnees_annuelles!AI49/Donnees_annuelles!AG49</f>
        <v/>
      </c>
      <c r="S979" s="114">
        <f>P979/Donnees_annuelles!AA49*Donnees_annuelles!AJ49/Donnees_annuelles!AH49</f>
        <v/>
      </c>
    </row>
    <row r="980">
      <c r="A980" s="84" t="inlineStr">
        <is>
          <t>IEG</t>
        </is>
      </c>
      <c r="B980" s="88" t="n">
        <v>1992</v>
      </c>
      <c r="C980" s="93" t="n">
        <v>0.1</v>
      </c>
      <c r="D980" s="93" t="n">
        <v>0.0785</v>
      </c>
      <c r="E980" s="93" t="n">
        <v>0.3362</v>
      </c>
      <c r="F980" s="7" t="inlineStr">
        <is>
          <t>implicite estimé (analogie SNCF)</t>
        </is>
      </c>
      <c r="G980" s="93" t="n">
        <v>0</v>
      </c>
      <c r="H980" s="93" t="n">
        <v>0</v>
      </c>
      <c r="I980" s="93" t="n">
        <v>0</v>
      </c>
      <c r="J980" s="94">
        <f>D980*(1-C980)+G980*MIN(C980,0.2*(1-C980))+H980</f>
        <v/>
      </c>
      <c r="K980" s="94">
        <f>E980*(1-C980)+G980*MIN(C980,0.2*(1-C980))</f>
        <v/>
      </c>
      <c r="L980" s="94">
        <f>I980*(1-C980)</f>
        <v/>
      </c>
      <c r="M980" s="89">
        <f>SUMIFS(Regimes!$G$5:$G$10,Regimes!$A$5:$A$10,A980)</f>
        <v/>
      </c>
      <c r="N980" s="14">
        <f>Donnees_annuelles!D50*J980</f>
        <v/>
      </c>
      <c r="O980" s="14">
        <f>Donnees_annuelles!D50*K980</f>
        <v/>
      </c>
      <c r="P980" s="14">
        <f>N980+O980</f>
        <v/>
      </c>
      <c r="Q980" s="14">
        <f>Donnees_annuelles!D50*L980</f>
        <v/>
      </c>
      <c r="R980" s="114">
        <f>P980/Donnees_annuelles!AA50*Donnees_annuelles!AI50/Donnees_annuelles!AG50</f>
        <v/>
      </c>
      <c r="S980" s="114">
        <f>P980/Donnees_annuelles!AA50*Donnees_annuelles!AJ50/Donnees_annuelles!AH50</f>
        <v/>
      </c>
    </row>
    <row r="981">
      <c r="A981" s="84" t="inlineStr">
        <is>
          <t>IEG</t>
        </is>
      </c>
      <c r="B981" s="88" t="n">
        <v>1993</v>
      </c>
      <c r="C981" s="93" t="n">
        <v>0.1</v>
      </c>
      <c r="D981" s="93" t="n">
        <v>0.0785</v>
      </c>
      <c r="E981" s="93" t="n">
        <v>0.3362</v>
      </c>
      <c r="F981" s="7" t="inlineStr">
        <is>
          <t>implicite estimé (analogie SNCF)</t>
        </is>
      </c>
      <c r="G981" s="93" t="n">
        <v>0</v>
      </c>
      <c r="H981" s="93" t="n">
        <v>0.006226</v>
      </c>
      <c r="I981" s="93" t="n">
        <v>0</v>
      </c>
      <c r="J981" s="94">
        <f>D981*(1-C981)+G981*MIN(C981,0.2*(1-C981))+H981</f>
        <v/>
      </c>
      <c r="K981" s="94">
        <f>E981*(1-C981)+G981*MIN(C981,0.2*(1-C981))</f>
        <v/>
      </c>
      <c r="L981" s="94">
        <f>I981*(1-C981)</f>
        <v/>
      </c>
      <c r="M981" s="89">
        <f>SUMIFS(Regimes!$G$5:$G$10,Regimes!$A$5:$A$10,A981)</f>
        <v/>
      </c>
      <c r="N981" s="14">
        <f>Donnees_annuelles!D51*J981</f>
        <v/>
      </c>
      <c r="O981" s="14">
        <f>Donnees_annuelles!D51*K981</f>
        <v/>
      </c>
      <c r="P981" s="14">
        <f>N981+O981</f>
        <v/>
      </c>
      <c r="Q981" s="14">
        <f>Donnees_annuelles!D51*L981</f>
        <v/>
      </c>
      <c r="R981" s="114">
        <f>P981/Donnees_annuelles!AA51*Donnees_annuelles!AI51/Donnees_annuelles!AG51</f>
        <v/>
      </c>
      <c r="S981" s="114">
        <f>P981/Donnees_annuelles!AA51*Donnees_annuelles!AJ51/Donnees_annuelles!AH51</f>
        <v/>
      </c>
    </row>
    <row r="982">
      <c r="A982" s="84" t="inlineStr">
        <is>
          <t>IEG</t>
        </is>
      </c>
      <c r="B982" s="88" t="n">
        <v>1994</v>
      </c>
      <c r="C982" s="93" t="n">
        <v>0.1</v>
      </c>
      <c r="D982" s="93" t="n">
        <v>0.0785</v>
      </c>
      <c r="E982" s="93" t="n">
        <v>0.3362</v>
      </c>
      <c r="F982" s="7" t="inlineStr">
        <is>
          <t>implicite estimé (analogie SNCF)</t>
        </is>
      </c>
      <c r="G982" s="93" t="n">
        <v>0</v>
      </c>
      <c r="H982" s="93" t="n">
        <v>0.01235</v>
      </c>
      <c r="I982" s="93" t="n">
        <v>0</v>
      </c>
      <c r="J982" s="94">
        <f>D982*(1-C982)+G982*MIN(C982,0.2*(1-C982))+H982</f>
        <v/>
      </c>
      <c r="K982" s="94">
        <f>E982*(1-C982)+G982*MIN(C982,0.2*(1-C982))</f>
        <v/>
      </c>
      <c r="L982" s="94">
        <f>I982*(1-C982)</f>
        <v/>
      </c>
      <c r="M982" s="89">
        <f>SUMIFS(Regimes!$G$5:$G$10,Regimes!$A$5:$A$10,A982)</f>
        <v/>
      </c>
      <c r="N982" s="14">
        <f>Donnees_annuelles!D52*J982</f>
        <v/>
      </c>
      <c r="O982" s="14">
        <f>Donnees_annuelles!D52*K982</f>
        <v/>
      </c>
      <c r="P982" s="14">
        <f>N982+O982</f>
        <v/>
      </c>
      <c r="Q982" s="14">
        <f>Donnees_annuelles!D52*L982</f>
        <v/>
      </c>
      <c r="R982" s="114">
        <f>P982/Donnees_annuelles!AA52*Donnees_annuelles!AI52/Donnees_annuelles!AG52</f>
        <v/>
      </c>
      <c r="S982" s="114">
        <f>P982/Donnees_annuelles!AA52*Donnees_annuelles!AJ52/Donnees_annuelles!AH52</f>
        <v/>
      </c>
    </row>
    <row r="983">
      <c r="A983" s="84" t="inlineStr">
        <is>
          <t>IEG</t>
        </is>
      </c>
      <c r="B983" s="88" t="n">
        <v>1995</v>
      </c>
      <c r="C983" s="93" t="n">
        <v>0.1</v>
      </c>
      <c r="D983" s="93" t="n">
        <v>0.0785</v>
      </c>
      <c r="E983" s="93" t="n">
        <v>0.3362</v>
      </c>
      <c r="F983" s="7" t="inlineStr">
        <is>
          <t>implicite estimé (vers 63,79 % en 2004)</t>
        </is>
      </c>
      <c r="G983" s="93" t="n">
        <v>0</v>
      </c>
      <c r="H983" s="93" t="n">
        <v>0.01235</v>
      </c>
      <c r="I983" s="93" t="n">
        <v>0</v>
      </c>
      <c r="J983" s="94">
        <f>D983*(1-C983)+G983*MIN(C983,0.2*(1-C983))+H983</f>
        <v/>
      </c>
      <c r="K983" s="94">
        <f>E983*(1-C983)+G983*MIN(C983,0.2*(1-C983))</f>
        <v/>
      </c>
      <c r="L983" s="94">
        <f>I983*(1-C983)</f>
        <v/>
      </c>
      <c r="M983" s="89">
        <f>SUMIFS(Regimes!$G$5:$G$10,Regimes!$A$5:$A$10,A983)</f>
        <v/>
      </c>
      <c r="N983" s="14">
        <f>Donnees_annuelles!D53*J983</f>
        <v/>
      </c>
      <c r="O983" s="14">
        <f>Donnees_annuelles!D53*K983</f>
        <v/>
      </c>
      <c r="P983" s="14">
        <f>N983+O983</f>
        <v/>
      </c>
      <c r="Q983" s="14">
        <f>Donnees_annuelles!D53*L983</f>
        <v/>
      </c>
      <c r="R983" s="114">
        <f>P983/Donnees_annuelles!AA53*Donnees_annuelles!AI53/Donnees_annuelles!AG53</f>
        <v/>
      </c>
      <c r="S983" s="114">
        <f>P983/Donnees_annuelles!AA53*Donnees_annuelles!AJ53/Donnees_annuelles!AH53</f>
        <v/>
      </c>
    </row>
    <row r="984">
      <c r="A984" s="84" t="inlineStr">
        <is>
          <t>IEG</t>
        </is>
      </c>
      <c r="B984" s="88" t="n">
        <v>1996</v>
      </c>
      <c r="C984" s="93" t="n">
        <v>0.1</v>
      </c>
      <c r="D984" s="93" t="n">
        <v>0.0785</v>
      </c>
      <c r="E984" s="93" t="n">
        <v>0.36972</v>
      </c>
      <c r="F984" s="7" t="inlineStr">
        <is>
          <t>implicite estimé (vers 63,79 % en 2004)</t>
        </is>
      </c>
      <c r="G984" s="93" t="n">
        <v>0</v>
      </c>
      <c r="H984" s="93" t="n">
        <v>0.013524</v>
      </c>
      <c r="I984" s="93" t="n">
        <v>0</v>
      </c>
      <c r="J984" s="94">
        <f>D984*(1-C984)+G984*MIN(C984,0.2*(1-C984))+H984</f>
        <v/>
      </c>
      <c r="K984" s="94">
        <f>E984*(1-C984)+G984*MIN(C984,0.2*(1-C984))</f>
        <v/>
      </c>
      <c r="L984" s="94">
        <f>I984*(1-C984)</f>
        <v/>
      </c>
      <c r="M984" s="89">
        <f>SUMIFS(Regimes!$G$5:$G$10,Regimes!$A$5:$A$10,A984)</f>
        <v/>
      </c>
      <c r="N984" s="14">
        <f>Donnees_annuelles!D54*J984</f>
        <v/>
      </c>
      <c r="O984" s="14">
        <f>Donnees_annuelles!D54*K984</f>
        <v/>
      </c>
      <c r="P984" s="14">
        <f>N984+O984</f>
        <v/>
      </c>
      <c r="Q984" s="14">
        <f>Donnees_annuelles!D54*L984</f>
        <v/>
      </c>
      <c r="R984" s="114">
        <f>P984/Donnees_annuelles!AA54*Donnees_annuelles!AI54/Donnees_annuelles!AG54</f>
        <v/>
      </c>
      <c r="S984" s="114">
        <f>P984/Donnees_annuelles!AA54*Donnees_annuelles!AJ54/Donnees_annuelles!AH54</f>
        <v/>
      </c>
    </row>
    <row r="985">
      <c r="A985" s="84" t="inlineStr">
        <is>
          <t>IEG</t>
        </is>
      </c>
      <c r="B985" s="88" t="n">
        <v>1997</v>
      </c>
      <c r="C985" s="93" t="n">
        <v>0.1</v>
      </c>
      <c r="D985" s="93" t="n">
        <v>0.0785</v>
      </c>
      <c r="E985" s="93" t="n">
        <v>0.40324</v>
      </c>
      <c r="F985" s="7" t="inlineStr">
        <is>
          <t>implicite estimé (vers 63,79 % en 2004)</t>
        </is>
      </c>
      <c r="G985" s="93" t="n">
        <v>0</v>
      </c>
      <c r="H985" s="93" t="n">
        <v>0.013632</v>
      </c>
      <c r="I985" s="93" t="n">
        <v>0</v>
      </c>
      <c r="J985" s="94">
        <f>D985*(1-C985)+G985*MIN(C985,0.2*(1-C985))+H985</f>
        <v/>
      </c>
      <c r="K985" s="94">
        <f>E985*(1-C985)+G985*MIN(C985,0.2*(1-C985))</f>
        <v/>
      </c>
      <c r="L985" s="94">
        <f>I985*(1-C985)</f>
        <v/>
      </c>
      <c r="M985" s="89">
        <f>SUMIFS(Regimes!$G$5:$G$10,Regimes!$A$5:$A$10,A985)</f>
        <v/>
      </c>
      <c r="N985" s="14">
        <f>Donnees_annuelles!D55*J985</f>
        <v/>
      </c>
      <c r="O985" s="14">
        <f>Donnees_annuelles!D55*K985</f>
        <v/>
      </c>
      <c r="P985" s="14">
        <f>N985+O985</f>
        <v/>
      </c>
      <c r="Q985" s="14">
        <f>Donnees_annuelles!D55*L985</f>
        <v/>
      </c>
      <c r="R985" s="114">
        <f>P985/Donnees_annuelles!AA55*Donnees_annuelles!AI55/Donnees_annuelles!AG55</f>
        <v/>
      </c>
      <c r="S985" s="114">
        <f>P985/Donnees_annuelles!AA55*Donnees_annuelles!AJ55/Donnees_annuelles!AH55</f>
        <v/>
      </c>
    </row>
    <row r="986">
      <c r="A986" s="84" t="inlineStr">
        <is>
          <t>IEG</t>
        </is>
      </c>
      <c r="B986" s="88" t="n">
        <v>1998</v>
      </c>
      <c r="C986" s="93" t="n">
        <v>0.1</v>
      </c>
      <c r="D986" s="93" t="n">
        <v>0.0785</v>
      </c>
      <c r="E986" s="93" t="n">
        <v>0.43677</v>
      </c>
      <c r="F986" s="7" t="inlineStr">
        <is>
          <t>implicite estimé (vers 63,79 % en 2004)</t>
        </is>
      </c>
      <c r="G986" s="93" t="n">
        <v>0</v>
      </c>
      <c r="H986" s="93" t="n">
        <v>0.013632</v>
      </c>
      <c r="I986" s="93" t="n">
        <v>0</v>
      </c>
      <c r="J986" s="94">
        <f>D986*(1-C986)+G986*MIN(C986,0.2*(1-C986))+H986</f>
        <v/>
      </c>
      <c r="K986" s="94">
        <f>E986*(1-C986)+G986*MIN(C986,0.2*(1-C986))</f>
        <v/>
      </c>
      <c r="L986" s="94">
        <f>I986*(1-C986)</f>
        <v/>
      </c>
      <c r="M986" s="89">
        <f>SUMIFS(Regimes!$G$5:$G$10,Regimes!$A$5:$A$10,A986)</f>
        <v/>
      </c>
      <c r="N986" s="14">
        <f>Donnees_annuelles!D56*J986</f>
        <v/>
      </c>
      <c r="O986" s="14">
        <f>Donnees_annuelles!D56*K986</f>
        <v/>
      </c>
      <c r="P986" s="14">
        <f>N986+O986</f>
        <v/>
      </c>
      <c r="Q986" s="14">
        <f>Donnees_annuelles!D56*L986</f>
        <v/>
      </c>
      <c r="R986" s="114">
        <f>P986/Donnees_annuelles!AA56*Donnees_annuelles!AI56/Donnees_annuelles!AG56</f>
        <v/>
      </c>
      <c r="S986" s="114">
        <f>P986/Donnees_annuelles!AA56*Donnees_annuelles!AJ56/Donnees_annuelles!AH56</f>
        <v/>
      </c>
    </row>
    <row r="987">
      <c r="A987" s="84" t="inlineStr">
        <is>
          <t>IEG</t>
        </is>
      </c>
      <c r="B987" s="88" t="n">
        <v>1999</v>
      </c>
      <c r="C987" s="93" t="n">
        <v>0.1</v>
      </c>
      <c r="D987" s="93" t="n">
        <v>0.0785</v>
      </c>
      <c r="E987" s="93" t="n">
        <v>0.47029</v>
      </c>
      <c r="F987" s="7" t="inlineStr">
        <is>
          <t>implicite estimé (vers 63,79 % en 2004)</t>
        </is>
      </c>
      <c r="G987" s="93" t="n">
        <v>0</v>
      </c>
      <c r="H987" s="93" t="n">
        <v>0.013632</v>
      </c>
      <c r="I987" s="93" t="n">
        <v>0</v>
      </c>
      <c r="J987" s="94">
        <f>D987*(1-C987)+G987*MIN(C987,0.2*(1-C987))+H987</f>
        <v/>
      </c>
      <c r="K987" s="94">
        <f>E987*(1-C987)+G987*MIN(C987,0.2*(1-C987))</f>
        <v/>
      </c>
      <c r="L987" s="94">
        <f>I987*(1-C987)</f>
        <v/>
      </c>
      <c r="M987" s="89">
        <f>SUMIFS(Regimes!$G$5:$G$10,Regimes!$A$5:$A$10,A987)</f>
        <v/>
      </c>
      <c r="N987" s="14">
        <f>Donnees_annuelles!D57*J987</f>
        <v/>
      </c>
      <c r="O987" s="14">
        <f>Donnees_annuelles!D57*K987</f>
        <v/>
      </c>
      <c r="P987" s="14">
        <f>N987+O987</f>
        <v/>
      </c>
      <c r="Q987" s="14">
        <f>Donnees_annuelles!D57*L987</f>
        <v/>
      </c>
      <c r="R987" s="114">
        <f>P987/Donnees_annuelles!AA57*Donnees_annuelles!AI57/Donnees_annuelles!AG57</f>
        <v/>
      </c>
      <c r="S987" s="114">
        <f>P987/Donnees_annuelles!AA57*Donnees_annuelles!AJ57/Donnees_annuelles!AH57</f>
        <v/>
      </c>
    </row>
    <row r="988">
      <c r="A988" s="84" t="inlineStr">
        <is>
          <t>IEG</t>
        </is>
      </c>
      <c r="B988" s="88" t="n">
        <v>2000</v>
      </c>
      <c r="C988" s="93" t="n">
        <v>0.1</v>
      </c>
      <c r="D988" s="93" t="n">
        <v>0.0785</v>
      </c>
      <c r="E988" s="93" t="n">
        <v>0.50381</v>
      </c>
      <c r="F988" s="7" t="inlineStr">
        <is>
          <t>implicite estimé (vers 63,79 % en 2004)</t>
        </is>
      </c>
      <c r="G988" s="93" t="n">
        <v>0</v>
      </c>
      <c r="H988" s="93" t="n">
        <v>0.013632</v>
      </c>
      <c r="I988" s="93" t="n">
        <v>0</v>
      </c>
      <c r="J988" s="94">
        <f>D988*(1-C988)+G988*MIN(C988,0.2*(1-C988))+H988</f>
        <v/>
      </c>
      <c r="K988" s="94">
        <f>E988*(1-C988)+G988*MIN(C988,0.2*(1-C988))</f>
        <v/>
      </c>
      <c r="L988" s="94">
        <f>I988*(1-C988)</f>
        <v/>
      </c>
      <c r="M988" s="89">
        <f>SUMIFS(Regimes!$G$5:$G$10,Regimes!$A$5:$A$10,A988)</f>
        <v/>
      </c>
      <c r="N988" s="14">
        <f>Donnees_annuelles!D58*J988</f>
        <v/>
      </c>
      <c r="O988" s="14">
        <f>Donnees_annuelles!D58*K988</f>
        <v/>
      </c>
      <c r="P988" s="14">
        <f>N988+O988</f>
        <v/>
      </c>
      <c r="Q988" s="14">
        <f>Donnees_annuelles!D58*L988</f>
        <v/>
      </c>
      <c r="R988" s="114">
        <f>P988/Donnees_annuelles!AA58*Donnees_annuelles!AI58/Donnees_annuelles!AG58</f>
        <v/>
      </c>
      <c r="S988" s="114">
        <f>P988/Donnees_annuelles!AA58*Donnees_annuelles!AJ58/Donnees_annuelles!AH58</f>
        <v/>
      </c>
    </row>
    <row r="989">
      <c r="A989" s="84" t="inlineStr">
        <is>
          <t>IEG</t>
        </is>
      </c>
      <c r="B989" s="88" t="n">
        <v>2001</v>
      </c>
      <c r="C989" s="93" t="n">
        <v>0.1</v>
      </c>
      <c r="D989" s="93" t="n">
        <v>0.0785</v>
      </c>
      <c r="E989" s="93" t="n">
        <v>0.53733</v>
      </c>
      <c r="F989" s="7" t="inlineStr">
        <is>
          <t>implicite estimé (vers 63,79 % en 2004)</t>
        </is>
      </c>
      <c r="G989" s="93" t="n">
        <v>0</v>
      </c>
      <c r="H989" s="93" t="n">
        <v>0.012207</v>
      </c>
      <c r="I989" s="93" t="n">
        <v>0</v>
      </c>
      <c r="J989" s="94">
        <f>D989*(1-C989)+G989*MIN(C989,0.2*(1-C989))+H989</f>
        <v/>
      </c>
      <c r="K989" s="94">
        <f>E989*(1-C989)+G989*MIN(C989,0.2*(1-C989))</f>
        <v/>
      </c>
      <c r="L989" s="94">
        <f>I989*(1-C989)</f>
        <v/>
      </c>
      <c r="M989" s="89">
        <f>SUMIFS(Regimes!$G$5:$G$10,Regimes!$A$5:$A$10,A989)</f>
        <v/>
      </c>
      <c r="N989" s="14">
        <f>Donnees_annuelles!D59*J989</f>
        <v/>
      </c>
      <c r="O989" s="14">
        <f>Donnees_annuelles!D59*K989</f>
        <v/>
      </c>
      <c r="P989" s="14">
        <f>N989+O989</f>
        <v/>
      </c>
      <c r="Q989" s="14">
        <f>Donnees_annuelles!D59*L989</f>
        <v/>
      </c>
      <c r="R989" s="114">
        <f>P989/Donnees_annuelles!AA59*Donnees_annuelles!AI59/Donnees_annuelles!AG59</f>
        <v/>
      </c>
      <c r="S989" s="114">
        <f>P989/Donnees_annuelles!AA59*Donnees_annuelles!AJ59/Donnees_annuelles!AH59</f>
        <v/>
      </c>
    </row>
    <row r="990">
      <c r="A990" s="84" t="inlineStr">
        <is>
          <t>IEG</t>
        </is>
      </c>
      <c r="B990" s="88" t="n">
        <v>2002</v>
      </c>
      <c r="C990" s="93" t="n">
        <v>0.1</v>
      </c>
      <c r="D990" s="93" t="n">
        <v>0.0785</v>
      </c>
      <c r="E990" s="93" t="n">
        <v>0.57086</v>
      </c>
      <c r="F990" s="7" t="inlineStr">
        <is>
          <t>implicite estimé (vers 63,79 % en 2004)</t>
        </is>
      </c>
      <c r="G990" s="93" t="n">
        <v>0</v>
      </c>
      <c r="H990" s="93" t="n">
        <v>0.011258</v>
      </c>
      <c r="I990" s="93" t="n">
        <v>0</v>
      </c>
      <c r="J990" s="94">
        <f>D990*(1-C990)+G990*MIN(C990,0.2*(1-C990))+H990</f>
        <v/>
      </c>
      <c r="K990" s="94">
        <f>E990*(1-C990)+G990*MIN(C990,0.2*(1-C990))</f>
        <v/>
      </c>
      <c r="L990" s="94">
        <f>I990*(1-C990)</f>
        <v/>
      </c>
      <c r="M990" s="89">
        <f>SUMIFS(Regimes!$G$5:$G$10,Regimes!$A$5:$A$10,A990)</f>
        <v/>
      </c>
      <c r="N990" s="14">
        <f>Donnees_annuelles!D60*J990</f>
        <v/>
      </c>
      <c r="O990" s="14">
        <f>Donnees_annuelles!D60*K990</f>
        <v/>
      </c>
      <c r="P990" s="14">
        <f>N990+O990</f>
        <v/>
      </c>
      <c r="Q990" s="14">
        <f>Donnees_annuelles!D60*L990</f>
        <v/>
      </c>
      <c r="R990" s="114">
        <f>P990/Donnees_annuelles!AA60*Donnees_annuelles!AI60/Donnees_annuelles!AG60</f>
        <v/>
      </c>
      <c r="S990" s="114">
        <f>P990/Donnees_annuelles!AA60*Donnees_annuelles!AJ60/Donnees_annuelles!AH60</f>
        <v/>
      </c>
    </row>
    <row r="991">
      <c r="A991" s="84" t="inlineStr">
        <is>
          <t>IEG</t>
        </is>
      </c>
      <c r="B991" s="88" t="n">
        <v>2003</v>
      </c>
      <c r="C991" s="93" t="n">
        <v>0.1</v>
      </c>
      <c r="D991" s="93" t="n">
        <v>0.0785</v>
      </c>
      <c r="E991" s="93" t="n">
        <v>0.60438</v>
      </c>
      <c r="F991" s="7" t="inlineStr">
        <is>
          <t>implicite estimé (vers 63,79 % en 2004)</t>
        </is>
      </c>
      <c r="G991" s="93" t="n">
        <v>0</v>
      </c>
      <c r="H991" s="93" t="n">
        <v>0.011258</v>
      </c>
      <c r="I991" s="93" t="n">
        <v>0</v>
      </c>
      <c r="J991" s="94">
        <f>D991*(1-C991)+G991*MIN(C991,0.2*(1-C991))+H991</f>
        <v/>
      </c>
      <c r="K991" s="94">
        <f>E991*(1-C991)+G991*MIN(C991,0.2*(1-C991))</f>
        <v/>
      </c>
      <c r="L991" s="94">
        <f>I991*(1-C991)</f>
        <v/>
      </c>
      <c r="M991" s="89">
        <f>SUMIFS(Regimes!$G$5:$G$10,Regimes!$A$5:$A$10,A991)</f>
        <v/>
      </c>
      <c r="N991" s="14">
        <f>Donnees_annuelles!D61*J991</f>
        <v/>
      </c>
      <c r="O991" s="14">
        <f>Donnees_annuelles!D61*K991</f>
        <v/>
      </c>
      <c r="P991" s="14">
        <f>N991+O991</f>
        <v/>
      </c>
      <c r="Q991" s="14">
        <f>Donnees_annuelles!D61*L991</f>
        <v/>
      </c>
      <c r="R991" s="114">
        <f>P991/Donnees_annuelles!AA61*Donnees_annuelles!AI61/Donnees_annuelles!AG61</f>
        <v/>
      </c>
      <c r="S991" s="114">
        <f>P991/Donnees_annuelles!AA61*Donnees_annuelles!AJ61/Donnees_annuelles!AH61</f>
        <v/>
      </c>
    </row>
    <row r="992">
      <c r="A992" s="84" t="inlineStr">
        <is>
          <t>IEG</t>
        </is>
      </c>
      <c r="B992" s="88" t="n">
        <v>2004</v>
      </c>
      <c r="C992" s="93" t="n">
        <v>0.1</v>
      </c>
      <c r="D992" s="93" t="n">
        <v>0.0785</v>
      </c>
      <c r="E992" s="93" t="n">
        <v>0.6379</v>
      </c>
      <c r="F992" s="7" t="inlineStr">
        <is>
          <t>implicite estimé (vers 63,79 % en 2004)</t>
        </is>
      </c>
      <c r="G992" s="93" t="n">
        <v>0</v>
      </c>
      <c r="H992" s="93" t="n">
        <v>0.011258</v>
      </c>
      <c r="I992" s="93" t="n">
        <v>0</v>
      </c>
      <c r="J992" s="94">
        <f>D992*(1-C992)+G992*MIN(C992,0.2*(1-C992))+H992</f>
        <v/>
      </c>
      <c r="K992" s="94">
        <f>E992*(1-C992)+G992*MIN(C992,0.2*(1-C992))</f>
        <v/>
      </c>
      <c r="L992" s="94">
        <f>I992*(1-C992)</f>
        <v/>
      </c>
      <c r="M992" s="89">
        <f>SUMIFS(Regimes!$G$5:$G$10,Regimes!$A$5:$A$10,A992)</f>
        <v/>
      </c>
      <c r="N992" s="14">
        <f>Donnees_annuelles!D62*J992</f>
        <v/>
      </c>
      <c r="O992" s="14">
        <f>Donnees_annuelles!D62*K992</f>
        <v/>
      </c>
      <c r="P992" s="14">
        <f>N992+O992</f>
        <v/>
      </c>
      <c r="Q992" s="14">
        <f>Donnees_annuelles!D62*L992</f>
        <v/>
      </c>
      <c r="R992" s="114">
        <f>P992/Donnees_annuelles!AA62*Donnees_annuelles!AI62/Donnees_annuelles!AG62</f>
        <v/>
      </c>
      <c r="S992" s="114">
        <f>P992/Donnees_annuelles!AA62*Donnees_annuelles!AJ62/Donnees_annuelles!AH62</f>
        <v/>
      </c>
    </row>
    <row r="993">
      <c r="A993" s="84" t="inlineStr">
        <is>
          <t>IEG</t>
        </is>
      </c>
      <c r="B993" s="88" t="n">
        <v>2005</v>
      </c>
      <c r="C993" s="93" t="n">
        <v>0.1</v>
      </c>
      <c r="D993" s="93" t="n">
        <v>0.12</v>
      </c>
      <c r="E993" s="93" t="n">
        <v>0.28</v>
      </c>
      <c r="F993" s="7" t="inlineStr">
        <is>
          <t>légal</t>
        </is>
      </c>
      <c r="G993" s="93" t="n">
        <v>0</v>
      </c>
      <c r="H993" s="93" t="n">
        <v>0.011494</v>
      </c>
      <c r="I993" s="93" t="n">
        <v>0.19242</v>
      </c>
      <c r="J993" s="94">
        <f>D993*(1-C993)+G993*MIN(C993,0.2*(1-C993))+H993</f>
        <v/>
      </c>
      <c r="K993" s="94">
        <f>E993*(1-C993)+G993*MIN(C993,0.2*(1-C993))</f>
        <v/>
      </c>
      <c r="L993" s="94">
        <f>I993*(1-C993)</f>
        <v/>
      </c>
      <c r="M993" s="89">
        <f>SUMIFS(Regimes!$G$5:$G$10,Regimes!$A$5:$A$10,A993)</f>
        <v/>
      </c>
      <c r="N993" s="14">
        <f>Donnees_annuelles!D63*J993</f>
        <v/>
      </c>
      <c r="O993" s="14">
        <f>Donnees_annuelles!D63*K993</f>
        <v/>
      </c>
      <c r="P993" s="14">
        <f>N993+O993</f>
        <v/>
      </c>
      <c r="Q993" s="14">
        <f>Donnees_annuelles!D63*L993</f>
        <v/>
      </c>
      <c r="R993" s="114">
        <f>P993/Donnees_annuelles!AA63*Donnees_annuelles!AI63/Donnees_annuelles!AG63</f>
        <v/>
      </c>
      <c r="S993" s="114">
        <f>P993/Donnees_annuelles!AA63*Donnees_annuelles!AJ63/Donnees_annuelles!AH63</f>
        <v/>
      </c>
    </row>
    <row r="994">
      <c r="A994" s="84" t="inlineStr">
        <is>
          <t>IEG</t>
        </is>
      </c>
      <c r="B994" s="88" t="n">
        <v>2006</v>
      </c>
      <c r="C994" s="93" t="n">
        <v>0.1</v>
      </c>
      <c r="D994" s="93" t="n">
        <v>0.12</v>
      </c>
      <c r="E994" s="93" t="n">
        <v>0.28</v>
      </c>
      <c r="F994" s="7" t="inlineStr">
        <is>
          <t>légal</t>
        </is>
      </c>
      <c r="G994" s="93" t="n">
        <v>0</v>
      </c>
      <c r="H994" s="93" t="n">
        <v>0.011494</v>
      </c>
      <c r="I994" s="93" t="n">
        <v>0.19242</v>
      </c>
      <c r="J994" s="94">
        <f>D994*(1-C994)+G994*MIN(C994,0.2*(1-C994))+H994</f>
        <v/>
      </c>
      <c r="K994" s="94">
        <f>E994*(1-C994)+G994*MIN(C994,0.2*(1-C994))</f>
        <v/>
      </c>
      <c r="L994" s="94">
        <f>I994*(1-C994)</f>
        <v/>
      </c>
      <c r="M994" s="89">
        <f>SUMIFS(Regimes!$G$5:$G$10,Regimes!$A$5:$A$10,A994)</f>
        <v/>
      </c>
      <c r="N994" s="14">
        <f>Donnees_annuelles!D64*J994</f>
        <v/>
      </c>
      <c r="O994" s="14">
        <f>Donnees_annuelles!D64*K994</f>
        <v/>
      </c>
      <c r="P994" s="14">
        <f>N994+O994</f>
        <v/>
      </c>
      <c r="Q994" s="14">
        <f>Donnees_annuelles!D64*L994</f>
        <v/>
      </c>
      <c r="R994" s="114">
        <f>P994/Donnees_annuelles!AA64*Donnees_annuelles!AI64/Donnees_annuelles!AG64</f>
        <v/>
      </c>
      <c r="S994" s="114">
        <f>P994/Donnees_annuelles!AA64*Donnees_annuelles!AJ64/Donnees_annuelles!AH64</f>
        <v/>
      </c>
    </row>
    <row r="995">
      <c r="A995" s="84" t="inlineStr">
        <is>
          <t>IEG</t>
        </is>
      </c>
      <c r="B995" s="88" t="n">
        <v>2007</v>
      </c>
      <c r="C995" s="93" t="n">
        <v>0.1</v>
      </c>
      <c r="D995" s="93" t="n">
        <v>0.12</v>
      </c>
      <c r="E995" s="93" t="n">
        <v>0.28</v>
      </c>
      <c r="F995" s="7" t="inlineStr">
        <is>
          <t>légal</t>
        </is>
      </c>
      <c r="G995" s="93" t="n">
        <v>0</v>
      </c>
      <c r="H995" s="93" t="n">
        <v>0.011494</v>
      </c>
      <c r="I995" s="93" t="n">
        <v>0.19242</v>
      </c>
      <c r="J995" s="94">
        <f>D995*(1-C995)+G995*MIN(C995,0.2*(1-C995))+H995</f>
        <v/>
      </c>
      <c r="K995" s="94">
        <f>E995*(1-C995)+G995*MIN(C995,0.2*(1-C995))</f>
        <v/>
      </c>
      <c r="L995" s="94">
        <f>I995*(1-C995)</f>
        <v/>
      </c>
      <c r="M995" s="89">
        <f>SUMIFS(Regimes!$G$5:$G$10,Regimes!$A$5:$A$10,A995)</f>
        <v/>
      </c>
      <c r="N995" s="14">
        <f>Donnees_annuelles!D65*J995</f>
        <v/>
      </c>
      <c r="O995" s="14">
        <f>Donnees_annuelles!D65*K995</f>
        <v/>
      </c>
      <c r="P995" s="14">
        <f>N995+O995</f>
        <v/>
      </c>
      <c r="Q995" s="14">
        <f>Donnees_annuelles!D65*L995</f>
        <v/>
      </c>
      <c r="R995" s="114">
        <f>P995/Donnees_annuelles!AA65*Donnees_annuelles!AI65/Donnees_annuelles!AG65</f>
        <v/>
      </c>
      <c r="S995" s="114">
        <f>P995/Donnees_annuelles!AA65*Donnees_annuelles!AJ65/Donnees_annuelles!AH65</f>
        <v/>
      </c>
    </row>
    <row r="996">
      <c r="A996" s="84" t="inlineStr">
        <is>
          <t>IEG</t>
        </is>
      </c>
      <c r="B996" s="88" t="n">
        <v>2008</v>
      </c>
      <c r="C996" s="93" t="n">
        <v>0.1</v>
      </c>
      <c r="D996" s="93" t="n">
        <v>0.12</v>
      </c>
      <c r="E996" s="93" t="n">
        <v>0.28</v>
      </c>
      <c r="F996" s="7" t="inlineStr">
        <is>
          <t>légal</t>
        </is>
      </c>
      <c r="G996" s="93" t="n">
        <v>0</v>
      </c>
      <c r="H996" s="93" t="n">
        <v>0.011494</v>
      </c>
      <c r="I996" s="93" t="n">
        <v>0.19242</v>
      </c>
      <c r="J996" s="94">
        <f>D996*(1-C996)+G996*MIN(C996,0.2*(1-C996))+H996</f>
        <v/>
      </c>
      <c r="K996" s="94">
        <f>E996*(1-C996)+G996*MIN(C996,0.2*(1-C996))</f>
        <v/>
      </c>
      <c r="L996" s="94">
        <f>I996*(1-C996)</f>
        <v/>
      </c>
      <c r="M996" s="89">
        <f>SUMIFS(Regimes!$G$5:$G$10,Regimes!$A$5:$A$10,A996)</f>
        <v/>
      </c>
      <c r="N996" s="14">
        <f>Donnees_annuelles!D66*J996</f>
        <v/>
      </c>
      <c r="O996" s="14">
        <f>Donnees_annuelles!D66*K996</f>
        <v/>
      </c>
      <c r="P996" s="14">
        <f>N996+O996</f>
        <v/>
      </c>
      <c r="Q996" s="14">
        <f>Donnees_annuelles!D66*L996</f>
        <v/>
      </c>
      <c r="R996" s="114">
        <f>P996/Donnees_annuelles!AA66*Donnees_annuelles!AI66/Donnees_annuelles!AG66</f>
        <v/>
      </c>
      <c r="S996" s="114">
        <f>P996/Donnees_annuelles!AA66*Donnees_annuelles!AJ66/Donnees_annuelles!AH66</f>
        <v/>
      </c>
    </row>
    <row r="997">
      <c r="A997" s="84" t="inlineStr">
        <is>
          <t>IEG</t>
        </is>
      </c>
      <c r="B997" s="88" t="n">
        <v>2009</v>
      </c>
      <c r="C997" s="93" t="n">
        <v>0.1</v>
      </c>
      <c r="D997" s="93" t="n">
        <v>0.12</v>
      </c>
      <c r="E997" s="93" t="n">
        <v>0.28</v>
      </c>
      <c r="F997" s="7" t="inlineStr">
        <is>
          <t>légal</t>
        </is>
      </c>
      <c r="G997" s="93" t="n">
        <v>0</v>
      </c>
      <c r="H997" s="93" t="n">
        <v>0.010078</v>
      </c>
      <c r="I997" s="93" t="n">
        <v>0.19242</v>
      </c>
      <c r="J997" s="94">
        <f>D997*(1-C997)+G997*MIN(C997,0.2*(1-C997))+H997</f>
        <v/>
      </c>
      <c r="K997" s="94">
        <f>E997*(1-C997)+G997*MIN(C997,0.2*(1-C997))</f>
        <v/>
      </c>
      <c r="L997" s="94">
        <f>I997*(1-C997)</f>
        <v/>
      </c>
      <c r="M997" s="89">
        <f>SUMIFS(Regimes!$G$5:$G$10,Regimes!$A$5:$A$10,A997)</f>
        <v/>
      </c>
      <c r="N997" s="14">
        <f>Donnees_annuelles!D67*J997</f>
        <v/>
      </c>
      <c r="O997" s="14">
        <f>Donnees_annuelles!D67*K997</f>
        <v/>
      </c>
      <c r="P997" s="14">
        <f>N997+O997</f>
        <v/>
      </c>
      <c r="Q997" s="14">
        <f>Donnees_annuelles!D67*L997</f>
        <v/>
      </c>
      <c r="R997" s="114">
        <f>P997/Donnees_annuelles!AA67*Donnees_annuelles!AI67/Donnees_annuelles!AG67</f>
        <v/>
      </c>
      <c r="S997" s="114">
        <f>P997/Donnees_annuelles!AA67*Donnees_annuelles!AJ67/Donnees_annuelles!AH67</f>
        <v/>
      </c>
    </row>
    <row r="998">
      <c r="A998" s="84" t="inlineStr">
        <is>
          <t>IEG</t>
        </is>
      </c>
      <c r="B998" s="88" t="n">
        <v>2010</v>
      </c>
      <c r="C998" s="93" t="n">
        <v>0.1</v>
      </c>
      <c r="D998" s="93" t="n">
        <v>0.12</v>
      </c>
      <c r="E998" s="93" t="n">
        <v>0.28</v>
      </c>
      <c r="F998" s="7" t="inlineStr">
        <is>
          <t>légal</t>
        </is>
      </c>
      <c r="G998" s="93" t="n">
        <v>0</v>
      </c>
      <c r="H998" s="93" t="n">
        <v>0.010078</v>
      </c>
      <c r="I998" s="93" t="n">
        <v>0.19242</v>
      </c>
      <c r="J998" s="94">
        <f>D998*(1-C998)+G998*MIN(C998,0.2*(1-C998))+H998</f>
        <v/>
      </c>
      <c r="K998" s="94">
        <f>E998*(1-C998)+G998*MIN(C998,0.2*(1-C998))</f>
        <v/>
      </c>
      <c r="L998" s="94">
        <f>I998*(1-C998)</f>
        <v/>
      </c>
      <c r="M998" s="89">
        <f>SUMIFS(Regimes!$G$5:$G$10,Regimes!$A$5:$A$10,A998)</f>
        <v/>
      </c>
      <c r="N998" s="14">
        <f>Donnees_annuelles!D68*J998</f>
        <v/>
      </c>
      <c r="O998" s="14">
        <f>Donnees_annuelles!D68*K998</f>
        <v/>
      </c>
      <c r="P998" s="14">
        <f>N998+O998</f>
        <v/>
      </c>
      <c r="Q998" s="14">
        <f>Donnees_annuelles!D68*L998</f>
        <v/>
      </c>
      <c r="R998" s="114">
        <f>P998/Donnees_annuelles!AA68*Donnees_annuelles!AI68/Donnees_annuelles!AG68</f>
        <v/>
      </c>
      <c r="S998" s="114">
        <f>P998/Donnees_annuelles!AA68*Donnees_annuelles!AJ68/Donnees_annuelles!AH68</f>
        <v/>
      </c>
    </row>
    <row r="999">
      <c r="A999" s="84" t="inlineStr">
        <is>
          <t>IEG</t>
        </is>
      </c>
      <c r="B999" s="88" t="n">
        <v>2011</v>
      </c>
      <c r="C999" s="93" t="n">
        <v>0.1</v>
      </c>
      <c r="D999" s="93" t="n">
        <v>0.12</v>
      </c>
      <c r="E999" s="93" t="n">
        <v>0.28</v>
      </c>
      <c r="F999" s="7" t="inlineStr">
        <is>
          <t>légal</t>
        </is>
      </c>
      <c r="G999" s="93" t="n">
        <v>0</v>
      </c>
      <c r="H999" s="93" t="n">
        <v>0.010812</v>
      </c>
      <c r="I999" s="93" t="n">
        <v>0.19242</v>
      </c>
      <c r="J999" s="94">
        <f>D999*(1-C999)+G999*MIN(C999,0.2*(1-C999))+H999</f>
        <v/>
      </c>
      <c r="K999" s="94">
        <f>E999*(1-C999)+G999*MIN(C999,0.2*(1-C999))</f>
        <v/>
      </c>
      <c r="L999" s="94">
        <f>I999*(1-C999)</f>
        <v/>
      </c>
      <c r="M999" s="89">
        <f>SUMIFS(Regimes!$G$5:$G$10,Regimes!$A$5:$A$10,A999)</f>
        <v/>
      </c>
      <c r="N999" s="14">
        <f>Donnees_annuelles!D69*J999</f>
        <v/>
      </c>
      <c r="O999" s="14">
        <f>Donnees_annuelles!D69*K999</f>
        <v/>
      </c>
      <c r="P999" s="14">
        <f>N999+O999</f>
        <v/>
      </c>
      <c r="Q999" s="14">
        <f>Donnees_annuelles!D69*L999</f>
        <v/>
      </c>
      <c r="R999" s="114">
        <f>P999/Donnees_annuelles!AA69*Donnees_annuelles!AI69/Donnees_annuelles!AG69</f>
        <v/>
      </c>
      <c r="S999" s="114">
        <f>P999/Donnees_annuelles!AA69*Donnees_annuelles!AJ69/Donnees_annuelles!AH69</f>
        <v/>
      </c>
    </row>
    <row r="1000">
      <c r="A1000" s="84" t="inlineStr">
        <is>
          <t>IEG</t>
        </is>
      </c>
      <c r="B1000" s="88" t="n">
        <v>2012</v>
      </c>
      <c r="C1000" s="93" t="n">
        <v>0.1</v>
      </c>
      <c r="D1000" s="93" t="n">
        <v>0.12</v>
      </c>
      <c r="E1000" s="93" t="n">
        <v>0.28</v>
      </c>
      <c r="F1000" s="7" t="inlineStr">
        <is>
          <t>légal</t>
        </is>
      </c>
      <c r="G1000" s="93" t="n">
        <v>0</v>
      </c>
      <c r="H1000" s="93" t="n">
        <v>0.010951</v>
      </c>
      <c r="I1000" s="93" t="n">
        <v>0.19242</v>
      </c>
      <c r="J1000" s="94">
        <f>D1000*(1-C1000)+G1000*MIN(C1000,0.2*(1-C1000))+H1000</f>
        <v/>
      </c>
      <c r="K1000" s="94">
        <f>E1000*(1-C1000)+G1000*MIN(C1000,0.2*(1-C1000))</f>
        <v/>
      </c>
      <c r="L1000" s="94">
        <f>I1000*(1-C1000)</f>
        <v/>
      </c>
      <c r="M1000" s="89">
        <f>SUMIFS(Regimes!$G$5:$G$10,Regimes!$A$5:$A$10,A1000)</f>
        <v/>
      </c>
      <c r="N1000" s="14">
        <f>Donnees_annuelles!D70*J1000</f>
        <v/>
      </c>
      <c r="O1000" s="14">
        <f>Donnees_annuelles!D70*K1000</f>
        <v/>
      </c>
      <c r="P1000" s="14">
        <f>N1000+O1000</f>
        <v/>
      </c>
      <c r="Q1000" s="14">
        <f>Donnees_annuelles!D70*L1000</f>
        <v/>
      </c>
      <c r="R1000" s="114">
        <f>P1000/Donnees_annuelles!AA70*Donnees_annuelles!AI70/Donnees_annuelles!AG70</f>
        <v/>
      </c>
      <c r="S1000" s="114">
        <f>P1000/Donnees_annuelles!AA70*Donnees_annuelles!AJ70/Donnees_annuelles!AH70</f>
        <v/>
      </c>
    </row>
    <row r="1001">
      <c r="A1001" s="84" t="inlineStr">
        <is>
          <t>IEG</t>
        </is>
      </c>
      <c r="B1001" s="88" t="n">
        <v>2013</v>
      </c>
      <c r="C1001" s="93" t="n">
        <v>0.1</v>
      </c>
      <c r="D1001" s="93" t="n">
        <v>0.1213</v>
      </c>
      <c r="E1001" s="93" t="n">
        <v>0.28</v>
      </c>
      <c r="F1001" s="7" t="inlineStr">
        <is>
          <t>légal</t>
        </is>
      </c>
      <c r="G1001" s="93" t="n">
        <v>0</v>
      </c>
      <c r="H1001" s="93" t="n">
        <v>0.010951</v>
      </c>
      <c r="I1001" s="93" t="n">
        <v>0.19242</v>
      </c>
      <c r="J1001" s="94">
        <f>D1001*(1-C1001)+G1001*MIN(C1001,0.2*(1-C1001))+H1001</f>
        <v/>
      </c>
      <c r="K1001" s="94">
        <f>E1001*(1-C1001)+G1001*MIN(C1001,0.2*(1-C1001))</f>
        <v/>
      </c>
      <c r="L1001" s="94">
        <f>I1001*(1-C1001)</f>
        <v/>
      </c>
      <c r="M1001" s="89">
        <f>SUMIFS(Regimes!$G$5:$G$10,Regimes!$A$5:$A$10,A1001)</f>
        <v/>
      </c>
      <c r="N1001" s="14">
        <f>Donnees_annuelles!D71*J1001</f>
        <v/>
      </c>
      <c r="O1001" s="14">
        <f>Donnees_annuelles!D71*K1001</f>
        <v/>
      </c>
      <c r="P1001" s="14">
        <f>N1001+O1001</f>
        <v/>
      </c>
      <c r="Q1001" s="14">
        <f>Donnees_annuelles!D71*L1001</f>
        <v/>
      </c>
      <c r="R1001" s="114">
        <f>P1001/Donnees_annuelles!AA71*Donnees_annuelles!AI71/Donnees_annuelles!AG71</f>
        <v/>
      </c>
      <c r="S1001" s="114">
        <f>P1001/Donnees_annuelles!AA71*Donnees_annuelles!AJ71/Donnees_annuelles!AH71</f>
        <v/>
      </c>
    </row>
    <row r="1002">
      <c r="A1002" s="84" t="inlineStr">
        <is>
          <t>IEG</t>
        </is>
      </c>
      <c r="B1002" s="88" t="n">
        <v>2014</v>
      </c>
      <c r="C1002" s="93" t="n">
        <v>0.1</v>
      </c>
      <c r="D1002" s="93" t="n">
        <v>0.1233</v>
      </c>
      <c r="E1002" s="93" t="n">
        <v>0.28</v>
      </c>
      <c r="F1002" s="7" t="inlineStr">
        <is>
          <t>légal</t>
        </is>
      </c>
      <c r="G1002" s="93" t="n">
        <v>0</v>
      </c>
      <c r="H1002" s="93" t="n">
        <v>0.010951</v>
      </c>
      <c r="I1002" s="93" t="n">
        <v>0.19242</v>
      </c>
      <c r="J1002" s="94">
        <f>D1002*(1-C1002)+G1002*MIN(C1002,0.2*(1-C1002))+H1002</f>
        <v/>
      </c>
      <c r="K1002" s="94">
        <f>E1002*(1-C1002)+G1002*MIN(C1002,0.2*(1-C1002))</f>
        <v/>
      </c>
      <c r="L1002" s="94">
        <f>I1002*(1-C1002)</f>
        <v/>
      </c>
      <c r="M1002" s="89">
        <f>SUMIFS(Regimes!$G$5:$G$10,Regimes!$A$5:$A$10,A1002)</f>
        <v/>
      </c>
      <c r="N1002" s="14">
        <f>Donnees_annuelles!D72*J1002</f>
        <v/>
      </c>
      <c r="O1002" s="14">
        <f>Donnees_annuelles!D72*K1002</f>
        <v/>
      </c>
      <c r="P1002" s="14">
        <f>N1002+O1002</f>
        <v/>
      </c>
      <c r="Q1002" s="14">
        <f>Donnees_annuelles!D72*L1002</f>
        <v/>
      </c>
      <c r="R1002" s="114">
        <f>P1002/Donnees_annuelles!AA72*Donnees_annuelles!AI72/Donnees_annuelles!AG72</f>
        <v/>
      </c>
      <c r="S1002" s="114">
        <f>P1002/Donnees_annuelles!AA72*Donnees_annuelles!AJ72/Donnees_annuelles!AH72</f>
        <v/>
      </c>
    </row>
    <row r="1003">
      <c r="A1003" s="84" t="inlineStr">
        <is>
          <t>IEG</t>
        </is>
      </c>
      <c r="B1003" s="88" t="n">
        <v>2015</v>
      </c>
      <c r="C1003" s="93" t="n">
        <v>0.1</v>
      </c>
      <c r="D1003" s="93" t="n">
        <v>0.1243</v>
      </c>
      <c r="E1003" s="93" t="n">
        <v>0.2875</v>
      </c>
      <c r="F1003" s="7" t="inlineStr">
        <is>
          <t>légal</t>
        </is>
      </c>
      <c r="G1003" s="93" t="n">
        <v>0</v>
      </c>
      <c r="H1003" s="93" t="n">
        <v>0.010951</v>
      </c>
      <c r="I1003" s="93" t="n">
        <v>0.19242</v>
      </c>
      <c r="J1003" s="94">
        <f>D1003*(1-C1003)+G1003*MIN(C1003,0.2*(1-C1003))+H1003</f>
        <v/>
      </c>
      <c r="K1003" s="94">
        <f>E1003*(1-C1003)+G1003*MIN(C1003,0.2*(1-C1003))</f>
        <v/>
      </c>
      <c r="L1003" s="94">
        <f>I1003*(1-C1003)</f>
        <v/>
      </c>
      <c r="M1003" s="89">
        <f>SUMIFS(Regimes!$G$5:$G$10,Regimes!$A$5:$A$10,A1003)</f>
        <v/>
      </c>
      <c r="N1003" s="14">
        <f>Donnees_annuelles!D73*J1003</f>
        <v/>
      </c>
      <c r="O1003" s="14">
        <f>Donnees_annuelles!D73*K1003</f>
        <v/>
      </c>
      <c r="P1003" s="14">
        <f>N1003+O1003</f>
        <v/>
      </c>
      <c r="Q1003" s="14">
        <f>Donnees_annuelles!D73*L1003</f>
        <v/>
      </c>
      <c r="R1003" s="114">
        <f>P1003/Donnees_annuelles!AA73*Donnees_annuelles!AI73/Donnees_annuelles!AG73</f>
        <v/>
      </c>
      <c r="S1003" s="114">
        <f>P1003/Donnees_annuelles!AA73*Donnees_annuelles!AJ73/Donnees_annuelles!AH73</f>
        <v/>
      </c>
    </row>
    <row r="1004">
      <c r="A1004" s="84" t="inlineStr">
        <is>
          <t>IEG</t>
        </is>
      </c>
      <c r="B1004" s="88" t="n">
        <v>2016</v>
      </c>
      <c r="C1004" s="93" t="n">
        <v>0.1</v>
      </c>
      <c r="D1004" s="93" t="n">
        <v>0.1253</v>
      </c>
      <c r="E1004" s="93" t="n">
        <v>0.32</v>
      </c>
      <c r="F1004" s="7" t="inlineStr">
        <is>
          <t>légal</t>
        </is>
      </c>
      <c r="G1004" s="93" t="n">
        <v>0</v>
      </c>
      <c r="H1004" s="93" t="n">
        <v>0.002918</v>
      </c>
      <c r="I1004" s="93" t="n">
        <v>0.19242</v>
      </c>
      <c r="J1004" s="94">
        <f>D1004*(1-C1004)+G1004*MIN(C1004,0.2*(1-C1004))+H1004</f>
        <v/>
      </c>
      <c r="K1004" s="94">
        <f>E1004*(1-C1004)+G1004*MIN(C1004,0.2*(1-C1004))</f>
        <v/>
      </c>
      <c r="L1004" s="94">
        <f>I1004*(1-C1004)</f>
        <v/>
      </c>
      <c r="M1004" s="89">
        <f>SUMIFS(Regimes!$G$5:$G$10,Regimes!$A$5:$A$10,A1004)</f>
        <v/>
      </c>
      <c r="N1004" s="14">
        <f>Donnees_annuelles!D74*J1004</f>
        <v/>
      </c>
      <c r="O1004" s="14">
        <f>Donnees_annuelles!D74*K1004</f>
        <v/>
      </c>
      <c r="P1004" s="14">
        <f>N1004+O1004</f>
        <v/>
      </c>
      <c r="Q1004" s="14">
        <f>Donnees_annuelles!D74*L1004</f>
        <v/>
      </c>
      <c r="R1004" s="114">
        <f>P1004/Donnees_annuelles!AA74*Donnees_annuelles!AI74/Donnees_annuelles!AG74</f>
        <v/>
      </c>
      <c r="S1004" s="114">
        <f>P1004/Donnees_annuelles!AA74*Donnees_annuelles!AJ74/Donnees_annuelles!AH74</f>
        <v/>
      </c>
    </row>
    <row r="1005">
      <c r="A1005" s="84" t="inlineStr">
        <is>
          <t>IEG</t>
        </is>
      </c>
      <c r="B1005" s="88" t="n">
        <v>2017</v>
      </c>
      <c r="C1005" s="93" t="n">
        <v>0.1</v>
      </c>
      <c r="D1005" s="93" t="n">
        <v>0.1263</v>
      </c>
      <c r="E1005" s="93" t="n">
        <v>0.32</v>
      </c>
      <c r="F1005" s="7" t="inlineStr">
        <is>
          <t>légal</t>
        </is>
      </c>
      <c r="G1005" s="93" t="n">
        <v>0</v>
      </c>
      <c r="H1005" s="93" t="n">
        <v>0.002918</v>
      </c>
      <c r="I1005" s="93" t="n">
        <v>0.19242</v>
      </c>
      <c r="J1005" s="94">
        <f>D1005*(1-C1005)+G1005*MIN(C1005,0.2*(1-C1005))+H1005</f>
        <v/>
      </c>
      <c r="K1005" s="94">
        <f>E1005*(1-C1005)+G1005*MIN(C1005,0.2*(1-C1005))</f>
        <v/>
      </c>
      <c r="L1005" s="94">
        <f>I1005*(1-C1005)</f>
        <v/>
      </c>
      <c r="M1005" s="89">
        <f>SUMIFS(Regimes!$G$5:$G$10,Regimes!$A$5:$A$10,A1005)</f>
        <v/>
      </c>
      <c r="N1005" s="14">
        <f>Donnees_annuelles!D75*J1005</f>
        <v/>
      </c>
      <c r="O1005" s="14">
        <f>Donnees_annuelles!D75*K1005</f>
        <v/>
      </c>
      <c r="P1005" s="14">
        <f>N1005+O1005</f>
        <v/>
      </c>
      <c r="Q1005" s="14">
        <f>Donnees_annuelles!D75*L1005</f>
        <v/>
      </c>
      <c r="R1005" s="114">
        <f>P1005/Donnees_annuelles!AA75*Donnees_annuelles!AI75/Donnees_annuelles!AG75</f>
        <v/>
      </c>
      <c r="S1005" s="114">
        <f>P1005/Donnees_annuelles!AA75*Donnees_annuelles!AJ75/Donnees_annuelles!AH75</f>
        <v/>
      </c>
    </row>
    <row r="1006">
      <c r="A1006" s="84" t="inlineStr">
        <is>
          <t>IEG</t>
        </is>
      </c>
      <c r="B1006" s="88" t="n">
        <v>2018</v>
      </c>
      <c r="C1006" s="93" t="n">
        <v>0.1</v>
      </c>
      <c r="D1006" s="93" t="n">
        <v>0.1268</v>
      </c>
      <c r="E1006" s="93" t="n">
        <v>0.32</v>
      </c>
      <c r="F1006" s="7" t="inlineStr">
        <is>
          <t>légal</t>
        </is>
      </c>
      <c r="G1006" s="93" t="n">
        <v>0</v>
      </c>
      <c r="H1006" s="93" t="n">
        <v>0.002918</v>
      </c>
      <c r="I1006" s="93" t="n">
        <v>0.19832</v>
      </c>
      <c r="J1006" s="94">
        <f>D1006*(1-C1006)+G1006*MIN(C1006,0.2*(1-C1006))+H1006</f>
        <v/>
      </c>
      <c r="K1006" s="94">
        <f>E1006*(1-C1006)+G1006*MIN(C1006,0.2*(1-C1006))</f>
        <v/>
      </c>
      <c r="L1006" s="94">
        <f>I1006*(1-C1006)</f>
        <v/>
      </c>
      <c r="M1006" s="89">
        <f>SUMIFS(Regimes!$G$5:$G$10,Regimes!$A$5:$A$10,A1006)</f>
        <v/>
      </c>
      <c r="N1006" s="14">
        <f>Donnees_annuelles!D76*J1006</f>
        <v/>
      </c>
      <c r="O1006" s="14">
        <f>Donnees_annuelles!D76*K1006</f>
        <v/>
      </c>
      <c r="P1006" s="14">
        <f>N1006+O1006</f>
        <v/>
      </c>
      <c r="Q1006" s="14">
        <f>Donnees_annuelles!D76*L1006</f>
        <v/>
      </c>
      <c r="R1006" s="114">
        <f>P1006/Donnees_annuelles!AA76*Donnees_annuelles!AI76/Donnees_annuelles!AG76</f>
        <v/>
      </c>
      <c r="S1006" s="114">
        <f>P1006/Donnees_annuelles!AA76*Donnees_annuelles!AJ76/Donnees_annuelles!AH76</f>
        <v/>
      </c>
    </row>
    <row r="1007">
      <c r="A1007" s="84" t="inlineStr">
        <is>
          <t>IEG</t>
        </is>
      </c>
      <c r="B1007" s="88" t="n">
        <v>2019</v>
      </c>
      <c r="C1007" s="93" t="n">
        <v>0.1</v>
      </c>
      <c r="D1007" s="93" t="n">
        <v>0.1273</v>
      </c>
      <c r="E1007" s="93" t="n">
        <v>0.32</v>
      </c>
      <c r="F1007" s="7" t="inlineStr">
        <is>
          <t>légal</t>
        </is>
      </c>
      <c r="G1007" s="93" t="n">
        <v>0</v>
      </c>
      <c r="H1007" s="93" t="n">
        <v>0.002918</v>
      </c>
      <c r="I1007" s="93" t="n">
        <v>0.20422</v>
      </c>
      <c r="J1007" s="94">
        <f>D1007*(1-C1007)+G1007*MIN(C1007,0.2*(1-C1007))+H1007</f>
        <v/>
      </c>
      <c r="K1007" s="94">
        <f>E1007*(1-C1007)+G1007*MIN(C1007,0.2*(1-C1007))</f>
        <v/>
      </c>
      <c r="L1007" s="94">
        <f>I1007*(1-C1007)</f>
        <v/>
      </c>
      <c r="M1007" s="89">
        <f>SUMIFS(Regimes!$G$5:$G$10,Regimes!$A$5:$A$10,A1007)</f>
        <v/>
      </c>
      <c r="N1007" s="14">
        <f>Donnees_annuelles!D77*J1007</f>
        <v/>
      </c>
      <c r="O1007" s="14">
        <f>Donnees_annuelles!D77*K1007</f>
        <v/>
      </c>
      <c r="P1007" s="14">
        <f>N1007+O1007</f>
        <v/>
      </c>
      <c r="Q1007" s="14">
        <f>Donnees_annuelles!D77*L1007</f>
        <v/>
      </c>
      <c r="R1007" s="114">
        <f>P1007/Donnees_annuelles!AA77*Donnees_annuelles!AI77/Donnees_annuelles!AG77</f>
        <v/>
      </c>
      <c r="S1007" s="114">
        <f>P1007/Donnees_annuelles!AA77*Donnees_annuelles!AJ77/Donnees_annuelles!AH77</f>
        <v/>
      </c>
    </row>
    <row r="1008">
      <c r="A1008" s="84" t="inlineStr">
        <is>
          <t>IEG</t>
        </is>
      </c>
      <c r="B1008" s="88" t="n">
        <v>2020</v>
      </c>
      <c r="C1008" s="93" t="n">
        <v>0.1</v>
      </c>
      <c r="D1008" s="93" t="n">
        <v>0.1278</v>
      </c>
      <c r="E1008" s="93" t="n">
        <v>0.32</v>
      </c>
      <c r="F1008" s="7" t="inlineStr">
        <is>
          <t>légal</t>
        </is>
      </c>
      <c r="G1008" s="93" t="n">
        <v>0</v>
      </c>
      <c r="H1008" s="93" t="n">
        <v>0.002918</v>
      </c>
      <c r="I1008" s="93" t="n">
        <v>0.20482</v>
      </c>
      <c r="J1008" s="94">
        <f>D1008*(1-C1008)+G1008*MIN(C1008,0.2*(1-C1008))+H1008</f>
        <v/>
      </c>
      <c r="K1008" s="94">
        <f>E1008*(1-C1008)+G1008*MIN(C1008,0.2*(1-C1008))</f>
        <v/>
      </c>
      <c r="L1008" s="94">
        <f>I1008*(1-C1008)</f>
        <v/>
      </c>
      <c r="M1008" s="89">
        <f>SUMIFS(Regimes!$G$5:$G$10,Regimes!$A$5:$A$10,A1008)</f>
        <v/>
      </c>
      <c r="N1008" s="14">
        <f>Donnees_annuelles!D78*J1008</f>
        <v/>
      </c>
      <c r="O1008" s="14">
        <f>Donnees_annuelles!D78*K1008</f>
        <v/>
      </c>
      <c r="P1008" s="14">
        <f>N1008+O1008</f>
        <v/>
      </c>
      <c r="Q1008" s="14">
        <f>Donnees_annuelles!D78*L1008</f>
        <v/>
      </c>
      <c r="R1008" s="114">
        <f>P1008/Donnees_annuelles!AA78*Donnees_annuelles!AI78/Donnees_annuelles!AG78</f>
        <v/>
      </c>
      <c r="S1008" s="114">
        <f>P1008/Donnees_annuelles!AA78*Donnees_annuelles!AJ78/Donnees_annuelles!AH78</f>
        <v/>
      </c>
    </row>
    <row r="1009">
      <c r="A1009" s="84" t="inlineStr">
        <is>
          <t>IEG</t>
        </is>
      </c>
      <c r="B1009" s="88" t="n">
        <v>2021</v>
      </c>
      <c r="C1009" s="93" t="n">
        <v>0.1</v>
      </c>
      <c r="D1009" s="93" t="n">
        <v>0.1278</v>
      </c>
      <c r="E1009" s="93" t="n">
        <v>0.3532</v>
      </c>
      <c r="F1009" s="7" t="inlineStr">
        <is>
          <t>légal</t>
        </is>
      </c>
      <c r="G1009" s="93" t="n">
        <v>0</v>
      </c>
      <c r="H1009" s="93" t="n">
        <v>0.002918</v>
      </c>
      <c r="I1009" s="93" t="n">
        <v>0.20541</v>
      </c>
      <c r="J1009" s="94">
        <f>D1009*(1-C1009)+G1009*MIN(C1009,0.2*(1-C1009))+H1009</f>
        <v/>
      </c>
      <c r="K1009" s="94">
        <f>E1009*(1-C1009)+G1009*MIN(C1009,0.2*(1-C1009))</f>
        <v/>
      </c>
      <c r="L1009" s="94">
        <f>I1009*(1-C1009)</f>
        <v/>
      </c>
      <c r="M1009" s="89">
        <f>SUMIFS(Regimes!$G$5:$G$10,Regimes!$A$5:$A$10,A1009)</f>
        <v/>
      </c>
      <c r="N1009" s="14">
        <f>Donnees_annuelles!D79*J1009</f>
        <v/>
      </c>
      <c r="O1009" s="14">
        <f>Donnees_annuelles!D79*K1009</f>
        <v/>
      </c>
      <c r="P1009" s="14">
        <f>N1009+O1009</f>
        <v/>
      </c>
      <c r="Q1009" s="14">
        <f>Donnees_annuelles!D79*L1009</f>
        <v/>
      </c>
      <c r="R1009" s="114">
        <f>P1009/Donnees_annuelles!AA79*Donnees_annuelles!AI79/Donnees_annuelles!AG79</f>
        <v/>
      </c>
      <c r="S1009" s="114">
        <f>P1009/Donnees_annuelles!AA79*Donnees_annuelles!AJ79/Donnees_annuelles!AH79</f>
        <v/>
      </c>
    </row>
    <row r="1010">
      <c r="A1010" s="84" t="inlineStr">
        <is>
          <t>IEG</t>
        </is>
      </c>
      <c r="B1010" s="88" t="n">
        <v>2022</v>
      </c>
      <c r="C1010" s="93" t="n">
        <v>0.1</v>
      </c>
      <c r="D1010" s="93" t="n">
        <v>0.1278</v>
      </c>
      <c r="E1010" s="93" t="n">
        <v>0.3</v>
      </c>
      <c r="F1010" s="7" t="inlineStr">
        <is>
          <t>légal</t>
        </is>
      </c>
      <c r="G1010" s="93" t="n">
        <v>0</v>
      </c>
      <c r="H1010" s="93" t="n">
        <v>0.002918</v>
      </c>
      <c r="I1010" s="93" t="n">
        <v>0.20601</v>
      </c>
      <c r="J1010" s="94">
        <f>D1010*(1-C1010)+G1010*MIN(C1010,0.2*(1-C1010))+H1010</f>
        <v/>
      </c>
      <c r="K1010" s="94">
        <f>E1010*(1-C1010)+G1010*MIN(C1010,0.2*(1-C1010))</f>
        <v/>
      </c>
      <c r="L1010" s="94">
        <f>I1010*(1-C1010)</f>
        <v/>
      </c>
      <c r="M1010" s="89">
        <f>SUMIFS(Regimes!$G$5:$G$10,Regimes!$A$5:$A$10,A1010)</f>
        <v/>
      </c>
      <c r="N1010" s="14">
        <f>Donnees_annuelles!D80*J1010</f>
        <v/>
      </c>
      <c r="O1010" s="14">
        <f>Donnees_annuelles!D80*K1010</f>
        <v/>
      </c>
      <c r="P1010" s="14">
        <f>N1010+O1010</f>
        <v/>
      </c>
      <c r="Q1010" s="14">
        <f>Donnees_annuelles!D80*L1010</f>
        <v/>
      </c>
      <c r="R1010" s="114">
        <f>P1010/Donnees_annuelles!AA80*Donnees_annuelles!AI80/Donnees_annuelles!AG80</f>
        <v/>
      </c>
      <c r="S1010" s="114">
        <f>P1010/Donnees_annuelles!AA80*Donnees_annuelles!AJ80/Donnees_annuelles!AH80</f>
        <v/>
      </c>
    </row>
    <row r="1011">
      <c r="A1011" s="84" t="inlineStr">
        <is>
          <t>IEG</t>
        </is>
      </c>
      <c r="B1011" s="88" t="n">
        <v>2023</v>
      </c>
      <c r="C1011" s="93" t="n">
        <v>0.1</v>
      </c>
      <c r="D1011" s="93" t="n">
        <v>0.1278</v>
      </c>
      <c r="E1011" s="93" t="n">
        <v>0.3</v>
      </c>
      <c r="F1011" s="7" t="inlineStr">
        <is>
          <t>légal</t>
        </is>
      </c>
      <c r="G1011" s="93" t="n">
        <v>0</v>
      </c>
      <c r="H1011" s="93" t="n">
        <v>0.002918</v>
      </c>
      <c r="I1011" s="93" t="n">
        <v>0.2066</v>
      </c>
      <c r="J1011" s="94">
        <f>D1011*(1-C1011)+G1011*MIN(C1011,0.2*(1-C1011))+H1011</f>
        <v/>
      </c>
      <c r="K1011" s="94">
        <f>E1011*(1-C1011)+G1011*MIN(C1011,0.2*(1-C1011))</f>
        <v/>
      </c>
      <c r="L1011" s="94">
        <f>I1011*(1-C1011)</f>
        <v/>
      </c>
      <c r="M1011" s="89">
        <f>SUMIFS(Regimes!$G$5:$G$10,Regimes!$A$5:$A$10,A1011)</f>
        <v/>
      </c>
      <c r="N1011" s="14">
        <f>Donnees_annuelles!D81*J1011</f>
        <v/>
      </c>
      <c r="O1011" s="14">
        <f>Donnees_annuelles!D81*K1011</f>
        <v/>
      </c>
      <c r="P1011" s="14">
        <f>N1011+O1011</f>
        <v/>
      </c>
      <c r="Q1011" s="14">
        <f>Donnees_annuelles!D81*L1011</f>
        <v/>
      </c>
      <c r="R1011" s="114">
        <f>P1011/Donnees_annuelles!AA81*Donnees_annuelles!AI81/Donnees_annuelles!AG81</f>
        <v/>
      </c>
      <c r="S1011" s="114">
        <f>P1011/Donnees_annuelles!AA81*Donnees_annuelles!AJ81/Donnees_annuelles!AH81</f>
        <v/>
      </c>
    </row>
    <row r="1012">
      <c r="A1012" s="84" t="inlineStr">
        <is>
          <t>IEG</t>
        </is>
      </c>
      <c r="B1012" s="88" t="n">
        <v>2024</v>
      </c>
      <c r="C1012" s="93" t="n">
        <v>0.1</v>
      </c>
      <c r="D1012" s="93" t="n">
        <v>0.1278</v>
      </c>
      <c r="E1012" s="93" t="n">
        <v>0.3</v>
      </c>
      <c r="F1012" s="7" t="inlineStr">
        <is>
          <t>légal</t>
        </is>
      </c>
      <c r="G1012" s="93" t="n">
        <v>0</v>
      </c>
      <c r="H1012" s="93" t="n">
        <v>0.00252</v>
      </c>
      <c r="I1012" s="93" t="n">
        <v>0.20719</v>
      </c>
      <c r="J1012" s="94">
        <f>D1012*(1-C1012)+G1012*MIN(C1012,0.2*(1-C1012))+H1012</f>
        <v/>
      </c>
      <c r="K1012" s="94">
        <f>E1012*(1-C1012)+G1012*MIN(C1012,0.2*(1-C1012))</f>
        <v/>
      </c>
      <c r="L1012" s="94">
        <f>I1012*(1-C1012)</f>
        <v/>
      </c>
      <c r="M1012" s="89">
        <f>SUMIFS(Regimes!$G$5:$G$10,Regimes!$A$5:$A$10,A1012)</f>
        <v/>
      </c>
      <c r="N1012" s="14">
        <f>Donnees_annuelles!D82*J1012</f>
        <v/>
      </c>
      <c r="O1012" s="14">
        <f>Donnees_annuelles!D82*K1012</f>
        <v/>
      </c>
      <c r="P1012" s="14">
        <f>N1012+O1012</f>
        <v/>
      </c>
      <c r="Q1012" s="14">
        <f>Donnees_annuelles!D82*L1012</f>
        <v/>
      </c>
      <c r="R1012" s="114">
        <f>P1012/Donnees_annuelles!AA82*Donnees_annuelles!AI82/Donnees_annuelles!AG82</f>
        <v/>
      </c>
      <c r="S1012" s="114">
        <f>P1012/Donnees_annuelles!AA82*Donnees_annuelles!AJ82/Donnees_annuelles!AH82</f>
        <v/>
      </c>
    </row>
    <row r="1013">
      <c r="A1013" s="84" t="inlineStr">
        <is>
          <t>IEG</t>
        </is>
      </c>
      <c r="B1013" s="88" t="n">
        <v>2025</v>
      </c>
      <c r="C1013" s="93" t="n">
        <v>0.1</v>
      </c>
      <c r="D1013" s="93" t="n">
        <v>0.1278</v>
      </c>
      <c r="E1013" s="93" t="n">
        <v>0.3</v>
      </c>
      <c r="F1013" s="7" t="inlineStr">
        <is>
          <t>légal</t>
        </is>
      </c>
      <c r="G1013" s="93" t="n">
        <v>0</v>
      </c>
      <c r="H1013" s="93" t="n">
        <v>0.00252</v>
      </c>
      <c r="I1013" s="93" t="n">
        <v>0.20779</v>
      </c>
      <c r="J1013" s="94">
        <f>D1013*(1-C1013)+G1013*MIN(C1013,0.2*(1-C1013))+H1013</f>
        <v/>
      </c>
      <c r="K1013" s="94">
        <f>E1013*(1-C1013)+G1013*MIN(C1013,0.2*(1-C1013))</f>
        <v/>
      </c>
      <c r="L1013" s="94">
        <f>I1013*(1-C1013)</f>
        <v/>
      </c>
      <c r="M1013" s="89">
        <f>SUMIFS(Regimes!$G$5:$G$10,Regimes!$A$5:$A$10,A1013)</f>
        <v/>
      </c>
      <c r="N1013" s="14">
        <f>Donnees_annuelles!D83*J1013</f>
        <v/>
      </c>
      <c r="O1013" s="14">
        <f>Donnees_annuelles!D83*K1013</f>
        <v/>
      </c>
      <c r="P1013" s="14">
        <f>N1013+O1013</f>
        <v/>
      </c>
      <c r="Q1013" s="14">
        <f>Donnees_annuelles!D83*L1013</f>
        <v/>
      </c>
      <c r="R1013" s="114">
        <f>P1013/Donnees_annuelles!AA83*Donnees_annuelles!AI83/Donnees_annuelles!AG83</f>
        <v/>
      </c>
      <c r="S1013" s="114">
        <f>P1013/Donnees_annuelles!AA83*Donnees_annuelles!AJ83/Donnees_annuelles!AH83</f>
        <v/>
      </c>
    </row>
    <row r="1014">
      <c r="A1014" s="84" t="inlineStr">
        <is>
          <t>IEG</t>
        </is>
      </c>
      <c r="B1014" s="88" t="n">
        <v>2026</v>
      </c>
      <c r="C1014" s="93" t="n">
        <v>0.1</v>
      </c>
      <c r="D1014" s="93" t="n">
        <v>0.1278</v>
      </c>
      <c r="E1014" s="93" t="n">
        <v>0.27248</v>
      </c>
      <c r="F1014" s="7" t="inlineStr">
        <is>
          <t>légal</t>
        </is>
      </c>
      <c r="G1014" s="93" t="n">
        <v>0</v>
      </c>
      <c r="H1014" s="93" t="n">
        <v>0.00252</v>
      </c>
      <c r="I1014" s="93" t="n">
        <v>0.20779</v>
      </c>
      <c r="J1014" s="94">
        <f>D1014*(1-C1014)+G1014*MIN(C1014,0.2*(1-C1014))+H1014</f>
        <v/>
      </c>
      <c r="K1014" s="94">
        <f>E1014*(1-C1014)+G1014*MIN(C1014,0.2*(1-C1014))</f>
        <v/>
      </c>
      <c r="L1014" s="94">
        <f>I1014*(1-C1014)</f>
        <v/>
      </c>
      <c r="M1014" s="89">
        <f>SUMIFS(Regimes!$G$5:$G$10,Regimes!$A$5:$A$10,A1014)</f>
        <v/>
      </c>
      <c r="N1014" s="14">
        <f>Donnees_annuelles!D84*J1014</f>
        <v/>
      </c>
      <c r="O1014" s="14">
        <f>Donnees_annuelles!D84*K1014</f>
        <v/>
      </c>
      <c r="P1014" s="14">
        <f>N1014+O1014</f>
        <v/>
      </c>
      <c r="Q1014" s="14">
        <f>Donnees_annuelles!D84*L1014</f>
        <v/>
      </c>
      <c r="R1014" s="114">
        <f>P1014/Donnees_annuelles!AA84*Donnees_annuelles!AI84/Donnees_annuelles!AG84</f>
        <v/>
      </c>
      <c r="S1014" s="114">
        <f>P1014/Donnees_annuelles!AA84*Donnees_annuelles!AJ84/Donnees_annuelles!AH84</f>
        <v/>
      </c>
    </row>
    <row r="1015">
      <c r="A1015" s="115" t="inlineStr">
        <is>
          <t>IEG</t>
        </is>
      </c>
      <c r="B1015" s="101" t="n">
        <v>2027</v>
      </c>
      <c r="C1015" s="105" t="n">
        <v>0.1</v>
      </c>
      <c r="D1015" s="105" t="n">
        <v>0.1278</v>
      </c>
      <c r="E1015" s="105" t="n">
        <v>0.27248</v>
      </c>
      <c r="F1015" s="116" t="inlineStr">
        <is>
          <t>légal</t>
        </is>
      </c>
      <c r="G1015" s="105" t="n">
        <v>0</v>
      </c>
      <c r="H1015" s="105" t="n">
        <v>0.00252</v>
      </c>
      <c r="I1015" s="105" t="n">
        <v>0.20779</v>
      </c>
      <c r="J1015" s="107">
        <f>D1015*(1-C1015)+G1015*MIN(C1015,0.2*(1-C1015))+H1015</f>
        <v/>
      </c>
      <c r="K1015" s="107">
        <f>E1015*(1-C1015)+G1015*MIN(C1015,0.2*(1-C1015))</f>
        <v/>
      </c>
      <c r="L1015" s="107">
        <f>I1015*(1-C1015)</f>
        <v/>
      </c>
      <c r="M1015" s="119">
        <f>SUMIFS(Regimes!$G$5:$G$10,Regimes!$A$5:$A$10,A1015)</f>
        <v/>
      </c>
      <c r="N1015" s="106">
        <f>Donnees_annuelles!D85*J1015</f>
        <v/>
      </c>
      <c r="O1015" s="106">
        <f>Donnees_annuelles!D85*K1015</f>
        <v/>
      </c>
      <c r="P1015" s="106">
        <f>N1015+O1015</f>
        <v/>
      </c>
      <c r="Q1015" s="106">
        <f>Donnees_annuelles!D85*L1015</f>
        <v/>
      </c>
      <c r="R1015" s="118">
        <f>P1015/Donnees_annuelles!AA85*Donnees_annuelles!AI85/Donnees_annuelles!AG85</f>
        <v/>
      </c>
      <c r="S1015" s="118">
        <f>P1015/Donnees_annuelles!AA85*Donnees_annuelles!AJ85/Donnees_annuelles!AH85</f>
        <v/>
      </c>
    </row>
    <row r="1016">
      <c r="A1016" s="115" t="inlineStr">
        <is>
          <t>IEG</t>
        </is>
      </c>
      <c r="B1016" s="101" t="n">
        <v>2028</v>
      </c>
      <c r="C1016" s="105" t="n">
        <v>0.1</v>
      </c>
      <c r="D1016" s="105" t="n">
        <v>0.1278</v>
      </c>
      <c r="E1016" s="105" t="n">
        <v>0.27248</v>
      </c>
      <c r="F1016" s="116" t="inlineStr">
        <is>
          <t>légal</t>
        </is>
      </c>
      <c r="G1016" s="105" t="n">
        <v>0</v>
      </c>
      <c r="H1016" s="105" t="n">
        <v>0.00252</v>
      </c>
      <c r="I1016" s="105" t="n">
        <v>0.20779</v>
      </c>
      <c r="J1016" s="107">
        <f>D1016*(1-C1016)+G1016*MIN(C1016,0.2*(1-C1016))+H1016</f>
        <v/>
      </c>
      <c r="K1016" s="107">
        <f>E1016*(1-C1016)+G1016*MIN(C1016,0.2*(1-C1016))</f>
        <v/>
      </c>
      <c r="L1016" s="107">
        <f>I1016*(1-C1016)</f>
        <v/>
      </c>
      <c r="M1016" s="119">
        <f>SUMIFS(Regimes!$G$5:$G$10,Regimes!$A$5:$A$10,A1016)</f>
        <v/>
      </c>
      <c r="N1016" s="106">
        <f>Donnees_annuelles!D86*J1016</f>
        <v/>
      </c>
      <c r="O1016" s="106">
        <f>Donnees_annuelles!D86*K1016</f>
        <v/>
      </c>
      <c r="P1016" s="106">
        <f>N1016+O1016</f>
        <v/>
      </c>
      <c r="Q1016" s="106">
        <f>Donnees_annuelles!D86*L1016</f>
        <v/>
      </c>
      <c r="R1016" s="118">
        <f>P1016/Donnees_annuelles!AA86*Donnees_annuelles!AI86/Donnees_annuelles!AG86</f>
        <v/>
      </c>
      <c r="S1016" s="118">
        <f>P1016/Donnees_annuelles!AA86*Donnees_annuelles!AJ86/Donnees_annuelles!AH86</f>
        <v/>
      </c>
    </row>
    <row r="1017">
      <c r="A1017" s="115" t="inlineStr">
        <is>
          <t>IEG</t>
        </is>
      </c>
      <c r="B1017" s="101" t="n">
        <v>2029</v>
      </c>
      <c r="C1017" s="105" t="n">
        <v>0.1</v>
      </c>
      <c r="D1017" s="105" t="n">
        <v>0.1278</v>
      </c>
      <c r="E1017" s="105" t="n">
        <v>0.27248</v>
      </c>
      <c r="F1017" s="116" t="inlineStr">
        <is>
          <t>légal</t>
        </is>
      </c>
      <c r="G1017" s="105" t="n">
        <v>0</v>
      </c>
      <c r="H1017" s="105" t="n">
        <v>0.00252</v>
      </c>
      <c r="I1017" s="105" t="n">
        <v>0.20779</v>
      </c>
      <c r="J1017" s="107">
        <f>D1017*(1-C1017)+G1017*MIN(C1017,0.2*(1-C1017))+H1017</f>
        <v/>
      </c>
      <c r="K1017" s="107">
        <f>E1017*(1-C1017)+G1017*MIN(C1017,0.2*(1-C1017))</f>
        <v/>
      </c>
      <c r="L1017" s="107">
        <f>I1017*(1-C1017)</f>
        <v/>
      </c>
      <c r="M1017" s="119">
        <f>SUMIFS(Regimes!$G$5:$G$10,Regimes!$A$5:$A$10,A1017)</f>
        <v/>
      </c>
      <c r="N1017" s="106">
        <f>Donnees_annuelles!D87*J1017</f>
        <v/>
      </c>
      <c r="O1017" s="106">
        <f>Donnees_annuelles!D87*K1017</f>
        <v/>
      </c>
      <c r="P1017" s="106">
        <f>N1017+O1017</f>
        <v/>
      </c>
      <c r="Q1017" s="106">
        <f>Donnees_annuelles!D87*L1017</f>
        <v/>
      </c>
      <c r="R1017" s="118">
        <f>P1017/Donnees_annuelles!AA87*Donnees_annuelles!AI87/Donnees_annuelles!AG87</f>
        <v/>
      </c>
      <c r="S1017" s="118">
        <f>P1017/Donnees_annuelles!AA87*Donnees_annuelles!AJ87/Donnees_annuelles!AH87</f>
        <v/>
      </c>
    </row>
    <row r="1018">
      <c r="A1018" s="115" t="inlineStr">
        <is>
          <t>IEG</t>
        </is>
      </c>
      <c r="B1018" s="101" t="n">
        <v>2030</v>
      </c>
      <c r="C1018" s="105" t="n">
        <v>0.1</v>
      </c>
      <c r="D1018" s="105" t="n">
        <v>0.1278</v>
      </c>
      <c r="E1018" s="105" t="n">
        <v>0.27248</v>
      </c>
      <c r="F1018" s="116" t="inlineStr">
        <is>
          <t>légal</t>
        </is>
      </c>
      <c r="G1018" s="105" t="n">
        <v>0</v>
      </c>
      <c r="H1018" s="105" t="n">
        <v>0.00252</v>
      </c>
      <c r="I1018" s="105" t="n">
        <v>0.20779</v>
      </c>
      <c r="J1018" s="107">
        <f>D1018*(1-C1018)+G1018*MIN(C1018,0.2*(1-C1018))+H1018</f>
        <v/>
      </c>
      <c r="K1018" s="107">
        <f>E1018*(1-C1018)+G1018*MIN(C1018,0.2*(1-C1018))</f>
        <v/>
      </c>
      <c r="L1018" s="107">
        <f>I1018*(1-C1018)</f>
        <v/>
      </c>
      <c r="M1018" s="119">
        <f>SUMIFS(Regimes!$G$5:$G$10,Regimes!$A$5:$A$10,A1018)</f>
        <v/>
      </c>
      <c r="N1018" s="106">
        <f>Donnees_annuelles!D88*J1018</f>
        <v/>
      </c>
      <c r="O1018" s="106">
        <f>Donnees_annuelles!D88*K1018</f>
        <v/>
      </c>
      <c r="P1018" s="106">
        <f>N1018+O1018</f>
        <v/>
      </c>
      <c r="Q1018" s="106">
        <f>Donnees_annuelles!D88*L1018</f>
        <v/>
      </c>
      <c r="R1018" s="118">
        <f>P1018/Donnees_annuelles!AA88*Donnees_annuelles!AI88/Donnees_annuelles!AG88</f>
        <v/>
      </c>
      <c r="S1018" s="118">
        <f>P1018/Donnees_annuelles!AA88*Donnees_annuelles!AJ88/Donnees_annuelles!AH88</f>
        <v/>
      </c>
    </row>
    <row r="1019">
      <c r="A1019" s="115" t="inlineStr">
        <is>
          <t>IEG</t>
        </is>
      </c>
      <c r="B1019" s="101" t="n">
        <v>2031</v>
      </c>
      <c r="C1019" s="105" t="n">
        <v>0.1</v>
      </c>
      <c r="D1019" s="105" t="n">
        <v>0.1278</v>
      </c>
      <c r="E1019" s="105" t="n">
        <v>0.27248</v>
      </c>
      <c r="F1019" s="116" t="inlineStr">
        <is>
          <t>légal</t>
        </is>
      </c>
      <c r="G1019" s="105" t="n">
        <v>0</v>
      </c>
      <c r="H1019" s="105" t="n">
        <v>0.00252</v>
      </c>
      <c r="I1019" s="105" t="n">
        <v>0.20779</v>
      </c>
      <c r="J1019" s="107">
        <f>D1019*(1-C1019)+G1019*MIN(C1019,0.2*(1-C1019))+H1019</f>
        <v/>
      </c>
      <c r="K1019" s="107">
        <f>E1019*(1-C1019)+G1019*MIN(C1019,0.2*(1-C1019))</f>
        <v/>
      </c>
      <c r="L1019" s="107">
        <f>I1019*(1-C1019)</f>
        <v/>
      </c>
      <c r="M1019" s="119">
        <f>SUMIFS(Regimes!$G$5:$G$10,Regimes!$A$5:$A$10,A1019)</f>
        <v/>
      </c>
      <c r="N1019" s="106">
        <f>Donnees_annuelles!D89*J1019</f>
        <v/>
      </c>
      <c r="O1019" s="106">
        <f>Donnees_annuelles!D89*K1019</f>
        <v/>
      </c>
      <c r="P1019" s="106">
        <f>N1019+O1019</f>
        <v/>
      </c>
      <c r="Q1019" s="106">
        <f>Donnees_annuelles!D89*L1019</f>
        <v/>
      </c>
      <c r="R1019" s="118">
        <f>P1019/Donnees_annuelles!AA89*Donnees_annuelles!AI89/Donnees_annuelles!AG89</f>
        <v/>
      </c>
      <c r="S1019" s="118">
        <f>P1019/Donnees_annuelles!AA89*Donnees_annuelles!AJ89/Donnees_annuelles!AH89</f>
        <v/>
      </c>
    </row>
    <row r="1020">
      <c r="A1020" s="115" t="inlineStr">
        <is>
          <t>IEG</t>
        </is>
      </c>
      <c r="B1020" s="101" t="n">
        <v>2032</v>
      </c>
      <c r="C1020" s="105" t="n">
        <v>0.1</v>
      </c>
      <c r="D1020" s="105" t="n">
        <v>0.1278</v>
      </c>
      <c r="E1020" s="105" t="n">
        <v>0.27248</v>
      </c>
      <c r="F1020" s="116" t="inlineStr">
        <is>
          <t>légal</t>
        </is>
      </c>
      <c r="G1020" s="105" t="n">
        <v>0</v>
      </c>
      <c r="H1020" s="105" t="n">
        <v>0.00252</v>
      </c>
      <c r="I1020" s="105" t="n">
        <v>0.20779</v>
      </c>
      <c r="J1020" s="107">
        <f>D1020*(1-C1020)+G1020*MIN(C1020,0.2*(1-C1020))+H1020</f>
        <v/>
      </c>
      <c r="K1020" s="107">
        <f>E1020*(1-C1020)+G1020*MIN(C1020,0.2*(1-C1020))</f>
        <v/>
      </c>
      <c r="L1020" s="107">
        <f>I1020*(1-C1020)</f>
        <v/>
      </c>
      <c r="M1020" s="119">
        <f>SUMIFS(Regimes!$G$5:$G$10,Regimes!$A$5:$A$10,A1020)</f>
        <v/>
      </c>
      <c r="N1020" s="106">
        <f>Donnees_annuelles!D90*J1020</f>
        <v/>
      </c>
      <c r="O1020" s="106">
        <f>Donnees_annuelles!D90*K1020</f>
        <v/>
      </c>
      <c r="P1020" s="106">
        <f>N1020+O1020</f>
        <v/>
      </c>
      <c r="Q1020" s="106">
        <f>Donnees_annuelles!D90*L1020</f>
        <v/>
      </c>
      <c r="R1020" s="118">
        <f>P1020/Donnees_annuelles!AA90*Donnees_annuelles!AI90/Donnees_annuelles!AG90</f>
        <v/>
      </c>
      <c r="S1020" s="118">
        <f>P1020/Donnees_annuelles!AA90*Donnees_annuelles!AJ90/Donnees_annuelles!AH90</f>
        <v/>
      </c>
    </row>
    <row r="1021">
      <c r="A1021" s="115" t="inlineStr">
        <is>
          <t>IEG</t>
        </is>
      </c>
      <c r="B1021" s="101" t="n">
        <v>2033</v>
      </c>
      <c r="C1021" s="105" t="n">
        <v>0.1</v>
      </c>
      <c r="D1021" s="105" t="n">
        <v>0.1278</v>
      </c>
      <c r="E1021" s="105" t="n">
        <v>0.27248</v>
      </c>
      <c r="F1021" s="116" t="inlineStr">
        <is>
          <t>légal</t>
        </is>
      </c>
      <c r="G1021" s="105" t="n">
        <v>0</v>
      </c>
      <c r="H1021" s="105" t="n">
        <v>0.00252</v>
      </c>
      <c r="I1021" s="105" t="n">
        <v>0.20779</v>
      </c>
      <c r="J1021" s="107">
        <f>D1021*(1-C1021)+G1021*MIN(C1021,0.2*(1-C1021))+H1021</f>
        <v/>
      </c>
      <c r="K1021" s="107">
        <f>E1021*(1-C1021)+G1021*MIN(C1021,0.2*(1-C1021))</f>
        <v/>
      </c>
      <c r="L1021" s="107">
        <f>I1021*(1-C1021)</f>
        <v/>
      </c>
      <c r="M1021" s="119">
        <f>SUMIFS(Regimes!$G$5:$G$10,Regimes!$A$5:$A$10,A1021)</f>
        <v/>
      </c>
      <c r="N1021" s="106">
        <f>Donnees_annuelles!D91*J1021</f>
        <v/>
      </c>
      <c r="O1021" s="106">
        <f>Donnees_annuelles!D91*K1021</f>
        <v/>
      </c>
      <c r="P1021" s="106">
        <f>N1021+O1021</f>
        <v/>
      </c>
      <c r="Q1021" s="106">
        <f>Donnees_annuelles!D91*L1021</f>
        <v/>
      </c>
      <c r="R1021" s="118">
        <f>P1021/Donnees_annuelles!AA91*Donnees_annuelles!AI91/Donnees_annuelles!AG91</f>
        <v/>
      </c>
      <c r="S1021" s="118">
        <f>P1021/Donnees_annuelles!AA91*Donnees_annuelles!AJ91/Donnees_annuelles!AH91</f>
        <v/>
      </c>
    </row>
    <row r="1022">
      <c r="A1022" s="115" t="inlineStr">
        <is>
          <t>IEG</t>
        </is>
      </c>
      <c r="B1022" s="101" t="n">
        <v>2034</v>
      </c>
      <c r="C1022" s="105" t="n">
        <v>0.1</v>
      </c>
      <c r="D1022" s="105" t="n">
        <v>0.1278</v>
      </c>
      <c r="E1022" s="105" t="n">
        <v>0.27248</v>
      </c>
      <c r="F1022" s="116" t="inlineStr">
        <is>
          <t>légal</t>
        </is>
      </c>
      <c r="G1022" s="105" t="n">
        <v>0</v>
      </c>
      <c r="H1022" s="105" t="n">
        <v>0.00252</v>
      </c>
      <c r="I1022" s="105" t="n">
        <v>0.20779</v>
      </c>
      <c r="J1022" s="107">
        <f>D1022*(1-C1022)+G1022*MIN(C1022,0.2*(1-C1022))+H1022</f>
        <v/>
      </c>
      <c r="K1022" s="107">
        <f>E1022*(1-C1022)+G1022*MIN(C1022,0.2*(1-C1022))</f>
        <v/>
      </c>
      <c r="L1022" s="107">
        <f>I1022*(1-C1022)</f>
        <v/>
      </c>
      <c r="M1022" s="119">
        <f>SUMIFS(Regimes!$G$5:$G$10,Regimes!$A$5:$A$10,A1022)</f>
        <v/>
      </c>
      <c r="N1022" s="106">
        <f>Donnees_annuelles!D92*J1022</f>
        <v/>
      </c>
      <c r="O1022" s="106">
        <f>Donnees_annuelles!D92*K1022</f>
        <v/>
      </c>
      <c r="P1022" s="106">
        <f>N1022+O1022</f>
        <v/>
      </c>
      <c r="Q1022" s="106">
        <f>Donnees_annuelles!D92*L1022</f>
        <v/>
      </c>
      <c r="R1022" s="118">
        <f>P1022/Donnees_annuelles!AA92*Donnees_annuelles!AI92/Donnees_annuelles!AG92</f>
        <v/>
      </c>
      <c r="S1022" s="118">
        <f>P1022/Donnees_annuelles!AA92*Donnees_annuelles!AJ92/Donnees_annuelles!AH92</f>
        <v/>
      </c>
    </row>
    <row r="1023">
      <c r="A1023" s="115" t="inlineStr">
        <is>
          <t>IEG</t>
        </is>
      </c>
      <c r="B1023" s="101" t="n">
        <v>2035</v>
      </c>
      <c r="C1023" s="105" t="n">
        <v>0.1</v>
      </c>
      <c r="D1023" s="105" t="n">
        <v>0.1278</v>
      </c>
      <c r="E1023" s="105" t="n">
        <v>0.27248</v>
      </c>
      <c r="F1023" s="116" t="inlineStr">
        <is>
          <t>légal</t>
        </is>
      </c>
      <c r="G1023" s="105" t="n">
        <v>0</v>
      </c>
      <c r="H1023" s="105" t="n">
        <v>0.00252</v>
      </c>
      <c r="I1023" s="105" t="n">
        <v>0.20779</v>
      </c>
      <c r="J1023" s="107">
        <f>D1023*(1-C1023)+G1023*MIN(C1023,0.2*(1-C1023))+H1023</f>
        <v/>
      </c>
      <c r="K1023" s="107">
        <f>E1023*(1-C1023)+G1023*MIN(C1023,0.2*(1-C1023))</f>
        <v/>
      </c>
      <c r="L1023" s="107">
        <f>I1023*(1-C1023)</f>
        <v/>
      </c>
      <c r="M1023" s="119">
        <f>SUMIFS(Regimes!$G$5:$G$10,Regimes!$A$5:$A$10,A1023)</f>
        <v/>
      </c>
      <c r="N1023" s="106">
        <f>Donnees_annuelles!D93*J1023</f>
        <v/>
      </c>
      <c r="O1023" s="106">
        <f>Donnees_annuelles!D93*K1023</f>
        <v/>
      </c>
      <c r="P1023" s="106">
        <f>N1023+O1023</f>
        <v/>
      </c>
      <c r="Q1023" s="106">
        <f>Donnees_annuelles!D93*L1023</f>
        <v/>
      </c>
      <c r="R1023" s="118">
        <f>P1023/Donnees_annuelles!AA93*Donnees_annuelles!AI93/Donnees_annuelles!AG93</f>
        <v/>
      </c>
      <c r="S1023" s="118">
        <f>P1023/Donnees_annuelles!AA93*Donnees_annuelles!AJ93/Donnees_annuelles!AH93</f>
        <v/>
      </c>
    </row>
    <row r="1024">
      <c r="A1024" s="115" t="inlineStr">
        <is>
          <t>IEG</t>
        </is>
      </c>
      <c r="B1024" s="101" t="n">
        <v>2036</v>
      </c>
      <c r="C1024" s="105" t="n">
        <v>0.1</v>
      </c>
      <c r="D1024" s="105" t="n">
        <v>0.1278</v>
      </c>
      <c r="E1024" s="105" t="n">
        <v>0.27248</v>
      </c>
      <c r="F1024" s="116" t="inlineStr">
        <is>
          <t>légal</t>
        </is>
      </c>
      <c r="G1024" s="105" t="n">
        <v>0</v>
      </c>
      <c r="H1024" s="105" t="n">
        <v>0.00252</v>
      </c>
      <c r="I1024" s="105" t="n">
        <v>0.20779</v>
      </c>
      <c r="J1024" s="107">
        <f>D1024*(1-C1024)+G1024*MIN(C1024,0.2*(1-C1024))+H1024</f>
        <v/>
      </c>
      <c r="K1024" s="107">
        <f>E1024*(1-C1024)+G1024*MIN(C1024,0.2*(1-C1024))</f>
        <v/>
      </c>
      <c r="L1024" s="107">
        <f>I1024*(1-C1024)</f>
        <v/>
      </c>
      <c r="M1024" s="119">
        <f>SUMIFS(Regimes!$G$5:$G$10,Regimes!$A$5:$A$10,A1024)</f>
        <v/>
      </c>
      <c r="N1024" s="106">
        <f>Donnees_annuelles!D94*J1024</f>
        <v/>
      </c>
      <c r="O1024" s="106">
        <f>Donnees_annuelles!D94*K1024</f>
        <v/>
      </c>
      <c r="P1024" s="106">
        <f>N1024+O1024</f>
        <v/>
      </c>
      <c r="Q1024" s="106">
        <f>Donnees_annuelles!D94*L1024</f>
        <v/>
      </c>
      <c r="R1024" s="118">
        <f>P1024/Donnees_annuelles!AA94*Donnees_annuelles!AI94/Donnees_annuelles!AG94</f>
        <v/>
      </c>
      <c r="S1024" s="118">
        <f>P1024/Donnees_annuelles!AA94*Donnees_annuelles!AJ94/Donnees_annuelles!AH94</f>
        <v/>
      </c>
    </row>
    <row r="1025">
      <c r="A1025" s="115" t="inlineStr">
        <is>
          <t>IEG</t>
        </is>
      </c>
      <c r="B1025" s="101" t="n">
        <v>2037</v>
      </c>
      <c r="C1025" s="105" t="n">
        <v>0.1</v>
      </c>
      <c r="D1025" s="105" t="n">
        <v>0.1278</v>
      </c>
      <c r="E1025" s="105" t="n">
        <v>0.27248</v>
      </c>
      <c r="F1025" s="116" t="inlineStr">
        <is>
          <t>légal</t>
        </is>
      </c>
      <c r="G1025" s="105" t="n">
        <v>0</v>
      </c>
      <c r="H1025" s="105" t="n">
        <v>0.00252</v>
      </c>
      <c r="I1025" s="105" t="n">
        <v>0.20779</v>
      </c>
      <c r="J1025" s="107">
        <f>D1025*(1-C1025)+G1025*MIN(C1025,0.2*(1-C1025))+H1025</f>
        <v/>
      </c>
      <c r="K1025" s="107">
        <f>E1025*(1-C1025)+G1025*MIN(C1025,0.2*(1-C1025))</f>
        <v/>
      </c>
      <c r="L1025" s="107">
        <f>I1025*(1-C1025)</f>
        <v/>
      </c>
      <c r="M1025" s="119">
        <f>SUMIFS(Regimes!$G$5:$G$10,Regimes!$A$5:$A$10,A1025)</f>
        <v/>
      </c>
      <c r="N1025" s="106">
        <f>Donnees_annuelles!D95*J1025</f>
        <v/>
      </c>
      <c r="O1025" s="106">
        <f>Donnees_annuelles!D95*K1025</f>
        <v/>
      </c>
      <c r="P1025" s="106">
        <f>N1025+O1025</f>
        <v/>
      </c>
      <c r="Q1025" s="106">
        <f>Donnees_annuelles!D95*L1025</f>
        <v/>
      </c>
      <c r="R1025" s="118">
        <f>P1025/Donnees_annuelles!AA95*Donnees_annuelles!AI95/Donnees_annuelles!AG95</f>
        <v/>
      </c>
      <c r="S1025" s="118">
        <f>P1025/Donnees_annuelles!AA95*Donnees_annuelles!AJ95/Donnees_annuelles!AH95</f>
        <v/>
      </c>
    </row>
    <row r="1026">
      <c r="A1026" s="115" t="inlineStr">
        <is>
          <t>IEG</t>
        </is>
      </c>
      <c r="B1026" s="101" t="n">
        <v>2038</v>
      </c>
      <c r="C1026" s="105" t="n">
        <v>0.1</v>
      </c>
      <c r="D1026" s="105" t="n">
        <v>0.1278</v>
      </c>
      <c r="E1026" s="105" t="n">
        <v>0.27248</v>
      </c>
      <c r="F1026" s="116" t="inlineStr">
        <is>
          <t>légal</t>
        </is>
      </c>
      <c r="G1026" s="105" t="n">
        <v>0</v>
      </c>
      <c r="H1026" s="105" t="n">
        <v>0.00252</v>
      </c>
      <c r="I1026" s="105" t="n">
        <v>0.20779</v>
      </c>
      <c r="J1026" s="107">
        <f>D1026*(1-C1026)+G1026*MIN(C1026,0.2*(1-C1026))+H1026</f>
        <v/>
      </c>
      <c r="K1026" s="107">
        <f>E1026*(1-C1026)+G1026*MIN(C1026,0.2*(1-C1026))</f>
        <v/>
      </c>
      <c r="L1026" s="107">
        <f>I1026*(1-C1026)</f>
        <v/>
      </c>
      <c r="M1026" s="119">
        <f>SUMIFS(Regimes!$G$5:$G$10,Regimes!$A$5:$A$10,A1026)</f>
        <v/>
      </c>
      <c r="N1026" s="106">
        <f>Donnees_annuelles!D96*J1026</f>
        <v/>
      </c>
      <c r="O1026" s="106">
        <f>Donnees_annuelles!D96*K1026</f>
        <v/>
      </c>
      <c r="P1026" s="106">
        <f>N1026+O1026</f>
        <v/>
      </c>
      <c r="Q1026" s="106">
        <f>Donnees_annuelles!D96*L1026</f>
        <v/>
      </c>
      <c r="R1026" s="118">
        <f>P1026/Donnees_annuelles!AA96*Donnees_annuelles!AI96/Donnees_annuelles!AG96</f>
        <v/>
      </c>
      <c r="S1026" s="118">
        <f>P1026/Donnees_annuelles!AA96*Donnees_annuelles!AJ96/Donnees_annuelles!AH96</f>
        <v/>
      </c>
    </row>
    <row r="1027">
      <c r="A1027" s="115" t="inlineStr">
        <is>
          <t>IEG</t>
        </is>
      </c>
      <c r="B1027" s="101" t="n">
        <v>2039</v>
      </c>
      <c r="C1027" s="105" t="n">
        <v>0.1</v>
      </c>
      <c r="D1027" s="105" t="n">
        <v>0.1278</v>
      </c>
      <c r="E1027" s="105" t="n">
        <v>0.27248</v>
      </c>
      <c r="F1027" s="116" t="inlineStr">
        <is>
          <t>légal</t>
        </is>
      </c>
      <c r="G1027" s="105" t="n">
        <v>0</v>
      </c>
      <c r="H1027" s="105" t="n">
        <v>0.00252</v>
      </c>
      <c r="I1027" s="105" t="n">
        <v>0.20779</v>
      </c>
      <c r="J1027" s="107">
        <f>D1027*(1-C1027)+G1027*MIN(C1027,0.2*(1-C1027))+H1027</f>
        <v/>
      </c>
      <c r="K1027" s="107">
        <f>E1027*(1-C1027)+G1027*MIN(C1027,0.2*(1-C1027))</f>
        <v/>
      </c>
      <c r="L1027" s="107">
        <f>I1027*(1-C1027)</f>
        <v/>
      </c>
      <c r="M1027" s="119">
        <f>SUMIFS(Regimes!$G$5:$G$10,Regimes!$A$5:$A$10,A1027)</f>
        <v/>
      </c>
      <c r="N1027" s="106">
        <f>Donnees_annuelles!D97*J1027</f>
        <v/>
      </c>
      <c r="O1027" s="106">
        <f>Donnees_annuelles!D97*K1027</f>
        <v/>
      </c>
      <c r="P1027" s="106">
        <f>N1027+O1027</f>
        <v/>
      </c>
      <c r="Q1027" s="106">
        <f>Donnees_annuelles!D97*L1027</f>
        <v/>
      </c>
      <c r="R1027" s="118">
        <f>P1027/Donnees_annuelles!AA97*Donnees_annuelles!AI97/Donnees_annuelles!AG97</f>
        <v/>
      </c>
      <c r="S1027" s="118">
        <f>P1027/Donnees_annuelles!AA97*Donnees_annuelles!AJ97/Donnees_annuelles!AH97</f>
        <v/>
      </c>
    </row>
    <row r="1028">
      <c r="A1028" s="115" t="inlineStr">
        <is>
          <t>IEG</t>
        </is>
      </c>
      <c r="B1028" s="101" t="n">
        <v>2040</v>
      </c>
      <c r="C1028" s="105" t="n">
        <v>0.1</v>
      </c>
      <c r="D1028" s="105" t="n">
        <v>0.1278</v>
      </c>
      <c r="E1028" s="105" t="n">
        <v>0.27248</v>
      </c>
      <c r="F1028" s="116" t="inlineStr">
        <is>
          <t>légal</t>
        </is>
      </c>
      <c r="G1028" s="105" t="n">
        <v>0</v>
      </c>
      <c r="H1028" s="105" t="n">
        <v>0.00252</v>
      </c>
      <c r="I1028" s="105" t="n">
        <v>0.20779</v>
      </c>
      <c r="J1028" s="107">
        <f>D1028*(1-C1028)+G1028*MIN(C1028,0.2*(1-C1028))+H1028</f>
        <v/>
      </c>
      <c r="K1028" s="107">
        <f>E1028*(1-C1028)+G1028*MIN(C1028,0.2*(1-C1028))</f>
        <v/>
      </c>
      <c r="L1028" s="107">
        <f>I1028*(1-C1028)</f>
        <v/>
      </c>
      <c r="M1028" s="119">
        <f>SUMIFS(Regimes!$G$5:$G$10,Regimes!$A$5:$A$10,A1028)</f>
        <v/>
      </c>
      <c r="N1028" s="106">
        <f>Donnees_annuelles!D98*J1028</f>
        <v/>
      </c>
      <c r="O1028" s="106">
        <f>Donnees_annuelles!D98*K1028</f>
        <v/>
      </c>
      <c r="P1028" s="106">
        <f>N1028+O1028</f>
        <v/>
      </c>
      <c r="Q1028" s="106">
        <f>Donnees_annuelles!D98*L1028</f>
        <v/>
      </c>
      <c r="R1028" s="118">
        <f>P1028/Donnees_annuelles!AA98*Donnees_annuelles!AI98/Donnees_annuelles!AG98</f>
        <v/>
      </c>
      <c r="S1028" s="118">
        <f>P1028/Donnees_annuelles!AA98*Donnees_annuelles!AJ98/Donnees_annuelles!AH98</f>
        <v/>
      </c>
    </row>
    <row r="1029">
      <c r="A1029" s="115" t="inlineStr">
        <is>
          <t>IEG</t>
        </is>
      </c>
      <c r="B1029" s="101" t="n">
        <v>2041</v>
      </c>
      <c r="C1029" s="105" t="n">
        <v>0.1</v>
      </c>
      <c r="D1029" s="105" t="n">
        <v>0.1278</v>
      </c>
      <c r="E1029" s="105" t="n">
        <v>0.27248</v>
      </c>
      <c r="F1029" s="116" t="inlineStr">
        <is>
          <t>légal</t>
        </is>
      </c>
      <c r="G1029" s="105" t="n">
        <v>0</v>
      </c>
      <c r="H1029" s="105" t="n">
        <v>0.00252</v>
      </c>
      <c r="I1029" s="105" t="n">
        <v>0.20779</v>
      </c>
      <c r="J1029" s="107">
        <f>D1029*(1-C1029)+G1029*MIN(C1029,0.2*(1-C1029))+H1029</f>
        <v/>
      </c>
      <c r="K1029" s="107">
        <f>E1029*(1-C1029)+G1029*MIN(C1029,0.2*(1-C1029))</f>
        <v/>
      </c>
      <c r="L1029" s="107">
        <f>I1029*(1-C1029)</f>
        <v/>
      </c>
      <c r="M1029" s="119">
        <f>SUMIFS(Regimes!$G$5:$G$10,Regimes!$A$5:$A$10,A1029)</f>
        <v/>
      </c>
      <c r="N1029" s="106">
        <f>Donnees_annuelles!D99*J1029</f>
        <v/>
      </c>
      <c r="O1029" s="106">
        <f>Donnees_annuelles!D99*K1029</f>
        <v/>
      </c>
      <c r="P1029" s="106">
        <f>N1029+O1029</f>
        <v/>
      </c>
      <c r="Q1029" s="106">
        <f>Donnees_annuelles!D99*L1029</f>
        <v/>
      </c>
      <c r="R1029" s="118">
        <f>P1029/Donnees_annuelles!AA99*Donnees_annuelles!AI99/Donnees_annuelles!AG99</f>
        <v/>
      </c>
      <c r="S1029" s="118">
        <f>P1029/Donnees_annuelles!AA99*Donnees_annuelles!AJ99/Donnees_annuelles!AH99</f>
        <v/>
      </c>
    </row>
    <row r="1030">
      <c r="A1030" s="115" t="inlineStr">
        <is>
          <t>IEG</t>
        </is>
      </c>
      <c r="B1030" s="101" t="n">
        <v>2042</v>
      </c>
      <c r="C1030" s="105" t="n">
        <v>0.1</v>
      </c>
      <c r="D1030" s="105" t="n">
        <v>0.1278</v>
      </c>
      <c r="E1030" s="105" t="n">
        <v>0.27248</v>
      </c>
      <c r="F1030" s="116" t="inlineStr">
        <is>
          <t>légal</t>
        </is>
      </c>
      <c r="G1030" s="105" t="n">
        <v>0</v>
      </c>
      <c r="H1030" s="105" t="n">
        <v>0.00252</v>
      </c>
      <c r="I1030" s="105" t="n">
        <v>0.20779</v>
      </c>
      <c r="J1030" s="107">
        <f>D1030*(1-C1030)+G1030*MIN(C1030,0.2*(1-C1030))+H1030</f>
        <v/>
      </c>
      <c r="K1030" s="107">
        <f>E1030*(1-C1030)+G1030*MIN(C1030,0.2*(1-C1030))</f>
        <v/>
      </c>
      <c r="L1030" s="107">
        <f>I1030*(1-C1030)</f>
        <v/>
      </c>
      <c r="M1030" s="119">
        <f>SUMIFS(Regimes!$G$5:$G$10,Regimes!$A$5:$A$10,A1030)</f>
        <v/>
      </c>
      <c r="N1030" s="106">
        <f>Donnees_annuelles!D100*J1030</f>
        <v/>
      </c>
      <c r="O1030" s="106">
        <f>Donnees_annuelles!D100*K1030</f>
        <v/>
      </c>
      <c r="P1030" s="106">
        <f>N1030+O1030</f>
        <v/>
      </c>
      <c r="Q1030" s="106">
        <f>Donnees_annuelles!D100*L1030</f>
        <v/>
      </c>
      <c r="R1030" s="118">
        <f>P1030/Donnees_annuelles!AA100*Donnees_annuelles!AI100/Donnees_annuelles!AG100</f>
        <v/>
      </c>
      <c r="S1030" s="118">
        <f>P1030/Donnees_annuelles!AA100*Donnees_annuelles!AJ100/Donnees_annuelles!AH100</f>
        <v/>
      </c>
    </row>
    <row r="1031">
      <c r="A1031" s="115" t="inlineStr">
        <is>
          <t>IEG</t>
        </is>
      </c>
      <c r="B1031" s="101" t="n">
        <v>2043</v>
      </c>
      <c r="C1031" s="105" t="n">
        <v>0.1</v>
      </c>
      <c r="D1031" s="105" t="n">
        <v>0.1278</v>
      </c>
      <c r="E1031" s="105" t="n">
        <v>0.27248</v>
      </c>
      <c r="F1031" s="116" t="inlineStr">
        <is>
          <t>légal</t>
        </is>
      </c>
      <c r="G1031" s="105" t="n">
        <v>0</v>
      </c>
      <c r="H1031" s="105" t="n">
        <v>0.00252</v>
      </c>
      <c r="I1031" s="105" t="n">
        <v>0.20779</v>
      </c>
      <c r="J1031" s="107">
        <f>D1031*(1-C1031)+G1031*MIN(C1031,0.2*(1-C1031))+H1031</f>
        <v/>
      </c>
      <c r="K1031" s="107">
        <f>E1031*(1-C1031)+G1031*MIN(C1031,0.2*(1-C1031))</f>
        <v/>
      </c>
      <c r="L1031" s="107">
        <f>I1031*(1-C1031)</f>
        <v/>
      </c>
      <c r="M1031" s="119">
        <f>SUMIFS(Regimes!$G$5:$G$10,Regimes!$A$5:$A$10,A1031)</f>
        <v/>
      </c>
      <c r="N1031" s="106">
        <f>Donnees_annuelles!D101*J1031</f>
        <v/>
      </c>
      <c r="O1031" s="106">
        <f>Donnees_annuelles!D101*K1031</f>
        <v/>
      </c>
      <c r="P1031" s="106">
        <f>N1031+O1031</f>
        <v/>
      </c>
      <c r="Q1031" s="106">
        <f>Donnees_annuelles!D101*L1031</f>
        <v/>
      </c>
      <c r="R1031" s="118">
        <f>P1031/Donnees_annuelles!AA101*Donnees_annuelles!AI101/Donnees_annuelles!AG101</f>
        <v/>
      </c>
      <c r="S1031" s="118">
        <f>P1031/Donnees_annuelles!AA101*Donnees_annuelles!AJ101/Donnees_annuelles!AH101</f>
        <v/>
      </c>
    </row>
    <row r="1032">
      <c r="A1032" s="115" t="inlineStr">
        <is>
          <t>IEG</t>
        </is>
      </c>
      <c r="B1032" s="101" t="n">
        <v>2044</v>
      </c>
      <c r="C1032" s="105" t="n">
        <v>0.1</v>
      </c>
      <c r="D1032" s="105" t="n">
        <v>0.1278</v>
      </c>
      <c r="E1032" s="105" t="n">
        <v>0.27248</v>
      </c>
      <c r="F1032" s="116" t="inlineStr">
        <is>
          <t>légal</t>
        </is>
      </c>
      <c r="G1032" s="105" t="n">
        <v>0</v>
      </c>
      <c r="H1032" s="105" t="n">
        <v>0.00252</v>
      </c>
      <c r="I1032" s="105" t="n">
        <v>0.20779</v>
      </c>
      <c r="J1032" s="107">
        <f>D1032*(1-C1032)+G1032*MIN(C1032,0.2*(1-C1032))+H1032</f>
        <v/>
      </c>
      <c r="K1032" s="107">
        <f>E1032*(1-C1032)+G1032*MIN(C1032,0.2*(1-C1032))</f>
        <v/>
      </c>
      <c r="L1032" s="107">
        <f>I1032*(1-C1032)</f>
        <v/>
      </c>
      <c r="M1032" s="119">
        <f>SUMIFS(Regimes!$G$5:$G$10,Regimes!$A$5:$A$10,A1032)</f>
        <v/>
      </c>
      <c r="N1032" s="106">
        <f>Donnees_annuelles!D102*J1032</f>
        <v/>
      </c>
      <c r="O1032" s="106">
        <f>Donnees_annuelles!D102*K1032</f>
        <v/>
      </c>
      <c r="P1032" s="106">
        <f>N1032+O1032</f>
        <v/>
      </c>
      <c r="Q1032" s="106">
        <f>Donnees_annuelles!D102*L1032</f>
        <v/>
      </c>
      <c r="R1032" s="118">
        <f>P1032/Donnees_annuelles!AA102*Donnees_annuelles!AI102/Donnees_annuelles!AG102</f>
        <v/>
      </c>
      <c r="S1032" s="118">
        <f>P1032/Donnees_annuelles!AA102*Donnees_annuelles!AJ102/Donnees_annuelles!AH102</f>
        <v/>
      </c>
    </row>
    <row r="1033">
      <c r="A1033" s="115" t="inlineStr">
        <is>
          <t>IEG</t>
        </is>
      </c>
      <c r="B1033" s="101" t="n">
        <v>2045</v>
      </c>
      <c r="C1033" s="105" t="n">
        <v>0.1</v>
      </c>
      <c r="D1033" s="105" t="n">
        <v>0.1278</v>
      </c>
      <c r="E1033" s="105" t="n">
        <v>0.27248</v>
      </c>
      <c r="F1033" s="116" t="inlineStr">
        <is>
          <t>légal</t>
        </is>
      </c>
      <c r="G1033" s="105" t="n">
        <v>0</v>
      </c>
      <c r="H1033" s="105" t="n">
        <v>0.00252</v>
      </c>
      <c r="I1033" s="105" t="n">
        <v>0.20779</v>
      </c>
      <c r="J1033" s="107">
        <f>D1033*(1-C1033)+G1033*MIN(C1033,0.2*(1-C1033))+H1033</f>
        <v/>
      </c>
      <c r="K1033" s="107">
        <f>E1033*(1-C1033)+G1033*MIN(C1033,0.2*(1-C1033))</f>
        <v/>
      </c>
      <c r="L1033" s="107">
        <f>I1033*(1-C1033)</f>
        <v/>
      </c>
      <c r="M1033" s="119">
        <f>SUMIFS(Regimes!$G$5:$G$10,Regimes!$A$5:$A$10,A1033)</f>
        <v/>
      </c>
      <c r="N1033" s="106">
        <f>Donnees_annuelles!D103*J1033</f>
        <v/>
      </c>
      <c r="O1033" s="106">
        <f>Donnees_annuelles!D103*K1033</f>
        <v/>
      </c>
      <c r="P1033" s="106">
        <f>N1033+O1033</f>
        <v/>
      </c>
      <c r="Q1033" s="106">
        <f>Donnees_annuelles!D103*L1033</f>
        <v/>
      </c>
      <c r="R1033" s="118">
        <f>P1033/Donnees_annuelles!AA103*Donnees_annuelles!AI103/Donnees_annuelles!AG103</f>
        <v/>
      </c>
      <c r="S1033" s="118">
        <f>P1033/Donnees_annuelles!AA103*Donnees_annuelles!AJ103/Donnees_annuelles!AH103</f>
        <v/>
      </c>
    </row>
    <row r="1034">
      <c r="A1034" s="115" t="inlineStr">
        <is>
          <t>IEG</t>
        </is>
      </c>
      <c r="B1034" s="101" t="n">
        <v>2046</v>
      </c>
      <c r="C1034" s="105" t="n">
        <v>0.1</v>
      </c>
      <c r="D1034" s="105" t="n">
        <v>0.1278</v>
      </c>
      <c r="E1034" s="105" t="n">
        <v>0.27248</v>
      </c>
      <c r="F1034" s="116" t="inlineStr">
        <is>
          <t>légal</t>
        </is>
      </c>
      <c r="G1034" s="105" t="n">
        <v>0</v>
      </c>
      <c r="H1034" s="105" t="n">
        <v>0.00252</v>
      </c>
      <c r="I1034" s="105" t="n">
        <v>0.20779</v>
      </c>
      <c r="J1034" s="107">
        <f>D1034*(1-C1034)+G1034*MIN(C1034,0.2*(1-C1034))+H1034</f>
        <v/>
      </c>
      <c r="K1034" s="107">
        <f>E1034*(1-C1034)+G1034*MIN(C1034,0.2*(1-C1034))</f>
        <v/>
      </c>
      <c r="L1034" s="107">
        <f>I1034*(1-C1034)</f>
        <v/>
      </c>
      <c r="M1034" s="119">
        <f>SUMIFS(Regimes!$G$5:$G$10,Regimes!$A$5:$A$10,A1034)</f>
        <v/>
      </c>
      <c r="N1034" s="106">
        <f>Donnees_annuelles!D104*J1034</f>
        <v/>
      </c>
      <c r="O1034" s="106">
        <f>Donnees_annuelles!D104*K1034</f>
        <v/>
      </c>
      <c r="P1034" s="106">
        <f>N1034+O1034</f>
        <v/>
      </c>
      <c r="Q1034" s="106">
        <f>Donnees_annuelles!D104*L1034</f>
        <v/>
      </c>
      <c r="R1034" s="118">
        <f>P1034/Donnees_annuelles!AA104*Donnees_annuelles!AI104/Donnees_annuelles!AG104</f>
        <v/>
      </c>
      <c r="S1034" s="118">
        <f>P1034/Donnees_annuelles!AA104*Donnees_annuelles!AJ104/Donnees_annuelles!AH104</f>
        <v/>
      </c>
    </row>
    <row r="1035">
      <c r="A1035" s="115" t="inlineStr">
        <is>
          <t>IEG</t>
        </is>
      </c>
      <c r="B1035" s="101" t="n">
        <v>2047</v>
      </c>
      <c r="C1035" s="105" t="n">
        <v>0.1</v>
      </c>
      <c r="D1035" s="105" t="n">
        <v>0.1278</v>
      </c>
      <c r="E1035" s="105" t="n">
        <v>0.27248</v>
      </c>
      <c r="F1035" s="116" t="inlineStr">
        <is>
          <t>légal</t>
        </is>
      </c>
      <c r="G1035" s="105" t="n">
        <v>0</v>
      </c>
      <c r="H1035" s="105" t="n">
        <v>0.00252</v>
      </c>
      <c r="I1035" s="105" t="n">
        <v>0.20779</v>
      </c>
      <c r="J1035" s="107">
        <f>D1035*(1-C1035)+G1035*MIN(C1035,0.2*(1-C1035))+H1035</f>
        <v/>
      </c>
      <c r="K1035" s="107">
        <f>E1035*(1-C1035)+G1035*MIN(C1035,0.2*(1-C1035))</f>
        <v/>
      </c>
      <c r="L1035" s="107">
        <f>I1035*(1-C1035)</f>
        <v/>
      </c>
      <c r="M1035" s="119">
        <f>SUMIFS(Regimes!$G$5:$G$10,Regimes!$A$5:$A$10,A1035)</f>
        <v/>
      </c>
      <c r="N1035" s="106">
        <f>Donnees_annuelles!D105*J1035</f>
        <v/>
      </c>
      <c r="O1035" s="106">
        <f>Donnees_annuelles!D105*K1035</f>
        <v/>
      </c>
      <c r="P1035" s="106">
        <f>N1035+O1035</f>
        <v/>
      </c>
      <c r="Q1035" s="106">
        <f>Donnees_annuelles!D105*L1035</f>
        <v/>
      </c>
      <c r="R1035" s="118">
        <f>P1035/Donnees_annuelles!AA105*Donnees_annuelles!AI105/Donnees_annuelles!AG105</f>
        <v/>
      </c>
      <c r="S1035" s="118">
        <f>P1035/Donnees_annuelles!AA105*Donnees_annuelles!AJ105/Donnees_annuelles!AH105</f>
        <v/>
      </c>
    </row>
    <row r="1036">
      <c r="A1036" s="115" t="inlineStr">
        <is>
          <t>IEG</t>
        </is>
      </c>
      <c r="B1036" s="101" t="n">
        <v>2048</v>
      </c>
      <c r="C1036" s="105" t="n">
        <v>0.1</v>
      </c>
      <c r="D1036" s="105" t="n">
        <v>0.1278</v>
      </c>
      <c r="E1036" s="105" t="n">
        <v>0.27248</v>
      </c>
      <c r="F1036" s="116" t="inlineStr">
        <is>
          <t>légal</t>
        </is>
      </c>
      <c r="G1036" s="105" t="n">
        <v>0</v>
      </c>
      <c r="H1036" s="105" t="n">
        <v>0.00252</v>
      </c>
      <c r="I1036" s="105" t="n">
        <v>0.20779</v>
      </c>
      <c r="J1036" s="107">
        <f>D1036*(1-C1036)+G1036*MIN(C1036,0.2*(1-C1036))+H1036</f>
        <v/>
      </c>
      <c r="K1036" s="107">
        <f>E1036*(1-C1036)+G1036*MIN(C1036,0.2*(1-C1036))</f>
        <v/>
      </c>
      <c r="L1036" s="107">
        <f>I1036*(1-C1036)</f>
        <v/>
      </c>
      <c r="M1036" s="119">
        <f>SUMIFS(Regimes!$G$5:$G$10,Regimes!$A$5:$A$10,A1036)</f>
        <v/>
      </c>
      <c r="N1036" s="106">
        <f>Donnees_annuelles!D106*J1036</f>
        <v/>
      </c>
      <c r="O1036" s="106">
        <f>Donnees_annuelles!D106*K1036</f>
        <v/>
      </c>
      <c r="P1036" s="106">
        <f>N1036+O1036</f>
        <v/>
      </c>
      <c r="Q1036" s="106">
        <f>Donnees_annuelles!D106*L1036</f>
        <v/>
      </c>
      <c r="R1036" s="118">
        <f>P1036/Donnees_annuelles!AA106*Donnees_annuelles!AI106/Donnees_annuelles!AG106</f>
        <v/>
      </c>
      <c r="S1036" s="118">
        <f>P1036/Donnees_annuelles!AA106*Donnees_annuelles!AJ106/Donnees_annuelles!AH106</f>
        <v/>
      </c>
    </row>
    <row r="1037">
      <c r="A1037" s="115" t="inlineStr">
        <is>
          <t>IEG</t>
        </is>
      </c>
      <c r="B1037" s="101" t="n">
        <v>2049</v>
      </c>
      <c r="C1037" s="105" t="n">
        <v>0.1</v>
      </c>
      <c r="D1037" s="105" t="n">
        <v>0.1278</v>
      </c>
      <c r="E1037" s="105" t="n">
        <v>0.27248</v>
      </c>
      <c r="F1037" s="116" t="inlineStr">
        <is>
          <t>légal</t>
        </is>
      </c>
      <c r="G1037" s="105" t="n">
        <v>0</v>
      </c>
      <c r="H1037" s="105" t="n">
        <v>0.00252</v>
      </c>
      <c r="I1037" s="105" t="n">
        <v>0.20779</v>
      </c>
      <c r="J1037" s="107">
        <f>D1037*(1-C1037)+G1037*MIN(C1037,0.2*(1-C1037))+H1037</f>
        <v/>
      </c>
      <c r="K1037" s="107">
        <f>E1037*(1-C1037)+G1037*MIN(C1037,0.2*(1-C1037))</f>
        <v/>
      </c>
      <c r="L1037" s="107">
        <f>I1037*(1-C1037)</f>
        <v/>
      </c>
      <c r="M1037" s="119">
        <f>SUMIFS(Regimes!$G$5:$G$10,Regimes!$A$5:$A$10,A1037)</f>
        <v/>
      </c>
      <c r="N1037" s="106">
        <f>Donnees_annuelles!D107*J1037</f>
        <v/>
      </c>
      <c r="O1037" s="106">
        <f>Donnees_annuelles!D107*K1037</f>
        <v/>
      </c>
      <c r="P1037" s="106">
        <f>N1037+O1037</f>
        <v/>
      </c>
      <c r="Q1037" s="106">
        <f>Donnees_annuelles!D107*L1037</f>
        <v/>
      </c>
      <c r="R1037" s="118">
        <f>P1037/Donnees_annuelles!AA107*Donnees_annuelles!AI107/Donnees_annuelles!AG107</f>
        <v/>
      </c>
      <c r="S1037" s="118">
        <f>P1037/Donnees_annuelles!AA107*Donnees_annuelles!AJ107/Donnees_annuelles!AH107</f>
        <v/>
      </c>
    </row>
    <row r="1038">
      <c r="A1038" s="115" t="inlineStr">
        <is>
          <t>IEG</t>
        </is>
      </c>
      <c r="B1038" s="101" t="n">
        <v>2050</v>
      </c>
      <c r="C1038" s="105" t="n">
        <v>0.1</v>
      </c>
      <c r="D1038" s="105" t="n">
        <v>0.1278</v>
      </c>
      <c r="E1038" s="105" t="n">
        <v>0.27248</v>
      </c>
      <c r="F1038" s="116" t="inlineStr">
        <is>
          <t>légal</t>
        </is>
      </c>
      <c r="G1038" s="105" t="n">
        <v>0</v>
      </c>
      <c r="H1038" s="105" t="n">
        <v>0.00252</v>
      </c>
      <c r="I1038" s="105" t="n">
        <v>0.20779</v>
      </c>
      <c r="J1038" s="107">
        <f>D1038*(1-C1038)+G1038*MIN(C1038,0.2*(1-C1038))+H1038</f>
        <v/>
      </c>
      <c r="K1038" s="107">
        <f>E1038*(1-C1038)+G1038*MIN(C1038,0.2*(1-C1038))</f>
        <v/>
      </c>
      <c r="L1038" s="107">
        <f>I1038*(1-C1038)</f>
        <v/>
      </c>
      <c r="M1038" s="119">
        <f>SUMIFS(Regimes!$G$5:$G$10,Regimes!$A$5:$A$10,A1038)</f>
        <v/>
      </c>
      <c r="N1038" s="106">
        <f>Donnees_annuelles!D108*J1038</f>
        <v/>
      </c>
      <c r="O1038" s="106">
        <f>Donnees_annuelles!D108*K1038</f>
        <v/>
      </c>
      <c r="P1038" s="106">
        <f>N1038+O1038</f>
        <v/>
      </c>
      <c r="Q1038" s="106">
        <f>Donnees_annuelles!D108*L1038</f>
        <v/>
      </c>
      <c r="R1038" s="118">
        <f>P1038/Donnees_annuelles!AA108*Donnees_annuelles!AI108/Donnees_annuelles!AG108</f>
        <v/>
      </c>
      <c r="S1038" s="118">
        <f>P1038/Donnees_annuelles!AA108*Donnees_annuelles!AJ108/Donnees_annuelles!AH108</f>
        <v/>
      </c>
    </row>
    <row r="1039">
      <c r="A1039" s="115" t="inlineStr">
        <is>
          <t>IEG</t>
        </is>
      </c>
      <c r="B1039" s="101" t="n">
        <v>2051</v>
      </c>
      <c r="C1039" s="105" t="n">
        <v>0.1</v>
      </c>
      <c r="D1039" s="105" t="n">
        <v>0.1278</v>
      </c>
      <c r="E1039" s="105" t="n">
        <v>0.27248</v>
      </c>
      <c r="F1039" s="116" t="inlineStr">
        <is>
          <t>légal</t>
        </is>
      </c>
      <c r="G1039" s="105" t="n">
        <v>0</v>
      </c>
      <c r="H1039" s="105" t="n">
        <v>0.00252</v>
      </c>
      <c r="I1039" s="105" t="n">
        <v>0.20779</v>
      </c>
      <c r="J1039" s="107">
        <f>D1039*(1-C1039)+G1039*MIN(C1039,0.2*(1-C1039))+H1039</f>
        <v/>
      </c>
      <c r="K1039" s="107">
        <f>E1039*(1-C1039)+G1039*MIN(C1039,0.2*(1-C1039))</f>
        <v/>
      </c>
      <c r="L1039" s="107">
        <f>I1039*(1-C1039)</f>
        <v/>
      </c>
      <c r="M1039" s="119">
        <f>SUMIFS(Regimes!$G$5:$G$10,Regimes!$A$5:$A$10,A1039)</f>
        <v/>
      </c>
      <c r="N1039" s="106">
        <f>Donnees_annuelles!D109*J1039</f>
        <v/>
      </c>
      <c r="O1039" s="106">
        <f>Donnees_annuelles!D109*K1039</f>
        <v/>
      </c>
      <c r="P1039" s="106">
        <f>N1039+O1039</f>
        <v/>
      </c>
      <c r="Q1039" s="106">
        <f>Donnees_annuelles!D109*L1039</f>
        <v/>
      </c>
      <c r="R1039" s="118">
        <f>P1039/Donnees_annuelles!AA109*Donnees_annuelles!AI109/Donnees_annuelles!AG109</f>
        <v/>
      </c>
      <c r="S1039" s="118">
        <f>P1039/Donnees_annuelles!AA109*Donnees_annuelles!AJ109/Donnees_annuelles!AH109</f>
        <v/>
      </c>
    </row>
    <row r="1040">
      <c r="A1040" s="115" t="inlineStr">
        <is>
          <t>IEG</t>
        </is>
      </c>
      <c r="B1040" s="101" t="n">
        <v>2052</v>
      </c>
      <c r="C1040" s="105" t="n">
        <v>0.1</v>
      </c>
      <c r="D1040" s="105" t="n">
        <v>0.1278</v>
      </c>
      <c r="E1040" s="105" t="n">
        <v>0.27248</v>
      </c>
      <c r="F1040" s="116" t="inlineStr">
        <is>
          <t>légal</t>
        </is>
      </c>
      <c r="G1040" s="105" t="n">
        <v>0</v>
      </c>
      <c r="H1040" s="105" t="n">
        <v>0.00252</v>
      </c>
      <c r="I1040" s="105" t="n">
        <v>0.20779</v>
      </c>
      <c r="J1040" s="107">
        <f>D1040*(1-C1040)+G1040*MIN(C1040,0.2*(1-C1040))+H1040</f>
        <v/>
      </c>
      <c r="K1040" s="107">
        <f>E1040*(1-C1040)+G1040*MIN(C1040,0.2*(1-C1040))</f>
        <v/>
      </c>
      <c r="L1040" s="107">
        <f>I1040*(1-C1040)</f>
        <v/>
      </c>
      <c r="M1040" s="119">
        <f>SUMIFS(Regimes!$G$5:$G$10,Regimes!$A$5:$A$10,A1040)</f>
        <v/>
      </c>
      <c r="N1040" s="106">
        <f>Donnees_annuelles!D110*J1040</f>
        <v/>
      </c>
      <c r="O1040" s="106">
        <f>Donnees_annuelles!D110*K1040</f>
        <v/>
      </c>
      <c r="P1040" s="106">
        <f>N1040+O1040</f>
        <v/>
      </c>
      <c r="Q1040" s="106">
        <f>Donnees_annuelles!D110*L1040</f>
        <v/>
      </c>
      <c r="R1040" s="118">
        <f>P1040/Donnees_annuelles!AA110*Donnees_annuelles!AI110/Donnees_annuelles!AG110</f>
        <v/>
      </c>
      <c r="S1040" s="118">
        <f>P1040/Donnees_annuelles!AA110*Donnees_annuelles!AJ110/Donnees_annuelles!AH110</f>
        <v/>
      </c>
    </row>
    <row r="1041">
      <c r="A1041" s="115" t="inlineStr">
        <is>
          <t>IEG</t>
        </is>
      </c>
      <c r="B1041" s="101" t="n">
        <v>2053</v>
      </c>
      <c r="C1041" s="105" t="n">
        <v>0.1</v>
      </c>
      <c r="D1041" s="105" t="n">
        <v>0.1278</v>
      </c>
      <c r="E1041" s="105" t="n">
        <v>0.27248</v>
      </c>
      <c r="F1041" s="116" t="inlineStr">
        <is>
          <t>légal</t>
        </is>
      </c>
      <c r="G1041" s="105" t="n">
        <v>0</v>
      </c>
      <c r="H1041" s="105" t="n">
        <v>0.00252</v>
      </c>
      <c r="I1041" s="105" t="n">
        <v>0.20779</v>
      </c>
      <c r="J1041" s="107">
        <f>D1041*(1-C1041)+G1041*MIN(C1041,0.2*(1-C1041))+H1041</f>
        <v/>
      </c>
      <c r="K1041" s="107">
        <f>E1041*(1-C1041)+G1041*MIN(C1041,0.2*(1-C1041))</f>
        <v/>
      </c>
      <c r="L1041" s="107">
        <f>I1041*(1-C1041)</f>
        <v/>
      </c>
      <c r="M1041" s="119">
        <f>SUMIFS(Regimes!$G$5:$G$10,Regimes!$A$5:$A$10,A1041)</f>
        <v/>
      </c>
      <c r="N1041" s="106">
        <f>Donnees_annuelles!D111*J1041</f>
        <v/>
      </c>
      <c r="O1041" s="106">
        <f>Donnees_annuelles!D111*K1041</f>
        <v/>
      </c>
      <c r="P1041" s="106">
        <f>N1041+O1041</f>
        <v/>
      </c>
      <c r="Q1041" s="106">
        <f>Donnees_annuelles!D111*L1041</f>
        <v/>
      </c>
      <c r="R1041" s="118">
        <f>P1041/Donnees_annuelles!AA111*Donnees_annuelles!AI111/Donnees_annuelles!AG111</f>
        <v/>
      </c>
      <c r="S1041" s="118">
        <f>P1041/Donnees_annuelles!AA111*Donnees_annuelles!AJ111/Donnees_annuelles!AH111</f>
        <v/>
      </c>
    </row>
    <row r="1042">
      <c r="A1042" s="115" t="inlineStr">
        <is>
          <t>IEG</t>
        </is>
      </c>
      <c r="B1042" s="101" t="n">
        <v>2054</v>
      </c>
      <c r="C1042" s="105" t="n">
        <v>0.1</v>
      </c>
      <c r="D1042" s="105" t="n">
        <v>0.1278</v>
      </c>
      <c r="E1042" s="105" t="n">
        <v>0.27248</v>
      </c>
      <c r="F1042" s="116" t="inlineStr">
        <is>
          <t>légal</t>
        </is>
      </c>
      <c r="G1042" s="105" t="n">
        <v>0</v>
      </c>
      <c r="H1042" s="105" t="n">
        <v>0.00252</v>
      </c>
      <c r="I1042" s="105" t="n">
        <v>0.20779</v>
      </c>
      <c r="J1042" s="107">
        <f>D1042*(1-C1042)+G1042*MIN(C1042,0.2*(1-C1042))+H1042</f>
        <v/>
      </c>
      <c r="K1042" s="107">
        <f>E1042*(1-C1042)+G1042*MIN(C1042,0.2*(1-C1042))</f>
        <v/>
      </c>
      <c r="L1042" s="107">
        <f>I1042*(1-C1042)</f>
        <v/>
      </c>
      <c r="M1042" s="119">
        <f>SUMIFS(Regimes!$G$5:$G$10,Regimes!$A$5:$A$10,A1042)</f>
        <v/>
      </c>
      <c r="N1042" s="106">
        <f>Donnees_annuelles!D112*J1042</f>
        <v/>
      </c>
      <c r="O1042" s="106">
        <f>Donnees_annuelles!D112*K1042</f>
        <v/>
      </c>
      <c r="P1042" s="106">
        <f>N1042+O1042</f>
        <v/>
      </c>
      <c r="Q1042" s="106">
        <f>Donnees_annuelles!D112*L1042</f>
        <v/>
      </c>
      <c r="R1042" s="118">
        <f>P1042/Donnees_annuelles!AA112*Donnees_annuelles!AI112/Donnees_annuelles!AG112</f>
        <v/>
      </c>
      <c r="S1042" s="118">
        <f>P1042/Donnees_annuelles!AA112*Donnees_annuelles!AJ112/Donnees_annuelles!AH112</f>
        <v/>
      </c>
    </row>
    <row r="1043">
      <c r="A1043" s="115" t="inlineStr">
        <is>
          <t>IEG</t>
        </is>
      </c>
      <c r="B1043" s="101" t="n">
        <v>2055</v>
      </c>
      <c r="C1043" s="105" t="n">
        <v>0.1</v>
      </c>
      <c r="D1043" s="105" t="n">
        <v>0.1278</v>
      </c>
      <c r="E1043" s="105" t="n">
        <v>0.27248</v>
      </c>
      <c r="F1043" s="116" t="inlineStr">
        <is>
          <t>légal</t>
        </is>
      </c>
      <c r="G1043" s="105" t="n">
        <v>0</v>
      </c>
      <c r="H1043" s="105" t="n">
        <v>0.00252</v>
      </c>
      <c r="I1043" s="105" t="n">
        <v>0.20779</v>
      </c>
      <c r="J1043" s="107">
        <f>D1043*(1-C1043)+G1043*MIN(C1043,0.2*(1-C1043))+H1043</f>
        <v/>
      </c>
      <c r="K1043" s="107">
        <f>E1043*(1-C1043)+G1043*MIN(C1043,0.2*(1-C1043))</f>
        <v/>
      </c>
      <c r="L1043" s="107">
        <f>I1043*(1-C1043)</f>
        <v/>
      </c>
      <c r="M1043" s="119">
        <f>SUMIFS(Regimes!$G$5:$G$10,Regimes!$A$5:$A$10,A1043)</f>
        <v/>
      </c>
      <c r="N1043" s="106">
        <f>Donnees_annuelles!D113*J1043</f>
        <v/>
      </c>
      <c r="O1043" s="106">
        <f>Donnees_annuelles!D113*K1043</f>
        <v/>
      </c>
      <c r="P1043" s="106">
        <f>N1043+O1043</f>
        <v/>
      </c>
      <c r="Q1043" s="106">
        <f>Donnees_annuelles!D113*L1043</f>
        <v/>
      </c>
      <c r="R1043" s="118">
        <f>P1043/Donnees_annuelles!AA113*Donnees_annuelles!AI113/Donnees_annuelles!AG113</f>
        <v/>
      </c>
      <c r="S1043" s="118">
        <f>P1043/Donnees_annuelles!AA113*Donnees_annuelles!AJ113/Donnees_annuelles!AH113</f>
        <v/>
      </c>
    </row>
    <row r="1044">
      <c r="A1044" s="115" t="inlineStr">
        <is>
          <t>IEG</t>
        </is>
      </c>
      <c r="B1044" s="101" t="n">
        <v>2056</v>
      </c>
      <c r="C1044" s="105" t="n">
        <v>0.1</v>
      </c>
      <c r="D1044" s="105" t="n">
        <v>0.1278</v>
      </c>
      <c r="E1044" s="105" t="n">
        <v>0.27248</v>
      </c>
      <c r="F1044" s="116" t="inlineStr">
        <is>
          <t>légal</t>
        </is>
      </c>
      <c r="G1044" s="105" t="n">
        <v>0</v>
      </c>
      <c r="H1044" s="105" t="n">
        <v>0.00252</v>
      </c>
      <c r="I1044" s="105" t="n">
        <v>0.20779</v>
      </c>
      <c r="J1044" s="107">
        <f>D1044*(1-C1044)+G1044*MIN(C1044,0.2*(1-C1044))+H1044</f>
        <v/>
      </c>
      <c r="K1044" s="107">
        <f>E1044*(1-C1044)+G1044*MIN(C1044,0.2*(1-C1044))</f>
        <v/>
      </c>
      <c r="L1044" s="107">
        <f>I1044*(1-C1044)</f>
        <v/>
      </c>
      <c r="M1044" s="119">
        <f>SUMIFS(Regimes!$G$5:$G$10,Regimes!$A$5:$A$10,A1044)</f>
        <v/>
      </c>
      <c r="N1044" s="106">
        <f>Donnees_annuelles!D114*J1044</f>
        <v/>
      </c>
      <c r="O1044" s="106">
        <f>Donnees_annuelles!D114*K1044</f>
        <v/>
      </c>
      <c r="P1044" s="106">
        <f>N1044+O1044</f>
        <v/>
      </c>
      <c r="Q1044" s="106">
        <f>Donnees_annuelles!D114*L1044</f>
        <v/>
      </c>
      <c r="R1044" s="118">
        <f>P1044/Donnees_annuelles!AA114*Donnees_annuelles!AI114/Donnees_annuelles!AG114</f>
        <v/>
      </c>
      <c r="S1044" s="118">
        <f>P1044/Donnees_annuelles!AA114*Donnees_annuelles!AJ114/Donnees_annuelles!AH114</f>
        <v/>
      </c>
    </row>
    <row r="1045">
      <c r="A1045" s="115" t="inlineStr">
        <is>
          <t>IEG</t>
        </is>
      </c>
      <c r="B1045" s="101" t="n">
        <v>2057</v>
      </c>
      <c r="C1045" s="105" t="n">
        <v>0.1</v>
      </c>
      <c r="D1045" s="105" t="n">
        <v>0.1278</v>
      </c>
      <c r="E1045" s="105" t="n">
        <v>0.27248</v>
      </c>
      <c r="F1045" s="116" t="inlineStr">
        <is>
          <t>légal</t>
        </is>
      </c>
      <c r="G1045" s="105" t="n">
        <v>0</v>
      </c>
      <c r="H1045" s="105" t="n">
        <v>0.00252</v>
      </c>
      <c r="I1045" s="105" t="n">
        <v>0.20779</v>
      </c>
      <c r="J1045" s="107">
        <f>D1045*(1-C1045)+G1045*MIN(C1045,0.2*(1-C1045))+H1045</f>
        <v/>
      </c>
      <c r="K1045" s="107">
        <f>E1045*(1-C1045)+G1045*MIN(C1045,0.2*(1-C1045))</f>
        <v/>
      </c>
      <c r="L1045" s="107">
        <f>I1045*(1-C1045)</f>
        <v/>
      </c>
      <c r="M1045" s="119">
        <f>SUMIFS(Regimes!$G$5:$G$10,Regimes!$A$5:$A$10,A1045)</f>
        <v/>
      </c>
      <c r="N1045" s="106">
        <f>Donnees_annuelles!D115*J1045</f>
        <v/>
      </c>
      <c r="O1045" s="106">
        <f>Donnees_annuelles!D115*K1045</f>
        <v/>
      </c>
      <c r="P1045" s="106">
        <f>N1045+O1045</f>
        <v/>
      </c>
      <c r="Q1045" s="106">
        <f>Donnees_annuelles!D115*L1045</f>
        <v/>
      </c>
      <c r="R1045" s="118">
        <f>P1045/Donnees_annuelles!AA115*Donnees_annuelles!AI115/Donnees_annuelles!AG115</f>
        <v/>
      </c>
      <c r="S1045" s="118">
        <f>P1045/Donnees_annuelles!AA115*Donnees_annuelles!AJ115/Donnees_annuelles!AH115</f>
        <v/>
      </c>
    </row>
    <row r="1046">
      <c r="A1046" s="115" t="inlineStr">
        <is>
          <t>IEG</t>
        </is>
      </c>
      <c r="B1046" s="101" t="n">
        <v>2058</v>
      </c>
      <c r="C1046" s="105" t="n">
        <v>0.1</v>
      </c>
      <c r="D1046" s="105" t="n">
        <v>0.1278</v>
      </c>
      <c r="E1046" s="105" t="n">
        <v>0.27248</v>
      </c>
      <c r="F1046" s="116" t="inlineStr">
        <is>
          <t>légal</t>
        </is>
      </c>
      <c r="G1046" s="105" t="n">
        <v>0</v>
      </c>
      <c r="H1046" s="105" t="n">
        <v>0.00252</v>
      </c>
      <c r="I1046" s="105" t="n">
        <v>0.20779</v>
      </c>
      <c r="J1046" s="107">
        <f>D1046*(1-C1046)+G1046*MIN(C1046,0.2*(1-C1046))+H1046</f>
        <v/>
      </c>
      <c r="K1046" s="107">
        <f>E1046*(1-C1046)+G1046*MIN(C1046,0.2*(1-C1046))</f>
        <v/>
      </c>
      <c r="L1046" s="107">
        <f>I1046*(1-C1046)</f>
        <v/>
      </c>
      <c r="M1046" s="119">
        <f>SUMIFS(Regimes!$G$5:$G$10,Regimes!$A$5:$A$10,A1046)</f>
        <v/>
      </c>
      <c r="N1046" s="106">
        <f>Donnees_annuelles!D116*J1046</f>
        <v/>
      </c>
      <c r="O1046" s="106">
        <f>Donnees_annuelles!D116*K1046</f>
        <v/>
      </c>
      <c r="P1046" s="106">
        <f>N1046+O1046</f>
        <v/>
      </c>
      <c r="Q1046" s="106">
        <f>Donnees_annuelles!D116*L1046</f>
        <v/>
      </c>
      <c r="R1046" s="118">
        <f>P1046/Donnees_annuelles!AA116*Donnees_annuelles!AI116/Donnees_annuelles!AG116</f>
        <v/>
      </c>
      <c r="S1046" s="118">
        <f>P1046/Donnees_annuelles!AA116*Donnees_annuelles!AJ116/Donnees_annuelles!AH116</f>
        <v/>
      </c>
    </row>
    <row r="1047">
      <c r="A1047" s="115" t="inlineStr">
        <is>
          <t>IEG</t>
        </is>
      </c>
      <c r="B1047" s="101" t="n">
        <v>2059</v>
      </c>
      <c r="C1047" s="105" t="n">
        <v>0.1</v>
      </c>
      <c r="D1047" s="105" t="n">
        <v>0.1278</v>
      </c>
      <c r="E1047" s="105" t="n">
        <v>0.27248</v>
      </c>
      <c r="F1047" s="116" t="inlineStr">
        <is>
          <t>légal</t>
        </is>
      </c>
      <c r="G1047" s="105" t="n">
        <v>0</v>
      </c>
      <c r="H1047" s="105" t="n">
        <v>0.00252</v>
      </c>
      <c r="I1047" s="105" t="n">
        <v>0.20779</v>
      </c>
      <c r="J1047" s="107">
        <f>D1047*(1-C1047)+G1047*MIN(C1047,0.2*(1-C1047))+H1047</f>
        <v/>
      </c>
      <c r="K1047" s="107">
        <f>E1047*(1-C1047)+G1047*MIN(C1047,0.2*(1-C1047))</f>
        <v/>
      </c>
      <c r="L1047" s="107">
        <f>I1047*(1-C1047)</f>
        <v/>
      </c>
      <c r="M1047" s="119">
        <f>SUMIFS(Regimes!$G$5:$G$10,Regimes!$A$5:$A$10,A1047)</f>
        <v/>
      </c>
      <c r="N1047" s="106">
        <f>Donnees_annuelles!D117*J1047</f>
        <v/>
      </c>
      <c r="O1047" s="106">
        <f>Donnees_annuelles!D117*K1047</f>
        <v/>
      </c>
      <c r="P1047" s="106">
        <f>N1047+O1047</f>
        <v/>
      </c>
      <c r="Q1047" s="106">
        <f>Donnees_annuelles!D117*L1047</f>
        <v/>
      </c>
      <c r="R1047" s="118">
        <f>P1047/Donnees_annuelles!AA117*Donnees_annuelles!AI117/Donnees_annuelles!AG117</f>
        <v/>
      </c>
      <c r="S1047" s="118">
        <f>P1047/Donnees_annuelles!AA117*Donnees_annuelles!AJ117/Donnees_annuelles!AH117</f>
        <v/>
      </c>
    </row>
    <row r="1048">
      <c r="A1048" s="115" t="inlineStr">
        <is>
          <t>IEG</t>
        </is>
      </c>
      <c r="B1048" s="101" t="n">
        <v>2060</v>
      </c>
      <c r="C1048" s="105" t="n">
        <v>0.1</v>
      </c>
      <c r="D1048" s="105" t="n">
        <v>0.1278</v>
      </c>
      <c r="E1048" s="105" t="n">
        <v>0.27248</v>
      </c>
      <c r="F1048" s="116" t="inlineStr">
        <is>
          <t>légal</t>
        </is>
      </c>
      <c r="G1048" s="105" t="n">
        <v>0</v>
      </c>
      <c r="H1048" s="105" t="n">
        <v>0.00252</v>
      </c>
      <c r="I1048" s="105" t="n">
        <v>0.20779</v>
      </c>
      <c r="J1048" s="107">
        <f>D1048*(1-C1048)+G1048*MIN(C1048,0.2*(1-C1048))+H1048</f>
        <v/>
      </c>
      <c r="K1048" s="107">
        <f>E1048*(1-C1048)+G1048*MIN(C1048,0.2*(1-C1048))</f>
        <v/>
      </c>
      <c r="L1048" s="107">
        <f>I1048*(1-C1048)</f>
        <v/>
      </c>
      <c r="M1048" s="119">
        <f>SUMIFS(Regimes!$G$5:$G$10,Regimes!$A$5:$A$10,A1048)</f>
        <v/>
      </c>
      <c r="N1048" s="106">
        <f>Donnees_annuelles!D118*J1048</f>
        <v/>
      </c>
      <c r="O1048" s="106">
        <f>Donnees_annuelles!D118*K1048</f>
        <v/>
      </c>
      <c r="P1048" s="106">
        <f>N1048+O1048</f>
        <v/>
      </c>
      <c r="Q1048" s="106">
        <f>Donnees_annuelles!D118*L1048</f>
        <v/>
      </c>
      <c r="R1048" s="118">
        <f>P1048/Donnees_annuelles!AA118*Donnees_annuelles!AI118/Donnees_annuelles!AG118</f>
        <v/>
      </c>
      <c r="S1048" s="118">
        <f>P1048/Donnees_annuelles!AA118*Donnees_annuelles!AJ118/Donnees_annuelles!AH118</f>
        <v/>
      </c>
    </row>
    <row r="1049">
      <c r="A1049" s="115" t="inlineStr">
        <is>
          <t>IEG</t>
        </is>
      </c>
      <c r="B1049" s="101" t="n">
        <v>2061</v>
      </c>
      <c r="C1049" s="105" t="n">
        <v>0.1</v>
      </c>
      <c r="D1049" s="105" t="n">
        <v>0.1278</v>
      </c>
      <c r="E1049" s="105" t="n">
        <v>0.27248</v>
      </c>
      <c r="F1049" s="116" t="inlineStr">
        <is>
          <t>légal</t>
        </is>
      </c>
      <c r="G1049" s="105" t="n">
        <v>0</v>
      </c>
      <c r="H1049" s="105" t="n">
        <v>0.00252</v>
      </c>
      <c r="I1049" s="105" t="n">
        <v>0.20779</v>
      </c>
      <c r="J1049" s="107">
        <f>D1049*(1-C1049)+G1049*MIN(C1049,0.2*(1-C1049))+H1049</f>
        <v/>
      </c>
      <c r="K1049" s="107">
        <f>E1049*(1-C1049)+G1049*MIN(C1049,0.2*(1-C1049))</f>
        <v/>
      </c>
      <c r="L1049" s="107">
        <f>I1049*(1-C1049)</f>
        <v/>
      </c>
      <c r="M1049" s="119">
        <f>SUMIFS(Regimes!$G$5:$G$10,Regimes!$A$5:$A$10,A1049)</f>
        <v/>
      </c>
      <c r="N1049" s="106">
        <f>Donnees_annuelles!D119*J1049</f>
        <v/>
      </c>
      <c r="O1049" s="106">
        <f>Donnees_annuelles!D119*K1049</f>
        <v/>
      </c>
      <c r="P1049" s="106">
        <f>N1049+O1049</f>
        <v/>
      </c>
      <c r="Q1049" s="106">
        <f>Donnees_annuelles!D119*L1049</f>
        <v/>
      </c>
      <c r="R1049" s="118">
        <f>P1049/Donnees_annuelles!AA119*Donnees_annuelles!AI119/Donnees_annuelles!AG119</f>
        <v/>
      </c>
      <c r="S1049" s="118">
        <f>P1049/Donnees_annuelles!AA119*Donnees_annuelles!AJ119/Donnees_annuelles!AH119</f>
        <v/>
      </c>
    </row>
    <row r="1050">
      <c r="A1050" s="115" t="inlineStr">
        <is>
          <t>IEG</t>
        </is>
      </c>
      <c r="B1050" s="101" t="n">
        <v>2062</v>
      </c>
      <c r="C1050" s="105" t="n">
        <v>0.1</v>
      </c>
      <c r="D1050" s="105" t="n">
        <v>0.1278</v>
      </c>
      <c r="E1050" s="105" t="n">
        <v>0.27248</v>
      </c>
      <c r="F1050" s="116" t="inlineStr">
        <is>
          <t>légal</t>
        </is>
      </c>
      <c r="G1050" s="105" t="n">
        <v>0</v>
      </c>
      <c r="H1050" s="105" t="n">
        <v>0.00252</v>
      </c>
      <c r="I1050" s="105" t="n">
        <v>0.20779</v>
      </c>
      <c r="J1050" s="107">
        <f>D1050*(1-C1050)+G1050*MIN(C1050,0.2*(1-C1050))+H1050</f>
        <v/>
      </c>
      <c r="K1050" s="107">
        <f>E1050*(1-C1050)+G1050*MIN(C1050,0.2*(1-C1050))</f>
        <v/>
      </c>
      <c r="L1050" s="107">
        <f>I1050*(1-C1050)</f>
        <v/>
      </c>
      <c r="M1050" s="119">
        <f>SUMIFS(Regimes!$G$5:$G$10,Regimes!$A$5:$A$10,A1050)</f>
        <v/>
      </c>
      <c r="N1050" s="106">
        <f>Donnees_annuelles!D120*J1050</f>
        <v/>
      </c>
      <c r="O1050" s="106">
        <f>Donnees_annuelles!D120*K1050</f>
        <v/>
      </c>
      <c r="P1050" s="106">
        <f>N1050+O1050</f>
        <v/>
      </c>
      <c r="Q1050" s="106">
        <f>Donnees_annuelles!D120*L1050</f>
        <v/>
      </c>
      <c r="R1050" s="118">
        <f>P1050/Donnees_annuelles!AA120*Donnees_annuelles!AI120/Donnees_annuelles!AG120</f>
        <v/>
      </c>
      <c r="S1050" s="118">
        <f>P1050/Donnees_annuelles!AA120*Donnees_annuelles!AJ120/Donnees_annuelles!AH120</f>
        <v/>
      </c>
    </row>
    <row r="1051">
      <c r="A1051" s="115" t="inlineStr">
        <is>
          <t>IEG</t>
        </is>
      </c>
      <c r="B1051" s="101" t="n">
        <v>2063</v>
      </c>
      <c r="C1051" s="105" t="n">
        <v>0.1</v>
      </c>
      <c r="D1051" s="105" t="n">
        <v>0.1278</v>
      </c>
      <c r="E1051" s="105" t="n">
        <v>0.27248</v>
      </c>
      <c r="F1051" s="116" t="inlineStr">
        <is>
          <t>légal</t>
        </is>
      </c>
      <c r="G1051" s="105" t="n">
        <v>0</v>
      </c>
      <c r="H1051" s="105" t="n">
        <v>0.00252</v>
      </c>
      <c r="I1051" s="105" t="n">
        <v>0.20779</v>
      </c>
      <c r="J1051" s="107">
        <f>D1051*(1-C1051)+G1051*MIN(C1051,0.2*(1-C1051))+H1051</f>
        <v/>
      </c>
      <c r="K1051" s="107">
        <f>E1051*(1-C1051)+G1051*MIN(C1051,0.2*(1-C1051))</f>
        <v/>
      </c>
      <c r="L1051" s="107">
        <f>I1051*(1-C1051)</f>
        <v/>
      </c>
      <c r="M1051" s="119">
        <f>SUMIFS(Regimes!$G$5:$G$10,Regimes!$A$5:$A$10,A1051)</f>
        <v/>
      </c>
      <c r="N1051" s="106">
        <f>Donnees_annuelles!D121*J1051</f>
        <v/>
      </c>
      <c r="O1051" s="106">
        <f>Donnees_annuelles!D121*K1051</f>
        <v/>
      </c>
      <c r="P1051" s="106">
        <f>N1051+O1051</f>
        <v/>
      </c>
      <c r="Q1051" s="106">
        <f>Donnees_annuelles!D121*L1051</f>
        <v/>
      </c>
      <c r="R1051" s="118">
        <f>P1051/Donnees_annuelles!AA121*Donnees_annuelles!AI121/Donnees_annuelles!AG121</f>
        <v/>
      </c>
      <c r="S1051" s="118">
        <f>P1051/Donnees_annuelles!AA121*Donnees_annuelles!AJ121/Donnees_annuelles!AH121</f>
        <v/>
      </c>
    </row>
    <row r="1052">
      <c r="A1052" s="115" t="inlineStr">
        <is>
          <t>IEG</t>
        </is>
      </c>
      <c r="B1052" s="101" t="n">
        <v>2064</v>
      </c>
      <c r="C1052" s="105" t="n">
        <v>0.1</v>
      </c>
      <c r="D1052" s="105" t="n">
        <v>0.1278</v>
      </c>
      <c r="E1052" s="105" t="n">
        <v>0.27248</v>
      </c>
      <c r="F1052" s="116" t="inlineStr">
        <is>
          <t>légal</t>
        </is>
      </c>
      <c r="G1052" s="105" t="n">
        <v>0</v>
      </c>
      <c r="H1052" s="105" t="n">
        <v>0.00252</v>
      </c>
      <c r="I1052" s="105" t="n">
        <v>0.20779</v>
      </c>
      <c r="J1052" s="107">
        <f>D1052*(1-C1052)+G1052*MIN(C1052,0.2*(1-C1052))+H1052</f>
        <v/>
      </c>
      <c r="K1052" s="107">
        <f>E1052*(1-C1052)+G1052*MIN(C1052,0.2*(1-C1052))</f>
        <v/>
      </c>
      <c r="L1052" s="107">
        <f>I1052*(1-C1052)</f>
        <v/>
      </c>
      <c r="M1052" s="119">
        <f>SUMIFS(Regimes!$G$5:$G$10,Regimes!$A$5:$A$10,A1052)</f>
        <v/>
      </c>
      <c r="N1052" s="106">
        <f>Donnees_annuelles!D122*J1052</f>
        <v/>
      </c>
      <c r="O1052" s="106">
        <f>Donnees_annuelles!D122*K1052</f>
        <v/>
      </c>
      <c r="P1052" s="106">
        <f>N1052+O1052</f>
        <v/>
      </c>
      <c r="Q1052" s="106">
        <f>Donnees_annuelles!D122*L1052</f>
        <v/>
      </c>
      <c r="R1052" s="118">
        <f>P1052/Donnees_annuelles!AA122*Donnees_annuelles!AI122/Donnees_annuelles!AG122</f>
        <v/>
      </c>
      <c r="S1052" s="118">
        <f>P1052/Donnees_annuelles!AA122*Donnees_annuelles!AJ122/Donnees_annuelles!AH122</f>
        <v/>
      </c>
    </row>
    <row r="1053">
      <c r="A1053" s="115" t="inlineStr">
        <is>
          <t>IEG</t>
        </is>
      </c>
      <c r="B1053" s="101" t="n">
        <v>2065</v>
      </c>
      <c r="C1053" s="105" t="n">
        <v>0.1</v>
      </c>
      <c r="D1053" s="105" t="n">
        <v>0.1278</v>
      </c>
      <c r="E1053" s="105" t="n">
        <v>0.27248</v>
      </c>
      <c r="F1053" s="116" t="inlineStr">
        <is>
          <t>légal</t>
        </is>
      </c>
      <c r="G1053" s="105" t="n">
        <v>0</v>
      </c>
      <c r="H1053" s="105" t="n">
        <v>0.00252</v>
      </c>
      <c r="I1053" s="105" t="n">
        <v>0.20779</v>
      </c>
      <c r="J1053" s="107">
        <f>D1053*(1-C1053)+G1053*MIN(C1053,0.2*(1-C1053))+H1053</f>
        <v/>
      </c>
      <c r="K1053" s="107">
        <f>E1053*(1-C1053)+G1053*MIN(C1053,0.2*(1-C1053))</f>
        <v/>
      </c>
      <c r="L1053" s="107">
        <f>I1053*(1-C1053)</f>
        <v/>
      </c>
      <c r="M1053" s="119">
        <f>SUMIFS(Regimes!$G$5:$G$10,Regimes!$A$5:$A$10,A1053)</f>
        <v/>
      </c>
      <c r="N1053" s="106">
        <f>Donnees_annuelles!D123*J1053</f>
        <v/>
      </c>
      <c r="O1053" s="106">
        <f>Donnees_annuelles!D123*K1053</f>
        <v/>
      </c>
      <c r="P1053" s="106">
        <f>N1053+O1053</f>
        <v/>
      </c>
      <c r="Q1053" s="106">
        <f>Donnees_annuelles!D123*L1053</f>
        <v/>
      </c>
      <c r="R1053" s="118">
        <f>P1053/Donnees_annuelles!AA123*Donnees_annuelles!AI123/Donnees_annuelles!AG123</f>
        <v/>
      </c>
      <c r="S1053" s="118">
        <f>P1053/Donnees_annuelles!AA123*Donnees_annuelles!AJ123/Donnees_annuelles!AH123</f>
        <v/>
      </c>
    </row>
    <row r="1054">
      <c r="A1054" s="115" t="inlineStr">
        <is>
          <t>IEG</t>
        </is>
      </c>
      <c r="B1054" s="101" t="n">
        <v>2066</v>
      </c>
      <c r="C1054" s="105" t="n">
        <v>0.1</v>
      </c>
      <c r="D1054" s="105" t="n">
        <v>0.1278</v>
      </c>
      <c r="E1054" s="105" t="n">
        <v>0.27248</v>
      </c>
      <c r="F1054" s="116" t="inlineStr">
        <is>
          <t>légal</t>
        </is>
      </c>
      <c r="G1054" s="105" t="n">
        <v>0</v>
      </c>
      <c r="H1054" s="105" t="n">
        <v>0.00252</v>
      </c>
      <c r="I1054" s="105" t="n">
        <v>0.20779</v>
      </c>
      <c r="J1054" s="107">
        <f>D1054*(1-C1054)+G1054*MIN(C1054,0.2*(1-C1054))+H1054</f>
        <v/>
      </c>
      <c r="K1054" s="107">
        <f>E1054*(1-C1054)+G1054*MIN(C1054,0.2*(1-C1054))</f>
        <v/>
      </c>
      <c r="L1054" s="107">
        <f>I1054*(1-C1054)</f>
        <v/>
      </c>
      <c r="M1054" s="119">
        <f>SUMIFS(Regimes!$G$5:$G$10,Regimes!$A$5:$A$10,A1054)</f>
        <v/>
      </c>
      <c r="N1054" s="106">
        <f>Donnees_annuelles!D124*J1054</f>
        <v/>
      </c>
      <c r="O1054" s="106">
        <f>Donnees_annuelles!D124*K1054</f>
        <v/>
      </c>
      <c r="P1054" s="106">
        <f>N1054+O1054</f>
        <v/>
      </c>
      <c r="Q1054" s="106">
        <f>Donnees_annuelles!D124*L1054</f>
        <v/>
      </c>
      <c r="R1054" s="118">
        <f>P1054/Donnees_annuelles!AA124*Donnees_annuelles!AI124/Donnees_annuelles!AG124</f>
        <v/>
      </c>
      <c r="S1054" s="118">
        <f>P1054/Donnees_annuelles!AA124*Donnees_annuelles!AJ124/Donnees_annuelles!AH124</f>
        <v/>
      </c>
    </row>
    <row r="1055">
      <c r="A1055" s="115" t="inlineStr">
        <is>
          <t>IEG</t>
        </is>
      </c>
      <c r="B1055" s="101" t="n">
        <v>2067</v>
      </c>
      <c r="C1055" s="105" t="n">
        <v>0.1</v>
      </c>
      <c r="D1055" s="105" t="n">
        <v>0.1278</v>
      </c>
      <c r="E1055" s="105" t="n">
        <v>0.27248</v>
      </c>
      <c r="F1055" s="116" t="inlineStr">
        <is>
          <t>légal</t>
        </is>
      </c>
      <c r="G1055" s="105" t="n">
        <v>0</v>
      </c>
      <c r="H1055" s="105" t="n">
        <v>0.00252</v>
      </c>
      <c r="I1055" s="105" t="n">
        <v>0.20779</v>
      </c>
      <c r="J1055" s="107">
        <f>D1055*(1-C1055)+G1055*MIN(C1055,0.2*(1-C1055))+H1055</f>
        <v/>
      </c>
      <c r="K1055" s="107">
        <f>E1055*(1-C1055)+G1055*MIN(C1055,0.2*(1-C1055))</f>
        <v/>
      </c>
      <c r="L1055" s="107">
        <f>I1055*(1-C1055)</f>
        <v/>
      </c>
      <c r="M1055" s="119">
        <f>SUMIFS(Regimes!$G$5:$G$10,Regimes!$A$5:$A$10,A1055)</f>
        <v/>
      </c>
      <c r="N1055" s="106">
        <f>Donnees_annuelles!D125*J1055</f>
        <v/>
      </c>
      <c r="O1055" s="106">
        <f>Donnees_annuelles!D125*K1055</f>
        <v/>
      </c>
      <c r="P1055" s="106">
        <f>N1055+O1055</f>
        <v/>
      </c>
      <c r="Q1055" s="106">
        <f>Donnees_annuelles!D125*L1055</f>
        <v/>
      </c>
      <c r="R1055" s="118">
        <f>P1055/Donnees_annuelles!AA125*Donnees_annuelles!AI125/Donnees_annuelles!AG125</f>
        <v/>
      </c>
      <c r="S1055" s="118">
        <f>P1055/Donnees_annuelles!AA125*Donnees_annuelles!AJ125/Donnees_annuelles!AH125</f>
        <v/>
      </c>
    </row>
    <row r="1056">
      <c r="A1056" s="115" t="inlineStr">
        <is>
          <t>IEG</t>
        </is>
      </c>
      <c r="B1056" s="101" t="n">
        <v>2068</v>
      </c>
      <c r="C1056" s="105" t="n">
        <v>0.1</v>
      </c>
      <c r="D1056" s="105" t="n">
        <v>0.1278</v>
      </c>
      <c r="E1056" s="105" t="n">
        <v>0.27248</v>
      </c>
      <c r="F1056" s="116" t="inlineStr">
        <is>
          <t>légal</t>
        </is>
      </c>
      <c r="G1056" s="105" t="n">
        <v>0</v>
      </c>
      <c r="H1056" s="105" t="n">
        <v>0.00252</v>
      </c>
      <c r="I1056" s="105" t="n">
        <v>0.20779</v>
      </c>
      <c r="J1056" s="107">
        <f>D1056*(1-C1056)+G1056*MIN(C1056,0.2*(1-C1056))+H1056</f>
        <v/>
      </c>
      <c r="K1056" s="107">
        <f>E1056*(1-C1056)+G1056*MIN(C1056,0.2*(1-C1056))</f>
        <v/>
      </c>
      <c r="L1056" s="107">
        <f>I1056*(1-C1056)</f>
        <v/>
      </c>
      <c r="M1056" s="119">
        <f>SUMIFS(Regimes!$G$5:$G$10,Regimes!$A$5:$A$10,A1056)</f>
        <v/>
      </c>
      <c r="N1056" s="106">
        <f>Donnees_annuelles!D126*J1056</f>
        <v/>
      </c>
      <c r="O1056" s="106">
        <f>Donnees_annuelles!D126*K1056</f>
        <v/>
      </c>
      <c r="P1056" s="106">
        <f>N1056+O1056</f>
        <v/>
      </c>
      <c r="Q1056" s="106">
        <f>Donnees_annuelles!D126*L1056</f>
        <v/>
      </c>
      <c r="R1056" s="118">
        <f>P1056/Donnees_annuelles!AA126*Donnees_annuelles!AI126/Donnees_annuelles!AG126</f>
        <v/>
      </c>
      <c r="S1056" s="118">
        <f>P1056/Donnees_annuelles!AA126*Donnees_annuelles!AJ126/Donnees_annuelles!AH126</f>
        <v/>
      </c>
    </row>
    <row r="1057">
      <c r="A1057" s="115" t="inlineStr">
        <is>
          <t>IEG</t>
        </is>
      </c>
      <c r="B1057" s="101" t="n">
        <v>2069</v>
      </c>
      <c r="C1057" s="105" t="n">
        <v>0.1</v>
      </c>
      <c r="D1057" s="105" t="n">
        <v>0.1278</v>
      </c>
      <c r="E1057" s="105" t="n">
        <v>0.27248</v>
      </c>
      <c r="F1057" s="116" t="inlineStr">
        <is>
          <t>légal</t>
        </is>
      </c>
      <c r="G1057" s="105" t="n">
        <v>0</v>
      </c>
      <c r="H1057" s="105" t="n">
        <v>0.00252</v>
      </c>
      <c r="I1057" s="105" t="n">
        <v>0.20779</v>
      </c>
      <c r="J1057" s="107">
        <f>D1057*(1-C1057)+G1057*MIN(C1057,0.2*(1-C1057))+H1057</f>
        <v/>
      </c>
      <c r="K1057" s="107">
        <f>E1057*(1-C1057)+G1057*MIN(C1057,0.2*(1-C1057))</f>
        <v/>
      </c>
      <c r="L1057" s="107">
        <f>I1057*(1-C1057)</f>
        <v/>
      </c>
      <c r="M1057" s="119">
        <f>SUMIFS(Regimes!$G$5:$G$10,Regimes!$A$5:$A$10,A1057)</f>
        <v/>
      </c>
      <c r="N1057" s="106">
        <f>Donnees_annuelles!D127*J1057</f>
        <v/>
      </c>
      <c r="O1057" s="106">
        <f>Donnees_annuelles!D127*K1057</f>
        <v/>
      </c>
      <c r="P1057" s="106">
        <f>N1057+O1057</f>
        <v/>
      </c>
      <c r="Q1057" s="106">
        <f>Donnees_annuelles!D127*L1057</f>
        <v/>
      </c>
      <c r="R1057" s="118">
        <f>P1057/Donnees_annuelles!AA127*Donnees_annuelles!AI127/Donnees_annuelles!AG127</f>
        <v/>
      </c>
      <c r="S1057" s="118">
        <f>P1057/Donnees_annuelles!AA127*Donnees_annuelles!AJ127/Donnees_annuelles!AH127</f>
        <v/>
      </c>
    </row>
    <row r="1058">
      <c r="A1058" s="115" t="inlineStr">
        <is>
          <t>IEG</t>
        </is>
      </c>
      <c r="B1058" s="101" t="n">
        <v>2070</v>
      </c>
      <c r="C1058" s="105" t="n">
        <v>0.1</v>
      </c>
      <c r="D1058" s="105" t="n">
        <v>0.1278</v>
      </c>
      <c r="E1058" s="105" t="n">
        <v>0.27248</v>
      </c>
      <c r="F1058" s="116" t="inlineStr">
        <is>
          <t>légal</t>
        </is>
      </c>
      <c r="G1058" s="105" t="n">
        <v>0</v>
      </c>
      <c r="H1058" s="105" t="n">
        <v>0.00252</v>
      </c>
      <c r="I1058" s="105" t="n">
        <v>0.20779</v>
      </c>
      <c r="J1058" s="107">
        <f>D1058*(1-C1058)+G1058*MIN(C1058,0.2*(1-C1058))+H1058</f>
        <v/>
      </c>
      <c r="K1058" s="107">
        <f>E1058*(1-C1058)+G1058*MIN(C1058,0.2*(1-C1058))</f>
        <v/>
      </c>
      <c r="L1058" s="107">
        <f>I1058*(1-C1058)</f>
        <v/>
      </c>
      <c r="M1058" s="119">
        <f>SUMIFS(Regimes!$G$5:$G$10,Regimes!$A$5:$A$10,A1058)</f>
        <v/>
      </c>
      <c r="N1058" s="106">
        <f>Donnees_annuelles!D128*J1058</f>
        <v/>
      </c>
      <c r="O1058" s="106">
        <f>Donnees_annuelles!D128*K1058</f>
        <v/>
      </c>
      <c r="P1058" s="106">
        <f>N1058+O1058</f>
        <v/>
      </c>
      <c r="Q1058" s="106">
        <f>Donnees_annuelles!D128*L1058</f>
        <v/>
      </c>
      <c r="R1058" s="118">
        <f>P1058/Donnees_annuelles!AA128*Donnees_annuelles!AI128/Donnees_annuelles!AG128</f>
        <v/>
      </c>
      <c r="S1058" s="118">
        <f>P1058/Donnees_annuelles!AA128*Donnees_annuelles!AJ128/Donnees_annuelles!AH128</f>
        <v/>
      </c>
    </row>
    <row r="1059">
      <c r="A1059" s="115" t="inlineStr">
        <is>
          <t>IEG</t>
        </is>
      </c>
      <c r="B1059" s="101" t="n">
        <v>2071</v>
      </c>
      <c r="C1059" s="105" t="n">
        <v>0.1</v>
      </c>
      <c r="D1059" s="105" t="n">
        <v>0.1278</v>
      </c>
      <c r="E1059" s="105" t="n">
        <v>0.27248</v>
      </c>
      <c r="F1059" s="116" t="inlineStr">
        <is>
          <t>légal</t>
        </is>
      </c>
      <c r="G1059" s="105" t="n">
        <v>0</v>
      </c>
      <c r="H1059" s="105" t="n">
        <v>0.00252</v>
      </c>
      <c r="I1059" s="105" t="n">
        <v>0.20779</v>
      </c>
      <c r="J1059" s="107">
        <f>D1059*(1-C1059)+G1059*MIN(C1059,0.2*(1-C1059))+H1059</f>
        <v/>
      </c>
      <c r="K1059" s="107">
        <f>E1059*(1-C1059)+G1059*MIN(C1059,0.2*(1-C1059))</f>
        <v/>
      </c>
      <c r="L1059" s="107">
        <f>I1059*(1-C1059)</f>
        <v/>
      </c>
      <c r="M1059" s="119">
        <f>SUMIFS(Regimes!$G$5:$G$10,Regimes!$A$5:$A$10,A1059)</f>
        <v/>
      </c>
      <c r="N1059" s="106">
        <f>Donnees_annuelles!D129*J1059</f>
        <v/>
      </c>
      <c r="O1059" s="106">
        <f>Donnees_annuelles!D129*K1059</f>
        <v/>
      </c>
      <c r="P1059" s="106">
        <f>N1059+O1059</f>
        <v/>
      </c>
      <c r="Q1059" s="106">
        <f>Donnees_annuelles!D129*L1059</f>
        <v/>
      </c>
      <c r="R1059" s="118">
        <f>P1059/Donnees_annuelles!AA129*Donnees_annuelles!AI129/Donnees_annuelles!AG129</f>
        <v/>
      </c>
      <c r="S1059" s="118">
        <f>P1059/Donnees_annuelles!AA129*Donnees_annuelles!AJ129/Donnees_annuelles!AH129</f>
        <v/>
      </c>
    </row>
    <row r="1060">
      <c r="A1060" s="115" t="inlineStr">
        <is>
          <t>IEG</t>
        </is>
      </c>
      <c r="B1060" s="101" t="n">
        <v>2072</v>
      </c>
      <c r="C1060" s="105" t="n">
        <v>0.1</v>
      </c>
      <c r="D1060" s="105" t="n">
        <v>0.1278</v>
      </c>
      <c r="E1060" s="105" t="n">
        <v>0.27248</v>
      </c>
      <c r="F1060" s="116" t="inlineStr">
        <is>
          <t>légal</t>
        </is>
      </c>
      <c r="G1060" s="105" t="n">
        <v>0</v>
      </c>
      <c r="H1060" s="105" t="n">
        <v>0.00252</v>
      </c>
      <c r="I1060" s="105" t="n">
        <v>0.20779</v>
      </c>
      <c r="J1060" s="107">
        <f>D1060*(1-C1060)+G1060*MIN(C1060,0.2*(1-C1060))+H1060</f>
        <v/>
      </c>
      <c r="K1060" s="107">
        <f>E1060*(1-C1060)+G1060*MIN(C1060,0.2*(1-C1060))</f>
        <v/>
      </c>
      <c r="L1060" s="107">
        <f>I1060*(1-C1060)</f>
        <v/>
      </c>
      <c r="M1060" s="119">
        <f>SUMIFS(Regimes!$G$5:$G$10,Regimes!$A$5:$A$10,A1060)</f>
        <v/>
      </c>
      <c r="N1060" s="106">
        <f>Donnees_annuelles!D130*J1060</f>
        <v/>
      </c>
      <c r="O1060" s="106">
        <f>Donnees_annuelles!D130*K1060</f>
        <v/>
      </c>
      <c r="P1060" s="106">
        <f>N1060+O1060</f>
        <v/>
      </c>
      <c r="Q1060" s="106">
        <f>Donnees_annuelles!D130*L1060</f>
        <v/>
      </c>
      <c r="R1060" s="118">
        <f>P1060/Donnees_annuelles!AA130*Donnees_annuelles!AI130/Donnees_annuelles!AG130</f>
        <v/>
      </c>
      <c r="S1060" s="118">
        <f>P1060/Donnees_annuelles!AA130*Donnees_annuelles!AJ130/Donnees_annuelles!AH130</f>
        <v/>
      </c>
    </row>
    <row r="1061">
      <c r="A1061" s="115" t="inlineStr">
        <is>
          <t>IEG</t>
        </is>
      </c>
      <c r="B1061" s="101" t="n">
        <v>2073</v>
      </c>
      <c r="C1061" s="105" t="n">
        <v>0.1</v>
      </c>
      <c r="D1061" s="105" t="n">
        <v>0.1278</v>
      </c>
      <c r="E1061" s="105" t="n">
        <v>0.27248</v>
      </c>
      <c r="F1061" s="116" t="inlineStr">
        <is>
          <t>légal</t>
        </is>
      </c>
      <c r="G1061" s="105" t="n">
        <v>0</v>
      </c>
      <c r="H1061" s="105" t="n">
        <v>0.00252</v>
      </c>
      <c r="I1061" s="105" t="n">
        <v>0.20779</v>
      </c>
      <c r="J1061" s="107">
        <f>D1061*(1-C1061)+G1061*MIN(C1061,0.2*(1-C1061))+H1061</f>
        <v/>
      </c>
      <c r="K1061" s="107">
        <f>E1061*(1-C1061)+G1061*MIN(C1061,0.2*(1-C1061))</f>
        <v/>
      </c>
      <c r="L1061" s="107">
        <f>I1061*(1-C1061)</f>
        <v/>
      </c>
      <c r="M1061" s="119">
        <f>SUMIFS(Regimes!$G$5:$G$10,Regimes!$A$5:$A$10,A1061)</f>
        <v/>
      </c>
      <c r="N1061" s="106">
        <f>Donnees_annuelles!D131*J1061</f>
        <v/>
      </c>
      <c r="O1061" s="106">
        <f>Donnees_annuelles!D131*K1061</f>
        <v/>
      </c>
      <c r="P1061" s="106">
        <f>N1061+O1061</f>
        <v/>
      </c>
      <c r="Q1061" s="106">
        <f>Donnees_annuelles!D131*L1061</f>
        <v/>
      </c>
      <c r="R1061" s="118">
        <f>P1061/Donnees_annuelles!AA131*Donnees_annuelles!AI131/Donnees_annuelles!AG131</f>
        <v/>
      </c>
      <c r="S1061" s="118">
        <f>P1061/Donnees_annuelles!AA131*Donnees_annuelles!AJ131/Donnees_annuelles!AH131</f>
        <v/>
      </c>
    </row>
    <row r="1062">
      <c r="A1062" s="115" t="inlineStr">
        <is>
          <t>IEG</t>
        </is>
      </c>
      <c r="B1062" s="101" t="n">
        <v>2074</v>
      </c>
      <c r="C1062" s="105" t="n">
        <v>0.1</v>
      </c>
      <c r="D1062" s="105" t="n">
        <v>0.1278</v>
      </c>
      <c r="E1062" s="105" t="n">
        <v>0.27248</v>
      </c>
      <c r="F1062" s="116" t="inlineStr">
        <is>
          <t>légal</t>
        </is>
      </c>
      <c r="G1062" s="105" t="n">
        <v>0</v>
      </c>
      <c r="H1062" s="105" t="n">
        <v>0.00252</v>
      </c>
      <c r="I1062" s="105" t="n">
        <v>0.20779</v>
      </c>
      <c r="J1062" s="107">
        <f>D1062*(1-C1062)+G1062*MIN(C1062,0.2*(1-C1062))+H1062</f>
        <v/>
      </c>
      <c r="K1062" s="107">
        <f>E1062*(1-C1062)+G1062*MIN(C1062,0.2*(1-C1062))</f>
        <v/>
      </c>
      <c r="L1062" s="107">
        <f>I1062*(1-C1062)</f>
        <v/>
      </c>
      <c r="M1062" s="119">
        <f>SUMIFS(Regimes!$G$5:$G$10,Regimes!$A$5:$A$10,A1062)</f>
        <v/>
      </c>
      <c r="N1062" s="106">
        <f>Donnees_annuelles!D132*J1062</f>
        <v/>
      </c>
      <c r="O1062" s="106">
        <f>Donnees_annuelles!D132*K1062</f>
        <v/>
      </c>
      <c r="P1062" s="106">
        <f>N1062+O1062</f>
        <v/>
      </c>
      <c r="Q1062" s="106">
        <f>Donnees_annuelles!D132*L1062</f>
        <v/>
      </c>
      <c r="R1062" s="118">
        <f>P1062/Donnees_annuelles!AA132*Donnees_annuelles!AI132/Donnees_annuelles!AG132</f>
        <v/>
      </c>
      <c r="S1062" s="118">
        <f>P1062/Donnees_annuelles!AA132*Donnees_annuelles!AJ132/Donnees_annuelles!AH132</f>
        <v/>
      </c>
    </row>
    <row r="1063">
      <c r="A1063" s="115" t="inlineStr">
        <is>
          <t>IEG</t>
        </is>
      </c>
      <c r="B1063" s="101" t="n">
        <v>2075</v>
      </c>
      <c r="C1063" s="105" t="n">
        <v>0.1</v>
      </c>
      <c r="D1063" s="105" t="n">
        <v>0.1278</v>
      </c>
      <c r="E1063" s="105" t="n">
        <v>0.27248</v>
      </c>
      <c r="F1063" s="116" t="inlineStr">
        <is>
          <t>légal</t>
        </is>
      </c>
      <c r="G1063" s="105" t="n">
        <v>0</v>
      </c>
      <c r="H1063" s="105" t="n">
        <v>0.00252</v>
      </c>
      <c r="I1063" s="105" t="n">
        <v>0.20779</v>
      </c>
      <c r="J1063" s="107">
        <f>D1063*(1-C1063)+G1063*MIN(C1063,0.2*(1-C1063))+H1063</f>
        <v/>
      </c>
      <c r="K1063" s="107">
        <f>E1063*(1-C1063)+G1063*MIN(C1063,0.2*(1-C1063))</f>
        <v/>
      </c>
      <c r="L1063" s="107">
        <f>I1063*(1-C1063)</f>
        <v/>
      </c>
      <c r="M1063" s="119">
        <f>SUMIFS(Regimes!$G$5:$G$10,Regimes!$A$5:$A$10,A1063)</f>
        <v/>
      </c>
      <c r="N1063" s="106">
        <f>Donnees_annuelles!D133*J1063</f>
        <v/>
      </c>
      <c r="O1063" s="106">
        <f>Donnees_annuelles!D133*K1063</f>
        <v/>
      </c>
      <c r="P1063" s="106">
        <f>N1063+O1063</f>
        <v/>
      </c>
      <c r="Q1063" s="106">
        <f>Donnees_annuelles!D133*L1063</f>
        <v/>
      </c>
      <c r="R1063" s="118">
        <f>P1063/Donnees_annuelles!AA133*Donnees_annuelles!AI133/Donnees_annuelles!AG133</f>
        <v/>
      </c>
      <c r="S1063" s="118">
        <f>P1063/Donnees_annuelles!AA133*Donnees_annuelles!AJ133/Donnees_annuelles!AH133</f>
        <v/>
      </c>
    </row>
    <row r="1064">
      <c r="A1064" s="115" t="inlineStr">
        <is>
          <t>IEG</t>
        </is>
      </c>
      <c r="B1064" s="101" t="n">
        <v>2076</v>
      </c>
      <c r="C1064" s="105" t="n">
        <v>0.1</v>
      </c>
      <c r="D1064" s="105" t="n">
        <v>0.1278</v>
      </c>
      <c r="E1064" s="105" t="n">
        <v>0.27248</v>
      </c>
      <c r="F1064" s="116" t="inlineStr">
        <is>
          <t>légal</t>
        </is>
      </c>
      <c r="G1064" s="105" t="n">
        <v>0</v>
      </c>
      <c r="H1064" s="105" t="n">
        <v>0.00252</v>
      </c>
      <c r="I1064" s="105" t="n">
        <v>0.20779</v>
      </c>
      <c r="J1064" s="107">
        <f>D1064*(1-C1064)+G1064*MIN(C1064,0.2*(1-C1064))+H1064</f>
        <v/>
      </c>
      <c r="K1064" s="107">
        <f>E1064*(1-C1064)+G1064*MIN(C1064,0.2*(1-C1064))</f>
        <v/>
      </c>
      <c r="L1064" s="107">
        <f>I1064*(1-C1064)</f>
        <v/>
      </c>
      <c r="M1064" s="119">
        <f>SUMIFS(Regimes!$G$5:$G$10,Regimes!$A$5:$A$10,A1064)</f>
        <v/>
      </c>
      <c r="N1064" s="106">
        <f>Donnees_annuelles!D134*J1064</f>
        <v/>
      </c>
      <c r="O1064" s="106">
        <f>Donnees_annuelles!D134*K1064</f>
        <v/>
      </c>
      <c r="P1064" s="106">
        <f>N1064+O1064</f>
        <v/>
      </c>
      <c r="Q1064" s="106">
        <f>Donnees_annuelles!D134*L1064</f>
        <v/>
      </c>
      <c r="R1064" s="118">
        <f>P1064/Donnees_annuelles!AA134*Donnees_annuelles!AI134/Donnees_annuelles!AG134</f>
        <v/>
      </c>
      <c r="S1064" s="118">
        <f>P1064/Donnees_annuelles!AA134*Donnees_annuelles!AJ134/Donnees_annuelles!AH134</f>
        <v/>
      </c>
    </row>
    <row r="1065">
      <c r="A1065" s="115" t="inlineStr">
        <is>
          <t>IEG</t>
        </is>
      </c>
      <c r="B1065" s="101" t="n">
        <v>2077</v>
      </c>
      <c r="C1065" s="105" t="n">
        <v>0.1</v>
      </c>
      <c r="D1065" s="105" t="n">
        <v>0.1278</v>
      </c>
      <c r="E1065" s="105" t="n">
        <v>0.27248</v>
      </c>
      <c r="F1065" s="116" t="inlineStr">
        <is>
          <t>légal</t>
        </is>
      </c>
      <c r="G1065" s="105" t="n">
        <v>0</v>
      </c>
      <c r="H1065" s="105" t="n">
        <v>0.00252</v>
      </c>
      <c r="I1065" s="105" t="n">
        <v>0.20779</v>
      </c>
      <c r="J1065" s="107">
        <f>D1065*(1-C1065)+G1065*MIN(C1065,0.2*(1-C1065))+H1065</f>
        <v/>
      </c>
      <c r="K1065" s="107">
        <f>E1065*(1-C1065)+G1065*MIN(C1065,0.2*(1-C1065))</f>
        <v/>
      </c>
      <c r="L1065" s="107">
        <f>I1065*(1-C1065)</f>
        <v/>
      </c>
      <c r="M1065" s="119">
        <f>SUMIFS(Regimes!$G$5:$G$10,Regimes!$A$5:$A$10,A1065)</f>
        <v/>
      </c>
      <c r="N1065" s="106">
        <f>Donnees_annuelles!D135*J1065</f>
        <v/>
      </c>
      <c r="O1065" s="106">
        <f>Donnees_annuelles!D135*K1065</f>
        <v/>
      </c>
      <c r="P1065" s="106">
        <f>N1065+O1065</f>
        <v/>
      </c>
      <c r="Q1065" s="106">
        <f>Donnees_annuelles!D135*L1065</f>
        <v/>
      </c>
      <c r="R1065" s="118">
        <f>P1065/Donnees_annuelles!AA135*Donnees_annuelles!AI135/Donnees_annuelles!AG135</f>
        <v/>
      </c>
      <c r="S1065" s="118">
        <f>P1065/Donnees_annuelles!AA135*Donnees_annuelles!AJ135/Donnees_annuelles!AH135</f>
        <v/>
      </c>
    </row>
    <row r="1066">
      <c r="A1066" s="115" t="inlineStr">
        <is>
          <t>IEG</t>
        </is>
      </c>
      <c r="B1066" s="101" t="n">
        <v>2078</v>
      </c>
      <c r="C1066" s="105" t="n">
        <v>0.1</v>
      </c>
      <c r="D1066" s="105" t="n">
        <v>0.1278</v>
      </c>
      <c r="E1066" s="105" t="n">
        <v>0.27248</v>
      </c>
      <c r="F1066" s="116" t="inlineStr">
        <is>
          <t>légal</t>
        </is>
      </c>
      <c r="G1066" s="105" t="n">
        <v>0</v>
      </c>
      <c r="H1066" s="105" t="n">
        <v>0.00252</v>
      </c>
      <c r="I1066" s="105" t="n">
        <v>0.20779</v>
      </c>
      <c r="J1066" s="107">
        <f>D1066*(1-C1066)+G1066*MIN(C1066,0.2*(1-C1066))+H1066</f>
        <v/>
      </c>
      <c r="K1066" s="107">
        <f>E1066*(1-C1066)+G1066*MIN(C1066,0.2*(1-C1066))</f>
        <v/>
      </c>
      <c r="L1066" s="107">
        <f>I1066*(1-C1066)</f>
        <v/>
      </c>
      <c r="M1066" s="119">
        <f>SUMIFS(Regimes!$G$5:$G$10,Regimes!$A$5:$A$10,A1066)</f>
        <v/>
      </c>
      <c r="N1066" s="106">
        <f>Donnees_annuelles!D136*J1066</f>
        <v/>
      </c>
      <c r="O1066" s="106">
        <f>Donnees_annuelles!D136*K1066</f>
        <v/>
      </c>
      <c r="P1066" s="106">
        <f>N1066+O1066</f>
        <v/>
      </c>
      <c r="Q1066" s="106">
        <f>Donnees_annuelles!D136*L1066</f>
        <v/>
      </c>
      <c r="R1066" s="118">
        <f>P1066/Donnees_annuelles!AA136*Donnees_annuelles!AI136/Donnees_annuelles!AG136</f>
        <v/>
      </c>
      <c r="S1066" s="118">
        <f>P1066/Donnees_annuelles!AA136*Donnees_annuelles!AJ136/Donnees_annuelles!AH136</f>
        <v/>
      </c>
    </row>
    <row r="1067">
      <c r="A1067" s="115" t="inlineStr">
        <is>
          <t>IEG</t>
        </is>
      </c>
      <c r="B1067" s="101" t="n">
        <v>2079</v>
      </c>
      <c r="C1067" s="105" t="n">
        <v>0.1</v>
      </c>
      <c r="D1067" s="105" t="n">
        <v>0.1278</v>
      </c>
      <c r="E1067" s="105" t="n">
        <v>0.27248</v>
      </c>
      <c r="F1067" s="116" t="inlineStr">
        <is>
          <t>légal</t>
        </is>
      </c>
      <c r="G1067" s="105" t="n">
        <v>0</v>
      </c>
      <c r="H1067" s="105" t="n">
        <v>0.00252</v>
      </c>
      <c r="I1067" s="105" t="n">
        <v>0.20779</v>
      </c>
      <c r="J1067" s="107">
        <f>D1067*(1-C1067)+G1067*MIN(C1067,0.2*(1-C1067))+H1067</f>
        <v/>
      </c>
      <c r="K1067" s="107">
        <f>E1067*(1-C1067)+G1067*MIN(C1067,0.2*(1-C1067))</f>
        <v/>
      </c>
      <c r="L1067" s="107">
        <f>I1067*(1-C1067)</f>
        <v/>
      </c>
      <c r="M1067" s="119">
        <f>SUMIFS(Regimes!$G$5:$G$10,Regimes!$A$5:$A$10,A1067)</f>
        <v/>
      </c>
      <c r="N1067" s="106">
        <f>Donnees_annuelles!D137*J1067</f>
        <v/>
      </c>
      <c r="O1067" s="106">
        <f>Donnees_annuelles!D137*K1067</f>
        <v/>
      </c>
      <c r="P1067" s="106">
        <f>N1067+O1067</f>
        <v/>
      </c>
      <c r="Q1067" s="106">
        <f>Donnees_annuelles!D137*L1067</f>
        <v/>
      </c>
      <c r="R1067" s="118">
        <f>P1067/Donnees_annuelles!AA137*Donnees_annuelles!AI137/Donnees_annuelles!AG137</f>
        <v/>
      </c>
      <c r="S1067" s="118">
        <f>P1067/Donnees_annuelles!AA137*Donnees_annuelles!AJ137/Donnees_annuelles!AH137</f>
        <v/>
      </c>
    </row>
    <row r="1068">
      <c r="A1068" s="115" t="inlineStr">
        <is>
          <t>IEG</t>
        </is>
      </c>
      <c r="B1068" s="101" t="n">
        <v>2080</v>
      </c>
      <c r="C1068" s="105" t="n">
        <v>0.1</v>
      </c>
      <c r="D1068" s="105" t="n">
        <v>0.1278</v>
      </c>
      <c r="E1068" s="105" t="n">
        <v>0.27248</v>
      </c>
      <c r="F1068" s="116" t="inlineStr">
        <is>
          <t>légal</t>
        </is>
      </c>
      <c r="G1068" s="105" t="n">
        <v>0</v>
      </c>
      <c r="H1068" s="105" t="n">
        <v>0.00252</v>
      </c>
      <c r="I1068" s="105" t="n">
        <v>0.20779</v>
      </c>
      <c r="J1068" s="107">
        <f>D1068*(1-C1068)+G1068*MIN(C1068,0.2*(1-C1068))+H1068</f>
        <v/>
      </c>
      <c r="K1068" s="107">
        <f>E1068*(1-C1068)+G1068*MIN(C1068,0.2*(1-C1068))</f>
        <v/>
      </c>
      <c r="L1068" s="107">
        <f>I1068*(1-C1068)</f>
        <v/>
      </c>
      <c r="M1068" s="119">
        <f>SUMIFS(Regimes!$G$5:$G$10,Regimes!$A$5:$A$10,A1068)</f>
        <v/>
      </c>
      <c r="N1068" s="106">
        <f>Donnees_annuelles!D138*J1068</f>
        <v/>
      </c>
      <c r="O1068" s="106">
        <f>Donnees_annuelles!D138*K1068</f>
        <v/>
      </c>
      <c r="P1068" s="106">
        <f>N1068+O1068</f>
        <v/>
      </c>
      <c r="Q1068" s="106">
        <f>Donnees_annuelles!D138*L1068</f>
        <v/>
      </c>
      <c r="R1068" s="118">
        <f>P1068/Donnees_annuelles!AA138*Donnees_annuelles!AI138/Donnees_annuelles!AG138</f>
        <v/>
      </c>
      <c r="S1068" s="118">
        <f>P1068/Donnees_annuelles!AA138*Donnees_annuelles!AJ138/Donnees_annuelles!AH138</f>
        <v/>
      </c>
    </row>
    <row r="1069">
      <c r="A1069" s="115" t="inlineStr">
        <is>
          <t>IEG</t>
        </is>
      </c>
      <c r="B1069" s="101" t="n">
        <v>2081</v>
      </c>
      <c r="C1069" s="105" t="n">
        <v>0.1</v>
      </c>
      <c r="D1069" s="105" t="n">
        <v>0.1278</v>
      </c>
      <c r="E1069" s="105" t="n">
        <v>0.27248</v>
      </c>
      <c r="F1069" s="116" t="inlineStr">
        <is>
          <t>légal</t>
        </is>
      </c>
      <c r="G1069" s="105" t="n">
        <v>0</v>
      </c>
      <c r="H1069" s="105" t="n">
        <v>0.00252</v>
      </c>
      <c r="I1069" s="105" t="n">
        <v>0.20779</v>
      </c>
      <c r="J1069" s="107">
        <f>D1069*(1-C1069)+G1069*MIN(C1069,0.2*(1-C1069))+H1069</f>
        <v/>
      </c>
      <c r="K1069" s="107">
        <f>E1069*(1-C1069)+G1069*MIN(C1069,0.2*(1-C1069))</f>
        <v/>
      </c>
      <c r="L1069" s="107">
        <f>I1069*(1-C1069)</f>
        <v/>
      </c>
      <c r="M1069" s="119">
        <f>SUMIFS(Regimes!$G$5:$G$10,Regimes!$A$5:$A$10,A1069)</f>
        <v/>
      </c>
      <c r="N1069" s="106">
        <f>Donnees_annuelles!D139*J1069</f>
        <v/>
      </c>
      <c r="O1069" s="106">
        <f>Donnees_annuelles!D139*K1069</f>
        <v/>
      </c>
      <c r="P1069" s="106">
        <f>N1069+O1069</f>
        <v/>
      </c>
      <c r="Q1069" s="106">
        <f>Donnees_annuelles!D139*L1069</f>
        <v/>
      </c>
      <c r="R1069" s="118">
        <f>P1069/Donnees_annuelles!AA139*Donnees_annuelles!AI139/Donnees_annuelles!AG139</f>
        <v/>
      </c>
      <c r="S1069" s="118">
        <f>P1069/Donnees_annuelles!AA139*Donnees_annuelles!AJ139/Donnees_annuelles!AH139</f>
        <v/>
      </c>
    </row>
    <row r="1070">
      <c r="A1070" s="115" t="inlineStr">
        <is>
          <t>IEG</t>
        </is>
      </c>
      <c r="B1070" s="101" t="n">
        <v>2082</v>
      </c>
      <c r="C1070" s="105" t="n">
        <v>0.1</v>
      </c>
      <c r="D1070" s="105" t="n">
        <v>0.1278</v>
      </c>
      <c r="E1070" s="105" t="n">
        <v>0.27248</v>
      </c>
      <c r="F1070" s="116" t="inlineStr">
        <is>
          <t>légal</t>
        </is>
      </c>
      <c r="G1070" s="105" t="n">
        <v>0</v>
      </c>
      <c r="H1070" s="105" t="n">
        <v>0.00252</v>
      </c>
      <c r="I1070" s="105" t="n">
        <v>0.20779</v>
      </c>
      <c r="J1070" s="107">
        <f>D1070*(1-C1070)+G1070*MIN(C1070,0.2*(1-C1070))+H1070</f>
        <v/>
      </c>
      <c r="K1070" s="107">
        <f>E1070*(1-C1070)+G1070*MIN(C1070,0.2*(1-C1070))</f>
        <v/>
      </c>
      <c r="L1070" s="107">
        <f>I1070*(1-C1070)</f>
        <v/>
      </c>
      <c r="M1070" s="119">
        <f>SUMIFS(Regimes!$G$5:$G$10,Regimes!$A$5:$A$10,A1070)</f>
        <v/>
      </c>
      <c r="N1070" s="106">
        <f>Donnees_annuelles!D140*J1070</f>
        <v/>
      </c>
      <c r="O1070" s="106">
        <f>Donnees_annuelles!D140*K1070</f>
        <v/>
      </c>
      <c r="P1070" s="106">
        <f>N1070+O1070</f>
        <v/>
      </c>
      <c r="Q1070" s="106">
        <f>Donnees_annuelles!D140*L1070</f>
        <v/>
      </c>
      <c r="R1070" s="118">
        <f>P1070/Donnees_annuelles!AA140*Donnees_annuelles!AI140/Donnees_annuelles!AG140</f>
        <v/>
      </c>
      <c r="S1070" s="118">
        <f>P1070/Donnees_annuelles!AA140*Donnees_annuelles!AJ140/Donnees_annuelles!AH140</f>
        <v/>
      </c>
    </row>
    <row r="1071">
      <c r="A1071" s="115" t="inlineStr">
        <is>
          <t>IEG</t>
        </is>
      </c>
      <c r="B1071" s="101" t="n">
        <v>2083</v>
      </c>
      <c r="C1071" s="105" t="n">
        <v>0.1</v>
      </c>
      <c r="D1071" s="105" t="n">
        <v>0.1278</v>
      </c>
      <c r="E1071" s="105" t="n">
        <v>0.27248</v>
      </c>
      <c r="F1071" s="116" t="inlineStr">
        <is>
          <t>légal</t>
        </is>
      </c>
      <c r="G1071" s="105" t="n">
        <v>0</v>
      </c>
      <c r="H1071" s="105" t="n">
        <v>0.00252</v>
      </c>
      <c r="I1071" s="105" t="n">
        <v>0.20779</v>
      </c>
      <c r="J1071" s="107">
        <f>D1071*(1-C1071)+G1071*MIN(C1071,0.2*(1-C1071))+H1071</f>
        <v/>
      </c>
      <c r="K1071" s="107">
        <f>E1071*(1-C1071)+G1071*MIN(C1071,0.2*(1-C1071))</f>
        <v/>
      </c>
      <c r="L1071" s="107">
        <f>I1071*(1-C1071)</f>
        <v/>
      </c>
      <c r="M1071" s="119">
        <f>SUMIFS(Regimes!$G$5:$G$10,Regimes!$A$5:$A$10,A1071)</f>
        <v/>
      </c>
      <c r="N1071" s="106">
        <f>Donnees_annuelles!D141*J1071</f>
        <v/>
      </c>
      <c r="O1071" s="106">
        <f>Donnees_annuelles!D141*K1071</f>
        <v/>
      </c>
      <c r="P1071" s="106">
        <f>N1071+O1071</f>
        <v/>
      </c>
      <c r="Q1071" s="106">
        <f>Donnees_annuelles!D141*L1071</f>
        <v/>
      </c>
      <c r="R1071" s="118">
        <f>P1071/Donnees_annuelles!AA141*Donnees_annuelles!AI141/Donnees_annuelles!AG141</f>
        <v/>
      </c>
      <c r="S1071" s="118">
        <f>P1071/Donnees_annuelles!AA141*Donnees_annuelles!AJ141/Donnees_annuelles!AH141</f>
        <v/>
      </c>
    </row>
    <row r="1072">
      <c r="A1072" s="115" t="inlineStr">
        <is>
          <t>IEG</t>
        </is>
      </c>
      <c r="B1072" s="101" t="n">
        <v>2084</v>
      </c>
      <c r="C1072" s="105" t="n">
        <v>0.1</v>
      </c>
      <c r="D1072" s="105" t="n">
        <v>0.1278</v>
      </c>
      <c r="E1072" s="105" t="n">
        <v>0.27248</v>
      </c>
      <c r="F1072" s="116" t="inlineStr">
        <is>
          <t>légal</t>
        </is>
      </c>
      <c r="G1072" s="105" t="n">
        <v>0</v>
      </c>
      <c r="H1072" s="105" t="n">
        <v>0.00252</v>
      </c>
      <c r="I1072" s="105" t="n">
        <v>0.20779</v>
      </c>
      <c r="J1072" s="107">
        <f>D1072*(1-C1072)+G1072*MIN(C1072,0.2*(1-C1072))+H1072</f>
        <v/>
      </c>
      <c r="K1072" s="107">
        <f>E1072*(1-C1072)+G1072*MIN(C1072,0.2*(1-C1072))</f>
        <v/>
      </c>
      <c r="L1072" s="107">
        <f>I1072*(1-C1072)</f>
        <v/>
      </c>
      <c r="M1072" s="119">
        <f>SUMIFS(Regimes!$G$5:$G$10,Regimes!$A$5:$A$10,A1072)</f>
        <v/>
      </c>
      <c r="N1072" s="106">
        <f>Donnees_annuelles!D142*J1072</f>
        <v/>
      </c>
      <c r="O1072" s="106">
        <f>Donnees_annuelles!D142*K1072</f>
        <v/>
      </c>
      <c r="P1072" s="106">
        <f>N1072+O1072</f>
        <v/>
      </c>
      <c r="Q1072" s="106">
        <f>Donnees_annuelles!D142*L1072</f>
        <v/>
      </c>
      <c r="R1072" s="118">
        <f>P1072/Donnees_annuelles!AA142*Donnees_annuelles!AI142/Donnees_annuelles!AG142</f>
        <v/>
      </c>
      <c r="S1072" s="118">
        <f>P1072/Donnees_annuelles!AA142*Donnees_annuelles!AJ142/Donnees_annuelles!AH142</f>
        <v/>
      </c>
    </row>
    <row r="1073">
      <c r="A1073" s="115" t="inlineStr">
        <is>
          <t>IEG</t>
        </is>
      </c>
      <c r="B1073" s="101" t="n">
        <v>2085</v>
      </c>
      <c r="C1073" s="105" t="n">
        <v>0.1</v>
      </c>
      <c r="D1073" s="105" t="n">
        <v>0.1278</v>
      </c>
      <c r="E1073" s="105" t="n">
        <v>0.27248</v>
      </c>
      <c r="F1073" s="116" t="inlineStr">
        <is>
          <t>légal</t>
        </is>
      </c>
      <c r="G1073" s="105" t="n">
        <v>0</v>
      </c>
      <c r="H1073" s="105" t="n">
        <v>0.00252</v>
      </c>
      <c r="I1073" s="105" t="n">
        <v>0.20779</v>
      </c>
      <c r="J1073" s="107">
        <f>D1073*(1-C1073)+G1073*MIN(C1073,0.2*(1-C1073))+H1073</f>
        <v/>
      </c>
      <c r="K1073" s="107">
        <f>E1073*(1-C1073)+G1073*MIN(C1073,0.2*(1-C1073))</f>
        <v/>
      </c>
      <c r="L1073" s="107">
        <f>I1073*(1-C1073)</f>
        <v/>
      </c>
      <c r="M1073" s="119">
        <f>SUMIFS(Regimes!$G$5:$G$10,Regimes!$A$5:$A$10,A1073)</f>
        <v/>
      </c>
      <c r="N1073" s="106">
        <f>Donnees_annuelles!D143*J1073</f>
        <v/>
      </c>
      <c r="O1073" s="106">
        <f>Donnees_annuelles!D143*K1073</f>
        <v/>
      </c>
      <c r="P1073" s="106">
        <f>N1073+O1073</f>
        <v/>
      </c>
      <c r="Q1073" s="106">
        <f>Donnees_annuelles!D143*L1073</f>
        <v/>
      </c>
      <c r="R1073" s="118">
        <f>P1073/Donnees_annuelles!AA143*Donnees_annuelles!AI143/Donnees_annuelles!AG143</f>
        <v/>
      </c>
      <c r="S1073" s="118">
        <f>P1073/Donnees_annuelles!AA143*Donnees_annuelles!AJ143/Donnees_annuelles!AH143</f>
        <v/>
      </c>
    </row>
    <row r="1074">
      <c r="A1074" s="115" t="inlineStr">
        <is>
          <t>IEG</t>
        </is>
      </c>
      <c r="B1074" s="101" t="n">
        <v>2086</v>
      </c>
      <c r="C1074" s="105" t="n">
        <v>0.1</v>
      </c>
      <c r="D1074" s="105" t="n">
        <v>0.1278</v>
      </c>
      <c r="E1074" s="105" t="n">
        <v>0.27248</v>
      </c>
      <c r="F1074" s="116" t="inlineStr">
        <is>
          <t>légal</t>
        </is>
      </c>
      <c r="G1074" s="105" t="n">
        <v>0</v>
      </c>
      <c r="H1074" s="105" t="n">
        <v>0.00252</v>
      </c>
      <c r="I1074" s="105" t="n">
        <v>0.20779</v>
      </c>
      <c r="J1074" s="107">
        <f>D1074*(1-C1074)+G1074*MIN(C1074,0.2*(1-C1074))+H1074</f>
        <v/>
      </c>
      <c r="K1074" s="107">
        <f>E1074*(1-C1074)+G1074*MIN(C1074,0.2*(1-C1074))</f>
        <v/>
      </c>
      <c r="L1074" s="107">
        <f>I1074*(1-C1074)</f>
        <v/>
      </c>
      <c r="M1074" s="119">
        <f>SUMIFS(Regimes!$G$5:$G$10,Regimes!$A$5:$A$10,A1074)</f>
        <v/>
      </c>
      <c r="N1074" s="106">
        <f>Donnees_annuelles!D144*J1074</f>
        <v/>
      </c>
      <c r="O1074" s="106">
        <f>Donnees_annuelles!D144*K1074</f>
        <v/>
      </c>
      <c r="P1074" s="106">
        <f>N1074+O1074</f>
        <v/>
      </c>
      <c r="Q1074" s="106">
        <f>Donnees_annuelles!D144*L1074</f>
        <v/>
      </c>
      <c r="R1074" s="118">
        <f>P1074/Donnees_annuelles!AA144*Donnees_annuelles!AI144/Donnees_annuelles!AG144</f>
        <v/>
      </c>
      <c r="S1074" s="118">
        <f>P1074/Donnees_annuelles!AA144*Donnees_annuelles!AJ144/Donnees_annuelles!AH144</f>
        <v/>
      </c>
    </row>
    <row r="1075">
      <c r="A1075" s="115" t="inlineStr">
        <is>
          <t>IEG</t>
        </is>
      </c>
      <c r="B1075" s="101" t="n">
        <v>2087</v>
      </c>
      <c r="C1075" s="105" t="n">
        <v>0.1</v>
      </c>
      <c r="D1075" s="105" t="n">
        <v>0.1278</v>
      </c>
      <c r="E1075" s="105" t="n">
        <v>0.27248</v>
      </c>
      <c r="F1075" s="116" t="inlineStr">
        <is>
          <t>légal</t>
        </is>
      </c>
      <c r="G1075" s="105" t="n">
        <v>0</v>
      </c>
      <c r="H1075" s="105" t="n">
        <v>0.00252</v>
      </c>
      <c r="I1075" s="105" t="n">
        <v>0.20779</v>
      </c>
      <c r="J1075" s="107">
        <f>D1075*(1-C1075)+G1075*MIN(C1075,0.2*(1-C1075))+H1075</f>
        <v/>
      </c>
      <c r="K1075" s="107">
        <f>E1075*(1-C1075)+G1075*MIN(C1075,0.2*(1-C1075))</f>
        <v/>
      </c>
      <c r="L1075" s="107">
        <f>I1075*(1-C1075)</f>
        <v/>
      </c>
      <c r="M1075" s="119">
        <f>SUMIFS(Regimes!$G$5:$G$10,Regimes!$A$5:$A$10,A1075)</f>
        <v/>
      </c>
      <c r="N1075" s="106">
        <f>Donnees_annuelles!D145*J1075</f>
        <v/>
      </c>
      <c r="O1075" s="106">
        <f>Donnees_annuelles!D145*K1075</f>
        <v/>
      </c>
      <c r="P1075" s="106">
        <f>N1075+O1075</f>
        <v/>
      </c>
      <c r="Q1075" s="106">
        <f>Donnees_annuelles!D145*L1075</f>
        <v/>
      </c>
      <c r="R1075" s="118">
        <f>P1075/Donnees_annuelles!AA145*Donnees_annuelles!AI145/Donnees_annuelles!AG145</f>
        <v/>
      </c>
      <c r="S1075" s="118">
        <f>P1075/Donnees_annuelles!AA145*Donnees_annuelles!AJ145/Donnees_annuelles!AH145</f>
        <v/>
      </c>
    </row>
    <row r="1076">
      <c r="A1076" s="115" t="inlineStr">
        <is>
          <t>IEG</t>
        </is>
      </c>
      <c r="B1076" s="101" t="n">
        <v>2088</v>
      </c>
      <c r="C1076" s="105" t="n">
        <v>0.1</v>
      </c>
      <c r="D1076" s="105" t="n">
        <v>0.1278</v>
      </c>
      <c r="E1076" s="105" t="n">
        <v>0.27248</v>
      </c>
      <c r="F1076" s="116" t="inlineStr">
        <is>
          <t>légal</t>
        </is>
      </c>
      <c r="G1076" s="105" t="n">
        <v>0</v>
      </c>
      <c r="H1076" s="105" t="n">
        <v>0.00252</v>
      </c>
      <c r="I1076" s="105" t="n">
        <v>0.20779</v>
      </c>
      <c r="J1076" s="107">
        <f>D1076*(1-C1076)+G1076*MIN(C1076,0.2*(1-C1076))+H1076</f>
        <v/>
      </c>
      <c r="K1076" s="107">
        <f>E1076*(1-C1076)+G1076*MIN(C1076,0.2*(1-C1076))</f>
        <v/>
      </c>
      <c r="L1076" s="107">
        <f>I1076*(1-C1076)</f>
        <v/>
      </c>
      <c r="M1076" s="119">
        <f>SUMIFS(Regimes!$G$5:$G$10,Regimes!$A$5:$A$10,A1076)</f>
        <v/>
      </c>
      <c r="N1076" s="106">
        <f>Donnees_annuelles!D146*J1076</f>
        <v/>
      </c>
      <c r="O1076" s="106">
        <f>Donnees_annuelles!D146*K1076</f>
        <v/>
      </c>
      <c r="P1076" s="106">
        <f>N1076+O1076</f>
        <v/>
      </c>
      <c r="Q1076" s="106">
        <f>Donnees_annuelles!D146*L1076</f>
        <v/>
      </c>
      <c r="R1076" s="118">
        <f>P1076/Donnees_annuelles!AA146*Donnees_annuelles!AI146/Donnees_annuelles!AG146</f>
        <v/>
      </c>
      <c r="S1076" s="118">
        <f>P1076/Donnees_annuelles!AA146*Donnees_annuelles!AJ146/Donnees_annuelles!AH146</f>
        <v/>
      </c>
    </row>
    <row r="1077">
      <c r="A1077" s="115" t="inlineStr">
        <is>
          <t>IEG</t>
        </is>
      </c>
      <c r="B1077" s="101" t="n">
        <v>2089</v>
      </c>
      <c r="C1077" s="105" t="n">
        <v>0.1</v>
      </c>
      <c r="D1077" s="105" t="n">
        <v>0.1278</v>
      </c>
      <c r="E1077" s="105" t="n">
        <v>0.27248</v>
      </c>
      <c r="F1077" s="116" t="inlineStr">
        <is>
          <t>légal</t>
        </is>
      </c>
      <c r="G1077" s="105" t="n">
        <v>0</v>
      </c>
      <c r="H1077" s="105" t="n">
        <v>0.00252</v>
      </c>
      <c r="I1077" s="105" t="n">
        <v>0.20779</v>
      </c>
      <c r="J1077" s="107">
        <f>D1077*(1-C1077)+G1077*MIN(C1077,0.2*(1-C1077))+H1077</f>
        <v/>
      </c>
      <c r="K1077" s="107">
        <f>E1077*(1-C1077)+G1077*MIN(C1077,0.2*(1-C1077))</f>
        <v/>
      </c>
      <c r="L1077" s="107">
        <f>I1077*(1-C1077)</f>
        <v/>
      </c>
      <c r="M1077" s="119">
        <f>SUMIFS(Regimes!$G$5:$G$10,Regimes!$A$5:$A$10,A1077)</f>
        <v/>
      </c>
      <c r="N1077" s="106">
        <f>Donnees_annuelles!D147*J1077</f>
        <v/>
      </c>
      <c r="O1077" s="106">
        <f>Donnees_annuelles!D147*K1077</f>
        <v/>
      </c>
      <c r="P1077" s="106">
        <f>N1077+O1077</f>
        <v/>
      </c>
      <c r="Q1077" s="106">
        <f>Donnees_annuelles!D147*L1077</f>
        <v/>
      </c>
      <c r="R1077" s="118">
        <f>P1077/Donnees_annuelles!AA147*Donnees_annuelles!AI147/Donnees_annuelles!AG147</f>
        <v/>
      </c>
      <c r="S1077" s="118">
        <f>P1077/Donnees_annuelles!AA147*Donnees_annuelles!AJ147/Donnees_annuelles!AH147</f>
        <v/>
      </c>
    </row>
    <row r="1078">
      <c r="A1078" s="115" t="inlineStr">
        <is>
          <t>IEG</t>
        </is>
      </c>
      <c r="B1078" s="101" t="n">
        <v>2090</v>
      </c>
      <c r="C1078" s="105" t="n">
        <v>0.1</v>
      </c>
      <c r="D1078" s="105" t="n">
        <v>0.1278</v>
      </c>
      <c r="E1078" s="105" t="n">
        <v>0.27248</v>
      </c>
      <c r="F1078" s="116" t="inlineStr">
        <is>
          <t>légal</t>
        </is>
      </c>
      <c r="G1078" s="105" t="n">
        <v>0</v>
      </c>
      <c r="H1078" s="105" t="n">
        <v>0.00252</v>
      </c>
      <c r="I1078" s="105" t="n">
        <v>0.20779</v>
      </c>
      <c r="J1078" s="107">
        <f>D1078*(1-C1078)+G1078*MIN(C1078,0.2*(1-C1078))+H1078</f>
        <v/>
      </c>
      <c r="K1078" s="107">
        <f>E1078*(1-C1078)+G1078*MIN(C1078,0.2*(1-C1078))</f>
        <v/>
      </c>
      <c r="L1078" s="107">
        <f>I1078*(1-C1078)</f>
        <v/>
      </c>
      <c r="M1078" s="119">
        <f>SUMIFS(Regimes!$G$5:$G$10,Regimes!$A$5:$A$10,A1078)</f>
        <v/>
      </c>
      <c r="N1078" s="106">
        <f>Donnees_annuelles!D148*J1078</f>
        <v/>
      </c>
      <c r="O1078" s="106">
        <f>Donnees_annuelles!D148*K1078</f>
        <v/>
      </c>
      <c r="P1078" s="106">
        <f>N1078+O1078</f>
        <v/>
      </c>
      <c r="Q1078" s="106">
        <f>Donnees_annuelles!D148*L1078</f>
        <v/>
      </c>
      <c r="R1078" s="118">
        <f>P1078/Donnees_annuelles!AA148*Donnees_annuelles!AI148/Donnees_annuelles!AG148</f>
        <v/>
      </c>
      <c r="S1078" s="118">
        <f>P1078/Donnees_annuelles!AA148*Donnees_annuelles!AJ148/Donnees_annuelles!AH148</f>
        <v/>
      </c>
    </row>
    <row r="1079">
      <c r="A1079" s="115" t="inlineStr">
        <is>
          <t>IEG</t>
        </is>
      </c>
      <c r="B1079" s="101" t="n">
        <v>2091</v>
      </c>
      <c r="C1079" s="105" t="n">
        <v>0.1</v>
      </c>
      <c r="D1079" s="105" t="n">
        <v>0.1278</v>
      </c>
      <c r="E1079" s="105" t="n">
        <v>0.27248</v>
      </c>
      <c r="F1079" s="116" t="inlineStr">
        <is>
          <t>légal</t>
        </is>
      </c>
      <c r="G1079" s="105" t="n">
        <v>0</v>
      </c>
      <c r="H1079" s="105" t="n">
        <v>0.00252</v>
      </c>
      <c r="I1079" s="105" t="n">
        <v>0.20779</v>
      </c>
      <c r="J1079" s="107">
        <f>D1079*(1-C1079)+G1079*MIN(C1079,0.2*(1-C1079))+H1079</f>
        <v/>
      </c>
      <c r="K1079" s="107">
        <f>E1079*(1-C1079)+G1079*MIN(C1079,0.2*(1-C1079))</f>
        <v/>
      </c>
      <c r="L1079" s="107">
        <f>I1079*(1-C1079)</f>
        <v/>
      </c>
      <c r="M1079" s="119">
        <f>SUMIFS(Regimes!$G$5:$G$10,Regimes!$A$5:$A$10,A1079)</f>
        <v/>
      </c>
      <c r="N1079" s="106">
        <f>Donnees_annuelles!D149*J1079</f>
        <v/>
      </c>
      <c r="O1079" s="106">
        <f>Donnees_annuelles!D149*K1079</f>
        <v/>
      </c>
      <c r="P1079" s="106">
        <f>N1079+O1079</f>
        <v/>
      </c>
      <c r="Q1079" s="106">
        <f>Donnees_annuelles!D149*L1079</f>
        <v/>
      </c>
      <c r="R1079" s="118">
        <f>P1079/Donnees_annuelles!AA149*Donnees_annuelles!AI149/Donnees_annuelles!AG149</f>
        <v/>
      </c>
      <c r="S1079" s="118">
        <f>P1079/Donnees_annuelles!AA149*Donnees_annuelles!AJ149/Donnees_annuelles!AH149</f>
        <v/>
      </c>
    </row>
    <row r="1080">
      <c r="A1080" s="115" t="inlineStr">
        <is>
          <t>IEG</t>
        </is>
      </c>
      <c r="B1080" s="101" t="n">
        <v>2092</v>
      </c>
      <c r="C1080" s="105" t="n">
        <v>0.1</v>
      </c>
      <c r="D1080" s="105" t="n">
        <v>0.1278</v>
      </c>
      <c r="E1080" s="105" t="n">
        <v>0.27248</v>
      </c>
      <c r="F1080" s="116" t="inlineStr">
        <is>
          <t>légal</t>
        </is>
      </c>
      <c r="G1080" s="105" t="n">
        <v>0</v>
      </c>
      <c r="H1080" s="105" t="n">
        <v>0.00252</v>
      </c>
      <c r="I1080" s="105" t="n">
        <v>0.20779</v>
      </c>
      <c r="J1080" s="107">
        <f>D1080*(1-C1080)+G1080*MIN(C1080,0.2*(1-C1080))+H1080</f>
        <v/>
      </c>
      <c r="K1080" s="107">
        <f>E1080*(1-C1080)+G1080*MIN(C1080,0.2*(1-C1080))</f>
        <v/>
      </c>
      <c r="L1080" s="107">
        <f>I1080*(1-C1080)</f>
        <v/>
      </c>
      <c r="M1080" s="119">
        <f>SUMIFS(Regimes!$G$5:$G$10,Regimes!$A$5:$A$10,A1080)</f>
        <v/>
      </c>
      <c r="N1080" s="106">
        <f>Donnees_annuelles!D150*J1080</f>
        <v/>
      </c>
      <c r="O1080" s="106">
        <f>Donnees_annuelles!D150*K1080</f>
        <v/>
      </c>
      <c r="P1080" s="106">
        <f>N1080+O1080</f>
        <v/>
      </c>
      <c r="Q1080" s="106">
        <f>Donnees_annuelles!D150*L1080</f>
        <v/>
      </c>
      <c r="R1080" s="118">
        <f>P1080/Donnees_annuelles!AA150*Donnees_annuelles!AI150/Donnees_annuelles!AG150</f>
        <v/>
      </c>
      <c r="S1080" s="118">
        <f>P1080/Donnees_annuelles!AA150*Donnees_annuelles!AJ150/Donnees_annuelles!AH150</f>
        <v/>
      </c>
    </row>
    <row r="1081">
      <c r="A1081" s="115" t="inlineStr">
        <is>
          <t>IEG</t>
        </is>
      </c>
      <c r="B1081" s="101" t="n">
        <v>2093</v>
      </c>
      <c r="C1081" s="105" t="n">
        <v>0.1</v>
      </c>
      <c r="D1081" s="105" t="n">
        <v>0.1278</v>
      </c>
      <c r="E1081" s="105" t="n">
        <v>0.27248</v>
      </c>
      <c r="F1081" s="116" t="inlineStr">
        <is>
          <t>légal</t>
        </is>
      </c>
      <c r="G1081" s="105" t="n">
        <v>0</v>
      </c>
      <c r="H1081" s="105" t="n">
        <v>0.00252</v>
      </c>
      <c r="I1081" s="105" t="n">
        <v>0.20779</v>
      </c>
      <c r="J1081" s="107">
        <f>D1081*(1-C1081)+G1081*MIN(C1081,0.2*(1-C1081))+H1081</f>
        <v/>
      </c>
      <c r="K1081" s="107">
        <f>E1081*(1-C1081)+G1081*MIN(C1081,0.2*(1-C1081))</f>
        <v/>
      </c>
      <c r="L1081" s="107">
        <f>I1081*(1-C1081)</f>
        <v/>
      </c>
      <c r="M1081" s="119">
        <f>SUMIFS(Regimes!$G$5:$G$10,Regimes!$A$5:$A$10,A1081)</f>
        <v/>
      </c>
      <c r="N1081" s="106">
        <f>Donnees_annuelles!D151*J1081</f>
        <v/>
      </c>
      <c r="O1081" s="106">
        <f>Donnees_annuelles!D151*K1081</f>
        <v/>
      </c>
      <c r="P1081" s="106">
        <f>N1081+O1081</f>
        <v/>
      </c>
      <c r="Q1081" s="106">
        <f>Donnees_annuelles!D151*L1081</f>
        <v/>
      </c>
      <c r="R1081" s="118">
        <f>P1081/Donnees_annuelles!AA151*Donnees_annuelles!AI151/Donnees_annuelles!AG151</f>
        <v/>
      </c>
      <c r="S1081" s="118">
        <f>P1081/Donnees_annuelles!AA151*Donnees_annuelles!AJ151/Donnees_annuelles!AH151</f>
        <v/>
      </c>
    </row>
    <row r="1082">
      <c r="A1082" s="115" t="inlineStr">
        <is>
          <t>IEG</t>
        </is>
      </c>
      <c r="B1082" s="101" t="n">
        <v>2094</v>
      </c>
      <c r="C1082" s="105" t="n">
        <v>0.1</v>
      </c>
      <c r="D1082" s="105" t="n">
        <v>0.1278</v>
      </c>
      <c r="E1082" s="105" t="n">
        <v>0.27248</v>
      </c>
      <c r="F1082" s="116" t="inlineStr">
        <is>
          <t>légal</t>
        </is>
      </c>
      <c r="G1082" s="105" t="n">
        <v>0</v>
      </c>
      <c r="H1082" s="105" t="n">
        <v>0.00252</v>
      </c>
      <c r="I1082" s="105" t="n">
        <v>0.20779</v>
      </c>
      <c r="J1082" s="107">
        <f>D1082*(1-C1082)+G1082*MIN(C1082,0.2*(1-C1082))+H1082</f>
        <v/>
      </c>
      <c r="K1082" s="107">
        <f>E1082*(1-C1082)+G1082*MIN(C1082,0.2*(1-C1082))</f>
        <v/>
      </c>
      <c r="L1082" s="107">
        <f>I1082*(1-C1082)</f>
        <v/>
      </c>
      <c r="M1082" s="119">
        <f>SUMIFS(Regimes!$G$5:$G$10,Regimes!$A$5:$A$10,A1082)</f>
        <v/>
      </c>
      <c r="N1082" s="106">
        <f>Donnees_annuelles!D152*J1082</f>
        <v/>
      </c>
      <c r="O1082" s="106">
        <f>Donnees_annuelles!D152*K1082</f>
        <v/>
      </c>
      <c r="P1082" s="106">
        <f>N1082+O1082</f>
        <v/>
      </c>
      <c r="Q1082" s="106">
        <f>Donnees_annuelles!D152*L1082</f>
        <v/>
      </c>
      <c r="R1082" s="118">
        <f>P1082/Donnees_annuelles!AA152*Donnees_annuelles!AI152/Donnees_annuelles!AG152</f>
        <v/>
      </c>
      <c r="S1082" s="118">
        <f>P1082/Donnees_annuelles!AA152*Donnees_annuelles!AJ152/Donnees_annuelles!AH152</f>
        <v/>
      </c>
    </row>
    <row r="1083">
      <c r="A1083" s="115" t="inlineStr">
        <is>
          <t>IEG</t>
        </is>
      </c>
      <c r="B1083" s="101" t="n">
        <v>2095</v>
      </c>
      <c r="C1083" s="105" t="n">
        <v>0.1</v>
      </c>
      <c r="D1083" s="105" t="n">
        <v>0.1278</v>
      </c>
      <c r="E1083" s="105" t="n">
        <v>0.27248</v>
      </c>
      <c r="F1083" s="116" t="inlineStr">
        <is>
          <t>légal</t>
        </is>
      </c>
      <c r="G1083" s="105" t="n">
        <v>0</v>
      </c>
      <c r="H1083" s="105" t="n">
        <v>0.00252</v>
      </c>
      <c r="I1083" s="105" t="n">
        <v>0.20779</v>
      </c>
      <c r="J1083" s="107">
        <f>D1083*(1-C1083)+G1083*MIN(C1083,0.2*(1-C1083))+H1083</f>
        <v/>
      </c>
      <c r="K1083" s="107">
        <f>E1083*(1-C1083)+G1083*MIN(C1083,0.2*(1-C1083))</f>
        <v/>
      </c>
      <c r="L1083" s="107">
        <f>I1083*(1-C1083)</f>
        <v/>
      </c>
      <c r="M1083" s="119">
        <f>SUMIFS(Regimes!$G$5:$G$10,Regimes!$A$5:$A$10,A1083)</f>
        <v/>
      </c>
      <c r="N1083" s="106">
        <f>Donnees_annuelles!D153*J1083</f>
        <v/>
      </c>
      <c r="O1083" s="106">
        <f>Donnees_annuelles!D153*K1083</f>
        <v/>
      </c>
      <c r="P1083" s="106">
        <f>N1083+O1083</f>
        <v/>
      </c>
      <c r="Q1083" s="106">
        <f>Donnees_annuelles!D153*L1083</f>
        <v/>
      </c>
      <c r="R1083" s="118">
        <f>P1083/Donnees_annuelles!AA153*Donnees_annuelles!AI153/Donnees_annuelles!AG153</f>
        <v/>
      </c>
      <c r="S1083" s="118">
        <f>P1083/Donnees_annuelles!AA153*Donnees_annuelles!AJ153/Donnees_annuelles!AH153</f>
        <v/>
      </c>
    </row>
    <row r="1084">
      <c r="A1084" s="115" t="inlineStr">
        <is>
          <t>IEG</t>
        </is>
      </c>
      <c r="B1084" s="101" t="n">
        <v>2096</v>
      </c>
      <c r="C1084" s="105" t="n">
        <v>0.1</v>
      </c>
      <c r="D1084" s="105" t="n">
        <v>0.1278</v>
      </c>
      <c r="E1084" s="105" t="n">
        <v>0.27248</v>
      </c>
      <c r="F1084" s="116" t="inlineStr">
        <is>
          <t>légal</t>
        </is>
      </c>
      <c r="G1084" s="105" t="n">
        <v>0</v>
      </c>
      <c r="H1084" s="105" t="n">
        <v>0.00252</v>
      </c>
      <c r="I1084" s="105" t="n">
        <v>0.20779</v>
      </c>
      <c r="J1084" s="107">
        <f>D1084*(1-C1084)+G1084*MIN(C1084,0.2*(1-C1084))+H1084</f>
        <v/>
      </c>
      <c r="K1084" s="107">
        <f>E1084*(1-C1084)+G1084*MIN(C1084,0.2*(1-C1084))</f>
        <v/>
      </c>
      <c r="L1084" s="107">
        <f>I1084*(1-C1084)</f>
        <v/>
      </c>
      <c r="M1084" s="119">
        <f>SUMIFS(Regimes!$G$5:$G$10,Regimes!$A$5:$A$10,A1084)</f>
        <v/>
      </c>
      <c r="N1084" s="106">
        <f>Donnees_annuelles!D154*J1084</f>
        <v/>
      </c>
      <c r="O1084" s="106">
        <f>Donnees_annuelles!D154*K1084</f>
        <v/>
      </c>
      <c r="P1084" s="106">
        <f>N1084+O1084</f>
        <v/>
      </c>
      <c r="Q1084" s="106">
        <f>Donnees_annuelles!D154*L1084</f>
        <v/>
      </c>
      <c r="R1084" s="118">
        <f>P1084/Donnees_annuelles!AA154*Donnees_annuelles!AI154/Donnees_annuelles!AG154</f>
        <v/>
      </c>
      <c r="S1084" s="118">
        <f>P1084/Donnees_annuelles!AA154*Donnees_annuelles!AJ154/Donnees_annuelles!AH154</f>
        <v/>
      </c>
    </row>
    <row r="1085">
      <c r="A1085" s="115" t="inlineStr">
        <is>
          <t>IEG</t>
        </is>
      </c>
      <c r="B1085" s="101" t="n">
        <v>2097</v>
      </c>
      <c r="C1085" s="105" t="n">
        <v>0.1</v>
      </c>
      <c r="D1085" s="105" t="n">
        <v>0.1278</v>
      </c>
      <c r="E1085" s="105" t="n">
        <v>0.27248</v>
      </c>
      <c r="F1085" s="116" t="inlineStr">
        <is>
          <t>légal</t>
        </is>
      </c>
      <c r="G1085" s="105" t="n">
        <v>0</v>
      </c>
      <c r="H1085" s="105" t="n">
        <v>0.00252</v>
      </c>
      <c r="I1085" s="105" t="n">
        <v>0.20779</v>
      </c>
      <c r="J1085" s="107">
        <f>D1085*(1-C1085)+G1085*MIN(C1085,0.2*(1-C1085))+H1085</f>
        <v/>
      </c>
      <c r="K1085" s="107">
        <f>E1085*(1-C1085)+G1085*MIN(C1085,0.2*(1-C1085))</f>
        <v/>
      </c>
      <c r="L1085" s="107">
        <f>I1085*(1-C1085)</f>
        <v/>
      </c>
      <c r="M1085" s="119">
        <f>SUMIFS(Regimes!$G$5:$G$10,Regimes!$A$5:$A$10,A1085)</f>
        <v/>
      </c>
      <c r="N1085" s="106">
        <f>Donnees_annuelles!D155*J1085</f>
        <v/>
      </c>
      <c r="O1085" s="106">
        <f>Donnees_annuelles!D155*K1085</f>
        <v/>
      </c>
      <c r="P1085" s="106">
        <f>N1085+O1085</f>
        <v/>
      </c>
      <c r="Q1085" s="106">
        <f>Donnees_annuelles!D155*L1085</f>
        <v/>
      </c>
      <c r="R1085" s="118">
        <f>P1085/Donnees_annuelles!AA155*Donnees_annuelles!AI155/Donnees_annuelles!AG155</f>
        <v/>
      </c>
      <c r="S1085" s="118">
        <f>P1085/Donnees_annuelles!AA155*Donnees_annuelles!AJ155/Donnees_annuelles!AH155</f>
        <v/>
      </c>
    </row>
    <row r="1086">
      <c r="A1086" s="115" t="inlineStr">
        <is>
          <t>IEG</t>
        </is>
      </c>
      <c r="B1086" s="101" t="n">
        <v>2098</v>
      </c>
      <c r="C1086" s="105" t="n">
        <v>0.1</v>
      </c>
      <c r="D1086" s="105" t="n">
        <v>0.1278</v>
      </c>
      <c r="E1086" s="105" t="n">
        <v>0.27248</v>
      </c>
      <c r="F1086" s="116" t="inlineStr">
        <is>
          <t>légal</t>
        </is>
      </c>
      <c r="G1086" s="105" t="n">
        <v>0</v>
      </c>
      <c r="H1086" s="105" t="n">
        <v>0.00252</v>
      </c>
      <c r="I1086" s="105" t="n">
        <v>0.20779</v>
      </c>
      <c r="J1086" s="107">
        <f>D1086*(1-C1086)+G1086*MIN(C1086,0.2*(1-C1086))+H1086</f>
        <v/>
      </c>
      <c r="K1086" s="107">
        <f>E1086*(1-C1086)+G1086*MIN(C1086,0.2*(1-C1086))</f>
        <v/>
      </c>
      <c r="L1086" s="107">
        <f>I1086*(1-C1086)</f>
        <v/>
      </c>
      <c r="M1086" s="119">
        <f>SUMIFS(Regimes!$G$5:$G$10,Regimes!$A$5:$A$10,A1086)</f>
        <v/>
      </c>
      <c r="N1086" s="106">
        <f>Donnees_annuelles!D156*J1086</f>
        <v/>
      </c>
      <c r="O1086" s="106">
        <f>Donnees_annuelles!D156*K1086</f>
        <v/>
      </c>
      <c r="P1086" s="106">
        <f>N1086+O1086</f>
        <v/>
      </c>
      <c r="Q1086" s="106">
        <f>Donnees_annuelles!D156*L1086</f>
        <v/>
      </c>
      <c r="R1086" s="118">
        <f>P1086/Donnees_annuelles!AA156*Donnees_annuelles!AI156/Donnees_annuelles!AG156</f>
        <v/>
      </c>
      <c r="S1086" s="118">
        <f>P1086/Donnees_annuelles!AA156*Donnees_annuelles!AJ156/Donnees_annuelles!AH156</f>
        <v/>
      </c>
    </row>
    <row r="1087">
      <c r="A1087" s="115" t="inlineStr">
        <is>
          <t>IEG</t>
        </is>
      </c>
      <c r="B1087" s="101" t="n">
        <v>2099</v>
      </c>
      <c r="C1087" s="105" t="n">
        <v>0.1</v>
      </c>
      <c r="D1087" s="105" t="n">
        <v>0.1278</v>
      </c>
      <c r="E1087" s="105" t="n">
        <v>0.27248</v>
      </c>
      <c r="F1087" s="116" t="inlineStr">
        <is>
          <t>légal</t>
        </is>
      </c>
      <c r="G1087" s="105" t="n">
        <v>0</v>
      </c>
      <c r="H1087" s="105" t="n">
        <v>0.00252</v>
      </c>
      <c r="I1087" s="105" t="n">
        <v>0.20779</v>
      </c>
      <c r="J1087" s="107">
        <f>D1087*(1-C1087)+G1087*MIN(C1087,0.2*(1-C1087))+H1087</f>
        <v/>
      </c>
      <c r="K1087" s="107">
        <f>E1087*(1-C1087)+G1087*MIN(C1087,0.2*(1-C1087))</f>
        <v/>
      </c>
      <c r="L1087" s="107">
        <f>I1087*(1-C1087)</f>
        <v/>
      </c>
      <c r="M1087" s="119">
        <f>SUMIFS(Regimes!$G$5:$G$10,Regimes!$A$5:$A$10,A1087)</f>
        <v/>
      </c>
      <c r="N1087" s="106">
        <f>Donnees_annuelles!D157*J1087</f>
        <v/>
      </c>
      <c r="O1087" s="106">
        <f>Donnees_annuelles!D157*K1087</f>
        <v/>
      </c>
      <c r="P1087" s="106">
        <f>N1087+O1087</f>
        <v/>
      </c>
      <c r="Q1087" s="106">
        <f>Donnees_annuelles!D157*L1087</f>
        <v/>
      </c>
      <c r="R1087" s="118">
        <f>P1087/Donnees_annuelles!AA157*Donnees_annuelles!AI157/Donnees_annuelles!AG157</f>
        <v/>
      </c>
      <c r="S1087" s="118">
        <f>P1087/Donnees_annuelles!AA157*Donnees_annuelles!AJ157/Donnees_annuelles!AH157</f>
        <v/>
      </c>
    </row>
    <row r="1088">
      <c r="A1088" s="115" t="inlineStr">
        <is>
          <t>IEG</t>
        </is>
      </c>
      <c r="B1088" s="101" t="n">
        <v>2100</v>
      </c>
      <c r="C1088" s="105" t="n">
        <v>0.1</v>
      </c>
      <c r="D1088" s="105" t="n">
        <v>0.1278</v>
      </c>
      <c r="E1088" s="105" t="n">
        <v>0.27248</v>
      </c>
      <c r="F1088" s="116" t="inlineStr">
        <is>
          <t>légal</t>
        </is>
      </c>
      <c r="G1088" s="105" t="n">
        <v>0</v>
      </c>
      <c r="H1088" s="105" t="n">
        <v>0.00252</v>
      </c>
      <c r="I1088" s="105" t="n">
        <v>0.20779</v>
      </c>
      <c r="J1088" s="107">
        <f>D1088*(1-C1088)+G1088*MIN(C1088,0.2*(1-C1088))+H1088</f>
        <v/>
      </c>
      <c r="K1088" s="107">
        <f>E1088*(1-C1088)+G1088*MIN(C1088,0.2*(1-C1088))</f>
        <v/>
      </c>
      <c r="L1088" s="107">
        <f>I1088*(1-C1088)</f>
        <v/>
      </c>
      <c r="M1088" s="119">
        <f>SUMIFS(Regimes!$G$5:$G$10,Regimes!$A$5:$A$10,A1088)</f>
        <v/>
      </c>
      <c r="N1088" s="106">
        <f>Donnees_annuelles!D158*J1088</f>
        <v/>
      </c>
      <c r="O1088" s="106">
        <f>Donnees_annuelles!D158*K1088</f>
        <v/>
      </c>
      <c r="P1088" s="106">
        <f>N1088+O1088</f>
        <v/>
      </c>
      <c r="Q1088" s="106">
        <f>Donnees_annuelles!D158*L1088</f>
        <v/>
      </c>
      <c r="R1088" s="118">
        <f>P1088/Donnees_annuelles!AA158*Donnees_annuelles!AI158/Donnees_annuelles!AG158</f>
        <v/>
      </c>
      <c r="S1088" s="118">
        <f>P1088/Donnees_annuelles!AA158*Donnees_annuelles!AJ158/Donnees_annuelles!AH158</f>
        <v/>
      </c>
    </row>
    <row r="1089">
      <c r="A1089" s="115" t="inlineStr">
        <is>
          <t>IEG</t>
        </is>
      </c>
      <c r="B1089" s="101" t="n">
        <v>2101</v>
      </c>
      <c r="C1089" s="105" t="n">
        <v>0.1</v>
      </c>
      <c r="D1089" s="105" t="n">
        <v>0.1278</v>
      </c>
      <c r="E1089" s="105" t="n">
        <v>0.27248</v>
      </c>
      <c r="F1089" s="116" t="inlineStr">
        <is>
          <t>légal</t>
        </is>
      </c>
      <c r="G1089" s="105" t="n">
        <v>0</v>
      </c>
      <c r="H1089" s="105" t="n">
        <v>0.00252</v>
      </c>
      <c r="I1089" s="105" t="n">
        <v>0.20779</v>
      </c>
      <c r="J1089" s="107">
        <f>D1089*(1-C1089)+G1089*MIN(C1089,0.2*(1-C1089))+H1089</f>
        <v/>
      </c>
      <c r="K1089" s="107">
        <f>E1089*(1-C1089)+G1089*MIN(C1089,0.2*(1-C1089))</f>
        <v/>
      </c>
      <c r="L1089" s="107">
        <f>I1089*(1-C1089)</f>
        <v/>
      </c>
      <c r="M1089" s="119">
        <f>SUMIFS(Regimes!$G$5:$G$10,Regimes!$A$5:$A$10,A1089)</f>
        <v/>
      </c>
      <c r="N1089" s="106">
        <f>Donnees_annuelles!D159*J1089</f>
        <v/>
      </c>
      <c r="O1089" s="106">
        <f>Donnees_annuelles!D159*K1089</f>
        <v/>
      </c>
      <c r="P1089" s="106">
        <f>N1089+O1089</f>
        <v/>
      </c>
      <c r="Q1089" s="106">
        <f>Donnees_annuelles!D159*L1089</f>
        <v/>
      </c>
      <c r="R1089" s="118">
        <f>P1089/Donnees_annuelles!AA159*Donnees_annuelles!AI159/Donnees_annuelles!AG159</f>
        <v/>
      </c>
      <c r="S1089" s="118">
        <f>P1089/Donnees_annuelles!AA159*Donnees_annuelles!AJ159/Donnees_annuelles!AH159</f>
        <v/>
      </c>
    </row>
    <row r="1090">
      <c r="A1090" s="115" t="inlineStr">
        <is>
          <t>IEG</t>
        </is>
      </c>
      <c r="B1090" s="101" t="n">
        <v>2102</v>
      </c>
      <c r="C1090" s="105" t="n">
        <v>0.1</v>
      </c>
      <c r="D1090" s="105" t="n">
        <v>0.1278</v>
      </c>
      <c r="E1090" s="105" t="n">
        <v>0.27248</v>
      </c>
      <c r="F1090" s="116" t="inlineStr">
        <is>
          <t>légal</t>
        </is>
      </c>
      <c r="G1090" s="105" t="n">
        <v>0</v>
      </c>
      <c r="H1090" s="105" t="n">
        <v>0.00252</v>
      </c>
      <c r="I1090" s="105" t="n">
        <v>0.20779</v>
      </c>
      <c r="J1090" s="107">
        <f>D1090*(1-C1090)+G1090*MIN(C1090,0.2*(1-C1090))+H1090</f>
        <v/>
      </c>
      <c r="K1090" s="107">
        <f>E1090*(1-C1090)+G1090*MIN(C1090,0.2*(1-C1090))</f>
        <v/>
      </c>
      <c r="L1090" s="107">
        <f>I1090*(1-C1090)</f>
        <v/>
      </c>
      <c r="M1090" s="119">
        <f>SUMIFS(Regimes!$G$5:$G$10,Regimes!$A$5:$A$10,A1090)</f>
        <v/>
      </c>
      <c r="N1090" s="106">
        <f>Donnees_annuelles!D160*J1090</f>
        <v/>
      </c>
      <c r="O1090" s="106">
        <f>Donnees_annuelles!D160*K1090</f>
        <v/>
      </c>
      <c r="P1090" s="106">
        <f>N1090+O1090</f>
        <v/>
      </c>
      <c r="Q1090" s="106">
        <f>Donnees_annuelles!D160*L1090</f>
        <v/>
      </c>
      <c r="R1090" s="118">
        <f>P1090/Donnees_annuelles!AA160*Donnees_annuelles!AI160/Donnees_annuelles!AG160</f>
        <v/>
      </c>
      <c r="S1090" s="118">
        <f>P1090/Donnees_annuelles!AA160*Donnees_annuelles!AJ160/Donnees_annuelles!AH160</f>
        <v/>
      </c>
    </row>
    <row r="1091">
      <c r="A1091" s="115" t="inlineStr">
        <is>
          <t>IEG</t>
        </is>
      </c>
      <c r="B1091" s="101" t="n">
        <v>2103</v>
      </c>
      <c r="C1091" s="105" t="n">
        <v>0.1</v>
      </c>
      <c r="D1091" s="105" t="n">
        <v>0.1278</v>
      </c>
      <c r="E1091" s="105" t="n">
        <v>0.27248</v>
      </c>
      <c r="F1091" s="116" t="inlineStr">
        <is>
          <t>légal</t>
        </is>
      </c>
      <c r="G1091" s="105" t="n">
        <v>0</v>
      </c>
      <c r="H1091" s="105" t="n">
        <v>0.00252</v>
      </c>
      <c r="I1091" s="105" t="n">
        <v>0.20779</v>
      </c>
      <c r="J1091" s="107">
        <f>D1091*(1-C1091)+G1091*MIN(C1091,0.2*(1-C1091))+H1091</f>
        <v/>
      </c>
      <c r="K1091" s="107">
        <f>E1091*(1-C1091)+G1091*MIN(C1091,0.2*(1-C1091))</f>
        <v/>
      </c>
      <c r="L1091" s="107">
        <f>I1091*(1-C1091)</f>
        <v/>
      </c>
      <c r="M1091" s="119">
        <f>SUMIFS(Regimes!$G$5:$G$10,Regimes!$A$5:$A$10,A1091)</f>
        <v/>
      </c>
      <c r="N1091" s="106">
        <f>Donnees_annuelles!D161*J1091</f>
        <v/>
      </c>
      <c r="O1091" s="106">
        <f>Donnees_annuelles!D161*K1091</f>
        <v/>
      </c>
      <c r="P1091" s="106">
        <f>N1091+O1091</f>
        <v/>
      </c>
      <c r="Q1091" s="106">
        <f>Donnees_annuelles!D161*L1091</f>
        <v/>
      </c>
      <c r="R1091" s="118">
        <f>P1091/Donnees_annuelles!AA161*Donnees_annuelles!AI161/Donnees_annuelles!AG161</f>
        <v/>
      </c>
      <c r="S1091" s="118">
        <f>P1091/Donnees_annuelles!AA161*Donnees_annuelles!AJ161/Donnees_annuelles!AH161</f>
        <v/>
      </c>
    </row>
    <row r="1092">
      <c r="A1092" s="115" t="inlineStr">
        <is>
          <t>IEG</t>
        </is>
      </c>
      <c r="B1092" s="101" t="n">
        <v>2104</v>
      </c>
      <c r="C1092" s="105" t="n">
        <v>0.1</v>
      </c>
      <c r="D1092" s="105" t="n">
        <v>0.1278</v>
      </c>
      <c r="E1092" s="105" t="n">
        <v>0.27248</v>
      </c>
      <c r="F1092" s="116" t="inlineStr">
        <is>
          <t>légal</t>
        </is>
      </c>
      <c r="G1092" s="105" t="n">
        <v>0</v>
      </c>
      <c r="H1092" s="105" t="n">
        <v>0.00252</v>
      </c>
      <c r="I1092" s="105" t="n">
        <v>0.20779</v>
      </c>
      <c r="J1092" s="107">
        <f>D1092*(1-C1092)+G1092*MIN(C1092,0.2*(1-C1092))+H1092</f>
        <v/>
      </c>
      <c r="K1092" s="107">
        <f>E1092*(1-C1092)+G1092*MIN(C1092,0.2*(1-C1092))</f>
        <v/>
      </c>
      <c r="L1092" s="107">
        <f>I1092*(1-C1092)</f>
        <v/>
      </c>
      <c r="M1092" s="119">
        <f>SUMIFS(Regimes!$G$5:$G$10,Regimes!$A$5:$A$10,A1092)</f>
        <v/>
      </c>
      <c r="N1092" s="106">
        <f>Donnees_annuelles!D162*J1092</f>
        <v/>
      </c>
      <c r="O1092" s="106">
        <f>Donnees_annuelles!D162*K1092</f>
        <v/>
      </c>
      <c r="P1092" s="106">
        <f>N1092+O1092</f>
        <v/>
      </c>
      <c r="Q1092" s="106">
        <f>Donnees_annuelles!D162*L1092</f>
        <v/>
      </c>
      <c r="R1092" s="118">
        <f>P1092/Donnees_annuelles!AA162*Donnees_annuelles!AI162/Donnees_annuelles!AG162</f>
        <v/>
      </c>
      <c r="S1092" s="118">
        <f>P1092/Donnees_annuelles!AA162*Donnees_annuelles!AJ162/Donnees_annuelles!AH162</f>
        <v/>
      </c>
    </row>
    <row r="1093">
      <c r="A1093" s="115" t="inlineStr">
        <is>
          <t>IEG</t>
        </is>
      </c>
      <c r="B1093" s="101" t="n">
        <v>2105</v>
      </c>
      <c r="C1093" s="105" t="n">
        <v>0.1</v>
      </c>
      <c r="D1093" s="105" t="n">
        <v>0.1278</v>
      </c>
      <c r="E1093" s="105" t="n">
        <v>0.27248</v>
      </c>
      <c r="F1093" s="116" t="inlineStr">
        <is>
          <t>légal</t>
        </is>
      </c>
      <c r="G1093" s="105" t="n">
        <v>0</v>
      </c>
      <c r="H1093" s="105" t="n">
        <v>0.00252</v>
      </c>
      <c r="I1093" s="105" t="n">
        <v>0.20779</v>
      </c>
      <c r="J1093" s="107">
        <f>D1093*(1-C1093)+G1093*MIN(C1093,0.2*(1-C1093))+H1093</f>
        <v/>
      </c>
      <c r="K1093" s="107">
        <f>E1093*(1-C1093)+G1093*MIN(C1093,0.2*(1-C1093))</f>
        <v/>
      </c>
      <c r="L1093" s="107">
        <f>I1093*(1-C1093)</f>
        <v/>
      </c>
      <c r="M1093" s="119">
        <f>SUMIFS(Regimes!$G$5:$G$10,Regimes!$A$5:$A$10,A1093)</f>
        <v/>
      </c>
      <c r="N1093" s="106">
        <f>Donnees_annuelles!D163*J1093</f>
        <v/>
      </c>
      <c r="O1093" s="106">
        <f>Donnees_annuelles!D163*K1093</f>
        <v/>
      </c>
      <c r="P1093" s="106">
        <f>N1093+O1093</f>
        <v/>
      </c>
      <c r="Q1093" s="106">
        <f>Donnees_annuelles!D163*L1093</f>
        <v/>
      </c>
      <c r="R1093" s="118">
        <f>P1093/Donnees_annuelles!AA163*Donnees_annuelles!AI163/Donnees_annuelles!AG163</f>
        <v/>
      </c>
      <c r="S1093" s="118">
        <f>P1093/Donnees_annuelles!AA163*Donnees_annuelles!AJ163/Donnees_annuelles!AH163</f>
        <v/>
      </c>
    </row>
    <row r="1094">
      <c r="A1094" s="115" t="inlineStr">
        <is>
          <t>IEG</t>
        </is>
      </c>
      <c r="B1094" s="101" t="n">
        <v>2106</v>
      </c>
      <c r="C1094" s="105" t="n">
        <v>0.1</v>
      </c>
      <c r="D1094" s="105" t="n">
        <v>0.1278</v>
      </c>
      <c r="E1094" s="105" t="n">
        <v>0.27248</v>
      </c>
      <c r="F1094" s="116" t="inlineStr">
        <is>
          <t>légal</t>
        </is>
      </c>
      <c r="G1094" s="105" t="n">
        <v>0</v>
      </c>
      <c r="H1094" s="105" t="n">
        <v>0.00252</v>
      </c>
      <c r="I1094" s="105" t="n">
        <v>0.20779</v>
      </c>
      <c r="J1094" s="107">
        <f>D1094*(1-C1094)+G1094*MIN(C1094,0.2*(1-C1094))+H1094</f>
        <v/>
      </c>
      <c r="K1094" s="107">
        <f>E1094*(1-C1094)+G1094*MIN(C1094,0.2*(1-C1094))</f>
        <v/>
      </c>
      <c r="L1094" s="107">
        <f>I1094*(1-C1094)</f>
        <v/>
      </c>
      <c r="M1094" s="119">
        <f>SUMIFS(Regimes!$G$5:$G$10,Regimes!$A$5:$A$10,A1094)</f>
        <v/>
      </c>
      <c r="N1094" s="106">
        <f>Donnees_annuelles!D164*J1094</f>
        <v/>
      </c>
      <c r="O1094" s="106">
        <f>Donnees_annuelles!D164*K1094</f>
        <v/>
      </c>
      <c r="P1094" s="106">
        <f>N1094+O1094</f>
        <v/>
      </c>
      <c r="Q1094" s="106">
        <f>Donnees_annuelles!D164*L1094</f>
        <v/>
      </c>
      <c r="R1094" s="118">
        <f>P1094/Donnees_annuelles!AA164*Donnees_annuelles!AI164/Donnees_annuelles!AG164</f>
        <v/>
      </c>
      <c r="S1094" s="118">
        <f>P1094/Donnees_annuelles!AA164*Donnees_annuelles!AJ164/Donnees_annuelles!AH164</f>
        <v/>
      </c>
    </row>
    <row r="1095">
      <c r="A1095" s="115" t="inlineStr">
        <is>
          <t>IEG</t>
        </is>
      </c>
      <c r="B1095" s="101" t="n">
        <v>2107</v>
      </c>
      <c r="C1095" s="105" t="n">
        <v>0.1</v>
      </c>
      <c r="D1095" s="105" t="n">
        <v>0.1278</v>
      </c>
      <c r="E1095" s="105" t="n">
        <v>0.27248</v>
      </c>
      <c r="F1095" s="116" t="inlineStr">
        <is>
          <t>légal</t>
        </is>
      </c>
      <c r="G1095" s="105" t="n">
        <v>0</v>
      </c>
      <c r="H1095" s="105" t="n">
        <v>0.00252</v>
      </c>
      <c r="I1095" s="105" t="n">
        <v>0.20779</v>
      </c>
      <c r="J1095" s="107">
        <f>D1095*(1-C1095)+G1095*MIN(C1095,0.2*(1-C1095))+H1095</f>
        <v/>
      </c>
      <c r="K1095" s="107">
        <f>E1095*(1-C1095)+G1095*MIN(C1095,0.2*(1-C1095))</f>
        <v/>
      </c>
      <c r="L1095" s="107">
        <f>I1095*(1-C1095)</f>
        <v/>
      </c>
      <c r="M1095" s="119">
        <f>SUMIFS(Regimes!$G$5:$G$10,Regimes!$A$5:$A$10,A1095)</f>
        <v/>
      </c>
      <c r="N1095" s="106">
        <f>Donnees_annuelles!D165*J1095</f>
        <v/>
      </c>
      <c r="O1095" s="106">
        <f>Donnees_annuelles!D165*K1095</f>
        <v/>
      </c>
      <c r="P1095" s="106">
        <f>N1095+O1095</f>
        <v/>
      </c>
      <c r="Q1095" s="106">
        <f>Donnees_annuelles!D165*L1095</f>
        <v/>
      </c>
      <c r="R1095" s="118">
        <f>P1095/Donnees_annuelles!AA165*Donnees_annuelles!AI165/Donnees_annuelles!AG165</f>
        <v/>
      </c>
      <c r="S1095" s="118">
        <f>P1095/Donnees_annuelles!AA165*Donnees_annuelles!AJ165/Donnees_annuelles!AH165</f>
        <v/>
      </c>
    </row>
    <row r="1096">
      <c r="A1096" s="115" t="inlineStr">
        <is>
          <t>IEG</t>
        </is>
      </c>
      <c r="B1096" s="101" t="n">
        <v>2108</v>
      </c>
      <c r="C1096" s="105" t="n">
        <v>0.1</v>
      </c>
      <c r="D1096" s="105" t="n">
        <v>0.1278</v>
      </c>
      <c r="E1096" s="105" t="n">
        <v>0.27248</v>
      </c>
      <c r="F1096" s="116" t="inlineStr">
        <is>
          <t>légal</t>
        </is>
      </c>
      <c r="G1096" s="105" t="n">
        <v>0</v>
      </c>
      <c r="H1096" s="105" t="n">
        <v>0.00252</v>
      </c>
      <c r="I1096" s="105" t="n">
        <v>0.20779</v>
      </c>
      <c r="J1096" s="107">
        <f>D1096*(1-C1096)+G1096*MIN(C1096,0.2*(1-C1096))+H1096</f>
        <v/>
      </c>
      <c r="K1096" s="107">
        <f>E1096*(1-C1096)+G1096*MIN(C1096,0.2*(1-C1096))</f>
        <v/>
      </c>
      <c r="L1096" s="107">
        <f>I1096*(1-C1096)</f>
        <v/>
      </c>
      <c r="M1096" s="119">
        <f>SUMIFS(Regimes!$G$5:$G$10,Regimes!$A$5:$A$10,A1096)</f>
        <v/>
      </c>
      <c r="N1096" s="106">
        <f>Donnees_annuelles!D166*J1096</f>
        <v/>
      </c>
      <c r="O1096" s="106">
        <f>Donnees_annuelles!D166*K1096</f>
        <v/>
      </c>
      <c r="P1096" s="106">
        <f>N1096+O1096</f>
        <v/>
      </c>
      <c r="Q1096" s="106">
        <f>Donnees_annuelles!D166*L1096</f>
        <v/>
      </c>
      <c r="R1096" s="118">
        <f>P1096/Donnees_annuelles!AA166*Donnees_annuelles!AI166/Donnees_annuelles!AG166</f>
        <v/>
      </c>
      <c r="S1096" s="118">
        <f>P1096/Donnees_annuelles!AA166*Donnees_annuelles!AJ166/Donnees_annuelles!AH166</f>
        <v/>
      </c>
    </row>
    <row r="1097">
      <c r="A1097" s="115" t="inlineStr">
        <is>
          <t>IEG</t>
        </is>
      </c>
      <c r="B1097" s="101" t="n">
        <v>2109</v>
      </c>
      <c r="C1097" s="105" t="n">
        <v>0.1</v>
      </c>
      <c r="D1097" s="105" t="n">
        <v>0.1278</v>
      </c>
      <c r="E1097" s="105" t="n">
        <v>0.27248</v>
      </c>
      <c r="F1097" s="116" t="inlineStr">
        <is>
          <t>légal</t>
        </is>
      </c>
      <c r="G1097" s="105" t="n">
        <v>0</v>
      </c>
      <c r="H1097" s="105" t="n">
        <v>0.00252</v>
      </c>
      <c r="I1097" s="105" t="n">
        <v>0.20779</v>
      </c>
      <c r="J1097" s="107">
        <f>D1097*(1-C1097)+G1097*MIN(C1097,0.2*(1-C1097))+H1097</f>
        <v/>
      </c>
      <c r="K1097" s="107">
        <f>E1097*(1-C1097)+G1097*MIN(C1097,0.2*(1-C1097))</f>
        <v/>
      </c>
      <c r="L1097" s="107">
        <f>I1097*(1-C1097)</f>
        <v/>
      </c>
      <c r="M1097" s="119">
        <f>SUMIFS(Regimes!$G$5:$G$10,Regimes!$A$5:$A$10,A1097)</f>
        <v/>
      </c>
      <c r="N1097" s="106">
        <f>Donnees_annuelles!D167*J1097</f>
        <v/>
      </c>
      <c r="O1097" s="106">
        <f>Donnees_annuelles!D167*K1097</f>
        <v/>
      </c>
      <c r="P1097" s="106">
        <f>N1097+O1097</f>
        <v/>
      </c>
      <c r="Q1097" s="106">
        <f>Donnees_annuelles!D167*L1097</f>
        <v/>
      </c>
      <c r="R1097" s="118">
        <f>P1097/Donnees_annuelles!AA167*Donnees_annuelles!AI167/Donnees_annuelles!AG167</f>
        <v/>
      </c>
      <c r="S1097" s="118">
        <f>P1097/Donnees_annuelles!AA167*Donnees_annuelles!AJ167/Donnees_annuelles!AH167</f>
        <v/>
      </c>
    </row>
    <row r="1098">
      <c r="A1098" s="115" t="inlineStr">
        <is>
          <t>IEG</t>
        </is>
      </c>
      <c r="B1098" s="101" t="n">
        <v>2110</v>
      </c>
      <c r="C1098" s="105" t="n">
        <v>0.1</v>
      </c>
      <c r="D1098" s="105" t="n">
        <v>0.1278</v>
      </c>
      <c r="E1098" s="105" t="n">
        <v>0.27248</v>
      </c>
      <c r="F1098" s="116" t="inlineStr">
        <is>
          <t>légal</t>
        </is>
      </c>
      <c r="G1098" s="105" t="n">
        <v>0</v>
      </c>
      <c r="H1098" s="105" t="n">
        <v>0.00252</v>
      </c>
      <c r="I1098" s="105" t="n">
        <v>0.20779</v>
      </c>
      <c r="J1098" s="107">
        <f>D1098*(1-C1098)+G1098*MIN(C1098,0.2*(1-C1098))+H1098</f>
        <v/>
      </c>
      <c r="K1098" s="107">
        <f>E1098*(1-C1098)+G1098*MIN(C1098,0.2*(1-C1098))</f>
        <v/>
      </c>
      <c r="L1098" s="107">
        <f>I1098*(1-C1098)</f>
        <v/>
      </c>
      <c r="M1098" s="119">
        <f>SUMIFS(Regimes!$G$5:$G$10,Regimes!$A$5:$A$10,A1098)</f>
        <v/>
      </c>
      <c r="N1098" s="106">
        <f>Donnees_annuelles!D168*J1098</f>
        <v/>
      </c>
      <c r="O1098" s="106">
        <f>Donnees_annuelles!D168*K1098</f>
        <v/>
      </c>
      <c r="P1098" s="106">
        <f>N1098+O1098</f>
        <v/>
      </c>
      <c r="Q1098" s="106">
        <f>Donnees_annuelles!D168*L1098</f>
        <v/>
      </c>
      <c r="R1098" s="118">
        <f>P1098/Donnees_annuelles!AA168*Donnees_annuelles!AI168/Donnees_annuelles!AG168</f>
        <v/>
      </c>
      <c r="S1098" s="118">
        <f>P1098/Donnees_annuelles!AA168*Donnees_annuelles!AJ168/Donnees_annuelles!AH168</f>
        <v/>
      </c>
    </row>
    <row r="1099">
      <c r="A1099" s="115" t="inlineStr">
        <is>
          <t>IEG</t>
        </is>
      </c>
      <c r="B1099" s="101" t="n">
        <v>2111</v>
      </c>
      <c r="C1099" s="105" t="n">
        <v>0.1</v>
      </c>
      <c r="D1099" s="105" t="n">
        <v>0.1278</v>
      </c>
      <c r="E1099" s="105" t="n">
        <v>0.27248</v>
      </c>
      <c r="F1099" s="116" t="inlineStr">
        <is>
          <t>légal</t>
        </is>
      </c>
      <c r="G1099" s="105" t="n">
        <v>0</v>
      </c>
      <c r="H1099" s="105" t="n">
        <v>0.00252</v>
      </c>
      <c r="I1099" s="105" t="n">
        <v>0.20779</v>
      </c>
      <c r="J1099" s="107">
        <f>D1099*(1-C1099)+G1099*MIN(C1099,0.2*(1-C1099))+H1099</f>
        <v/>
      </c>
      <c r="K1099" s="107">
        <f>E1099*(1-C1099)+G1099*MIN(C1099,0.2*(1-C1099))</f>
        <v/>
      </c>
      <c r="L1099" s="107">
        <f>I1099*(1-C1099)</f>
        <v/>
      </c>
      <c r="M1099" s="119">
        <f>SUMIFS(Regimes!$G$5:$G$10,Regimes!$A$5:$A$10,A1099)</f>
        <v/>
      </c>
      <c r="N1099" s="106">
        <f>Donnees_annuelles!D169*J1099</f>
        <v/>
      </c>
      <c r="O1099" s="106">
        <f>Donnees_annuelles!D169*K1099</f>
        <v/>
      </c>
      <c r="P1099" s="106">
        <f>N1099+O1099</f>
        <v/>
      </c>
      <c r="Q1099" s="106">
        <f>Donnees_annuelles!D169*L1099</f>
        <v/>
      </c>
      <c r="R1099" s="118">
        <f>P1099/Donnees_annuelles!AA169*Donnees_annuelles!AI169/Donnees_annuelles!AG169</f>
        <v/>
      </c>
      <c r="S1099" s="118">
        <f>P1099/Donnees_annuelles!AA169*Donnees_annuelles!AJ169/Donnees_annuelles!AH169</f>
        <v/>
      </c>
    </row>
    <row r="1100">
      <c r="A1100" s="115" t="inlineStr">
        <is>
          <t>IEG</t>
        </is>
      </c>
      <c r="B1100" s="101" t="n">
        <v>2112</v>
      </c>
      <c r="C1100" s="105" t="n">
        <v>0.1</v>
      </c>
      <c r="D1100" s="105" t="n">
        <v>0.1278</v>
      </c>
      <c r="E1100" s="105" t="n">
        <v>0.27248</v>
      </c>
      <c r="F1100" s="116" t="inlineStr">
        <is>
          <t>légal</t>
        </is>
      </c>
      <c r="G1100" s="105" t="n">
        <v>0</v>
      </c>
      <c r="H1100" s="105" t="n">
        <v>0.00252</v>
      </c>
      <c r="I1100" s="105" t="n">
        <v>0.20779</v>
      </c>
      <c r="J1100" s="107">
        <f>D1100*(1-C1100)+G1100*MIN(C1100,0.2*(1-C1100))+H1100</f>
        <v/>
      </c>
      <c r="K1100" s="107">
        <f>E1100*(1-C1100)+G1100*MIN(C1100,0.2*(1-C1100))</f>
        <v/>
      </c>
      <c r="L1100" s="107">
        <f>I1100*(1-C1100)</f>
        <v/>
      </c>
      <c r="M1100" s="119">
        <f>SUMIFS(Regimes!$G$5:$G$10,Regimes!$A$5:$A$10,A1100)</f>
        <v/>
      </c>
      <c r="N1100" s="106">
        <f>Donnees_annuelles!D170*J1100</f>
        <v/>
      </c>
      <c r="O1100" s="106">
        <f>Donnees_annuelles!D170*K1100</f>
        <v/>
      </c>
      <c r="P1100" s="106">
        <f>N1100+O1100</f>
        <v/>
      </c>
      <c r="Q1100" s="106">
        <f>Donnees_annuelles!D170*L1100</f>
        <v/>
      </c>
      <c r="R1100" s="118">
        <f>P1100/Donnees_annuelles!AA170*Donnees_annuelles!AI170/Donnees_annuelles!AG170</f>
        <v/>
      </c>
      <c r="S1100" s="118">
        <f>P1100/Donnees_annuelles!AA170*Donnees_annuelles!AJ170/Donnees_annuelles!AH170</f>
        <v/>
      </c>
    </row>
    <row r="1101">
      <c r="A1101" s="115" t="inlineStr">
        <is>
          <t>IEG</t>
        </is>
      </c>
      <c r="B1101" s="101" t="n">
        <v>2113</v>
      </c>
      <c r="C1101" s="105" t="n">
        <v>0.1</v>
      </c>
      <c r="D1101" s="105" t="n">
        <v>0.1278</v>
      </c>
      <c r="E1101" s="105" t="n">
        <v>0.27248</v>
      </c>
      <c r="F1101" s="116" t="inlineStr">
        <is>
          <t>légal</t>
        </is>
      </c>
      <c r="G1101" s="105" t="n">
        <v>0</v>
      </c>
      <c r="H1101" s="105" t="n">
        <v>0.00252</v>
      </c>
      <c r="I1101" s="105" t="n">
        <v>0.20779</v>
      </c>
      <c r="J1101" s="107">
        <f>D1101*(1-C1101)+G1101*MIN(C1101,0.2*(1-C1101))+H1101</f>
        <v/>
      </c>
      <c r="K1101" s="107">
        <f>E1101*(1-C1101)+G1101*MIN(C1101,0.2*(1-C1101))</f>
        <v/>
      </c>
      <c r="L1101" s="107">
        <f>I1101*(1-C1101)</f>
        <v/>
      </c>
      <c r="M1101" s="119">
        <f>SUMIFS(Regimes!$G$5:$G$10,Regimes!$A$5:$A$10,A1101)</f>
        <v/>
      </c>
      <c r="N1101" s="106">
        <f>Donnees_annuelles!D171*J1101</f>
        <v/>
      </c>
      <c r="O1101" s="106">
        <f>Donnees_annuelles!D171*K1101</f>
        <v/>
      </c>
      <c r="P1101" s="106">
        <f>N1101+O1101</f>
        <v/>
      </c>
      <c r="Q1101" s="106">
        <f>Donnees_annuelles!D171*L1101</f>
        <v/>
      </c>
      <c r="R1101" s="118">
        <f>P1101/Donnees_annuelles!AA171*Donnees_annuelles!AI171/Donnees_annuelles!AG171</f>
        <v/>
      </c>
      <c r="S1101" s="118">
        <f>P1101/Donnees_annuelles!AA171*Donnees_annuelles!AJ171/Donnees_annuelles!AH171</f>
        <v/>
      </c>
    </row>
    <row r="1102">
      <c r="A1102" s="115" t="inlineStr">
        <is>
          <t>IEG</t>
        </is>
      </c>
      <c r="B1102" s="101" t="n">
        <v>2114</v>
      </c>
      <c r="C1102" s="105" t="n">
        <v>0.1</v>
      </c>
      <c r="D1102" s="105" t="n">
        <v>0.1278</v>
      </c>
      <c r="E1102" s="105" t="n">
        <v>0.27248</v>
      </c>
      <c r="F1102" s="116" t="inlineStr">
        <is>
          <t>légal</t>
        </is>
      </c>
      <c r="G1102" s="105" t="n">
        <v>0</v>
      </c>
      <c r="H1102" s="105" t="n">
        <v>0.00252</v>
      </c>
      <c r="I1102" s="105" t="n">
        <v>0.20779</v>
      </c>
      <c r="J1102" s="107">
        <f>D1102*(1-C1102)+G1102*MIN(C1102,0.2*(1-C1102))+H1102</f>
        <v/>
      </c>
      <c r="K1102" s="107">
        <f>E1102*(1-C1102)+G1102*MIN(C1102,0.2*(1-C1102))</f>
        <v/>
      </c>
      <c r="L1102" s="107">
        <f>I1102*(1-C1102)</f>
        <v/>
      </c>
      <c r="M1102" s="119">
        <f>SUMIFS(Regimes!$G$5:$G$10,Regimes!$A$5:$A$10,A1102)</f>
        <v/>
      </c>
      <c r="N1102" s="106">
        <f>Donnees_annuelles!D172*J1102</f>
        <v/>
      </c>
      <c r="O1102" s="106">
        <f>Donnees_annuelles!D172*K1102</f>
        <v/>
      </c>
      <c r="P1102" s="106">
        <f>N1102+O1102</f>
        <v/>
      </c>
      <c r="Q1102" s="106">
        <f>Donnees_annuelles!D172*L1102</f>
        <v/>
      </c>
      <c r="R1102" s="118">
        <f>P1102/Donnees_annuelles!AA172*Donnees_annuelles!AI172/Donnees_annuelles!AG172</f>
        <v/>
      </c>
      <c r="S1102" s="118">
        <f>P1102/Donnees_annuelles!AA172*Donnees_annuelles!AJ172/Donnees_annuelles!AH172</f>
        <v/>
      </c>
    </row>
    <row r="1103">
      <c r="A1103" s="115" t="inlineStr">
        <is>
          <t>IEG</t>
        </is>
      </c>
      <c r="B1103" s="101" t="n">
        <v>2115</v>
      </c>
      <c r="C1103" s="105" t="n">
        <v>0.1</v>
      </c>
      <c r="D1103" s="105" t="n">
        <v>0.1278</v>
      </c>
      <c r="E1103" s="105" t="n">
        <v>0.27248</v>
      </c>
      <c r="F1103" s="116" t="inlineStr">
        <is>
          <t>légal</t>
        </is>
      </c>
      <c r="G1103" s="105" t="n">
        <v>0</v>
      </c>
      <c r="H1103" s="105" t="n">
        <v>0.00252</v>
      </c>
      <c r="I1103" s="105" t="n">
        <v>0.20779</v>
      </c>
      <c r="J1103" s="107">
        <f>D1103*(1-C1103)+G1103*MIN(C1103,0.2*(1-C1103))+H1103</f>
        <v/>
      </c>
      <c r="K1103" s="107">
        <f>E1103*(1-C1103)+G1103*MIN(C1103,0.2*(1-C1103))</f>
        <v/>
      </c>
      <c r="L1103" s="107">
        <f>I1103*(1-C1103)</f>
        <v/>
      </c>
      <c r="M1103" s="119">
        <f>SUMIFS(Regimes!$G$5:$G$10,Regimes!$A$5:$A$10,A1103)</f>
        <v/>
      </c>
      <c r="N1103" s="106">
        <f>Donnees_annuelles!D173*J1103</f>
        <v/>
      </c>
      <c r="O1103" s="106">
        <f>Donnees_annuelles!D173*K1103</f>
        <v/>
      </c>
      <c r="P1103" s="106">
        <f>N1103+O1103</f>
        <v/>
      </c>
      <c r="Q1103" s="106">
        <f>Donnees_annuelles!D173*L1103</f>
        <v/>
      </c>
      <c r="R1103" s="118">
        <f>P1103/Donnees_annuelles!AA173*Donnees_annuelles!AI173/Donnees_annuelles!AG173</f>
        <v/>
      </c>
      <c r="S1103" s="118">
        <f>P1103/Donnees_annuelles!AA173*Donnees_annuelles!AJ173/Donnees_annuelles!AH173</f>
        <v/>
      </c>
    </row>
    <row r="1104">
      <c r="A1104" s="115" t="inlineStr">
        <is>
          <t>IEG</t>
        </is>
      </c>
      <c r="B1104" s="101" t="n">
        <v>2116</v>
      </c>
      <c r="C1104" s="105" t="n">
        <v>0.1</v>
      </c>
      <c r="D1104" s="105" t="n">
        <v>0.1278</v>
      </c>
      <c r="E1104" s="105" t="n">
        <v>0.27248</v>
      </c>
      <c r="F1104" s="116" t="inlineStr">
        <is>
          <t>légal</t>
        </is>
      </c>
      <c r="G1104" s="105" t="n">
        <v>0</v>
      </c>
      <c r="H1104" s="105" t="n">
        <v>0.00252</v>
      </c>
      <c r="I1104" s="105" t="n">
        <v>0.20779</v>
      </c>
      <c r="J1104" s="107">
        <f>D1104*(1-C1104)+G1104*MIN(C1104,0.2*(1-C1104))+H1104</f>
        <v/>
      </c>
      <c r="K1104" s="107">
        <f>E1104*(1-C1104)+G1104*MIN(C1104,0.2*(1-C1104))</f>
        <v/>
      </c>
      <c r="L1104" s="107">
        <f>I1104*(1-C1104)</f>
        <v/>
      </c>
      <c r="M1104" s="119">
        <f>SUMIFS(Regimes!$G$5:$G$10,Regimes!$A$5:$A$10,A1104)</f>
        <v/>
      </c>
      <c r="N1104" s="106">
        <f>Donnees_annuelles!D174*J1104</f>
        <v/>
      </c>
      <c r="O1104" s="106">
        <f>Donnees_annuelles!D174*K1104</f>
        <v/>
      </c>
      <c r="P1104" s="106">
        <f>N1104+O1104</f>
        <v/>
      </c>
      <c r="Q1104" s="106">
        <f>Donnees_annuelles!D174*L1104</f>
        <v/>
      </c>
      <c r="R1104" s="118">
        <f>P1104/Donnees_annuelles!AA174*Donnees_annuelles!AI174/Donnees_annuelles!AG174</f>
        <v/>
      </c>
      <c r="S1104" s="118">
        <f>P1104/Donnees_annuelles!AA174*Donnees_annuelles!AJ174/Donnees_annuelles!AH174</f>
        <v/>
      </c>
    </row>
    <row r="1105">
      <c r="A1105" s="115" t="inlineStr">
        <is>
          <t>IEG</t>
        </is>
      </c>
      <c r="B1105" s="101" t="n">
        <v>2117</v>
      </c>
      <c r="C1105" s="105" t="n">
        <v>0.1</v>
      </c>
      <c r="D1105" s="105" t="n">
        <v>0.1278</v>
      </c>
      <c r="E1105" s="105" t="n">
        <v>0.27248</v>
      </c>
      <c r="F1105" s="116" t="inlineStr">
        <is>
          <t>légal</t>
        </is>
      </c>
      <c r="G1105" s="105" t="n">
        <v>0</v>
      </c>
      <c r="H1105" s="105" t="n">
        <v>0.00252</v>
      </c>
      <c r="I1105" s="105" t="n">
        <v>0.20779</v>
      </c>
      <c r="J1105" s="107">
        <f>D1105*(1-C1105)+G1105*MIN(C1105,0.2*(1-C1105))+H1105</f>
        <v/>
      </c>
      <c r="K1105" s="107">
        <f>E1105*(1-C1105)+G1105*MIN(C1105,0.2*(1-C1105))</f>
        <v/>
      </c>
      <c r="L1105" s="107">
        <f>I1105*(1-C1105)</f>
        <v/>
      </c>
      <c r="M1105" s="119">
        <f>SUMIFS(Regimes!$G$5:$G$10,Regimes!$A$5:$A$10,A1105)</f>
        <v/>
      </c>
      <c r="N1105" s="106">
        <f>Donnees_annuelles!D175*J1105</f>
        <v/>
      </c>
      <c r="O1105" s="106">
        <f>Donnees_annuelles!D175*K1105</f>
        <v/>
      </c>
      <c r="P1105" s="106">
        <f>N1105+O1105</f>
        <v/>
      </c>
      <c r="Q1105" s="106">
        <f>Donnees_annuelles!D175*L1105</f>
        <v/>
      </c>
      <c r="R1105" s="118">
        <f>P1105/Donnees_annuelles!AA175*Donnees_annuelles!AI175/Donnees_annuelles!AG175</f>
        <v/>
      </c>
      <c r="S1105" s="118">
        <f>P1105/Donnees_annuelles!AA175*Donnees_annuelles!AJ175/Donnees_annuelles!AH175</f>
        <v/>
      </c>
    </row>
    <row r="1106">
      <c r="A1106" s="115" t="inlineStr">
        <is>
          <t>IEG</t>
        </is>
      </c>
      <c r="B1106" s="101" t="n">
        <v>2118</v>
      </c>
      <c r="C1106" s="105" t="n">
        <v>0.1</v>
      </c>
      <c r="D1106" s="105" t="n">
        <v>0.1278</v>
      </c>
      <c r="E1106" s="105" t="n">
        <v>0.27248</v>
      </c>
      <c r="F1106" s="116" t="inlineStr">
        <is>
          <t>légal</t>
        </is>
      </c>
      <c r="G1106" s="105" t="n">
        <v>0</v>
      </c>
      <c r="H1106" s="105" t="n">
        <v>0.00252</v>
      </c>
      <c r="I1106" s="105" t="n">
        <v>0.20779</v>
      </c>
      <c r="J1106" s="107">
        <f>D1106*(1-C1106)+G1106*MIN(C1106,0.2*(1-C1106))+H1106</f>
        <v/>
      </c>
      <c r="K1106" s="107">
        <f>E1106*(1-C1106)+G1106*MIN(C1106,0.2*(1-C1106))</f>
        <v/>
      </c>
      <c r="L1106" s="107">
        <f>I1106*(1-C1106)</f>
        <v/>
      </c>
      <c r="M1106" s="119">
        <f>SUMIFS(Regimes!$G$5:$G$10,Regimes!$A$5:$A$10,A1106)</f>
        <v/>
      </c>
      <c r="N1106" s="106">
        <f>Donnees_annuelles!D176*J1106</f>
        <v/>
      </c>
      <c r="O1106" s="106">
        <f>Donnees_annuelles!D176*K1106</f>
        <v/>
      </c>
      <c r="P1106" s="106">
        <f>N1106+O1106</f>
        <v/>
      </c>
      <c r="Q1106" s="106">
        <f>Donnees_annuelles!D176*L1106</f>
        <v/>
      </c>
      <c r="R1106" s="118">
        <f>P1106/Donnees_annuelles!AA176*Donnees_annuelles!AI176/Donnees_annuelles!AG176</f>
        <v/>
      </c>
      <c r="S1106" s="118">
        <f>P1106/Donnees_annuelles!AA176*Donnees_annuelles!AJ176/Donnees_annuelles!AH176</f>
        <v/>
      </c>
    </row>
    <row r="1107">
      <c r="A1107" s="115" t="inlineStr">
        <is>
          <t>IEG</t>
        </is>
      </c>
      <c r="B1107" s="101" t="n">
        <v>2119</v>
      </c>
      <c r="C1107" s="105" t="n">
        <v>0.1</v>
      </c>
      <c r="D1107" s="105" t="n">
        <v>0.1278</v>
      </c>
      <c r="E1107" s="105" t="n">
        <v>0.27248</v>
      </c>
      <c r="F1107" s="116" t="inlineStr">
        <is>
          <t>légal</t>
        </is>
      </c>
      <c r="G1107" s="105" t="n">
        <v>0</v>
      </c>
      <c r="H1107" s="105" t="n">
        <v>0.00252</v>
      </c>
      <c r="I1107" s="105" t="n">
        <v>0.20779</v>
      </c>
      <c r="J1107" s="107">
        <f>D1107*(1-C1107)+G1107*MIN(C1107,0.2*(1-C1107))+H1107</f>
        <v/>
      </c>
      <c r="K1107" s="107">
        <f>E1107*(1-C1107)+G1107*MIN(C1107,0.2*(1-C1107))</f>
        <v/>
      </c>
      <c r="L1107" s="107">
        <f>I1107*(1-C1107)</f>
        <v/>
      </c>
      <c r="M1107" s="119">
        <f>SUMIFS(Regimes!$G$5:$G$10,Regimes!$A$5:$A$10,A1107)</f>
        <v/>
      </c>
      <c r="N1107" s="106">
        <f>Donnees_annuelles!D177*J1107</f>
        <v/>
      </c>
      <c r="O1107" s="106">
        <f>Donnees_annuelles!D177*K1107</f>
        <v/>
      </c>
      <c r="P1107" s="106">
        <f>N1107+O1107</f>
        <v/>
      </c>
      <c r="Q1107" s="106">
        <f>Donnees_annuelles!D177*L1107</f>
        <v/>
      </c>
      <c r="R1107" s="118">
        <f>P1107/Donnees_annuelles!AA177*Donnees_annuelles!AI177/Donnees_annuelles!AG177</f>
        <v/>
      </c>
      <c r="S1107" s="118">
        <f>P1107/Donnees_annuelles!AA177*Donnees_annuelles!AJ177/Donnees_annuelles!AH177</f>
        <v/>
      </c>
    </row>
    <row r="1108">
      <c r="A1108" s="115" t="inlineStr">
        <is>
          <t>IEG</t>
        </is>
      </c>
      <c r="B1108" s="101" t="n">
        <v>2120</v>
      </c>
      <c r="C1108" s="105" t="n">
        <v>0.1</v>
      </c>
      <c r="D1108" s="105" t="n">
        <v>0.1278</v>
      </c>
      <c r="E1108" s="105" t="n">
        <v>0.27248</v>
      </c>
      <c r="F1108" s="116" t="inlineStr">
        <is>
          <t>légal</t>
        </is>
      </c>
      <c r="G1108" s="105" t="n">
        <v>0</v>
      </c>
      <c r="H1108" s="105" t="n">
        <v>0.00252</v>
      </c>
      <c r="I1108" s="105" t="n">
        <v>0.20779</v>
      </c>
      <c r="J1108" s="107">
        <f>D1108*(1-C1108)+G1108*MIN(C1108,0.2*(1-C1108))+H1108</f>
        <v/>
      </c>
      <c r="K1108" s="107">
        <f>E1108*(1-C1108)+G1108*MIN(C1108,0.2*(1-C1108))</f>
        <v/>
      </c>
      <c r="L1108" s="107">
        <f>I1108*(1-C1108)</f>
        <v/>
      </c>
      <c r="M1108" s="119">
        <f>SUMIFS(Regimes!$G$5:$G$10,Regimes!$A$5:$A$10,A1108)</f>
        <v/>
      </c>
      <c r="N1108" s="106">
        <f>Donnees_annuelles!D178*J1108</f>
        <v/>
      </c>
      <c r="O1108" s="106">
        <f>Donnees_annuelles!D178*K1108</f>
        <v/>
      </c>
      <c r="P1108" s="106">
        <f>N1108+O1108</f>
        <v/>
      </c>
      <c r="Q1108" s="106">
        <f>Donnees_annuelles!D178*L1108</f>
        <v/>
      </c>
      <c r="R1108" s="118">
        <f>P1108/Donnees_annuelles!AA178*Donnees_annuelles!AI178/Donnees_annuelles!AG178</f>
        <v/>
      </c>
      <c r="S1108" s="118">
        <f>P1108/Donnees_annuelles!AA178*Donnees_annuelles!AJ178/Donnees_annuelles!AH178</f>
        <v/>
      </c>
    </row>
    <row r="1109">
      <c r="A1109" s="115" t="inlineStr">
        <is>
          <t>IEG</t>
        </is>
      </c>
      <c r="B1109" s="101" t="n">
        <v>2121</v>
      </c>
      <c r="C1109" s="105" t="n">
        <v>0.1</v>
      </c>
      <c r="D1109" s="105" t="n">
        <v>0.1278</v>
      </c>
      <c r="E1109" s="105" t="n">
        <v>0.27248</v>
      </c>
      <c r="F1109" s="116" t="inlineStr">
        <is>
          <t>légal</t>
        </is>
      </c>
      <c r="G1109" s="105" t="n">
        <v>0</v>
      </c>
      <c r="H1109" s="105" t="n">
        <v>0.00252</v>
      </c>
      <c r="I1109" s="105" t="n">
        <v>0.20779</v>
      </c>
      <c r="J1109" s="107">
        <f>D1109*(1-C1109)+G1109*MIN(C1109,0.2*(1-C1109))+H1109</f>
        <v/>
      </c>
      <c r="K1109" s="107">
        <f>E1109*(1-C1109)+G1109*MIN(C1109,0.2*(1-C1109))</f>
        <v/>
      </c>
      <c r="L1109" s="107">
        <f>I1109*(1-C1109)</f>
        <v/>
      </c>
      <c r="M1109" s="119">
        <f>SUMIFS(Regimes!$G$5:$G$10,Regimes!$A$5:$A$10,A1109)</f>
        <v/>
      </c>
      <c r="N1109" s="106">
        <f>Donnees_annuelles!D179*J1109</f>
        <v/>
      </c>
      <c r="O1109" s="106">
        <f>Donnees_annuelles!D179*K1109</f>
        <v/>
      </c>
      <c r="P1109" s="106">
        <f>N1109+O1109</f>
        <v/>
      </c>
      <c r="Q1109" s="106">
        <f>Donnees_annuelles!D179*L1109</f>
        <v/>
      </c>
      <c r="R1109" s="118">
        <f>P1109/Donnees_annuelles!AA179*Donnees_annuelles!AI179/Donnees_annuelles!AG179</f>
        <v/>
      </c>
      <c r="S1109" s="118">
        <f>P1109/Donnees_annuelles!AA179*Donnees_annuelles!AJ179/Donnees_annuelles!AH179</f>
        <v/>
      </c>
    </row>
    <row r="1110">
      <c r="A1110" s="115" t="inlineStr">
        <is>
          <t>IEG</t>
        </is>
      </c>
      <c r="B1110" s="101" t="n">
        <v>2122</v>
      </c>
      <c r="C1110" s="105" t="n">
        <v>0.1</v>
      </c>
      <c r="D1110" s="105" t="n">
        <v>0.1278</v>
      </c>
      <c r="E1110" s="105" t="n">
        <v>0.27248</v>
      </c>
      <c r="F1110" s="116" t="inlineStr">
        <is>
          <t>légal</t>
        </is>
      </c>
      <c r="G1110" s="105" t="n">
        <v>0</v>
      </c>
      <c r="H1110" s="105" t="n">
        <v>0.00252</v>
      </c>
      <c r="I1110" s="105" t="n">
        <v>0.20779</v>
      </c>
      <c r="J1110" s="107">
        <f>D1110*(1-C1110)+G1110*MIN(C1110,0.2*(1-C1110))+H1110</f>
        <v/>
      </c>
      <c r="K1110" s="107">
        <f>E1110*(1-C1110)+G1110*MIN(C1110,0.2*(1-C1110))</f>
        <v/>
      </c>
      <c r="L1110" s="107">
        <f>I1110*(1-C1110)</f>
        <v/>
      </c>
      <c r="M1110" s="119">
        <f>SUMIFS(Regimes!$G$5:$G$10,Regimes!$A$5:$A$10,A1110)</f>
        <v/>
      </c>
      <c r="N1110" s="106">
        <f>Donnees_annuelles!D180*J1110</f>
        <v/>
      </c>
      <c r="O1110" s="106">
        <f>Donnees_annuelles!D180*K1110</f>
        <v/>
      </c>
      <c r="P1110" s="106">
        <f>N1110+O1110</f>
        <v/>
      </c>
      <c r="Q1110" s="106">
        <f>Donnees_annuelles!D180*L1110</f>
        <v/>
      </c>
      <c r="R1110" s="118">
        <f>P1110/Donnees_annuelles!AA180*Donnees_annuelles!AI180/Donnees_annuelles!AG180</f>
        <v/>
      </c>
      <c r="S1110" s="118">
        <f>P1110/Donnees_annuelles!AA180*Donnees_annuelles!AJ180/Donnees_annuelles!AH180</f>
        <v/>
      </c>
    </row>
    <row r="1111">
      <c r="A1111" s="115" t="inlineStr">
        <is>
          <t>IEG</t>
        </is>
      </c>
      <c r="B1111" s="101" t="n">
        <v>2123</v>
      </c>
      <c r="C1111" s="105" t="n">
        <v>0.1</v>
      </c>
      <c r="D1111" s="105" t="n">
        <v>0.1278</v>
      </c>
      <c r="E1111" s="105" t="n">
        <v>0.27248</v>
      </c>
      <c r="F1111" s="116" t="inlineStr">
        <is>
          <t>légal</t>
        </is>
      </c>
      <c r="G1111" s="105" t="n">
        <v>0</v>
      </c>
      <c r="H1111" s="105" t="n">
        <v>0.00252</v>
      </c>
      <c r="I1111" s="105" t="n">
        <v>0.20779</v>
      </c>
      <c r="J1111" s="107">
        <f>D1111*(1-C1111)+G1111*MIN(C1111,0.2*(1-C1111))+H1111</f>
        <v/>
      </c>
      <c r="K1111" s="107">
        <f>E1111*(1-C1111)+G1111*MIN(C1111,0.2*(1-C1111))</f>
        <v/>
      </c>
      <c r="L1111" s="107">
        <f>I1111*(1-C1111)</f>
        <v/>
      </c>
      <c r="M1111" s="119">
        <f>SUMIFS(Regimes!$G$5:$G$10,Regimes!$A$5:$A$10,A1111)</f>
        <v/>
      </c>
      <c r="N1111" s="106">
        <f>Donnees_annuelles!D181*J1111</f>
        <v/>
      </c>
      <c r="O1111" s="106">
        <f>Donnees_annuelles!D181*K1111</f>
        <v/>
      </c>
      <c r="P1111" s="106">
        <f>N1111+O1111</f>
        <v/>
      </c>
      <c r="Q1111" s="106">
        <f>Donnees_annuelles!D181*L1111</f>
        <v/>
      </c>
      <c r="R1111" s="118">
        <f>P1111/Donnees_annuelles!AA181*Donnees_annuelles!AI181/Donnees_annuelles!AG181</f>
        <v/>
      </c>
      <c r="S1111" s="118">
        <f>P1111/Donnees_annuelles!AA181*Donnees_annuelles!AJ181/Donnees_annuelles!AH181</f>
        <v/>
      </c>
    </row>
    <row r="1112">
      <c r="A1112" s="115" t="inlineStr">
        <is>
          <t>IEG</t>
        </is>
      </c>
      <c r="B1112" s="101" t="n">
        <v>2124</v>
      </c>
      <c r="C1112" s="105" t="n">
        <v>0.1</v>
      </c>
      <c r="D1112" s="105" t="n">
        <v>0.1278</v>
      </c>
      <c r="E1112" s="105" t="n">
        <v>0.27248</v>
      </c>
      <c r="F1112" s="116" t="inlineStr">
        <is>
          <t>légal</t>
        </is>
      </c>
      <c r="G1112" s="105" t="n">
        <v>0</v>
      </c>
      <c r="H1112" s="105" t="n">
        <v>0.00252</v>
      </c>
      <c r="I1112" s="105" t="n">
        <v>0.20779</v>
      </c>
      <c r="J1112" s="107">
        <f>D1112*(1-C1112)+G1112*MIN(C1112,0.2*(1-C1112))+H1112</f>
        <v/>
      </c>
      <c r="K1112" s="107">
        <f>E1112*(1-C1112)+G1112*MIN(C1112,0.2*(1-C1112))</f>
        <v/>
      </c>
      <c r="L1112" s="107">
        <f>I1112*(1-C1112)</f>
        <v/>
      </c>
      <c r="M1112" s="119">
        <f>SUMIFS(Regimes!$G$5:$G$10,Regimes!$A$5:$A$10,A1112)</f>
        <v/>
      </c>
      <c r="N1112" s="106">
        <f>Donnees_annuelles!D182*J1112</f>
        <v/>
      </c>
      <c r="O1112" s="106">
        <f>Donnees_annuelles!D182*K1112</f>
        <v/>
      </c>
      <c r="P1112" s="106">
        <f>N1112+O1112</f>
        <v/>
      </c>
      <c r="Q1112" s="106">
        <f>Donnees_annuelles!D182*L1112</f>
        <v/>
      </c>
      <c r="R1112" s="118">
        <f>P1112/Donnees_annuelles!AA182*Donnees_annuelles!AI182/Donnees_annuelles!AG182</f>
        <v/>
      </c>
      <c r="S1112" s="118">
        <f>P1112/Donnees_annuelles!AA182*Donnees_annuelles!AJ182/Donnees_annuelles!AH182</f>
        <v/>
      </c>
    </row>
    <row r="1113">
      <c r="A1113" s="115" t="inlineStr">
        <is>
          <t>IEG</t>
        </is>
      </c>
      <c r="B1113" s="101" t="n">
        <v>2125</v>
      </c>
      <c r="C1113" s="105" t="n">
        <v>0.1</v>
      </c>
      <c r="D1113" s="105" t="n">
        <v>0.1278</v>
      </c>
      <c r="E1113" s="105" t="n">
        <v>0.27248</v>
      </c>
      <c r="F1113" s="116" t="inlineStr">
        <is>
          <t>légal</t>
        </is>
      </c>
      <c r="G1113" s="105" t="n">
        <v>0</v>
      </c>
      <c r="H1113" s="105" t="n">
        <v>0.00252</v>
      </c>
      <c r="I1113" s="105" t="n">
        <v>0.20779</v>
      </c>
      <c r="J1113" s="107">
        <f>D1113*(1-C1113)+G1113*MIN(C1113,0.2*(1-C1113))+H1113</f>
        <v/>
      </c>
      <c r="K1113" s="107">
        <f>E1113*(1-C1113)+G1113*MIN(C1113,0.2*(1-C1113))</f>
        <v/>
      </c>
      <c r="L1113" s="107">
        <f>I1113*(1-C1113)</f>
        <v/>
      </c>
      <c r="M1113" s="119">
        <f>SUMIFS(Regimes!$G$5:$G$10,Regimes!$A$5:$A$10,A1113)</f>
        <v/>
      </c>
      <c r="N1113" s="106">
        <f>Donnees_annuelles!D183*J1113</f>
        <v/>
      </c>
      <c r="O1113" s="106">
        <f>Donnees_annuelles!D183*K1113</f>
        <v/>
      </c>
      <c r="P1113" s="106">
        <f>N1113+O1113</f>
        <v/>
      </c>
      <c r="Q1113" s="106">
        <f>Donnees_annuelles!D183*L1113</f>
        <v/>
      </c>
      <c r="R1113" s="118">
        <f>P1113/Donnees_annuelles!AA183*Donnees_annuelles!AI183/Donnees_annuelles!AG183</f>
        <v/>
      </c>
      <c r="S1113" s="118">
        <f>P1113/Donnees_annuelles!AA183*Donnees_annuelles!AJ183/Donnees_annuelles!AH183</f>
        <v/>
      </c>
    </row>
    <row r="1114">
      <c r="A1114" s="115" t="inlineStr">
        <is>
          <t>IEG</t>
        </is>
      </c>
      <c r="B1114" s="101" t="n">
        <v>2126</v>
      </c>
      <c r="C1114" s="105" t="n">
        <v>0.1</v>
      </c>
      <c r="D1114" s="105" t="n">
        <v>0.1278</v>
      </c>
      <c r="E1114" s="105" t="n">
        <v>0.27248</v>
      </c>
      <c r="F1114" s="116" t="inlineStr">
        <is>
          <t>légal</t>
        </is>
      </c>
      <c r="G1114" s="105" t="n">
        <v>0</v>
      </c>
      <c r="H1114" s="105" t="n">
        <v>0.00252</v>
      </c>
      <c r="I1114" s="105" t="n">
        <v>0.20779</v>
      </c>
      <c r="J1114" s="107">
        <f>D1114*(1-C1114)+G1114*MIN(C1114,0.2*(1-C1114))+H1114</f>
        <v/>
      </c>
      <c r="K1114" s="107">
        <f>E1114*(1-C1114)+G1114*MIN(C1114,0.2*(1-C1114))</f>
        <v/>
      </c>
      <c r="L1114" s="107">
        <f>I1114*(1-C1114)</f>
        <v/>
      </c>
      <c r="M1114" s="119">
        <f>SUMIFS(Regimes!$G$5:$G$10,Regimes!$A$5:$A$10,A1114)</f>
        <v/>
      </c>
      <c r="N1114" s="106">
        <f>Donnees_annuelles!D184*J1114</f>
        <v/>
      </c>
      <c r="O1114" s="106">
        <f>Donnees_annuelles!D184*K1114</f>
        <v/>
      </c>
      <c r="P1114" s="106">
        <f>N1114+O1114</f>
        <v/>
      </c>
      <c r="Q1114" s="106">
        <f>Donnees_annuelles!D184*L1114</f>
        <v/>
      </c>
      <c r="R1114" s="118">
        <f>P1114/Donnees_annuelles!AA184*Donnees_annuelles!AI184/Donnees_annuelles!AG184</f>
        <v/>
      </c>
      <c r="S1114" s="118">
        <f>P1114/Donnees_annuelles!AA184*Donnees_annuelles!AJ184/Donnees_annuelles!AH184</f>
        <v/>
      </c>
    </row>
    <row r="1115">
      <c r="A1115" s="115" t="inlineStr">
        <is>
          <t>IEG</t>
        </is>
      </c>
      <c r="B1115" s="101" t="n">
        <v>2127</v>
      </c>
      <c r="C1115" s="105" t="n">
        <v>0.1</v>
      </c>
      <c r="D1115" s="105" t="n">
        <v>0.1278</v>
      </c>
      <c r="E1115" s="105" t="n">
        <v>0.27248</v>
      </c>
      <c r="F1115" s="116" t="inlineStr">
        <is>
          <t>légal</t>
        </is>
      </c>
      <c r="G1115" s="105" t="n">
        <v>0</v>
      </c>
      <c r="H1115" s="105" t="n">
        <v>0.00252</v>
      </c>
      <c r="I1115" s="105" t="n">
        <v>0.20779</v>
      </c>
      <c r="J1115" s="107">
        <f>D1115*(1-C1115)+G1115*MIN(C1115,0.2*(1-C1115))+H1115</f>
        <v/>
      </c>
      <c r="K1115" s="107">
        <f>E1115*(1-C1115)+G1115*MIN(C1115,0.2*(1-C1115))</f>
        <v/>
      </c>
      <c r="L1115" s="107">
        <f>I1115*(1-C1115)</f>
        <v/>
      </c>
      <c r="M1115" s="119">
        <f>SUMIFS(Regimes!$G$5:$G$10,Regimes!$A$5:$A$10,A1115)</f>
        <v/>
      </c>
      <c r="N1115" s="106">
        <f>Donnees_annuelles!D185*J1115</f>
        <v/>
      </c>
      <c r="O1115" s="106">
        <f>Donnees_annuelles!D185*K1115</f>
        <v/>
      </c>
      <c r="P1115" s="106">
        <f>N1115+O1115</f>
        <v/>
      </c>
      <c r="Q1115" s="106">
        <f>Donnees_annuelles!D185*L1115</f>
        <v/>
      </c>
      <c r="R1115" s="118">
        <f>P1115/Donnees_annuelles!AA185*Donnees_annuelles!AI185/Donnees_annuelles!AG185</f>
        <v/>
      </c>
      <c r="S1115" s="118">
        <f>P1115/Donnees_annuelles!AA185*Donnees_annuelles!AJ185/Donnees_annuelles!AH185</f>
        <v/>
      </c>
    </row>
    <row r="1116">
      <c r="A1116" s="115" t="inlineStr">
        <is>
          <t>IEG</t>
        </is>
      </c>
      <c r="B1116" s="101" t="n">
        <v>2128</v>
      </c>
      <c r="C1116" s="105" t="n">
        <v>0.1</v>
      </c>
      <c r="D1116" s="105" t="n">
        <v>0.1278</v>
      </c>
      <c r="E1116" s="105" t="n">
        <v>0.27248</v>
      </c>
      <c r="F1116" s="116" t="inlineStr">
        <is>
          <t>légal</t>
        </is>
      </c>
      <c r="G1116" s="105" t="n">
        <v>0</v>
      </c>
      <c r="H1116" s="105" t="n">
        <v>0.00252</v>
      </c>
      <c r="I1116" s="105" t="n">
        <v>0.20779</v>
      </c>
      <c r="J1116" s="107">
        <f>D1116*(1-C1116)+G1116*MIN(C1116,0.2*(1-C1116))+H1116</f>
        <v/>
      </c>
      <c r="K1116" s="107">
        <f>E1116*(1-C1116)+G1116*MIN(C1116,0.2*(1-C1116))</f>
        <v/>
      </c>
      <c r="L1116" s="107">
        <f>I1116*(1-C1116)</f>
        <v/>
      </c>
      <c r="M1116" s="119">
        <f>SUMIFS(Regimes!$G$5:$G$10,Regimes!$A$5:$A$10,A1116)</f>
        <v/>
      </c>
      <c r="N1116" s="106">
        <f>Donnees_annuelles!D186*J1116</f>
        <v/>
      </c>
      <c r="O1116" s="106">
        <f>Donnees_annuelles!D186*K1116</f>
        <v/>
      </c>
      <c r="P1116" s="106">
        <f>N1116+O1116</f>
        <v/>
      </c>
      <c r="Q1116" s="106">
        <f>Donnees_annuelles!D186*L1116</f>
        <v/>
      </c>
      <c r="R1116" s="118">
        <f>P1116/Donnees_annuelles!AA186*Donnees_annuelles!AI186/Donnees_annuelles!AG186</f>
        <v/>
      </c>
      <c r="S1116" s="118">
        <f>P1116/Donnees_annuelles!AA186*Donnees_annuelles!AJ186/Donnees_annuelles!AH186</f>
        <v/>
      </c>
    </row>
    <row r="1117">
      <c r="A1117" s="115" t="inlineStr">
        <is>
          <t>IEG</t>
        </is>
      </c>
      <c r="B1117" s="101" t="n">
        <v>2129</v>
      </c>
      <c r="C1117" s="105" t="n">
        <v>0.1</v>
      </c>
      <c r="D1117" s="105" t="n">
        <v>0.1278</v>
      </c>
      <c r="E1117" s="105" t="n">
        <v>0.27248</v>
      </c>
      <c r="F1117" s="116" t="inlineStr">
        <is>
          <t>légal</t>
        </is>
      </c>
      <c r="G1117" s="105" t="n">
        <v>0</v>
      </c>
      <c r="H1117" s="105" t="n">
        <v>0.00252</v>
      </c>
      <c r="I1117" s="105" t="n">
        <v>0.20779</v>
      </c>
      <c r="J1117" s="107">
        <f>D1117*(1-C1117)+G1117*MIN(C1117,0.2*(1-C1117))+H1117</f>
        <v/>
      </c>
      <c r="K1117" s="107">
        <f>E1117*(1-C1117)+G1117*MIN(C1117,0.2*(1-C1117))</f>
        <v/>
      </c>
      <c r="L1117" s="107">
        <f>I1117*(1-C1117)</f>
        <v/>
      </c>
      <c r="M1117" s="119">
        <f>SUMIFS(Regimes!$G$5:$G$10,Regimes!$A$5:$A$10,A1117)</f>
        <v/>
      </c>
      <c r="N1117" s="106">
        <f>Donnees_annuelles!D187*J1117</f>
        <v/>
      </c>
      <c r="O1117" s="106">
        <f>Donnees_annuelles!D187*K1117</f>
        <v/>
      </c>
      <c r="P1117" s="106">
        <f>N1117+O1117</f>
        <v/>
      </c>
      <c r="Q1117" s="106">
        <f>Donnees_annuelles!D187*L1117</f>
        <v/>
      </c>
      <c r="R1117" s="118">
        <f>P1117/Donnees_annuelles!AA187*Donnees_annuelles!AI187/Donnees_annuelles!AG187</f>
        <v/>
      </c>
      <c r="S1117" s="118">
        <f>P1117/Donnees_annuelles!AA187*Donnees_annuelles!AJ187/Donnees_annuelles!AH187</f>
        <v/>
      </c>
    </row>
    <row r="1118">
      <c r="A1118" s="115" t="inlineStr">
        <is>
          <t>IEG</t>
        </is>
      </c>
      <c r="B1118" s="101" t="n">
        <v>2130</v>
      </c>
      <c r="C1118" s="105" t="n">
        <v>0.1</v>
      </c>
      <c r="D1118" s="105" t="n">
        <v>0.1278</v>
      </c>
      <c r="E1118" s="105" t="n">
        <v>0.27248</v>
      </c>
      <c r="F1118" s="116" t="inlineStr">
        <is>
          <t>légal</t>
        </is>
      </c>
      <c r="G1118" s="105" t="n">
        <v>0</v>
      </c>
      <c r="H1118" s="105" t="n">
        <v>0.00252</v>
      </c>
      <c r="I1118" s="105" t="n">
        <v>0.20779</v>
      </c>
      <c r="J1118" s="107">
        <f>D1118*(1-C1118)+G1118*MIN(C1118,0.2*(1-C1118))+H1118</f>
        <v/>
      </c>
      <c r="K1118" s="107">
        <f>E1118*(1-C1118)+G1118*MIN(C1118,0.2*(1-C1118))</f>
        <v/>
      </c>
      <c r="L1118" s="107">
        <f>I1118*(1-C1118)</f>
        <v/>
      </c>
      <c r="M1118" s="119">
        <f>SUMIFS(Regimes!$G$5:$G$10,Regimes!$A$5:$A$10,A1118)</f>
        <v/>
      </c>
      <c r="N1118" s="106">
        <f>Donnees_annuelles!D188*J1118</f>
        <v/>
      </c>
      <c r="O1118" s="106">
        <f>Donnees_annuelles!D188*K1118</f>
        <v/>
      </c>
      <c r="P1118" s="106">
        <f>N1118+O1118</f>
        <v/>
      </c>
      <c r="Q1118" s="106">
        <f>Donnees_annuelles!D188*L1118</f>
        <v/>
      </c>
      <c r="R1118" s="118">
        <f>P1118/Donnees_annuelles!AA188*Donnees_annuelles!AI188/Donnees_annuelles!AG188</f>
        <v/>
      </c>
      <c r="S1118" s="118">
        <f>P1118/Donnees_annuelles!AA188*Donnees_annuelles!AJ188/Donnees_annuelles!AH188</f>
        <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K113"/>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5" customWidth="1" min="1" max="1"/>
    <col width="22" customWidth="1" min="2" max="2"/>
    <col width="15"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 width="15" customWidth="1" min="31" max="31"/>
    <col width="15" customWidth="1" min="32" max="32"/>
    <col width="15" customWidth="1" min="33" max="33"/>
    <col width="15" customWidth="1" min="34" max="34"/>
    <col width="15" customWidth="1" min="35" max="35"/>
    <col width="15" customWidth="1" min="36" max="36"/>
    <col width="15" customWidth="1" min="37" max="37"/>
  </cols>
  <sheetData>
    <row r="1" ht="75" customHeight="1">
      <c r="A1" s="5" t="inlineStr">
        <is>
          <t>Génération (année de naissance)</t>
        </is>
      </c>
      <c r="B1" s="5" t="inlineStr">
        <is>
          <t>Groupe de génération</t>
        </is>
      </c>
      <c r="C1" s="5" t="inlineStr">
        <is>
          <t>Âge moyen de début de carrière</t>
        </is>
      </c>
      <c r="D1" s="5" t="inlineStr">
        <is>
          <t>Année moyenne de début de carrière</t>
        </is>
      </c>
      <c r="E1" s="5" t="inlineStr">
        <is>
          <t>Privé : âge légal de départ</t>
        </is>
      </c>
      <c r="F1" s="5" t="inlineStr">
        <is>
          <t>Privé : âge du taux plein automatique</t>
        </is>
      </c>
      <c r="G1" s="5" t="inlineStr">
        <is>
          <t>Privé : âge minimal du taux plein par la durée</t>
        </is>
      </c>
      <c r="H1" s="5" t="inlineStr">
        <is>
          <t>Privé : trimestres requis pour le taux plein</t>
        </is>
      </c>
      <c r="I1" s="5" t="inlineStr">
        <is>
          <t>Privé : durée requise pour le taux plein</t>
        </is>
      </c>
      <c r="J1" s="5" t="inlineStr">
        <is>
          <t>Privé : décote par trimestre manquant</t>
        </is>
      </c>
      <c r="K1" s="5" t="inlineStr">
        <is>
          <t>Privé : surcote par trimestre supplémentaire</t>
        </is>
      </c>
      <c r="L1" s="5" t="inlineStr">
        <is>
          <t>Carrière longue : âge de départ si début avant 16 ans</t>
        </is>
      </c>
      <c r="M1" s="5" t="inlineStr">
        <is>
          <t>Carrière longue : début avant 17 ans</t>
        </is>
      </c>
      <c r="N1" s="5" t="inlineStr">
        <is>
          <t>Carrière longue : début avant 18 ans</t>
        </is>
      </c>
      <c r="O1" s="5" t="inlineStr">
        <is>
          <t>Carrière longue : début avant 20 ans</t>
        </is>
      </c>
      <c r="P1" s="5" t="inlineStr">
        <is>
          <t>Carrière longue : début avant 21 ans</t>
        </is>
      </c>
      <c r="Q1" s="5" t="inlineStr">
        <is>
          <t>Carrière longue : trimestres cotisés exigés</t>
        </is>
      </c>
      <c r="R1" s="5" t="inlineStr">
        <is>
          <t>Service militaire estimé (hommes)</t>
        </is>
      </c>
      <c r="S1" s="5" t="inlineStr">
        <is>
          <t>Privé : durée réelle moyenne de carrière (validée)</t>
        </is>
      </c>
      <c r="T1" s="5" t="inlineStr">
        <is>
          <t>Privé : âge moyen réel de départ</t>
        </is>
      </c>
      <c r="U1" s="5" t="inlineStr">
        <is>
          <t>Espérance de vie hommes à 56 ans</t>
        </is>
      </c>
      <c r="V1" s="5" t="inlineStr">
        <is>
          <t>Espérance de vie hommes à 58 ans</t>
        </is>
      </c>
      <c r="W1" s="5" t="inlineStr">
        <is>
          <t>Espérance de vie hommes à 60 ans</t>
        </is>
      </c>
      <c r="X1" s="5" t="inlineStr">
        <is>
          <t>Espérance de vie hommes à 62 ans</t>
        </is>
      </c>
      <c r="Y1" s="5" t="inlineStr">
        <is>
          <t>Espérance de vie hommes à 64 ans</t>
        </is>
      </c>
      <c r="Z1" s="5" t="inlineStr">
        <is>
          <t>Espérance de vie hommes à 66 ans</t>
        </is>
      </c>
      <c r="AA1" s="5" t="inlineStr">
        <is>
          <t>Espérance de vie hommes à 68 ans</t>
        </is>
      </c>
      <c r="AB1" s="5" t="inlineStr">
        <is>
          <t>Espérance de vie hommes à 70 ans</t>
        </is>
      </c>
      <c r="AC1" s="5" t="inlineStr">
        <is>
          <t>Espérance de vie femmes à 56 ans</t>
        </is>
      </c>
      <c r="AD1" s="5" t="inlineStr">
        <is>
          <t>Espérance de vie femmes à 58 ans</t>
        </is>
      </c>
      <c r="AE1" s="5" t="inlineStr">
        <is>
          <t>Espérance de vie femmes à 60 ans</t>
        </is>
      </c>
      <c r="AF1" s="5" t="inlineStr">
        <is>
          <t>Espérance de vie femmes à 62 ans</t>
        </is>
      </c>
      <c r="AG1" s="5" t="inlineStr">
        <is>
          <t>Espérance de vie femmes à 64 ans</t>
        </is>
      </c>
      <c r="AH1" s="5" t="inlineStr">
        <is>
          <t>Espérance de vie femmes à 66 ans</t>
        </is>
      </c>
      <c r="AI1" s="5" t="inlineStr">
        <is>
          <t>Espérance de vie femmes à 68 ans</t>
        </is>
      </c>
      <c r="AJ1" s="5" t="inlineStr">
        <is>
          <t>Espérance de vie femmes à 70 ans</t>
        </is>
      </c>
      <c r="AK1" s="5" t="inlineStr">
        <is>
          <t>Espérance de vie prolongée par tendance</t>
        </is>
      </c>
    </row>
    <row r="2" ht="30" customHeight="1">
      <c r="A2" s="83" t="inlineStr">
        <is>
          <t>generation</t>
        </is>
      </c>
      <c r="B2" s="83" t="inlineStr">
        <is>
          <t>groupe</t>
        </is>
      </c>
      <c r="C2" s="83" t="inlineStr">
        <is>
          <t>age_moyen_debut</t>
        </is>
      </c>
      <c r="D2" s="83" t="inlineStr">
        <is>
          <t>annee_moyenne_debut</t>
        </is>
      </c>
      <c r="E2" s="83" t="inlineStr">
        <is>
          <t>age_legal</t>
        </is>
      </c>
      <c r="F2" s="83" t="inlineStr">
        <is>
          <t>age_taux_plein_auto</t>
        </is>
      </c>
      <c r="G2" s="83" t="inlineStr">
        <is>
          <t>age_min_taux_plein_duree</t>
        </is>
      </c>
      <c r="H2" s="83" t="inlineStr">
        <is>
          <t>trimestres_requis</t>
        </is>
      </c>
      <c r="I2" s="83" t="inlineStr">
        <is>
          <t>duree_requise</t>
        </is>
      </c>
      <c r="J2" s="83" t="inlineStr">
        <is>
          <t>decote_par_trimestre</t>
        </is>
      </c>
      <c r="K2" s="83" t="inlineStr">
        <is>
          <t>surcote_par_trimestre</t>
        </is>
      </c>
      <c r="L2" s="83" t="inlineStr">
        <is>
          <t>cl_age_debut_avant_16</t>
        </is>
      </c>
      <c r="M2" s="83" t="inlineStr">
        <is>
          <t>cl_age_debut_avant_17</t>
        </is>
      </c>
      <c r="N2" s="83" t="inlineStr">
        <is>
          <t>cl_age_debut_avant_18</t>
        </is>
      </c>
      <c r="O2" s="83" t="inlineStr">
        <is>
          <t>cl_age_debut_avant_20</t>
        </is>
      </c>
      <c r="P2" s="83" t="inlineStr">
        <is>
          <t>cl_age_debut_avant_21</t>
        </is>
      </c>
      <c r="Q2" s="83" t="inlineStr">
        <is>
          <t>cl_trimestres_cotises_exiges</t>
        </is>
      </c>
      <c r="R2" s="83" t="inlineStr">
        <is>
          <t>service_militaire_trimestres</t>
        </is>
      </c>
      <c r="S2" s="83" t="inlineStr">
        <is>
          <t>duree_reelle_moyenne_carriere</t>
        </is>
      </c>
      <c r="T2" s="83" t="inlineStr">
        <is>
          <t>age_moyen_reel_depart</t>
        </is>
      </c>
      <c r="U2" s="83" t="inlineStr">
        <is>
          <t>esperance_vie_hommes_56</t>
        </is>
      </c>
      <c r="V2" s="83" t="inlineStr">
        <is>
          <t>esperance_vie_hommes_58</t>
        </is>
      </c>
      <c r="W2" s="83" t="inlineStr">
        <is>
          <t>esperance_vie_hommes_60</t>
        </is>
      </c>
      <c r="X2" s="83" t="inlineStr">
        <is>
          <t>esperance_vie_hommes_62</t>
        </is>
      </c>
      <c r="Y2" s="83" t="inlineStr">
        <is>
          <t>esperance_vie_hommes_64</t>
        </is>
      </c>
      <c r="Z2" s="83" t="inlineStr">
        <is>
          <t>esperance_vie_hommes_66</t>
        </is>
      </c>
      <c r="AA2" s="83" t="inlineStr">
        <is>
          <t>esperance_vie_hommes_68</t>
        </is>
      </c>
      <c r="AB2" s="83" t="inlineStr">
        <is>
          <t>esperance_vie_hommes_70</t>
        </is>
      </c>
      <c r="AC2" s="83" t="inlineStr">
        <is>
          <t>esperance_vie_femmes_56</t>
        </is>
      </c>
      <c r="AD2" s="83" t="inlineStr">
        <is>
          <t>esperance_vie_femmes_58</t>
        </is>
      </c>
      <c r="AE2" s="83" t="inlineStr">
        <is>
          <t>esperance_vie_femmes_60</t>
        </is>
      </c>
      <c r="AF2" s="83" t="inlineStr">
        <is>
          <t>esperance_vie_femmes_62</t>
        </is>
      </c>
      <c r="AG2" s="83" t="inlineStr">
        <is>
          <t>esperance_vie_femmes_64</t>
        </is>
      </c>
      <c r="AH2" s="83" t="inlineStr">
        <is>
          <t>esperance_vie_femmes_66</t>
        </is>
      </c>
      <c r="AI2" s="83" t="inlineStr">
        <is>
          <t>esperance_vie_femmes_68</t>
        </is>
      </c>
      <c r="AJ2" s="83" t="inlineStr">
        <is>
          <t>esperance_vie_femmes_70</t>
        </is>
      </c>
      <c r="AK2" s="83" t="inlineStr">
        <is>
          <t>esperance_vie_estimee</t>
        </is>
      </c>
    </row>
    <row r="3">
      <c r="A3" s="88" t="n">
        <v>1915</v>
      </c>
      <c r="B3" s="7" t="inlineStr"/>
      <c r="C3" s="95" t="n">
        <v>16</v>
      </c>
      <c r="D3" s="77">
        <f>ROUND(A3+C3,0)</f>
        <v/>
      </c>
      <c r="E3" s="95" t="n">
        <v>60</v>
      </c>
      <c r="F3" s="95" t="n">
        <v>65</v>
      </c>
      <c r="G3" s="95" t="n">
        <v>65</v>
      </c>
      <c r="H3" s="85" t="n">
        <v>150</v>
      </c>
      <c r="I3" s="75">
        <f>H3/4</f>
        <v/>
      </c>
      <c r="J3" s="120" t="n">
        <v>0.025</v>
      </c>
      <c r="K3" s="120" t="n">
        <v>0.0075</v>
      </c>
      <c r="L3" s="95" t="n">
        <v>0</v>
      </c>
      <c r="M3" s="95" t="n">
        <v>0</v>
      </c>
      <c r="N3" s="95" t="n">
        <v>0</v>
      </c>
      <c r="O3" s="95" t="n">
        <v>0</v>
      </c>
      <c r="P3" s="95" t="n">
        <v>0</v>
      </c>
      <c r="Q3" s="85" t="n">
        <v>0</v>
      </c>
      <c r="R3" s="85" t="n">
        <v>4</v>
      </c>
      <c r="S3" s="95" t="n">
        <v>30.6</v>
      </c>
      <c r="T3" s="95" t="n">
        <v>63.02</v>
      </c>
      <c r="U3" s="95" t="n">
        <v>21.4</v>
      </c>
      <c r="V3" s="95" t="n">
        <v>19.99</v>
      </c>
      <c r="W3" s="95" t="n">
        <v>18.62</v>
      </c>
      <c r="X3" s="95" t="n">
        <v>17.33</v>
      </c>
      <c r="Y3" s="95" t="n">
        <v>16.1</v>
      </c>
      <c r="Z3" s="95" t="n">
        <v>14.89</v>
      </c>
      <c r="AA3" s="95" t="n">
        <v>13.72</v>
      </c>
      <c r="AB3" s="95" t="n">
        <v>12.59</v>
      </c>
      <c r="AC3" s="95" t="n">
        <v>27.75</v>
      </c>
      <c r="AD3" s="95" t="n">
        <v>26.08</v>
      </c>
      <c r="AE3" s="95" t="n">
        <v>24.43</v>
      </c>
      <c r="AF3" s="95" t="n">
        <v>22.81</v>
      </c>
      <c r="AG3" s="95" t="n">
        <v>21.19</v>
      </c>
      <c r="AH3" s="95" t="n">
        <v>19.61</v>
      </c>
      <c r="AI3" s="95" t="n">
        <v>18.07</v>
      </c>
      <c r="AJ3" s="95" t="n">
        <v>16.56</v>
      </c>
      <c r="AK3" s="7" t="inlineStr">
        <is>
          <t>non</t>
        </is>
      </c>
    </row>
    <row r="4">
      <c r="A4" s="88" t="n">
        <v>1916</v>
      </c>
      <c r="B4" s="7" t="inlineStr"/>
      <c r="C4" s="95" t="n">
        <v>16</v>
      </c>
      <c r="D4" s="77">
        <f>ROUND(A4+C4,0)</f>
        <v/>
      </c>
      <c r="E4" s="95" t="n">
        <v>60</v>
      </c>
      <c r="F4" s="95" t="n">
        <v>65</v>
      </c>
      <c r="G4" s="95" t="n">
        <v>65</v>
      </c>
      <c r="H4" s="85" t="n">
        <v>150</v>
      </c>
      <c r="I4" s="75">
        <f>H4/4</f>
        <v/>
      </c>
      <c r="J4" s="120" t="n">
        <v>0.025</v>
      </c>
      <c r="K4" s="120" t="n">
        <v>0.0075</v>
      </c>
      <c r="L4" s="95" t="n">
        <v>0</v>
      </c>
      <c r="M4" s="95" t="n">
        <v>0</v>
      </c>
      <c r="N4" s="95" t="n">
        <v>0</v>
      </c>
      <c r="O4" s="95" t="n">
        <v>0</v>
      </c>
      <c r="P4" s="95" t="n">
        <v>0</v>
      </c>
      <c r="Q4" s="85" t="n">
        <v>0</v>
      </c>
      <c r="R4" s="85" t="n">
        <v>4</v>
      </c>
      <c r="S4" s="95" t="n">
        <v>30.6</v>
      </c>
      <c r="T4" s="95" t="n">
        <v>62.89</v>
      </c>
      <c r="U4" s="95" t="n">
        <v>21.55</v>
      </c>
      <c r="V4" s="95" t="n">
        <v>20.16</v>
      </c>
      <c r="W4" s="95" t="n">
        <v>18.82</v>
      </c>
      <c r="X4" s="95" t="n">
        <v>17.53</v>
      </c>
      <c r="Y4" s="95" t="n">
        <v>16.3</v>
      </c>
      <c r="Z4" s="95" t="n">
        <v>15.07</v>
      </c>
      <c r="AA4" s="95" t="n">
        <v>13.9</v>
      </c>
      <c r="AB4" s="95" t="n">
        <v>12.79</v>
      </c>
      <c r="AC4" s="95" t="n">
        <v>27.98</v>
      </c>
      <c r="AD4" s="95" t="n">
        <v>26.33</v>
      </c>
      <c r="AE4" s="95" t="n">
        <v>24.7</v>
      </c>
      <c r="AF4" s="95" t="n">
        <v>23.06</v>
      </c>
      <c r="AG4" s="95" t="n">
        <v>21.45</v>
      </c>
      <c r="AH4" s="95" t="n">
        <v>19.86</v>
      </c>
      <c r="AI4" s="95" t="n">
        <v>18.31</v>
      </c>
      <c r="AJ4" s="95" t="n">
        <v>16.79</v>
      </c>
      <c r="AK4" s="7" t="inlineStr">
        <is>
          <t>non</t>
        </is>
      </c>
    </row>
    <row r="5">
      <c r="A5" s="88" t="n">
        <v>1917</v>
      </c>
      <c r="B5" s="7" t="inlineStr"/>
      <c r="C5" s="95" t="n">
        <v>16</v>
      </c>
      <c r="D5" s="77">
        <f>ROUND(A5+C5,0)</f>
        <v/>
      </c>
      <c r="E5" s="95" t="n">
        <v>60</v>
      </c>
      <c r="F5" s="95" t="n">
        <v>65</v>
      </c>
      <c r="G5" s="95" t="n">
        <v>65</v>
      </c>
      <c r="H5" s="85" t="n">
        <v>150</v>
      </c>
      <c r="I5" s="75">
        <f>H5/4</f>
        <v/>
      </c>
      <c r="J5" s="120" t="n">
        <v>0.025</v>
      </c>
      <c r="K5" s="120" t="n">
        <v>0.0075</v>
      </c>
      <c r="L5" s="95" t="n">
        <v>0</v>
      </c>
      <c r="M5" s="95" t="n">
        <v>0</v>
      </c>
      <c r="N5" s="95" t="n">
        <v>0</v>
      </c>
      <c r="O5" s="95" t="n">
        <v>0</v>
      </c>
      <c r="P5" s="95" t="n">
        <v>0</v>
      </c>
      <c r="Q5" s="85" t="n">
        <v>0</v>
      </c>
      <c r="R5" s="85" t="n">
        <v>4</v>
      </c>
      <c r="S5" s="95" t="n">
        <v>30.6</v>
      </c>
      <c r="T5" s="95" t="n">
        <v>62.76</v>
      </c>
      <c r="U5" s="95" t="n">
        <v>21.73</v>
      </c>
      <c r="V5" s="95" t="n">
        <v>20.34</v>
      </c>
      <c r="W5" s="95" t="n">
        <v>19.01</v>
      </c>
      <c r="X5" s="95" t="n">
        <v>17.72</v>
      </c>
      <c r="Y5" s="95" t="n">
        <v>16.48</v>
      </c>
      <c r="Z5" s="95" t="n">
        <v>15.26</v>
      </c>
      <c r="AA5" s="95" t="n">
        <v>14.08</v>
      </c>
      <c r="AB5" s="95" t="n">
        <v>12.93</v>
      </c>
      <c r="AC5" s="95" t="n">
        <v>28.2</v>
      </c>
      <c r="AD5" s="95" t="n">
        <v>26.54</v>
      </c>
      <c r="AE5" s="95" t="n">
        <v>24.89</v>
      </c>
      <c r="AF5" s="95" t="n">
        <v>23.26</v>
      </c>
      <c r="AG5" s="95" t="n">
        <v>21.65</v>
      </c>
      <c r="AH5" s="95" t="n">
        <v>20.07</v>
      </c>
      <c r="AI5" s="95" t="n">
        <v>18.51</v>
      </c>
      <c r="AJ5" s="95" t="n">
        <v>16.99</v>
      </c>
      <c r="AK5" s="7" t="inlineStr">
        <is>
          <t>non</t>
        </is>
      </c>
    </row>
    <row r="6">
      <c r="A6" s="88" t="n">
        <v>1918</v>
      </c>
      <c r="B6" s="7" t="inlineStr"/>
      <c r="C6" s="95" t="n">
        <v>16</v>
      </c>
      <c r="D6" s="77">
        <f>ROUND(A6+C6,0)</f>
        <v/>
      </c>
      <c r="E6" s="95" t="n">
        <v>60</v>
      </c>
      <c r="F6" s="95" t="n">
        <v>65</v>
      </c>
      <c r="G6" s="95" t="n">
        <v>65</v>
      </c>
      <c r="H6" s="85" t="n">
        <v>150</v>
      </c>
      <c r="I6" s="75">
        <f>H6/4</f>
        <v/>
      </c>
      <c r="J6" s="120" t="n">
        <v>0.025</v>
      </c>
      <c r="K6" s="120" t="n">
        <v>0.0075</v>
      </c>
      <c r="L6" s="95" t="n">
        <v>0</v>
      </c>
      <c r="M6" s="95" t="n">
        <v>0</v>
      </c>
      <c r="N6" s="95" t="n">
        <v>0</v>
      </c>
      <c r="O6" s="95" t="n">
        <v>0</v>
      </c>
      <c r="P6" s="95" t="n">
        <v>0</v>
      </c>
      <c r="Q6" s="85" t="n">
        <v>0</v>
      </c>
      <c r="R6" s="85" t="n">
        <v>4</v>
      </c>
      <c r="S6" s="95" t="n">
        <v>30.6</v>
      </c>
      <c r="T6" s="95" t="n">
        <v>62.63</v>
      </c>
      <c r="U6" s="95" t="n">
        <v>21.8</v>
      </c>
      <c r="V6" s="95" t="n">
        <v>20.43</v>
      </c>
      <c r="W6" s="95" t="n">
        <v>19.11</v>
      </c>
      <c r="X6" s="95" t="n">
        <v>17.81</v>
      </c>
      <c r="Y6" s="95" t="n">
        <v>16.57</v>
      </c>
      <c r="Z6" s="95" t="n">
        <v>15.36</v>
      </c>
      <c r="AA6" s="95" t="n">
        <v>14.17</v>
      </c>
      <c r="AB6" s="95" t="n">
        <v>12.99</v>
      </c>
      <c r="AC6" s="95" t="n">
        <v>28.28</v>
      </c>
      <c r="AD6" s="95" t="n">
        <v>26.63</v>
      </c>
      <c r="AE6" s="95" t="n">
        <v>24.99</v>
      </c>
      <c r="AF6" s="95" t="n">
        <v>23.34</v>
      </c>
      <c r="AG6" s="95" t="n">
        <v>21.72</v>
      </c>
      <c r="AH6" s="95" t="n">
        <v>20.12</v>
      </c>
      <c r="AI6" s="95" t="n">
        <v>18.56</v>
      </c>
      <c r="AJ6" s="95" t="n">
        <v>17.02</v>
      </c>
      <c r="AK6" s="7" t="inlineStr">
        <is>
          <t>non</t>
        </is>
      </c>
    </row>
    <row r="7">
      <c r="A7" s="88" t="n">
        <v>1919</v>
      </c>
      <c r="B7" s="7" t="inlineStr"/>
      <c r="C7" s="95" t="n">
        <v>16</v>
      </c>
      <c r="D7" s="77">
        <f>ROUND(A7+C7,0)</f>
        <v/>
      </c>
      <c r="E7" s="95" t="n">
        <v>60</v>
      </c>
      <c r="F7" s="95" t="n">
        <v>65</v>
      </c>
      <c r="G7" s="95" t="n">
        <v>64</v>
      </c>
      <c r="H7" s="85" t="n">
        <v>150</v>
      </c>
      <c r="I7" s="75">
        <f>H7/4</f>
        <v/>
      </c>
      <c r="J7" s="120" t="n">
        <v>0.025</v>
      </c>
      <c r="K7" s="120" t="n">
        <v>0.0075</v>
      </c>
      <c r="L7" s="95" t="n">
        <v>0</v>
      </c>
      <c r="M7" s="95" t="n">
        <v>0</v>
      </c>
      <c r="N7" s="95" t="n">
        <v>0</v>
      </c>
      <c r="O7" s="95" t="n">
        <v>0</v>
      </c>
      <c r="P7" s="95" t="n">
        <v>0</v>
      </c>
      <c r="Q7" s="85" t="n">
        <v>0</v>
      </c>
      <c r="R7" s="85" t="n">
        <v>4</v>
      </c>
      <c r="S7" s="95" t="n">
        <v>30.6</v>
      </c>
      <c r="T7" s="95" t="n">
        <v>62.5</v>
      </c>
      <c r="U7" s="95" t="n">
        <v>22.13</v>
      </c>
      <c r="V7" s="95" t="n">
        <v>20.76</v>
      </c>
      <c r="W7" s="95" t="n">
        <v>19.41</v>
      </c>
      <c r="X7" s="95" t="n">
        <v>18.12</v>
      </c>
      <c r="Y7" s="95" t="n">
        <v>16.86</v>
      </c>
      <c r="Z7" s="95" t="n">
        <v>15.65</v>
      </c>
      <c r="AA7" s="95" t="n">
        <v>14.45</v>
      </c>
      <c r="AB7" s="95" t="n">
        <v>13.25</v>
      </c>
      <c r="AC7" s="95" t="n">
        <v>28.52</v>
      </c>
      <c r="AD7" s="95" t="n">
        <v>26.85</v>
      </c>
      <c r="AE7" s="95" t="n">
        <v>25.21</v>
      </c>
      <c r="AF7" s="95" t="n">
        <v>23.58</v>
      </c>
      <c r="AG7" s="95" t="n">
        <v>21.97</v>
      </c>
      <c r="AH7" s="95" t="n">
        <v>20.37</v>
      </c>
      <c r="AI7" s="95" t="n">
        <v>18.79</v>
      </c>
      <c r="AJ7" s="95" t="n">
        <v>17.22</v>
      </c>
      <c r="AK7" s="7" t="inlineStr">
        <is>
          <t>non</t>
        </is>
      </c>
    </row>
    <row r="8">
      <c r="A8" s="88" t="n">
        <v>1920</v>
      </c>
      <c r="B8" s="7" t="inlineStr"/>
      <c r="C8" s="95" t="n">
        <v>16</v>
      </c>
      <c r="D8" s="77">
        <f>ROUND(A8+C8,0)</f>
        <v/>
      </c>
      <c r="E8" s="95" t="n">
        <v>60</v>
      </c>
      <c r="F8" s="95" t="n">
        <v>65</v>
      </c>
      <c r="G8" s="95" t="n">
        <v>63</v>
      </c>
      <c r="H8" s="85" t="n">
        <v>150</v>
      </c>
      <c r="I8" s="75">
        <f>H8/4</f>
        <v/>
      </c>
      <c r="J8" s="120" t="n">
        <v>0.025</v>
      </c>
      <c r="K8" s="120" t="n">
        <v>0.0075</v>
      </c>
      <c r="L8" s="95" t="n">
        <v>0</v>
      </c>
      <c r="M8" s="95" t="n">
        <v>0</v>
      </c>
      <c r="N8" s="95" t="n">
        <v>0</v>
      </c>
      <c r="O8" s="95" t="n">
        <v>0</v>
      </c>
      <c r="P8" s="95" t="n">
        <v>0</v>
      </c>
      <c r="Q8" s="85" t="n">
        <v>0</v>
      </c>
      <c r="R8" s="85" t="n">
        <v>4</v>
      </c>
      <c r="S8" s="95" t="n">
        <v>30.6</v>
      </c>
      <c r="T8" s="95" t="n">
        <v>62.37</v>
      </c>
      <c r="U8" s="95" t="n">
        <v>22.21</v>
      </c>
      <c r="V8" s="95" t="n">
        <v>20.83</v>
      </c>
      <c r="W8" s="95" t="n">
        <v>19.49</v>
      </c>
      <c r="X8" s="95" t="n">
        <v>18.2</v>
      </c>
      <c r="Y8" s="95" t="n">
        <v>16.94</v>
      </c>
      <c r="Z8" s="95" t="n">
        <v>15.71</v>
      </c>
      <c r="AA8" s="95" t="n">
        <v>14.51</v>
      </c>
      <c r="AB8" s="95" t="n">
        <v>13.31</v>
      </c>
      <c r="AC8" s="95" t="n">
        <v>28.63</v>
      </c>
      <c r="AD8" s="95" t="n">
        <v>26.96</v>
      </c>
      <c r="AE8" s="95" t="n">
        <v>25.31</v>
      </c>
      <c r="AF8" s="95" t="n">
        <v>23.66</v>
      </c>
      <c r="AG8" s="95" t="n">
        <v>22.04</v>
      </c>
      <c r="AH8" s="95" t="n">
        <v>20.44</v>
      </c>
      <c r="AI8" s="95" t="n">
        <v>18.86</v>
      </c>
      <c r="AJ8" s="95" t="n">
        <v>17.31</v>
      </c>
      <c r="AK8" s="7" t="inlineStr">
        <is>
          <t>non</t>
        </is>
      </c>
    </row>
    <row r="9">
      <c r="A9" s="88" t="n">
        <v>1921</v>
      </c>
      <c r="B9" s="7" t="inlineStr"/>
      <c r="C9" s="95" t="n">
        <v>16</v>
      </c>
      <c r="D9" s="77">
        <f>ROUND(A9+C9,0)</f>
        <v/>
      </c>
      <c r="E9" s="95" t="n">
        <v>60</v>
      </c>
      <c r="F9" s="95" t="n">
        <v>65</v>
      </c>
      <c r="G9" s="95" t="n">
        <v>62</v>
      </c>
      <c r="H9" s="85" t="n">
        <v>150</v>
      </c>
      <c r="I9" s="75">
        <f>H9/4</f>
        <v/>
      </c>
      <c r="J9" s="120" t="n">
        <v>0.025</v>
      </c>
      <c r="K9" s="120" t="n">
        <v>0.0075</v>
      </c>
      <c r="L9" s="95" t="n">
        <v>0</v>
      </c>
      <c r="M9" s="95" t="n">
        <v>0</v>
      </c>
      <c r="N9" s="95" t="n">
        <v>0</v>
      </c>
      <c r="O9" s="95" t="n">
        <v>0</v>
      </c>
      <c r="P9" s="95" t="n">
        <v>0</v>
      </c>
      <c r="Q9" s="85" t="n">
        <v>0</v>
      </c>
      <c r="R9" s="85" t="n">
        <v>4</v>
      </c>
      <c r="S9" s="95" t="n">
        <v>30.6</v>
      </c>
      <c r="T9" s="95" t="n">
        <v>62.24</v>
      </c>
      <c r="U9" s="95" t="n">
        <v>22.49</v>
      </c>
      <c r="V9" s="95" t="n">
        <v>21.11</v>
      </c>
      <c r="W9" s="95" t="n">
        <v>19.76</v>
      </c>
      <c r="X9" s="95" t="n">
        <v>18.44</v>
      </c>
      <c r="Y9" s="95" t="n">
        <v>17.18</v>
      </c>
      <c r="Z9" s="95" t="n">
        <v>15.93</v>
      </c>
      <c r="AA9" s="95" t="n">
        <v>14.7</v>
      </c>
      <c r="AB9" s="95" t="n">
        <v>13.49</v>
      </c>
      <c r="AC9" s="95" t="n">
        <v>28.92</v>
      </c>
      <c r="AD9" s="95" t="n">
        <v>27.23</v>
      </c>
      <c r="AE9" s="95" t="n">
        <v>25.56</v>
      </c>
      <c r="AF9" s="95" t="n">
        <v>23.91</v>
      </c>
      <c r="AG9" s="95" t="n">
        <v>22.28</v>
      </c>
      <c r="AH9" s="95" t="n">
        <v>20.66</v>
      </c>
      <c r="AI9" s="95" t="n">
        <v>19.05</v>
      </c>
      <c r="AJ9" s="95" t="n">
        <v>17.48</v>
      </c>
      <c r="AK9" s="7" t="inlineStr">
        <is>
          <t>non</t>
        </is>
      </c>
    </row>
    <row r="10">
      <c r="A10" s="88" t="n">
        <v>1922</v>
      </c>
      <c r="B10" s="7" t="inlineStr"/>
      <c r="C10" s="95" t="n">
        <v>16</v>
      </c>
      <c r="D10" s="77">
        <f>ROUND(A10+C10,0)</f>
        <v/>
      </c>
      <c r="E10" s="95" t="n">
        <v>60</v>
      </c>
      <c r="F10" s="95" t="n">
        <v>65</v>
      </c>
      <c r="G10" s="95" t="n">
        <v>61</v>
      </c>
      <c r="H10" s="85" t="n">
        <v>150</v>
      </c>
      <c r="I10" s="75">
        <f>H10/4</f>
        <v/>
      </c>
      <c r="J10" s="120" t="n">
        <v>0.025</v>
      </c>
      <c r="K10" s="120" t="n">
        <v>0.0075</v>
      </c>
      <c r="L10" s="95" t="n">
        <v>0</v>
      </c>
      <c r="M10" s="95" t="n">
        <v>0</v>
      </c>
      <c r="N10" s="95" t="n">
        <v>0</v>
      </c>
      <c r="O10" s="95" t="n">
        <v>0</v>
      </c>
      <c r="P10" s="95" t="n">
        <v>0</v>
      </c>
      <c r="Q10" s="85" t="n">
        <v>0</v>
      </c>
      <c r="R10" s="85" t="n">
        <v>4</v>
      </c>
      <c r="S10" s="95" t="n">
        <v>30.6</v>
      </c>
      <c r="T10" s="95" t="n">
        <v>62.11</v>
      </c>
      <c r="U10" s="95" t="n">
        <v>22.57</v>
      </c>
      <c r="V10" s="95" t="n">
        <v>21.18</v>
      </c>
      <c r="W10" s="95" t="n">
        <v>19.82</v>
      </c>
      <c r="X10" s="95" t="n">
        <v>18.52</v>
      </c>
      <c r="Y10" s="95" t="n">
        <v>17.26</v>
      </c>
      <c r="Z10" s="95" t="n">
        <v>16.01</v>
      </c>
      <c r="AA10" s="95" t="n">
        <v>14.78</v>
      </c>
      <c r="AB10" s="95" t="n">
        <v>13.57</v>
      </c>
      <c r="AC10" s="95" t="n">
        <v>29.11</v>
      </c>
      <c r="AD10" s="95" t="n">
        <v>27.43</v>
      </c>
      <c r="AE10" s="95" t="n">
        <v>25.75</v>
      </c>
      <c r="AF10" s="95" t="n">
        <v>24.09</v>
      </c>
      <c r="AG10" s="95" t="n">
        <v>22.46</v>
      </c>
      <c r="AH10" s="95" t="n">
        <v>20.83</v>
      </c>
      <c r="AI10" s="95" t="n">
        <v>19.23</v>
      </c>
      <c r="AJ10" s="95" t="n">
        <v>17.65</v>
      </c>
      <c r="AK10" s="7" t="inlineStr">
        <is>
          <t>non</t>
        </is>
      </c>
    </row>
    <row r="11">
      <c r="A11" s="88" t="n">
        <v>1923</v>
      </c>
      <c r="B11" s="7" t="inlineStr"/>
      <c r="C11" s="95" t="n">
        <v>16</v>
      </c>
      <c r="D11" s="77">
        <f>ROUND(A11+C11,0)</f>
        <v/>
      </c>
      <c r="E11" s="95" t="n">
        <v>60</v>
      </c>
      <c r="F11" s="95" t="n">
        <v>65</v>
      </c>
      <c r="G11" s="95" t="n">
        <v>60</v>
      </c>
      <c r="H11" s="85" t="n">
        <v>150</v>
      </c>
      <c r="I11" s="75">
        <f>H11/4</f>
        <v/>
      </c>
      <c r="J11" s="120" t="n">
        <v>0.025</v>
      </c>
      <c r="K11" s="120" t="n">
        <v>0.0075</v>
      </c>
      <c r="L11" s="95" t="n">
        <v>0</v>
      </c>
      <c r="M11" s="95" t="n">
        <v>0</v>
      </c>
      <c r="N11" s="95" t="n">
        <v>0</v>
      </c>
      <c r="O11" s="95" t="n">
        <v>0</v>
      </c>
      <c r="P11" s="95" t="n">
        <v>0</v>
      </c>
      <c r="Q11" s="85" t="n">
        <v>0</v>
      </c>
      <c r="R11" s="85" t="n">
        <v>4</v>
      </c>
      <c r="S11" s="95" t="n">
        <v>30.6</v>
      </c>
      <c r="T11" s="95" t="n">
        <v>61.98</v>
      </c>
      <c r="U11" s="95" t="n">
        <v>22.7</v>
      </c>
      <c r="V11" s="95" t="n">
        <v>21.31</v>
      </c>
      <c r="W11" s="95" t="n">
        <v>19.95</v>
      </c>
      <c r="X11" s="95" t="n">
        <v>18.64</v>
      </c>
      <c r="Y11" s="95" t="n">
        <v>17.36</v>
      </c>
      <c r="Z11" s="95" t="n">
        <v>16.09</v>
      </c>
      <c r="AA11" s="95" t="n">
        <v>14.85</v>
      </c>
      <c r="AB11" s="95" t="n">
        <v>13.65</v>
      </c>
      <c r="AC11" s="95" t="n">
        <v>29.26</v>
      </c>
      <c r="AD11" s="95" t="n">
        <v>27.57</v>
      </c>
      <c r="AE11" s="95" t="n">
        <v>25.89</v>
      </c>
      <c r="AF11" s="95" t="n">
        <v>24.23</v>
      </c>
      <c r="AG11" s="95" t="n">
        <v>22.59</v>
      </c>
      <c r="AH11" s="95" t="n">
        <v>20.95</v>
      </c>
      <c r="AI11" s="95" t="n">
        <v>19.34</v>
      </c>
      <c r="AJ11" s="95" t="n">
        <v>17.76</v>
      </c>
      <c r="AK11" s="7" t="inlineStr">
        <is>
          <t>non</t>
        </is>
      </c>
    </row>
    <row r="12">
      <c r="A12" s="88" t="n">
        <v>1924</v>
      </c>
      <c r="B12" s="7" t="inlineStr"/>
      <c r="C12" s="95" t="n">
        <v>16</v>
      </c>
      <c r="D12" s="77">
        <f>ROUND(A12+C12,0)</f>
        <v/>
      </c>
      <c r="E12" s="95" t="n">
        <v>60</v>
      </c>
      <c r="F12" s="95" t="n">
        <v>65</v>
      </c>
      <c r="G12" s="95" t="n">
        <v>60</v>
      </c>
      <c r="H12" s="85" t="n">
        <v>150</v>
      </c>
      <c r="I12" s="75">
        <f>H12/4</f>
        <v/>
      </c>
      <c r="J12" s="120" t="n">
        <v>0.025</v>
      </c>
      <c r="K12" s="120" t="n">
        <v>0.0075</v>
      </c>
      <c r="L12" s="95" t="n">
        <v>0</v>
      </c>
      <c r="M12" s="95" t="n">
        <v>0</v>
      </c>
      <c r="N12" s="95" t="n">
        <v>0</v>
      </c>
      <c r="O12" s="95" t="n">
        <v>0</v>
      </c>
      <c r="P12" s="95" t="n">
        <v>0</v>
      </c>
      <c r="Q12" s="85" t="n">
        <v>0</v>
      </c>
      <c r="R12" s="85" t="n">
        <v>4</v>
      </c>
      <c r="S12" s="95" t="n">
        <v>30.6</v>
      </c>
      <c r="T12" s="95" t="n">
        <v>61.85</v>
      </c>
      <c r="U12" s="95" t="n">
        <v>22.87</v>
      </c>
      <c r="V12" s="95" t="n">
        <v>21.47</v>
      </c>
      <c r="W12" s="95" t="n">
        <v>20.12</v>
      </c>
      <c r="X12" s="95" t="n">
        <v>18.81</v>
      </c>
      <c r="Y12" s="95" t="n">
        <v>17.52</v>
      </c>
      <c r="Z12" s="95" t="n">
        <v>16.25</v>
      </c>
      <c r="AA12" s="95" t="n">
        <v>15</v>
      </c>
      <c r="AB12" s="95" t="n">
        <v>13.8</v>
      </c>
      <c r="AC12" s="95" t="n">
        <v>29.45</v>
      </c>
      <c r="AD12" s="95" t="n">
        <v>27.75</v>
      </c>
      <c r="AE12" s="95" t="n">
        <v>26.07</v>
      </c>
      <c r="AF12" s="95" t="n">
        <v>24.39</v>
      </c>
      <c r="AG12" s="95" t="n">
        <v>22.74</v>
      </c>
      <c r="AH12" s="95" t="n">
        <v>21.1</v>
      </c>
      <c r="AI12" s="95" t="n">
        <v>19.48</v>
      </c>
      <c r="AJ12" s="95" t="n">
        <v>17.9</v>
      </c>
      <c r="AK12" s="7" t="inlineStr">
        <is>
          <t>non</t>
        </is>
      </c>
    </row>
    <row r="13">
      <c r="A13" s="88" t="n">
        <v>1925</v>
      </c>
      <c r="B13" s="7" t="inlineStr"/>
      <c r="C13" s="95" t="n">
        <v>16</v>
      </c>
      <c r="D13" s="77">
        <f>ROUND(A13+C13,0)</f>
        <v/>
      </c>
      <c r="E13" s="95" t="n">
        <v>60</v>
      </c>
      <c r="F13" s="95" t="n">
        <v>65</v>
      </c>
      <c r="G13" s="95" t="n">
        <v>60</v>
      </c>
      <c r="H13" s="85" t="n">
        <v>150</v>
      </c>
      <c r="I13" s="75">
        <f>H13/4</f>
        <v/>
      </c>
      <c r="J13" s="120" t="n">
        <v>0.025</v>
      </c>
      <c r="K13" s="120" t="n">
        <v>0.0075</v>
      </c>
      <c r="L13" s="95" t="n">
        <v>0</v>
      </c>
      <c r="M13" s="95" t="n">
        <v>0</v>
      </c>
      <c r="N13" s="95" t="n">
        <v>0</v>
      </c>
      <c r="O13" s="95" t="n">
        <v>0</v>
      </c>
      <c r="P13" s="95" t="n">
        <v>0</v>
      </c>
      <c r="Q13" s="85" t="n">
        <v>0</v>
      </c>
      <c r="R13" s="85" t="n">
        <v>4</v>
      </c>
      <c r="S13" s="95" t="n">
        <v>30.6</v>
      </c>
      <c r="T13" s="95" t="n">
        <v>61.72</v>
      </c>
      <c r="U13" s="95" t="n">
        <v>22.98</v>
      </c>
      <c r="V13" s="95" t="n">
        <v>21.6</v>
      </c>
      <c r="W13" s="95" t="n">
        <v>20.26</v>
      </c>
      <c r="X13" s="95" t="n">
        <v>18.95</v>
      </c>
      <c r="Y13" s="95" t="n">
        <v>17.66</v>
      </c>
      <c r="Z13" s="95" t="n">
        <v>16.37</v>
      </c>
      <c r="AA13" s="95" t="n">
        <v>15.11</v>
      </c>
      <c r="AB13" s="95" t="n">
        <v>13.89</v>
      </c>
      <c r="AC13" s="95" t="n">
        <v>29.57</v>
      </c>
      <c r="AD13" s="95" t="n">
        <v>27.86</v>
      </c>
      <c r="AE13" s="95" t="n">
        <v>26.18</v>
      </c>
      <c r="AF13" s="95" t="n">
        <v>24.5</v>
      </c>
      <c r="AG13" s="95" t="n">
        <v>22.84</v>
      </c>
      <c r="AH13" s="95" t="n">
        <v>21.19</v>
      </c>
      <c r="AI13" s="95" t="n">
        <v>19.58</v>
      </c>
      <c r="AJ13" s="95" t="n">
        <v>18</v>
      </c>
      <c r="AK13" s="7" t="inlineStr">
        <is>
          <t>non</t>
        </is>
      </c>
    </row>
    <row r="14">
      <c r="A14" s="88" t="n">
        <v>1926</v>
      </c>
      <c r="B14" s="7" t="inlineStr"/>
      <c r="C14" s="95" t="n">
        <v>16</v>
      </c>
      <c r="D14" s="77">
        <f>ROUND(A14+C14,0)</f>
        <v/>
      </c>
      <c r="E14" s="95" t="n">
        <v>60</v>
      </c>
      <c r="F14" s="95" t="n">
        <v>65</v>
      </c>
      <c r="G14" s="95" t="n">
        <v>60</v>
      </c>
      <c r="H14" s="85" t="n">
        <v>150</v>
      </c>
      <c r="I14" s="75">
        <f>H14/4</f>
        <v/>
      </c>
      <c r="J14" s="120" t="n">
        <v>0.025</v>
      </c>
      <c r="K14" s="120" t="n">
        <v>0.0075</v>
      </c>
      <c r="L14" s="95" t="n">
        <v>0</v>
      </c>
      <c r="M14" s="95" t="n">
        <v>0</v>
      </c>
      <c r="N14" s="95" t="n">
        <v>0</v>
      </c>
      <c r="O14" s="95" t="n">
        <v>0</v>
      </c>
      <c r="P14" s="95" t="n">
        <v>0</v>
      </c>
      <c r="Q14" s="85" t="n">
        <v>0</v>
      </c>
      <c r="R14" s="85" t="n">
        <v>4</v>
      </c>
      <c r="S14" s="95" t="n">
        <v>30.6</v>
      </c>
      <c r="T14" s="95" t="n">
        <v>61.58</v>
      </c>
      <c r="U14" s="95" t="n">
        <v>23.1</v>
      </c>
      <c r="V14" s="95" t="n">
        <v>21.72</v>
      </c>
      <c r="W14" s="95" t="n">
        <v>20.37</v>
      </c>
      <c r="X14" s="95" t="n">
        <v>19.05</v>
      </c>
      <c r="Y14" s="95" t="n">
        <v>17.74</v>
      </c>
      <c r="Z14" s="95" t="n">
        <v>16.46</v>
      </c>
      <c r="AA14" s="95" t="n">
        <v>15.2</v>
      </c>
      <c r="AB14" s="95" t="n">
        <v>13.99</v>
      </c>
      <c r="AC14" s="95" t="n">
        <v>29.69</v>
      </c>
      <c r="AD14" s="95" t="n">
        <v>27.99</v>
      </c>
      <c r="AE14" s="95" t="n">
        <v>26.31</v>
      </c>
      <c r="AF14" s="95" t="n">
        <v>24.63</v>
      </c>
      <c r="AG14" s="95" t="n">
        <v>22.96</v>
      </c>
      <c r="AH14" s="95" t="n">
        <v>21.31</v>
      </c>
      <c r="AI14" s="95" t="n">
        <v>19.7</v>
      </c>
      <c r="AJ14" s="95" t="n">
        <v>18.11</v>
      </c>
      <c r="AK14" s="7" t="inlineStr">
        <is>
          <t>non</t>
        </is>
      </c>
    </row>
    <row r="15">
      <c r="A15" s="88" t="n">
        <v>1927</v>
      </c>
      <c r="B15" s="7" t="inlineStr"/>
      <c r="C15" s="95" t="n">
        <v>16</v>
      </c>
      <c r="D15" s="77">
        <f>ROUND(A15+C15,0)</f>
        <v/>
      </c>
      <c r="E15" s="95" t="n">
        <v>60</v>
      </c>
      <c r="F15" s="95" t="n">
        <v>65</v>
      </c>
      <c r="G15" s="95" t="n">
        <v>60</v>
      </c>
      <c r="H15" s="85" t="n">
        <v>150</v>
      </c>
      <c r="I15" s="75">
        <f>H15/4</f>
        <v/>
      </c>
      <c r="J15" s="120" t="n">
        <v>0.025</v>
      </c>
      <c r="K15" s="120" t="n">
        <v>0.0075</v>
      </c>
      <c r="L15" s="95" t="n">
        <v>0</v>
      </c>
      <c r="M15" s="95" t="n">
        <v>0</v>
      </c>
      <c r="N15" s="95" t="n">
        <v>0</v>
      </c>
      <c r="O15" s="95" t="n">
        <v>0</v>
      </c>
      <c r="P15" s="95" t="n">
        <v>0</v>
      </c>
      <c r="Q15" s="85" t="n">
        <v>0</v>
      </c>
      <c r="R15" s="85" t="n">
        <v>4</v>
      </c>
      <c r="S15" s="95" t="n">
        <v>30.84</v>
      </c>
      <c r="T15" s="95" t="n">
        <v>61.45</v>
      </c>
      <c r="U15" s="95" t="n">
        <v>23.3</v>
      </c>
      <c r="V15" s="95" t="n">
        <v>21.91</v>
      </c>
      <c r="W15" s="95" t="n">
        <v>20.56</v>
      </c>
      <c r="X15" s="95" t="n">
        <v>19.23</v>
      </c>
      <c r="Y15" s="95" t="n">
        <v>17.92</v>
      </c>
      <c r="Z15" s="95" t="n">
        <v>16.62</v>
      </c>
      <c r="AA15" s="95" t="n">
        <v>15.36</v>
      </c>
      <c r="AB15" s="95" t="n">
        <v>14.16</v>
      </c>
      <c r="AC15" s="95" t="n">
        <v>29.85</v>
      </c>
      <c r="AD15" s="95" t="n">
        <v>28.15</v>
      </c>
      <c r="AE15" s="95" t="n">
        <v>26.45</v>
      </c>
      <c r="AF15" s="95" t="n">
        <v>24.76</v>
      </c>
      <c r="AG15" s="95" t="n">
        <v>23.09</v>
      </c>
      <c r="AH15" s="95" t="n">
        <v>21.44</v>
      </c>
      <c r="AI15" s="95" t="n">
        <v>19.82</v>
      </c>
      <c r="AJ15" s="95" t="n">
        <v>18.23</v>
      </c>
      <c r="AK15" s="7" t="inlineStr">
        <is>
          <t>non</t>
        </is>
      </c>
    </row>
    <row r="16">
      <c r="A16" s="88" t="n">
        <v>1928</v>
      </c>
      <c r="B16" s="7" t="inlineStr">
        <is>
          <t>Génération silencieuse</t>
        </is>
      </c>
      <c r="C16" s="95" t="n">
        <v>16</v>
      </c>
      <c r="D16" s="77">
        <f>ROUND(A16+C16,0)</f>
        <v/>
      </c>
      <c r="E16" s="95" t="n">
        <v>60</v>
      </c>
      <c r="F16" s="95" t="n">
        <v>65</v>
      </c>
      <c r="G16" s="95" t="n">
        <v>60</v>
      </c>
      <c r="H16" s="85" t="n">
        <v>150</v>
      </c>
      <c r="I16" s="75">
        <f>H16/4</f>
        <v/>
      </c>
      <c r="J16" s="120" t="n">
        <v>0.025</v>
      </c>
      <c r="K16" s="120" t="n">
        <v>0.0075</v>
      </c>
      <c r="L16" s="95" t="n">
        <v>0</v>
      </c>
      <c r="M16" s="95" t="n">
        <v>0</v>
      </c>
      <c r="N16" s="95" t="n">
        <v>0</v>
      </c>
      <c r="O16" s="95" t="n">
        <v>0</v>
      </c>
      <c r="P16" s="95" t="n">
        <v>0</v>
      </c>
      <c r="Q16" s="85" t="n">
        <v>0</v>
      </c>
      <c r="R16" s="85" t="n">
        <v>4</v>
      </c>
      <c r="S16" s="95" t="n">
        <v>31.09</v>
      </c>
      <c r="T16" s="95" t="n">
        <v>61.32</v>
      </c>
      <c r="U16" s="95" t="n">
        <v>23.46</v>
      </c>
      <c r="V16" s="95" t="n">
        <v>22.07</v>
      </c>
      <c r="W16" s="95" t="n">
        <v>20.7</v>
      </c>
      <c r="X16" s="95" t="n">
        <v>19.36</v>
      </c>
      <c r="Y16" s="95" t="n">
        <v>18.04</v>
      </c>
      <c r="Z16" s="95" t="n">
        <v>16.74</v>
      </c>
      <c r="AA16" s="95" t="n">
        <v>15.49</v>
      </c>
      <c r="AB16" s="95" t="n">
        <v>14.28</v>
      </c>
      <c r="AC16" s="95" t="n">
        <v>29.99</v>
      </c>
      <c r="AD16" s="95" t="n">
        <v>28.28</v>
      </c>
      <c r="AE16" s="95" t="n">
        <v>26.57</v>
      </c>
      <c r="AF16" s="95" t="n">
        <v>24.87</v>
      </c>
      <c r="AG16" s="95" t="n">
        <v>23.21</v>
      </c>
      <c r="AH16" s="95" t="n">
        <v>21.56</v>
      </c>
      <c r="AI16" s="95" t="n">
        <v>19.94</v>
      </c>
      <c r="AJ16" s="95" t="n">
        <v>18.35</v>
      </c>
      <c r="AK16" s="7" t="inlineStr">
        <is>
          <t>non</t>
        </is>
      </c>
    </row>
    <row r="17">
      <c r="A17" s="88" t="n">
        <v>1929</v>
      </c>
      <c r="B17" s="7" t="inlineStr">
        <is>
          <t>Génération silencieuse</t>
        </is>
      </c>
      <c r="C17" s="95" t="n">
        <v>16</v>
      </c>
      <c r="D17" s="77">
        <f>ROUND(A17+C17,0)</f>
        <v/>
      </c>
      <c r="E17" s="95" t="n">
        <v>60</v>
      </c>
      <c r="F17" s="95" t="n">
        <v>65</v>
      </c>
      <c r="G17" s="95" t="n">
        <v>60</v>
      </c>
      <c r="H17" s="85" t="n">
        <v>150</v>
      </c>
      <c r="I17" s="75">
        <f>H17/4</f>
        <v/>
      </c>
      <c r="J17" s="120" t="n">
        <v>0.025</v>
      </c>
      <c r="K17" s="120" t="n">
        <v>0.0075</v>
      </c>
      <c r="L17" s="95" t="n">
        <v>0</v>
      </c>
      <c r="M17" s="95" t="n">
        <v>0</v>
      </c>
      <c r="N17" s="95" t="n">
        <v>0</v>
      </c>
      <c r="O17" s="95" t="n">
        <v>0</v>
      </c>
      <c r="P17" s="95" t="n">
        <v>0</v>
      </c>
      <c r="Q17" s="85" t="n">
        <v>0</v>
      </c>
      <c r="R17" s="85" t="n">
        <v>4</v>
      </c>
      <c r="S17" s="95" t="n">
        <v>31.33</v>
      </c>
      <c r="T17" s="95" t="n">
        <v>61.19</v>
      </c>
      <c r="U17" s="95" t="n">
        <v>23.73</v>
      </c>
      <c r="V17" s="95" t="n">
        <v>22.31</v>
      </c>
      <c r="W17" s="95" t="n">
        <v>20.94</v>
      </c>
      <c r="X17" s="95" t="n">
        <v>19.59</v>
      </c>
      <c r="Y17" s="95" t="n">
        <v>18.27</v>
      </c>
      <c r="Z17" s="95" t="n">
        <v>16.98</v>
      </c>
      <c r="AA17" s="95" t="n">
        <v>15.72</v>
      </c>
      <c r="AB17" s="95" t="n">
        <v>14.48</v>
      </c>
      <c r="AC17" s="95" t="n">
        <v>30.16</v>
      </c>
      <c r="AD17" s="95" t="n">
        <v>28.44</v>
      </c>
      <c r="AE17" s="95" t="n">
        <v>26.73</v>
      </c>
      <c r="AF17" s="95" t="n">
        <v>25.03</v>
      </c>
      <c r="AG17" s="95" t="n">
        <v>23.35</v>
      </c>
      <c r="AH17" s="95" t="n">
        <v>21.69</v>
      </c>
      <c r="AI17" s="95" t="n">
        <v>20.07</v>
      </c>
      <c r="AJ17" s="95" t="n">
        <v>18.47</v>
      </c>
      <c r="AK17" s="7" t="inlineStr">
        <is>
          <t>non</t>
        </is>
      </c>
    </row>
    <row r="18">
      <c r="A18" s="88" t="n">
        <v>1930</v>
      </c>
      <c r="B18" s="7" t="inlineStr">
        <is>
          <t>Génération silencieuse</t>
        </is>
      </c>
      <c r="C18" s="95" t="n">
        <v>16</v>
      </c>
      <c r="D18" s="77">
        <f>ROUND(A18+C18,0)</f>
        <v/>
      </c>
      <c r="E18" s="95" t="n">
        <v>60</v>
      </c>
      <c r="F18" s="95" t="n">
        <v>65</v>
      </c>
      <c r="G18" s="95" t="n">
        <v>60</v>
      </c>
      <c r="H18" s="85" t="n">
        <v>150</v>
      </c>
      <c r="I18" s="75">
        <f>H18/4</f>
        <v/>
      </c>
      <c r="J18" s="120" t="n">
        <v>0.025</v>
      </c>
      <c r="K18" s="120" t="n">
        <v>0.0075</v>
      </c>
      <c r="L18" s="95" t="n">
        <v>0</v>
      </c>
      <c r="M18" s="95" t="n">
        <v>0</v>
      </c>
      <c r="N18" s="95" t="n">
        <v>0</v>
      </c>
      <c r="O18" s="95" t="n">
        <v>0</v>
      </c>
      <c r="P18" s="95" t="n">
        <v>0</v>
      </c>
      <c r="Q18" s="85" t="n">
        <v>0</v>
      </c>
      <c r="R18" s="85" t="n">
        <v>6</v>
      </c>
      <c r="S18" s="95" t="n">
        <v>31.58</v>
      </c>
      <c r="T18" s="95" t="n">
        <v>61.06</v>
      </c>
      <c r="U18" s="95" t="n">
        <v>23.94</v>
      </c>
      <c r="V18" s="95" t="n">
        <v>22.55</v>
      </c>
      <c r="W18" s="95" t="n">
        <v>21.16</v>
      </c>
      <c r="X18" s="95" t="n">
        <v>19.81</v>
      </c>
      <c r="Y18" s="95" t="n">
        <v>18.48</v>
      </c>
      <c r="Z18" s="95" t="n">
        <v>17.19</v>
      </c>
      <c r="AA18" s="95" t="n">
        <v>15.94</v>
      </c>
      <c r="AB18" s="95" t="n">
        <v>14.7</v>
      </c>
      <c r="AC18" s="95" t="n">
        <v>30.36</v>
      </c>
      <c r="AD18" s="95" t="n">
        <v>28.63</v>
      </c>
      <c r="AE18" s="95" t="n">
        <v>26.92</v>
      </c>
      <c r="AF18" s="95" t="n">
        <v>25.22</v>
      </c>
      <c r="AG18" s="95" t="n">
        <v>23.54</v>
      </c>
      <c r="AH18" s="95" t="n">
        <v>21.87</v>
      </c>
      <c r="AI18" s="95" t="n">
        <v>20.25</v>
      </c>
      <c r="AJ18" s="95" t="n">
        <v>18.65</v>
      </c>
      <c r="AK18" s="7" t="inlineStr">
        <is>
          <t>non</t>
        </is>
      </c>
    </row>
    <row r="19">
      <c r="A19" s="88" t="n">
        <v>1931</v>
      </c>
      <c r="B19" s="7" t="inlineStr">
        <is>
          <t>Génération silencieuse</t>
        </is>
      </c>
      <c r="C19" s="95" t="n">
        <v>16</v>
      </c>
      <c r="D19" s="77">
        <f>ROUND(A19+C19,0)</f>
        <v/>
      </c>
      <c r="E19" s="95" t="n">
        <v>60</v>
      </c>
      <c r="F19" s="95" t="n">
        <v>65</v>
      </c>
      <c r="G19" s="95" t="n">
        <v>60</v>
      </c>
      <c r="H19" s="85" t="n">
        <v>150</v>
      </c>
      <c r="I19" s="75">
        <f>H19/4</f>
        <v/>
      </c>
      <c r="J19" s="120" t="n">
        <v>0.025</v>
      </c>
      <c r="K19" s="120" t="n">
        <v>0.0075</v>
      </c>
      <c r="L19" s="95" t="n">
        <v>0</v>
      </c>
      <c r="M19" s="95" t="n">
        <v>0</v>
      </c>
      <c r="N19" s="95" t="n">
        <v>0</v>
      </c>
      <c r="O19" s="95" t="n">
        <v>0</v>
      </c>
      <c r="P19" s="95" t="n">
        <v>0</v>
      </c>
      <c r="Q19" s="85" t="n">
        <v>0</v>
      </c>
      <c r="R19" s="85" t="n">
        <v>6</v>
      </c>
      <c r="S19" s="95" t="n">
        <v>31.82</v>
      </c>
      <c r="T19" s="95" t="n">
        <v>60.93</v>
      </c>
      <c r="U19" s="95" t="n">
        <v>24.19</v>
      </c>
      <c r="V19" s="95" t="n">
        <v>22.77</v>
      </c>
      <c r="W19" s="95" t="n">
        <v>21.37</v>
      </c>
      <c r="X19" s="95" t="n">
        <v>20.01</v>
      </c>
      <c r="Y19" s="95" t="n">
        <v>18.67</v>
      </c>
      <c r="Z19" s="95" t="n">
        <v>17.37</v>
      </c>
      <c r="AA19" s="95" t="n">
        <v>16.1</v>
      </c>
      <c r="AB19" s="95" t="n">
        <v>14.86</v>
      </c>
      <c r="AC19" s="95" t="n">
        <v>30.47</v>
      </c>
      <c r="AD19" s="95" t="n">
        <v>28.74</v>
      </c>
      <c r="AE19" s="95" t="n">
        <v>27.02</v>
      </c>
      <c r="AF19" s="95" t="n">
        <v>25.32</v>
      </c>
      <c r="AG19" s="95" t="n">
        <v>23.64</v>
      </c>
      <c r="AH19" s="95" t="n">
        <v>21.99</v>
      </c>
      <c r="AI19" s="95" t="n">
        <v>20.35</v>
      </c>
      <c r="AJ19" s="95" t="n">
        <v>18.74</v>
      </c>
      <c r="AK19" s="7" t="inlineStr">
        <is>
          <t>non</t>
        </is>
      </c>
    </row>
    <row r="20">
      <c r="A20" s="88" t="n">
        <v>1932</v>
      </c>
      <c r="B20" s="7" t="inlineStr">
        <is>
          <t>Génération silencieuse</t>
        </is>
      </c>
      <c r="C20" s="95" t="n">
        <v>16</v>
      </c>
      <c r="D20" s="77">
        <f>ROUND(A20+C20,0)</f>
        <v/>
      </c>
      <c r="E20" s="95" t="n">
        <v>60</v>
      </c>
      <c r="F20" s="95" t="n">
        <v>65</v>
      </c>
      <c r="G20" s="95" t="n">
        <v>60</v>
      </c>
      <c r="H20" s="85" t="n">
        <v>150</v>
      </c>
      <c r="I20" s="75">
        <f>H20/4</f>
        <v/>
      </c>
      <c r="J20" s="120" t="n">
        <v>0.025</v>
      </c>
      <c r="K20" s="120" t="n">
        <v>0.0075</v>
      </c>
      <c r="L20" s="95" t="n">
        <v>0</v>
      </c>
      <c r="M20" s="95" t="n">
        <v>0</v>
      </c>
      <c r="N20" s="95" t="n">
        <v>0</v>
      </c>
      <c r="O20" s="95" t="n">
        <v>0</v>
      </c>
      <c r="P20" s="95" t="n">
        <v>0</v>
      </c>
      <c r="Q20" s="85" t="n">
        <v>0</v>
      </c>
      <c r="R20" s="85" t="n">
        <v>6</v>
      </c>
      <c r="S20" s="95" t="n">
        <v>32.07</v>
      </c>
      <c r="T20" s="95" t="n">
        <v>60.8</v>
      </c>
      <c r="U20" s="95" t="n">
        <v>24.48</v>
      </c>
      <c r="V20" s="95" t="n">
        <v>23.03</v>
      </c>
      <c r="W20" s="95" t="n">
        <v>21.62</v>
      </c>
      <c r="X20" s="95" t="n">
        <v>20.25</v>
      </c>
      <c r="Y20" s="95" t="n">
        <v>18.9</v>
      </c>
      <c r="Z20" s="95" t="n">
        <v>17.58</v>
      </c>
      <c r="AA20" s="95" t="n">
        <v>16.29</v>
      </c>
      <c r="AB20" s="95" t="n">
        <v>15.03</v>
      </c>
      <c r="AC20" s="95" t="n">
        <v>30.68</v>
      </c>
      <c r="AD20" s="95" t="n">
        <v>28.95</v>
      </c>
      <c r="AE20" s="95" t="n">
        <v>27.23</v>
      </c>
      <c r="AF20" s="95" t="n">
        <v>25.52</v>
      </c>
      <c r="AG20" s="95" t="n">
        <v>23.84</v>
      </c>
      <c r="AH20" s="95" t="n">
        <v>22.17</v>
      </c>
      <c r="AI20" s="95" t="n">
        <v>20.53</v>
      </c>
      <c r="AJ20" s="95" t="n">
        <v>18.91</v>
      </c>
      <c r="AK20" s="7" t="inlineStr">
        <is>
          <t>non</t>
        </is>
      </c>
    </row>
    <row r="21">
      <c r="A21" s="88" t="n">
        <v>1933</v>
      </c>
      <c r="B21" s="7" t="inlineStr">
        <is>
          <t>Génération silencieuse</t>
        </is>
      </c>
      <c r="C21" s="95" t="n">
        <v>16</v>
      </c>
      <c r="D21" s="77">
        <f>ROUND(A21+C21,0)</f>
        <v/>
      </c>
      <c r="E21" s="95" t="n">
        <v>60</v>
      </c>
      <c r="F21" s="95" t="n">
        <v>65</v>
      </c>
      <c r="G21" s="95" t="n">
        <v>60</v>
      </c>
      <c r="H21" s="85" t="n">
        <v>150</v>
      </c>
      <c r="I21" s="75">
        <f>H21/4</f>
        <v/>
      </c>
      <c r="J21" s="120" t="n">
        <v>0.025</v>
      </c>
      <c r="K21" s="120" t="n">
        <v>0.0075</v>
      </c>
      <c r="L21" s="95" t="n">
        <v>0</v>
      </c>
      <c r="M21" s="95" t="n">
        <v>0</v>
      </c>
      <c r="N21" s="95" t="n">
        <v>0</v>
      </c>
      <c r="O21" s="95" t="n">
        <v>0</v>
      </c>
      <c r="P21" s="95" t="n">
        <v>0</v>
      </c>
      <c r="Q21" s="85" t="n">
        <v>0</v>
      </c>
      <c r="R21" s="85" t="n">
        <v>6</v>
      </c>
      <c r="S21" s="95" t="n">
        <v>32.31</v>
      </c>
      <c r="T21" s="95" t="n">
        <v>60.81</v>
      </c>
      <c r="U21" s="95" t="n">
        <v>24.68</v>
      </c>
      <c r="V21" s="95" t="n">
        <v>23.22</v>
      </c>
      <c r="W21" s="95" t="n">
        <v>21.8</v>
      </c>
      <c r="X21" s="95" t="n">
        <v>20.41</v>
      </c>
      <c r="Y21" s="95" t="n">
        <v>19.06</v>
      </c>
      <c r="Z21" s="95" t="n">
        <v>17.74</v>
      </c>
      <c r="AA21" s="95" t="n">
        <v>16.44</v>
      </c>
      <c r="AB21" s="95" t="n">
        <v>15.15</v>
      </c>
      <c r="AC21" s="95" t="n">
        <v>30.79</v>
      </c>
      <c r="AD21" s="95" t="n">
        <v>29.05</v>
      </c>
      <c r="AE21" s="95" t="n">
        <v>27.32</v>
      </c>
      <c r="AF21" s="95" t="n">
        <v>25.61</v>
      </c>
      <c r="AG21" s="95" t="n">
        <v>23.92</v>
      </c>
      <c r="AH21" s="95" t="n">
        <v>22.25</v>
      </c>
      <c r="AI21" s="95" t="n">
        <v>20.6</v>
      </c>
      <c r="AJ21" s="95" t="n">
        <v>18.98</v>
      </c>
      <c r="AK21" s="7" t="inlineStr">
        <is>
          <t>non</t>
        </is>
      </c>
    </row>
    <row r="22">
      <c r="A22" s="88" t="n">
        <v>1934</v>
      </c>
      <c r="B22" s="7" t="inlineStr">
        <is>
          <t>Génération silencieuse</t>
        </is>
      </c>
      <c r="C22" s="95" t="n">
        <v>16</v>
      </c>
      <c r="D22" s="77">
        <f>ROUND(A22+C22,0)</f>
        <v/>
      </c>
      <c r="E22" s="95" t="n">
        <v>60</v>
      </c>
      <c r="F22" s="95" t="n">
        <v>65</v>
      </c>
      <c r="G22" s="95" t="n">
        <v>60</v>
      </c>
      <c r="H22" s="85" t="n">
        <v>151</v>
      </c>
      <c r="I22" s="75">
        <f>H22/4</f>
        <v/>
      </c>
      <c r="J22" s="120" t="n">
        <v>0.025</v>
      </c>
      <c r="K22" s="120" t="n">
        <v>0.0075</v>
      </c>
      <c r="L22" s="95" t="n">
        <v>0</v>
      </c>
      <c r="M22" s="95" t="n">
        <v>0</v>
      </c>
      <c r="N22" s="95" t="n">
        <v>0</v>
      </c>
      <c r="O22" s="95" t="n">
        <v>0</v>
      </c>
      <c r="P22" s="95" t="n">
        <v>0</v>
      </c>
      <c r="Q22" s="85" t="n">
        <v>0</v>
      </c>
      <c r="R22" s="85" t="n">
        <v>6</v>
      </c>
      <c r="S22" s="95" t="n">
        <v>32.56</v>
      </c>
      <c r="T22" s="95" t="n">
        <v>60.82</v>
      </c>
      <c r="U22" s="95" t="n">
        <v>24.96</v>
      </c>
      <c r="V22" s="95" t="n">
        <v>23.49</v>
      </c>
      <c r="W22" s="95" t="n">
        <v>22.06</v>
      </c>
      <c r="X22" s="95" t="n">
        <v>20.67</v>
      </c>
      <c r="Y22" s="95" t="n">
        <v>19.31</v>
      </c>
      <c r="Z22" s="95" t="n">
        <v>17.97</v>
      </c>
      <c r="AA22" s="95" t="n">
        <v>16.66</v>
      </c>
      <c r="AB22" s="95" t="n">
        <v>15.37</v>
      </c>
      <c r="AC22" s="95" t="n">
        <v>30.96</v>
      </c>
      <c r="AD22" s="95" t="n">
        <v>29.21</v>
      </c>
      <c r="AE22" s="95" t="n">
        <v>27.48</v>
      </c>
      <c r="AF22" s="95" t="n">
        <v>25.77</v>
      </c>
      <c r="AG22" s="95" t="n">
        <v>24.08</v>
      </c>
      <c r="AH22" s="95" t="n">
        <v>22.4</v>
      </c>
      <c r="AI22" s="95" t="n">
        <v>20.74</v>
      </c>
      <c r="AJ22" s="95" t="n">
        <v>19.11</v>
      </c>
      <c r="AK22" s="7" t="inlineStr">
        <is>
          <t>non</t>
        </is>
      </c>
    </row>
    <row r="23">
      <c r="A23" s="88" t="n">
        <v>1935</v>
      </c>
      <c r="B23" s="7" t="inlineStr">
        <is>
          <t>Génération silencieuse</t>
        </is>
      </c>
      <c r="C23" s="95" t="n">
        <v>16</v>
      </c>
      <c r="D23" s="77">
        <f>ROUND(A23+C23,0)</f>
        <v/>
      </c>
      <c r="E23" s="95" t="n">
        <v>60</v>
      </c>
      <c r="F23" s="95" t="n">
        <v>65</v>
      </c>
      <c r="G23" s="95" t="n">
        <v>60</v>
      </c>
      <c r="H23" s="85" t="n">
        <v>152</v>
      </c>
      <c r="I23" s="75">
        <f>H23/4</f>
        <v/>
      </c>
      <c r="J23" s="120" t="n">
        <v>0.025</v>
      </c>
      <c r="K23" s="120" t="n">
        <v>0.0075</v>
      </c>
      <c r="L23" s="95" t="n">
        <v>0</v>
      </c>
      <c r="M23" s="95" t="n">
        <v>0</v>
      </c>
      <c r="N23" s="95" t="n">
        <v>0</v>
      </c>
      <c r="O23" s="95" t="n">
        <v>0</v>
      </c>
      <c r="P23" s="95" t="n">
        <v>0</v>
      </c>
      <c r="Q23" s="85" t="n">
        <v>0</v>
      </c>
      <c r="R23" s="85" t="n">
        <v>6</v>
      </c>
      <c r="S23" s="95" t="n">
        <v>32.8</v>
      </c>
      <c r="T23" s="95" t="n">
        <v>60.84</v>
      </c>
      <c r="U23" s="95" t="n">
        <v>25.18</v>
      </c>
      <c r="V23" s="95" t="n">
        <v>23.7</v>
      </c>
      <c r="W23" s="95" t="n">
        <v>22.26</v>
      </c>
      <c r="X23" s="95" t="n">
        <v>20.86</v>
      </c>
      <c r="Y23" s="95" t="n">
        <v>19.5</v>
      </c>
      <c r="Z23" s="95" t="n">
        <v>18.15</v>
      </c>
      <c r="AA23" s="95" t="n">
        <v>16.82</v>
      </c>
      <c r="AB23" s="95" t="n">
        <v>15.49</v>
      </c>
      <c r="AC23" s="95" t="n">
        <v>31.08</v>
      </c>
      <c r="AD23" s="95" t="n">
        <v>29.33</v>
      </c>
      <c r="AE23" s="95" t="n">
        <v>27.6</v>
      </c>
      <c r="AF23" s="95" t="n">
        <v>25.89</v>
      </c>
      <c r="AG23" s="95" t="n">
        <v>24.18</v>
      </c>
      <c r="AH23" s="95" t="n">
        <v>22.5</v>
      </c>
      <c r="AI23" s="95" t="n">
        <v>20.84</v>
      </c>
      <c r="AJ23" s="95" t="n">
        <v>19.2</v>
      </c>
      <c r="AK23" s="7" t="inlineStr">
        <is>
          <t>non</t>
        </is>
      </c>
    </row>
    <row r="24">
      <c r="A24" s="88" t="n">
        <v>1936</v>
      </c>
      <c r="B24" s="7" t="inlineStr">
        <is>
          <t>Génération silencieuse</t>
        </is>
      </c>
      <c r="C24" s="95" t="n">
        <v>16</v>
      </c>
      <c r="D24" s="77">
        <f>ROUND(A24+C24,0)</f>
        <v/>
      </c>
      <c r="E24" s="95" t="n">
        <v>60</v>
      </c>
      <c r="F24" s="95" t="n">
        <v>65</v>
      </c>
      <c r="G24" s="95" t="n">
        <v>60</v>
      </c>
      <c r="H24" s="85" t="n">
        <v>153</v>
      </c>
      <c r="I24" s="75">
        <f>H24/4</f>
        <v/>
      </c>
      <c r="J24" s="120" t="n">
        <v>0.025</v>
      </c>
      <c r="K24" s="120" t="n">
        <v>0.0075</v>
      </c>
      <c r="L24" s="95" t="n">
        <v>0</v>
      </c>
      <c r="M24" s="95" t="n">
        <v>0</v>
      </c>
      <c r="N24" s="95" t="n">
        <v>0</v>
      </c>
      <c r="O24" s="95" t="n">
        <v>0</v>
      </c>
      <c r="P24" s="95" t="n">
        <v>0</v>
      </c>
      <c r="Q24" s="85" t="n">
        <v>0</v>
      </c>
      <c r="R24" s="85" t="n">
        <v>9</v>
      </c>
      <c r="S24" s="95" t="n">
        <v>33.04</v>
      </c>
      <c r="T24" s="95" t="n">
        <v>60.85</v>
      </c>
      <c r="U24" s="95" t="n">
        <v>25.51</v>
      </c>
      <c r="V24" s="95" t="n">
        <v>24.03</v>
      </c>
      <c r="W24" s="95" t="n">
        <v>22.58</v>
      </c>
      <c r="X24" s="95" t="n">
        <v>21.16</v>
      </c>
      <c r="Y24" s="95" t="n">
        <v>19.77</v>
      </c>
      <c r="Z24" s="95" t="n">
        <v>18.4</v>
      </c>
      <c r="AA24" s="95" t="n">
        <v>17.04</v>
      </c>
      <c r="AB24" s="95" t="n">
        <v>15.69</v>
      </c>
      <c r="AC24" s="95" t="n">
        <v>31.23</v>
      </c>
      <c r="AD24" s="95" t="n">
        <v>29.49</v>
      </c>
      <c r="AE24" s="95" t="n">
        <v>27.75</v>
      </c>
      <c r="AF24" s="95" t="n">
        <v>26.03</v>
      </c>
      <c r="AG24" s="95" t="n">
        <v>24.32</v>
      </c>
      <c r="AH24" s="95" t="n">
        <v>22.64</v>
      </c>
      <c r="AI24" s="95" t="n">
        <v>20.97</v>
      </c>
      <c r="AJ24" s="95" t="n">
        <v>19.31</v>
      </c>
      <c r="AK24" s="7" t="inlineStr">
        <is>
          <t>non</t>
        </is>
      </c>
    </row>
    <row r="25">
      <c r="A25" s="88" t="n">
        <v>1937</v>
      </c>
      <c r="B25" s="7" t="inlineStr">
        <is>
          <t>Génération silencieuse</t>
        </is>
      </c>
      <c r="C25" s="95" t="n">
        <v>16</v>
      </c>
      <c r="D25" s="77">
        <f>ROUND(A25+C25,0)</f>
        <v/>
      </c>
      <c r="E25" s="95" t="n">
        <v>60</v>
      </c>
      <c r="F25" s="95" t="n">
        <v>65</v>
      </c>
      <c r="G25" s="95" t="n">
        <v>60</v>
      </c>
      <c r="H25" s="85" t="n">
        <v>154</v>
      </c>
      <c r="I25" s="75">
        <f>H25/4</f>
        <v/>
      </c>
      <c r="J25" s="120" t="n">
        <v>0.025</v>
      </c>
      <c r="K25" s="120" t="n">
        <v>0.0075</v>
      </c>
      <c r="L25" s="95" t="n">
        <v>0</v>
      </c>
      <c r="M25" s="95" t="n">
        <v>0</v>
      </c>
      <c r="N25" s="95" t="n">
        <v>0</v>
      </c>
      <c r="O25" s="95" t="n">
        <v>0</v>
      </c>
      <c r="P25" s="95" t="n">
        <v>0</v>
      </c>
      <c r="Q25" s="85" t="n">
        <v>0</v>
      </c>
      <c r="R25" s="85" t="n">
        <v>9</v>
      </c>
      <c r="S25" s="95" t="n">
        <v>33.29</v>
      </c>
      <c r="T25" s="95" t="n">
        <v>60.86</v>
      </c>
      <c r="U25" s="95" t="n">
        <v>25.63</v>
      </c>
      <c r="V25" s="95" t="n">
        <v>24.15</v>
      </c>
      <c r="W25" s="95" t="n">
        <v>22.7</v>
      </c>
      <c r="X25" s="95" t="n">
        <v>21.27</v>
      </c>
      <c r="Y25" s="95" t="n">
        <v>19.87</v>
      </c>
      <c r="Z25" s="95" t="n">
        <v>18.48</v>
      </c>
      <c r="AA25" s="95" t="n">
        <v>17.11</v>
      </c>
      <c r="AB25" s="95" t="n">
        <v>15.76</v>
      </c>
      <c r="AC25" s="95" t="n">
        <v>31.3</v>
      </c>
      <c r="AD25" s="95" t="n">
        <v>29.55</v>
      </c>
      <c r="AE25" s="95" t="n">
        <v>27.8</v>
      </c>
      <c r="AF25" s="95" t="n">
        <v>26.08</v>
      </c>
      <c r="AG25" s="95" t="n">
        <v>24.37</v>
      </c>
      <c r="AH25" s="95" t="n">
        <v>22.69</v>
      </c>
      <c r="AI25" s="95" t="n">
        <v>21.01</v>
      </c>
      <c r="AJ25" s="95" t="n">
        <v>19.36</v>
      </c>
      <c r="AK25" s="7" t="inlineStr">
        <is>
          <t>non</t>
        </is>
      </c>
    </row>
    <row r="26">
      <c r="A26" s="88" t="n">
        <v>1938</v>
      </c>
      <c r="B26" s="7" t="inlineStr">
        <is>
          <t>Génération silencieuse</t>
        </is>
      </c>
      <c r="C26" s="95" t="n">
        <v>16</v>
      </c>
      <c r="D26" s="77">
        <f>ROUND(A26+C26,0)</f>
        <v/>
      </c>
      <c r="E26" s="95" t="n">
        <v>60</v>
      </c>
      <c r="F26" s="95" t="n">
        <v>65</v>
      </c>
      <c r="G26" s="95" t="n">
        <v>60</v>
      </c>
      <c r="H26" s="85" t="n">
        <v>155</v>
      </c>
      <c r="I26" s="75">
        <f>H26/4</f>
        <v/>
      </c>
      <c r="J26" s="120" t="n">
        <v>0.025</v>
      </c>
      <c r="K26" s="120" t="n">
        <v>0.0075</v>
      </c>
      <c r="L26" s="95" t="n">
        <v>0</v>
      </c>
      <c r="M26" s="95" t="n">
        <v>0</v>
      </c>
      <c r="N26" s="95" t="n">
        <v>0</v>
      </c>
      <c r="O26" s="95" t="n">
        <v>0</v>
      </c>
      <c r="P26" s="95" t="n">
        <v>0</v>
      </c>
      <c r="Q26" s="85" t="n">
        <v>0</v>
      </c>
      <c r="R26" s="85" t="n">
        <v>9</v>
      </c>
      <c r="S26" s="95" t="n">
        <v>33.53</v>
      </c>
      <c r="T26" s="95" t="n">
        <v>60.88</v>
      </c>
      <c r="U26" s="95" t="n">
        <v>25.86</v>
      </c>
      <c r="V26" s="95" t="n">
        <v>24.36</v>
      </c>
      <c r="W26" s="95" t="n">
        <v>22.9</v>
      </c>
      <c r="X26" s="95" t="n">
        <v>21.46</v>
      </c>
      <c r="Y26" s="95" t="n">
        <v>20.04</v>
      </c>
      <c r="Z26" s="95" t="n">
        <v>18.65</v>
      </c>
      <c r="AA26" s="95" t="n">
        <v>17.27</v>
      </c>
      <c r="AB26" s="95" t="n">
        <v>15.9</v>
      </c>
      <c r="AC26" s="95" t="n">
        <v>31.4</v>
      </c>
      <c r="AD26" s="95" t="n">
        <v>29.64</v>
      </c>
      <c r="AE26" s="95" t="n">
        <v>27.9</v>
      </c>
      <c r="AF26" s="95" t="n">
        <v>26.18</v>
      </c>
      <c r="AG26" s="95" t="n">
        <v>24.47</v>
      </c>
      <c r="AH26" s="95" t="n">
        <v>22.77</v>
      </c>
      <c r="AI26" s="95" t="n">
        <v>21.09</v>
      </c>
      <c r="AJ26" s="95" t="n">
        <v>19.42</v>
      </c>
      <c r="AK26" s="7" t="inlineStr">
        <is>
          <t>non</t>
        </is>
      </c>
    </row>
    <row r="27">
      <c r="A27" s="88" t="n">
        <v>1939</v>
      </c>
      <c r="B27" s="7" t="inlineStr">
        <is>
          <t>Génération silencieuse</t>
        </is>
      </c>
      <c r="C27" s="95" t="n">
        <v>16</v>
      </c>
      <c r="D27" s="77">
        <f>ROUND(A27+C27,0)</f>
        <v/>
      </c>
      <c r="E27" s="95" t="n">
        <v>60</v>
      </c>
      <c r="F27" s="95" t="n">
        <v>65</v>
      </c>
      <c r="G27" s="95" t="n">
        <v>60</v>
      </c>
      <c r="H27" s="85" t="n">
        <v>156</v>
      </c>
      <c r="I27" s="75">
        <f>H27/4</f>
        <v/>
      </c>
      <c r="J27" s="120" t="n">
        <v>0.025</v>
      </c>
      <c r="K27" s="120" t="n">
        <v>0.0075</v>
      </c>
      <c r="L27" s="95" t="n">
        <v>0</v>
      </c>
      <c r="M27" s="95" t="n">
        <v>0</v>
      </c>
      <c r="N27" s="95" t="n">
        <v>0</v>
      </c>
      <c r="O27" s="95" t="n">
        <v>0</v>
      </c>
      <c r="P27" s="95" t="n">
        <v>0</v>
      </c>
      <c r="Q27" s="85" t="n">
        <v>0</v>
      </c>
      <c r="R27" s="85" t="n">
        <v>9</v>
      </c>
      <c r="S27" s="95" t="n">
        <v>33.78</v>
      </c>
      <c r="T27" s="95" t="n">
        <v>60.89</v>
      </c>
      <c r="U27" s="95" t="n">
        <v>26.04</v>
      </c>
      <c r="V27" s="95" t="n">
        <v>24.53</v>
      </c>
      <c r="W27" s="95" t="n">
        <v>23.06</v>
      </c>
      <c r="X27" s="95" t="n">
        <v>21.61</v>
      </c>
      <c r="Y27" s="95" t="n">
        <v>20.18</v>
      </c>
      <c r="Z27" s="95" t="n">
        <v>18.77</v>
      </c>
      <c r="AA27" s="95" t="n">
        <v>17.37</v>
      </c>
      <c r="AB27" s="95" t="n">
        <v>16</v>
      </c>
      <c r="AC27" s="95" t="n">
        <v>31.49</v>
      </c>
      <c r="AD27" s="95" t="n">
        <v>29.74</v>
      </c>
      <c r="AE27" s="95" t="n">
        <v>28</v>
      </c>
      <c r="AF27" s="95" t="n">
        <v>26.27</v>
      </c>
      <c r="AG27" s="95" t="n">
        <v>24.55</v>
      </c>
      <c r="AH27" s="95" t="n">
        <v>22.86</v>
      </c>
      <c r="AI27" s="95" t="n">
        <v>21.17</v>
      </c>
      <c r="AJ27" s="95" t="n">
        <v>19.52</v>
      </c>
      <c r="AK27" s="7" t="inlineStr">
        <is>
          <t>non</t>
        </is>
      </c>
    </row>
    <row r="28">
      <c r="A28" s="88" t="n">
        <v>1940</v>
      </c>
      <c r="B28" s="7" t="inlineStr">
        <is>
          <t>Génération silencieuse</t>
        </is>
      </c>
      <c r="C28" s="95" t="n">
        <v>16</v>
      </c>
      <c r="D28" s="77">
        <f>ROUND(A28+C28,0)</f>
        <v/>
      </c>
      <c r="E28" s="95" t="n">
        <v>60</v>
      </c>
      <c r="F28" s="95" t="n">
        <v>65</v>
      </c>
      <c r="G28" s="95" t="n">
        <v>60</v>
      </c>
      <c r="H28" s="85" t="n">
        <v>157</v>
      </c>
      <c r="I28" s="75">
        <f>H28/4</f>
        <v/>
      </c>
      <c r="J28" s="120" t="n">
        <v>0.025</v>
      </c>
      <c r="K28" s="120" t="n">
        <v>0.0075</v>
      </c>
      <c r="L28" s="95" t="n">
        <v>0</v>
      </c>
      <c r="M28" s="95" t="n">
        <v>0</v>
      </c>
      <c r="N28" s="95" t="n">
        <v>0</v>
      </c>
      <c r="O28" s="95" t="n">
        <v>0</v>
      </c>
      <c r="P28" s="95" t="n">
        <v>0</v>
      </c>
      <c r="Q28" s="85" t="n">
        <v>0</v>
      </c>
      <c r="R28" s="85" t="n">
        <v>9</v>
      </c>
      <c r="S28" s="95" t="n">
        <v>34.02</v>
      </c>
      <c r="T28" s="95" t="n">
        <v>60.9</v>
      </c>
      <c r="U28" s="95" t="n">
        <v>26.24</v>
      </c>
      <c r="V28" s="95" t="n">
        <v>24.73</v>
      </c>
      <c r="W28" s="95" t="n">
        <v>23.23</v>
      </c>
      <c r="X28" s="95" t="n">
        <v>21.76</v>
      </c>
      <c r="Y28" s="95" t="n">
        <v>20.33</v>
      </c>
      <c r="Z28" s="95" t="n">
        <v>18.9</v>
      </c>
      <c r="AA28" s="95" t="n">
        <v>17.49</v>
      </c>
      <c r="AB28" s="95" t="n">
        <v>16.09</v>
      </c>
      <c r="AC28" s="95" t="n">
        <v>31.64</v>
      </c>
      <c r="AD28" s="95" t="n">
        <v>29.88</v>
      </c>
      <c r="AE28" s="95" t="n">
        <v>28.14</v>
      </c>
      <c r="AF28" s="95" t="n">
        <v>26.41</v>
      </c>
      <c r="AG28" s="95" t="n">
        <v>24.69</v>
      </c>
      <c r="AH28" s="95" t="n">
        <v>22.98</v>
      </c>
      <c r="AI28" s="95" t="n">
        <v>21.28</v>
      </c>
      <c r="AJ28" s="95" t="n">
        <v>19.61</v>
      </c>
      <c r="AK28" s="7" t="inlineStr">
        <is>
          <t>non</t>
        </is>
      </c>
    </row>
    <row r="29">
      <c r="A29" s="88" t="n">
        <v>1941</v>
      </c>
      <c r="B29" s="7" t="inlineStr">
        <is>
          <t>Génération silencieuse</t>
        </is>
      </c>
      <c r="C29" s="95" t="n">
        <v>16</v>
      </c>
      <c r="D29" s="77">
        <f>ROUND(A29+C29,0)</f>
        <v/>
      </c>
      <c r="E29" s="95" t="n">
        <v>60</v>
      </c>
      <c r="F29" s="95" t="n">
        <v>65</v>
      </c>
      <c r="G29" s="95" t="n">
        <v>60</v>
      </c>
      <c r="H29" s="85" t="n">
        <v>158</v>
      </c>
      <c r="I29" s="75">
        <f>H29/4</f>
        <v/>
      </c>
      <c r="J29" s="120" t="n">
        <v>0.025</v>
      </c>
      <c r="K29" s="120" t="n">
        <v>0.0075</v>
      </c>
      <c r="L29" s="95" t="n">
        <v>0</v>
      </c>
      <c r="M29" s="95" t="n">
        <v>0</v>
      </c>
      <c r="N29" s="95" t="n">
        <v>0</v>
      </c>
      <c r="O29" s="95" t="n">
        <v>0</v>
      </c>
      <c r="P29" s="95" t="n">
        <v>0</v>
      </c>
      <c r="Q29" s="85" t="n">
        <v>0</v>
      </c>
      <c r="R29" s="85" t="n">
        <v>9</v>
      </c>
      <c r="S29" s="95" t="n">
        <v>34.27</v>
      </c>
      <c r="T29" s="95" t="n">
        <v>60.92</v>
      </c>
      <c r="U29" s="95" t="n">
        <v>26.36</v>
      </c>
      <c r="V29" s="95" t="n">
        <v>24.84</v>
      </c>
      <c r="W29" s="95" t="n">
        <v>23.34</v>
      </c>
      <c r="X29" s="95" t="n">
        <v>21.88</v>
      </c>
      <c r="Y29" s="95" t="n">
        <v>20.43</v>
      </c>
      <c r="Z29" s="95" t="n">
        <v>19</v>
      </c>
      <c r="AA29" s="95" t="n">
        <v>17.57</v>
      </c>
      <c r="AB29" s="95" t="n">
        <v>16.18</v>
      </c>
      <c r="AC29" s="95" t="n">
        <v>31.71</v>
      </c>
      <c r="AD29" s="95" t="n">
        <v>29.95</v>
      </c>
      <c r="AE29" s="95" t="n">
        <v>28.19</v>
      </c>
      <c r="AF29" s="95" t="n">
        <v>26.46</v>
      </c>
      <c r="AG29" s="95" t="n">
        <v>24.74</v>
      </c>
      <c r="AH29" s="95" t="n">
        <v>23.02</v>
      </c>
      <c r="AI29" s="95" t="n">
        <v>21.33</v>
      </c>
      <c r="AJ29" s="95" t="n">
        <v>19.67</v>
      </c>
      <c r="AK29" s="7" t="inlineStr">
        <is>
          <t>non</t>
        </is>
      </c>
    </row>
    <row r="30">
      <c r="A30" s="88" t="n">
        <v>1942</v>
      </c>
      <c r="B30" s="7" t="inlineStr">
        <is>
          <t>Génération silencieuse</t>
        </is>
      </c>
      <c r="C30" s="95" t="n">
        <v>16</v>
      </c>
      <c r="D30" s="77">
        <f>ROUND(A30+C30,0)</f>
        <v/>
      </c>
      <c r="E30" s="95" t="n">
        <v>60</v>
      </c>
      <c r="F30" s="95" t="n">
        <v>65</v>
      </c>
      <c r="G30" s="95" t="n">
        <v>60</v>
      </c>
      <c r="H30" s="85" t="n">
        <v>159</v>
      </c>
      <c r="I30" s="75">
        <f>H30/4</f>
        <v/>
      </c>
      <c r="J30" s="120" t="n">
        <v>0.025</v>
      </c>
      <c r="K30" s="120" t="n">
        <v>0.0075</v>
      </c>
      <c r="L30" s="95" t="n">
        <v>0</v>
      </c>
      <c r="M30" s="95" t="n">
        <v>0</v>
      </c>
      <c r="N30" s="95" t="n">
        <v>0</v>
      </c>
      <c r="O30" s="95" t="n">
        <v>0</v>
      </c>
      <c r="P30" s="95" t="n">
        <v>0</v>
      </c>
      <c r="Q30" s="85" t="n">
        <v>0</v>
      </c>
      <c r="R30" s="85" t="n">
        <v>9</v>
      </c>
      <c r="S30" s="95" t="n">
        <v>34.51</v>
      </c>
      <c r="T30" s="95" t="n">
        <v>60.94</v>
      </c>
      <c r="U30" s="95" t="n">
        <v>26.48</v>
      </c>
      <c r="V30" s="95" t="n">
        <v>24.95</v>
      </c>
      <c r="W30" s="95" t="n">
        <v>23.45</v>
      </c>
      <c r="X30" s="95" t="n">
        <v>21.97</v>
      </c>
      <c r="Y30" s="95" t="n">
        <v>20.51</v>
      </c>
      <c r="Z30" s="95" t="n">
        <v>19.07</v>
      </c>
      <c r="AA30" s="95" t="n">
        <v>17.64</v>
      </c>
      <c r="AB30" s="95" t="n">
        <v>16.22</v>
      </c>
      <c r="AC30" s="95" t="n">
        <v>31.75</v>
      </c>
      <c r="AD30" s="95" t="n">
        <v>29.99</v>
      </c>
      <c r="AE30" s="95" t="n">
        <v>28.23</v>
      </c>
      <c r="AF30" s="95" t="n">
        <v>26.49</v>
      </c>
      <c r="AG30" s="95" t="n">
        <v>24.77</v>
      </c>
      <c r="AH30" s="95" t="n">
        <v>23.06</v>
      </c>
      <c r="AI30" s="95" t="n">
        <v>21.37</v>
      </c>
      <c r="AJ30" s="95" t="n">
        <v>19.7</v>
      </c>
      <c r="AK30" s="7" t="inlineStr">
        <is>
          <t>non</t>
        </is>
      </c>
    </row>
    <row r="31">
      <c r="A31" s="88" t="n">
        <v>1943</v>
      </c>
      <c r="B31" s="7" t="inlineStr">
        <is>
          <t>Génération silencieuse</t>
        </is>
      </c>
      <c r="C31" s="95" t="n">
        <v>16</v>
      </c>
      <c r="D31" s="77">
        <f>ROUND(A31+C31,0)</f>
        <v/>
      </c>
      <c r="E31" s="95" t="n">
        <v>60</v>
      </c>
      <c r="F31" s="95" t="n">
        <v>65</v>
      </c>
      <c r="G31" s="95" t="n">
        <v>60</v>
      </c>
      <c r="H31" s="85" t="n">
        <v>160</v>
      </c>
      <c r="I31" s="75">
        <f>H31/4</f>
        <v/>
      </c>
      <c r="J31" s="120" t="n">
        <v>0.025</v>
      </c>
      <c r="K31" s="120" t="n">
        <v>0.0075</v>
      </c>
      <c r="L31" s="95" t="n">
        <v>0</v>
      </c>
      <c r="M31" s="95" t="n">
        <v>0</v>
      </c>
      <c r="N31" s="95" t="n">
        <v>0</v>
      </c>
      <c r="O31" s="95" t="n">
        <v>0</v>
      </c>
      <c r="P31" s="95" t="n">
        <v>0</v>
      </c>
      <c r="Q31" s="85" t="n">
        <v>0</v>
      </c>
      <c r="R31" s="85" t="n">
        <v>5</v>
      </c>
      <c r="S31" s="95" t="n">
        <v>34.76</v>
      </c>
      <c r="T31" s="95" t="n">
        <v>60.96</v>
      </c>
      <c r="U31" s="95" t="n">
        <v>26.54</v>
      </c>
      <c r="V31" s="95" t="n">
        <v>25.02</v>
      </c>
      <c r="W31" s="95" t="n">
        <v>23.52</v>
      </c>
      <c r="X31" s="95" t="n">
        <v>22.03</v>
      </c>
      <c r="Y31" s="95" t="n">
        <v>20.56</v>
      </c>
      <c r="Z31" s="95" t="n">
        <v>19.13</v>
      </c>
      <c r="AA31" s="95" t="n">
        <v>17.71</v>
      </c>
      <c r="AB31" s="95" t="n">
        <v>16.3</v>
      </c>
      <c r="AC31" s="95" t="n">
        <v>31.74</v>
      </c>
      <c r="AD31" s="95" t="n">
        <v>29.97</v>
      </c>
      <c r="AE31" s="95" t="n">
        <v>28.22</v>
      </c>
      <c r="AF31" s="95" t="n">
        <v>26.48</v>
      </c>
      <c r="AG31" s="95" t="n">
        <v>24.76</v>
      </c>
      <c r="AH31" s="95" t="n">
        <v>23.05</v>
      </c>
      <c r="AI31" s="95" t="n">
        <v>21.36</v>
      </c>
      <c r="AJ31" s="95" t="n">
        <v>19.69</v>
      </c>
      <c r="AK31" s="7" t="inlineStr">
        <is>
          <t>non</t>
        </is>
      </c>
    </row>
    <row r="32">
      <c r="A32" s="88" t="n">
        <v>1944</v>
      </c>
      <c r="B32" s="7" t="inlineStr">
        <is>
          <t>Génération silencieuse</t>
        </is>
      </c>
      <c r="C32" s="95" t="n">
        <v>16</v>
      </c>
      <c r="D32" s="77">
        <f>ROUND(A32+C32,0)</f>
        <v/>
      </c>
      <c r="E32" s="95" t="n">
        <v>60</v>
      </c>
      <c r="F32" s="95" t="n">
        <v>65</v>
      </c>
      <c r="G32" s="95" t="n">
        <v>60</v>
      </c>
      <c r="H32" s="85" t="n">
        <v>160</v>
      </c>
      <c r="I32" s="75">
        <f>H32/4</f>
        <v/>
      </c>
      <c r="J32" s="120" t="n">
        <v>0.02375</v>
      </c>
      <c r="K32" s="120" t="n">
        <v>0.0075</v>
      </c>
      <c r="L32" s="95" t="n">
        <v>56</v>
      </c>
      <c r="M32" s="95" t="n">
        <v>59</v>
      </c>
      <c r="N32" s="95" t="n">
        <v>0</v>
      </c>
      <c r="O32" s="95" t="n">
        <v>0</v>
      </c>
      <c r="P32" s="95" t="n">
        <v>0</v>
      </c>
      <c r="Q32" s="85" t="n">
        <v>168</v>
      </c>
      <c r="R32" s="85" t="n">
        <v>5</v>
      </c>
      <c r="S32" s="95" t="n">
        <v>35</v>
      </c>
      <c r="T32" s="95" t="n">
        <v>60.98</v>
      </c>
      <c r="U32" s="95" t="n">
        <v>26.58</v>
      </c>
      <c r="V32" s="95" t="n">
        <v>25.06</v>
      </c>
      <c r="W32" s="95" t="n">
        <v>23.56</v>
      </c>
      <c r="X32" s="95" t="n">
        <v>22.07</v>
      </c>
      <c r="Y32" s="95" t="n">
        <v>20.61</v>
      </c>
      <c r="Z32" s="95" t="n">
        <v>19.17</v>
      </c>
      <c r="AA32" s="95" t="n">
        <v>17.73</v>
      </c>
      <c r="AB32" s="95" t="n">
        <v>16.33</v>
      </c>
      <c r="AC32" s="95" t="n">
        <v>31.74</v>
      </c>
      <c r="AD32" s="95" t="n">
        <v>29.98</v>
      </c>
      <c r="AE32" s="95" t="n">
        <v>28.23</v>
      </c>
      <c r="AF32" s="95" t="n">
        <v>26.49</v>
      </c>
      <c r="AG32" s="95" t="n">
        <v>24.77</v>
      </c>
      <c r="AH32" s="95" t="n">
        <v>23.07</v>
      </c>
      <c r="AI32" s="95" t="n">
        <v>21.37</v>
      </c>
      <c r="AJ32" s="95" t="n">
        <v>19.7</v>
      </c>
      <c r="AK32" s="7" t="inlineStr">
        <is>
          <t>non</t>
        </is>
      </c>
    </row>
    <row r="33">
      <c r="A33" s="88" t="n">
        <v>1945</v>
      </c>
      <c r="B33" s="7" t="inlineStr">
        <is>
          <t>Génération silencieuse</t>
        </is>
      </c>
      <c r="C33" s="95" t="n">
        <v>16.11</v>
      </c>
      <c r="D33" s="77">
        <f>ROUND(A33+C33,0)</f>
        <v/>
      </c>
      <c r="E33" s="95" t="n">
        <v>60</v>
      </c>
      <c r="F33" s="95" t="n">
        <v>65</v>
      </c>
      <c r="G33" s="95" t="n">
        <v>60</v>
      </c>
      <c r="H33" s="85" t="n">
        <v>160</v>
      </c>
      <c r="I33" s="75">
        <f>H33/4</f>
        <v/>
      </c>
      <c r="J33" s="120" t="n">
        <v>0.0225</v>
      </c>
      <c r="K33" s="120" t="n">
        <v>0.0075</v>
      </c>
      <c r="L33" s="95" t="n">
        <v>56</v>
      </c>
      <c r="M33" s="95" t="n">
        <v>59</v>
      </c>
      <c r="N33" s="95" t="n">
        <v>0</v>
      </c>
      <c r="O33" s="95" t="n">
        <v>0</v>
      </c>
      <c r="P33" s="95" t="n">
        <v>0</v>
      </c>
      <c r="Q33" s="85" t="n">
        <v>168</v>
      </c>
      <c r="R33" s="85" t="n">
        <v>5</v>
      </c>
      <c r="S33" s="95" t="n">
        <v>35.47</v>
      </c>
      <c r="T33" s="95" t="n">
        <v>61</v>
      </c>
      <c r="U33" s="95" t="n">
        <v>26.67</v>
      </c>
      <c r="V33" s="95" t="n">
        <v>25.15</v>
      </c>
      <c r="W33" s="95" t="n">
        <v>23.64</v>
      </c>
      <c r="X33" s="95" t="n">
        <v>22.14</v>
      </c>
      <c r="Y33" s="95" t="n">
        <v>20.66</v>
      </c>
      <c r="Z33" s="95" t="n">
        <v>19.22</v>
      </c>
      <c r="AA33" s="95" t="n">
        <v>17.77</v>
      </c>
      <c r="AB33" s="95" t="n">
        <v>16.36</v>
      </c>
      <c r="AC33" s="95" t="n">
        <v>31.78</v>
      </c>
      <c r="AD33" s="95" t="n">
        <v>30.02</v>
      </c>
      <c r="AE33" s="95" t="n">
        <v>28.27</v>
      </c>
      <c r="AF33" s="95" t="n">
        <v>26.53</v>
      </c>
      <c r="AG33" s="95" t="n">
        <v>24.8</v>
      </c>
      <c r="AH33" s="95" t="n">
        <v>23.09</v>
      </c>
      <c r="AI33" s="95" t="n">
        <v>21.39</v>
      </c>
      <c r="AJ33" s="95" t="n">
        <v>19.71</v>
      </c>
      <c r="AK33" s="7" t="inlineStr">
        <is>
          <t>non</t>
        </is>
      </c>
    </row>
    <row r="34">
      <c r="A34" s="88" t="n">
        <v>1946</v>
      </c>
      <c r="B34" s="7" t="inlineStr">
        <is>
          <t>Baby-boomers</t>
        </is>
      </c>
      <c r="C34" s="95" t="n">
        <v>16.22</v>
      </c>
      <c r="D34" s="77">
        <f>ROUND(A34+C34,0)</f>
        <v/>
      </c>
      <c r="E34" s="95" t="n">
        <v>60</v>
      </c>
      <c r="F34" s="95" t="n">
        <v>65</v>
      </c>
      <c r="G34" s="95" t="n">
        <v>60</v>
      </c>
      <c r="H34" s="85" t="n">
        <v>160</v>
      </c>
      <c r="I34" s="75">
        <f>H34/4</f>
        <v/>
      </c>
      <c r="J34" s="120" t="n">
        <v>0.02125</v>
      </c>
      <c r="K34" s="120" t="n">
        <v>0.0075</v>
      </c>
      <c r="L34" s="95" t="n">
        <v>56</v>
      </c>
      <c r="M34" s="95" t="n">
        <v>59</v>
      </c>
      <c r="N34" s="95" t="n">
        <v>0</v>
      </c>
      <c r="O34" s="95" t="n">
        <v>0</v>
      </c>
      <c r="P34" s="95" t="n">
        <v>0</v>
      </c>
      <c r="Q34" s="85" t="n">
        <v>168</v>
      </c>
      <c r="R34" s="85" t="n">
        <v>5</v>
      </c>
      <c r="S34" s="95" t="n">
        <v>35.93</v>
      </c>
      <c r="T34" s="95" t="n">
        <v>60.9</v>
      </c>
      <c r="U34" s="95" t="n">
        <v>26.8</v>
      </c>
      <c r="V34" s="95" t="n">
        <v>25.27</v>
      </c>
      <c r="W34" s="95" t="n">
        <v>23.75</v>
      </c>
      <c r="X34" s="95" t="n">
        <v>22.25</v>
      </c>
      <c r="Y34" s="95" t="n">
        <v>20.77</v>
      </c>
      <c r="Z34" s="95" t="n">
        <v>19.31</v>
      </c>
      <c r="AA34" s="95" t="n">
        <v>17.86</v>
      </c>
      <c r="AB34" s="95" t="n">
        <v>16.44</v>
      </c>
      <c r="AC34" s="95" t="n">
        <v>31.86</v>
      </c>
      <c r="AD34" s="95" t="n">
        <v>30.09</v>
      </c>
      <c r="AE34" s="95" t="n">
        <v>28.33</v>
      </c>
      <c r="AF34" s="95" t="n">
        <v>26.58</v>
      </c>
      <c r="AG34" s="95" t="n">
        <v>24.85</v>
      </c>
      <c r="AH34" s="95" t="n">
        <v>23.13</v>
      </c>
      <c r="AI34" s="95" t="n">
        <v>21.42</v>
      </c>
      <c r="AJ34" s="95" t="n">
        <v>19.74</v>
      </c>
      <c r="AK34" s="7" t="inlineStr">
        <is>
          <t>non</t>
        </is>
      </c>
    </row>
    <row r="35">
      <c r="A35" s="88" t="n">
        <v>1947</v>
      </c>
      <c r="B35" s="7" t="inlineStr">
        <is>
          <t>Baby-boomers</t>
        </is>
      </c>
      <c r="C35" s="95" t="n">
        <v>16.33</v>
      </c>
      <c r="D35" s="77">
        <f>ROUND(A35+C35,0)</f>
        <v/>
      </c>
      <c r="E35" s="95" t="n">
        <v>60</v>
      </c>
      <c r="F35" s="95" t="n">
        <v>65</v>
      </c>
      <c r="G35" s="95" t="n">
        <v>60</v>
      </c>
      <c r="H35" s="85" t="n">
        <v>160</v>
      </c>
      <c r="I35" s="75">
        <f>H35/4</f>
        <v/>
      </c>
      <c r="J35" s="120" t="n">
        <v>0.02</v>
      </c>
      <c r="K35" s="120" t="n">
        <v>0.0075</v>
      </c>
      <c r="L35" s="95" t="n">
        <v>56</v>
      </c>
      <c r="M35" s="95" t="n">
        <v>59</v>
      </c>
      <c r="N35" s="95" t="n">
        <v>0</v>
      </c>
      <c r="O35" s="95" t="n">
        <v>0</v>
      </c>
      <c r="P35" s="95" t="n">
        <v>0</v>
      </c>
      <c r="Q35" s="85" t="n">
        <v>168</v>
      </c>
      <c r="R35" s="85" t="n">
        <v>5</v>
      </c>
      <c r="S35" s="95" t="n">
        <v>36.4</v>
      </c>
      <c r="T35" s="95" t="n">
        <v>60.8</v>
      </c>
      <c r="U35" s="95" t="n">
        <v>26.88</v>
      </c>
      <c r="V35" s="95" t="n">
        <v>25.34</v>
      </c>
      <c r="W35" s="95" t="n">
        <v>23.81</v>
      </c>
      <c r="X35" s="95" t="n">
        <v>22.31</v>
      </c>
      <c r="Y35" s="95" t="n">
        <v>20.83</v>
      </c>
      <c r="Z35" s="95" t="n">
        <v>19.36</v>
      </c>
      <c r="AA35" s="95" t="n">
        <v>17.91</v>
      </c>
      <c r="AB35" s="95" t="n">
        <v>16.49</v>
      </c>
      <c r="AC35" s="95" t="n">
        <v>31.89</v>
      </c>
      <c r="AD35" s="95" t="n">
        <v>30.12</v>
      </c>
      <c r="AE35" s="95" t="n">
        <v>28.35</v>
      </c>
      <c r="AF35" s="95" t="n">
        <v>26.6</v>
      </c>
      <c r="AG35" s="95" t="n">
        <v>24.87</v>
      </c>
      <c r="AH35" s="95" t="n">
        <v>23.16</v>
      </c>
      <c r="AI35" s="95" t="n">
        <v>21.45</v>
      </c>
      <c r="AJ35" s="95" t="n">
        <v>19.76</v>
      </c>
      <c r="AK35" s="7" t="inlineStr">
        <is>
          <t>non</t>
        </is>
      </c>
    </row>
    <row r="36">
      <c r="A36" s="88" t="n">
        <v>1948</v>
      </c>
      <c r="B36" s="7" t="inlineStr">
        <is>
          <t>Baby-boomers</t>
        </is>
      </c>
      <c r="C36" s="95" t="n">
        <v>16.45</v>
      </c>
      <c r="D36" s="77">
        <f>ROUND(A36+C36,0)</f>
        <v/>
      </c>
      <c r="E36" s="95" t="n">
        <v>60</v>
      </c>
      <c r="F36" s="95" t="n">
        <v>65</v>
      </c>
      <c r="G36" s="95" t="n">
        <v>60</v>
      </c>
      <c r="H36" s="85" t="n">
        <v>160</v>
      </c>
      <c r="I36" s="75">
        <f>H36/4</f>
        <v/>
      </c>
      <c r="J36" s="120" t="n">
        <v>0.01875</v>
      </c>
      <c r="K36" s="120" t="n">
        <v>0.0075</v>
      </c>
      <c r="L36" s="95" t="n">
        <v>56</v>
      </c>
      <c r="M36" s="95" t="n">
        <v>59</v>
      </c>
      <c r="N36" s="95" t="n">
        <v>0</v>
      </c>
      <c r="O36" s="95" t="n">
        <v>0</v>
      </c>
      <c r="P36" s="95" t="n">
        <v>0</v>
      </c>
      <c r="Q36" s="85" t="n">
        <v>168</v>
      </c>
      <c r="R36" s="85" t="n">
        <v>5</v>
      </c>
      <c r="S36" s="95" t="n">
        <v>36.87</v>
      </c>
      <c r="T36" s="95" t="n">
        <v>60.7</v>
      </c>
      <c r="U36" s="95" t="n">
        <v>26.97</v>
      </c>
      <c r="V36" s="95" t="n">
        <v>25.42</v>
      </c>
      <c r="W36" s="95" t="n">
        <v>23.88</v>
      </c>
      <c r="X36" s="95" t="n">
        <v>22.37</v>
      </c>
      <c r="Y36" s="95" t="n">
        <v>20.88</v>
      </c>
      <c r="Z36" s="95" t="n">
        <v>19.41</v>
      </c>
      <c r="AA36" s="95" t="n">
        <v>17.96</v>
      </c>
      <c r="AB36" s="95" t="n">
        <v>16.53</v>
      </c>
      <c r="AC36" s="95" t="n">
        <v>31.93</v>
      </c>
      <c r="AD36" s="95" t="n">
        <v>30.15</v>
      </c>
      <c r="AE36" s="95" t="n">
        <v>28.39</v>
      </c>
      <c r="AF36" s="95" t="n">
        <v>26.63</v>
      </c>
      <c r="AG36" s="95" t="n">
        <v>24.89</v>
      </c>
      <c r="AH36" s="95" t="n">
        <v>23.16</v>
      </c>
      <c r="AI36" s="95" t="n">
        <v>21.46</v>
      </c>
      <c r="AJ36" s="95" t="n">
        <v>19.77</v>
      </c>
      <c r="AK36" s="7" t="inlineStr">
        <is>
          <t>non</t>
        </is>
      </c>
    </row>
    <row r="37">
      <c r="A37" s="88" t="n">
        <v>1949</v>
      </c>
      <c r="B37" s="7" t="inlineStr">
        <is>
          <t>Baby-boomers</t>
        </is>
      </c>
      <c r="C37" s="95" t="n">
        <v>16.56</v>
      </c>
      <c r="D37" s="77">
        <f>ROUND(A37+C37,0)</f>
        <v/>
      </c>
      <c r="E37" s="95" t="n">
        <v>60</v>
      </c>
      <c r="F37" s="95" t="n">
        <v>65</v>
      </c>
      <c r="G37" s="95" t="n">
        <v>60</v>
      </c>
      <c r="H37" s="85" t="n">
        <v>161</v>
      </c>
      <c r="I37" s="75">
        <f>H37/4</f>
        <v/>
      </c>
      <c r="J37" s="120" t="n">
        <v>0.0175</v>
      </c>
      <c r="K37" s="120" t="n">
        <v>0.0125</v>
      </c>
      <c r="L37" s="95" t="n">
        <v>56</v>
      </c>
      <c r="M37" s="95" t="n">
        <v>59</v>
      </c>
      <c r="N37" s="95" t="n">
        <v>0</v>
      </c>
      <c r="O37" s="95" t="n">
        <v>0</v>
      </c>
      <c r="P37" s="95" t="n">
        <v>0</v>
      </c>
      <c r="Q37" s="85" t="n">
        <v>168</v>
      </c>
      <c r="R37" s="85" t="n">
        <v>5</v>
      </c>
      <c r="S37" s="95" t="n">
        <v>37.33</v>
      </c>
      <c r="T37" s="95" t="n">
        <v>60.6</v>
      </c>
      <c r="U37" s="95" t="n">
        <v>26.96</v>
      </c>
      <c r="V37" s="95" t="n">
        <v>25.41</v>
      </c>
      <c r="W37" s="95" t="n">
        <v>23.88</v>
      </c>
      <c r="X37" s="95" t="n">
        <v>22.38</v>
      </c>
      <c r="Y37" s="95" t="n">
        <v>20.9</v>
      </c>
      <c r="Z37" s="95" t="n">
        <v>19.44</v>
      </c>
      <c r="AA37" s="95" t="n">
        <v>18</v>
      </c>
      <c r="AB37" s="95" t="n">
        <v>16.59</v>
      </c>
      <c r="AC37" s="95" t="n">
        <v>31.88</v>
      </c>
      <c r="AD37" s="95" t="n">
        <v>30.11</v>
      </c>
      <c r="AE37" s="95" t="n">
        <v>28.35</v>
      </c>
      <c r="AF37" s="95" t="n">
        <v>26.6</v>
      </c>
      <c r="AG37" s="95" t="n">
        <v>24.87</v>
      </c>
      <c r="AH37" s="95" t="n">
        <v>23.14</v>
      </c>
      <c r="AI37" s="95" t="n">
        <v>21.45</v>
      </c>
      <c r="AJ37" s="95" t="n">
        <v>19.77</v>
      </c>
      <c r="AK37" s="7" t="inlineStr">
        <is>
          <t>non</t>
        </is>
      </c>
    </row>
    <row r="38">
      <c r="A38" s="88" t="n">
        <v>1950</v>
      </c>
      <c r="B38" s="7" t="inlineStr">
        <is>
          <t>Baby-boomers</t>
        </is>
      </c>
      <c r="C38" s="95" t="n">
        <v>16.67</v>
      </c>
      <c r="D38" s="77">
        <f>ROUND(A38+C38,0)</f>
        <v/>
      </c>
      <c r="E38" s="95" t="n">
        <v>60</v>
      </c>
      <c r="F38" s="95" t="n">
        <v>65</v>
      </c>
      <c r="G38" s="95" t="n">
        <v>60</v>
      </c>
      <c r="H38" s="85" t="n">
        <v>162</v>
      </c>
      <c r="I38" s="75">
        <f>H38/4</f>
        <v/>
      </c>
      <c r="J38" s="120" t="n">
        <v>0.01625</v>
      </c>
      <c r="K38" s="120" t="n">
        <v>0.0125</v>
      </c>
      <c r="L38" s="95" t="n">
        <v>56</v>
      </c>
      <c r="M38" s="95" t="n">
        <v>59</v>
      </c>
      <c r="N38" s="95" t="n">
        <v>0</v>
      </c>
      <c r="O38" s="95" t="n">
        <v>0</v>
      </c>
      <c r="P38" s="95" t="n">
        <v>0</v>
      </c>
      <c r="Q38" s="85" t="n">
        <v>168</v>
      </c>
      <c r="R38" s="85" t="n">
        <v>4</v>
      </c>
      <c r="S38" s="95" t="n">
        <v>37.8</v>
      </c>
      <c r="T38" s="95" t="n">
        <v>60.5</v>
      </c>
      <c r="U38" s="95" t="n">
        <v>27.06</v>
      </c>
      <c r="V38" s="95" t="n">
        <v>25.51</v>
      </c>
      <c r="W38" s="95" t="n">
        <v>23.98</v>
      </c>
      <c r="X38" s="95" t="n">
        <v>22.46</v>
      </c>
      <c r="Y38" s="95" t="n">
        <v>20.97</v>
      </c>
      <c r="Z38" s="95" t="n">
        <v>19.5</v>
      </c>
      <c r="AA38" s="95" t="n">
        <v>18.05</v>
      </c>
      <c r="AB38" s="95" t="n">
        <v>16.64</v>
      </c>
      <c r="AC38" s="95" t="n">
        <v>31.89</v>
      </c>
      <c r="AD38" s="95" t="n">
        <v>30.12</v>
      </c>
      <c r="AE38" s="95" t="n">
        <v>28.35</v>
      </c>
      <c r="AF38" s="95" t="n">
        <v>26.6</v>
      </c>
      <c r="AG38" s="95" t="n">
        <v>24.87</v>
      </c>
      <c r="AH38" s="95" t="n">
        <v>23.15</v>
      </c>
      <c r="AI38" s="95" t="n">
        <v>21.45</v>
      </c>
      <c r="AJ38" s="95" t="n">
        <v>19.78</v>
      </c>
      <c r="AK38" s="7" t="inlineStr">
        <is>
          <t>non</t>
        </is>
      </c>
    </row>
    <row r="39">
      <c r="A39" s="88" t="n">
        <v>1951</v>
      </c>
      <c r="B39" s="7" t="inlineStr">
        <is>
          <t>Baby-boomers</t>
        </is>
      </c>
      <c r="C39" s="95" t="n">
        <v>16.78</v>
      </c>
      <c r="D39" s="77">
        <f>ROUND(A39+C39,0)</f>
        <v/>
      </c>
      <c r="E39" s="95" t="n">
        <v>60.3333</v>
      </c>
      <c r="F39" s="95" t="n">
        <v>65.33329999999999</v>
      </c>
      <c r="G39" s="95" t="n">
        <v>60.3333</v>
      </c>
      <c r="H39" s="85" t="n">
        <v>163</v>
      </c>
      <c r="I39" s="75">
        <f>H39/4</f>
        <v/>
      </c>
      <c r="J39" s="120" t="n">
        <v>0.015</v>
      </c>
      <c r="K39" s="120" t="n">
        <v>0.0125</v>
      </c>
      <c r="L39" s="95" t="n">
        <v>56</v>
      </c>
      <c r="M39" s="95" t="n">
        <v>59</v>
      </c>
      <c r="N39" s="95" t="n">
        <v>0</v>
      </c>
      <c r="O39" s="95" t="n">
        <v>0</v>
      </c>
      <c r="P39" s="95" t="n">
        <v>0</v>
      </c>
      <c r="Q39" s="85" t="n">
        <v>168</v>
      </c>
      <c r="R39" s="85" t="n">
        <v>4</v>
      </c>
      <c r="S39" s="95" t="n">
        <v>38.27</v>
      </c>
      <c r="T39" s="95" t="n">
        <v>60.76</v>
      </c>
      <c r="U39" s="95" t="n">
        <v>27.08</v>
      </c>
      <c r="V39" s="95" t="n">
        <v>25.53</v>
      </c>
      <c r="W39" s="95" t="n">
        <v>24</v>
      </c>
      <c r="X39" s="95" t="n">
        <v>22.5</v>
      </c>
      <c r="Y39" s="95" t="n">
        <v>21.01</v>
      </c>
      <c r="Z39" s="95" t="n">
        <v>19.55</v>
      </c>
      <c r="AA39" s="95" t="n">
        <v>18.11</v>
      </c>
      <c r="AB39" s="95" t="n">
        <v>16.72</v>
      </c>
      <c r="AC39" s="95" t="n">
        <v>31.88</v>
      </c>
      <c r="AD39" s="95" t="n">
        <v>30.11</v>
      </c>
      <c r="AE39" s="95" t="n">
        <v>28.35</v>
      </c>
      <c r="AF39" s="95" t="n">
        <v>26.6</v>
      </c>
      <c r="AG39" s="95" t="n">
        <v>24.86</v>
      </c>
      <c r="AH39" s="95" t="n">
        <v>23.16</v>
      </c>
      <c r="AI39" s="95" t="n">
        <v>21.46</v>
      </c>
      <c r="AJ39" s="95" t="n">
        <v>19.81</v>
      </c>
      <c r="AK39" s="7" t="inlineStr">
        <is>
          <t>non</t>
        </is>
      </c>
    </row>
    <row r="40">
      <c r="A40" s="88" t="n">
        <v>1952</v>
      </c>
      <c r="B40" s="7" t="inlineStr">
        <is>
          <t>Baby-boomers</t>
        </is>
      </c>
      <c r="C40" s="95" t="n">
        <v>16.89</v>
      </c>
      <c r="D40" s="77">
        <f>ROUND(A40+C40,0)</f>
        <v/>
      </c>
      <c r="E40" s="95" t="n">
        <v>60.75</v>
      </c>
      <c r="F40" s="95" t="n">
        <v>65.75</v>
      </c>
      <c r="G40" s="95" t="n">
        <v>60.75</v>
      </c>
      <c r="H40" s="85" t="n">
        <v>164</v>
      </c>
      <c r="I40" s="75">
        <f>H40/4</f>
        <v/>
      </c>
      <c r="J40" s="120" t="n">
        <v>0.01375</v>
      </c>
      <c r="K40" s="120" t="n">
        <v>0.0125</v>
      </c>
      <c r="L40" s="95" t="n">
        <v>58</v>
      </c>
      <c r="M40" s="95" t="n">
        <v>0</v>
      </c>
      <c r="N40" s="95" t="n">
        <v>0</v>
      </c>
      <c r="O40" s="95" t="n">
        <v>60</v>
      </c>
      <c r="P40" s="95" t="n">
        <v>0</v>
      </c>
      <c r="Q40" s="85" t="n">
        <v>164</v>
      </c>
      <c r="R40" s="85" t="n">
        <v>4</v>
      </c>
      <c r="S40" s="95" t="n">
        <v>38.73</v>
      </c>
      <c r="T40" s="95" t="n">
        <v>61.02</v>
      </c>
      <c r="U40" s="95" t="n">
        <v>27.14</v>
      </c>
      <c r="V40" s="95" t="n">
        <v>25.59</v>
      </c>
      <c r="W40" s="95" t="n">
        <v>24.07</v>
      </c>
      <c r="X40" s="95" t="n">
        <v>22.56</v>
      </c>
      <c r="Y40" s="95" t="n">
        <v>21.07</v>
      </c>
      <c r="Z40" s="95" t="n">
        <v>19.6</v>
      </c>
      <c r="AA40" s="95" t="n">
        <v>18.17</v>
      </c>
      <c r="AB40" s="95" t="n">
        <v>16.78</v>
      </c>
      <c r="AC40" s="95" t="n">
        <v>31.92</v>
      </c>
      <c r="AD40" s="95" t="n">
        <v>30.14</v>
      </c>
      <c r="AE40" s="95" t="n">
        <v>28.37</v>
      </c>
      <c r="AF40" s="95" t="n">
        <v>26.62</v>
      </c>
      <c r="AG40" s="95" t="n">
        <v>24.89</v>
      </c>
      <c r="AH40" s="95" t="n">
        <v>23.18</v>
      </c>
      <c r="AI40" s="95" t="n">
        <v>21.48</v>
      </c>
      <c r="AJ40" s="95" t="n">
        <v>19.83</v>
      </c>
      <c r="AK40" s="7" t="inlineStr">
        <is>
          <t>non</t>
        </is>
      </c>
    </row>
    <row r="41">
      <c r="A41" s="88" t="n">
        <v>1953</v>
      </c>
      <c r="B41" s="7" t="inlineStr">
        <is>
          <t>Baby-boomers</t>
        </is>
      </c>
      <c r="C41" s="95" t="n">
        <v>17</v>
      </c>
      <c r="D41" s="77">
        <f>ROUND(A41+C41,0)</f>
        <v/>
      </c>
      <c r="E41" s="95" t="n">
        <v>61.1667</v>
      </c>
      <c r="F41" s="95" t="n">
        <v>66.16670000000001</v>
      </c>
      <c r="G41" s="95" t="n">
        <v>61.1667</v>
      </c>
      <c r="H41" s="85" t="n">
        <v>165</v>
      </c>
      <c r="I41" s="75">
        <f>H41/4</f>
        <v/>
      </c>
      <c r="J41" s="120" t="n">
        <v>0.0125</v>
      </c>
      <c r="K41" s="120" t="n">
        <v>0.0125</v>
      </c>
      <c r="L41" s="95" t="n">
        <v>58</v>
      </c>
      <c r="M41" s="95" t="n">
        <v>0</v>
      </c>
      <c r="N41" s="95" t="n">
        <v>0</v>
      </c>
      <c r="O41" s="95" t="n">
        <v>60</v>
      </c>
      <c r="P41" s="95" t="n">
        <v>0</v>
      </c>
      <c r="Q41" s="85" t="n">
        <v>165</v>
      </c>
      <c r="R41" s="85" t="n">
        <v>4</v>
      </c>
      <c r="S41" s="95" t="n">
        <v>39.2</v>
      </c>
      <c r="T41" s="95" t="n">
        <v>61.28</v>
      </c>
      <c r="U41" s="95" t="n">
        <v>27.19</v>
      </c>
      <c r="V41" s="95" t="n">
        <v>25.65</v>
      </c>
      <c r="W41" s="95" t="n">
        <v>24.12</v>
      </c>
      <c r="X41" s="95" t="n">
        <v>22.6</v>
      </c>
      <c r="Y41" s="95" t="n">
        <v>21.12</v>
      </c>
      <c r="Z41" s="95" t="n">
        <v>19.66</v>
      </c>
      <c r="AA41" s="95" t="n">
        <v>18.24</v>
      </c>
      <c r="AB41" s="95" t="n">
        <v>16.83</v>
      </c>
      <c r="AC41" s="95" t="n">
        <v>31.93</v>
      </c>
      <c r="AD41" s="95" t="n">
        <v>30.16</v>
      </c>
      <c r="AE41" s="95" t="n">
        <v>28.4</v>
      </c>
      <c r="AF41" s="95" t="n">
        <v>26.65</v>
      </c>
      <c r="AG41" s="95" t="n">
        <v>24.91</v>
      </c>
      <c r="AH41" s="95" t="n">
        <v>23.2</v>
      </c>
      <c r="AI41" s="95" t="n">
        <v>21.51</v>
      </c>
      <c r="AJ41" s="95" t="n">
        <v>19.84</v>
      </c>
      <c r="AK41" s="7" t="inlineStr">
        <is>
          <t>non</t>
        </is>
      </c>
    </row>
    <row r="42">
      <c r="A42" s="88" t="n">
        <v>1954</v>
      </c>
      <c r="B42" s="7" t="inlineStr">
        <is>
          <t>Baby-boomers</t>
        </is>
      </c>
      <c r="C42" s="95" t="n">
        <v>17.18</v>
      </c>
      <c r="D42" s="77">
        <f>ROUND(A42+C42,0)</f>
        <v/>
      </c>
      <c r="E42" s="95" t="n">
        <v>61.5833</v>
      </c>
      <c r="F42" s="95" t="n">
        <v>66.58329999999999</v>
      </c>
      <c r="G42" s="95" t="n">
        <v>61.5833</v>
      </c>
      <c r="H42" s="85" t="n">
        <v>165</v>
      </c>
      <c r="I42" s="75">
        <f>H42/4</f>
        <v/>
      </c>
      <c r="J42" s="120" t="n">
        <v>0.0125</v>
      </c>
      <c r="K42" s="120" t="n">
        <v>0.0125</v>
      </c>
      <c r="L42" s="95" t="n">
        <v>58</v>
      </c>
      <c r="M42" s="95" t="n">
        <v>0</v>
      </c>
      <c r="N42" s="95" t="n">
        <v>0</v>
      </c>
      <c r="O42" s="95" t="n">
        <v>60</v>
      </c>
      <c r="P42" s="95" t="n">
        <v>0</v>
      </c>
      <c r="Q42" s="85" t="n">
        <v>165</v>
      </c>
      <c r="R42" s="85" t="n">
        <v>4</v>
      </c>
      <c r="S42" s="95" t="n">
        <v>39.1</v>
      </c>
      <c r="T42" s="95" t="n">
        <v>61.54</v>
      </c>
      <c r="U42" s="95" t="n">
        <v>27.29</v>
      </c>
      <c r="V42" s="95" t="n">
        <v>25.73</v>
      </c>
      <c r="W42" s="95" t="n">
        <v>24.18</v>
      </c>
      <c r="X42" s="95" t="n">
        <v>22.66</v>
      </c>
      <c r="Y42" s="95" t="n">
        <v>21.17</v>
      </c>
      <c r="Z42" s="95" t="n">
        <v>19.71</v>
      </c>
      <c r="AA42" s="95" t="n">
        <v>18.31</v>
      </c>
      <c r="AB42" s="95" t="n">
        <v>16.88</v>
      </c>
      <c r="AC42" s="95" t="n">
        <v>31.93</v>
      </c>
      <c r="AD42" s="95" t="n">
        <v>30.15</v>
      </c>
      <c r="AE42" s="95" t="n">
        <v>28.39</v>
      </c>
      <c r="AF42" s="95" t="n">
        <v>26.64</v>
      </c>
      <c r="AG42" s="95" t="n">
        <v>24.91</v>
      </c>
      <c r="AH42" s="95" t="n">
        <v>23.2</v>
      </c>
      <c r="AI42" s="95" t="n">
        <v>21.53</v>
      </c>
      <c r="AJ42" s="95" t="n">
        <v>19.85</v>
      </c>
      <c r="AK42" s="7" t="inlineStr">
        <is>
          <t>non</t>
        </is>
      </c>
    </row>
    <row r="43">
      <c r="A43" s="88" t="n">
        <v>1955</v>
      </c>
      <c r="B43" s="7" t="inlineStr">
        <is>
          <t>Baby-boomers</t>
        </is>
      </c>
      <c r="C43" s="95" t="n">
        <v>17.35</v>
      </c>
      <c r="D43" s="77">
        <f>ROUND(A43+C43,0)</f>
        <v/>
      </c>
      <c r="E43" s="95" t="n">
        <v>62</v>
      </c>
      <c r="F43" s="95" t="n">
        <v>67</v>
      </c>
      <c r="G43" s="95" t="n">
        <v>62</v>
      </c>
      <c r="H43" s="85" t="n">
        <v>166</v>
      </c>
      <c r="I43" s="75">
        <f>H43/4</f>
        <v/>
      </c>
      <c r="J43" s="120" t="n">
        <v>0.0125</v>
      </c>
      <c r="K43" s="120" t="n">
        <v>0.0125</v>
      </c>
      <c r="L43" s="95" t="n">
        <v>58</v>
      </c>
      <c r="M43" s="95" t="n">
        <v>0</v>
      </c>
      <c r="N43" s="95" t="n">
        <v>0</v>
      </c>
      <c r="O43" s="95" t="n">
        <v>60</v>
      </c>
      <c r="P43" s="95" t="n">
        <v>0</v>
      </c>
      <c r="Q43" s="85" t="n">
        <v>166</v>
      </c>
      <c r="R43" s="85" t="n">
        <v>4</v>
      </c>
      <c r="S43" s="95" t="n">
        <v>39</v>
      </c>
      <c r="T43" s="95" t="n">
        <v>61.8</v>
      </c>
      <c r="U43" s="95" t="n">
        <v>27.36</v>
      </c>
      <c r="V43" s="95" t="n">
        <v>25.8</v>
      </c>
      <c r="W43" s="95" t="n">
        <v>24.24</v>
      </c>
      <c r="X43" s="95" t="n">
        <v>22.73</v>
      </c>
      <c r="Y43" s="95" t="n">
        <v>21.25</v>
      </c>
      <c r="Z43" s="95" t="n">
        <v>19.8</v>
      </c>
      <c r="AA43" s="95" t="n">
        <v>18.36</v>
      </c>
      <c r="AB43" s="95" t="n">
        <v>16.93</v>
      </c>
      <c r="AC43" s="95" t="n">
        <v>31.94</v>
      </c>
      <c r="AD43" s="95" t="n">
        <v>30.17</v>
      </c>
      <c r="AE43" s="95" t="n">
        <v>28.4</v>
      </c>
      <c r="AF43" s="95" t="n">
        <v>26.65</v>
      </c>
      <c r="AG43" s="95" t="n">
        <v>24.93</v>
      </c>
      <c r="AH43" s="95" t="n">
        <v>23.23</v>
      </c>
      <c r="AI43" s="95" t="n">
        <v>21.54</v>
      </c>
      <c r="AJ43" s="95" t="n">
        <v>19.86</v>
      </c>
      <c r="AK43" s="7" t="inlineStr">
        <is>
          <t>non</t>
        </is>
      </c>
    </row>
    <row r="44">
      <c r="A44" s="88" t="n">
        <v>1956</v>
      </c>
      <c r="B44" s="7" t="inlineStr">
        <is>
          <t>Baby-boomers</t>
        </is>
      </c>
      <c r="C44" s="95" t="n">
        <v>17.53</v>
      </c>
      <c r="D44" s="77">
        <f>ROUND(A44+C44,0)</f>
        <v/>
      </c>
      <c r="E44" s="95" t="n">
        <v>62</v>
      </c>
      <c r="F44" s="95" t="n">
        <v>67</v>
      </c>
      <c r="G44" s="95" t="n">
        <v>62</v>
      </c>
      <c r="H44" s="85" t="n">
        <v>166</v>
      </c>
      <c r="I44" s="75">
        <f>H44/4</f>
        <v/>
      </c>
      <c r="J44" s="120" t="n">
        <v>0.0125</v>
      </c>
      <c r="K44" s="120" t="n">
        <v>0.0125</v>
      </c>
      <c r="L44" s="95" t="n">
        <v>58</v>
      </c>
      <c r="M44" s="95" t="n">
        <v>0</v>
      </c>
      <c r="N44" s="95" t="n">
        <v>0</v>
      </c>
      <c r="O44" s="95" t="n">
        <v>60</v>
      </c>
      <c r="P44" s="95" t="n">
        <v>0</v>
      </c>
      <c r="Q44" s="85" t="n">
        <v>166</v>
      </c>
      <c r="R44" s="85" t="n">
        <v>4</v>
      </c>
      <c r="S44" s="95" t="n">
        <v>39.03</v>
      </c>
      <c r="T44" s="95" t="n">
        <v>61.89</v>
      </c>
      <c r="U44" s="95" t="n">
        <v>27.57</v>
      </c>
      <c r="V44" s="95" t="n">
        <v>25.99</v>
      </c>
      <c r="W44" s="95" t="n">
        <v>24.43</v>
      </c>
      <c r="X44" s="95" t="n">
        <v>22.91</v>
      </c>
      <c r="Y44" s="95" t="n">
        <v>21.41</v>
      </c>
      <c r="Z44" s="95" t="n">
        <v>19.95</v>
      </c>
      <c r="AA44" s="95" t="n">
        <v>18.48</v>
      </c>
      <c r="AB44" s="95" t="n">
        <v>17.05</v>
      </c>
      <c r="AC44" s="95" t="n">
        <v>32.04</v>
      </c>
      <c r="AD44" s="95" t="n">
        <v>30.26</v>
      </c>
      <c r="AE44" s="95" t="n">
        <v>28.49</v>
      </c>
      <c r="AF44" s="95" t="n">
        <v>26.74</v>
      </c>
      <c r="AG44" s="95" t="n">
        <v>25.02</v>
      </c>
      <c r="AH44" s="95" t="n">
        <v>23.32</v>
      </c>
      <c r="AI44" s="95" t="n">
        <v>21.62</v>
      </c>
      <c r="AJ44" s="95" t="n">
        <v>19.95</v>
      </c>
      <c r="AK44" s="7" t="inlineStr">
        <is>
          <t>non</t>
        </is>
      </c>
    </row>
    <row r="45">
      <c r="A45" s="88" t="n">
        <v>1957</v>
      </c>
      <c r="B45" s="7" t="inlineStr">
        <is>
          <t>Baby-boomers</t>
        </is>
      </c>
      <c r="C45" s="95" t="n">
        <v>17.71</v>
      </c>
      <c r="D45" s="77">
        <f>ROUND(A45+C45,0)</f>
        <v/>
      </c>
      <c r="E45" s="95" t="n">
        <v>62</v>
      </c>
      <c r="F45" s="95" t="n">
        <v>67</v>
      </c>
      <c r="G45" s="95" t="n">
        <v>62</v>
      </c>
      <c r="H45" s="85" t="n">
        <v>166</v>
      </c>
      <c r="I45" s="75">
        <f>H45/4</f>
        <v/>
      </c>
      <c r="J45" s="120" t="n">
        <v>0.0125</v>
      </c>
      <c r="K45" s="120" t="n">
        <v>0.0125</v>
      </c>
      <c r="L45" s="95" t="n">
        <v>58</v>
      </c>
      <c r="M45" s="95" t="n">
        <v>0</v>
      </c>
      <c r="N45" s="95" t="n">
        <v>0</v>
      </c>
      <c r="O45" s="95" t="n">
        <v>60</v>
      </c>
      <c r="P45" s="95" t="n">
        <v>0</v>
      </c>
      <c r="Q45" s="85" t="n">
        <v>166</v>
      </c>
      <c r="R45" s="85" t="n">
        <v>4</v>
      </c>
      <c r="S45" s="95" t="n">
        <v>39.07</v>
      </c>
      <c r="T45" s="95" t="n">
        <v>61.99</v>
      </c>
      <c r="U45" s="95" t="n">
        <v>27.73</v>
      </c>
      <c r="V45" s="95" t="n">
        <v>26.14</v>
      </c>
      <c r="W45" s="95" t="n">
        <v>24.58</v>
      </c>
      <c r="X45" s="95" t="n">
        <v>23.04</v>
      </c>
      <c r="Y45" s="95" t="n">
        <v>21.56</v>
      </c>
      <c r="Z45" s="95" t="n">
        <v>20.08</v>
      </c>
      <c r="AA45" s="95" t="n">
        <v>18.61</v>
      </c>
      <c r="AB45" s="95" t="n">
        <v>17.16</v>
      </c>
      <c r="AC45" s="95" t="n">
        <v>32.13</v>
      </c>
      <c r="AD45" s="95" t="n">
        <v>30.35</v>
      </c>
      <c r="AE45" s="95" t="n">
        <v>28.59</v>
      </c>
      <c r="AF45" s="95" t="n">
        <v>26.84</v>
      </c>
      <c r="AG45" s="95" t="n">
        <v>25.12</v>
      </c>
      <c r="AH45" s="95" t="n">
        <v>23.41</v>
      </c>
      <c r="AI45" s="95" t="n">
        <v>21.71</v>
      </c>
      <c r="AJ45" s="95" t="n">
        <v>20.03</v>
      </c>
      <c r="AK45" s="7" t="inlineStr">
        <is>
          <t>non</t>
        </is>
      </c>
    </row>
    <row r="46">
      <c r="A46" s="88" t="n">
        <v>1958</v>
      </c>
      <c r="B46" s="7" t="inlineStr">
        <is>
          <t>Baby-boomers</t>
        </is>
      </c>
      <c r="C46" s="95" t="n">
        <v>17.88</v>
      </c>
      <c r="D46" s="77">
        <f>ROUND(A46+C46,0)</f>
        <v/>
      </c>
      <c r="E46" s="95" t="n">
        <v>62</v>
      </c>
      <c r="F46" s="95" t="n">
        <v>67</v>
      </c>
      <c r="G46" s="95" t="n">
        <v>62</v>
      </c>
      <c r="H46" s="85" t="n">
        <v>167</v>
      </c>
      <c r="I46" s="75">
        <f>H46/4</f>
        <v/>
      </c>
      <c r="J46" s="120" t="n">
        <v>0.0125</v>
      </c>
      <c r="K46" s="120" t="n">
        <v>0.0125</v>
      </c>
      <c r="L46" s="95" t="n">
        <v>58</v>
      </c>
      <c r="M46" s="95" t="n">
        <v>0</v>
      </c>
      <c r="N46" s="95" t="n">
        <v>0</v>
      </c>
      <c r="O46" s="95" t="n">
        <v>60</v>
      </c>
      <c r="P46" s="95" t="n">
        <v>0</v>
      </c>
      <c r="Q46" s="85" t="n">
        <v>167</v>
      </c>
      <c r="R46" s="85" t="n">
        <v>4</v>
      </c>
      <c r="S46" s="95" t="n">
        <v>39.1</v>
      </c>
      <c r="T46" s="95" t="n">
        <v>62.08</v>
      </c>
      <c r="U46" s="95" t="n">
        <v>27.9</v>
      </c>
      <c r="V46" s="95" t="n">
        <v>26.31</v>
      </c>
      <c r="W46" s="95" t="n">
        <v>24.74</v>
      </c>
      <c r="X46" s="95" t="n">
        <v>23.2</v>
      </c>
      <c r="Y46" s="95" t="n">
        <v>21.71</v>
      </c>
      <c r="Z46" s="95" t="n">
        <v>20.21</v>
      </c>
      <c r="AA46" s="95" t="n">
        <v>18.73</v>
      </c>
      <c r="AB46" s="95" t="n">
        <v>17.28</v>
      </c>
      <c r="AC46" s="95" t="n">
        <v>32.23</v>
      </c>
      <c r="AD46" s="95" t="n">
        <v>30.44</v>
      </c>
      <c r="AE46" s="95" t="n">
        <v>28.68</v>
      </c>
      <c r="AF46" s="95" t="n">
        <v>26.94</v>
      </c>
      <c r="AG46" s="95" t="n">
        <v>25.22</v>
      </c>
      <c r="AH46" s="95" t="n">
        <v>23.5</v>
      </c>
      <c r="AI46" s="95" t="n">
        <v>21.79</v>
      </c>
      <c r="AJ46" s="95" t="n">
        <v>20.11</v>
      </c>
      <c r="AK46" s="7" t="inlineStr">
        <is>
          <t>non</t>
        </is>
      </c>
    </row>
    <row r="47">
      <c r="A47" s="88" t="n">
        <v>1959</v>
      </c>
      <c r="B47" s="7" t="inlineStr">
        <is>
          <t>Baby-boomers</t>
        </is>
      </c>
      <c r="C47" s="95" t="n">
        <v>18.06</v>
      </c>
      <c r="D47" s="77">
        <f>ROUND(A47+C47,0)</f>
        <v/>
      </c>
      <c r="E47" s="95" t="n">
        <v>62</v>
      </c>
      <c r="F47" s="95" t="n">
        <v>67</v>
      </c>
      <c r="G47" s="95" t="n">
        <v>62</v>
      </c>
      <c r="H47" s="85" t="n">
        <v>167</v>
      </c>
      <c r="I47" s="75">
        <f>H47/4</f>
        <v/>
      </c>
      <c r="J47" s="120" t="n">
        <v>0.0125</v>
      </c>
      <c r="K47" s="120" t="n">
        <v>0.0125</v>
      </c>
      <c r="L47" s="95" t="n">
        <v>58</v>
      </c>
      <c r="M47" s="95" t="n">
        <v>0</v>
      </c>
      <c r="N47" s="95" t="n">
        <v>0</v>
      </c>
      <c r="O47" s="95" t="n">
        <v>60</v>
      </c>
      <c r="P47" s="95" t="n">
        <v>0</v>
      </c>
      <c r="Q47" s="85" t="n">
        <v>167</v>
      </c>
      <c r="R47" s="85" t="n">
        <v>4</v>
      </c>
      <c r="S47" s="95" t="n">
        <v>39.13</v>
      </c>
      <c r="T47" s="95" t="n">
        <v>62.18</v>
      </c>
      <c r="U47" s="95" t="n">
        <v>28.06</v>
      </c>
      <c r="V47" s="95" t="n">
        <v>26.47</v>
      </c>
      <c r="W47" s="95" t="n">
        <v>24.89</v>
      </c>
      <c r="X47" s="95" t="n">
        <v>23.36</v>
      </c>
      <c r="Y47" s="95" t="n">
        <v>21.85</v>
      </c>
      <c r="Z47" s="95" t="n">
        <v>20.34</v>
      </c>
      <c r="AA47" s="95" t="n">
        <v>18.86</v>
      </c>
      <c r="AB47" s="95" t="n">
        <v>17.4</v>
      </c>
      <c r="AC47" s="95" t="n">
        <v>32.33</v>
      </c>
      <c r="AD47" s="95" t="n">
        <v>30.55</v>
      </c>
      <c r="AE47" s="95" t="n">
        <v>28.78</v>
      </c>
      <c r="AF47" s="95" t="n">
        <v>27.04</v>
      </c>
      <c r="AG47" s="95" t="n">
        <v>25.31</v>
      </c>
      <c r="AH47" s="95" t="n">
        <v>23.59</v>
      </c>
      <c r="AI47" s="95" t="n">
        <v>21.88</v>
      </c>
      <c r="AJ47" s="95" t="n">
        <v>20.19</v>
      </c>
      <c r="AK47" s="7" t="inlineStr">
        <is>
          <t>non</t>
        </is>
      </c>
    </row>
    <row r="48">
      <c r="A48" s="88" t="n">
        <v>1960</v>
      </c>
      <c r="B48" s="7" t="inlineStr">
        <is>
          <t>Baby-boomers</t>
        </is>
      </c>
      <c r="C48" s="95" t="n">
        <v>18.23</v>
      </c>
      <c r="D48" s="77">
        <f>ROUND(A48+C48,0)</f>
        <v/>
      </c>
      <c r="E48" s="95" t="n">
        <v>62</v>
      </c>
      <c r="F48" s="95" t="n">
        <v>67</v>
      </c>
      <c r="G48" s="95" t="n">
        <v>62</v>
      </c>
      <c r="H48" s="85" t="n">
        <v>167</v>
      </c>
      <c r="I48" s="75">
        <f>H48/4</f>
        <v/>
      </c>
      <c r="J48" s="120" t="n">
        <v>0.0125</v>
      </c>
      <c r="K48" s="120" t="n">
        <v>0.0125</v>
      </c>
      <c r="L48" s="95" t="n">
        <v>58</v>
      </c>
      <c r="M48" s="95" t="n">
        <v>0</v>
      </c>
      <c r="N48" s="95" t="n">
        <v>0</v>
      </c>
      <c r="O48" s="95" t="n">
        <v>60</v>
      </c>
      <c r="P48" s="95" t="n">
        <v>0</v>
      </c>
      <c r="Q48" s="85" t="n">
        <v>167</v>
      </c>
      <c r="R48" s="85" t="n">
        <v>4</v>
      </c>
      <c r="S48" s="95" t="n">
        <v>39.17</v>
      </c>
      <c r="T48" s="95" t="n">
        <v>62.27</v>
      </c>
      <c r="U48" s="95" t="n">
        <v>28.28</v>
      </c>
      <c r="V48" s="95" t="n">
        <v>26.66</v>
      </c>
      <c r="W48" s="95" t="n">
        <v>25.07</v>
      </c>
      <c r="X48" s="95" t="n">
        <v>23.52</v>
      </c>
      <c r="Y48" s="95" t="n">
        <v>21.99</v>
      </c>
      <c r="Z48" s="95" t="n">
        <v>20.47</v>
      </c>
      <c r="AA48" s="95" t="n">
        <v>18.98</v>
      </c>
      <c r="AB48" s="95" t="n">
        <v>17.51</v>
      </c>
      <c r="AC48" s="95" t="n">
        <v>32.43</v>
      </c>
      <c r="AD48" s="95" t="n">
        <v>30.65</v>
      </c>
      <c r="AE48" s="95" t="n">
        <v>28.88</v>
      </c>
      <c r="AF48" s="95" t="n">
        <v>27.14</v>
      </c>
      <c r="AG48" s="95" t="n">
        <v>25.4</v>
      </c>
      <c r="AH48" s="95" t="n">
        <v>23.67</v>
      </c>
      <c r="AI48" s="95" t="n">
        <v>21.96</v>
      </c>
      <c r="AJ48" s="95" t="n">
        <v>20.27</v>
      </c>
      <c r="AK48" s="7" t="inlineStr">
        <is>
          <t>non</t>
        </is>
      </c>
    </row>
    <row r="49">
      <c r="A49" s="88" t="n">
        <v>1961</v>
      </c>
      <c r="B49" s="7" t="inlineStr">
        <is>
          <t>Baby-boomers</t>
        </is>
      </c>
      <c r="C49" s="95" t="n">
        <v>18.41</v>
      </c>
      <c r="D49" s="77">
        <f>ROUND(A49+C49,0)</f>
        <v/>
      </c>
      <c r="E49" s="95" t="n">
        <v>62</v>
      </c>
      <c r="F49" s="95" t="n">
        <v>67</v>
      </c>
      <c r="G49" s="95" t="n">
        <v>62</v>
      </c>
      <c r="H49" s="85" t="n">
        <v>168</v>
      </c>
      <c r="I49" s="75">
        <f>H49/4</f>
        <v/>
      </c>
      <c r="J49" s="120" t="n">
        <v>0.0125</v>
      </c>
      <c r="K49" s="120" t="n">
        <v>0.0125</v>
      </c>
      <c r="L49" s="95" t="n">
        <v>58</v>
      </c>
      <c r="M49" s="95" t="n">
        <v>0</v>
      </c>
      <c r="N49" s="95" t="n">
        <v>0</v>
      </c>
      <c r="O49" s="95" t="n">
        <v>60</v>
      </c>
      <c r="P49" s="95" t="n">
        <v>0</v>
      </c>
      <c r="Q49" s="85" t="n">
        <v>168</v>
      </c>
      <c r="R49" s="85" t="n">
        <v>4</v>
      </c>
      <c r="S49" s="95" t="n">
        <v>39.2</v>
      </c>
      <c r="T49" s="95" t="n">
        <v>62.37</v>
      </c>
      <c r="U49" s="95" t="n">
        <v>28.42</v>
      </c>
      <c r="V49" s="95" t="n">
        <v>26.79</v>
      </c>
      <c r="W49" s="95" t="n">
        <v>25.21</v>
      </c>
      <c r="X49" s="95" t="n">
        <v>23.66</v>
      </c>
      <c r="Y49" s="95" t="n">
        <v>22.12</v>
      </c>
      <c r="Z49" s="95" t="n">
        <v>20.6</v>
      </c>
      <c r="AA49" s="95" t="n">
        <v>19.1</v>
      </c>
      <c r="AB49" s="95" t="n">
        <v>17.63</v>
      </c>
      <c r="AC49" s="95" t="n">
        <v>32.52</v>
      </c>
      <c r="AD49" s="95" t="n">
        <v>30.74</v>
      </c>
      <c r="AE49" s="95" t="n">
        <v>28.98</v>
      </c>
      <c r="AF49" s="95" t="n">
        <v>27.23</v>
      </c>
      <c r="AG49" s="95" t="n">
        <v>25.49</v>
      </c>
      <c r="AH49" s="95" t="n">
        <v>23.76</v>
      </c>
      <c r="AI49" s="95" t="n">
        <v>22.05</v>
      </c>
      <c r="AJ49" s="95" t="n">
        <v>20.36</v>
      </c>
      <c r="AK49" s="7" t="inlineStr">
        <is>
          <t>non</t>
        </is>
      </c>
    </row>
    <row r="50">
      <c r="A50" s="88" t="n">
        <v>1962</v>
      </c>
      <c r="B50" s="7" t="inlineStr">
        <is>
          <t>Baby-boomers</t>
        </is>
      </c>
      <c r="C50" s="95" t="n">
        <v>18.59</v>
      </c>
      <c r="D50" s="77">
        <f>ROUND(A50+C50,0)</f>
        <v/>
      </c>
      <c r="E50" s="95" t="n">
        <v>62.5</v>
      </c>
      <c r="F50" s="95" t="n">
        <v>67</v>
      </c>
      <c r="G50" s="95" t="n">
        <v>62.5</v>
      </c>
      <c r="H50" s="85" t="n">
        <v>169</v>
      </c>
      <c r="I50" s="75">
        <f>H50/4</f>
        <v/>
      </c>
      <c r="J50" s="120" t="n">
        <v>0.0125</v>
      </c>
      <c r="K50" s="120" t="n">
        <v>0.0125</v>
      </c>
      <c r="L50" s="95" t="n">
        <v>58</v>
      </c>
      <c r="M50" s="95" t="n">
        <v>0</v>
      </c>
      <c r="N50" s="95" t="n">
        <v>0</v>
      </c>
      <c r="O50" s="95" t="n">
        <v>60</v>
      </c>
      <c r="P50" s="95" t="n">
        <v>0</v>
      </c>
      <c r="Q50" s="85" t="n">
        <v>169</v>
      </c>
      <c r="R50" s="85" t="n">
        <v>4</v>
      </c>
      <c r="S50" s="95" t="n">
        <v>39.23</v>
      </c>
      <c r="T50" s="95" t="n">
        <v>62.46</v>
      </c>
      <c r="U50" s="95" t="n">
        <v>28.59</v>
      </c>
      <c r="V50" s="95" t="n">
        <v>26.96</v>
      </c>
      <c r="W50" s="95" t="n">
        <v>25.37</v>
      </c>
      <c r="X50" s="95" t="n">
        <v>23.8</v>
      </c>
      <c r="Y50" s="95" t="n">
        <v>22.26</v>
      </c>
      <c r="Z50" s="95" t="n">
        <v>20.73</v>
      </c>
      <c r="AA50" s="95" t="n">
        <v>19.22</v>
      </c>
      <c r="AB50" s="95" t="n">
        <v>17.74</v>
      </c>
      <c r="AC50" s="95" t="n">
        <v>32.63</v>
      </c>
      <c r="AD50" s="95" t="n">
        <v>30.84</v>
      </c>
      <c r="AE50" s="95" t="n">
        <v>29.07</v>
      </c>
      <c r="AF50" s="95" t="n">
        <v>27.32</v>
      </c>
      <c r="AG50" s="95" t="n">
        <v>25.58</v>
      </c>
      <c r="AH50" s="95" t="n">
        <v>23.84</v>
      </c>
      <c r="AI50" s="95" t="n">
        <v>22.13</v>
      </c>
      <c r="AJ50" s="95" t="n">
        <v>20.44</v>
      </c>
      <c r="AK50" s="7" t="inlineStr">
        <is>
          <t>non</t>
        </is>
      </c>
    </row>
    <row r="51">
      <c r="A51" s="88" t="n">
        <v>1963</v>
      </c>
      <c r="B51" s="7" t="inlineStr">
        <is>
          <t>Baby-boomers</t>
        </is>
      </c>
      <c r="C51" s="95" t="n">
        <v>18.76</v>
      </c>
      <c r="D51" s="77">
        <f>ROUND(A51+C51,0)</f>
        <v/>
      </c>
      <c r="E51" s="95" t="n">
        <v>62.75</v>
      </c>
      <c r="F51" s="95" t="n">
        <v>67</v>
      </c>
      <c r="G51" s="95" t="n">
        <v>62.75</v>
      </c>
      <c r="H51" s="85" t="n">
        <v>170</v>
      </c>
      <c r="I51" s="75">
        <f>H51/4</f>
        <v/>
      </c>
      <c r="J51" s="120" t="n">
        <v>0.0125</v>
      </c>
      <c r="K51" s="120" t="n">
        <v>0.0125</v>
      </c>
      <c r="L51" s="95" t="n">
        <v>58</v>
      </c>
      <c r="M51" s="95" t="n">
        <v>0</v>
      </c>
      <c r="N51" s="95" t="n">
        <v>0</v>
      </c>
      <c r="O51" s="95" t="n">
        <v>60</v>
      </c>
      <c r="P51" s="95" t="n">
        <v>0</v>
      </c>
      <c r="Q51" s="85" t="n">
        <v>170</v>
      </c>
      <c r="R51" s="85" t="n">
        <v>4</v>
      </c>
      <c r="S51" s="95" t="n">
        <v>39.27</v>
      </c>
      <c r="T51" s="95" t="n">
        <v>62.56</v>
      </c>
      <c r="U51" s="95" t="n">
        <v>28.75</v>
      </c>
      <c r="V51" s="95" t="n">
        <v>27.12</v>
      </c>
      <c r="W51" s="95" t="n">
        <v>25.52</v>
      </c>
      <c r="X51" s="95" t="n">
        <v>23.94</v>
      </c>
      <c r="Y51" s="95" t="n">
        <v>22.39</v>
      </c>
      <c r="Z51" s="95" t="n">
        <v>20.85</v>
      </c>
      <c r="AA51" s="95" t="n">
        <v>19.34</v>
      </c>
      <c r="AB51" s="95" t="n">
        <v>17.85</v>
      </c>
      <c r="AC51" s="95" t="n">
        <v>32.73</v>
      </c>
      <c r="AD51" s="95" t="n">
        <v>30.94</v>
      </c>
      <c r="AE51" s="95" t="n">
        <v>29.17</v>
      </c>
      <c r="AF51" s="95" t="n">
        <v>27.41</v>
      </c>
      <c r="AG51" s="95" t="n">
        <v>25.67</v>
      </c>
      <c r="AH51" s="95" t="n">
        <v>23.93</v>
      </c>
      <c r="AI51" s="95" t="n">
        <v>22.21</v>
      </c>
      <c r="AJ51" s="95" t="n">
        <v>20.52</v>
      </c>
      <c r="AK51" s="7" t="inlineStr">
        <is>
          <t>non</t>
        </is>
      </c>
    </row>
    <row r="52">
      <c r="A52" s="88" t="n">
        <v>1964</v>
      </c>
      <c r="B52" s="7" t="inlineStr">
        <is>
          <t>Baby-boomers</t>
        </is>
      </c>
      <c r="C52" s="95" t="n">
        <v>18.94</v>
      </c>
      <c r="D52" s="77">
        <f>ROUND(A52+C52,0)</f>
        <v/>
      </c>
      <c r="E52" s="95" t="n">
        <v>62.75</v>
      </c>
      <c r="F52" s="95" t="n">
        <v>67</v>
      </c>
      <c r="G52" s="95" t="n">
        <v>62.75</v>
      </c>
      <c r="H52" s="85" t="n">
        <v>170</v>
      </c>
      <c r="I52" s="75">
        <f>H52/4</f>
        <v/>
      </c>
      <c r="J52" s="120" t="n">
        <v>0.0125</v>
      </c>
      <c r="K52" s="120" t="n">
        <v>0.0125</v>
      </c>
      <c r="L52" s="95" t="n">
        <v>58</v>
      </c>
      <c r="M52" s="95" t="n">
        <v>0</v>
      </c>
      <c r="N52" s="95" t="n">
        <v>60</v>
      </c>
      <c r="O52" s="95" t="n">
        <v>60.5</v>
      </c>
      <c r="P52" s="95" t="n">
        <v>0</v>
      </c>
      <c r="Q52" s="85" t="n">
        <v>170</v>
      </c>
      <c r="R52" s="85" t="n">
        <v>4</v>
      </c>
      <c r="S52" s="95" t="n">
        <v>39.3</v>
      </c>
      <c r="T52" s="95" t="n">
        <v>62.65</v>
      </c>
      <c r="U52" s="95" t="n">
        <v>28.9</v>
      </c>
      <c r="V52" s="95" t="n">
        <v>27.28</v>
      </c>
      <c r="W52" s="95" t="n">
        <v>25.66</v>
      </c>
      <c r="X52" s="95" t="n">
        <v>24.08</v>
      </c>
      <c r="Y52" s="95" t="n">
        <v>22.52</v>
      </c>
      <c r="Z52" s="95" t="n">
        <v>20.98</v>
      </c>
      <c r="AA52" s="95" t="n">
        <v>19.46</v>
      </c>
      <c r="AB52" s="95" t="n">
        <v>17.96</v>
      </c>
      <c r="AC52" s="95" t="n">
        <v>32.83</v>
      </c>
      <c r="AD52" s="95" t="n">
        <v>31.04</v>
      </c>
      <c r="AE52" s="95" t="n">
        <v>29.26</v>
      </c>
      <c r="AF52" s="95" t="n">
        <v>27.5</v>
      </c>
      <c r="AG52" s="95" t="n">
        <v>25.75</v>
      </c>
      <c r="AH52" s="95" t="n">
        <v>24.02</v>
      </c>
      <c r="AI52" s="95" t="n">
        <v>22.3</v>
      </c>
      <c r="AJ52" s="95" t="n">
        <v>20.6</v>
      </c>
      <c r="AK52" s="7" t="inlineStr">
        <is>
          <t>non</t>
        </is>
      </c>
    </row>
    <row r="53">
      <c r="A53" s="88" t="n">
        <v>1965</v>
      </c>
      <c r="B53" s="7" t="inlineStr">
        <is>
          <t>Génération X</t>
        </is>
      </c>
      <c r="C53" s="95" t="n">
        <v>19.12</v>
      </c>
      <c r="D53" s="77">
        <f>ROUND(A53+C53,0)</f>
        <v/>
      </c>
      <c r="E53" s="95" t="n">
        <v>63</v>
      </c>
      <c r="F53" s="95" t="n">
        <v>67</v>
      </c>
      <c r="G53" s="95" t="n">
        <v>63</v>
      </c>
      <c r="H53" s="85" t="n">
        <v>171</v>
      </c>
      <c r="I53" s="75">
        <f>H53/4</f>
        <v/>
      </c>
      <c r="J53" s="120" t="n">
        <v>0.0125</v>
      </c>
      <c r="K53" s="120" t="n">
        <v>0.0125</v>
      </c>
      <c r="L53" s="95" t="n">
        <v>58</v>
      </c>
      <c r="M53" s="95" t="n">
        <v>0</v>
      </c>
      <c r="N53" s="95" t="n">
        <v>60</v>
      </c>
      <c r="O53" s="95" t="n">
        <v>60.75</v>
      </c>
      <c r="P53" s="95" t="n">
        <v>0</v>
      </c>
      <c r="Q53" s="85" t="n">
        <v>171</v>
      </c>
      <c r="R53" s="85" t="n">
        <v>4</v>
      </c>
      <c r="S53" s="75">
        <f>ROUND(IF(A53&lt;=Parametres!$B$8,S$52+(Parametres!$B$7-S$52)*(A53-Parametres!$B$9)/(Parametres!$B$8-Parametres!$B$9),Parametres!$B$7+(Parametres!$B$10-Parametres!$B$7)*MIN(1,(A53-Parametres!$B$8)/(Parametres!$B$11-Parametres!$B$8))),2)</f>
        <v/>
      </c>
      <c r="T53" s="95" t="n">
        <v>62.74</v>
      </c>
      <c r="U53" s="95" t="n">
        <v>29.08</v>
      </c>
      <c r="V53" s="95" t="n">
        <v>27.43</v>
      </c>
      <c r="W53" s="95" t="n">
        <v>25.81</v>
      </c>
      <c r="X53" s="95" t="n">
        <v>24.22</v>
      </c>
      <c r="Y53" s="95" t="n">
        <v>22.66</v>
      </c>
      <c r="Z53" s="95" t="n">
        <v>21.11</v>
      </c>
      <c r="AA53" s="95" t="n">
        <v>19.58</v>
      </c>
      <c r="AB53" s="95" t="n">
        <v>18.07</v>
      </c>
      <c r="AC53" s="95" t="n">
        <v>32.93</v>
      </c>
      <c r="AD53" s="95" t="n">
        <v>31.13</v>
      </c>
      <c r="AE53" s="95" t="n">
        <v>29.35</v>
      </c>
      <c r="AF53" s="95" t="n">
        <v>27.59</v>
      </c>
      <c r="AG53" s="95" t="n">
        <v>25.84</v>
      </c>
      <c r="AH53" s="95" t="n">
        <v>24.1</v>
      </c>
      <c r="AI53" s="95" t="n">
        <v>22.38</v>
      </c>
      <c r="AJ53" s="95" t="n">
        <v>20.68</v>
      </c>
      <c r="AK53" s="7" t="inlineStr">
        <is>
          <t>non</t>
        </is>
      </c>
    </row>
    <row r="54">
      <c r="A54" s="88" t="n">
        <v>1966</v>
      </c>
      <c r="B54" s="7" t="inlineStr">
        <is>
          <t>Génération X</t>
        </is>
      </c>
      <c r="C54" s="95" t="n">
        <v>19.29</v>
      </c>
      <c r="D54" s="77">
        <f>ROUND(A54+C54,0)</f>
        <v/>
      </c>
      <c r="E54" s="95" t="n">
        <v>63.25</v>
      </c>
      <c r="F54" s="95" t="n">
        <v>67</v>
      </c>
      <c r="G54" s="95" t="n">
        <v>63.25</v>
      </c>
      <c r="H54" s="85" t="n">
        <v>172</v>
      </c>
      <c r="I54" s="75">
        <f>H54/4</f>
        <v/>
      </c>
      <c r="J54" s="120" t="n">
        <v>0.0125</v>
      </c>
      <c r="K54" s="120" t="n">
        <v>0.0125</v>
      </c>
      <c r="L54" s="95" t="n">
        <v>58</v>
      </c>
      <c r="M54" s="95" t="n">
        <v>0</v>
      </c>
      <c r="N54" s="95" t="n">
        <v>60</v>
      </c>
      <c r="O54" s="95" t="n">
        <v>60.75</v>
      </c>
      <c r="P54" s="95" t="n">
        <v>63</v>
      </c>
      <c r="Q54" s="85" t="n">
        <v>172</v>
      </c>
      <c r="R54" s="85" t="n">
        <v>4</v>
      </c>
      <c r="S54" s="75">
        <f>ROUND(IF(A54&lt;=Parametres!$B$8,S$52+(Parametres!$B$7-S$52)*(A54-Parametres!$B$9)/(Parametres!$B$8-Parametres!$B$9),Parametres!$B$7+(Parametres!$B$10-Parametres!$B$7)*MIN(1,(A54-Parametres!$B$8)/(Parametres!$B$11-Parametres!$B$8))),2)</f>
        <v/>
      </c>
      <c r="T54" s="95" t="n">
        <v>62.84</v>
      </c>
      <c r="U54" s="95" t="n">
        <v>29.24</v>
      </c>
      <c r="V54" s="95" t="n">
        <v>27.58</v>
      </c>
      <c r="W54" s="95" t="n">
        <v>25.95</v>
      </c>
      <c r="X54" s="95" t="n">
        <v>24.36</v>
      </c>
      <c r="Y54" s="95" t="n">
        <v>22.79</v>
      </c>
      <c r="Z54" s="95" t="n">
        <v>21.23</v>
      </c>
      <c r="AA54" s="95" t="n">
        <v>19.7</v>
      </c>
      <c r="AB54" s="95" t="n">
        <v>18.19</v>
      </c>
      <c r="AC54" s="95" t="n">
        <v>33.03</v>
      </c>
      <c r="AD54" s="95" t="n">
        <v>31.23</v>
      </c>
      <c r="AE54" s="95" t="n">
        <v>29.45</v>
      </c>
      <c r="AF54" s="95" t="n">
        <v>27.68</v>
      </c>
      <c r="AG54" s="95" t="n">
        <v>25.93</v>
      </c>
      <c r="AH54" s="95" t="n">
        <v>24.19</v>
      </c>
      <c r="AI54" s="95" t="n">
        <v>22.46</v>
      </c>
      <c r="AJ54" s="95" t="n">
        <v>20.76</v>
      </c>
      <c r="AK54" s="7" t="inlineStr">
        <is>
          <t>non</t>
        </is>
      </c>
    </row>
    <row r="55">
      <c r="A55" s="88" t="n">
        <v>1967</v>
      </c>
      <c r="B55" s="7" t="inlineStr">
        <is>
          <t>Génération X</t>
        </is>
      </c>
      <c r="C55" s="95" t="n">
        <v>19.47</v>
      </c>
      <c r="D55" s="77">
        <f>ROUND(A55+C55,0)</f>
        <v/>
      </c>
      <c r="E55" s="95" t="n">
        <v>63.5</v>
      </c>
      <c r="F55" s="95" t="n">
        <v>67</v>
      </c>
      <c r="G55" s="95" t="n">
        <v>63.5</v>
      </c>
      <c r="H55" s="85" t="n">
        <v>172</v>
      </c>
      <c r="I55" s="75">
        <f>H55/4</f>
        <v/>
      </c>
      <c r="J55" s="120" t="n">
        <v>0.0125</v>
      </c>
      <c r="K55" s="120" t="n">
        <v>0.0125</v>
      </c>
      <c r="L55" s="95" t="n">
        <v>58</v>
      </c>
      <c r="M55" s="95" t="n">
        <v>0</v>
      </c>
      <c r="N55" s="95" t="n">
        <v>60</v>
      </c>
      <c r="O55" s="95" t="n">
        <v>61</v>
      </c>
      <c r="P55" s="95" t="n">
        <v>63</v>
      </c>
      <c r="Q55" s="85" t="n">
        <v>172</v>
      </c>
      <c r="R55" s="85" t="n">
        <v>4</v>
      </c>
      <c r="S55" s="75">
        <f>ROUND(IF(A55&lt;=Parametres!$B$8,S$52+(Parametres!$B$7-S$52)*(A55-Parametres!$B$9)/(Parametres!$B$8-Parametres!$B$9),Parametres!$B$7+(Parametres!$B$10-Parametres!$B$7)*MIN(1,(A55-Parametres!$B$8)/(Parametres!$B$11-Parametres!$B$8))),2)</f>
        <v/>
      </c>
      <c r="T55" s="95" t="n">
        <v>62.93</v>
      </c>
      <c r="U55" s="95" t="n">
        <v>29.39</v>
      </c>
      <c r="V55" s="95" t="n">
        <v>27.73</v>
      </c>
      <c r="W55" s="95" t="n">
        <v>26.09</v>
      </c>
      <c r="X55" s="95" t="n">
        <v>24.49</v>
      </c>
      <c r="Y55" s="95" t="n">
        <v>22.92</v>
      </c>
      <c r="Z55" s="95" t="n">
        <v>21.36</v>
      </c>
      <c r="AA55" s="95" t="n">
        <v>19.81</v>
      </c>
      <c r="AB55" s="95" t="n">
        <v>18.3</v>
      </c>
      <c r="AC55" s="95" t="n">
        <v>33.12</v>
      </c>
      <c r="AD55" s="95" t="n">
        <v>31.32</v>
      </c>
      <c r="AE55" s="95" t="n">
        <v>29.54</v>
      </c>
      <c r="AF55" s="95" t="n">
        <v>27.77</v>
      </c>
      <c r="AG55" s="95" t="n">
        <v>26.02</v>
      </c>
      <c r="AH55" s="95" t="n">
        <v>24.27</v>
      </c>
      <c r="AI55" s="95" t="n">
        <v>22.54</v>
      </c>
      <c r="AJ55" s="95" t="n">
        <v>20.84</v>
      </c>
      <c r="AK55" s="7" t="inlineStr">
        <is>
          <t>non</t>
        </is>
      </c>
    </row>
    <row r="56">
      <c r="A56" s="88" t="n">
        <v>1968</v>
      </c>
      <c r="B56" s="7" t="inlineStr">
        <is>
          <t>Génération X</t>
        </is>
      </c>
      <c r="C56" s="95" t="n">
        <v>19.65</v>
      </c>
      <c r="D56" s="77">
        <f>ROUND(A56+C56,0)</f>
        <v/>
      </c>
      <c r="E56" s="95" t="n">
        <v>63.75</v>
      </c>
      <c r="F56" s="95" t="n">
        <v>67</v>
      </c>
      <c r="G56" s="95" t="n">
        <v>63.75</v>
      </c>
      <c r="H56" s="85" t="n">
        <v>172</v>
      </c>
      <c r="I56" s="75">
        <f>H56/4</f>
        <v/>
      </c>
      <c r="J56" s="120" t="n">
        <v>0.0125</v>
      </c>
      <c r="K56" s="120" t="n">
        <v>0.0125</v>
      </c>
      <c r="L56" s="95" t="n">
        <v>58</v>
      </c>
      <c r="M56" s="95" t="n">
        <v>0</v>
      </c>
      <c r="N56" s="95" t="n">
        <v>60</v>
      </c>
      <c r="O56" s="95" t="n">
        <v>61.25</v>
      </c>
      <c r="P56" s="95" t="n">
        <v>63</v>
      </c>
      <c r="Q56" s="85" t="n">
        <v>172</v>
      </c>
      <c r="R56" s="85" t="n">
        <v>4</v>
      </c>
      <c r="S56" s="75">
        <f>ROUND(IF(A56&lt;=Parametres!$B$8,S$52+(Parametres!$B$7-S$52)*(A56-Parametres!$B$9)/(Parametres!$B$8-Parametres!$B$9),Parametres!$B$7+(Parametres!$B$10-Parametres!$B$7)*MIN(1,(A56-Parametres!$B$8)/(Parametres!$B$11-Parametres!$B$8))),2)</f>
        <v/>
      </c>
      <c r="T56" s="95" t="n">
        <v>63.03</v>
      </c>
      <c r="U56" s="95" t="n">
        <v>29.54</v>
      </c>
      <c r="V56" s="95" t="n">
        <v>27.87</v>
      </c>
      <c r="W56" s="95" t="n">
        <v>26.24</v>
      </c>
      <c r="X56" s="95" t="n">
        <v>24.63</v>
      </c>
      <c r="Y56" s="95" t="n">
        <v>23.05</v>
      </c>
      <c r="Z56" s="95" t="n">
        <v>21.48</v>
      </c>
      <c r="AA56" s="95" t="n">
        <v>19.93</v>
      </c>
      <c r="AB56" s="95" t="n">
        <v>18.4</v>
      </c>
      <c r="AC56" s="95" t="n">
        <v>33.22</v>
      </c>
      <c r="AD56" s="95" t="n">
        <v>31.41</v>
      </c>
      <c r="AE56" s="95" t="n">
        <v>29.63</v>
      </c>
      <c r="AF56" s="95" t="n">
        <v>27.86</v>
      </c>
      <c r="AG56" s="95" t="n">
        <v>26.1</v>
      </c>
      <c r="AH56" s="95" t="n">
        <v>24.36</v>
      </c>
      <c r="AI56" s="95" t="n">
        <v>22.63</v>
      </c>
      <c r="AJ56" s="95" t="n">
        <v>20.92</v>
      </c>
      <c r="AK56" s="7" t="inlineStr">
        <is>
          <t>non</t>
        </is>
      </c>
    </row>
    <row r="57">
      <c r="A57" s="88" t="n">
        <v>1969</v>
      </c>
      <c r="B57" s="7" t="inlineStr">
        <is>
          <t>Génération X</t>
        </is>
      </c>
      <c r="C57" s="95" t="n">
        <v>19.82</v>
      </c>
      <c r="D57" s="77">
        <f>ROUND(A57+C57,0)</f>
        <v/>
      </c>
      <c r="E57" s="95" t="n">
        <v>64</v>
      </c>
      <c r="F57" s="95" t="n">
        <v>67</v>
      </c>
      <c r="G57" s="95" t="n">
        <v>64</v>
      </c>
      <c r="H57" s="85" t="n">
        <v>172</v>
      </c>
      <c r="I57" s="75">
        <f>H57/4</f>
        <v/>
      </c>
      <c r="J57" s="120" t="n">
        <v>0.0125</v>
      </c>
      <c r="K57" s="120" t="n">
        <v>0.0125</v>
      </c>
      <c r="L57" s="95" t="n">
        <v>58</v>
      </c>
      <c r="M57" s="95" t="n">
        <v>0</v>
      </c>
      <c r="N57" s="95" t="n">
        <v>60</v>
      </c>
      <c r="O57" s="95" t="n">
        <v>61.5</v>
      </c>
      <c r="P57" s="95" t="n">
        <v>63</v>
      </c>
      <c r="Q57" s="85" t="n">
        <v>172</v>
      </c>
      <c r="R57" s="85" t="n">
        <v>4</v>
      </c>
      <c r="S57" s="75">
        <f>ROUND(IF(A57&lt;=Parametres!$B$8,S$52+(Parametres!$B$7-S$52)*(A57-Parametres!$B$9)/(Parametres!$B$8-Parametres!$B$9),Parametres!$B$7+(Parametres!$B$10-Parametres!$B$7)*MIN(1,(A57-Parametres!$B$8)/(Parametres!$B$11-Parametres!$B$8))),2)</f>
        <v/>
      </c>
      <c r="T57" s="95" t="n">
        <v>63.12</v>
      </c>
      <c r="U57" s="95" t="n">
        <v>29.69</v>
      </c>
      <c r="V57" s="95" t="n">
        <v>28.02</v>
      </c>
      <c r="W57" s="95" t="n">
        <v>26.38</v>
      </c>
      <c r="X57" s="95" t="n">
        <v>24.76</v>
      </c>
      <c r="Y57" s="95" t="n">
        <v>23.18</v>
      </c>
      <c r="Z57" s="95" t="n">
        <v>21.6</v>
      </c>
      <c r="AA57" s="95" t="n">
        <v>20.05</v>
      </c>
      <c r="AB57" s="95" t="n">
        <v>18.51</v>
      </c>
      <c r="AC57" s="95" t="n">
        <v>33.31</v>
      </c>
      <c r="AD57" s="95" t="n">
        <v>31.51</v>
      </c>
      <c r="AE57" s="95" t="n">
        <v>29.72</v>
      </c>
      <c r="AF57" s="95" t="n">
        <v>27.95</v>
      </c>
      <c r="AG57" s="95" t="n">
        <v>26.19</v>
      </c>
      <c r="AH57" s="95" t="n">
        <v>24.44</v>
      </c>
      <c r="AI57" s="95" t="n">
        <v>22.71</v>
      </c>
      <c r="AJ57" s="95" t="n">
        <v>21</v>
      </c>
      <c r="AK57" s="7" t="inlineStr">
        <is>
          <t>non</t>
        </is>
      </c>
    </row>
    <row r="58">
      <c r="A58" s="88" t="n">
        <v>1970</v>
      </c>
      <c r="B58" s="7" t="inlineStr">
        <is>
          <t>Génération X</t>
        </is>
      </c>
      <c r="C58" s="95" t="n">
        <v>20</v>
      </c>
      <c r="D58" s="77">
        <f>ROUND(A58+C58,0)</f>
        <v/>
      </c>
      <c r="E58" s="95" t="n">
        <v>64</v>
      </c>
      <c r="F58" s="95" t="n">
        <v>67</v>
      </c>
      <c r="G58" s="95" t="n">
        <v>64</v>
      </c>
      <c r="H58" s="85" t="n">
        <v>172</v>
      </c>
      <c r="I58" s="75">
        <f>H58/4</f>
        <v/>
      </c>
      <c r="J58" s="120" t="n">
        <v>0.0125</v>
      </c>
      <c r="K58" s="120" t="n">
        <v>0.0125</v>
      </c>
      <c r="L58" s="95" t="n">
        <v>58</v>
      </c>
      <c r="M58" s="95" t="n">
        <v>0</v>
      </c>
      <c r="N58" s="95" t="n">
        <v>60</v>
      </c>
      <c r="O58" s="95" t="n">
        <v>61.75</v>
      </c>
      <c r="P58" s="95" t="n">
        <v>63</v>
      </c>
      <c r="Q58" s="85" t="n">
        <v>172</v>
      </c>
      <c r="R58" s="85" t="n">
        <v>4</v>
      </c>
      <c r="S58" s="75">
        <f>ROUND(IF(A58&lt;=Parametres!$B$8,S$52+(Parametres!$B$7-S$52)*(A58-Parametres!$B$9)/(Parametres!$B$8-Parametres!$B$9),Parametres!$B$7+(Parametres!$B$10-Parametres!$B$7)*MIN(1,(A58-Parametres!$B$8)/(Parametres!$B$11-Parametres!$B$8))),2)</f>
        <v/>
      </c>
      <c r="T58" s="95" t="n">
        <v>63.22</v>
      </c>
      <c r="U58" s="95" t="n">
        <v>29.84</v>
      </c>
      <c r="V58" s="95" t="n">
        <v>28.17</v>
      </c>
      <c r="W58" s="95" t="n">
        <v>26.52</v>
      </c>
      <c r="X58" s="95" t="n">
        <v>24.9</v>
      </c>
      <c r="Y58" s="95" t="n">
        <v>23.3</v>
      </c>
      <c r="Z58" s="95" t="n">
        <v>21.72</v>
      </c>
      <c r="AA58" s="95" t="n">
        <v>20.16</v>
      </c>
      <c r="AB58" s="95" t="n">
        <v>18.62</v>
      </c>
      <c r="AC58" s="95" t="n">
        <v>33.41</v>
      </c>
      <c r="AD58" s="95" t="n">
        <v>31.6</v>
      </c>
      <c r="AE58" s="95" t="n">
        <v>29.81</v>
      </c>
      <c r="AF58" s="95" t="n">
        <v>28.04</v>
      </c>
      <c r="AG58" s="95" t="n">
        <v>26.28</v>
      </c>
      <c r="AH58" s="95" t="n">
        <v>24.53</v>
      </c>
      <c r="AI58" s="95" t="n">
        <v>22.79</v>
      </c>
      <c r="AJ58" s="95" t="n">
        <v>21.08</v>
      </c>
      <c r="AK58" s="7" t="inlineStr">
        <is>
          <t>non</t>
        </is>
      </c>
    </row>
    <row r="59">
      <c r="A59" s="88" t="n">
        <v>1971</v>
      </c>
      <c r="B59" s="7" t="inlineStr">
        <is>
          <t>Génération X</t>
        </is>
      </c>
      <c r="C59" s="95" t="n">
        <v>20.18</v>
      </c>
      <c r="D59" s="77">
        <f>ROUND(A59+C59,0)</f>
        <v/>
      </c>
      <c r="E59" s="95" t="n">
        <v>64</v>
      </c>
      <c r="F59" s="95" t="n">
        <v>67</v>
      </c>
      <c r="G59" s="95" t="n">
        <v>64</v>
      </c>
      <c r="H59" s="85" t="n">
        <v>172</v>
      </c>
      <c r="I59" s="75">
        <f>H59/4</f>
        <v/>
      </c>
      <c r="J59" s="120" t="n">
        <v>0.0125</v>
      </c>
      <c r="K59" s="120" t="n">
        <v>0.0125</v>
      </c>
      <c r="L59" s="95" t="n">
        <v>58</v>
      </c>
      <c r="M59" s="95" t="n">
        <v>0</v>
      </c>
      <c r="N59" s="95" t="n">
        <v>60</v>
      </c>
      <c r="O59" s="95" t="n">
        <v>62</v>
      </c>
      <c r="P59" s="95" t="n">
        <v>63</v>
      </c>
      <c r="Q59" s="85" t="n">
        <v>172</v>
      </c>
      <c r="R59" s="85" t="n">
        <v>4</v>
      </c>
      <c r="S59" s="75">
        <f>ROUND(IF(A59&lt;=Parametres!$B$8,S$52+(Parametres!$B$7-S$52)*(A59-Parametres!$B$9)/(Parametres!$B$8-Parametres!$B$9),Parametres!$B$7+(Parametres!$B$10-Parametres!$B$7)*MIN(1,(A59-Parametres!$B$8)/(Parametres!$B$11-Parametres!$B$8))),2)</f>
        <v/>
      </c>
      <c r="T59" s="95" t="n">
        <v>63.31</v>
      </c>
      <c r="U59" s="95" t="n">
        <v>29.99</v>
      </c>
      <c r="V59" s="95" t="n">
        <v>28.31</v>
      </c>
      <c r="W59" s="95" t="n">
        <v>26.66</v>
      </c>
      <c r="X59" s="95" t="n">
        <v>25.03</v>
      </c>
      <c r="Y59" s="95" t="n">
        <v>23.43</v>
      </c>
      <c r="Z59" s="95" t="n">
        <v>21.84</v>
      </c>
      <c r="AA59" s="95" t="n">
        <v>20.28</v>
      </c>
      <c r="AB59" s="95" t="n">
        <v>18.73</v>
      </c>
      <c r="AC59" s="95" t="n">
        <v>33.5</v>
      </c>
      <c r="AD59" s="95" t="n">
        <v>31.69</v>
      </c>
      <c r="AE59" s="95" t="n">
        <v>29.9</v>
      </c>
      <c r="AF59" s="95" t="n">
        <v>28.13</v>
      </c>
      <c r="AG59" s="95" t="n">
        <v>26.36</v>
      </c>
      <c r="AH59" s="95" t="n">
        <v>24.61</v>
      </c>
      <c r="AI59" s="95" t="n">
        <v>22.87</v>
      </c>
      <c r="AJ59" s="95" t="n">
        <v>21.16</v>
      </c>
      <c r="AK59" s="7" t="inlineStr">
        <is>
          <t>non</t>
        </is>
      </c>
    </row>
    <row r="60">
      <c r="A60" s="88" t="n">
        <v>1972</v>
      </c>
      <c r="B60" s="7" t="inlineStr">
        <is>
          <t>Génération X</t>
        </is>
      </c>
      <c r="C60" s="95" t="n">
        <v>20.35</v>
      </c>
      <c r="D60" s="77">
        <f>ROUND(A60+C60,0)</f>
        <v/>
      </c>
      <c r="E60" s="95" t="n">
        <v>64</v>
      </c>
      <c r="F60" s="95" t="n">
        <v>67</v>
      </c>
      <c r="G60" s="95" t="n">
        <v>64</v>
      </c>
      <c r="H60" s="85" t="n">
        <v>172</v>
      </c>
      <c r="I60" s="75">
        <f>H60/4</f>
        <v/>
      </c>
      <c r="J60" s="120" t="n">
        <v>0.0125</v>
      </c>
      <c r="K60" s="120" t="n">
        <v>0.0125</v>
      </c>
      <c r="L60" s="95" t="n">
        <v>58</v>
      </c>
      <c r="M60" s="95" t="n">
        <v>0</v>
      </c>
      <c r="N60" s="95" t="n">
        <v>60</v>
      </c>
      <c r="O60" s="95" t="n">
        <v>62</v>
      </c>
      <c r="P60" s="95" t="n">
        <v>63</v>
      </c>
      <c r="Q60" s="85" t="n">
        <v>172</v>
      </c>
      <c r="R60" s="85" t="n">
        <v>3</v>
      </c>
      <c r="S60" s="75">
        <f>ROUND(IF(A60&lt;=Parametres!$B$8,S$52+(Parametres!$B$7-S$52)*(A60-Parametres!$B$9)/(Parametres!$B$8-Parametres!$B$9),Parametres!$B$7+(Parametres!$B$10-Parametres!$B$7)*MIN(1,(A60-Parametres!$B$8)/(Parametres!$B$11-Parametres!$B$8))),2)</f>
        <v/>
      </c>
      <c r="T60" s="95" t="n">
        <v>63.41</v>
      </c>
      <c r="U60" s="95" t="n">
        <v>30.14</v>
      </c>
      <c r="V60" s="95" t="n">
        <v>28.45</v>
      </c>
      <c r="W60" s="95" t="n">
        <v>26.79</v>
      </c>
      <c r="X60" s="95" t="n">
        <v>25.16</v>
      </c>
      <c r="Y60" s="95" t="n">
        <v>23.56</v>
      </c>
      <c r="Z60" s="95" t="n">
        <v>21.96</v>
      </c>
      <c r="AA60" s="95" t="n">
        <v>20.39</v>
      </c>
      <c r="AB60" s="95" t="n">
        <v>18.83</v>
      </c>
      <c r="AC60" s="95" t="n">
        <v>33.6</v>
      </c>
      <c r="AD60" s="95" t="n">
        <v>31.79</v>
      </c>
      <c r="AE60" s="95" t="n">
        <v>29.99</v>
      </c>
      <c r="AF60" s="95" t="n">
        <v>28.22</v>
      </c>
      <c r="AG60" s="95" t="n">
        <v>26.45</v>
      </c>
      <c r="AH60" s="95" t="n">
        <v>24.69</v>
      </c>
      <c r="AI60" s="95" t="n">
        <v>22.95</v>
      </c>
      <c r="AJ60" s="95" t="n">
        <v>21.23</v>
      </c>
      <c r="AK60" s="7" t="inlineStr">
        <is>
          <t>non</t>
        </is>
      </c>
    </row>
    <row r="61">
      <c r="A61" s="88" t="n">
        <v>1973</v>
      </c>
      <c r="B61" s="7" t="inlineStr">
        <is>
          <t>Génération X</t>
        </is>
      </c>
      <c r="C61" s="95" t="n">
        <v>20.53</v>
      </c>
      <c r="D61" s="77">
        <f>ROUND(A61+C61,0)</f>
        <v/>
      </c>
      <c r="E61" s="95" t="n">
        <v>64</v>
      </c>
      <c r="F61" s="95" t="n">
        <v>67</v>
      </c>
      <c r="G61" s="95" t="n">
        <v>64</v>
      </c>
      <c r="H61" s="85" t="n">
        <v>172</v>
      </c>
      <c r="I61" s="75">
        <f>H61/4</f>
        <v/>
      </c>
      <c r="J61" s="120" t="n">
        <v>0.0125</v>
      </c>
      <c r="K61" s="120" t="n">
        <v>0.0125</v>
      </c>
      <c r="L61" s="95" t="n">
        <v>58</v>
      </c>
      <c r="M61" s="95" t="n">
        <v>0</v>
      </c>
      <c r="N61" s="95" t="n">
        <v>60</v>
      </c>
      <c r="O61" s="95" t="n">
        <v>62</v>
      </c>
      <c r="P61" s="95" t="n">
        <v>63</v>
      </c>
      <c r="Q61" s="85" t="n">
        <v>172</v>
      </c>
      <c r="R61" s="85" t="n">
        <v>3</v>
      </c>
      <c r="S61" s="75">
        <f>ROUND(IF(A61&lt;=Parametres!$B$8,S$52+(Parametres!$B$7-S$52)*(A61-Parametres!$B$9)/(Parametres!$B$8-Parametres!$B$9),Parametres!$B$7+(Parametres!$B$10-Parametres!$B$7)*MIN(1,(A61-Parametres!$B$8)/(Parametres!$B$11-Parametres!$B$8))),2)</f>
        <v/>
      </c>
      <c r="T61" s="95" t="n">
        <v>63.5</v>
      </c>
      <c r="U61" s="95" t="n">
        <v>30.29</v>
      </c>
      <c r="V61" s="95" t="n">
        <v>28.59</v>
      </c>
      <c r="W61" s="95" t="n">
        <v>26.93</v>
      </c>
      <c r="X61" s="95" t="n">
        <v>25.29</v>
      </c>
      <c r="Y61" s="95" t="n">
        <v>23.68</v>
      </c>
      <c r="Z61" s="95" t="n">
        <v>22.08</v>
      </c>
      <c r="AA61" s="95" t="n">
        <v>20.5</v>
      </c>
      <c r="AB61" s="95" t="n">
        <v>18.94</v>
      </c>
      <c r="AC61" s="95" t="n">
        <v>33.69</v>
      </c>
      <c r="AD61" s="95" t="n">
        <v>31.88</v>
      </c>
      <c r="AE61" s="95" t="n">
        <v>30.08</v>
      </c>
      <c r="AF61" s="95" t="n">
        <v>28.3</v>
      </c>
      <c r="AG61" s="95" t="n">
        <v>26.54</v>
      </c>
      <c r="AH61" s="95" t="n">
        <v>24.78</v>
      </c>
      <c r="AI61" s="95" t="n">
        <v>23.04</v>
      </c>
      <c r="AJ61" s="95" t="n">
        <v>21.31</v>
      </c>
      <c r="AK61" s="7" t="inlineStr">
        <is>
          <t>non</t>
        </is>
      </c>
    </row>
    <row r="62">
      <c r="A62" s="88" t="n">
        <v>1974</v>
      </c>
      <c r="B62" s="7" t="inlineStr">
        <is>
          <t>Génération X</t>
        </is>
      </c>
      <c r="C62" s="95" t="n">
        <v>20.71</v>
      </c>
      <c r="D62" s="77">
        <f>ROUND(A62+C62,0)</f>
        <v/>
      </c>
      <c r="E62" s="95" t="n">
        <v>64</v>
      </c>
      <c r="F62" s="95" t="n">
        <v>67</v>
      </c>
      <c r="G62" s="95" t="n">
        <v>64</v>
      </c>
      <c r="H62" s="85" t="n">
        <v>172</v>
      </c>
      <c r="I62" s="75">
        <f>H62/4</f>
        <v/>
      </c>
      <c r="J62" s="120" t="n">
        <v>0.0125</v>
      </c>
      <c r="K62" s="120" t="n">
        <v>0.0125</v>
      </c>
      <c r="L62" s="95" t="n">
        <v>58</v>
      </c>
      <c r="M62" s="95" t="n">
        <v>0</v>
      </c>
      <c r="N62" s="95" t="n">
        <v>60</v>
      </c>
      <c r="O62" s="95" t="n">
        <v>62</v>
      </c>
      <c r="P62" s="95" t="n">
        <v>63</v>
      </c>
      <c r="Q62" s="85" t="n">
        <v>172</v>
      </c>
      <c r="R62" s="85" t="n">
        <v>3</v>
      </c>
      <c r="S62" s="75">
        <f>ROUND(IF(A62&lt;=Parametres!$B$8,S$52+(Parametres!$B$7-S$52)*(A62-Parametres!$B$9)/(Parametres!$B$8-Parametres!$B$9),Parametres!$B$7+(Parametres!$B$10-Parametres!$B$7)*MIN(1,(A62-Parametres!$B$8)/(Parametres!$B$11-Parametres!$B$8))),2)</f>
        <v/>
      </c>
      <c r="T62" s="95" t="n">
        <v>63.54</v>
      </c>
      <c r="U62" s="95" t="n">
        <v>30.43</v>
      </c>
      <c r="V62" s="95" t="n">
        <v>28.74</v>
      </c>
      <c r="W62" s="95" t="n">
        <v>27.07</v>
      </c>
      <c r="X62" s="95" t="n">
        <v>25.42</v>
      </c>
      <c r="Y62" s="95" t="n">
        <v>23.81</v>
      </c>
      <c r="Z62" s="95" t="n">
        <v>22.2</v>
      </c>
      <c r="AA62" s="95" t="n">
        <v>20.61</v>
      </c>
      <c r="AB62" s="95" t="n">
        <v>19.05</v>
      </c>
      <c r="AC62" s="95" t="n">
        <v>33.78</v>
      </c>
      <c r="AD62" s="95" t="n">
        <v>31.97</v>
      </c>
      <c r="AE62" s="95" t="n">
        <v>30.17</v>
      </c>
      <c r="AF62" s="95" t="n">
        <v>28.39</v>
      </c>
      <c r="AG62" s="95" t="n">
        <v>26.62</v>
      </c>
      <c r="AH62" s="95" t="n">
        <v>24.86</v>
      </c>
      <c r="AI62" s="95" t="n">
        <v>23.12</v>
      </c>
      <c r="AJ62" s="95" t="n">
        <v>21.39</v>
      </c>
      <c r="AK62" s="7" t="inlineStr">
        <is>
          <t>non</t>
        </is>
      </c>
    </row>
    <row r="63">
      <c r="A63" s="88" t="n">
        <v>1975</v>
      </c>
      <c r="B63" s="7" t="inlineStr">
        <is>
          <t>Génération X</t>
        </is>
      </c>
      <c r="C63" s="95" t="n">
        <v>20.88</v>
      </c>
      <c r="D63" s="77">
        <f>ROUND(A63+C63,0)</f>
        <v/>
      </c>
      <c r="E63" s="95" t="n">
        <v>64</v>
      </c>
      <c r="F63" s="95" t="n">
        <v>67</v>
      </c>
      <c r="G63" s="95" t="n">
        <v>64</v>
      </c>
      <c r="H63" s="85" t="n">
        <v>172</v>
      </c>
      <c r="I63" s="75">
        <f>H63/4</f>
        <v/>
      </c>
      <c r="J63" s="120" t="n">
        <v>0.0125</v>
      </c>
      <c r="K63" s="120" t="n">
        <v>0.0125</v>
      </c>
      <c r="L63" s="95" t="n">
        <v>58</v>
      </c>
      <c r="M63" s="95" t="n">
        <v>0</v>
      </c>
      <c r="N63" s="95" t="n">
        <v>60</v>
      </c>
      <c r="O63" s="95" t="n">
        <v>62</v>
      </c>
      <c r="P63" s="95" t="n">
        <v>63</v>
      </c>
      <c r="Q63" s="85" t="n">
        <v>172</v>
      </c>
      <c r="R63" s="85" t="n">
        <v>3</v>
      </c>
      <c r="S63" s="75">
        <f>ROUND(IF(A63&lt;=Parametres!$B$8,S$52+(Parametres!$B$7-S$52)*(A63-Parametres!$B$9)/(Parametres!$B$8-Parametres!$B$9),Parametres!$B$7+(Parametres!$B$10-Parametres!$B$7)*MIN(1,(A63-Parametres!$B$8)/(Parametres!$B$11-Parametres!$B$8))),2)</f>
        <v/>
      </c>
      <c r="T63" s="95" t="n">
        <v>63.59</v>
      </c>
      <c r="U63" s="95" t="n">
        <v>30.58</v>
      </c>
      <c r="V63" s="95" t="n">
        <v>28.87</v>
      </c>
      <c r="W63" s="95" t="n">
        <v>27.2</v>
      </c>
      <c r="X63" s="95" t="n">
        <v>25.55</v>
      </c>
      <c r="Y63" s="95" t="n">
        <v>23.93</v>
      </c>
      <c r="Z63" s="95" t="n">
        <v>22.32</v>
      </c>
      <c r="AA63" s="95" t="n">
        <v>20.72</v>
      </c>
      <c r="AB63" s="95" t="n">
        <v>19.15</v>
      </c>
      <c r="AC63" s="95" t="n">
        <v>33.88</v>
      </c>
      <c r="AD63" s="95" t="n">
        <v>32.06</v>
      </c>
      <c r="AE63" s="95" t="n">
        <v>30.26</v>
      </c>
      <c r="AF63" s="95" t="n">
        <v>28.48</v>
      </c>
      <c r="AG63" s="95" t="n">
        <v>26.71</v>
      </c>
      <c r="AH63" s="95" t="n">
        <v>24.94</v>
      </c>
      <c r="AI63" s="95" t="n">
        <v>23.2</v>
      </c>
      <c r="AJ63" s="95" t="n">
        <v>21.47</v>
      </c>
      <c r="AK63" s="7" t="inlineStr">
        <is>
          <t>non</t>
        </is>
      </c>
    </row>
    <row r="64">
      <c r="A64" s="88" t="n">
        <v>1976</v>
      </c>
      <c r="B64" s="7" t="inlineStr">
        <is>
          <t>Génération X</t>
        </is>
      </c>
      <c r="C64" s="95" t="n">
        <v>21.06</v>
      </c>
      <c r="D64" s="77">
        <f>ROUND(A64+C64,0)</f>
        <v/>
      </c>
      <c r="E64" s="95" t="n">
        <v>64</v>
      </c>
      <c r="F64" s="95" t="n">
        <v>67</v>
      </c>
      <c r="G64" s="95" t="n">
        <v>64</v>
      </c>
      <c r="H64" s="85" t="n">
        <v>172</v>
      </c>
      <c r="I64" s="75">
        <f>H64/4</f>
        <v/>
      </c>
      <c r="J64" s="120" t="n">
        <v>0.0125</v>
      </c>
      <c r="K64" s="120" t="n">
        <v>0.0125</v>
      </c>
      <c r="L64" s="95" t="n">
        <v>58</v>
      </c>
      <c r="M64" s="95" t="n">
        <v>0</v>
      </c>
      <c r="N64" s="95" t="n">
        <v>60</v>
      </c>
      <c r="O64" s="95" t="n">
        <v>62</v>
      </c>
      <c r="P64" s="95" t="n">
        <v>63</v>
      </c>
      <c r="Q64" s="85" t="n">
        <v>172</v>
      </c>
      <c r="R64" s="85" t="n">
        <v>3</v>
      </c>
      <c r="S64" s="75">
        <f>ROUND(IF(A64&lt;=Parametres!$B$8,S$52+(Parametres!$B$7-S$52)*(A64-Parametres!$B$9)/(Parametres!$B$8-Parametres!$B$9),Parametres!$B$7+(Parametres!$B$10-Parametres!$B$7)*MIN(1,(A64-Parametres!$B$8)/(Parametres!$B$11-Parametres!$B$8))),2)</f>
        <v/>
      </c>
      <c r="T64" s="95" t="n">
        <v>63.63</v>
      </c>
      <c r="U64" s="95" t="n">
        <v>30.72</v>
      </c>
      <c r="V64" s="95" t="n">
        <v>29.01</v>
      </c>
      <c r="W64" s="95" t="n">
        <v>27.33</v>
      </c>
      <c r="X64" s="95" t="n">
        <v>25.68</v>
      </c>
      <c r="Y64" s="95" t="n">
        <v>24.05</v>
      </c>
      <c r="Z64" s="95" t="n">
        <v>22.43</v>
      </c>
      <c r="AA64" s="95" t="n">
        <v>20.83</v>
      </c>
      <c r="AB64" s="95" t="n">
        <v>19.25</v>
      </c>
      <c r="AC64" s="95" t="n">
        <v>33.97</v>
      </c>
      <c r="AD64" s="95" t="n">
        <v>32.15</v>
      </c>
      <c r="AE64" s="95" t="n">
        <v>30.35</v>
      </c>
      <c r="AF64" s="95" t="n">
        <v>28.57</v>
      </c>
      <c r="AG64" s="95" t="n">
        <v>26.79</v>
      </c>
      <c r="AH64" s="95" t="n">
        <v>25.03</v>
      </c>
      <c r="AI64" s="95" t="n">
        <v>23.28</v>
      </c>
      <c r="AJ64" s="95" t="n">
        <v>21.55</v>
      </c>
      <c r="AK64" s="7" t="inlineStr">
        <is>
          <t>non</t>
        </is>
      </c>
    </row>
    <row r="65">
      <c r="A65" s="88" t="n">
        <v>1977</v>
      </c>
      <c r="B65" s="7" t="inlineStr">
        <is>
          <t>Génération X</t>
        </is>
      </c>
      <c r="C65" s="95" t="n">
        <v>21.23</v>
      </c>
      <c r="D65" s="77">
        <f>ROUND(A65+C65,0)</f>
        <v/>
      </c>
      <c r="E65" s="95" t="n">
        <v>64</v>
      </c>
      <c r="F65" s="95" t="n">
        <v>67</v>
      </c>
      <c r="G65" s="95" t="n">
        <v>64</v>
      </c>
      <c r="H65" s="85" t="n">
        <v>172</v>
      </c>
      <c r="I65" s="75">
        <f>H65/4</f>
        <v/>
      </c>
      <c r="J65" s="120" t="n">
        <v>0.0125</v>
      </c>
      <c r="K65" s="120" t="n">
        <v>0.0125</v>
      </c>
      <c r="L65" s="95" t="n">
        <v>58</v>
      </c>
      <c r="M65" s="95" t="n">
        <v>0</v>
      </c>
      <c r="N65" s="95" t="n">
        <v>60</v>
      </c>
      <c r="O65" s="95" t="n">
        <v>62</v>
      </c>
      <c r="P65" s="95" t="n">
        <v>63</v>
      </c>
      <c r="Q65" s="85" t="n">
        <v>172</v>
      </c>
      <c r="R65" s="85" t="n">
        <v>3</v>
      </c>
      <c r="S65" s="75">
        <f>ROUND(IF(A65&lt;=Parametres!$B$8,S$52+(Parametres!$B$7-S$52)*(A65-Parametres!$B$9)/(Parametres!$B$8-Parametres!$B$9),Parametres!$B$7+(Parametres!$B$10-Parametres!$B$7)*MIN(1,(A65-Parametres!$B$8)/(Parametres!$B$11-Parametres!$B$8))),2)</f>
        <v/>
      </c>
      <c r="T65" s="95" t="n">
        <v>63.67</v>
      </c>
      <c r="U65" s="95" t="n">
        <v>30.86</v>
      </c>
      <c r="V65" s="95" t="n">
        <v>29.15</v>
      </c>
      <c r="W65" s="95" t="n">
        <v>27.47</v>
      </c>
      <c r="X65" s="95" t="n">
        <v>25.81</v>
      </c>
      <c r="Y65" s="95" t="n">
        <v>24.17</v>
      </c>
      <c r="Z65" s="95" t="n">
        <v>22.55</v>
      </c>
      <c r="AA65" s="95" t="n">
        <v>20.94</v>
      </c>
      <c r="AB65" s="95" t="n">
        <v>19.36</v>
      </c>
      <c r="AC65" s="95" t="n">
        <v>34.06</v>
      </c>
      <c r="AD65" s="95" t="n">
        <v>32.24</v>
      </c>
      <c r="AE65" s="95" t="n">
        <v>30.44</v>
      </c>
      <c r="AF65" s="95" t="n">
        <v>28.65</v>
      </c>
      <c r="AG65" s="95" t="n">
        <v>26.88</v>
      </c>
      <c r="AH65" s="95" t="n">
        <v>25.11</v>
      </c>
      <c r="AI65" s="95" t="n">
        <v>23.36</v>
      </c>
      <c r="AJ65" s="95" t="n">
        <v>21.63</v>
      </c>
      <c r="AK65" s="7" t="inlineStr">
        <is>
          <t>non</t>
        </is>
      </c>
    </row>
    <row r="66">
      <c r="A66" s="88" t="n">
        <v>1978</v>
      </c>
      <c r="B66" s="7" t="inlineStr">
        <is>
          <t>Génération X</t>
        </is>
      </c>
      <c r="C66" s="95" t="n">
        <v>21.41</v>
      </c>
      <c r="D66" s="77">
        <f>ROUND(A66+C66,0)</f>
        <v/>
      </c>
      <c r="E66" s="95" t="n">
        <v>64</v>
      </c>
      <c r="F66" s="95" t="n">
        <v>67</v>
      </c>
      <c r="G66" s="95" t="n">
        <v>64</v>
      </c>
      <c r="H66" s="85" t="n">
        <v>172</v>
      </c>
      <c r="I66" s="75">
        <f>H66/4</f>
        <v/>
      </c>
      <c r="J66" s="120" t="n">
        <v>0.0125</v>
      </c>
      <c r="K66" s="120" t="n">
        <v>0.0125</v>
      </c>
      <c r="L66" s="95" t="n">
        <v>58</v>
      </c>
      <c r="M66" s="95" t="n">
        <v>0</v>
      </c>
      <c r="N66" s="95" t="n">
        <v>60</v>
      </c>
      <c r="O66" s="95" t="n">
        <v>62</v>
      </c>
      <c r="P66" s="95" t="n">
        <v>63</v>
      </c>
      <c r="Q66" s="85" t="n">
        <v>172</v>
      </c>
      <c r="R66" s="85" t="n">
        <v>3</v>
      </c>
      <c r="S66" s="75">
        <f>ROUND(IF(A66&lt;=Parametres!$B$8,S$52+(Parametres!$B$7-S$52)*(A66-Parametres!$B$9)/(Parametres!$B$8-Parametres!$B$9),Parametres!$B$7+(Parametres!$B$10-Parametres!$B$7)*MIN(1,(A66-Parametres!$B$8)/(Parametres!$B$11-Parametres!$B$8))),2)</f>
        <v/>
      </c>
      <c r="T66" s="95" t="n">
        <v>63.71</v>
      </c>
      <c r="U66" s="95" t="n">
        <v>31</v>
      </c>
      <c r="V66" s="95" t="n">
        <v>29.29</v>
      </c>
      <c r="W66" s="95" t="n">
        <v>27.6</v>
      </c>
      <c r="X66" s="95" t="n">
        <v>25.93</v>
      </c>
      <c r="Y66" s="95" t="n">
        <v>24.29</v>
      </c>
      <c r="Z66" s="95" t="n">
        <v>22.66</v>
      </c>
      <c r="AA66" s="95" t="n">
        <v>21.05</v>
      </c>
      <c r="AB66" s="95" t="n">
        <v>19.46</v>
      </c>
      <c r="AC66" s="95" t="n">
        <v>34.15</v>
      </c>
      <c r="AD66" s="95" t="n">
        <v>32.33</v>
      </c>
      <c r="AE66" s="95" t="n">
        <v>30.53</v>
      </c>
      <c r="AF66" s="95" t="n">
        <v>28.74</v>
      </c>
      <c r="AG66" s="95" t="n">
        <v>26.96</v>
      </c>
      <c r="AH66" s="95" t="n">
        <v>25.19</v>
      </c>
      <c r="AI66" s="95" t="n">
        <v>23.44</v>
      </c>
      <c r="AJ66" s="95" t="n">
        <v>21.7</v>
      </c>
      <c r="AK66" s="7" t="inlineStr">
        <is>
          <t>non</t>
        </is>
      </c>
    </row>
    <row r="67">
      <c r="A67" s="88" t="n">
        <v>1979</v>
      </c>
      <c r="B67" s="7" t="inlineStr">
        <is>
          <t>Génération X</t>
        </is>
      </c>
      <c r="C67" s="95" t="n">
        <v>21.5</v>
      </c>
      <c r="D67" s="77">
        <f>ROUND(A67+C67,0)</f>
        <v/>
      </c>
      <c r="E67" s="95" t="n">
        <v>64</v>
      </c>
      <c r="F67" s="95" t="n">
        <v>67</v>
      </c>
      <c r="G67" s="95" t="n">
        <v>64</v>
      </c>
      <c r="H67" s="85" t="n">
        <v>172</v>
      </c>
      <c r="I67" s="75">
        <f>H67/4</f>
        <v/>
      </c>
      <c r="J67" s="120" t="n">
        <v>0.0125</v>
      </c>
      <c r="K67" s="120" t="n">
        <v>0.0125</v>
      </c>
      <c r="L67" s="95" t="n">
        <v>58</v>
      </c>
      <c r="M67" s="95" t="n">
        <v>0</v>
      </c>
      <c r="N67" s="95" t="n">
        <v>60</v>
      </c>
      <c r="O67" s="95" t="n">
        <v>62</v>
      </c>
      <c r="P67" s="95" t="n">
        <v>63</v>
      </c>
      <c r="Q67" s="85" t="n">
        <v>172</v>
      </c>
      <c r="R67" s="85" t="n">
        <v>0</v>
      </c>
      <c r="S67" s="75">
        <f>ROUND(IF(A67&lt;=Parametres!$B$8,S$52+(Parametres!$B$7-S$52)*(A67-Parametres!$B$9)/(Parametres!$B$8-Parametres!$B$9),Parametres!$B$7+(Parametres!$B$10-Parametres!$B$7)*MIN(1,(A67-Parametres!$B$8)/(Parametres!$B$11-Parametres!$B$8))),2)</f>
        <v/>
      </c>
      <c r="T67" s="95" t="n">
        <v>63.76</v>
      </c>
      <c r="U67" s="95" t="n">
        <v>31.14</v>
      </c>
      <c r="V67" s="95" t="n">
        <v>29.42</v>
      </c>
      <c r="W67" s="95" t="n">
        <v>27.73</v>
      </c>
      <c r="X67" s="95" t="n">
        <v>26.06</v>
      </c>
      <c r="Y67" s="95" t="n">
        <v>24.41</v>
      </c>
      <c r="Z67" s="95" t="n">
        <v>22.78</v>
      </c>
      <c r="AA67" s="95" t="n">
        <v>21.16</v>
      </c>
      <c r="AB67" s="95" t="n">
        <v>19.56</v>
      </c>
      <c r="AC67" s="95" t="n">
        <v>34.25</v>
      </c>
      <c r="AD67" s="95" t="n">
        <v>32.42</v>
      </c>
      <c r="AE67" s="95" t="n">
        <v>30.62</v>
      </c>
      <c r="AF67" s="95" t="n">
        <v>28.83</v>
      </c>
      <c r="AG67" s="95" t="n">
        <v>27.04</v>
      </c>
      <c r="AH67" s="95" t="n">
        <v>25.27</v>
      </c>
      <c r="AI67" s="95" t="n">
        <v>23.52</v>
      </c>
      <c r="AJ67" s="95" t="n">
        <v>21.78</v>
      </c>
      <c r="AK67" s="7" t="inlineStr">
        <is>
          <t>non</t>
        </is>
      </c>
    </row>
    <row r="68">
      <c r="A68" s="88" t="n">
        <v>1980</v>
      </c>
      <c r="B68" s="7" t="inlineStr">
        <is>
          <t>Génération X</t>
        </is>
      </c>
      <c r="C68" s="95" t="n">
        <v>21.5</v>
      </c>
      <c r="D68" s="77">
        <f>ROUND(A68+C68,0)</f>
        <v/>
      </c>
      <c r="E68" s="95" t="n">
        <v>64</v>
      </c>
      <c r="F68" s="95" t="n">
        <v>67</v>
      </c>
      <c r="G68" s="95" t="n">
        <v>64</v>
      </c>
      <c r="H68" s="85" t="n">
        <v>172</v>
      </c>
      <c r="I68" s="75">
        <f>H68/4</f>
        <v/>
      </c>
      <c r="J68" s="120" t="n">
        <v>0.0125</v>
      </c>
      <c r="K68" s="120" t="n">
        <v>0.0125</v>
      </c>
      <c r="L68" s="95" t="n">
        <v>58</v>
      </c>
      <c r="M68" s="95" t="n">
        <v>0</v>
      </c>
      <c r="N68" s="95" t="n">
        <v>60</v>
      </c>
      <c r="O68" s="95" t="n">
        <v>62</v>
      </c>
      <c r="P68" s="95" t="n">
        <v>63</v>
      </c>
      <c r="Q68" s="85" t="n">
        <v>172</v>
      </c>
      <c r="R68" s="85" t="n">
        <v>0</v>
      </c>
      <c r="S68" s="75">
        <f>ROUND(IF(A68&lt;=Parametres!$B$8,S$52+(Parametres!$B$7-S$52)*(A68-Parametres!$B$9)/(Parametres!$B$8-Parametres!$B$9),Parametres!$B$7+(Parametres!$B$10-Parametres!$B$7)*MIN(1,(A68-Parametres!$B$8)/(Parametres!$B$11-Parametres!$B$8))),2)</f>
        <v/>
      </c>
      <c r="T68" s="95" t="n">
        <v>63.8</v>
      </c>
      <c r="U68" s="95" t="n">
        <v>31.28</v>
      </c>
      <c r="V68" s="95" t="n">
        <v>29.56</v>
      </c>
      <c r="W68" s="95" t="n">
        <v>27.86</v>
      </c>
      <c r="X68" s="95" t="n">
        <v>26.18</v>
      </c>
      <c r="Y68" s="95" t="n">
        <v>24.53</v>
      </c>
      <c r="Z68" s="95" t="n">
        <v>22.89</v>
      </c>
      <c r="AA68" s="95" t="n">
        <v>21.27</v>
      </c>
      <c r="AB68" s="95" t="n">
        <v>19.66</v>
      </c>
      <c r="AC68" s="95" t="n">
        <v>34.34</v>
      </c>
      <c r="AD68" s="95" t="n">
        <v>32.51</v>
      </c>
      <c r="AE68" s="95" t="n">
        <v>30.7</v>
      </c>
      <c r="AF68" s="95" t="n">
        <v>28.91</v>
      </c>
      <c r="AG68" s="95" t="n">
        <v>27.13</v>
      </c>
      <c r="AH68" s="95" t="n">
        <v>25.35</v>
      </c>
      <c r="AI68" s="95" t="n">
        <v>23.6</v>
      </c>
      <c r="AJ68" s="95" t="n">
        <v>21.86</v>
      </c>
      <c r="AK68" s="7" t="inlineStr">
        <is>
          <t>non</t>
        </is>
      </c>
    </row>
    <row r="69">
      <c r="A69" s="88" t="n">
        <v>1981</v>
      </c>
      <c r="B69" s="7" t="inlineStr">
        <is>
          <t>Génération Y</t>
        </is>
      </c>
      <c r="C69" s="95" t="n">
        <v>21.5</v>
      </c>
      <c r="D69" s="77">
        <f>ROUND(A69+C69,0)</f>
        <v/>
      </c>
      <c r="E69" s="95" t="n">
        <v>64</v>
      </c>
      <c r="F69" s="95" t="n">
        <v>67</v>
      </c>
      <c r="G69" s="95" t="n">
        <v>64</v>
      </c>
      <c r="H69" s="85" t="n">
        <v>172</v>
      </c>
      <c r="I69" s="75">
        <f>H69/4</f>
        <v/>
      </c>
      <c r="J69" s="120" t="n">
        <v>0.0125</v>
      </c>
      <c r="K69" s="120" t="n">
        <v>0.0125</v>
      </c>
      <c r="L69" s="95" t="n">
        <v>58</v>
      </c>
      <c r="M69" s="95" t="n">
        <v>0</v>
      </c>
      <c r="N69" s="95" t="n">
        <v>60</v>
      </c>
      <c r="O69" s="95" t="n">
        <v>62</v>
      </c>
      <c r="P69" s="95" t="n">
        <v>63</v>
      </c>
      <c r="Q69" s="85" t="n">
        <v>172</v>
      </c>
      <c r="R69" s="85" t="n">
        <v>0</v>
      </c>
      <c r="S69" s="75">
        <f>ROUND(IF(A69&lt;=Parametres!$B$8,S$52+(Parametres!$B$7-S$52)*(A69-Parametres!$B$9)/(Parametres!$B$8-Parametres!$B$9),Parametres!$B$7+(Parametres!$B$10-Parametres!$B$7)*MIN(1,(A69-Parametres!$B$8)/(Parametres!$B$11-Parametres!$B$8))),2)</f>
        <v/>
      </c>
      <c r="T69" s="95" t="n">
        <v>63.81</v>
      </c>
      <c r="U69" s="95" t="n">
        <v>31.42</v>
      </c>
      <c r="V69" s="95" t="n">
        <v>29.69</v>
      </c>
      <c r="W69" s="95" t="n">
        <v>27.99</v>
      </c>
      <c r="X69" s="95" t="n">
        <v>26.31</v>
      </c>
      <c r="Y69" s="95" t="n">
        <v>24.65</v>
      </c>
      <c r="Z69" s="95" t="n">
        <v>23</v>
      </c>
      <c r="AA69" s="95" t="n">
        <v>21.37</v>
      </c>
      <c r="AB69" s="95" t="n">
        <v>19.76</v>
      </c>
      <c r="AC69" s="95" t="n">
        <v>34.43</v>
      </c>
      <c r="AD69" s="95" t="n">
        <v>32.6</v>
      </c>
      <c r="AE69" s="95" t="n">
        <v>30.79</v>
      </c>
      <c r="AF69" s="95" t="n">
        <v>29</v>
      </c>
      <c r="AG69" s="95" t="n">
        <v>27.21</v>
      </c>
      <c r="AH69" s="95" t="n">
        <v>25.44</v>
      </c>
      <c r="AI69" s="95" t="n">
        <v>23.68</v>
      </c>
      <c r="AJ69" s="95" t="n">
        <v>21.93</v>
      </c>
      <c r="AK69" s="7" t="inlineStr">
        <is>
          <t>non</t>
        </is>
      </c>
    </row>
    <row r="70">
      <c r="A70" s="88" t="n">
        <v>1982</v>
      </c>
      <c r="B70" s="7" t="inlineStr">
        <is>
          <t>Génération Y</t>
        </is>
      </c>
      <c r="C70" s="95" t="n">
        <v>21.5</v>
      </c>
      <c r="D70" s="77">
        <f>ROUND(A70+C70,0)</f>
        <v/>
      </c>
      <c r="E70" s="95" t="n">
        <v>64</v>
      </c>
      <c r="F70" s="95" t="n">
        <v>67</v>
      </c>
      <c r="G70" s="95" t="n">
        <v>64</v>
      </c>
      <c r="H70" s="85" t="n">
        <v>172</v>
      </c>
      <c r="I70" s="75">
        <f>H70/4</f>
        <v/>
      </c>
      <c r="J70" s="120" t="n">
        <v>0.0125</v>
      </c>
      <c r="K70" s="120" t="n">
        <v>0.0125</v>
      </c>
      <c r="L70" s="95" t="n">
        <v>58</v>
      </c>
      <c r="M70" s="95" t="n">
        <v>0</v>
      </c>
      <c r="N70" s="95" t="n">
        <v>60</v>
      </c>
      <c r="O70" s="95" t="n">
        <v>62</v>
      </c>
      <c r="P70" s="95" t="n">
        <v>63</v>
      </c>
      <c r="Q70" s="85" t="n">
        <v>172</v>
      </c>
      <c r="R70" s="85" t="n">
        <v>0</v>
      </c>
      <c r="S70" s="75">
        <f>ROUND(IF(A70&lt;=Parametres!$B$8,S$52+(Parametres!$B$7-S$52)*(A70-Parametres!$B$9)/(Parametres!$B$8-Parametres!$B$9),Parametres!$B$7+(Parametres!$B$10-Parametres!$B$7)*MIN(1,(A70-Parametres!$B$8)/(Parametres!$B$11-Parametres!$B$8))),2)</f>
        <v/>
      </c>
      <c r="T70" s="95" t="n">
        <v>63.82</v>
      </c>
      <c r="U70" s="95" t="n">
        <v>31.56</v>
      </c>
      <c r="V70" s="95" t="n">
        <v>29.82</v>
      </c>
      <c r="W70" s="95" t="n">
        <v>28.11</v>
      </c>
      <c r="X70" s="95" t="n">
        <v>26.43</v>
      </c>
      <c r="Y70" s="95" t="n">
        <v>24.77</v>
      </c>
      <c r="Z70" s="95" t="n">
        <v>23.11</v>
      </c>
      <c r="AA70" s="95" t="n">
        <v>21.48</v>
      </c>
      <c r="AB70" s="95" t="n">
        <v>19.86</v>
      </c>
      <c r="AC70" s="95" t="n">
        <v>34.52</v>
      </c>
      <c r="AD70" s="95" t="n">
        <v>32.69</v>
      </c>
      <c r="AE70" s="95" t="n">
        <v>30.88</v>
      </c>
      <c r="AF70" s="95" t="n">
        <v>29.08</v>
      </c>
      <c r="AG70" s="95" t="n">
        <v>27.29</v>
      </c>
      <c r="AH70" s="95" t="n">
        <v>25.52</v>
      </c>
      <c r="AI70" s="95" t="n">
        <v>23.75</v>
      </c>
      <c r="AJ70" s="95" t="n">
        <v>22.01</v>
      </c>
      <c r="AK70" s="7" t="inlineStr">
        <is>
          <t>non</t>
        </is>
      </c>
    </row>
    <row r="71">
      <c r="A71" s="88" t="n">
        <v>1983</v>
      </c>
      <c r="B71" s="7" t="inlineStr">
        <is>
          <t>Génération Y</t>
        </is>
      </c>
      <c r="C71" s="95" t="n">
        <v>21.5</v>
      </c>
      <c r="D71" s="77">
        <f>ROUND(A71+C71,0)</f>
        <v/>
      </c>
      <c r="E71" s="95" t="n">
        <v>64</v>
      </c>
      <c r="F71" s="95" t="n">
        <v>67</v>
      </c>
      <c r="G71" s="95" t="n">
        <v>64</v>
      </c>
      <c r="H71" s="85" t="n">
        <v>172</v>
      </c>
      <c r="I71" s="75">
        <f>H71/4</f>
        <v/>
      </c>
      <c r="J71" s="120" t="n">
        <v>0.0125</v>
      </c>
      <c r="K71" s="120" t="n">
        <v>0.0125</v>
      </c>
      <c r="L71" s="95" t="n">
        <v>58</v>
      </c>
      <c r="M71" s="95" t="n">
        <v>0</v>
      </c>
      <c r="N71" s="95" t="n">
        <v>60</v>
      </c>
      <c r="O71" s="95" t="n">
        <v>62</v>
      </c>
      <c r="P71" s="95" t="n">
        <v>63</v>
      </c>
      <c r="Q71" s="85" t="n">
        <v>172</v>
      </c>
      <c r="R71" s="85" t="n">
        <v>0</v>
      </c>
      <c r="S71" s="75">
        <f>ROUND(IF(A71&lt;=Parametres!$B$8,S$52+(Parametres!$B$7-S$52)*(A71-Parametres!$B$9)/(Parametres!$B$8-Parametres!$B$9),Parametres!$B$7+(Parametres!$B$10-Parametres!$B$7)*MIN(1,(A71-Parametres!$B$8)/(Parametres!$B$11-Parametres!$B$8))),2)</f>
        <v/>
      </c>
      <c r="T71" s="95" t="n">
        <v>63.83</v>
      </c>
      <c r="U71" s="95" t="n">
        <v>31.69</v>
      </c>
      <c r="V71" s="95" t="n">
        <v>29.95</v>
      </c>
      <c r="W71" s="95" t="n">
        <v>28.24</v>
      </c>
      <c r="X71" s="95" t="n">
        <v>26.55</v>
      </c>
      <c r="Y71" s="95" t="n">
        <v>24.88</v>
      </c>
      <c r="Z71" s="95" t="n">
        <v>23.22</v>
      </c>
      <c r="AA71" s="95" t="n">
        <v>21.58</v>
      </c>
      <c r="AB71" s="95" t="n">
        <v>19.96</v>
      </c>
      <c r="AC71" s="95" t="n">
        <v>34.61</v>
      </c>
      <c r="AD71" s="95" t="n">
        <v>32.78</v>
      </c>
      <c r="AE71" s="95" t="n">
        <v>30.97</v>
      </c>
      <c r="AF71" s="95" t="n">
        <v>29.17</v>
      </c>
      <c r="AG71" s="95" t="n">
        <v>27.38</v>
      </c>
      <c r="AH71" s="95" t="n">
        <v>25.6</v>
      </c>
      <c r="AI71" s="95" t="n">
        <v>23.83</v>
      </c>
      <c r="AJ71" s="95" t="n">
        <v>22.09</v>
      </c>
      <c r="AK71" s="7" t="inlineStr">
        <is>
          <t>non</t>
        </is>
      </c>
    </row>
    <row r="72">
      <c r="A72" s="88" t="n">
        <v>1984</v>
      </c>
      <c r="B72" s="7" t="inlineStr">
        <is>
          <t>Génération Y</t>
        </is>
      </c>
      <c r="C72" s="95" t="n">
        <v>21.5</v>
      </c>
      <c r="D72" s="77">
        <f>ROUND(A72+C72,0)</f>
        <v/>
      </c>
      <c r="E72" s="95" t="n">
        <v>64</v>
      </c>
      <c r="F72" s="95" t="n">
        <v>67</v>
      </c>
      <c r="G72" s="95" t="n">
        <v>64</v>
      </c>
      <c r="H72" s="85" t="n">
        <v>172</v>
      </c>
      <c r="I72" s="75">
        <f>H72/4</f>
        <v/>
      </c>
      <c r="J72" s="120" t="n">
        <v>0.0125</v>
      </c>
      <c r="K72" s="120" t="n">
        <v>0.0125</v>
      </c>
      <c r="L72" s="95" t="n">
        <v>58</v>
      </c>
      <c r="M72" s="95" t="n">
        <v>0</v>
      </c>
      <c r="N72" s="95" t="n">
        <v>60</v>
      </c>
      <c r="O72" s="95" t="n">
        <v>62</v>
      </c>
      <c r="P72" s="95" t="n">
        <v>63</v>
      </c>
      <c r="Q72" s="85" t="n">
        <v>172</v>
      </c>
      <c r="R72" s="85" t="n">
        <v>0</v>
      </c>
      <c r="S72" s="75">
        <f>ROUND(IF(A72&lt;=Parametres!$B$8,S$52+(Parametres!$B$7-S$52)*(A72-Parametres!$B$9)/(Parametres!$B$8-Parametres!$B$9),Parametres!$B$7+(Parametres!$B$10-Parametres!$B$7)*MIN(1,(A72-Parametres!$B$8)/(Parametres!$B$11-Parametres!$B$8))),2)</f>
        <v/>
      </c>
      <c r="T72" s="95" t="n">
        <v>63.84</v>
      </c>
      <c r="U72" s="95" t="n">
        <v>31.82</v>
      </c>
      <c r="V72" s="95" t="n">
        <v>30.08</v>
      </c>
      <c r="W72" s="95" t="n">
        <v>28.36</v>
      </c>
      <c r="X72" s="95" t="n">
        <v>26.67</v>
      </c>
      <c r="Y72" s="95" t="n">
        <v>25</v>
      </c>
      <c r="Z72" s="95" t="n">
        <v>23.33</v>
      </c>
      <c r="AA72" s="95" t="n">
        <v>21.69</v>
      </c>
      <c r="AB72" s="95" t="n">
        <v>20.06</v>
      </c>
      <c r="AC72" s="95" t="n">
        <v>34.7</v>
      </c>
      <c r="AD72" s="95" t="n">
        <v>32.87</v>
      </c>
      <c r="AE72" s="95" t="n">
        <v>31.05</v>
      </c>
      <c r="AF72" s="95" t="n">
        <v>29.25</v>
      </c>
      <c r="AG72" s="95" t="n">
        <v>27.46</v>
      </c>
      <c r="AH72" s="95" t="n">
        <v>25.68</v>
      </c>
      <c r="AI72" s="95" t="n">
        <v>23.91</v>
      </c>
      <c r="AJ72" s="95" t="n">
        <v>22.16</v>
      </c>
      <c r="AK72" s="7" t="inlineStr">
        <is>
          <t>non</t>
        </is>
      </c>
    </row>
    <row r="73">
      <c r="A73" s="88" t="n">
        <v>1985</v>
      </c>
      <c r="B73" s="7" t="inlineStr">
        <is>
          <t>Génération Y</t>
        </is>
      </c>
      <c r="C73" s="95" t="n">
        <v>21.5</v>
      </c>
      <c r="D73" s="77">
        <f>ROUND(A73+C73,0)</f>
        <v/>
      </c>
      <c r="E73" s="95" t="n">
        <v>64</v>
      </c>
      <c r="F73" s="95" t="n">
        <v>67</v>
      </c>
      <c r="G73" s="95" t="n">
        <v>64</v>
      </c>
      <c r="H73" s="85" t="n">
        <v>172</v>
      </c>
      <c r="I73" s="75">
        <f>H73/4</f>
        <v/>
      </c>
      <c r="J73" s="120" t="n">
        <v>0.0125</v>
      </c>
      <c r="K73" s="120" t="n">
        <v>0.0125</v>
      </c>
      <c r="L73" s="95" t="n">
        <v>58</v>
      </c>
      <c r="M73" s="95" t="n">
        <v>0</v>
      </c>
      <c r="N73" s="95" t="n">
        <v>60</v>
      </c>
      <c r="O73" s="95" t="n">
        <v>62</v>
      </c>
      <c r="P73" s="95" t="n">
        <v>63</v>
      </c>
      <c r="Q73" s="85" t="n">
        <v>172</v>
      </c>
      <c r="R73" s="85" t="n">
        <v>0</v>
      </c>
      <c r="S73" s="75">
        <f>ROUND(IF(A73&lt;=Parametres!$B$8,S$52+(Parametres!$B$7-S$52)*(A73-Parametres!$B$9)/(Parametres!$B$8-Parametres!$B$9),Parametres!$B$7+(Parametres!$B$10-Parametres!$B$7)*MIN(1,(A73-Parametres!$B$8)/(Parametres!$B$11-Parametres!$B$8))),2)</f>
        <v/>
      </c>
      <c r="T73" s="95" t="n">
        <v>63.85</v>
      </c>
      <c r="U73" s="95" t="n">
        <v>31.96</v>
      </c>
      <c r="V73" s="95" t="n">
        <v>30.21</v>
      </c>
      <c r="W73" s="95" t="n">
        <v>28.49</v>
      </c>
      <c r="X73" s="95" t="n">
        <v>26.79</v>
      </c>
      <c r="Y73" s="95" t="n">
        <v>25.11</v>
      </c>
      <c r="Z73" s="95" t="n">
        <v>23.44</v>
      </c>
      <c r="AA73" s="95" t="n">
        <v>21.79</v>
      </c>
      <c r="AB73" s="95" t="n">
        <v>20.15</v>
      </c>
      <c r="AC73" s="95" t="n">
        <v>34.79</v>
      </c>
      <c r="AD73" s="95" t="n">
        <v>32.96</v>
      </c>
      <c r="AE73" s="95" t="n">
        <v>31.14</v>
      </c>
      <c r="AF73" s="95" t="n">
        <v>29.34</v>
      </c>
      <c r="AG73" s="95" t="n">
        <v>27.54</v>
      </c>
      <c r="AH73" s="95" t="n">
        <v>25.76</v>
      </c>
      <c r="AI73" s="95" t="n">
        <v>23.99</v>
      </c>
      <c r="AJ73" s="95" t="n">
        <v>22.24</v>
      </c>
      <c r="AK73" s="7" t="inlineStr">
        <is>
          <t>non</t>
        </is>
      </c>
    </row>
    <row r="74">
      <c r="A74" s="88" t="n">
        <v>1986</v>
      </c>
      <c r="B74" s="7" t="inlineStr">
        <is>
          <t>Génération Y</t>
        </is>
      </c>
      <c r="C74" s="95" t="n">
        <v>21.5</v>
      </c>
      <c r="D74" s="77">
        <f>ROUND(A74+C74,0)</f>
        <v/>
      </c>
      <c r="E74" s="95" t="n">
        <v>64</v>
      </c>
      <c r="F74" s="95" t="n">
        <v>67</v>
      </c>
      <c r="G74" s="95" t="n">
        <v>64</v>
      </c>
      <c r="H74" s="85" t="n">
        <v>172</v>
      </c>
      <c r="I74" s="75">
        <f>H74/4</f>
        <v/>
      </c>
      <c r="J74" s="120" t="n">
        <v>0.0125</v>
      </c>
      <c r="K74" s="120" t="n">
        <v>0.0125</v>
      </c>
      <c r="L74" s="95" t="n">
        <v>58</v>
      </c>
      <c r="M74" s="95" t="n">
        <v>0</v>
      </c>
      <c r="N74" s="95" t="n">
        <v>60</v>
      </c>
      <c r="O74" s="95" t="n">
        <v>62</v>
      </c>
      <c r="P74" s="95" t="n">
        <v>63</v>
      </c>
      <c r="Q74" s="85" t="n">
        <v>172</v>
      </c>
      <c r="R74" s="85" t="n">
        <v>0</v>
      </c>
      <c r="S74" s="75">
        <f>ROUND(IF(A74&lt;=Parametres!$B$8,S$52+(Parametres!$B$7-S$52)*(A74-Parametres!$B$9)/(Parametres!$B$8-Parametres!$B$9),Parametres!$B$7+(Parametres!$B$10-Parametres!$B$7)*MIN(1,(A74-Parametres!$B$8)/(Parametres!$B$11-Parametres!$B$8))),2)</f>
        <v/>
      </c>
      <c r="T74" s="95" t="n">
        <v>63.86</v>
      </c>
      <c r="U74" s="95" t="n">
        <v>32.09</v>
      </c>
      <c r="V74" s="95" t="n">
        <v>30.34</v>
      </c>
      <c r="W74" s="95" t="n">
        <v>28.61</v>
      </c>
      <c r="X74" s="95" t="n">
        <v>26.91</v>
      </c>
      <c r="Y74" s="95" t="n">
        <v>25.22</v>
      </c>
      <c r="Z74" s="95" t="n">
        <v>23.55</v>
      </c>
      <c r="AA74" s="95" t="n">
        <v>21.89</v>
      </c>
      <c r="AB74" s="95" t="n">
        <v>20.25</v>
      </c>
      <c r="AC74" s="95" t="n">
        <v>34.88</v>
      </c>
      <c r="AD74" s="95" t="n">
        <v>33.04</v>
      </c>
      <c r="AE74" s="95" t="n">
        <v>31.22</v>
      </c>
      <c r="AF74" s="95" t="n">
        <v>29.42</v>
      </c>
      <c r="AG74" s="95" t="n">
        <v>27.62</v>
      </c>
      <c r="AH74" s="95" t="n">
        <v>25.84</v>
      </c>
      <c r="AI74" s="95" t="n">
        <v>24.07</v>
      </c>
      <c r="AJ74" s="95" t="n">
        <v>22.31</v>
      </c>
      <c r="AK74" s="7" t="inlineStr">
        <is>
          <t>non</t>
        </is>
      </c>
    </row>
    <row r="75">
      <c r="A75" s="88" t="n">
        <v>1987</v>
      </c>
      <c r="B75" s="7" t="inlineStr">
        <is>
          <t>Génération Y</t>
        </is>
      </c>
      <c r="C75" s="95" t="n">
        <v>21.5</v>
      </c>
      <c r="D75" s="77">
        <f>ROUND(A75+C75,0)</f>
        <v/>
      </c>
      <c r="E75" s="95" t="n">
        <v>64</v>
      </c>
      <c r="F75" s="95" t="n">
        <v>67</v>
      </c>
      <c r="G75" s="95" t="n">
        <v>64</v>
      </c>
      <c r="H75" s="85" t="n">
        <v>172</v>
      </c>
      <c r="I75" s="75">
        <f>H75/4</f>
        <v/>
      </c>
      <c r="J75" s="120" t="n">
        <v>0.0125</v>
      </c>
      <c r="K75" s="120" t="n">
        <v>0.0125</v>
      </c>
      <c r="L75" s="95" t="n">
        <v>58</v>
      </c>
      <c r="M75" s="95" t="n">
        <v>0</v>
      </c>
      <c r="N75" s="95" t="n">
        <v>60</v>
      </c>
      <c r="O75" s="95" t="n">
        <v>62</v>
      </c>
      <c r="P75" s="95" t="n">
        <v>63</v>
      </c>
      <c r="Q75" s="85" t="n">
        <v>172</v>
      </c>
      <c r="R75" s="85" t="n">
        <v>0</v>
      </c>
      <c r="S75" s="75">
        <f>ROUND(IF(A75&lt;=Parametres!$B$8,S$52+(Parametres!$B$7-S$52)*(A75-Parametres!$B$9)/(Parametres!$B$8-Parametres!$B$9),Parametres!$B$7+(Parametres!$B$10-Parametres!$B$7)*MIN(1,(A75-Parametres!$B$8)/(Parametres!$B$11-Parametres!$B$8))),2)</f>
        <v/>
      </c>
      <c r="T75" s="95" t="n">
        <v>63.87</v>
      </c>
      <c r="U75" s="95" t="n">
        <v>32.22</v>
      </c>
      <c r="V75" s="95" t="n">
        <v>30.47</v>
      </c>
      <c r="W75" s="95" t="n">
        <v>28.73</v>
      </c>
      <c r="X75" s="95" t="n">
        <v>27.03</v>
      </c>
      <c r="Y75" s="95" t="n">
        <v>25.34</v>
      </c>
      <c r="Z75" s="95" t="n">
        <v>23.66</v>
      </c>
      <c r="AA75" s="95" t="n">
        <v>21.99</v>
      </c>
      <c r="AB75" s="95" t="n">
        <v>20.35</v>
      </c>
      <c r="AC75" s="95" t="n">
        <v>34.97</v>
      </c>
      <c r="AD75" s="95" t="n">
        <v>33.13</v>
      </c>
      <c r="AE75" s="95" t="n">
        <v>31.31</v>
      </c>
      <c r="AF75" s="95" t="n">
        <v>29.5</v>
      </c>
      <c r="AG75" s="95" t="n">
        <v>27.71</v>
      </c>
      <c r="AH75" s="95" t="n">
        <v>25.92</v>
      </c>
      <c r="AI75" s="95" t="n">
        <v>24.15</v>
      </c>
      <c r="AJ75" s="95" t="n">
        <v>22.39</v>
      </c>
      <c r="AK75" s="7" t="inlineStr">
        <is>
          <t>non</t>
        </is>
      </c>
    </row>
    <row r="76">
      <c r="A76" s="88" t="n">
        <v>1988</v>
      </c>
      <c r="B76" s="7" t="inlineStr">
        <is>
          <t>Génération Y</t>
        </is>
      </c>
      <c r="C76" s="95" t="n">
        <v>21.5</v>
      </c>
      <c r="D76" s="77">
        <f>ROUND(A76+C76,0)</f>
        <v/>
      </c>
      <c r="E76" s="95" t="n">
        <v>64</v>
      </c>
      <c r="F76" s="95" t="n">
        <v>67</v>
      </c>
      <c r="G76" s="95" t="n">
        <v>64</v>
      </c>
      <c r="H76" s="85" t="n">
        <v>172</v>
      </c>
      <c r="I76" s="75">
        <f>H76/4</f>
        <v/>
      </c>
      <c r="J76" s="120" t="n">
        <v>0.0125</v>
      </c>
      <c r="K76" s="120" t="n">
        <v>0.0125</v>
      </c>
      <c r="L76" s="95" t="n">
        <v>58</v>
      </c>
      <c r="M76" s="95" t="n">
        <v>0</v>
      </c>
      <c r="N76" s="95" t="n">
        <v>60</v>
      </c>
      <c r="O76" s="95" t="n">
        <v>62</v>
      </c>
      <c r="P76" s="95" t="n">
        <v>63</v>
      </c>
      <c r="Q76" s="85" t="n">
        <v>172</v>
      </c>
      <c r="R76" s="85" t="n">
        <v>0</v>
      </c>
      <c r="S76" s="75">
        <f>ROUND(IF(A76&lt;=Parametres!$B$8,S$52+(Parametres!$B$7-S$52)*(A76-Parametres!$B$9)/(Parametres!$B$8-Parametres!$B$9),Parametres!$B$7+(Parametres!$B$10-Parametres!$B$7)*MIN(1,(A76-Parametres!$B$8)/(Parametres!$B$11-Parametres!$B$8))),2)</f>
        <v/>
      </c>
      <c r="T76" s="95" t="n">
        <v>63.88</v>
      </c>
      <c r="U76" s="95" t="n">
        <v>32.35</v>
      </c>
      <c r="V76" s="95" t="n">
        <v>30.59</v>
      </c>
      <c r="W76" s="95" t="n">
        <v>28.85</v>
      </c>
      <c r="X76" s="95" t="n">
        <v>27.14</v>
      </c>
      <c r="Y76" s="95" t="n">
        <v>25.45</v>
      </c>
      <c r="Z76" s="95" t="n">
        <v>23.76</v>
      </c>
      <c r="AA76" s="95" t="n">
        <v>22.09</v>
      </c>
      <c r="AB76" s="95" t="n">
        <v>20.44</v>
      </c>
      <c r="AC76" s="95" t="n">
        <v>35.06</v>
      </c>
      <c r="AD76" s="95" t="n">
        <v>33.22</v>
      </c>
      <c r="AE76" s="95" t="n">
        <v>31.4</v>
      </c>
      <c r="AF76" s="95" t="n">
        <v>29.59</v>
      </c>
      <c r="AG76" s="95" t="n">
        <v>27.79</v>
      </c>
      <c r="AH76" s="95" t="n">
        <v>26</v>
      </c>
      <c r="AI76" s="95" t="n">
        <v>24.22</v>
      </c>
      <c r="AJ76" s="95" t="n">
        <v>22.47</v>
      </c>
      <c r="AK76" s="7" t="inlineStr">
        <is>
          <t>non</t>
        </is>
      </c>
    </row>
    <row r="77">
      <c r="A77" s="88" t="n">
        <v>1989</v>
      </c>
      <c r="B77" s="7" t="inlineStr">
        <is>
          <t>Génération Y</t>
        </is>
      </c>
      <c r="C77" s="95" t="n">
        <v>21.5</v>
      </c>
      <c r="D77" s="77">
        <f>ROUND(A77+C77,0)</f>
        <v/>
      </c>
      <c r="E77" s="95" t="n">
        <v>64</v>
      </c>
      <c r="F77" s="95" t="n">
        <v>67</v>
      </c>
      <c r="G77" s="95" t="n">
        <v>64</v>
      </c>
      <c r="H77" s="85" t="n">
        <v>172</v>
      </c>
      <c r="I77" s="75">
        <f>H77/4</f>
        <v/>
      </c>
      <c r="J77" s="120" t="n">
        <v>0.0125</v>
      </c>
      <c r="K77" s="120" t="n">
        <v>0.0125</v>
      </c>
      <c r="L77" s="95" t="n">
        <v>58</v>
      </c>
      <c r="M77" s="95" t="n">
        <v>0</v>
      </c>
      <c r="N77" s="95" t="n">
        <v>60</v>
      </c>
      <c r="O77" s="95" t="n">
        <v>62</v>
      </c>
      <c r="P77" s="95" t="n">
        <v>63</v>
      </c>
      <c r="Q77" s="85" t="n">
        <v>172</v>
      </c>
      <c r="R77" s="85" t="n">
        <v>0</v>
      </c>
      <c r="S77" s="75">
        <f>ROUND(IF(A77&lt;=Parametres!$B$8,S$52+(Parametres!$B$7-S$52)*(A77-Parametres!$B$9)/(Parametres!$B$8-Parametres!$B$9),Parametres!$B$7+(Parametres!$B$10-Parametres!$B$7)*MIN(1,(A77-Parametres!$B$8)/(Parametres!$B$11-Parametres!$B$8))),2)</f>
        <v/>
      </c>
      <c r="T77" s="95" t="n">
        <v>63.89</v>
      </c>
      <c r="U77" s="95" t="n">
        <v>32.48</v>
      </c>
      <c r="V77" s="95" t="n">
        <v>30.71</v>
      </c>
      <c r="W77" s="95" t="n">
        <v>28.97</v>
      </c>
      <c r="X77" s="95" t="n">
        <v>27.26</v>
      </c>
      <c r="Y77" s="95" t="n">
        <v>25.56</v>
      </c>
      <c r="Z77" s="95" t="n">
        <v>23.87</v>
      </c>
      <c r="AA77" s="95" t="n">
        <v>22.19</v>
      </c>
      <c r="AB77" s="95" t="n">
        <v>20.54</v>
      </c>
      <c r="AC77" s="95" t="n">
        <v>35.15</v>
      </c>
      <c r="AD77" s="95" t="n">
        <v>33.31</v>
      </c>
      <c r="AE77" s="95" t="n">
        <v>31.48</v>
      </c>
      <c r="AF77" s="95" t="n">
        <v>29.67</v>
      </c>
      <c r="AG77" s="95" t="n">
        <v>27.87</v>
      </c>
      <c r="AH77" s="95" t="n">
        <v>26.08</v>
      </c>
      <c r="AI77" s="95" t="n">
        <v>24.3</v>
      </c>
      <c r="AJ77" s="95" t="n">
        <v>22.54</v>
      </c>
      <c r="AK77" s="7" t="inlineStr">
        <is>
          <t>non</t>
        </is>
      </c>
    </row>
    <row r="78">
      <c r="A78" s="88" t="n">
        <v>1990</v>
      </c>
      <c r="B78" s="7" t="inlineStr">
        <is>
          <t>Génération Y</t>
        </is>
      </c>
      <c r="C78" s="95" t="n">
        <v>21.5</v>
      </c>
      <c r="D78" s="77">
        <f>ROUND(A78+C78,0)</f>
        <v/>
      </c>
      <c r="E78" s="95" t="n">
        <v>64</v>
      </c>
      <c r="F78" s="95" t="n">
        <v>67</v>
      </c>
      <c r="G78" s="95" t="n">
        <v>64</v>
      </c>
      <c r="H78" s="85" t="n">
        <v>172</v>
      </c>
      <c r="I78" s="75">
        <f>H78/4</f>
        <v/>
      </c>
      <c r="J78" s="120" t="n">
        <v>0.0125</v>
      </c>
      <c r="K78" s="120" t="n">
        <v>0.0125</v>
      </c>
      <c r="L78" s="95" t="n">
        <v>58</v>
      </c>
      <c r="M78" s="95" t="n">
        <v>0</v>
      </c>
      <c r="N78" s="95" t="n">
        <v>60</v>
      </c>
      <c r="O78" s="95" t="n">
        <v>62</v>
      </c>
      <c r="P78" s="95" t="n">
        <v>63</v>
      </c>
      <c r="Q78" s="85" t="n">
        <v>172</v>
      </c>
      <c r="R78" s="85" t="n">
        <v>0</v>
      </c>
      <c r="S78" s="75">
        <f>ROUND(IF(A78&lt;=Parametres!$B$8,S$52+(Parametres!$B$7-S$52)*(A78-Parametres!$B$9)/(Parametres!$B$8-Parametres!$B$9),Parametres!$B$7+(Parametres!$B$10-Parametres!$B$7)*MIN(1,(A78-Parametres!$B$8)/(Parametres!$B$11-Parametres!$B$8))),2)</f>
        <v/>
      </c>
      <c r="T78" s="95" t="n">
        <v>63.9</v>
      </c>
      <c r="U78" s="95" t="n">
        <v>32.6</v>
      </c>
      <c r="V78" s="95" t="n">
        <v>30.84</v>
      </c>
      <c r="W78" s="95" t="n">
        <v>29.09</v>
      </c>
      <c r="X78" s="95" t="n">
        <v>27.37</v>
      </c>
      <c r="Y78" s="95" t="n">
        <v>25.67</v>
      </c>
      <c r="Z78" s="95" t="n">
        <v>23.97</v>
      </c>
      <c r="AA78" s="95" t="n">
        <v>22.29</v>
      </c>
      <c r="AB78" s="95" t="n">
        <v>20.63</v>
      </c>
      <c r="AC78" s="95" t="n">
        <v>35.23</v>
      </c>
      <c r="AD78" s="95" t="n">
        <v>33.39</v>
      </c>
      <c r="AE78" s="95" t="n">
        <v>31.57</v>
      </c>
      <c r="AF78" s="95" t="n">
        <v>29.75</v>
      </c>
      <c r="AG78" s="95" t="n">
        <v>27.95</v>
      </c>
      <c r="AH78" s="95" t="n">
        <v>26.16</v>
      </c>
      <c r="AI78" s="95" t="n">
        <v>24.38</v>
      </c>
      <c r="AJ78" s="95" t="n">
        <v>22.61</v>
      </c>
      <c r="AK78" s="7" t="inlineStr">
        <is>
          <t>non</t>
        </is>
      </c>
    </row>
    <row r="79">
      <c r="A79" s="88" t="n">
        <v>1991</v>
      </c>
      <c r="B79" s="7" t="inlineStr">
        <is>
          <t>Génération Y</t>
        </is>
      </c>
      <c r="C79" s="95" t="n">
        <v>21.5</v>
      </c>
      <c r="D79" s="77">
        <f>ROUND(A79+C79,0)</f>
        <v/>
      </c>
      <c r="E79" s="95" t="n">
        <v>64</v>
      </c>
      <c r="F79" s="95" t="n">
        <v>67</v>
      </c>
      <c r="G79" s="95" t="n">
        <v>64</v>
      </c>
      <c r="H79" s="85" t="n">
        <v>172</v>
      </c>
      <c r="I79" s="75">
        <f>H79/4</f>
        <v/>
      </c>
      <c r="J79" s="120" t="n">
        <v>0.0125</v>
      </c>
      <c r="K79" s="120" t="n">
        <v>0.0125</v>
      </c>
      <c r="L79" s="95" t="n">
        <v>58</v>
      </c>
      <c r="M79" s="95" t="n">
        <v>0</v>
      </c>
      <c r="N79" s="95" t="n">
        <v>60</v>
      </c>
      <c r="O79" s="95" t="n">
        <v>62</v>
      </c>
      <c r="P79" s="95" t="n">
        <v>63</v>
      </c>
      <c r="Q79" s="85" t="n">
        <v>172</v>
      </c>
      <c r="R79" s="85" t="n">
        <v>0</v>
      </c>
      <c r="S79" s="75">
        <f>ROUND(IF(A79&lt;=Parametres!$B$8,S$52+(Parametres!$B$7-S$52)*(A79-Parametres!$B$9)/(Parametres!$B$8-Parametres!$B$9),Parametres!$B$7+(Parametres!$B$10-Parametres!$B$7)*MIN(1,(A79-Parametres!$B$8)/(Parametres!$B$11-Parametres!$B$8))),2)</f>
        <v/>
      </c>
      <c r="T79" s="95" t="n">
        <v>63.91</v>
      </c>
      <c r="U79" s="95" t="n">
        <v>32.73</v>
      </c>
      <c r="V79" s="95" t="n">
        <v>30.96</v>
      </c>
      <c r="W79" s="95" t="n">
        <v>29.21</v>
      </c>
      <c r="X79" s="95" t="n">
        <v>27.48</v>
      </c>
      <c r="Y79" s="95" t="n">
        <v>25.78</v>
      </c>
      <c r="Z79" s="95" t="n">
        <v>24.08</v>
      </c>
      <c r="AA79" s="95" t="n">
        <v>22.39</v>
      </c>
      <c r="AB79" s="95" t="n">
        <v>20.72</v>
      </c>
      <c r="AC79" s="95" t="n">
        <v>35.32</v>
      </c>
      <c r="AD79" s="95" t="n">
        <v>33.48</v>
      </c>
      <c r="AE79" s="95" t="n">
        <v>31.65</v>
      </c>
      <c r="AF79" s="95" t="n">
        <v>29.84</v>
      </c>
      <c r="AG79" s="95" t="n">
        <v>28.03</v>
      </c>
      <c r="AH79" s="95" t="n">
        <v>26.24</v>
      </c>
      <c r="AI79" s="95" t="n">
        <v>24.45</v>
      </c>
      <c r="AJ79" s="95" t="n">
        <v>22.69</v>
      </c>
      <c r="AK79" s="7" t="inlineStr">
        <is>
          <t>non</t>
        </is>
      </c>
    </row>
    <row r="80">
      <c r="A80" s="88" t="n">
        <v>1992</v>
      </c>
      <c r="B80" s="7" t="inlineStr">
        <is>
          <t>Génération Y</t>
        </is>
      </c>
      <c r="C80" s="95" t="n">
        <v>21.5</v>
      </c>
      <c r="D80" s="77">
        <f>ROUND(A80+C80,0)</f>
        <v/>
      </c>
      <c r="E80" s="95" t="n">
        <v>64</v>
      </c>
      <c r="F80" s="95" t="n">
        <v>67</v>
      </c>
      <c r="G80" s="95" t="n">
        <v>64</v>
      </c>
      <c r="H80" s="85" t="n">
        <v>172</v>
      </c>
      <c r="I80" s="75">
        <f>H80/4</f>
        <v/>
      </c>
      <c r="J80" s="120" t="n">
        <v>0.0125</v>
      </c>
      <c r="K80" s="120" t="n">
        <v>0.0125</v>
      </c>
      <c r="L80" s="95" t="n">
        <v>58</v>
      </c>
      <c r="M80" s="95" t="n">
        <v>0</v>
      </c>
      <c r="N80" s="95" t="n">
        <v>60</v>
      </c>
      <c r="O80" s="95" t="n">
        <v>62</v>
      </c>
      <c r="P80" s="95" t="n">
        <v>63</v>
      </c>
      <c r="Q80" s="85" t="n">
        <v>172</v>
      </c>
      <c r="R80" s="85" t="n">
        <v>0</v>
      </c>
      <c r="S80" s="75">
        <f>ROUND(IF(A80&lt;=Parametres!$B$8,S$52+(Parametres!$B$7-S$52)*(A80-Parametres!$B$9)/(Parametres!$B$8-Parametres!$B$9),Parametres!$B$7+(Parametres!$B$10-Parametres!$B$7)*MIN(1,(A80-Parametres!$B$8)/(Parametres!$B$11-Parametres!$B$8))),2)</f>
        <v/>
      </c>
      <c r="T80" s="95" t="n">
        <v>63.92</v>
      </c>
      <c r="U80" s="95" t="n">
        <v>32.86</v>
      </c>
      <c r="V80" s="95" t="n">
        <v>31.08</v>
      </c>
      <c r="W80" s="95" t="n">
        <v>29.33</v>
      </c>
      <c r="X80" s="95" t="n">
        <v>27.6</v>
      </c>
      <c r="Y80" s="95" t="n">
        <v>25.88</v>
      </c>
      <c r="Z80" s="95" t="n">
        <v>24.18</v>
      </c>
      <c r="AA80" s="95" t="n">
        <v>22.49</v>
      </c>
      <c r="AB80" s="95" t="n">
        <v>20.82</v>
      </c>
      <c r="AC80" s="95" t="n">
        <v>35.41</v>
      </c>
      <c r="AD80" s="95" t="n">
        <v>33.56</v>
      </c>
      <c r="AE80" s="95" t="n">
        <v>31.73</v>
      </c>
      <c r="AF80" s="95" t="n">
        <v>29.92</v>
      </c>
      <c r="AG80" s="95" t="n">
        <v>28.11</v>
      </c>
      <c r="AH80" s="95" t="n">
        <v>26.31</v>
      </c>
      <c r="AI80" s="95" t="n">
        <v>24.53</v>
      </c>
      <c r="AJ80" s="95" t="n">
        <v>22.76</v>
      </c>
      <c r="AK80" s="7" t="inlineStr">
        <is>
          <t>non</t>
        </is>
      </c>
    </row>
    <row r="81">
      <c r="A81" s="88" t="n">
        <v>1993</v>
      </c>
      <c r="B81" s="7" t="inlineStr">
        <is>
          <t>Génération Y</t>
        </is>
      </c>
      <c r="C81" s="95" t="n">
        <v>21.5</v>
      </c>
      <c r="D81" s="77">
        <f>ROUND(A81+C81,0)</f>
        <v/>
      </c>
      <c r="E81" s="95" t="n">
        <v>64</v>
      </c>
      <c r="F81" s="95" t="n">
        <v>67</v>
      </c>
      <c r="G81" s="95" t="n">
        <v>64</v>
      </c>
      <c r="H81" s="85" t="n">
        <v>172</v>
      </c>
      <c r="I81" s="75">
        <f>H81/4</f>
        <v/>
      </c>
      <c r="J81" s="120" t="n">
        <v>0.0125</v>
      </c>
      <c r="K81" s="120" t="n">
        <v>0.0125</v>
      </c>
      <c r="L81" s="95" t="n">
        <v>58</v>
      </c>
      <c r="M81" s="95" t="n">
        <v>0</v>
      </c>
      <c r="N81" s="95" t="n">
        <v>60</v>
      </c>
      <c r="O81" s="95" t="n">
        <v>62</v>
      </c>
      <c r="P81" s="95" t="n">
        <v>63</v>
      </c>
      <c r="Q81" s="85" t="n">
        <v>172</v>
      </c>
      <c r="R81" s="85" t="n">
        <v>0</v>
      </c>
      <c r="S81" s="75">
        <f>ROUND(IF(A81&lt;=Parametres!$B$8,S$52+(Parametres!$B$7-S$52)*(A81-Parametres!$B$9)/(Parametres!$B$8-Parametres!$B$9),Parametres!$B$7+(Parametres!$B$10-Parametres!$B$7)*MIN(1,(A81-Parametres!$B$8)/(Parametres!$B$11-Parametres!$B$8))),2)</f>
        <v/>
      </c>
      <c r="T81" s="95" t="n">
        <v>63.93</v>
      </c>
      <c r="U81" s="95" t="n">
        <v>32.98</v>
      </c>
      <c r="V81" s="95" t="n">
        <v>31.2</v>
      </c>
      <c r="W81" s="95" t="n">
        <v>29.44</v>
      </c>
      <c r="X81" s="95" t="n">
        <v>27.71</v>
      </c>
      <c r="Y81" s="95" t="n">
        <v>25.99</v>
      </c>
      <c r="Z81" s="95" t="n">
        <v>24.28</v>
      </c>
      <c r="AA81" s="95" t="n">
        <v>22.59</v>
      </c>
      <c r="AB81" s="95" t="n">
        <v>20.91</v>
      </c>
      <c r="AC81" s="95" t="n">
        <v>35.5</v>
      </c>
      <c r="AD81" s="95" t="n">
        <v>33.65</v>
      </c>
      <c r="AE81" s="95" t="n">
        <v>31.82</v>
      </c>
      <c r="AF81" s="95" t="n">
        <v>30</v>
      </c>
      <c r="AG81" s="95" t="n">
        <v>28.19</v>
      </c>
      <c r="AH81" s="95" t="n">
        <v>26.39</v>
      </c>
      <c r="AI81" s="95" t="n">
        <v>24.61</v>
      </c>
      <c r="AJ81" s="95" t="n">
        <v>22.84</v>
      </c>
      <c r="AK81" s="7" t="inlineStr">
        <is>
          <t>non</t>
        </is>
      </c>
    </row>
    <row r="82">
      <c r="A82" s="88" t="n">
        <v>1994</v>
      </c>
      <c r="B82" s="7" t="inlineStr">
        <is>
          <t>Génération Y</t>
        </is>
      </c>
      <c r="C82" s="95" t="n">
        <v>21.5</v>
      </c>
      <c r="D82" s="77">
        <f>ROUND(A82+C82,0)</f>
        <v/>
      </c>
      <c r="E82" s="95" t="n">
        <v>64</v>
      </c>
      <c r="F82" s="95" t="n">
        <v>67</v>
      </c>
      <c r="G82" s="95" t="n">
        <v>64</v>
      </c>
      <c r="H82" s="85" t="n">
        <v>172</v>
      </c>
      <c r="I82" s="75">
        <f>H82/4</f>
        <v/>
      </c>
      <c r="J82" s="120" t="n">
        <v>0.0125</v>
      </c>
      <c r="K82" s="120" t="n">
        <v>0.0125</v>
      </c>
      <c r="L82" s="95" t="n">
        <v>58</v>
      </c>
      <c r="M82" s="95" t="n">
        <v>0</v>
      </c>
      <c r="N82" s="95" t="n">
        <v>60</v>
      </c>
      <c r="O82" s="95" t="n">
        <v>62</v>
      </c>
      <c r="P82" s="95" t="n">
        <v>63</v>
      </c>
      <c r="Q82" s="85" t="n">
        <v>172</v>
      </c>
      <c r="R82" s="85" t="n">
        <v>0</v>
      </c>
      <c r="S82" s="75">
        <f>ROUND(IF(A82&lt;=Parametres!$B$8,S$52+(Parametres!$B$7-S$52)*(A82-Parametres!$B$9)/(Parametres!$B$8-Parametres!$B$9),Parametres!$B$7+(Parametres!$B$10-Parametres!$B$7)*MIN(1,(A82-Parametres!$B$8)/(Parametres!$B$11-Parametres!$B$8))),2)</f>
        <v/>
      </c>
      <c r="T82" s="95" t="n">
        <v>63.94</v>
      </c>
      <c r="U82" s="95" t="n">
        <v>33.1</v>
      </c>
      <c r="V82" s="95" t="n">
        <v>31.32</v>
      </c>
      <c r="W82" s="95" t="n">
        <v>29.56</v>
      </c>
      <c r="X82" s="95" t="n">
        <v>27.82</v>
      </c>
      <c r="Y82" s="95" t="n">
        <v>26.1</v>
      </c>
      <c r="Z82" s="95" t="n">
        <v>24.38</v>
      </c>
      <c r="AA82" s="95" t="n">
        <v>22.68</v>
      </c>
      <c r="AB82" s="95" t="n">
        <v>21</v>
      </c>
      <c r="AC82" s="95" t="n">
        <v>35.58</v>
      </c>
      <c r="AD82" s="95" t="n">
        <v>33.74</v>
      </c>
      <c r="AE82" s="95" t="n">
        <v>31.9</v>
      </c>
      <c r="AF82" s="95" t="n">
        <v>30.08</v>
      </c>
      <c r="AG82" s="95" t="n">
        <v>28.27</v>
      </c>
      <c r="AH82" s="95" t="n">
        <v>26.47</v>
      </c>
      <c r="AI82" s="95" t="n">
        <v>24.68</v>
      </c>
      <c r="AJ82" s="95" t="n">
        <v>22.91</v>
      </c>
      <c r="AK82" s="7" t="inlineStr">
        <is>
          <t>non</t>
        </is>
      </c>
    </row>
    <row r="83">
      <c r="A83" s="88" t="n">
        <v>1995</v>
      </c>
      <c r="B83" s="7" t="inlineStr">
        <is>
          <t>Génération Y</t>
        </is>
      </c>
      <c r="C83" s="95" t="n">
        <v>21.5</v>
      </c>
      <c r="D83" s="77">
        <f>ROUND(A83+C83,0)</f>
        <v/>
      </c>
      <c r="E83" s="95" t="n">
        <v>64</v>
      </c>
      <c r="F83" s="95" t="n">
        <v>67</v>
      </c>
      <c r="G83" s="95" t="n">
        <v>64</v>
      </c>
      <c r="H83" s="85" t="n">
        <v>172</v>
      </c>
      <c r="I83" s="75">
        <f>H83/4</f>
        <v/>
      </c>
      <c r="J83" s="120" t="n">
        <v>0.0125</v>
      </c>
      <c r="K83" s="120" t="n">
        <v>0.0125</v>
      </c>
      <c r="L83" s="95" t="n">
        <v>58</v>
      </c>
      <c r="M83" s="95" t="n">
        <v>0</v>
      </c>
      <c r="N83" s="95" t="n">
        <v>60</v>
      </c>
      <c r="O83" s="95" t="n">
        <v>62</v>
      </c>
      <c r="P83" s="95" t="n">
        <v>63</v>
      </c>
      <c r="Q83" s="85" t="n">
        <v>172</v>
      </c>
      <c r="R83" s="85" t="n">
        <v>0</v>
      </c>
      <c r="S83" s="75">
        <f>ROUND(IF(A83&lt;=Parametres!$B$8,S$52+(Parametres!$B$7-S$52)*(A83-Parametres!$B$9)/(Parametres!$B$8-Parametres!$B$9),Parametres!$B$7+(Parametres!$B$10-Parametres!$B$7)*MIN(1,(A83-Parametres!$B$8)/(Parametres!$B$11-Parametres!$B$8))),2)</f>
        <v/>
      </c>
      <c r="T83" s="95" t="n">
        <v>63.95</v>
      </c>
      <c r="U83" s="95" t="n">
        <v>33.22</v>
      </c>
      <c r="V83" s="95" t="n">
        <v>31.44</v>
      </c>
      <c r="W83" s="95" t="n">
        <v>29.67</v>
      </c>
      <c r="X83" s="95" t="n">
        <v>27.93</v>
      </c>
      <c r="Y83" s="95" t="n">
        <v>26.2</v>
      </c>
      <c r="Z83" s="95" t="n">
        <v>24.48</v>
      </c>
      <c r="AA83" s="95" t="n">
        <v>22.78</v>
      </c>
      <c r="AB83" s="95" t="n">
        <v>21.09</v>
      </c>
      <c r="AC83" s="95" t="n">
        <v>35.67</v>
      </c>
      <c r="AD83" s="95" t="n">
        <v>33.82</v>
      </c>
      <c r="AE83" s="95" t="n">
        <v>31.99</v>
      </c>
      <c r="AF83" s="95" t="n">
        <v>30.16</v>
      </c>
      <c r="AG83" s="95" t="n">
        <v>28.35</v>
      </c>
      <c r="AH83" s="95" t="n">
        <v>26.55</v>
      </c>
      <c r="AI83" s="95" t="n">
        <v>24.76</v>
      </c>
      <c r="AJ83" s="95" t="n">
        <v>22.99</v>
      </c>
      <c r="AK83" s="7" t="inlineStr">
        <is>
          <t>non</t>
        </is>
      </c>
    </row>
    <row r="84">
      <c r="A84" s="88" t="n">
        <v>1996</v>
      </c>
      <c r="B84" s="7" t="inlineStr">
        <is>
          <t>Génération Y</t>
        </is>
      </c>
      <c r="C84" s="95" t="n">
        <v>21.5</v>
      </c>
      <c r="D84" s="77">
        <f>ROUND(A84+C84,0)</f>
        <v/>
      </c>
      <c r="E84" s="95" t="n">
        <v>64</v>
      </c>
      <c r="F84" s="95" t="n">
        <v>67</v>
      </c>
      <c r="G84" s="95" t="n">
        <v>64</v>
      </c>
      <c r="H84" s="85" t="n">
        <v>172</v>
      </c>
      <c r="I84" s="75">
        <f>H84/4</f>
        <v/>
      </c>
      <c r="J84" s="120" t="n">
        <v>0.0125</v>
      </c>
      <c r="K84" s="120" t="n">
        <v>0.0125</v>
      </c>
      <c r="L84" s="95" t="n">
        <v>58</v>
      </c>
      <c r="M84" s="95" t="n">
        <v>0</v>
      </c>
      <c r="N84" s="95" t="n">
        <v>60</v>
      </c>
      <c r="O84" s="95" t="n">
        <v>62</v>
      </c>
      <c r="P84" s="95" t="n">
        <v>63</v>
      </c>
      <c r="Q84" s="85" t="n">
        <v>172</v>
      </c>
      <c r="R84" s="85" t="n">
        <v>0</v>
      </c>
      <c r="S84" s="75">
        <f>ROUND(IF(A84&lt;=Parametres!$B$8,S$52+(Parametres!$B$7-S$52)*(A84-Parametres!$B$9)/(Parametres!$B$8-Parametres!$B$9),Parametres!$B$7+(Parametres!$B$10-Parametres!$B$7)*MIN(1,(A84-Parametres!$B$8)/(Parametres!$B$11-Parametres!$B$8))),2)</f>
        <v/>
      </c>
      <c r="T84" s="95" t="n">
        <v>63.96</v>
      </c>
      <c r="U84" s="95" t="n">
        <v>33.34</v>
      </c>
      <c r="V84" s="95" t="n">
        <v>31.56</v>
      </c>
      <c r="W84" s="95" t="n">
        <v>29.79</v>
      </c>
      <c r="X84" s="95" t="n">
        <v>28.04</v>
      </c>
      <c r="Y84" s="95" t="n">
        <v>26.31</v>
      </c>
      <c r="Z84" s="95" t="n">
        <v>24.58</v>
      </c>
      <c r="AA84" s="95" t="n">
        <v>22.87</v>
      </c>
      <c r="AB84" s="95" t="n">
        <v>21.18</v>
      </c>
      <c r="AC84" s="95" t="n">
        <v>35.76</v>
      </c>
      <c r="AD84" s="95" t="n">
        <v>33.91</v>
      </c>
      <c r="AE84" s="95" t="n">
        <v>32.07</v>
      </c>
      <c r="AF84" s="95" t="n">
        <v>30.25</v>
      </c>
      <c r="AG84" s="95" t="n">
        <v>28.43</v>
      </c>
      <c r="AH84" s="95" t="n">
        <v>26.63</v>
      </c>
      <c r="AI84" s="95" t="n">
        <v>24.83</v>
      </c>
      <c r="AJ84" s="95" t="n">
        <v>23.06</v>
      </c>
      <c r="AK84" s="7" t="inlineStr">
        <is>
          <t>non</t>
        </is>
      </c>
    </row>
    <row r="85">
      <c r="A85" s="88" t="n">
        <v>1997</v>
      </c>
      <c r="B85" s="7" t="inlineStr">
        <is>
          <t>Génération Z</t>
        </is>
      </c>
      <c r="C85" s="95" t="n">
        <v>21.5</v>
      </c>
      <c r="D85" s="77">
        <f>ROUND(A85+C85,0)</f>
        <v/>
      </c>
      <c r="E85" s="95" t="n">
        <v>64</v>
      </c>
      <c r="F85" s="95" t="n">
        <v>67</v>
      </c>
      <c r="G85" s="95" t="n">
        <v>64</v>
      </c>
      <c r="H85" s="85" t="n">
        <v>172</v>
      </c>
      <c r="I85" s="75">
        <f>H85/4</f>
        <v/>
      </c>
      <c r="J85" s="120" t="n">
        <v>0.0125</v>
      </c>
      <c r="K85" s="120" t="n">
        <v>0.0125</v>
      </c>
      <c r="L85" s="95" t="n">
        <v>58</v>
      </c>
      <c r="M85" s="95" t="n">
        <v>0</v>
      </c>
      <c r="N85" s="95" t="n">
        <v>60</v>
      </c>
      <c r="O85" s="95" t="n">
        <v>62</v>
      </c>
      <c r="P85" s="95" t="n">
        <v>63</v>
      </c>
      <c r="Q85" s="85" t="n">
        <v>172</v>
      </c>
      <c r="R85" s="85" t="n">
        <v>0</v>
      </c>
      <c r="S85" s="75">
        <f>ROUND(IF(A85&lt;=Parametres!$B$8,S$52+(Parametres!$B$7-S$52)*(A85-Parametres!$B$9)/(Parametres!$B$8-Parametres!$B$9),Parametres!$B$7+(Parametres!$B$10-Parametres!$B$7)*MIN(1,(A85-Parametres!$B$8)/(Parametres!$B$11-Parametres!$B$8))),2)</f>
        <v/>
      </c>
      <c r="T85" s="95" t="n">
        <v>63.97</v>
      </c>
      <c r="U85" s="95" t="n">
        <v>33.46</v>
      </c>
      <c r="V85" s="95" t="n">
        <v>31.67</v>
      </c>
      <c r="W85" s="95" t="n">
        <v>29.9</v>
      </c>
      <c r="X85" s="95" t="n">
        <v>28.15</v>
      </c>
      <c r="Y85" s="95" t="n">
        <v>26.41</v>
      </c>
      <c r="Z85" s="95" t="n">
        <v>24.68</v>
      </c>
      <c r="AA85" s="95" t="n">
        <v>22.97</v>
      </c>
      <c r="AB85" s="95" t="n">
        <v>21.27</v>
      </c>
      <c r="AC85" s="95" t="n">
        <v>35.84</v>
      </c>
      <c r="AD85" s="95" t="n">
        <v>33.99</v>
      </c>
      <c r="AE85" s="95" t="n">
        <v>32.15</v>
      </c>
      <c r="AF85" s="95" t="n">
        <v>30.33</v>
      </c>
      <c r="AG85" s="95" t="n">
        <v>28.51</v>
      </c>
      <c r="AH85" s="95" t="n">
        <v>26.7</v>
      </c>
      <c r="AI85" s="95" t="n">
        <v>24.91</v>
      </c>
      <c r="AJ85" s="95" t="n">
        <v>23.13</v>
      </c>
      <c r="AK85" s="7" t="inlineStr">
        <is>
          <t>non</t>
        </is>
      </c>
    </row>
    <row r="86">
      <c r="A86" s="88" t="n">
        <v>1998</v>
      </c>
      <c r="B86" s="7" t="inlineStr">
        <is>
          <t>Génération Z</t>
        </is>
      </c>
      <c r="C86" s="95" t="n">
        <v>21.5</v>
      </c>
      <c r="D86" s="77">
        <f>ROUND(A86+C86,0)</f>
        <v/>
      </c>
      <c r="E86" s="95" t="n">
        <v>64</v>
      </c>
      <c r="F86" s="95" t="n">
        <v>67</v>
      </c>
      <c r="G86" s="95" t="n">
        <v>64</v>
      </c>
      <c r="H86" s="85" t="n">
        <v>172</v>
      </c>
      <c r="I86" s="75">
        <f>H86/4</f>
        <v/>
      </c>
      <c r="J86" s="120" t="n">
        <v>0.0125</v>
      </c>
      <c r="K86" s="120" t="n">
        <v>0.0125</v>
      </c>
      <c r="L86" s="95" t="n">
        <v>58</v>
      </c>
      <c r="M86" s="95" t="n">
        <v>0</v>
      </c>
      <c r="N86" s="95" t="n">
        <v>60</v>
      </c>
      <c r="O86" s="95" t="n">
        <v>62</v>
      </c>
      <c r="P86" s="95" t="n">
        <v>63</v>
      </c>
      <c r="Q86" s="85" t="n">
        <v>172</v>
      </c>
      <c r="R86" s="85" t="n">
        <v>0</v>
      </c>
      <c r="S86" s="75">
        <f>ROUND(IF(A86&lt;=Parametres!$B$8,S$52+(Parametres!$B$7-S$52)*(A86-Parametres!$B$9)/(Parametres!$B$8-Parametres!$B$9),Parametres!$B$7+(Parametres!$B$10-Parametres!$B$7)*MIN(1,(A86-Parametres!$B$8)/(Parametres!$B$11-Parametres!$B$8))),2)</f>
        <v/>
      </c>
      <c r="T86" s="95" t="n">
        <v>63.98</v>
      </c>
      <c r="U86" s="95" t="n">
        <v>33.58</v>
      </c>
      <c r="V86" s="95" t="n">
        <v>31.79</v>
      </c>
      <c r="W86" s="95" t="n">
        <v>30.01</v>
      </c>
      <c r="X86" s="95" t="n">
        <v>28.25</v>
      </c>
      <c r="Y86" s="95" t="n">
        <v>26.51</v>
      </c>
      <c r="Z86" s="95" t="n">
        <v>24.78</v>
      </c>
      <c r="AA86" s="95" t="n">
        <v>23.06</v>
      </c>
      <c r="AB86" s="95" t="n">
        <v>21.36</v>
      </c>
      <c r="AC86" s="95" t="n">
        <v>35.93</v>
      </c>
      <c r="AD86" s="95" t="n">
        <v>34.07</v>
      </c>
      <c r="AE86" s="95" t="n">
        <v>32.23</v>
      </c>
      <c r="AF86" s="95" t="n">
        <v>30.41</v>
      </c>
      <c r="AG86" s="95" t="n">
        <v>28.59</v>
      </c>
      <c r="AH86" s="95" t="n">
        <v>26.78</v>
      </c>
      <c r="AI86" s="95" t="n">
        <v>24.98</v>
      </c>
      <c r="AJ86" s="95" t="n">
        <v>23.21</v>
      </c>
      <c r="AK86" s="7" t="inlineStr">
        <is>
          <t>non</t>
        </is>
      </c>
    </row>
    <row r="87">
      <c r="A87" s="88" t="n">
        <v>1999</v>
      </c>
      <c r="B87" s="7" t="inlineStr">
        <is>
          <t>Génération Z</t>
        </is>
      </c>
      <c r="C87" s="95" t="n">
        <v>21.5</v>
      </c>
      <c r="D87" s="77">
        <f>ROUND(A87+C87,0)</f>
        <v/>
      </c>
      <c r="E87" s="95" t="n">
        <v>64</v>
      </c>
      <c r="F87" s="95" t="n">
        <v>67</v>
      </c>
      <c r="G87" s="95" t="n">
        <v>64</v>
      </c>
      <c r="H87" s="85" t="n">
        <v>172</v>
      </c>
      <c r="I87" s="75">
        <f>H87/4</f>
        <v/>
      </c>
      <c r="J87" s="120" t="n">
        <v>0.0125</v>
      </c>
      <c r="K87" s="120" t="n">
        <v>0.0125</v>
      </c>
      <c r="L87" s="95" t="n">
        <v>58</v>
      </c>
      <c r="M87" s="95" t="n">
        <v>0</v>
      </c>
      <c r="N87" s="95" t="n">
        <v>60</v>
      </c>
      <c r="O87" s="95" t="n">
        <v>62</v>
      </c>
      <c r="P87" s="95" t="n">
        <v>63</v>
      </c>
      <c r="Q87" s="85" t="n">
        <v>172</v>
      </c>
      <c r="R87" s="85" t="n">
        <v>0</v>
      </c>
      <c r="S87" s="75">
        <f>ROUND(IF(A87&lt;=Parametres!$B$8,S$52+(Parametres!$B$7-S$52)*(A87-Parametres!$B$9)/(Parametres!$B$8-Parametres!$B$9),Parametres!$B$7+(Parametres!$B$10-Parametres!$B$7)*MIN(1,(A87-Parametres!$B$8)/(Parametres!$B$11-Parametres!$B$8))),2)</f>
        <v/>
      </c>
      <c r="T87" s="95" t="n">
        <v>63.99</v>
      </c>
      <c r="U87" s="95" t="n">
        <v>33.7</v>
      </c>
      <c r="V87" s="95" t="n">
        <v>31.9</v>
      </c>
      <c r="W87" s="95" t="n">
        <v>30.12</v>
      </c>
      <c r="X87" s="95" t="n">
        <v>28.36</v>
      </c>
      <c r="Y87" s="95" t="n">
        <v>26.61</v>
      </c>
      <c r="Z87" s="95" t="n">
        <v>24.88</v>
      </c>
      <c r="AA87" s="95" t="n">
        <v>23.15</v>
      </c>
      <c r="AB87" s="95" t="n">
        <v>21.45</v>
      </c>
      <c r="AC87" s="95" t="n">
        <v>36.01</v>
      </c>
      <c r="AD87" s="95" t="n">
        <v>34.16</v>
      </c>
      <c r="AE87" s="95" t="n">
        <v>32.32</v>
      </c>
      <c r="AF87" s="95" t="n">
        <v>30.49</v>
      </c>
      <c r="AG87" s="95" t="n">
        <v>28.67</v>
      </c>
      <c r="AH87" s="95" t="n">
        <v>26.86</v>
      </c>
      <c r="AI87" s="95" t="n">
        <v>25.06</v>
      </c>
      <c r="AJ87" s="95" t="n">
        <v>23.28</v>
      </c>
      <c r="AK87" s="7" t="inlineStr">
        <is>
          <t>non</t>
        </is>
      </c>
    </row>
    <row r="88">
      <c r="A88" s="88" t="n">
        <v>2000</v>
      </c>
      <c r="B88" s="7" t="inlineStr">
        <is>
          <t>Génération Z</t>
        </is>
      </c>
      <c r="C88" s="95" t="n">
        <v>21.5</v>
      </c>
      <c r="D88" s="77">
        <f>ROUND(A88+C88,0)</f>
        <v/>
      </c>
      <c r="E88" s="95" t="n">
        <v>64</v>
      </c>
      <c r="F88" s="95" t="n">
        <v>67</v>
      </c>
      <c r="G88" s="95" t="n">
        <v>64</v>
      </c>
      <c r="H88" s="85" t="n">
        <v>172</v>
      </c>
      <c r="I88" s="75">
        <f>H88/4</f>
        <v/>
      </c>
      <c r="J88" s="120" t="n">
        <v>0.0125</v>
      </c>
      <c r="K88" s="120" t="n">
        <v>0.0125</v>
      </c>
      <c r="L88" s="95" t="n">
        <v>58</v>
      </c>
      <c r="M88" s="95" t="n">
        <v>0</v>
      </c>
      <c r="N88" s="95" t="n">
        <v>60</v>
      </c>
      <c r="O88" s="95" t="n">
        <v>62</v>
      </c>
      <c r="P88" s="95" t="n">
        <v>63</v>
      </c>
      <c r="Q88" s="85" t="n">
        <v>172</v>
      </c>
      <c r="R88" s="85" t="n">
        <v>0</v>
      </c>
      <c r="S88" s="75">
        <f>ROUND(IF(A88&lt;=Parametres!$B$8,S$52+(Parametres!$B$7-S$52)*(A88-Parametres!$B$9)/(Parametres!$B$8-Parametres!$B$9),Parametres!$B$7+(Parametres!$B$10-Parametres!$B$7)*MIN(1,(A88-Parametres!$B$8)/(Parametres!$B$11-Parametres!$B$8))),2)</f>
        <v/>
      </c>
      <c r="T88" s="95" t="n">
        <v>64</v>
      </c>
      <c r="U88" s="95" t="n">
        <v>33.82</v>
      </c>
      <c r="V88" s="95" t="n">
        <v>32.01</v>
      </c>
      <c r="W88" s="95" t="n">
        <v>30.23</v>
      </c>
      <c r="X88" s="95" t="n">
        <v>28.46</v>
      </c>
      <c r="Y88" s="95" t="n">
        <v>26.72</v>
      </c>
      <c r="Z88" s="95" t="n">
        <v>24.97</v>
      </c>
      <c r="AA88" s="95" t="n">
        <v>23.25</v>
      </c>
      <c r="AB88" s="95" t="n">
        <v>21.53</v>
      </c>
      <c r="AC88" s="95" t="n">
        <v>36.1</v>
      </c>
      <c r="AD88" s="95" t="n">
        <v>34.24</v>
      </c>
      <c r="AE88" s="95" t="n">
        <v>32.4</v>
      </c>
      <c r="AF88" s="95" t="n">
        <v>30.57</v>
      </c>
      <c r="AG88" s="95" t="n">
        <v>28.75</v>
      </c>
      <c r="AH88" s="95" t="n">
        <v>26.93</v>
      </c>
      <c r="AI88" s="95" t="n">
        <v>25.13</v>
      </c>
      <c r="AJ88" s="95" t="n">
        <v>23.35</v>
      </c>
      <c r="AK88" s="7" t="inlineStr">
        <is>
          <t>non</t>
        </is>
      </c>
    </row>
    <row r="89">
      <c r="A89" s="88" t="n">
        <v>2001</v>
      </c>
      <c r="B89" s="7" t="inlineStr">
        <is>
          <t>Génération Z</t>
        </is>
      </c>
      <c r="C89" s="95" t="n">
        <v>21.5</v>
      </c>
      <c r="D89" s="77">
        <f>ROUND(A89+C89,0)</f>
        <v/>
      </c>
      <c r="E89" s="95" t="n">
        <v>64</v>
      </c>
      <c r="F89" s="95" t="n">
        <v>67</v>
      </c>
      <c r="G89" s="95" t="n">
        <v>64</v>
      </c>
      <c r="H89" s="85" t="n">
        <v>172</v>
      </c>
      <c r="I89" s="75">
        <f>H89/4</f>
        <v/>
      </c>
      <c r="J89" s="120" t="n">
        <v>0.0125</v>
      </c>
      <c r="K89" s="120" t="n">
        <v>0.0125</v>
      </c>
      <c r="L89" s="95" t="n">
        <v>58</v>
      </c>
      <c r="M89" s="95" t="n">
        <v>0</v>
      </c>
      <c r="N89" s="95" t="n">
        <v>60</v>
      </c>
      <c r="O89" s="95" t="n">
        <v>62</v>
      </c>
      <c r="P89" s="95" t="n">
        <v>63</v>
      </c>
      <c r="Q89" s="85" t="n">
        <v>172</v>
      </c>
      <c r="R89" s="85" t="n">
        <v>0</v>
      </c>
      <c r="S89" s="75">
        <f>ROUND(IF(A89&lt;=Parametres!$B$8,S$52+(Parametres!$B$7-S$52)*(A89-Parametres!$B$9)/(Parametres!$B$8-Parametres!$B$9),Parametres!$B$7+(Parametres!$B$10-Parametres!$B$7)*MIN(1,(A89-Parametres!$B$8)/(Parametres!$B$11-Parametres!$B$8))),2)</f>
        <v/>
      </c>
      <c r="T89" s="95" t="n">
        <v>64</v>
      </c>
      <c r="U89" s="95" t="n">
        <v>33.93</v>
      </c>
      <c r="V89" s="95" t="n">
        <v>32.13</v>
      </c>
      <c r="W89" s="95" t="n">
        <v>30.34</v>
      </c>
      <c r="X89" s="95" t="n">
        <v>28.57</v>
      </c>
      <c r="Y89" s="95" t="n">
        <v>26.82</v>
      </c>
      <c r="Z89" s="95" t="n">
        <v>25.07</v>
      </c>
      <c r="AA89" s="95" t="n">
        <v>23.34</v>
      </c>
      <c r="AB89" s="95" t="n">
        <v>21.62</v>
      </c>
      <c r="AC89" s="95" t="n">
        <v>36.18</v>
      </c>
      <c r="AD89" s="95" t="n">
        <v>34.32</v>
      </c>
      <c r="AE89" s="95" t="n">
        <v>32.48</v>
      </c>
      <c r="AF89" s="95" t="n">
        <v>30.65</v>
      </c>
      <c r="AG89" s="95" t="n">
        <v>28.83</v>
      </c>
      <c r="AH89" s="95" t="n">
        <v>27.01</v>
      </c>
      <c r="AI89" s="95" t="n">
        <v>25.21</v>
      </c>
      <c r="AJ89" s="95" t="n">
        <v>23.42</v>
      </c>
      <c r="AK89" s="7" t="inlineStr">
        <is>
          <t>non</t>
        </is>
      </c>
    </row>
    <row r="90">
      <c r="A90" s="88" t="n">
        <v>2002</v>
      </c>
      <c r="B90" s="7" t="inlineStr">
        <is>
          <t>Génération Z</t>
        </is>
      </c>
      <c r="C90" s="95" t="n">
        <v>21.5</v>
      </c>
      <c r="D90" s="77">
        <f>ROUND(A90+C90,0)</f>
        <v/>
      </c>
      <c r="E90" s="95" t="n">
        <v>64</v>
      </c>
      <c r="F90" s="95" t="n">
        <v>67</v>
      </c>
      <c r="G90" s="95" t="n">
        <v>64</v>
      </c>
      <c r="H90" s="85" t="n">
        <v>172</v>
      </c>
      <c r="I90" s="75">
        <f>H90/4</f>
        <v/>
      </c>
      <c r="J90" s="120" t="n">
        <v>0.0125</v>
      </c>
      <c r="K90" s="120" t="n">
        <v>0.0125</v>
      </c>
      <c r="L90" s="95" t="n">
        <v>58</v>
      </c>
      <c r="M90" s="95" t="n">
        <v>0</v>
      </c>
      <c r="N90" s="95" t="n">
        <v>60</v>
      </c>
      <c r="O90" s="95" t="n">
        <v>62</v>
      </c>
      <c r="P90" s="95" t="n">
        <v>63</v>
      </c>
      <c r="Q90" s="85" t="n">
        <v>172</v>
      </c>
      <c r="R90" s="85" t="n">
        <v>0</v>
      </c>
      <c r="S90" s="75">
        <f>ROUND(IF(A90&lt;=Parametres!$B$8,S$52+(Parametres!$B$7-S$52)*(A90-Parametres!$B$9)/(Parametres!$B$8-Parametres!$B$9),Parametres!$B$7+(Parametres!$B$10-Parametres!$B$7)*MIN(1,(A90-Parametres!$B$8)/(Parametres!$B$11-Parametres!$B$8))),2)</f>
        <v/>
      </c>
      <c r="T90" s="95" t="n">
        <v>64</v>
      </c>
      <c r="U90" s="95" t="n">
        <v>34.05</v>
      </c>
      <c r="V90" s="95" t="n">
        <v>32.24</v>
      </c>
      <c r="W90" s="95" t="n">
        <v>30.45</v>
      </c>
      <c r="X90" s="95" t="n">
        <v>28.67</v>
      </c>
      <c r="Y90" s="95" t="n">
        <v>26.92</v>
      </c>
      <c r="Z90" s="95" t="n">
        <v>25.17</v>
      </c>
      <c r="AA90" s="95" t="n">
        <v>23.43</v>
      </c>
      <c r="AB90" s="95" t="n">
        <v>21.71</v>
      </c>
      <c r="AC90" s="95" t="n">
        <v>36.27</v>
      </c>
      <c r="AD90" s="95" t="n">
        <v>34.41</v>
      </c>
      <c r="AE90" s="95" t="n">
        <v>32.56</v>
      </c>
      <c r="AF90" s="95" t="n">
        <v>30.73</v>
      </c>
      <c r="AG90" s="95" t="n">
        <v>28.9</v>
      </c>
      <c r="AH90" s="95" t="n">
        <v>27.09</v>
      </c>
      <c r="AI90" s="95" t="n">
        <v>25.28</v>
      </c>
      <c r="AJ90" s="95" t="n">
        <v>23.5</v>
      </c>
      <c r="AK90" s="7" t="inlineStr">
        <is>
          <t>non</t>
        </is>
      </c>
    </row>
    <row r="91">
      <c r="A91" s="88" t="n">
        <v>2003</v>
      </c>
      <c r="B91" s="7" t="inlineStr">
        <is>
          <t>Génération Z</t>
        </is>
      </c>
      <c r="C91" s="95" t="n">
        <v>21.5</v>
      </c>
      <c r="D91" s="77">
        <f>ROUND(A91+C91,0)</f>
        <v/>
      </c>
      <c r="E91" s="95" t="n">
        <v>64</v>
      </c>
      <c r="F91" s="95" t="n">
        <v>67</v>
      </c>
      <c r="G91" s="95" t="n">
        <v>64</v>
      </c>
      <c r="H91" s="85" t="n">
        <v>172</v>
      </c>
      <c r="I91" s="75">
        <f>H91/4</f>
        <v/>
      </c>
      <c r="J91" s="120" t="n">
        <v>0.0125</v>
      </c>
      <c r="K91" s="120" t="n">
        <v>0.0125</v>
      </c>
      <c r="L91" s="95" t="n">
        <v>58</v>
      </c>
      <c r="M91" s="95" t="n">
        <v>0</v>
      </c>
      <c r="N91" s="95" t="n">
        <v>60</v>
      </c>
      <c r="O91" s="95" t="n">
        <v>62</v>
      </c>
      <c r="P91" s="95" t="n">
        <v>63</v>
      </c>
      <c r="Q91" s="85" t="n">
        <v>172</v>
      </c>
      <c r="R91" s="85" t="n">
        <v>0</v>
      </c>
      <c r="S91" s="75">
        <f>ROUND(IF(A91&lt;=Parametres!$B$8,S$52+(Parametres!$B$7-S$52)*(A91-Parametres!$B$9)/(Parametres!$B$8-Parametres!$B$9),Parametres!$B$7+(Parametres!$B$10-Parametres!$B$7)*MIN(1,(A91-Parametres!$B$8)/(Parametres!$B$11-Parametres!$B$8))),2)</f>
        <v/>
      </c>
      <c r="T91" s="95" t="n">
        <v>64</v>
      </c>
      <c r="U91" s="95" t="n">
        <v>34.16</v>
      </c>
      <c r="V91" s="95" t="n">
        <v>32.35</v>
      </c>
      <c r="W91" s="95" t="n">
        <v>30.55</v>
      </c>
      <c r="X91" s="95" t="n">
        <v>28.78</v>
      </c>
      <c r="Y91" s="95" t="n">
        <v>27.01</v>
      </c>
      <c r="Z91" s="95" t="n">
        <v>25.26</v>
      </c>
      <c r="AA91" s="95" t="n">
        <v>23.52</v>
      </c>
      <c r="AB91" s="95" t="n">
        <v>21.79</v>
      </c>
      <c r="AC91" s="95" t="n">
        <v>36.35</v>
      </c>
      <c r="AD91" s="95" t="n">
        <v>34.49</v>
      </c>
      <c r="AE91" s="95" t="n">
        <v>32.64</v>
      </c>
      <c r="AF91" s="95" t="n">
        <v>30.81</v>
      </c>
      <c r="AG91" s="95" t="n">
        <v>28.98</v>
      </c>
      <c r="AH91" s="95" t="n">
        <v>27.16</v>
      </c>
      <c r="AI91" s="95" t="n">
        <v>25.36</v>
      </c>
      <c r="AJ91" s="95" t="n">
        <v>23.57</v>
      </c>
      <c r="AK91" s="7" t="inlineStr">
        <is>
          <t>non</t>
        </is>
      </c>
    </row>
    <row r="92">
      <c r="A92" s="88" t="n">
        <v>2004</v>
      </c>
      <c r="B92" s="7" t="inlineStr">
        <is>
          <t>Génération Z</t>
        </is>
      </c>
      <c r="C92" s="95" t="n">
        <v>21.5</v>
      </c>
      <c r="D92" s="77">
        <f>ROUND(A92+C92,0)</f>
        <v/>
      </c>
      <c r="E92" s="95" t="n">
        <v>64</v>
      </c>
      <c r="F92" s="95" t="n">
        <v>67</v>
      </c>
      <c r="G92" s="95" t="n">
        <v>64</v>
      </c>
      <c r="H92" s="85" t="n">
        <v>172</v>
      </c>
      <c r="I92" s="75">
        <f>H92/4</f>
        <v/>
      </c>
      <c r="J92" s="120" t="n">
        <v>0.0125</v>
      </c>
      <c r="K92" s="120" t="n">
        <v>0.0125</v>
      </c>
      <c r="L92" s="95" t="n">
        <v>58</v>
      </c>
      <c r="M92" s="95" t="n">
        <v>0</v>
      </c>
      <c r="N92" s="95" t="n">
        <v>60</v>
      </c>
      <c r="O92" s="95" t="n">
        <v>62</v>
      </c>
      <c r="P92" s="95" t="n">
        <v>63</v>
      </c>
      <c r="Q92" s="85" t="n">
        <v>172</v>
      </c>
      <c r="R92" s="85" t="n">
        <v>0</v>
      </c>
      <c r="S92" s="75">
        <f>ROUND(IF(A92&lt;=Parametres!$B$8,S$52+(Parametres!$B$7-S$52)*(A92-Parametres!$B$9)/(Parametres!$B$8-Parametres!$B$9),Parametres!$B$7+(Parametres!$B$10-Parametres!$B$7)*MIN(1,(A92-Parametres!$B$8)/(Parametres!$B$11-Parametres!$B$8))),2)</f>
        <v/>
      </c>
      <c r="T92" s="95" t="n">
        <v>64</v>
      </c>
      <c r="U92" s="95" t="n">
        <v>34.27</v>
      </c>
      <c r="V92" s="95" t="n">
        <v>32.46</v>
      </c>
      <c r="W92" s="95" t="n">
        <v>30.66</v>
      </c>
      <c r="X92" s="95" t="n">
        <v>28.88</v>
      </c>
      <c r="Y92" s="95" t="n">
        <v>27.11</v>
      </c>
      <c r="Z92" s="95" t="n">
        <v>25.35</v>
      </c>
      <c r="AA92" s="95" t="n">
        <v>23.61</v>
      </c>
      <c r="AB92" s="95" t="n">
        <v>21.88</v>
      </c>
      <c r="AC92" s="95" t="n">
        <v>36.44</v>
      </c>
      <c r="AD92" s="95" t="n">
        <v>34.57</v>
      </c>
      <c r="AE92" s="95" t="n">
        <v>32.72</v>
      </c>
      <c r="AF92" s="95" t="n">
        <v>30.89</v>
      </c>
      <c r="AG92" s="95" t="n">
        <v>29.06</v>
      </c>
      <c r="AH92" s="95" t="n">
        <v>27.24</v>
      </c>
      <c r="AI92" s="95" t="n">
        <v>25.43</v>
      </c>
      <c r="AJ92" s="95" t="n">
        <v>23.64</v>
      </c>
      <c r="AK92" s="7" t="inlineStr">
        <is>
          <t>non</t>
        </is>
      </c>
    </row>
    <row r="93">
      <c r="A93" s="88" t="n">
        <v>2005</v>
      </c>
      <c r="B93" s="7" t="inlineStr">
        <is>
          <t>Génération Z</t>
        </is>
      </c>
      <c r="C93" s="95" t="n">
        <v>21.5</v>
      </c>
      <c r="D93" s="77">
        <f>ROUND(A93+C93,0)</f>
        <v/>
      </c>
      <c r="E93" s="95" t="n">
        <v>64</v>
      </c>
      <c r="F93" s="95" t="n">
        <v>67</v>
      </c>
      <c r="G93" s="95" t="n">
        <v>64</v>
      </c>
      <c r="H93" s="85" t="n">
        <v>172</v>
      </c>
      <c r="I93" s="75">
        <f>H93/4</f>
        <v/>
      </c>
      <c r="J93" s="120" t="n">
        <v>0.0125</v>
      </c>
      <c r="K93" s="120" t="n">
        <v>0.0125</v>
      </c>
      <c r="L93" s="95" t="n">
        <v>58</v>
      </c>
      <c r="M93" s="95" t="n">
        <v>0</v>
      </c>
      <c r="N93" s="95" t="n">
        <v>60</v>
      </c>
      <c r="O93" s="95" t="n">
        <v>62</v>
      </c>
      <c r="P93" s="95" t="n">
        <v>63</v>
      </c>
      <c r="Q93" s="85" t="n">
        <v>172</v>
      </c>
      <c r="R93" s="85" t="n">
        <v>0</v>
      </c>
      <c r="S93" s="75">
        <f>ROUND(IF(A93&lt;=Parametres!$B$8,S$52+(Parametres!$B$7-S$52)*(A93-Parametres!$B$9)/(Parametres!$B$8-Parametres!$B$9),Parametres!$B$7+(Parametres!$B$10-Parametres!$B$7)*MIN(1,(A93-Parametres!$B$8)/(Parametres!$B$11-Parametres!$B$8))),2)</f>
        <v/>
      </c>
      <c r="T93" s="95" t="n">
        <v>64</v>
      </c>
      <c r="U93" s="95" t="n">
        <v>34.38</v>
      </c>
      <c r="V93" s="95" t="n">
        <v>32.56</v>
      </c>
      <c r="W93" s="95" t="n">
        <v>30.76</v>
      </c>
      <c r="X93" s="95" t="n">
        <v>28.98</v>
      </c>
      <c r="Y93" s="95" t="n">
        <v>27.21</v>
      </c>
      <c r="Z93" s="95" t="n">
        <v>25.45</v>
      </c>
      <c r="AA93" s="95" t="n">
        <v>23.7</v>
      </c>
      <c r="AB93" s="95" t="n">
        <v>21.96</v>
      </c>
      <c r="AC93" s="95" t="n">
        <v>36.52</v>
      </c>
      <c r="AD93" s="95" t="n">
        <v>34.65</v>
      </c>
      <c r="AE93" s="95" t="n">
        <v>32.8</v>
      </c>
      <c r="AF93" s="95" t="n">
        <v>30.97</v>
      </c>
      <c r="AG93" s="95" t="n">
        <v>29.14</v>
      </c>
      <c r="AH93" s="95" t="n">
        <v>27.31</v>
      </c>
      <c r="AI93" s="95" t="n">
        <v>25.5</v>
      </c>
      <c r="AJ93" s="95" t="n">
        <v>23.71</v>
      </c>
      <c r="AK93" s="7" t="inlineStr">
        <is>
          <t>non</t>
        </is>
      </c>
    </row>
    <row r="94">
      <c r="A94" s="88" t="n">
        <v>2006</v>
      </c>
      <c r="B94" s="7" t="inlineStr">
        <is>
          <t>Génération Z</t>
        </is>
      </c>
      <c r="C94" s="95" t="n">
        <v>21.5</v>
      </c>
      <c r="D94" s="77">
        <f>ROUND(A94+C94,0)</f>
        <v/>
      </c>
      <c r="E94" s="95" t="n">
        <v>64</v>
      </c>
      <c r="F94" s="95" t="n">
        <v>67</v>
      </c>
      <c r="G94" s="95" t="n">
        <v>64</v>
      </c>
      <c r="H94" s="85" t="n">
        <v>172</v>
      </c>
      <c r="I94" s="75">
        <f>H94/4</f>
        <v/>
      </c>
      <c r="J94" s="120" t="n">
        <v>0.0125</v>
      </c>
      <c r="K94" s="120" t="n">
        <v>0.0125</v>
      </c>
      <c r="L94" s="95" t="n">
        <v>58</v>
      </c>
      <c r="M94" s="95" t="n">
        <v>0</v>
      </c>
      <c r="N94" s="95" t="n">
        <v>60</v>
      </c>
      <c r="O94" s="95" t="n">
        <v>62</v>
      </c>
      <c r="P94" s="95" t="n">
        <v>63</v>
      </c>
      <c r="Q94" s="85" t="n">
        <v>172</v>
      </c>
      <c r="R94" s="85" t="n">
        <v>0</v>
      </c>
      <c r="S94" s="75">
        <f>ROUND(IF(A94&lt;=Parametres!$B$8,S$52+(Parametres!$B$7-S$52)*(A94-Parametres!$B$9)/(Parametres!$B$8-Parametres!$B$9),Parametres!$B$7+(Parametres!$B$10-Parametres!$B$7)*MIN(1,(A94-Parametres!$B$8)/(Parametres!$B$11-Parametres!$B$8))),2)</f>
        <v/>
      </c>
      <c r="T94" s="95" t="n">
        <v>64</v>
      </c>
      <c r="U94" s="95" t="n">
        <v>34.49</v>
      </c>
      <c r="V94" s="95" t="n">
        <v>32.67</v>
      </c>
      <c r="W94" s="95" t="n">
        <v>30.87</v>
      </c>
      <c r="X94" s="95" t="n">
        <v>29.08</v>
      </c>
      <c r="Y94" s="95" t="n">
        <v>27.3</v>
      </c>
      <c r="Z94" s="95" t="n">
        <v>25.54</v>
      </c>
      <c r="AA94" s="95" t="n">
        <v>23.78</v>
      </c>
      <c r="AB94" s="95" t="n">
        <v>22.04</v>
      </c>
      <c r="AC94" s="95" t="n">
        <v>36.6</v>
      </c>
      <c r="AD94" s="95" t="n">
        <v>34.74</v>
      </c>
      <c r="AE94" s="95" t="n">
        <v>32.88</v>
      </c>
      <c r="AF94" s="95" t="n">
        <v>31.04</v>
      </c>
      <c r="AG94" s="95" t="n">
        <v>29.21</v>
      </c>
      <c r="AH94" s="95" t="n">
        <v>27.39</v>
      </c>
      <c r="AI94" s="95" t="n">
        <v>25.58</v>
      </c>
      <c r="AJ94" s="95" t="n">
        <v>23.78</v>
      </c>
      <c r="AK94" s="7" t="inlineStr">
        <is>
          <t>non</t>
        </is>
      </c>
    </row>
    <row r="95">
      <c r="A95" s="88" t="n">
        <v>2007</v>
      </c>
      <c r="B95" s="7" t="inlineStr">
        <is>
          <t>Génération Z</t>
        </is>
      </c>
      <c r="C95" s="95" t="n">
        <v>21.5</v>
      </c>
      <c r="D95" s="77">
        <f>ROUND(A95+C95,0)</f>
        <v/>
      </c>
      <c r="E95" s="95" t="n">
        <v>64</v>
      </c>
      <c r="F95" s="95" t="n">
        <v>67</v>
      </c>
      <c r="G95" s="95" t="n">
        <v>64</v>
      </c>
      <c r="H95" s="85" t="n">
        <v>172</v>
      </c>
      <c r="I95" s="75">
        <f>H95/4</f>
        <v/>
      </c>
      <c r="J95" s="120" t="n">
        <v>0.0125</v>
      </c>
      <c r="K95" s="120" t="n">
        <v>0.0125</v>
      </c>
      <c r="L95" s="95" t="n">
        <v>58</v>
      </c>
      <c r="M95" s="95" t="n">
        <v>0</v>
      </c>
      <c r="N95" s="95" t="n">
        <v>60</v>
      </c>
      <c r="O95" s="95" t="n">
        <v>62</v>
      </c>
      <c r="P95" s="95" t="n">
        <v>63</v>
      </c>
      <c r="Q95" s="85" t="n">
        <v>172</v>
      </c>
      <c r="R95" s="85" t="n">
        <v>0</v>
      </c>
      <c r="S95" s="75">
        <f>ROUND(IF(A95&lt;=Parametres!$B$8,S$52+(Parametres!$B$7-S$52)*(A95-Parametres!$B$9)/(Parametres!$B$8-Parametres!$B$9),Parametres!$B$7+(Parametres!$B$10-Parametres!$B$7)*MIN(1,(A95-Parametres!$B$8)/(Parametres!$B$11-Parametres!$B$8))),2)</f>
        <v/>
      </c>
      <c r="T95" s="95" t="n">
        <v>64</v>
      </c>
      <c r="U95" s="95" t="n">
        <v>34.6</v>
      </c>
      <c r="V95" s="95" t="n">
        <v>32.78</v>
      </c>
      <c r="W95" s="95" t="n">
        <v>30.97</v>
      </c>
      <c r="X95" s="95" t="n">
        <v>29.18</v>
      </c>
      <c r="Y95" s="95" t="n">
        <v>27.4</v>
      </c>
      <c r="Z95" s="95" t="n">
        <v>25.63</v>
      </c>
      <c r="AA95" s="95" t="n">
        <v>23.87</v>
      </c>
      <c r="AB95" s="95" t="n">
        <v>22.13</v>
      </c>
      <c r="AC95" s="95" t="n">
        <v>36.68</v>
      </c>
      <c r="AD95" s="95" t="n">
        <v>34.82</v>
      </c>
      <c r="AE95" s="95" t="n">
        <v>32.96</v>
      </c>
      <c r="AF95" s="95" t="n">
        <v>31.12</v>
      </c>
      <c r="AG95" s="95" t="n">
        <v>29.29</v>
      </c>
      <c r="AH95" s="95" t="n">
        <v>27.46</v>
      </c>
      <c r="AI95" s="95" t="n">
        <v>25.65</v>
      </c>
      <c r="AJ95" s="95" t="n">
        <v>23.85</v>
      </c>
      <c r="AK95" s="7" t="inlineStr">
        <is>
          <t>non</t>
        </is>
      </c>
    </row>
    <row r="96">
      <c r="A96" s="88" t="n">
        <v>2008</v>
      </c>
      <c r="B96" s="7" t="inlineStr">
        <is>
          <t>Génération Z</t>
        </is>
      </c>
      <c r="C96" s="95" t="n">
        <v>21.5</v>
      </c>
      <c r="D96" s="77">
        <f>ROUND(A96+C96,0)</f>
        <v/>
      </c>
      <c r="E96" s="95" t="n">
        <v>64</v>
      </c>
      <c r="F96" s="95" t="n">
        <v>67</v>
      </c>
      <c r="G96" s="95" t="n">
        <v>64</v>
      </c>
      <c r="H96" s="85" t="n">
        <v>172</v>
      </c>
      <c r="I96" s="75">
        <f>H96/4</f>
        <v/>
      </c>
      <c r="J96" s="120" t="n">
        <v>0.0125</v>
      </c>
      <c r="K96" s="120" t="n">
        <v>0.0125</v>
      </c>
      <c r="L96" s="95" t="n">
        <v>58</v>
      </c>
      <c r="M96" s="95" t="n">
        <v>0</v>
      </c>
      <c r="N96" s="95" t="n">
        <v>60</v>
      </c>
      <c r="O96" s="95" t="n">
        <v>62</v>
      </c>
      <c r="P96" s="95" t="n">
        <v>63</v>
      </c>
      <c r="Q96" s="85" t="n">
        <v>172</v>
      </c>
      <c r="R96" s="85" t="n">
        <v>0</v>
      </c>
      <c r="S96" s="75">
        <f>ROUND(IF(A96&lt;=Parametres!$B$8,S$52+(Parametres!$B$7-S$52)*(A96-Parametres!$B$9)/(Parametres!$B$8-Parametres!$B$9),Parametres!$B$7+(Parametres!$B$10-Parametres!$B$7)*MIN(1,(A96-Parametres!$B$8)/(Parametres!$B$11-Parametres!$B$8))),2)</f>
        <v/>
      </c>
      <c r="T96" s="95" t="n">
        <v>64</v>
      </c>
      <c r="U96" s="95" t="n">
        <v>34.71</v>
      </c>
      <c r="V96" s="95" t="n">
        <v>32.88</v>
      </c>
      <c r="W96" s="95" t="n">
        <v>31.07</v>
      </c>
      <c r="X96" s="95" t="n">
        <v>29.28</v>
      </c>
      <c r="Y96" s="95" t="n">
        <v>27.5</v>
      </c>
      <c r="Z96" s="95" t="n">
        <v>25.72</v>
      </c>
      <c r="AA96" s="95" t="n">
        <v>23.96</v>
      </c>
      <c r="AB96" s="95" t="n">
        <v>22.21</v>
      </c>
      <c r="AC96" s="95" t="n">
        <v>36.77</v>
      </c>
      <c r="AD96" s="95" t="n">
        <v>34.9</v>
      </c>
      <c r="AE96" s="95" t="n">
        <v>33.04</v>
      </c>
      <c r="AF96" s="95" t="n">
        <v>31.2</v>
      </c>
      <c r="AG96" s="95" t="n">
        <v>29.37</v>
      </c>
      <c r="AH96" s="95" t="n">
        <v>27.54</v>
      </c>
      <c r="AI96" s="95" t="n">
        <v>25.72</v>
      </c>
      <c r="AJ96" s="95" t="n">
        <v>23.92</v>
      </c>
      <c r="AK96" s="7" t="inlineStr">
        <is>
          <t>non</t>
        </is>
      </c>
    </row>
    <row r="97">
      <c r="A97" s="88" t="n">
        <v>2009</v>
      </c>
      <c r="B97" s="7" t="inlineStr">
        <is>
          <t>Génération Z</t>
        </is>
      </c>
      <c r="C97" s="95" t="n">
        <v>21.5</v>
      </c>
      <c r="D97" s="77">
        <f>ROUND(A97+C97,0)</f>
        <v/>
      </c>
      <c r="E97" s="95" t="n">
        <v>64</v>
      </c>
      <c r="F97" s="95" t="n">
        <v>67</v>
      </c>
      <c r="G97" s="95" t="n">
        <v>64</v>
      </c>
      <c r="H97" s="85" t="n">
        <v>172</v>
      </c>
      <c r="I97" s="75">
        <f>H97/4</f>
        <v/>
      </c>
      <c r="J97" s="120" t="n">
        <v>0.0125</v>
      </c>
      <c r="K97" s="120" t="n">
        <v>0.0125</v>
      </c>
      <c r="L97" s="95" t="n">
        <v>58</v>
      </c>
      <c r="M97" s="95" t="n">
        <v>0</v>
      </c>
      <c r="N97" s="95" t="n">
        <v>60</v>
      </c>
      <c r="O97" s="95" t="n">
        <v>62</v>
      </c>
      <c r="P97" s="95" t="n">
        <v>63</v>
      </c>
      <c r="Q97" s="85" t="n">
        <v>172</v>
      </c>
      <c r="R97" s="85" t="n">
        <v>0</v>
      </c>
      <c r="S97" s="75">
        <f>ROUND(IF(A97&lt;=Parametres!$B$8,S$52+(Parametres!$B$7-S$52)*(A97-Parametres!$B$9)/(Parametres!$B$8-Parametres!$B$9),Parametres!$B$7+(Parametres!$B$10-Parametres!$B$7)*MIN(1,(A97-Parametres!$B$8)/(Parametres!$B$11-Parametres!$B$8))),2)</f>
        <v/>
      </c>
      <c r="T97" s="95" t="n">
        <v>64</v>
      </c>
      <c r="U97" s="95" t="n">
        <v>34.82</v>
      </c>
      <c r="V97" s="95" t="n">
        <v>32.99</v>
      </c>
      <c r="W97" s="95" t="n">
        <v>31.17</v>
      </c>
      <c r="X97" s="95" t="n">
        <v>29.37</v>
      </c>
      <c r="Y97" s="95" t="n">
        <v>27.59</v>
      </c>
      <c r="Z97" s="95" t="n">
        <v>25.81</v>
      </c>
      <c r="AA97" s="95" t="n">
        <v>24.04</v>
      </c>
      <c r="AB97" s="95" t="n">
        <v>22.29</v>
      </c>
      <c r="AC97" s="95" t="n">
        <v>36.85</v>
      </c>
      <c r="AD97" s="95" t="n">
        <v>34.98</v>
      </c>
      <c r="AE97" s="95" t="n">
        <v>33.12</v>
      </c>
      <c r="AF97" s="95" t="n">
        <v>31.28</v>
      </c>
      <c r="AG97" s="95" t="n">
        <v>29.44</v>
      </c>
      <c r="AH97" s="95" t="n">
        <v>27.61</v>
      </c>
      <c r="AI97" s="95" t="n">
        <v>25.8</v>
      </c>
      <c r="AJ97" s="95" t="n">
        <v>23.99</v>
      </c>
      <c r="AK97" s="7" t="inlineStr">
        <is>
          <t>non</t>
        </is>
      </c>
    </row>
    <row r="98">
      <c r="A98" s="88" t="n">
        <v>2010</v>
      </c>
      <c r="B98" s="7" t="inlineStr">
        <is>
          <t>Génération Z</t>
        </is>
      </c>
      <c r="C98" s="95" t="n">
        <v>21.5</v>
      </c>
      <c r="D98" s="77">
        <f>ROUND(A98+C98,0)</f>
        <v/>
      </c>
      <c r="E98" s="95" t="n">
        <v>64</v>
      </c>
      <c r="F98" s="95" t="n">
        <v>67</v>
      </c>
      <c r="G98" s="95" t="n">
        <v>64</v>
      </c>
      <c r="H98" s="85" t="n">
        <v>172</v>
      </c>
      <c r="I98" s="75">
        <f>H98/4</f>
        <v/>
      </c>
      <c r="J98" s="120" t="n">
        <v>0.0125</v>
      </c>
      <c r="K98" s="120" t="n">
        <v>0.0125</v>
      </c>
      <c r="L98" s="95" t="n">
        <v>58</v>
      </c>
      <c r="M98" s="95" t="n">
        <v>0</v>
      </c>
      <c r="N98" s="95" t="n">
        <v>60</v>
      </c>
      <c r="O98" s="95" t="n">
        <v>62</v>
      </c>
      <c r="P98" s="95" t="n">
        <v>63</v>
      </c>
      <c r="Q98" s="85" t="n">
        <v>172</v>
      </c>
      <c r="R98" s="85" t="n">
        <v>0</v>
      </c>
      <c r="S98" s="75">
        <f>ROUND(IF(A98&lt;=Parametres!$B$8,S$52+(Parametres!$B$7-S$52)*(A98-Parametres!$B$9)/(Parametres!$B$8-Parametres!$B$9),Parametres!$B$7+(Parametres!$B$10-Parametres!$B$7)*MIN(1,(A98-Parametres!$B$8)/(Parametres!$B$11-Parametres!$B$8))),2)</f>
        <v/>
      </c>
      <c r="T98" s="95" t="n">
        <v>64</v>
      </c>
      <c r="U98" s="95" t="n">
        <v>34.93</v>
      </c>
      <c r="V98" s="95" t="n">
        <v>33.09</v>
      </c>
      <c r="W98" s="95" t="n">
        <v>31.27</v>
      </c>
      <c r="X98" s="95" t="n">
        <v>29.47</v>
      </c>
      <c r="Y98" s="95" t="n">
        <v>27.68</v>
      </c>
      <c r="Z98" s="95" t="n">
        <v>25.9</v>
      </c>
      <c r="AA98" s="95" t="n">
        <v>24.13</v>
      </c>
      <c r="AB98" s="95" t="n">
        <v>22.37</v>
      </c>
      <c r="AC98" s="95" t="n">
        <v>36.93</v>
      </c>
      <c r="AD98" s="95" t="n">
        <v>35.06</v>
      </c>
      <c r="AE98" s="95" t="n">
        <v>33.2</v>
      </c>
      <c r="AF98" s="95" t="n">
        <v>31.36</v>
      </c>
      <c r="AG98" s="95" t="n">
        <v>29.52</v>
      </c>
      <c r="AH98" s="95" t="n">
        <v>27.69</v>
      </c>
      <c r="AI98" s="95" t="n">
        <v>25.87</v>
      </c>
      <c r="AJ98" s="95" t="n">
        <v>24.06</v>
      </c>
      <c r="AK98" s="7" t="inlineStr">
        <is>
          <t>non</t>
        </is>
      </c>
    </row>
    <row r="99">
      <c r="A99" s="88" t="n">
        <v>2011</v>
      </c>
      <c r="B99" s="7" t="inlineStr">
        <is>
          <t>Génération Z</t>
        </is>
      </c>
      <c r="C99" s="95" t="n">
        <v>21.5</v>
      </c>
      <c r="D99" s="77">
        <f>ROUND(A99+C99,0)</f>
        <v/>
      </c>
      <c r="E99" s="95" t="n">
        <v>64</v>
      </c>
      <c r="F99" s="95" t="n">
        <v>67</v>
      </c>
      <c r="G99" s="95" t="n">
        <v>64</v>
      </c>
      <c r="H99" s="85" t="n">
        <v>172</v>
      </c>
      <c r="I99" s="75">
        <f>H99/4</f>
        <v/>
      </c>
      <c r="J99" s="120" t="n">
        <v>0.0125</v>
      </c>
      <c r="K99" s="120" t="n">
        <v>0.0125</v>
      </c>
      <c r="L99" s="95" t="n">
        <v>58</v>
      </c>
      <c r="M99" s="95" t="n">
        <v>0</v>
      </c>
      <c r="N99" s="95" t="n">
        <v>60</v>
      </c>
      <c r="O99" s="95" t="n">
        <v>62</v>
      </c>
      <c r="P99" s="95" t="n">
        <v>63</v>
      </c>
      <c r="Q99" s="85" t="n">
        <v>172</v>
      </c>
      <c r="R99" s="85" t="n">
        <v>0</v>
      </c>
      <c r="S99" s="75">
        <f>ROUND(IF(A99&lt;=Parametres!$B$8,S$52+(Parametres!$B$7-S$52)*(A99-Parametres!$B$9)/(Parametres!$B$8-Parametres!$B$9),Parametres!$B$7+(Parametres!$B$10-Parametres!$B$7)*MIN(1,(A99-Parametres!$B$8)/(Parametres!$B$11-Parametres!$B$8))),2)</f>
        <v/>
      </c>
      <c r="T99" s="95" t="n">
        <v>64</v>
      </c>
      <c r="U99" s="95" t="n">
        <v>35.03</v>
      </c>
      <c r="V99" s="95" t="n">
        <v>33.19</v>
      </c>
      <c r="W99" s="95" t="n">
        <v>31.37</v>
      </c>
      <c r="X99" s="95" t="n">
        <v>29.57</v>
      </c>
      <c r="Y99" s="95" t="n">
        <v>27.77</v>
      </c>
      <c r="Z99" s="95" t="n">
        <v>25.99</v>
      </c>
      <c r="AA99" s="95" t="n">
        <v>24.21</v>
      </c>
      <c r="AB99" s="95" t="n">
        <v>22.45</v>
      </c>
      <c r="AC99" s="95" t="n">
        <v>37.01</v>
      </c>
      <c r="AD99" s="95" t="n">
        <v>35.14</v>
      </c>
      <c r="AE99" s="95" t="n">
        <v>33.28</v>
      </c>
      <c r="AF99" s="95" t="n">
        <v>31.43</v>
      </c>
      <c r="AG99" s="95" t="n">
        <v>29.59</v>
      </c>
      <c r="AH99" s="95" t="n">
        <v>27.76</v>
      </c>
      <c r="AI99" s="95" t="n">
        <v>25.94</v>
      </c>
      <c r="AJ99" s="95" t="n">
        <v>24.13</v>
      </c>
      <c r="AK99" s="7" t="inlineStr">
        <is>
          <t>non</t>
        </is>
      </c>
    </row>
    <row r="100">
      <c r="A100" s="88" t="n">
        <v>2012</v>
      </c>
      <c r="B100" s="7" t="inlineStr">
        <is>
          <t>Génération Z</t>
        </is>
      </c>
      <c r="C100" s="95" t="n">
        <v>21.5</v>
      </c>
      <c r="D100" s="77">
        <f>ROUND(A100+C100,0)</f>
        <v/>
      </c>
      <c r="E100" s="95" t="n">
        <v>64</v>
      </c>
      <c r="F100" s="95" t="n">
        <v>67</v>
      </c>
      <c r="G100" s="95" t="n">
        <v>64</v>
      </c>
      <c r="H100" s="85" t="n">
        <v>172</v>
      </c>
      <c r="I100" s="75">
        <f>H100/4</f>
        <v/>
      </c>
      <c r="J100" s="120" t="n">
        <v>0.0125</v>
      </c>
      <c r="K100" s="120" t="n">
        <v>0.0125</v>
      </c>
      <c r="L100" s="95" t="n">
        <v>58</v>
      </c>
      <c r="M100" s="95" t="n">
        <v>0</v>
      </c>
      <c r="N100" s="95" t="n">
        <v>60</v>
      </c>
      <c r="O100" s="95" t="n">
        <v>62</v>
      </c>
      <c r="P100" s="95" t="n">
        <v>63</v>
      </c>
      <c r="Q100" s="85" t="n">
        <v>172</v>
      </c>
      <c r="R100" s="85" t="n">
        <v>0</v>
      </c>
      <c r="S100" s="75">
        <f>ROUND(IF(A100&lt;=Parametres!$B$8,S$52+(Parametres!$B$7-S$52)*(A100-Parametres!$B$9)/(Parametres!$B$8-Parametres!$B$9),Parametres!$B$7+(Parametres!$B$10-Parametres!$B$7)*MIN(1,(A100-Parametres!$B$8)/(Parametres!$B$11-Parametres!$B$8))),2)</f>
        <v/>
      </c>
      <c r="T100" s="95" t="n">
        <v>64</v>
      </c>
      <c r="U100" s="95" t="n">
        <v>35.14</v>
      </c>
      <c r="V100" s="95" t="n">
        <v>33.3</v>
      </c>
      <c r="W100" s="95" t="n">
        <v>31.47</v>
      </c>
      <c r="X100" s="95" t="n">
        <v>29.66</v>
      </c>
      <c r="Y100" s="95" t="n">
        <v>27.87</v>
      </c>
      <c r="Z100" s="95" t="n">
        <v>26.08</v>
      </c>
      <c r="AA100" s="95" t="n">
        <v>24.3</v>
      </c>
      <c r="AB100" s="95" t="n">
        <v>22.53</v>
      </c>
      <c r="AC100" s="95" t="n">
        <v>37.09</v>
      </c>
      <c r="AD100" s="95" t="n">
        <v>35.22</v>
      </c>
      <c r="AE100" s="95" t="n">
        <v>33.36</v>
      </c>
      <c r="AF100" s="95" t="n">
        <v>31.51</v>
      </c>
      <c r="AG100" s="95" t="n">
        <v>29.67</v>
      </c>
      <c r="AH100" s="95" t="n">
        <v>27.83</v>
      </c>
      <c r="AI100" s="95" t="n">
        <v>26.01</v>
      </c>
      <c r="AJ100" s="95" t="n">
        <v>24.2</v>
      </c>
      <c r="AK100" s="7" t="inlineStr">
        <is>
          <t>non</t>
        </is>
      </c>
    </row>
    <row r="101">
      <c r="A101" s="88" t="n">
        <v>2013</v>
      </c>
      <c r="B101" s="7" t="inlineStr">
        <is>
          <t>Génération Alpha</t>
        </is>
      </c>
      <c r="C101" s="95" t="n">
        <v>21.5</v>
      </c>
      <c r="D101" s="77">
        <f>ROUND(A101+C101,0)</f>
        <v/>
      </c>
      <c r="E101" s="95" t="n">
        <v>64</v>
      </c>
      <c r="F101" s="95" t="n">
        <v>67</v>
      </c>
      <c r="G101" s="95" t="n">
        <v>64</v>
      </c>
      <c r="H101" s="85" t="n">
        <v>172</v>
      </c>
      <c r="I101" s="75">
        <f>H101/4</f>
        <v/>
      </c>
      <c r="J101" s="120" t="n">
        <v>0.0125</v>
      </c>
      <c r="K101" s="120" t="n">
        <v>0.0125</v>
      </c>
      <c r="L101" s="95" t="n">
        <v>58</v>
      </c>
      <c r="M101" s="95" t="n">
        <v>0</v>
      </c>
      <c r="N101" s="95" t="n">
        <v>60</v>
      </c>
      <c r="O101" s="95" t="n">
        <v>62</v>
      </c>
      <c r="P101" s="95" t="n">
        <v>63</v>
      </c>
      <c r="Q101" s="85" t="n">
        <v>172</v>
      </c>
      <c r="R101" s="85" t="n">
        <v>0</v>
      </c>
      <c r="S101" s="75">
        <f>ROUND(IF(A101&lt;=Parametres!$B$8,S$52+(Parametres!$B$7-S$52)*(A101-Parametres!$B$9)/(Parametres!$B$8-Parametres!$B$9),Parametres!$B$7+(Parametres!$B$10-Parametres!$B$7)*MIN(1,(A101-Parametres!$B$8)/(Parametres!$B$11-Parametres!$B$8))),2)</f>
        <v/>
      </c>
      <c r="T101" s="95" t="n">
        <v>64</v>
      </c>
      <c r="U101" s="95" t="n">
        <v>35.24</v>
      </c>
      <c r="V101" s="95" t="n">
        <v>33.4</v>
      </c>
      <c r="W101" s="95" t="n">
        <v>31.57</v>
      </c>
      <c r="X101" s="95" t="n">
        <v>29.76</v>
      </c>
      <c r="Y101" s="95" t="n">
        <v>27.96</v>
      </c>
      <c r="Z101" s="95" t="n">
        <v>26.16</v>
      </c>
      <c r="AA101" s="95" t="n">
        <v>24.38</v>
      </c>
      <c r="AB101" s="95" t="n">
        <v>22.61</v>
      </c>
      <c r="AC101" s="95" t="n">
        <v>37.17</v>
      </c>
      <c r="AD101" s="95" t="n">
        <v>35.3</v>
      </c>
      <c r="AE101" s="95" t="n">
        <v>33.44</v>
      </c>
      <c r="AF101" s="95" t="n">
        <v>31.59</v>
      </c>
      <c r="AG101" s="95" t="n">
        <v>29.74</v>
      </c>
      <c r="AH101" s="95" t="n">
        <v>27.91</v>
      </c>
      <c r="AI101" s="95" t="n">
        <v>26.08</v>
      </c>
      <c r="AJ101" s="95" t="n">
        <v>24.27</v>
      </c>
      <c r="AK101" s="7" t="inlineStr">
        <is>
          <t>non</t>
        </is>
      </c>
    </row>
    <row r="102">
      <c r="A102" s="88" t="n">
        <v>2014</v>
      </c>
      <c r="B102" s="7" t="inlineStr">
        <is>
          <t>Génération Alpha</t>
        </is>
      </c>
      <c r="C102" s="95" t="n">
        <v>21.5</v>
      </c>
      <c r="D102" s="77">
        <f>ROUND(A102+C102,0)</f>
        <v/>
      </c>
      <c r="E102" s="95" t="n">
        <v>64</v>
      </c>
      <c r="F102" s="95" t="n">
        <v>67</v>
      </c>
      <c r="G102" s="95" t="n">
        <v>64</v>
      </c>
      <c r="H102" s="85" t="n">
        <v>172</v>
      </c>
      <c r="I102" s="75">
        <f>H102/4</f>
        <v/>
      </c>
      <c r="J102" s="120" t="n">
        <v>0.0125</v>
      </c>
      <c r="K102" s="120" t="n">
        <v>0.0125</v>
      </c>
      <c r="L102" s="95" t="n">
        <v>58</v>
      </c>
      <c r="M102" s="95" t="n">
        <v>0</v>
      </c>
      <c r="N102" s="95" t="n">
        <v>60</v>
      </c>
      <c r="O102" s="95" t="n">
        <v>62</v>
      </c>
      <c r="P102" s="95" t="n">
        <v>63</v>
      </c>
      <c r="Q102" s="85" t="n">
        <v>172</v>
      </c>
      <c r="R102" s="85" t="n">
        <v>0</v>
      </c>
      <c r="S102" s="75">
        <f>ROUND(IF(A102&lt;=Parametres!$B$8,S$52+(Parametres!$B$7-S$52)*(A102-Parametres!$B$9)/(Parametres!$B$8-Parametres!$B$9),Parametres!$B$7+(Parametres!$B$10-Parametres!$B$7)*MIN(1,(A102-Parametres!$B$8)/(Parametres!$B$11-Parametres!$B$8))),2)</f>
        <v/>
      </c>
      <c r="T102" s="95" t="n">
        <v>64</v>
      </c>
      <c r="U102" s="95" t="n">
        <v>35.34</v>
      </c>
      <c r="V102" s="95" t="n">
        <v>33.5</v>
      </c>
      <c r="W102" s="95" t="n">
        <v>31.66</v>
      </c>
      <c r="X102" s="95" t="n">
        <v>29.85</v>
      </c>
      <c r="Y102" s="95" t="n">
        <v>28.05</v>
      </c>
      <c r="Z102" s="95" t="n">
        <v>26.25</v>
      </c>
      <c r="AA102" s="95" t="n">
        <v>24.46</v>
      </c>
      <c r="AB102" s="95" t="n">
        <v>22.69</v>
      </c>
      <c r="AC102" s="95" t="n">
        <v>37.25</v>
      </c>
      <c r="AD102" s="95" t="n">
        <v>35.38</v>
      </c>
      <c r="AE102" s="95" t="n">
        <v>33.51</v>
      </c>
      <c r="AF102" s="95" t="n">
        <v>31.66</v>
      </c>
      <c r="AG102" s="95" t="n">
        <v>29.82</v>
      </c>
      <c r="AH102" s="95" t="n">
        <v>27.98</v>
      </c>
      <c r="AI102" s="95" t="n">
        <v>26.15</v>
      </c>
      <c r="AJ102" s="95" t="n">
        <v>24.34</v>
      </c>
      <c r="AK102" s="7" t="inlineStr">
        <is>
          <t>non</t>
        </is>
      </c>
    </row>
    <row r="103">
      <c r="A103" s="88" t="n">
        <v>2015</v>
      </c>
      <c r="B103" s="7" t="inlineStr">
        <is>
          <t>Génération Alpha</t>
        </is>
      </c>
      <c r="C103" s="95" t="n">
        <v>21.5</v>
      </c>
      <c r="D103" s="77">
        <f>ROUND(A103+C103,0)</f>
        <v/>
      </c>
      <c r="E103" s="95" t="n">
        <v>64</v>
      </c>
      <c r="F103" s="95" t="n">
        <v>67</v>
      </c>
      <c r="G103" s="95" t="n">
        <v>64</v>
      </c>
      <c r="H103" s="85" t="n">
        <v>172</v>
      </c>
      <c r="I103" s="75">
        <f>H103/4</f>
        <v/>
      </c>
      <c r="J103" s="120" t="n">
        <v>0.0125</v>
      </c>
      <c r="K103" s="120" t="n">
        <v>0.0125</v>
      </c>
      <c r="L103" s="95" t="n">
        <v>58</v>
      </c>
      <c r="M103" s="95" t="n">
        <v>0</v>
      </c>
      <c r="N103" s="95" t="n">
        <v>60</v>
      </c>
      <c r="O103" s="95" t="n">
        <v>62</v>
      </c>
      <c r="P103" s="95" t="n">
        <v>63</v>
      </c>
      <c r="Q103" s="85" t="n">
        <v>172</v>
      </c>
      <c r="R103" s="85" t="n">
        <v>0</v>
      </c>
      <c r="S103" s="75">
        <f>ROUND(IF(A103&lt;=Parametres!$B$8,S$52+(Parametres!$B$7-S$52)*(A103-Parametres!$B$9)/(Parametres!$B$8-Parametres!$B$9),Parametres!$B$7+(Parametres!$B$10-Parametres!$B$7)*MIN(1,(A103-Parametres!$B$8)/(Parametres!$B$11-Parametres!$B$8))),2)</f>
        <v/>
      </c>
      <c r="T103" s="95" t="n">
        <v>64</v>
      </c>
      <c r="U103" s="95" t="n">
        <v>35.44</v>
      </c>
      <c r="V103" s="95" t="n">
        <v>33.59</v>
      </c>
      <c r="W103" s="95" t="n">
        <v>31.76</v>
      </c>
      <c r="X103" s="95" t="n">
        <v>29.94</v>
      </c>
      <c r="Y103" s="95" t="n">
        <v>28.14</v>
      </c>
      <c r="Z103" s="95" t="n">
        <v>26.34</v>
      </c>
      <c r="AA103" s="95" t="n">
        <v>24.55</v>
      </c>
      <c r="AB103" s="95" t="n">
        <v>22.77</v>
      </c>
      <c r="AC103" s="95" t="n">
        <v>37.33</v>
      </c>
      <c r="AD103" s="95" t="n">
        <v>35.45</v>
      </c>
      <c r="AE103" s="95" t="n">
        <v>33.59</v>
      </c>
      <c r="AF103" s="95" t="n">
        <v>31.74</v>
      </c>
      <c r="AG103" s="95" t="n">
        <v>29.89</v>
      </c>
      <c r="AH103" s="95" t="n">
        <v>28.05</v>
      </c>
      <c r="AI103" s="95" t="n">
        <v>26.22</v>
      </c>
      <c r="AJ103" s="95" t="n">
        <v>24.41</v>
      </c>
      <c r="AK103" s="7" t="inlineStr">
        <is>
          <t>non</t>
        </is>
      </c>
    </row>
    <row r="104">
      <c r="A104" s="88" t="n">
        <v>2016</v>
      </c>
      <c r="B104" s="7" t="inlineStr">
        <is>
          <t>Génération Alpha</t>
        </is>
      </c>
      <c r="C104" s="95" t="n">
        <v>21.5</v>
      </c>
      <c r="D104" s="77">
        <f>ROUND(A104+C104,0)</f>
        <v/>
      </c>
      <c r="E104" s="95" t="n">
        <v>64</v>
      </c>
      <c r="F104" s="95" t="n">
        <v>67</v>
      </c>
      <c r="G104" s="95" t="n">
        <v>64</v>
      </c>
      <c r="H104" s="85" t="n">
        <v>172</v>
      </c>
      <c r="I104" s="75">
        <f>H104/4</f>
        <v/>
      </c>
      <c r="J104" s="120" t="n">
        <v>0.0125</v>
      </c>
      <c r="K104" s="120" t="n">
        <v>0.0125</v>
      </c>
      <c r="L104" s="95" t="n">
        <v>58</v>
      </c>
      <c r="M104" s="95" t="n">
        <v>0</v>
      </c>
      <c r="N104" s="95" t="n">
        <v>60</v>
      </c>
      <c r="O104" s="95" t="n">
        <v>62</v>
      </c>
      <c r="P104" s="95" t="n">
        <v>63</v>
      </c>
      <c r="Q104" s="85" t="n">
        <v>172</v>
      </c>
      <c r="R104" s="85" t="n">
        <v>0</v>
      </c>
      <c r="S104" s="75">
        <f>ROUND(IF(A104&lt;=Parametres!$B$8,S$52+(Parametres!$B$7-S$52)*(A104-Parametres!$B$9)/(Parametres!$B$8-Parametres!$B$9),Parametres!$B$7+(Parametres!$B$10-Parametres!$B$7)*MIN(1,(A104-Parametres!$B$8)/(Parametres!$B$11-Parametres!$B$8))),2)</f>
        <v/>
      </c>
      <c r="T104" s="95" t="n">
        <v>64</v>
      </c>
      <c r="U104" s="95" t="n">
        <v>35.54</v>
      </c>
      <c r="V104" s="95" t="n">
        <v>33.69</v>
      </c>
      <c r="W104" s="95" t="n">
        <v>31.85</v>
      </c>
      <c r="X104" s="95" t="n">
        <v>30.03</v>
      </c>
      <c r="Y104" s="95" t="n">
        <v>28.22</v>
      </c>
      <c r="Z104" s="95" t="n">
        <v>26.42</v>
      </c>
      <c r="AA104" s="95" t="n">
        <v>24.63</v>
      </c>
      <c r="AB104" s="95" t="n">
        <v>22.85</v>
      </c>
      <c r="AC104" s="95" t="n">
        <v>37.41</v>
      </c>
      <c r="AD104" s="95" t="n">
        <v>35.53</v>
      </c>
      <c r="AE104" s="95" t="n">
        <v>33.66</v>
      </c>
      <c r="AF104" s="95" t="n">
        <v>31.81</v>
      </c>
      <c r="AG104" s="95" t="n">
        <v>29.96</v>
      </c>
      <c r="AH104" s="95" t="n">
        <v>28.12</v>
      </c>
      <c r="AI104" s="95" t="n">
        <v>26.29</v>
      </c>
      <c r="AJ104" s="95" t="n">
        <v>24.48</v>
      </c>
      <c r="AK104" s="7" t="inlineStr">
        <is>
          <t>non</t>
        </is>
      </c>
    </row>
    <row r="105">
      <c r="A105" s="88" t="n">
        <v>2017</v>
      </c>
      <c r="B105" s="7" t="inlineStr">
        <is>
          <t>Génération Alpha</t>
        </is>
      </c>
      <c r="C105" s="95" t="n">
        <v>21.5</v>
      </c>
      <c r="D105" s="77">
        <f>ROUND(A105+C105,0)</f>
        <v/>
      </c>
      <c r="E105" s="95" t="n">
        <v>64</v>
      </c>
      <c r="F105" s="95" t="n">
        <v>67</v>
      </c>
      <c r="G105" s="95" t="n">
        <v>64</v>
      </c>
      <c r="H105" s="85" t="n">
        <v>172</v>
      </c>
      <c r="I105" s="75">
        <f>H105/4</f>
        <v/>
      </c>
      <c r="J105" s="120" t="n">
        <v>0.0125</v>
      </c>
      <c r="K105" s="120" t="n">
        <v>0.0125</v>
      </c>
      <c r="L105" s="95" t="n">
        <v>58</v>
      </c>
      <c r="M105" s="95" t="n">
        <v>0</v>
      </c>
      <c r="N105" s="95" t="n">
        <v>60</v>
      </c>
      <c r="O105" s="95" t="n">
        <v>62</v>
      </c>
      <c r="P105" s="95" t="n">
        <v>63</v>
      </c>
      <c r="Q105" s="85" t="n">
        <v>172</v>
      </c>
      <c r="R105" s="85" t="n">
        <v>0</v>
      </c>
      <c r="S105" s="75">
        <f>ROUND(IF(A105&lt;=Parametres!$B$8,S$52+(Parametres!$B$7-S$52)*(A105-Parametres!$B$9)/(Parametres!$B$8-Parametres!$B$9),Parametres!$B$7+(Parametres!$B$10-Parametres!$B$7)*MIN(1,(A105-Parametres!$B$8)/(Parametres!$B$11-Parametres!$B$8))),2)</f>
        <v/>
      </c>
      <c r="T105" s="95" t="n">
        <v>64</v>
      </c>
      <c r="U105" s="95" t="n">
        <v>35.64</v>
      </c>
      <c r="V105" s="95" t="n">
        <v>33.79</v>
      </c>
      <c r="W105" s="95" t="n">
        <v>31.95</v>
      </c>
      <c r="X105" s="95" t="n">
        <v>30.12</v>
      </c>
      <c r="Y105" s="95" t="n">
        <v>28.31</v>
      </c>
      <c r="Z105" s="95" t="n">
        <v>26.5</v>
      </c>
      <c r="AA105" s="95" t="n">
        <v>24.71</v>
      </c>
      <c r="AB105" s="95" t="n">
        <v>22.92</v>
      </c>
      <c r="AC105" s="95" t="n">
        <v>37.49</v>
      </c>
      <c r="AD105" s="95" t="n">
        <v>35.61</v>
      </c>
      <c r="AE105" s="95" t="n">
        <v>33.74</v>
      </c>
      <c r="AF105" s="95" t="n">
        <v>31.88</v>
      </c>
      <c r="AG105" s="95" t="n">
        <v>30.03</v>
      </c>
      <c r="AH105" s="95" t="n">
        <v>28.19</v>
      </c>
      <c r="AI105" s="95" t="n">
        <v>26.36</v>
      </c>
      <c r="AJ105" s="95" t="n">
        <v>24.54</v>
      </c>
      <c r="AK105" s="7" t="inlineStr">
        <is>
          <t>non</t>
        </is>
      </c>
    </row>
    <row r="106">
      <c r="A106" s="88" t="n">
        <v>2018</v>
      </c>
      <c r="B106" s="7" t="inlineStr">
        <is>
          <t>Génération Alpha</t>
        </is>
      </c>
      <c r="C106" s="95" t="n">
        <v>21.5</v>
      </c>
      <c r="D106" s="77">
        <f>ROUND(A106+C106,0)</f>
        <v/>
      </c>
      <c r="E106" s="95" t="n">
        <v>64</v>
      </c>
      <c r="F106" s="95" t="n">
        <v>67</v>
      </c>
      <c r="G106" s="95" t="n">
        <v>64</v>
      </c>
      <c r="H106" s="85" t="n">
        <v>172</v>
      </c>
      <c r="I106" s="75">
        <f>H106/4</f>
        <v/>
      </c>
      <c r="J106" s="120" t="n">
        <v>0.0125</v>
      </c>
      <c r="K106" s="120" t="n">
        <v>0.0125</v>
      </c>
      <c r="L106" s="95" t="n">
        <v>58</v>
      </c>
      <c r="M106" s="95" t="n">
        <v>0</v>
      </c>
      <c r="N106" s="95" t="n">
        <v>60</v>
      </c>
      <c r="O106" s="95" t="n">
        <v>62</v>
      </c>
      <c r="P106" s="95" t="n">
        <v>63</v>
      </c>
      <c r="Q106" s="85" t="n">
        <v>172</v>
      </c>
      <c r="R106" s="85" t="n">
        <v>0</v>
      </c>
      <c r="S106" s="75">
        <f>ROUND(IF(A106&lt;=Parametres!$B$8,S$52+(Parametres!$B$7-S$52)*(A106-Parametres!$B$9)/(Parametres!$B$8-Parametres!$B$9),Parametres!$B$7+(Parametres!$B$10-Parametres!$B$7)*MIN(1,(A106-Parametres!$B$8)/(Parametres!$B$11-Parametres!$B$8))),2)</f>
        <v/>
      </c>
      <c r="T106" s="95" t="n">
        <v>64</v>
      </c>
      <c r="U106" s="95" t="n">
        <v>35.74</v>
      </c>
      <c r="V106" s="95" t="n">
        <v>33.88</v>
      </c>
      <c r="W106" s="95" t="n">
        <v>32.04</v>
      </c>
      <c r="X106" s="95" t="n">
        <v>30.21</v>
      </c>
      <c r="Y106" s="95" t="n">
        <v>28.4</v>
      </c>
      <c r="Z106" s="95" t="n">
        <v>26.59</v>
      </c>
      <c r="AA106" s="95" t="n">
        <v>24.79</v>
      </c>
      <c r="AB106" s="95" t="n">
        <v>23</v>
      </c>
      <c r="AC106" s="95" t="n">
        <v>37.56</v>
      </c>
      <c r="AD106" s="95" t="n">
        <v>35.68</v>
      </c>
      <c r="AE106" s="95" t="n">
        <v>33.81</v>
      </c>
      <c r="AF106" s="95" t="n">
        <v>31.96</v>
      </c>
      <c r="AG106" s="95" t="n">
        <v>30.1</v>
      </c>
      <c r="AH106" s="95" t="n">
        <v>28.26</v>
      </c>
      <c r="AI106" s="95" t="n">
        <v>26.43</v>
      </c>
      <c r="AJ106" s="95" t="n">
        <v>24.61</v>
      </c>
      <c r="AK106" s="7" t="inlineStr">
        <is>
          <t>non</t>
        </is>
      </c>
    </row>
    <row r="107">
      <c r="A107" s="88" t="n">
        <v>2019</v>
      </c>
      <c r="B107" s="7" t="inlineStr">
        <is>
          <t>Génération Alpha</t>
        </is>
      </c>
      <c r="C107" s="95" t="n">
        <v>21.5</v>
      </c>
      <c r="D107" s="77">
        <f>ROUND(A107+C107,0)</f>
        <v/>
      </c>
      <c r="E107" s="95" t="n">
        <v>64</v>
      </c>
      <c r="F107" s="95" t="n">
        <v>67</v>
      </c>
      <c r="G107" s="95" t="n">
        <v>64</v>
      </c>
      <c r="H107" s="85" t="n">
        <v>172</v>
      </c>
      <c r="I107" s="75">
        <f>H107/4</f>
        <v/>
      </c>
      <c r="J107" s="120" t="n">
        <v>0.0125</v>
      </c>
      <c r="K107" s="120" t="n">
        <v>0.0125</v>
      </c>
      <c r="L107" s="95" t="n">
        <v>58</v>
      </c>
      <c r="M107" s="95" t="n">
        <v>0</v>
      </c>
      <c r="N107" s="95" t="n">
        <v>60</v>
      </c>
      <c r="O107" s="95" t="n">
        <v>62</v>
      </c>
      <c r="P107" s="95" t="n">
        <v>63</v>
      </c>
      <c r="Q107" s="85" t="n">
        <v>172</v>
      </c>
      <c r="R107" s="85" t="n">
        <v>0</v>
      </c>
      <c r="S107" s="75">
        <f>ROUND(IF(A107&lt;=Parametres!$B$8,S$52+(Parametres!$B$7-S$52)*(A107-Parametres!$B$9)/(Parametres!$B$8-Parametres!$B$9),Parametres!$B$7+(Parametres!$B$10-Parametres!$B$7)*MIN(1,(A107-Parametres!$B$8)/(Parametres!$B$11-Parametres!$B$8))),2)</f>
        <v/>
      </c>
      <c r="T107" s="95" t="n">
        <v>64</v>
      </c>
      <c r="U107" s="95" t="n">
        <v>35.83</v>
      </c>
      <c r="V107" s="95" t="n">
        <v>33.98</v>
      </c>
      <c r="W107" s="95" t="n">
        <v>32.13</v>
      </c>
      <c r="X107" s="95" t="n">
        <v>30.3</v>
      </c>
      <c r="Y107" s="95" t="n">
        <v>28.48</v>
      </c>
      <c r="Z107" s="95" t="n">
        <v>26.67</v>
      </c>
      <c r="AA107" s="95" t="n">
        <v>24.86</v>
      </c>
      <c r="AB107" s="95" t="n">
        <v>23.07</v>
      </c>
      <c r="AC107" s="95" t="n">
        <v>37.64</v>
      </c>
      <c r="AD107" s="95" t="n">
        <v>35.76</v>
      </c>
      <c r="AE107" s="95" t="n">
        <v>33.89</v>
      </c>
      <c r="AF107" s="95" t="n">
        <v>32.03</v>
      </c>
      <c r="AG107" s="95" t="n">
        <v>30.17</v>
      </c>
      <c r="AH107" s="95" t="n">
        <v>28.33</v>
      </c>
      <c r="AI107" s="95" t="n">
        <v>26.49</v>
      </c>
      <c r="AJ107" s="95" t="n">
        <v>24.67</v>
      </c>
      <c r="AK107" s="7" t="inlineStr">
        <is>
          <t>non</t>
        </is>
      </c>
    </row>
    <row r="108">
      <c r="A108" s="88" t="n">
        <v>2020</v>
      </c>
      <c r="B108" s="7" t="inlineStr">
        <is>
          <t>Génération Alpha</t>
        </is>
      </c>
      <c r="C108" s="95" t="n">
        <v>21.5</v>
      </c>
      <c r="D108" s="77">
        <f>ROUND(A108+C108,0)</f>
        <v/>
      </c>
      <c r="E108" s="95" t="n">
        <v>64</v>
      </c>
      <c r="F108" s="95" t="n">
        <v>67</v>
      </c>
      <c r="G108" s="95" t="n">
        <v>64</v>
      </c>
      <c r="H108" s="85" t="n">
        <v>172</v>
      </c>
      <c r="I108" s="75">
        <f>H108/4</f>
        <v/>
      </c>
      <c r="J108" s="120" t="n">
        <v>0.0125</v>
      </c>
      <c r="K108" s="120" t="n">
        <v>0.0125</v>
      </c>
      <c r="L108" s="95" t="n">
        <v>58</v>
      </c>
      <c r="M108" s="95" t="n">
        <v>0</v>
      </c>
      <c r="N108" s="95" t="n">
        <v>60</v>
      </c>
      <c r="O108" s="95" t="n">
        <v>62</v>
      </c>
      <c r="P108" s="95" t="n">
        <v>63</v>
      </c>
      <c r="Q108" s="85" t="n">
        <v>172</v>
      </c>
      <c r="R108" s="85" t="n">
        <v>0</v>
      </c>
      <c r="S108" s="75">
        <f>ROUND(IF(A108&lt;=Parametres!$B$8,S$52+(Parametres!$B$7-S$52)*(A108-Parametres!$B$9)/(Parametres!$B$8-Parametres!$B$9),Parametres!$B$7+(Parametres!$B$10-Parametres!$B$7)*MIN(1,(A108-Parametres!$B$8)/(Parametres!$B$11-Parametres!$B$8))),2)</f>
        <v/>
      </c>
      <c r="T108" s="95" t="n">
        <v>64</v>
      </c>
      <c r="U108" s="95" t="n">
        <v>35.93</v>
      </c>
      <c r="V108" s="95" t="n">
        <v>34.07</v>
      </c>
      <c r="W108" s="95" t="n">
        <v>32.22</v>
      </c>
      <c r="X108" s="95" t="n">
        <v>30.39</v>
      </c>
      <c r="Y108" s="95" t="n">
        <v>28.56</v>
      </c>
      <c r="Z108" s="95" t="n">
        <v>26.75</v>
      </c>
      <c r="AA108" s="95" t="n">
        <v>24.94</v>
      </c>
      <c r="AB108" s="95" t="n">
        <v>23.14</v>
      </c>
      <c r="AC108" s="95" t="n">
        <v>37.71</v>
      </c>
      <c r="AD108" s="95" t="n">
        <v>35.83</v>
      </c>
      <c r="AE108" s="95" t="n">
        <v>33.96</v>
      </c>
      <c r="AF108" s="95" t="n">
        <v>32.1</v>
      </c>
      <c r="AG108" s="95" t="n">
        <v>30.24</v>
      </c>
      <c r="AH108" s="95" t="n">
        <v>28.39</v>
      </c>
      <c r="AI108" s="95" t="n">
        <v>26.56</v>
      </c>
      <c r="AJ108" s="95" t="n">
        <v>24.74</v>
      </c>
      <c r="AK108" s="7" t="inlineStr">
        <is>
          <t>non</t>
        </is>
      </c>
    </row>
    <row r="109">
      <c r="A109" s="88" t="n">
        <v>2021</v>
      </c>
      <c r="B109" s="7" t="inlineStr">
        <is>
          <t>Génération Alpha</t>
        </is>
      </c>
      <c r="C109" s="95" t="n">
        <v>21.5</v>
      </c>
      <c r="D109" s="77">
        <f>ROUND(A109+C109,0)</f>
        <v/>
      </c>
      <c r="E109" s="95" t="n">
        <v>64</v>
      </c>
      <c r="F109" s="95" t="n">
        <v>67</v>
      </c>
      <c r="G109" s="95" t="n">
        <v>64</v>
      </c>
      <c r="H109" s="85" t="n">
        <v>172</v>
      </c>
      <c r="I109" s="75">
        <f>H109/4</f>
        <v/>
      </c>
      <c r="J109" s="120" t="n">
        <v>0.0125</v>
      </c>
      <c r="K109" s="120" t="n">
        <v>0.0125</v>
      </c>
      <c r="L109" s="95" t="n">
        <v>58</v>
      </c>
      <c r="M109" s="95" t="n">
        <v>0</v>
      </c>
      <c r="N109" s="95" t="n">
        <v>60</v>
      </c>
      <c r="O109" s="95" t="n">
        <v>62</v>
      </c>
      <c r="P109" s="95" t="n">
        <v>63</v>
      </c>
      <c r="Q109" s="85" t="n">
        <v>172</v>
      </c>
      <c r="R109" s="85" t="n">
        <v>0</v>
      </c>
      <c r="S109" s="75">
        <f>ROUND(IF(A109&lt;=Parametres!$B$8,S$52+(Parametres!$B$7-S$52)*(A109-Parametres!$B$9)/(Parametres!$B$8-Parametres!$B$9),Parametres!$B$7+(Parametres!$B$10-Parametres!$B$7)*MIN(1,(A109-Parametres!$B$8)/(Parametres!$B$11-Parametres!$B$8))),2)</f>
        <v/>
      </c>
      <c r="T109" s="95" t="n">
        <v>64</v>
      </c>
      <c r="U109" s="95" t="n">
        <v>36.02</v>
      </c>
      <c r="V109" s="95" t="n">
        <v>34.16</v>
      </c>
      <c r="W109" s="95" t="n">
        <v>32.31</v>
      </c>
      <c r="X109" s="95" t="n">
        <v>30.47</v>
      </c>
      <c r="Y109" s="95" t="n">
        <v>28.65</v>
      </c>
      <c r="Z109" s="95" t="n">
        <v>26.83</v>
      </c>
      <c r="AA109" s="95" t="n">
        <v>25.02</v>
      </c>
      <c r="AB109" s="95" t="n">
        <v>23.22</v>
      </c>
      <c r="AC109" s="95" t="n">
        <v>37.78</v>
      </c>
      <c r="AD109" s="95" t="n">
        <v>35.9</v>
      </c>
      <c r="AE109" s="95" t="n">
        <v>34.03</v>
      </c>
      <c r="AF109" s="95" t="n">
        <v>32.16</v>
      </c>
      <c r="AG109" s="95" t="n">
        <v>30.31</v>
      </c>
      <c r="AH109" s="95" t="n">
        <v>28.46</v>
      </c>
      <c r="AI109" s="95" t="n">
        <v>26.62</v>
      </c>
      <c r="AJ109" s="95" t="n">
        <v>24.8</v>
      </c>
      <c r="AK109" s="7" t="inlineStr">
        <is>
          <t>non</t>
        </is>
      </c>
    </row>
    <row r="110">
      <c r="A110" s="88" t="n">
        <v>2022</v>
      </c>
      <c r="B110" s="7" t="inlineStr">
        <is>
          <t>Génération Alpha</t>
        </is>
      </c>
      <c r="C110" s="95" t="n">
        <v>21.5</v>
      </c>
      <c r="D110" s="77">
        <f>ROUND(A110+C110,0)</f>
        <v/>
      </c>
      <c r="E110" s="95" t="n">
        <v>64</v>
      </c>
      <c r="F110" s="95" t="n">
        <v>67</v>
      </c>
      <c r="G110" s="95" t="n">
        <v>64</v>
      </c>
      <c r="H110" s="85" t="n">
        <v>172</v>
      </c>
      <c r="I110" s="75">
        <f>H110/4</f>
        <v/>
      </c>
      <c r="J110" s="120" t="n">
        <v>0.0125</v>
      </c>
      <c r="K110" s="120" t="n">
        <v>0.0125</v>
      </c>
      <c r="L110" s="95" t="n">
        <v>58</v>
      </c>
      <c r="M110" s="95" t="n">
        <v>0</v>
      </c>
      <c r="N110" s="95" t="n">
        <v>60</v>
      </c>
      <c r="O110" s="95" t="n">
        <v>62</v>
      </c>
      <c r="P110" s="95" t="n">
        <v>63</v>
      </c>
      <c r="Q110" s="85" t="n">
        <v>172</v>
      </c>
      <c r="R110" s="85" t="n">
        <v>0</v>
      </c>
      <c r="S110" s="75">
        <f>ROUND(IF(A110&lt;=Parametres!$B$8,S$52+(Parametres!$B$7-S$52)*(A110-Parametres!$B$9)/(Parametres!$B$8-Parametres!$B$9),Parametres!$B$7+(Parametres!$B$10-Parametres!$B$7)*MIN(1,(A110-Parametres!$B$8)/(Parametres!$B$11-Parametres!$B$8))),2)</f>
        <v/>
      </c>
      <c r="T110" s="95" t="n">
        <v>64</v>
      </c>
      <c r="U110" s="95" t="n">
        <v>36.11</v>
      </c>
      <c r="V110" s="95" t="n">
        <v>34.25</v>
      </c>
      <c r="W110" s="95" t="n">
        <v>32.39</v>
      </c>
      <c r="X110" s="95" t="n">
        <v>30.55</v>
      </c>
      <c r="Y110" s="95" t="n">
        <v>28.72</v>
      </c>
      <c r="Z110" s="95" t="n">
        <v>26.9</v>
      </c>
      <c r="AA110" s="95" t="n">
        <v>25.09</v>
      </c>
      <c r="AB110" s="95" t="n">
        <v>23.29</v>
      </c>
      <c r="AC110" s="95" t="n">
        <v>37.85</v>
      </c>
      <c r="AD110" s="95" t="n">
        <v>35.97</v>
      </c>
      <c r="AE110" s="95" t="n">
        <v>34.09</v>
      </c>
      <c r="AF110" s="95" t="n">
        <v>32.23</v>
      </c>
      <c r="AG110" s="95" t="n">
        <v>30.37</v>
      </c>
      <c r="AH110" s="95" t="n">
        <v>28.52</v>
      </c>
      <c r="AI110" s="95" t="n">
        <v>26.68</v>
      </c>
      <c r="AJ110" s="95" t="n">
        <v>24.86</v>
      </c>
      <c r="AK110" s="7" t="inlineStr">
        <is>
          <t>non</t>
        </is>
      </c>
    </row>
    <row r="111">
      <c r="A111" s="88" t="n">
        <v>2023</v>
      </c>
      <c r="B111" s="7" t="inlineStr">
        <is>
          <t>Génération Alpha</t>
        </is>
      </c>
      <c r="C111" s="95" t="n">
        <v>21.5</v>
      </c>
      <c r="D111" s="77">
        <f>ROUND(A111+C111,0)</f>
        <v/>
      </c>
      <c r="E111" s="95" t="n">
        <v>64</v>
      </c>
      <c r="F111" s="95" t="n">
        <v>67</v>
      </c>
      <c r="G111" s="95" t="n">
        <v>64</v>
      </c>
      <c r="H111" s="85" t="n">
        <v>172</v>
      </c>
      <c r="I111" s="75">
        <f>H111/4</f>
        <v/>
      </c>
      <c r="J111" s="120" t="n">
        <v>0.0125</v>
      </c>
      <c r="K111" s="120" t="n">
        <v>0.0125</v>
      </c>
      <c r="L111" s="95" t="n">
        <v>58</v>
      </c>
      <c r="M111" s="95" t="n">
        <v>0</v>
      </c>
      <c r="N111" s="95" t="n">
        <v>60</v>
      </c>
      <c r="O111" s="95" t="n">
        <v>62</v>
      </c>
      <c r="P111" s="95" t="n">
        <v>63</v>
      </c>
      <c r="Q111" s="85" t="n">
        <v>172</v>
      </c>
      <c r="R111" s="85" t="n">
        <v>0</v>
      </c>
      <c r="S111" s="75">
        <f>ROUND(IF(A111&lt;=Parametres!$B$8,S$52+(Parametres!$B$7-S$52)*(A111-Parametres!$B$9)/(Parametres!$B$8-Parametres!$B$9),Parametres!$B$7+(Parametres!$B$10-Parametres!$B$7)*MIN(1,(A111-Parametres!$B$8)/(Parametres!$B$11-Parametres!$B$8))),2)</f>
        <v/>
      </c>
      <c r="T111" s="95" t="n">
        <v>64</v>
      </c>
      <c r="U111" s="95" t="n">
        <v>36.21</v>
      </c>
      <c r="V111" s="95" t="n">
        <v>34.34</v>
      </c>
      <c r="W111" s="95" t="n">
        <v>32.48</v>
      </c>
      <c r="X111" s="95" t="n">
        <v>30.64</v>
      </c>
      <c r="Y111" s="95" t="n">
        <v>28.8</v>
      </c>
      <c r="Z111" s="95" t="n">
        <v>26.98</v>
      </c>
      <c r="AA111" s="95" t="n">
        <v>25.17</v>
      </c>
      <c r="AB111" s="95" t="n">
        <v>23.37</v>
      </c>
      <c r="AC111" s="95" t="n">
        <v>37.93</v>
      </c>
      <c r="AD111" s="95" t="n">
        <v>36.05</v>
      </c>
      <c r="AE111" s="95" t="n">
        <v>34.16</v>
      </c>
      <c r="AF111" s="95" t="n">
        <v>32.3</v>
      </c>
      <c r="AG111" s="95" t="n">
        <v>30.44</v>
      </c>
      <c r="AH111" s="95" t="n">
        <v>28.59</v>
      </c>
      <c r="AI111" s="95" t="n">
        <v>26.75</v>
      </c>
      <c r="AJ111" s="95" t="n">
        <v>24.93</v>
      </c>
      <c r="AK111" s="7" t="inlineStr">
        <is>
          <t>oui</t>
        </is>
      </c>
    </row>
    <row r="112">
      <c r="A112" s="88" t="n">
        <v>2024</v>
      </c>
      <c r="B112" s="7" t="inlineStr">
        <is>
          <t>Génération Alpha</t>
        </is>
      </c>
      <c r="C112" s="95" t="n">
        <v>21.5</v>
      </c>
      <c r="D112" s="77">
        <f>ROUND(A112+C112,0)</f>
        <v/>
      </c>
      <c r="E112" s="95" t="n">
        <v>64</v>
      </c>
      <c r="F112" s="95" t="n">
        <v>67</v>
      </c>
      <c r="G112" s="95" t="n">
        <v>64</v>
      </c>
      <c r="H112" s="85" t="n">
        <v>172</v>
      </c>
      <c r="I112" s="75">
        <f>H112/4</f>
        <v/>
      </c>
      <c r="J112" s="120" t="n">
        <v>0.0125</v>
      </c>
      <c r="K112" s="120" t="n">
        <v>0.0125</v>
      </c>
      <c r="L112" s="95" t="n">
        <v>58</v>
      </c>
      <c r="M112" s="95" t="n">
        <v>0</v>
      </c>
      <c r="N112" s="95" t="n">
        <v>60</v>
      </c>
      <c r="O112" s="95" t="n">
        <v>62</v>
      </c>
      <c r="P112" s="95" t="n">
        <v>63</v>
      </c>
      <c r="Q112" s="85" t="n">
        <v>172</v>
      </c>
      <c r="R112" s="85" t="n">
        <v>0</v>
      </c>
      <c r="S112" s="75">
        <f>ROUND(IF(A112&lt;=Parametres!$B$8,S$52+(Parametres!$B$7-S$52)*(A112-Parametres!$B$9)/(Parametres!$B$8-Parametres!$B$9),Parametres!$B$7+(Parametres!$B$10-Parametres!$B$7)*MIN(1,(A112-Parametres!$B$8)/(Parametres!$B$11-Parametres!$B$8))),2)</f>
        <v/>
      </c>
      <c r="T112" s="95" t="n">
        <v>64</v>
      </c>
      <c r="U112" s="95" t="n">
        <v>36.3</v>
      </c>
      <c r="V112" s="95" t="n">
        <v>34.44</v>
      </c>
      <c r="W112" s="95" t="n">
        <v>32.57</v>
      </c>
      <c r="X112" s="95" t="n">
        <v>30.73</v>
      </c>
      <c r="Y112" s="95" t="n">
        <v>28.89</v>
      </c>
      <c r="Z112" s="95" t="n">
        <v>27.06</v>
      </c>
      <c r="AA112" s="95" t="n">
        <v>25.25</v>
      </c>
      <c r="AB112" s="95" t="n">
        <v>23.44</v>
      </c>
      <c r="AC112" s="95" t="n">
        <v>38</v>
      </c>
      <c r="AD112" s="95" t="n">
        <v>36.12</v>
      </c>
      <c r="AE112" s="95" t="n">
        <v>34.24</v>
      </c>
      <c r="AF112" s="95" t="n">
        <v>32.37</v>
      </c>
      <c r="AG112" s="95" t="n">
        <v>30.51</v>
      </c>
      <c r="AH112" s="95" t="n">
        <v>28.66</v>
      </c>
      <c r="AI112" s="95" t="n">
        <v>26.81</v>
      </c>
      <c r="AJ112" s="95" t="n">
        <v>24.99</v>
      </c>
      <c r="AK112" s="7" t="inlineStr">
        <is>
          <t>oui</t>
        </is>
      </c>
    </row>
    <row r="113">
      <c r="A113" s="88" t="n">
        <v>2025</v>
      </c>
      <c r="B113" s="7" t="inlineStr">
        <is>
          <t>Génération Alpha</t>
        </is>
      </c>
      <c r="C113" s="95" t="n">
        <v>21.5</v>
      </c>
      <c r="D113" s="77">
        <f>ROUND(A113+C113,0)</f>
        <v/>
      </c>
      <c r="E113" s="95" t="n">
        <v>64</v>
      </c>
      <c r="F113" s="95" t="n">
        <v>67</v>
      </c>
      <c r="G113" s="95" t="n">
        <v>64</v>
      </c>
      <c r="H113" s="85" t="n">
        <v>172</v>
      </c>
      <c r="I113" s="75">
        <f>H113/4</f>
        <v/>
      </c>
      <c r="J113" s="120" t="n">
        <v>0.0125</v>
      </c>
      <c r="K113" s="120" t="n">
        <v>0.0125</v>
      </c>
      <c r="L113" s="95" t="n">
        <v>58</v>
      </c>
      <c r="M113" s="95" t="n">
        <v>0</v>
      </c>
      <c r="N113" s="95" t="n">
        <v>60</v>
      </c>
      <c r="O113" s="95" t="n">
        <v>62</v>
      </c>
      <c r="P113" s="95" t="n">
        <v>63</v>
      </c>
      <c r="Q113" s="85" t="n">
        <v>172</v>
      </c>
      <c r="R113" s="85" t="n">
        <v>0</v>
      </c>
      <c r="S113" s="75">
        <f>ROUND(IF(A113&lt;=Parametres!$B$8,S$52+(Parametres!$B$7-S$52)*(A113-Parametres!$B$9)/(Parametres!$B$8-Parametres!$B$9),Parametres!$B$7+(Parametres!$B$10-Parametres!$B$7)*MIN(1,(A113-Parametres!$B$8)/(Parametres!$B$11-Parametres!$B$8))),2)</f>
        <v/>
      </c>
      <c r="T113" s="95" t="n">
        <v>64</v>
      </c>
      <c r="U113" s="95" t="n">
        <v>36.4</v>
      </c>
      <c r="V113" s="95" t="n">
        <v>34.54</v>
      </c>
      <c r="W113" s="95" t="n">
        <v>32.67</v>
      </c>
      <c r="X113" s="95" t="n">
        <v>30.82</v>
      </c>
      <c r="Y113" s="95" t="n">
        <v>28.97</v>
      </c>
      <c r="Z113" s="95" t="n">
        <v>27.15</v>
      </c>
      <c r="AA113" s="95" t="n">
        <v>25.33</v>
      </c>
      <c r="AB113" s="95" t="n">
        <v>23.52</v>
      </c>
      <c r="AC113" s="95" t="n">
        <v>38.08</v>
      </c>
      <c r="AD113" s="95" t="n">
        <v>36.2</v>
      </c>
      <c r="AE113" s="95" t="n">
        <v>34.31</v>
      </c>
      <c r="AF113" s="95" t="n">
        <v>32.45</v>
      </c>
      <c r="AG113" s="95" t="n">
        <v>30.58</v>
      </c>
      <c r="AH113" s="95" t="n">
        <v>28.73</v>
      </c>
      <c r="AI113" s="95" t="n">
        <v>26.88</v>
      </c>
      <c r="AJ113" s="95" t="n">
        <v>25.06</v>
      </c>
      <c r="AK113" s="7" t="inlineStr">
        <is>
          <t>oui</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L2000"/>
  <sheetViews>
    <sheetView workbookViewId="0">
      <pane xSplit="3" ySplit="2" topLeftCell="D3" activePane="bottomRight" state="frozen"/>
      <selection pane="topRight"/>
      <selection pane="bottomLeft"/>
      <selection pane="bottomRight" activeCell="A1" sqref="A1"/>
    </sheetView>
  </sheetViews>
  <sheetFormatPr baseColWidth="8" defaultRowHeight="15"/>
  <cols>
    <col width="30" customWidth="1" min="1" max="1"/>
    <col width="20" customWidth="1" min="2" max="2"/>
    <col width="15"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s>
  <sheetData>
    <row r="1" ht="75" customHeight="1">
      <c r="A1" s="5" t="inlineStr">
        <is>
          <t>Régime</t>
        </is>
      </c>
      <c r="B1" s="5" t="inlineStr">
        <is>
          <t>Catégorie</t>
        </is>
      </c>
      <c r="C1" s="5" t="inlineStr">
        <is>
          <t>Génération</t>
        </is>
      </c>
      <c r="D1" s="5" t="inlineStr">
        <is>
          <t>Âge d'ouverture des droits</t>
        </is>
      </c>
      <c r="E1" s="5" t="inlineStr">
        <is>
          <t>Âge d'annulation de la décote (taux plein automatique)</t>
        </is>
      </c>
      <c r="F1" s="5" t="inlineStr">
        <is>
          <t>Trimestres requis pour le taux plein</t>
        </is>
      </c>
      <c r="G1" s="5" t="inlineStr">
        <is>
          <t>Décote par trimestre manquant</t>
        </is>
      </c>
      <c r="H1" s="5" t="inlineStr">
        <is>
          <t>Surcote par trimestre supplémentaire</t>
        </is>
      </c>
      <c r="I1" s="5" t="inlineStr">
        <is>
          <t>Délai moyen entre l'ouverture des droits et le départ effectif</t>
        </is>
      </c>
      <c r="J1" s="5" t="inlineStr">
        <is>
          <t>Âge moyen réel de départ (profil de la catégorie)</t>
        </is>
      </c>
      <c r="K1" s="5" t="inlineStr">
        <is>
          <t>Heures annuelles réellement travaillées par rapport au privé</t>
        </is>
      </c>
      <c r="L1" s="5" t="inlineStr">
        <is>
          <t>Bonification du cinquième (1 an pour 5 ans de services actifs, 5 ans maximum)</t>
        </is>
      </c>
    </row>
    <row r="2" ht="30" customHeight="1">
      <c r="A2" s="83" t="inlineStr">
        <is>
          <t>regime</t>
        </is>
      </c>
      <c r="B2" s="83" t="inlineStr">
        <is>
          <t>categorie</t>
        </is>
      </c>
      <c r="C2" s="83" t="inlineStr">
        <is>
          <t>generation</t>
        </is>
      </c>
      <c r="D2" s="83" t="inlineStr">
        <is>
          <t>age_ouverture</t>
        </is>
      </c>
      <c r="E2" s="83" t="inlineStr">
        <is>
          <t>age_annulation_decote</t>
        </is>
      </c>
      <c r="F2" s="83" t="inlineStr">
        <is>
          <t>trimestres_requis</t>
        </is>
      </c>
      <c r="G2" s="83" t="inlineStr">
        <is>
          <t>decote_par_trimestre</t>
        </is>
      </c>
      <c r="H2" s="83" t="inlineStr">
        <is>
          <t>surcote_par_trimestre</t>
        </is>
      </c>
      <c r="I2" s="83" t="inlineStr">
        <is>
          <t>delai_depart</t>
        </is>
      </c>
      <c r="J2" s="83" t="inlineStr">
        <is>
          <t>age_depart_reel</t>
        </is>
      </c>
      <c r="K2" s="83" t="inlineStr">
        <is>
          <t>ratio_heures_prive</t>
        </is>
      </c>
      <c r="L2" s="83" t="inlineStr">
        <is>
          <t>bonification_cinquieme</t>
        </is>
      </c>
    </row>
    <row r="3">
      <c r="A3" s="84" t="inlineStr">
        <is>
          <t>Privé</t>
        </is>
      </c>
      <c r="B3" s="7" t="inlineStr">
        <is>
          <t>sédentaire</t>
        </is>
      </c>
      <c r="C3" s="88" t="n">
        <v>1915</v>
      </c>
      <c r="D3" s="95" t="n">
        <v>60</v>
      </c>
      <c r="E3" s="95" t="n">
        <v>65</v>
      </c>
      <c r="F3" s="85" t="n">
        <v>150</v>
      </c>
      <c r="G3" s="120" t="n">
        <v>0.025</v>
      </c>
      <c r="H3" s="120" t="n">
        <v>0.0075</v>
      </c>
      <c r="I3" s="75" t="n"/>
      <c r="J3" s="95" t="n">
        <v>63.02</v>
      </c>
      <c r="K3" s="95" t="n">
        <v>1</v>
      </c>
      <c r="L3" s="85" t="n">
        <v>0</v>
      </c>
    </row>
    <row r="4">
      <c r="A4" s="84" t="inlineStr">
        <is>
          <t>Privé</t>
        </is>
      </c>
      <c r="B4" s="7" t="inlineStr">
        <is>
          <t>sédentaire</t>
        </is>
      </c>
      <c r="C4" s="88" t="n">
        <v>1916</v>
      </c>
      <c r="D4" s="95" t="n">
        <v>60</v>
      </c>
      <c r="E4" s="95" t="n">
        <v>65</v>
      </c>
      <c r="F4" s="85" t="n">
        <v>150</v>
      </c>
      <c r="G4" s="120" t="n">
        <v>0.025</v>
      </c>
      <c r="H4" s="120" t="n">
        <v>0.0075</v>
      </c>
      <c r="I4" s="75" t="n"/>
      <c r="J4" s="95" t="n">
        <v>62.89</v>
      </c>
      <c r="K4" s="95" t="n">
        <v>1</v>
      </c>
      <c r="L4" s="85" t="n">
        <v>0</v>
      </c>
    </row>
    <row r="5">
      <c r="A5" s="84" t="inlineStr">
        <is>
          <t>Privé</t>
        </is>
      </c>
      <c r="B5" s="7" t="inlineStr">
        <is>
          <t>sédentaire</t>
        </is>
      </c>
      <c r="C5" s="88" t="n">
        <v>1917</v>
      </c>
      <c r="D5" s="95" t="n">
        <v>60</v>
      </c>
      <c r="E5" s="95" t="n">
        <v>65</v>
      </c>
      <c r="F5" s="85" t="n">
        <v>150</v>
      </c>
      <c r="G5" s="120" t="n">
        <v>0.025</v>
      </c>
      <c r="H5" s="120" t="n">
        <v>0.0075</v>
      </c>
      <c r="I5" s="75" t="n"/>
      <c r="J5" s="95" t="n">
        <v>62.76</v>
      </c>
      <c r="K5" s="95" t="n">
        <v>1</v>
      </c>
      <c r="L5" s="85" t="n">
        <v>0</v>
      </c>
    </row>
    <row r="6">
      <c r="A6" s="84" t="inlineStr">
        <is>
          <t>Privé</t>
        </is>
      </c>
      <c r="B6" s="7" t="inlineStr">
        <is>
          <t>sédentaire</t>
        </is>
      </c>
      <c r="C6" s="88" t="n">
        <v>1918</v>
      </c>
      <c r="D6" s="95" t="n">
        <v>60</v>
      </c>
      <c r="E6" s="95" t="n">
        <v>65</v>
      </c>
      <c r="F6" s="85" t="n">
        <v>150</v>
      </c>
      <c r="G6" s="120" t="n">
        <v>0.025</v>
      </c>
      <c r="H6" s="120" t="n">
        <v>0.0075</v>
      </c>
      <c r="I6" s="75" t="n"/>
      <c r="J6" s="95" t="n">
        <v>62.63</v>
      </c>
      <c r="K6" s="95" t="n">
        <v>1</v>
      </c>
      <c r="L6" s="85" t="n">
        <v>0</v>
      </c>
    </row>
    <row r="7">
      <c r="A7" s="84" t="inlineStr">
        <is>
          <t>Privé</t>
        </is>
      </c>
      <c r="B7" s="7" t="inlineStr">
        <is>
          <t>sédentaire</t>
        </is>
      </c>
      <c r="C7" s="88" t="n">
        <v>1919</v>
      </c>
      <c r="D7" s="95" t="n">
        <v>60</v>
      </c>
      <c r="E7" s="95" t="n">
        <v>65</v>
      </c>
      <c r="F7" s="85" t="n">
        <v>150</v>
      </c>
      <c r="G7" s="120" t="n">
        <v>0.025</v>
      </c>
      <c r="H7" s="120" t="n">
        <v>0.0075</v>
      </c>
      <c r="I7" s="75" t="n"/>
      <c r="J7" s="95" t="n">
        <v>62.5</v>
      </c>
      <c r="K7" s="95" t="n">
        <v>1</v>
      </c>
      <c r="L7" s="85" t="n">
        <v>0</v>
      </c>
    </row>
    <row r="8">
      <c r="A8" s="84" t="inlineStr">
        <is>
          <t>Privé</t>
        </is>
      </c>
      <c r="B8" s="7" t="inlineStr">
        <is>
          <t>sédentaire</t>
        </is>
      </c>
      <c r="C8" s="88" t="n">
        <v>1920</v>
      </c>
      <c r="D8" s="95" t="n">
        <v>60</v>
      </c>
      <c r="E8" s="95" t="n">
        <v>65</v>
      </c>
      <c r="F8" s="85" t="n">
        <v>150</v>
      </c>
      <c r="G8" s="120" t="n">
        <v>0.025</v>
      </c>
      <c r="H8" s="120" t="n">
        <v>0.0075</v>
      </c>
      <c r="I8" s="75" t="n"/>
      <c r="J8" s="95" t="n">
        <v>62.37</v>
      </c>
      <c r="K8" s="95" t="n">
        <v>1</v>
      </c>
      <c r="L8" s="85" t="n">
        <v>0</v>
      </c>
    </row>
    <row r="9">
      <c r="A9" s="84" t="inlineStr">
        <is>
          <t>Privé</t>
        </is>
      </c>
      <c r="B9" s="7" t="inlineStr">
        <is>
          <t>sédentaire</t>
        </is>
      </c>
      <c r="C9" s="88" t="n">
        <v>1921</v>
      </c>
      <c r="D9" s="95" t="n">
        <v>60</v>
      </c>
      <c r="E9" s="95" t="n">
        <v>65</v>
      </c>
      <c r="F9" s="85" t="n">
        <v>150</v>
      </c>
      <c r="G9" s="120" t="n">
        <v>0.025</v>
      </c>
      <c r="H9" s="120" t="n">
        <v>0.0075</v>
      </c>
      <c r="I9" s="75" t="n"/>
      <c r="J9" s="95" t="n">
        <v>62.24</v>
      </c>
      <c r="K9" s="95" t="n">
        <v>1</v>
      </c>
      <c r="L9" s="85" t="n">
        <v>0</v>
      </c>
    </row>
    <row r="10">
      <c r="A10" s="84" t="inlineStr">
        <is>
          <t>Privé</t>
        </is>
      </c>
      <c r="B10" s="7" t="inlineStr">
        <is>
          <t>sédentaire</t>
        </is>
      </c>
      <c r="C10" s="88" t="n">
        <v>1922</v>
      </c>
      <c r="D10" s="95" t="n">
        <v>60</v>
      </c>
      <c r="E10" s="95" t="n">
        <v>65</v>
      </c>
      <c r="F10" s="85" t="n">
        <v>150</v>
      </c>
      <c r="G10" s="120" t="n">
        <v>0.025</v>
      </c>
      <c r="H10" s="120" t="n">
        <v>0.0075</v>
      </c>
      <c r="I10" s="75" t="n"/>
      <c r="J10" s="95" t="n">
        <v>62.11</v>
      </c>
      <c r="K10" s="95" t="n">
        <v>1</v>
      </c>
      <c r="L10" s="85" t="n">
        <v>0</v>
      </c>
    </row>
    <row r="11">
      <c r="A11" s="84" t="inlineStr">
        <is>
          <t>Privé</t>
        </is>
      </c>
      <c r="B11" s="7" t="inlineStr">
        <is>
          <t>sédentaire</t>
        </is>
      </c>
      <c r="C11" s="88" t="n">
        <v>1923</v>
      </c>
      <c r="D11" s="95" t="n">
        <v>60</v>
      </c>
      <c r="E11" s="95" t="n">
        <v>65</v>
      </c>
      <c r="F11" s="85" t="n">
        <v>150</v>
      </c>
      <c r="G11" s="120" t="n">
        <v>0.025</v>
      </c>
      <c r="H11" s="120" t="n">
        <v>0.0075</v>
      </c>
      <c r="I11" s="75" t="n"/>
      <c r="J11" s="95" t="n">
        <v>61.98</v>
      </c>
      <c r="K11" s="95" t="n">
        <v>1</v>
      </c>
      <c r="L11" s="85" t="n">
        <v>0</v>
      </c>
    </row>
    <row r="12">
      <c r="A12" s="84" t="inlineStr">
        <is>
          <t>Privé</t>
        </is>
      </c>
      <c r="B12" s="7" t="inlineStr">
        <is>
          <t>sédentaire</t>
        </is>
      </c>
      <c r="C12" s="88" t="n">
        <v>1924</v>
      </c>
      <c r="D12" s="95" t="n">
        <v>60</v>
      </c>
      <c r="E12" s="95" t="n">
        <v>65</v>
      </c>
      <c r="F12" s="85" t="n">
        <v>150</v>
      </c>
      <c r="G12" s="120" t="n">
        <v>0.025</v>
      </c>
      <c r="H12" s="120" t="n">
        <v>0.0075</v>
      </c>
      <c r="I12" s="75" t="n"/>
      <c r="J12" s="95" t="n">
        <v>61.85</v>
      </c>
      <c r="K12" s="95" t="n">
        <v>1</v>
      </c>
      <c r="L12" s="85" t="n">
        <v>0</v>
      </c>
    </row>
    <row r="13">
      <c r="A13" s="84" t="inlineStr">
        <is>
          <t>Privé</t>
        </is>
      </c>
      <c r="B13" s="7" t="inlineStr">
        <is>
          <t>sédentaire</t>
        </is>
      </c>
      <c r="C13" s="88" t="n">
        <v>1925</v>
      </c>
      <c r="D13" s="95" t="n">
        <v>60</v>
      </c>
      <c r="E13" s="95" t="n">
        <v>65</v>
      </c>
      <c r="F13" s="85" t="n">
        <v>150</v>
      </c>
      <c r="G13" s="120" t="n">
        <v>0.025</v>
      </c>
      <c r="H13" s="120" t="n">
        <v>0.0075</v>
      </c>
      <c r="I13" s="75" t="n"/>
      <c r="J13" s="95" t="n">
        <v>61.72</v>
      </c>
      <c r="K13" s="95" t="n">
        <v>1</v>
      </c>
      <c r="L13" s="85" t="n">
        <v>0</v>
      </c>
    </row>
    <row r="14">
      <c r="A14" s="84" t="inlineStr">
        <is>
          <t>Privé</t>
        </is>
      </c>
      <c r="B14" s="7" t="inlineStr">
        <is>
          <t>sédentaire</t>
        </is>
      </c>
      <c r="C14" s="88" t="n">
        <v>1926</v>
      </c>
      <c r="D14" s="95" t="n">
        <v>60</v>
      </c>
      <c r="E14" s="95" t="n">
        <v>65</v>
      </c>
      <c r="F14" s="85" t="n">
        <v>150</v>
      </c>
      <c r="G14" s="120" t="n">
        <v>0.025</v>
      </c>
      <c r="H14" s="120" t="n">
        <v>0.0075</v>
      </c>
      <c r="I14" s="75" t="n"/>
      <c r="J14" s="95" t="n">
        <v>61.58</v>
      </c>
      <c r="K14" s="95" t="n">
        <v>1</v>
      </c>
      <c r="L14" s="85" t="n">
        <v>0</v>
      </c>
    </row>
    <row r="15">
      <c r="A15" s="84" t="inlineStr">
        <is>
          <t>Privé</t>
        </is>
      </c>
      <c r="B15" s="7" t="inlineStr">
        <is>
          <t>sédentaire</t>
        </is>
      </c>
      <c r="C15" s="88" t="n">
        <v>1927</v>
      </c>
      <c r="D15" s="95" t="n">
        <v>60</v>
      </c>
      <c r="E15" s="95" t="n">
        <v>65</v>
      </c>
      <c r="F15" s="85" t="n">
        <v>150</v>
      </c>
      <c r="G15" s="120" t="n">
        <v>0.025</v>
      </c>
      <c r="H15" s="120" t="n">
        <v>0.0075</v>
      </c>
      <c r="I15" s="75" t="n"/>
      <c r="J15" s="95" t="n">
        <v>61.45</v>
      </c>
      <c r="K15" s="95" t="n">
        <v>1</v>
      </c>
      <c r="L15" s="85" t="n">
        <v>0</v>
      </c>
    </row>
    <row r="16">
      <c r="A16" s="84" t="inlineStr">
        <is>
          <t>Privé</t>
        </is>
      </c>
      <c r="B16" s="7" t="inlineStr">
        <is>
          <t>sédentaire</t>
        </is>
      </c>
      <c r="C16" s="88" t="n">
        <v>1928</v>
      </c>
      <c r="D16" s="95" t="n">
        <v>60</v>
      </c>
      <c r="E16" s="95" t="n">
        <v>65</v>
      </c>
      <c r="F16" s="85" t="n">
        <v>150</v>
      </c>
      <c r="G16" s="120" t="n">
        <v>0.025</v>
      </c>
      <c r="H16" s="120" t="n">
        <v>0.0075</v>
      </c>
      <c r="I16" s="75" t="n"/>
      <c r="J16" s="95" t="n">
        <v>61.32</v>
      </c>
      <c r="K16" s="95" t="n">
        <v>1</v>
      </c>
      <c r="L16" s="85" t="n">
        <v>0</v>
      </c>
    </row>
    <row r="17">
      <c r="A17" s="84" t="inlineStr">
        <is>
          <t>Privé</t>
        </is>
      </c>
      <c r="B17" s="7" t="inlineStr">
        <is>
          <t>sédentaire</t>
        </is>
      </c>
      <c r="C17" s="88" t="n">
        <v>1929</v>
      </c>
      <c r="D17" s="95" t="n">
        <v>60</v>
      </c>
      <c r="E17" s="95" t="n">
        <v>65</v>
      </c>
      <c r="F17" s="85" t="n">
        <v>150</v>
      </c>
      <c r="G17" s="120" t="n">
        <v>0.025</v>
      </c>
      <c r="H17" s="120" t="n">
        <v>0.0075</v>
      </c>
      <c r="I17" s="75" t="n"/>
      <c r="J17" s="95" t="n">
        <v>61.19</v>
      </c>
      <c r="K17" s="95" t="n">
        <v>1</v>
      </c>
      <c r="L17" s="85" t="n">
        <v>0</v>
      </c>
    </row>
    <row r="18">
      <c r="A18" s="84" t="inlineStr">
        <is>
          <t>Privé</t>
        </is>
      </c>
      <c r="B18" s="7" t="inlineStr">
        <is>
          <t>sédentaire</t>
        </is>
      </c>
      <c r="C18" s="88" t="n">
        <v>1930</v>
      </c>
      <c r="D18" s="95" t="n">
        <v>60</v>
      </c>
      <c r="E18" s="95" t="n">
        <v>65</v>
      </c>
      <c r="F18" s="85" t="n">
        <v>150</v>
      </c>
      <c r="G18" s="120" t="n">
        <v>0.025</v>
      </c>
      <c r="H18" s="120" t="n">
        <v>0.0075</v>
      </c>
      <c r="I18" s="75" t="n"/>
      <c r="J18" s="95" t="n">
        <v>61.06</v>
      </c>
      <c r="K18" s="95" t="n">
        <v>1</v>
      </c>
      <c r="L18" s="85" t="n">
        <v>0</v>
      </c>
    </row>
    <row r="19">
      <c r="A19" s="84" t="inlineStr">
        <is>
          <t>Privé</t>
        </is>
      </c>
      <c r="B19" s="7" t="inlineStr">
        <is>
          <t>sédentaire</t>
        </is>
      </c>
      <c r="C19" s="88" t="n">
        <v>1931</v>
      </c>
      <c r="D19" s="95" t="n">
        <v>60</v>
      </c>
      <c r="E19" s="95" t="n">
        <v>65</v>
      </c>
      <c r="F19" s="85" t="n">
        <v>150</v>
      </c>
      <c r="G19" s="120" t="n">
        <v>0.025</v>
      </c>
      <c r="H19" s="120" t="n">
        <v>0.0075</v>
      </c>
      <c r="I19" s="75" t="n"/>
      <c r="J19" s="95" t="n">
        <v>60.93</v>
      </c>
      <c r="K19" s="95" t="n">
        <v>1</v>
      </c>
      <c r="L19" s="85" t="n">
        <v>0</v>
      </c>
    </row>
    <row r="20">
      <c r="A20" s="84" t="inlineStr">
        <is>
          <t>Privé</t>
        </is>
      </c>
      <c r="B20" s="7" t="inlineStr">
        <is>
          <t>sédentaire</t>
        </is>
      </c>
      <c r="C20" s="88" t="n">
        <v>1932</v>
      </c>
      <c r="D20" s="95" t="n">
        <v>60</v>
      </c>
      <c r="E20" s="95" t="n">
        <v>65</v>
      </c>
      <c r="F20" s="85" t="n">
        <v>150</v>
      </c>
      <c r="G20" s="120" t="n">
        <v>0.025</v>
      </c>
      <c r="H20" s="120" t="n">
        <v>0.0075</v>
      </c>
      <c r="I20" s="75" t="n"/>
      <c r="J20" s="95" t="n">
        <v>60.8</v>
      </c>
      <c r="K20" s="95" t="n">
        <v>1</v>
      </c>
      <c r="L20" s="85" t="n">
        <v>0</v>
      </c>
    </row>
    <row r="21">
      <c r="A21" s="84" t="inlineStr">
        <is>
          <t>Privé</t>
        </is>
      </c>
      <c r="B21" s="7" t="inlineStr">
        <is>
          <t>sédentaire</t>
        </is>
      </c>
      <c r="C21" s="88" t="n">
        <v>1933</v>
      </c>
      <c r="D21" s="95" t="n">
        <v>60</v>
      </c>
      <c r="E21" s="95" t="n">
        <v>65</v>
      </c>
      <c r="F21" s="85" t="n">
        <v>150</v>
      </c>
      <c r="G21" s="120" t="n">
        <v>0.025</v>
      </c>
      <c r="H21" s="120" t="n">
        <v>0.0075</v>
      </c>
      <c r="I21" s="75" t="n"/>
      <c r="J21" s="95" t="n">
        <v>60.81</v>
      </c>
      <c r="K21" s="95" t="n">
        <v>1</v>
      </c>
      <c r="L21" s="85" t="n">
        <v>0</v>
      </c>
    </row>
    <row r="22">
      <c r="A22" s="84" t="inlineStr">
        <is>
          <t>Privé</t>
        </is>
      </c>
      <c r="B22" s="7" t="inlineStr">
        <is>
          <t>sédentaire</t>
        </is>
      </c>
      <c r="C22" s="88" t="n">
        <v>1934</v>
      </c>
      <c r="D22" s="95" t="n">
        <v>60</v>
      </c>
      <c r="E22" s="95" t="n">
        <v>65</v>
      </c>
      <c r="F22" s="85" t="n">
        <v>151</v>
      </c>
      <c r="G22" s="120" t="n">
        <v>0.025</v>
      </c>
      <c r="H22" s="120" t="n">
        <v>0.0075</v>
      </c>
      <c r="I22" s="75" t="n"/>
      <c r="J22" s="95" t="n">
        <v>60.82</v>
      </c>
      <c r="K22" s="95" t="n">
        <v>1</v>
      </c>
      <c r="L22" s="85" t="n">
        <v>0</v>
      </c>
    </row>
    <row r="23">
      <c r="A23" s="84" t="inlineStr">
        <is>
          <t>Privé</t>
        </is>
      </c>
      <c r="B23" s="7" t="inlineStr">
        <is>
          <t>sédentaire</t>
        </is>
      </c>
      <c r="C23" s="88" t="n">
        <v>1935</v>
      </c>
      <c r="D23" s="95" t="n">
        <v>60</v>
      </c>
      <c r="E23" s="95" t="n">
        <v>65</v>
      </c>
      <c r="F23" s="85" t="n">
        <v>152</v>
      </c>
      <c r="G23" s="120" t="n">
        <v>0.025</v>
      </c>
      <c r="H23" s="120" t="n">
        <v>0.0075</v>
      </c>
      <c r="I23" s="75" t="n"/>
      <c r="J23" s="95" t="n">
        <v>60.84</v>
      </c>
      <c r="K23" s="95" t="n">
        <v>1</v>
      </c>
      <c r="L23" s="85" t="n">
        <v>0</v>
      </c>
    </row>
    <row r="24">
      <c r="A24" s="84" t="inlineStr">
        <is>
          <t>Privé</t>
        </is>
      </c>
      <c r="B24" s="7" t="inlineStr">
        <is>
          <t>sédentaire</t>
        </is>
      </c>
      <c r="C24" s="88" t="n">
        <v>1936</v>
      </c>
      <c r="D24" s="95" t="n">
        <v>60</v>
      </c>
      <c r="E24" s="95" t="n">
        <v>65</v>
      </c>
      <c r="F24" s="85" t="n">
        <v>153</v>
      </c>
      <c r="G24" s="120" t="n">
        <v>0.025</v>
      </c>
      <c r="H24" s="120" t="n">
        <v>0.0075</v>
      </c>
      <c r="I24" s="75" t="n"/>
      <c r="J24" s="95" t="n">
        <v>60.85</v>
      </c>
      <c r="K24" s="95" t="n">
        <v>1</v>
      </c>
      <c r="L24" s="85" t="n">
        <v>0</v>
      </c>
    </row>
    <row r="25">
      <c r="A25" s="84" t="inlineStr">
        <is>
          <t>Privé</t>
        </is>
      </c>
      <c r="B25" s="7" t="inlineStr">
        <is>
          <t>sédentaire</t>
        </is>
      </c>
      <c r="C25" s="88" t="n">
        <v>1937</v>
      </c>
      <c r="D25" s="95" t="n">
        <v>60</v>
      </c>
      <c r="E25" s="95" t="n">
        <v>65</v>
      </c>
      <c r="F25" s="85" t="n">
        <v>154</v>
      </c>
      <c r="G25" s="120" t="n">
        <v>0.025</v>
      </c>
      <c r="H25" s="120" t="n">
        <v>0.0075</v>
      </c>
      <c r="I25" s="75" t="n"/>
      <c r="J25" s="95" t="n">
        <v>60.86</v>
      </c>
      <c r="K25" s="95" t="n">
        <v>1</v>
      </c>
      <c r="L25" s="85" t="n">
        <v>0</v>
      </c>
    </row>
    <row r="26">
      <c r="A26" s="84" t="inlineStr">
        <is>
          <t>Privé</t>
        </is>
      </c>
      <c r="B26" s="7" t="inlineStr">
        <is>
          <t>sédentaire</t>
        </is>
      </c>
      <c r="C26" s="88" t="n">
        <v>1938</v>
      </c>
      <c r="D26" s="95" t="n">
        <v>60</v>
      </c>
      <c r="E26" s="95" t="n">
        <v>65</v>
      </c>
      <c r="F26" s="85" t="n">
        <v>155</v>
      </c>
      <c r="G26" s="120" t="n">
        <v>0.025</v>
      </c>
      <c r="H26" s="120" t="n">
        <v>0.0075</v>
      </c>
      <c r="I26" s="75" t="n"/>
      <c r="J26" s="95" t="n">
        <v>60.88</v>
      </c>
      <c r="K26" s="95" t="n">
        <v>1</v>
      </c>
      <c r="L26" s="85" t="n">
        <v>0</v>
      </c>
    </row>
    <row r="27">
      <c r="A27" s="84" t="inlineStr">
        <is>
          <t>Privé</t>
        </is>
      </c>
      <c r="B27" s="7" t="inlineStr">
        <is>
          <t>sédentaire</t>
        </is>
      </c>
      <c r="C27" s="88" t="n">
        <v>1939</v>
      </c>
      <c r="D27" s="95" t="n">
        <v>60</v>
      </c>
      <c r="E27" s="95" t="n">
        <v>65</v>
      </c>
      <c r="F27" s="85" t="n">
        <v>156</v>
      </c>
      <c r="G27" s="120" t="n">
        <v>0.025</v>
      </c>
      <c r="H27" s="120" t="n">
        <v>0.0075</v>
      </c>
      <c r="I27" s="75" t="n"/>
      <c r="J27" s="95" t="n">
        <v>60.89</v>
      </c>
      <c r="K27" s="95" t="n">
        <v>1</v>
      </c>
      <c r="L27" s="85" t="n">
        <v>0</v>
      </c>
    </row>
    <row r="28">
      <c r="A28" s="84" t="inlineStr">
        <is>
          <t>Privé</t>
        </is>
      </c>
      <c r="B28" s="7" t="inlineStr">
        <is>
          <t>sédentaire</t>
        </is>
      </c>
      <c r="C28" s="88" t="n">
        <v>1940</v>
      </c>
      <c r="D28" s="95" t="n">
        <v>60</v>
      </c>
      <c r="E28" s="95" t="n">
        <v>65</v>
      </c>
      <c r="F28" s="85" t="n">
        <v>157</v>
      </c>
      <c r="G28" s="120" t="n">
        <v>0.025</v>
      </c>
      <c r="H28" s="120" t="n">
        <v>0.0075</v>
      </c>
      <c r="I28" s="75" t="n"/>
      <c r="J28" s="95" t="n">
        <v>60.9</v>
      </c>
      <c r="K28" s="95" t="n">
        <v>1</v>
      </c>
      <c r="L28" s="85" t="n">
        <v>0</v>
      </c>
    </row>
    <row r="29">
      <c r="A29" s="84" t="inlineStr">
        <is>
          <t>Privé</t>
        </is>
      </c>
      <c r="B29" s="7" t="inlineStr">
        <is>
          <t>sédentaire</t>
        </is>
      </c>
      <c r="C29" s="88" t="n">
        <v>1941</v>
      </c>
      <c r="D29" s="95" t="n">
        <v>60</v>
      </c>
      <c r="E29" s="95" t="n">
        <v>65</v>
      </c>
      <c r="F29" s="85" t="n">
        <v>158</v>
      </c>
      <c r="G29" s="120" t="n">
        <v>0.025</v>
      </c>
      <c r="H29" s="120" t="n">
        <v>0.0075</v>
      </c>
      <c r="I29" s="75" t="n"/>
      <c r="J29" s="95" t="n">
        <v>60.92</v>
      </c>
      <c r="K29" s="95" t="n">
        <v>1</v>
      </c>
      <c r="L29" s="85" t="n">
        <v>0</v>
      </c>
    </row>
    <row r="30">
      <c r="A30" s="84" t="inlineStr">
        <is>
          <t>Privé</t>
        </is>
      </c>
      <c r="B30" s="7" t="inlineStr">
        <is>
          <t>sédentaire</t>
        </is>
      </c>
      <c r="C30" s="88" t="n">
        <v>1942</v>
      </c>
      <c r="D30" s="95" t="n">
        <v>60</v>
      </c>
      <c r="E30" s="95" t="n">
        <v>65</v>
      </c>
      <c r="F30" s="85" t="n">
        <v>159</v>
      </c>
      <c r="G30" s="120" t="n">
        <v>0.025</v>
      </c>
      <c r="H30" s="120" t="n">
        <v>0.0075</v>
      </c>
      <c r="I30" s="75" t="n"/>
      <c r="J30" s="95" t="n">
        <v>60.94</v>
      </c>
      <c r="K30" s="95" t="n">
        <v>1</v>
      </c>
      <c r="L30" s="85" t="n">
        <v>0</v>
      </c>
    </row>
    <row r="31">
      <c r="A31" s="84" t="inlineStr">
        <is>
          <t>Privé</t>
        </is>
      </c>
      <c r="B31" s="7" t="inlineStr">
        <is>
          <t>sédentaire</t>
        </is>
      </c>
      <c r="C31" s="88" t="n">
        <v>1943</v>
      </c>
      <c r="D31" s="95" t="n">
        <v>60</v>
      </c>
      <c r="E31" s="95" t="n">
        <v>65</v>
      </c>
      <c r="F31" s="85" t="n">
        <v>160</v>
      </c>
      <c r="G31" s="120" t="n">
        <v>0.025</v>
      </c>
      <c r="H31" s="120" t="n">
        <v>0.0075</v>
      </c>
      <c r="I31" s="75" t="n"/>
      <c r="J31" s="95" t="n">
        <v>60.96</v>
      </c>
      <c r="K31" s="95" t="n">
        <v>1</v>
      </c>
      <c r="L31" s="85" t="n">
        <v>0</v>
      </c>
    </row>
    <row r="32">
      <c r="A32" s="84" t="inlineStr">
        <is>
          <t>Privé</t>
        </is>
      </c>
      <c r="B32" s="7" t="inlineStr">
        <is>
          <t>sédentaire</t>
        </is>
      </c>
      <c r="C32" s="88" t="n">
        <v>1944</v>
      </c>
      <c r="D32" s="95" t="n">
        <v>60</v>
      </c>
      <c r="E32" s="95" t="n">
        <v>65</v>
      </c>
      <c r="F32" s="85" t="n">
        <v>160</v>
      </c>
      <c r="G32" s="120" t="n">
        <v>0.02375</v>
      </c>
      <c r="H32" s="120" t="n">
        <v>0.0075</v>
      </c>
      <c r="I32" s="75" t="n"/>
      <c r="J32" s="95" t="n">
        <v>60.98</v>
      </c>
      <c r="K32" s="95" t="n">
        <v>1</v>
      </c>
      <c r="L32" s="85" t="n">
        <v>0</v>
      </c>
    </row>
    <row r="33">
      <c r="A33" s="84" t="inlineStr">
        <is>
          <t>Privé</t>
        </is>
      </c>
      <c r="B33" s="7" t="inlineStr">
        <is>
          <t>sédentaire</t>
        </is>
      </c>
      <c r="C33" s="88" t="n">
        <v>1945</v>
      </c>
      <c r="D33" s="95" t="n">
        <v>60</v>
      </c>
      <c r="E33" s="95" t="n">
        <v>65</v>
      </c>
      <c r="F33" s="85" t="n">
        <v>160</v>
      </c>
      <c r="G33" s="120" t="n">
        <v>0.0225</v>
      </c>
      <c r="H33" s="120" t="n">
        <v>0.0075</v>
      </c>
      <c r="I33" s="75" t="n"/>
      <c r="J33" s="95" t="n">
        <v>61</v>
      </c>
      <c r="K33" s="95" t="n">
        <v>1</v>
      </c>
      <c r="L33" s="85" t="n">
        <v>0</v>
      </c>
    </row>
    <row r="34">
      <c r="A34" s="84" t="inlineStr">
        <is>
          <t>Privé</t>
        </is>
      </c>
      <c r="B34" s="7" t="inlineStr">
        <is>
          <t>sédentaire</t>
        </is>
      </c>
      <c r="C34" s="88" t="n">
        <v>1946</v>
      </c>
      <c r="D34" s="95" t="n">
        <v>60</v>
      </c>
      <c r="E34" s="95" t="n">
        <v>65</v>
      </c>
      <c r="F34" s="85" t="n">
        <v>160</v>
      </c>
      <c r="G34" s="120" t="n">
        <v>0.02125</v>
      </c>
      <c r="H34" s="120" t="n">
        <v>0.0075</v>
      </c>
      <c r="I34" s="75" t="n"/>
      <c r="J34" s="95" t="n">
        <v>60.9</v>
      </c>
      <c r="K34" s="95" t="n">
        <v>1</v>
      </c>
      <c r="L34" s="85" t="n">
        <v>0</v>
      </c>
    </row>
    <row r="35">
      <c r="A35" s="84" t="inlineStr">
        <is>
          <t>Privé</t>
        </is>
      </c>
      <c r="B35" s="7" t="inlineStr">
        <is>
          <t>sédentaire</t>
        </is>
      </c>
      <c r="C35" s="88" t="n">
        <v>1947</v>
      </c>
      <c r="D35" s="95" t="n">
        <v>60</v>
      </c>
      <c r="E35" s="95" t="n">
        <v>65</v>
      </c>
      <c r="F35" s="85" t="n">
        <v>160</v>
      </c>
      <c r="G35" s="120" t="n">
        <v>0.02</v>
      </c>
      <c r="H35" s="120" t="n">
        <v>0.0075</v>
      </c>
      <c r="I35" s="75" t="n"/>
      <c r="J35" s="95" t="n">
        <v>60.8</v>
      </c>
      <c r="K35" s="95" t="n">
        <v>1</v>
      </c>
      <c r="L35" s="85" t="n">
        <v>0</v>
      </c>
    </row>
    <row r="36">
      <c r="A36" s="84" t="inlineStr">
        <is>
          <t>Privé</t>
        </is>
      </c>
      <c r="B36" s="7" t="inlineStr">
        <is>
          <t>sédentaire</t>
        </is>
      </c>
      <c r="C36" s="88" t="n">
        <v>1948</v>
      </c>
      <c r="D36" s="95" t="n">
        <v>60</v>
      </c>
      <c r="E36" s="95" t="n">
        <v>65</v>
      </c>
      <c r="F36" s="85" t="n">
        <v>160</v>
      </c>
      <c r="G36" s="120" t="n">
        <v>0.01875</v>
      </c>
      <c r="H36" s="120" t="n">
        <v>0.0075</v>
      </c>
      <c r="I36" s="75" t="n"/>
      <c r="J36" s="95" t="n">
        <v>60.7</v>
      </c>
      <c r="K36" s="95" t="n">
        <v>1</v>
      </c>
      <c r="L36" s="85" t="n">
        <v>0</v>
      </c>
    </row>
    <row r="37">
      <c r="A37" s="84" t="inlineStr">
        <is>
          <t>Privé</t>
        </is>
      </c>
      <c r="B37" s="7" t="inlineStr">
        <is>
          <t>sédentaire</t>
        </is>
      </c>
      <c r="C37" s="88" t="n">
        <v>1949</v>
      </c>
      <c r="D37" s="95" t="n">
        <v>60</v>
      </c>
      <c r="E37" s="95" t="n">
        <v>65</v>
      </c>
      <c r="F37" s="85" t="n">
        <v>161</v>
      </c>
      <c r="G37" s="120" t="n">
        <v>0.0175</v>
      </c>
      <c r="H37" s="120" t="n">
        <v>0.0125</v>
      </c>
      <c r="I37" s="75" t="n"/>
      <c r="J37" s="95" t="n">
        <v>60.6</v>
      </c>
      <c r="K37" s="95" t="n">
        <v>1</v>
      </c>
      <c r="L37" s="85" t="n">
        <v>0</v>
      </c>
    </row>
    <row r="38">
      <c r="A38" s="84" t="inlineStr">
        <is>
          <t>Privé</t>
        </is>
      </c>
      <c r="B38" s="7" t="inlineStr">
        <is>
          <t>sédentaire</t>
        </is>
      </c>
      <c r="C38" s="88" t="n">
        <v>1950</v>
      </c>
      <c r="D38" s="95" t="n">
        <v>60</v>
      </c>
      <c r="E38" s="95" t="n">
        <v>65</v>
      </c>
      <c r="F38" s="85" t="n">
        <v>162</v>
      </c>
      <c r="G38" s="120" t="n">
        <v>0.01625</v>
      </c>
      <c r="H38" s="120" t="n">
        <v>0.0125</v>
      </c>
      <c r="I38" s="75" t="n"/>
      <c r="J38" s="95" t="n">
        <v>60.5</v>
      </c>
      <c r="K38" s="95" t="n">
        <v>1</v>
      </c>
      <c r="L38" s="85" t="n">
        <v>0</v>
      </c>
    </row>
    <row r="39">
      <c r="A39" s="84" t="inlineStr">
        <is>
          <t>Privé</t>
        </is>
      </c>
      <c r="B39" s="7" t="inlineStr">
        <is>
          <t>sédentaire</t>
        </is>
      </c>
      <c r="C39" s="88" t="n">
        <v>1951</v>
      </c>
      <c r="D39" s="95" t="n">
        <v>60.3333</v>
      </c>
      <c r="E39" s="95" t="n">
        <v>65.33329999999999</v>
      </c>
      <c r="F39" s="85" t="n">
        <v>163</v>
      </c>
      <c r="G39" s="120" t="n">
        <v>0.015</v>
      </c>
      <c r="H39" s="120" t="n">
        <v>0.0125</v>
      </c>
      <c r="I39" s="75" t="n"/>
      <c r="J39" s="95" t="n">
        <v>60.76</v>
      </c>
      <c r="K39" s="95" t="n">
        <v>1</v>
      </c>
      <c r="L39" s="85" t="n">
        <v>0</v>
      </c>
    </row>
    <row r="40">
      <c r="A40" s="84" t="inlineStr">
        <is>
          <t>Privé</t>
        </is>
      </c>
      <c r="B40" s="7" t="inlineStr">
        <is>
          <t>sédentaire</t>
        </is>
      </c>
      <c r="C40" s="88" t="n">
        <v>1952</v>
      </c>
      <c r="D40" s="95" t="n">
        <v>60.75</v>
      </c>
      <c r="E40" s="95" t="n">
        <v>65.75</v>
      </c>
      <c r="F40" s="85" t="n">
        <v>164</v>
      </c>
      <c r="G40" s="120" t="n">
        <v>0.01375</v>
      </c>
      <c r="H40" s="120" t="n">
        <v>0.0125</v>
      </c>
      <c r="I40" s="75" t="n"/>
      <c r="J40" s="95" t="n">
        <v>61.02</v>
      </c>
      <c r="K40" s="95" t="n">
        <v>1</v>
      </c>
      <c r="L40" s="85" t="n">
        <v>0</v>
      </c>
    </row>
    <row r="41">
      <c r="A41" s="84" t="inlineStr">
        <is>
          <t>Privé</t>
        </is>
      </c>
      <c r="B41" s="7" t="inlineStr">
        <is>
          <t>sédentaire</t>
        </is>
      </c>
      <c r="C41" s="88" t="n">
        <v>1953</v>
      </c>
      <c r="D41" s="95" t="n">
        <v>61.1667</v>
      </c>
      <c r="E41" s="95" t="n">
        <v>66.16670000000001</v>
      </c>
      <c r="F41" s="85" t="n">
        <v>165</v>
      </c>
      <c r="G41" s="120" t="n">
        <v>0.0125</v>
      </c>
      <c r="H41" s="120" t="n">
        <v>0.0125</v>
      </c>
      <c r="I41" s="75" t="n"/>
      <c r="J41" s="95" t="n">
        <v>61.28</v>
      </c>
      <c r="K41" s="95" t="n">
        <v>1</v>
      </c>
      <c r="L41" s="85" t="n">
        <v>0</v>
      </c>
    </row>
    <row r="42">
      <c r="A42" s="84" t="inlineStr">
        <is>
          <t>Privé</t>
        </is>
      </c>
      <c r="B42" s="7" t="inlineStr">
        <is>
          <t>sédentaire</t>
        </is>
      </c>
      <c r="C42" s="88" t="n">
        <v>1954</v>
      </c>
      <c r="D42" s="95" t="n">
        <v>61.5833</v>
      </c>
      <c r="E42" s="95" t="n">
        <v>66.58329999999999</v>
      </c>
      <c r="F42" s="85" t="n">
        <v>165</v>
      </c>
      <c r="G42" s="120" t="n">
        <v>0.0125</v>
      </c>
      <c r="H42" s="120" t="n">
        <v>0.0125</v>
      </c>
      <c r="I42" s="75" t="n"/>
      <c r="J42" s="95" t="n">
        <v>61.54</v>
      </c>
      <c r="K42" s="95" t="n">
        <v>1</v>
      </c>
      <c r="L42" s="85" t="n">
        <v>0</v>
      </c>
    </row>
    <row r="43">
      <c r="A43" s="84" t="inlineStr">
        <is>
          <t>Privé</t>
        </is>
      </c>
      <c r="B43" s="7" t="inlineStr">
        <is>
          <t>sédentaire</t>
        </is>
      </c>
      <c r="C43" s="88" t="n">
        <v>1955</v>
      </c>
      <c r="D43" s="95" t="n">
        <v>62</v>
      </c>
      <c r="E43" s="95" t="n">
        <v>67</v>
      </c>
      <c r="F43" s="85" t="n">
        <v>166</v>
      </c>
      <c r="G43" s="120" t="n">
        <v>0.0125</v>
      </c>
      <c r="H43" s="120" t="n">
        <v>0.0125</v>
      </c>
      <c r="I43" s="75" t="n"/>
      <c r="J43" s="95" t="n">
        <v>61.8</v>
      </c>
      <c r="K43" s="95" t="n">
        <v>1</v>
      </c>
      <c r="L43" s="85" t="n">
        <v>0</v>
      </c>
    </row>
    <row r="44">
      <c r="A44" s="84" t="inlineStr">
        <is>
          <t>Privé</t>
        </is>
      </c>
      <c r="B44" s="7" t="inlineStr">
        <is>
          <t>sédentaire</t>
        </is>
      </c>
      <c r="C44" s="88" t="n">
        <v>1956</v>
      </c>
      <c r="D44" s="95" t="n">
        <v>62</v>
      </c>
      <c r="E44" s="95" t="n">
        <v>67</v>
      </c>
      <c r="F44" s="85" t="n">
        <v>166</v>
      </c>
      <c r="G44" s="120" t="n">
        <v>0.0125</v>
      </c>
      <c r="H44" s="120" t="n">
        <v>0.0125</v>
      </c>
      <c r="I44" s="75" t="n"/>
      <c r="J44" s="95" t="n">
        <v>61.89</v>
      </c>
      <c r="K44" s="95" t="n">
        <v>1</v>
      </c>
      <c r="L44" s="85" t="n">
        <v>0</v>
      </c>
    </row>
    <row r="45">
      <c r="A45" s="84" t="inlineStr">
        <is>
          <t>Privé</t>
        </is>
      </c>
      <c r="B45" s="7" t="inlineStr">
        <is>
          <t>sédentaire</t>
        </is>
      </c>
      <c r="C45" s="88" t="n">
        <v>1957</v>
      </c>
      <c r="D45" s="95" t="n">
        <v>62</v>
      </c>
      <c r="E45" s="95" t="n">
        <v>67</v>
      </c>
      <c r="F45" s="85" t="n">
        <v>166</v>
      </c>
      <c r="G45" s="120" t="n">
        <v>0.0125</v>
      </c>
      <c r="H45" s="120" t="n">
        <v>0.0125</v>
      </c>
      <c r="I45" s="75" t="n"/>
      <c r="J45" s="95" t="n">
        <v>61.99</v>
      </c>
      <c r="K45" s="95" t="n">
        <v>1</v>
      </c>
      <c r="L45" s="85" t="n">
        <v>0</v>
      </c>
    </row>
    <row r="46">
      <c r="A46" s="84" t="inlineStr">
        <is>
          <t>Privé</t>
        </is>
      </c>
      <c r="B46" s="7" t="inlineStr">
        <is>
          <t>sédentaire</t>
        </is>
      </c>
      <c r="C46" s="88" t="n">
        <v>1958</v>
      </c>
      <c r="D46" s="95" t="n">
        <v>62</v>
      </c>
      <c r="E46" s="95" t="n">
        <v>67</v>
      </c>
      <c r="F46" s="85" t="n">
        <v>167</v>
      </c>
      <c r="G46" s="120" t="n">
        <v>0.0125</v>
      </c>
      <c r="H46" s="120" t="n">
        <v>0.0125</v>
      </c>
      <c r="I46" s="75" t="n"/>
      <c r="J46" s="95" t="n">
        <v>62.08</v>
      </c>
      <c r="K46" s="95" t="n">
        <v>1</v>
      </c>
      <c r="L46" s="85" t="n">
        <v>0</v>
      </c>
    </row>
    <row r="47">
      <c r="A47" s="84" t="inlineStr">
        <is>
          <t>Privé</t>
        </is>
      </c>
      <c r="B47" s="7" t="inlineStr">
        <is>
          <t>sédentaire</t>
        </is>
      </c>
      <c r="C47" s="88" t="n">
        <v>1959</v>
      </c>
      <c r="D47" s="95" t="n">
        <v>62</v>
      </c>
      <c r="E47" s="95" t="n">
        <v>67</v>
      </c>
      <c r="F47" s="85" t="n">
        <v>167</v>
      </c>
      <c r="G47" s="120" t="n">
        <v>0.0125</v>
      </c>
      <c r="H47" s="120" t="n">
        <v>0.0125</v>
      </c>
      <c r="I47" s="75" t="n"/>
      <c r="J47" s="95" t="n">
        <v>62.18</v>
      </c>
      <c r="K47" s="95" t="n">
        <v>1</v>
      </c>
      <c r="L47" s="85" t="n">
        <v>0</v>
      </c>
    </row>
    <row r="48">
      <c r="A48" s="84" t="inlineStr">
        <is>
          <t>Privé</t>
        </is>
      </c>
      <c r="B48" s="7" t="inlineStr">
        <is>
          <t>sédentaire</t>
        </is>
      </c>
      <c r="C48" s="88" t="n">
        <v>1960</v>
      </c>
      <c r="D48" s="95" t="n">
        <v>62</v>
      </c>
      <c r="E48" s="95" t="n">
        <v>67</v>
      </c>
      <c r="F48" s="85" t="n">
        <v>167</v>
      </c>
      <c r="G48" s="120" t="n">
        <v>0.0125</v>
      </c>
      <c r="H48" s="120" t="n">
        <v>0.0125</v>
      </c>
      <c r="I48" s="75" t="n"/>
      <c r="J48" s="95" t="n">
        <v>62.27</v>
      </c>
      <c r="K48" s="95" t="n">
        <v>1</v>
      </c>
      <c r="L48" s="85" t="n">
        <v>0</v>
      </c>
    </row>
    <row r="49">
      <c r="A49" s="84" t="inlineStr">
        <is>
          <t>Privé</t>
        </is>
      </c>
      <c r="B49" s="7" t="inlineStr">
        <is>
          <t>sédentaire</t>
        </is>
      </c>
      <c r="C49" s="88" t="n">
        <v>1961</v>
      </c>
      <c r="D49" s="95" t="n">
        <v>62</v>
      </c>
      <c r="E49" s="95" t="n">
        <v>67</v>
      </c>
      <c r="F49" s="85" t="n">
        <v>168</v>
      </c>
      <c r="G49" s="120" t="n">
        <v>0.0125</v>
      </c>
      <c r="H49" s="120" t="n">
        <v>0.0125</v>
      </c>
      <c r="I49" s="75" t="n"/>
      <c r="J49" s="95" t="n">
        <v>62.37</v>
      </c>
      <c r="K49" s="95" t="n">
        <v>1</v>
      </c>
      <c r="L49" s="85" t="n">
        <v>0</v>
      </c>
    </row>
    <row r="50">
      <c r="A50" s="84" t="inlineStr">
        <is>
          <t>Privé</t>
        </is>
      </c>
      <c r="B50" s="7" t="inlineStr">
        <is>
          <t>sédentaire</t>
        </is>
      </c>
      <c r="C50" s="88" t="n">
        <v>1962</v>
      </c>
      <c r="D50" s="95" t="n">
        <v>62.5</v>
      </c>
      <c r="E50" s="95" t="n">
        <v>67</v>
      </c>
      <c r="F50" s="85" t="n">
        <v>169</v>
      </c>
      <c r="G50" s="120" t="n">
        <v>0.0125</v>
      </c>
      <c r="H50" s="120" t="n">
        <v>0.0125</v>
      </c>
      <c r="I50" s="75" t="n"/>
      <c r="J50" s="95" t="n">
        <v>62.46</v>
      </c>
      <c r="K50" s="95" t="n">
        <v>1</v>
      </c>
      <c r="L50" s="85" t="n">
        <v>0</v>
      </c>
    </row>
    <row r="51">
      <c r="A51" s="84" t="inlineStr">
        <is>
          <t>Privé</t>
        </is>
      </c>
      <c r="B51" s="7" t="inlineStr">
        <is>
          <t>sédentaire</t>
        </is>
      </c>
      <c r="C51" s="88" t="n">
        <v>1963</v>
      </c>
      <c r="D51" s="95" t="n">
        <v>62.75</v>
      </c>
      <c r="E51" s="95" t="n">
        <v>67</v>
      </c>
      <c r="F51" s="85" t="n">
        <v>170</v>
      </c>
      <c r="G51" s="120" t="n">
        <v>0.0125</v>
      </c>
      <c r="H51" s="120" t="n">
        <v>0.0125</v>
      </c>
      <c r="I51" s="75" t="n"/>
      <c r="J51" s="95" t="n">
        <v>62.56</v>
      </c>
      <c r="K51" s="95" t="n">
        <v>1</v>
      </c>
      <c r="L51" s="85" t="n">
        <v>0</v>
      </c>
    </row>
    <row r="52">
      <c r="A52" s="84" t="inlineStr">
        <is>
          <t>Privé</t>
        </is>
      </c>
      <c r="B52" s="7" t="inlineStr">
        <is>
          <t>sédentaire</t>
        </is>
      </c>
      <c r="C52" s="88" t="n">
        <v>1964</v>
      </c>
      <c r="D52" s="95" t="n">
        <v>62.75</v>
      </c>
      <c r="E52" s="95" t="n">
        <v>67</v>
      </c>
      <c r="F52" s="85" t="n">
        <v>170</v>
      </c>
      <c r="G52" s="120" t="n">
        <v>0.0125</v>
      </c>
      <c r="H52" s="120" t="n">
        <v>0.0125</v>
      </c>
      <c r="I52" s="75" t="n"/>
      <c r="J52" s="95" t="n">
        <v>62.65</v>
      </c>
      <c r="K52" s="95" t="n">
        <v>1</v>
      </c>
      <c r="L52" s="85" t="n">
        <v>0</v>
      </c>
    </row>
    <row r="53">
      <c r="A53" s="84" t="inlineStr">
        <is>
          <t>Privé</t>
        </is>
      </c>
      <c r="B53" s="7" t="inlineStr">
        <is>
          <t>sédentaire</t>
        </is>
      </c>
      <c r="C53" s="88" t="n">
        <v>1965</v>
      </c>
      <c r="D53" s="95" t="n">
        <v>63</v>
      </c>
      <c r="E53" s="95" t="n">
        <v>67</v>
      </c>
      <c r="F53" s="85" t="n">
        <v>171</v>
      </c>
      <c r="G53" s="120" t="n">
        <v>0.0125</v>
      </c>
      <c r="H53" s="120" t="n">
        <v>0.0125</v>
      </c>
      <c r="I53" s="75" t="n"/>
      <c r="J53" s="95" t="n">
        <v>62.74</v>
      </c>
      <c r="K53" s="95" t="n">
        <v>1</v>
      </c>
      <c r="L53" s="85" t="n">
        <v>0</v>
      </c>
    </row>
    <row r="54">
      <c r="A54" s="84" t="inlineStr">
        <is>
          <t>Privé</t>
        </is>
      </c>
      <c r="B54" s="7" t="inlineStr">
        <is>
          <t>sédentaire</t>
        </is>
      </c>
      <c r="C54" s="88" t="n">
        <v>1966</v>
      </c>
      <c r="D54" s="95" t="n">
        <v>63.25</v>
      </c>
      <c r="E54" s="95" t="n">
        <v>67</v>
      </c>
      <c r="F54" s="85" t="n">
        <v>172</v>
      </c>
      <c r="G54" s="120" t="n">
        <v>0.0125</v>
      </c>
      <c r="H54" s="120" t="n">
        <v>0.0125</v>
      </c>
      <c r="I54" s="75" t="n"/>
      <c r="J54" s="95" t="n">
        <v>62.84</v>
      </c>
      <c r="K54" s="95" t="n">
        <v>1</v>
      </c>
      <c r="L54" s="85" t="n">
        <v>0</v>
      </c>
    </row>
    <row r="55">
      <c r="A55" s="84" t="inlineStr">
        <is>
          <t>Privé</t>
        </is>
      </c>
      <c r="B55" s="7" t="inlineStr">
        <is>
          <t>sédentaire</t>
        </is>
      </c>
      <c r="C55" s="88" t="n">
        <v>1967</v>
      </c>
      <c r="D55" s="95" t="n">
        <v>63.5</v>
      </c>
      <c r="E55" s="95" t="n">
        <v>67</v>
      </c>
      <c r="F55" s="85" t="n">
        <v>172</v>
      </c>
      <c r="G55" s="120" t="n">
        <v>0.0125</v>
      </c>
      <c r="H55" s="120" t="n">
        <v>0.0125</v>
      </c>
      <c r="I55" s="75" t="n"/>
      <c r="J55" s="95" t="n">
        <v>62.93</v>
      </c>
      <c r="K55" s="95" t="n">
        <v>1</v>
      </c>
      <c r="L55" s="85" t="n">
        <v>0</v>
      </c>
    </row>
    <row r="56">
      <c r="A56" s="84" t="inlineStr">
        <is>
          <t>Privé</t>
        </is>
      </c>
      <c r="B56" s="7" t="inlineStr">
        <is>
          <t>sédentaire</t>
        </is>
      </c>
      <c r="C56" s="88" t="n">
        <v>1968</v>
      </c>
      <c r="D56" s="95" t="n">
        <v>63.75</v>
      </c>
      <c r="E56" s="95" t="n">
        <v>67</v>
      </c>
      <c r="F56" s="85" t="n">
        <v>172</v>
      </c>
      <c r="G56" s="120" t="n">
        <v>0.0125</v>
      </c>
      <c r="H56" s="120" t="n">
        <v>0.0125</v>
      </c>
      <c r="I56" s="75" t="n"/>
      <c r="J56" s="95" t="n">
        <v>63.03</v>
      </c>
      <c r="K56" s="95" t="n">
        <v>1</v>
      </c>
      <c r="L56" s="85" t="n">
        <v>0</v>
      </c>
    </row>
    <row r="57">
      <c r="A57" s="84" t="inlineStr">
        <is>
          <t>Privé</t>
        </is>
      </c>
      <c r="B57" s="7" t="inlineStr">
        <is>
          <t>sédentaire</t>
        </is>
      </c>
      <c r="C57" s="88" t="n">
        <v>1969</v>
      </c>
      <c r="D57" s="95" t="n">
        <v>64</v>
      </c>
      <c r="E57" s="95" t="n">
        <v>67</v>
      </c>
      <c r="F57" s="85" t="n">
        <v>172</v>
      </c>
      <c r="G57" s="120" t="n">
        <v>0.0125</v>
      </c>
      <c r="H57" s="120" t="n">
        <v>0.0125</v>
      </c>
      <c r="I57" s="75" t="n"/>
      <c r="J57" s="95" t="n">
        <v>63.12</v>
      </c>
      <c r="K57" s="95" t="n">
        <v>1</v>
      </c>
      <c r="L57" s="85" t="n">
        <v>0</v>
      </c>
    </row>
    <row r="58">
      <c r="A58" s="84" t="inlineStr">
        <is>
          <t>Privé</t>
        </is>
      </c>
      <c r="B58" s="7" t="inlineStr">
        <is>
          <t>sédentaire</t>
        </is>
      </c>
      <c r="C58" s="88" t="n">
        <v>1970</v>
      </c>
      <c r="D58" s="95" t="n">
        <v>64</v>
      </c>
      <c r="E58" s="95" t="n">
        <v>67</v>
      </c>
      <c r="F58" s="85" t="n">
        <v>172</v>
      </c>
      <c r="G58" s="120" t="n">
        <v>0.0125</v>
      </c>
      <c r="H58" s="120" t="n">
        <v>0.0125</v>
      </c>
      <c r="I58" s="75" t="n"/>
      <c r="J58" s="95" t="n">
        <v>63.22</v>
      </c>
      <c r="K58" s="95" t="n">
        <v>1</v>
      </c>
      <c r="L58" s="85" t="n">
        <v>0</v>
      </c>
    </row>
    <row r="59">
      <c r="A59" s="84" t="inlineStr">
        <is>
          <t>Privé</t>
        </is>
      </c>
      <c r="B59" s="7" t="inlineStr">
        <is>
          <t>sédentaire</t>
        </is>
      </c>
      <c r="C59" s="88" t="n">
        <v>1971</v>
      </c>
      <c r="D59" s="95" t="n">
        <v>64</v>
      </c>
      <c r="E59" s="95" t="n">
        <v>67</v>
      </c>
      <c r="F59" s="85" t="n">
        <v>172</v>
      </c>
      <c r="G59" s="120" t="n">
        <v>0.0125</v>
      </c>
      <c r="H59" s="120" t="n">
        <v>0.0125</v>
      </c>
      <c r="I59" s="75" t="n"/>
      <c r="J59" s="95" t="n">
        <v>63.31</v>
      </c>
      <c r="K59" s="95" t="n">
        <v>1</v>
      </c>
      <c r="L59" s="85" t="n">
        <v>0</v>
      </c>
    </row>
    <row r="60">
      <c r="A60" s="84" t="inlineStr">
        <is>
          <t>Privé</t>
        </is>
      </c>
      <c r="B60" s="7" t="inlineStr">
        <is>
          <t>sédentaire</t>
        </is>
      </c>
      <c r="C60" s="88" t="n">
        <v>1972</v>
      </c>
      <c r="D60" s="95" t="n">
        <v>64</v>
      </c>
      <c r="E60" s="95" t="n">
        <v>67</v>
      </c>
      <c r="F60" s="85" t="n">
        <v>172</v>
      </c>
      <c r="G60" s="120" t="n">
        <v>0.0125</v>
      </c>
      <c r="H60" s="120" t="n">
        <v>0.0125</v>
      </c>
      <c r="I60" s="75" t="n"/>
      <c r="J60" s="95" t="n">
        <v>63.41</v>
      </c>
      <c r="K60" s="95" t="n">
        <v>1</v>
      </c>
      <c r="L60" s="85" t="n">
        <v>0</v>
      </c>
    </row>
    <row r="61">
      <c r="A61" s="84" t="inlineStr">
        <is>
          <t>Privé</t>
        </is>
      </c>
      <c r="B61" s="7" t="inlineStr">
        <is>
          <t>sédentaire</t>
        </is>
      </c>
      <c r="C61" s="88" t="n">
        <v>1973</v>
      </c>
      <c r="D61" s="95" t="n">
        <v>64</v>
      </c>
      <c r="E61" s="95" t="n">
        <v>67</v>
      </c>
      <c r="F61" s="85" t="n">
        <v>172</v>
      </c>
      <c r="G61" s="120" t="n">
        <v>0.0125</v>
      </c>
      <c r="H61" s="120" t="n">
        <v>0.0125</v>
      </c>
      <c r="I61" s="75" t="n"/>
      <c r="J61" s="95" t="n">
        <v>63.5</v>
      </c>
      <c r="K61" s="95" t="n">
        <v>1</v>
      </c>
      <c r="L61" s="85" t="n">
        <v>0</v>
      </c>
    </row>
    <row r="62">
      <c r="A62" s="84" t="inlineStr">
        <is>
          <t>Privé</t>
        </is>
      </c>
      <c r="B62" s="7" t="inlineStr">
        <is>
          <t>sédentaire</t>
        </is>
      </c>
      <c r="C62" s="88" t="n">
        <v>1974</v>
      </c>
      <c r="D62" s="95" t="n">
        <v>64</v>
      </c>
      <c r="E62" s="95" t="n">
        <v>67</v>
      </c>
      <c r="F62" s="85" t="n">
        <v>172</v>
      </c>
      <c r="G62" s="120" t="n">
        <v>0.0125</v>
      </c>
      <c r="H62" s="120" t="n">
        <v>0.0125</v>
      </c>
      <c r="I62" s="75" t="n"/>
      <c r="J62" s="95" t="n">
        <v>63.54</v>
      </c>
      <c r="K62" s="95" t="n">
        <v>1</v>
      </c>
      <c r="L62" s="85" t="n">
        <v>0</v>
      </c>
    </row>
    <row r="63">
      <c r="A63" s="84" t="inlineStr">
        <is>
          <t>Privé</t>
        </is>
      </c>
      <c r="B63" s="7" t="inlineStr">
        <is>
          <t>sédentaire</t>
        </is>
      </c>
      <c r="C63" s="88" t="n">
        <v>1975</v>
      </c>
      <c r="D63" s="95" t="n">
        <v>64</v>
      </c>
      <c r="E63" s="95" t="n">
        <v>67</v>
      </c>
      <c r="F63" s="85" t="n">
        <v>172</v>
      </c>
      <c r="G63" s="120" t="n">
        <v>0.0125</v>
      </c>
      <c r="H63" s="120" t="n">
        <v>0.0125</v>
      </c>
      <c r="I63" s="75" t="n"/>
      <c r="J63" s="95" t="n">
        <v>63.59</v>
      </c>
      <c r="K63" s="95" t="n">
        <v>1</v>
      </c>
      <c r="L63" s="85" t="n">
        <v>0</v>
      </c>
    </row>
    <row r="64">
      <c r="A64" s="84" t="inlineStr">
        <is>
          <t>Privé</t>
        </is>
      </c>
      <c r="B64" s="7" t="inlineStr">
        <is>
          <t>sédentaire</t>
        </is>
      </c>
      <c r="C64" s="88" t="n">
        <v>1976</v>
      </c>
      <c r="D64" s="95" t="n">
        <v>64</v>
      </c>
      <c r="E64" s="95" t="n">
        <v>67</v>
      </c>
      <c r="F64" s="85" t="n">
        <v>172</v>
      </c>
      <c r="G64" s="120" t="n">
        <v>0.0125</v>
      </c>
      <c r="H64" s="120" t="n">
        <v>0.0125</v>
      </c>
      <c r="I64" s="75" t="n"/>
      <c r="J64" s="95" t="n">
        <v>63.63</v>
      </c>
      <c r="K64" s="95" t="n">
        <v>1</v>
      </c>
      <c r="L64" s="85" t="n">
        <v>0</v>
      </c>
    </row>
    <row r="65">
      <c r="A65" s="84" t="inlineStr">
        <is>
          <t>Privé</t>
        </is>
      </c>
      <c r="B65" s="7" t="inlineStr">
        <is>
          <t>sédentaire</t>
        </is>
      </c>
      <c r="C65" s="88" t="n">
        <v>1977</v>
      </c>
      <c r="D65" s="95" t="n">
        <v>64</v>
      </c>
      <c r="E65" s="95" t="n">
        <v>67</v>
      </c>
      <c r="F65" s="85" t="n">
        <v>172</v>
      </c>
      <c r="G65" s="120" t="n">
        <v>0.0125</v>
      </c>
      <c r="H65" s="120" t="n">
        <v>0.0125</v>
      </c>
      <c r="I65" s="75" t="n"/>
      <c r="J65" s="95" t="n">
        <v>63.67</v>
      </c>
      <c r="K65" s="95" t="n">
        <v>1</v>
      </c>
      <c r="L65" s="85" t="n">
        <v>0</v>
      </c>
    </row>
    <row r="66">
      <c r="A66" s="84" t="inlineStr">
        <is>
          <t>Privé</t>
        </is>
      </c>
      <c r="B66" s="7" t="inlineStr">
        <is>
          <t>sédentaire</t>
        </is>
      </c>
      <c r="C66" s="88" t="n">
        <v>1978</v>
      </c>
      <c r="D66" s="95" t="n">
        <v>64</v>
      </c>
      <c r="E66" s="95" t="n">
        <v>67</v>
      </c>
      <c r="F66" s="85" t="n">
        <v>172</v>
      </c>
      <c r="G66" s="120" t="n">
        <v>0.0125</v>
      </c>
      <c r="H66" s="120" t="n">
        <v>0.0125</v>
      </c>
      <c r="I66" s="75" t="n"/>
      <c r="J66" s="95" t="n">
        <v>63.71</v>
      </c>
      <c r="K66" s="95" t="n">
        <v>1</v>
      </c>
      <c r="L66" s="85" t="n">
        <v>0</v>
      </c>
    </row>
    <row r="67">
      <c r="A67" s="84" t="inlineStr">
        <is>
          <t>Privé</t>
        </is>
      </c>
      <c r="B67" s="7" t="inlineStr">
        <is>
          <t>sédentaire</t>
        </is>
      </c>
      <c r="C67" s="88" t="n">
        <v>1979</v>
      </c>
      <c r="D67" s="95" t="n">
        <v>64</v>
      </c>
      <c r="E67" s="95" t="n">
        <v>67</v>
      </c>
      <c r="F67" s="85" t="n">
        <v>172</v>
      </c>
      <c r="G67" s="120" t="n">
        <v>0.0125</v>
      </c>
      <c r="H67" s="120" t="n">
        <v>0.0125</v>
      </c>
      <c r="I67" s="75" t="n"/>
      <c r="J67" s="95" t="n">
        <v>63.76</v>
      </c>
      <c r="K67" s="95" t="n">
        <v>1</v>
      </c>
      <c r="L67" s="85" t="n">
        <v>0</v>
      </c>
    </row>
    <row r="68">
      <c r="A68" s="84" t="inlineStr">
        <is>
          <t>Privé</t>
        </is>
      </c>
      <c r="B68" s="7" t="inlineStr">
        <is>
          <t>sédentaire</t>
        </is>
      </c>
      <c r="C68" s="88" t="n">
        <v>1980</v>
      </c>
      <c r="D68" s="95" t="n">
        <v>64</v>
      </c>
      <c r="E68" s="95" t="n">
        <v>67</v>
      </c>
      <c r="F68" s="85" t="n">
        <v>172</v>
      </c>
      <c r="G68" s="120" t="n">
        <v>0.0125</v>
      </c>
      <c r="H68" s="120" t="n">
        <v>0.0125</v>
      </c>
      <c r="I68" s="75" t="n"/>
      <c r="J68" s="95" t="n">
        <v>63.8</v>
      </c>
      <c r="K68" s="95" t="n">
        <v>1</v>
      </c>
      <c r="L68" s="85" t="n">
        <v>0</v>
      </c>
    </row>
    <row r="69">
      <c r="A69" s="84" t="inlineStr">
        <is>
          <t>Privé</t>
        </is>
      </c>
      <c r="B69" s="7" t="inlineStr">
        <is>
          <t>sédentaire</t>
        </is>
      </c>
      <c r="C69" s="88" t="n">
        <v>1981</v>
      </c>
      <c r="D69" s="95" t="n">
        <v>64</v>
      </c>
      <c r="E69" s="95" t="n">
        <v>67</v>
      </c>
      <c r="F69" s="85" t="n">
        <v>172</v>
      </c>
      <c r="G69" s="120" t="n">
        <v>0.0125</v>
      </c>
      <c r="H69" s="120" t="n">
        <v>0.0125</v>
      </c>
      <c r="I69" s="75" t="n"/>
      <c r="J69" s="95" t="n">
        <v>63.81</v>
      </c>
      <c r="K69" s="95" t="n">
        <v>1</v>
      </c>
      <c r="L69" s="85" t="n">
        <v>0</v>
      </c>
    </row>
    <row r="70">
      <c r="A70" s="84" t="inlineStr">
        <is>
          <t>Privé</t>
        </is>
      </c>
      <c r="B70" s="7" t="inlineStr">
        <is>
          <t>sédentaire</t>
        </is>
      </c>
      <c r="C70" s="88" t="n">
        <v>1982</v>
      </c>
      <c r="D70" s="95" t="n">
        <v>64</v>
      </c>
      <c r="E70" s="95" t="n">
        <v>67</v>
      </c>
      <c r="F70" s="85" t="n">
        <v>172</v>
      </c>
      <c r="G70" s="120" t="n">
        <v>0.0125</v>
      </c>
      <c r="H70" s="120" t="n">
        <v>0.0125</v>
      </c>
      <c r="I70" s="75" t="n"/>
      <c r="J70" s="95" t="n">
        <v>63.82</v>
      </c>
      <c r="K70" s="95" t="n">
        <v>1</v>
      </c>
      <c r="L70" s="85" t="n">
        <v>0</v>
      </c>
    </row>
    <row r="71">
      <c r="A71" s="84" t="inlineStr">
        <is>
          <t>Privé</t>
        </is>
      </c>
      <c r="B71" s="7" t="inlineStr">
        <is>
          <t>sédentaire</t>
        </is>
      </c>
      <c r="C71" s="88" t="n">
        <v>1983</v>
      </c>
      <c r="D71" s="95" t="n">
        <v>64</v>
      </c>
      <c r="E71" s="95" t="n">
        <v>67</v>
      </c>
      <c r="F71" s="85" t="n">
        <v>172</v>
      </c>
      <c r="G71" s="120" t="n">
        <v>0.0125</v>
      </c>
      <c r="H71" s="120" t="n">
        <v>0.0125</v>
      </c>
      <c r="I71" s="75" t="n"/>
      <c r="J71" s="95" t="n">
        <v>63.83</v>
      </c>
      <c r="K71" s="95" t="n">
        <v>1</v>
      </c>
      <c r="L71" s="85" t="n">
        <v>0</v>
      </c>
    </row>
    <row r="72">
      <c r="A72" s="84" t="inlineStr">
        <is>
          <t>Privé</t>
        </is>
      </c>
      <c r="B72" s="7" t="inlineStr">
        <is>
          <t>sédentaire</t>
        </is>
      </c>
      <c r="C72" s="88" t="n">
        <v>1984</v>
      </c>
      <c r="D72" s="95" t="n">
        <v>64</v>
      </c>
      <c r="E72" s="95" t="n">
        <v>67</v>
      </c>
      <c r="F72" s="85" t="n">
        <v>172</v>
      </c>
      <c r="G72" s="120" t="n">
        <v>0.0125</v>
      </c>
      <c r="H72" s="120" t="n">
        <v>0.0125</v>
      </c>
      <c r="I72" s="75" t="n"/>
      <c r="J72" s="95" t="n">
        <v>63.84</v>
      </c>
      <c r="K72" s="95" t="n">
        <v>1</v>
      </c>
      <c r="L72" s="85" t="n">
        <v>0</v>
      </c>
    </row>
    <row r="73">
      <c r="A73" s="84" t="inlineStr">
        <is>
          <t>Privé</t>
        </is>
      </c>
      <c r="B73" s="7" t="inlineStr">
        <is>
          <t>sédentaire</t>
        </is>
      </c>
      <c r="C73" s="88" t="n">
        <v>1985</v>
      </c>
      <c r="D73" s="95" t="n">
        <v>64</v>
      </c>
      <c r="E73" s="95" t="n">
        <v>67</v>
      </c>
      <c r="F73" s="85" t="n">
        <v>172</v>
      </c>
      <c r="G73" s="120" t="n">
        <v>0.0125</v>
      </c>
      <c r="H73" s="120" t="n">
        <v>0.0125</v>
      </c>
      <c r="I73" s="75" t="n"/>
      <c r="J73" s="95" t="n">
        <v>63.85</v>
      </c>
      <c r="K73" s="95" t="n">
        <v>1</v>
      </c>
      <c r="L73" s="85" t="n">
        <v>0</v>
      </c>
    </row>
    <row r="74">
      <c r="A74" s="84" t="inlineStr">
        <is>
          <t>Privé</t>
        </is>
      </c>
      <c r="B74" s="7" t="inlineStr">
        <is>
          <t>sédentaire</t>
        </is>
      </c>
      <c r="C74" s="88" t="n">
        <v>1986</v>
      </c>
      <c r="D74" s="95" t="n">
        <v>64</v>
      </c>
      <c r="E74" s="95" t="n">
        <v>67</v>
      </c>
      <c r="F74" s="85" t="n">
        <v>172</v>
      </c>
      <c r="G74" s="120" t="n">
        <v>0.0125</v>
      </c>
      <c r="H74" s="120" t="n">
        <v>0.0125</v>
      </c>
      <c r="I74" s="75" t="n"/>
      <c r="J74" s="95" t="n">
        <v>63.86</v>
      </c>
      <c r="K74" s="95" t="n">
        <v>1</v>
      </c>
      <c r="L74" s="85" t="n">
        <v>0</v>
      </c>
    </row>
    <row r="75">
      <c r="A75" s="84" t="inlineStr">
        <is>
          <t>Privé</t>
        </is>
      </c>
      <c r="B75" s="7" t="inlineStr">
        <is>
          <t>sédentaire</t>
        </is>
      </c>
      <c r="C75" s="88" t="n">
        <v>1987</v>
      </c>
      <c r="D75" s="95" t="n">
        <v>64</v>
      </c>
      <c r="E75" s="95" t="n">
        <v>67</v>
      </c>
      <c r="F75" s="85" t="n">
        <v>172</v>
      </c>
      <c r="G75" s="120" t="n">
        <v>0.0125</v>
      </c>
      <c r="H75" s="120" t="n">
        <v>0.0125</v>
      </c>
      <c r="I75" s="75" t="n"/>
      <c r="J75" s="95" t="n">
        <v>63.87</v>
      </c>
      <c r="K75" s="95" t="n">
        <v>1</v>
      </c>
      <c r="L75" s="85" t="n">
        <v>0</v>
      </c>
    </row>
    <row r="76">
      <c r="A76" s="84" t="inlineStr">
        <is>
          <t>Privé</t>
        </is>
      </c>
      <c r="B76" s="7" t="inlineStr">
        <is>
          <t>sédentaire</t>
        </is>
      </c>
      <c r="C76" s="88" t="n">
        <v>1988</v>
      </c>
      <c r="D76" s="95" t="n">
        <v>64</v>
      </c>
      <c r="E76" s="95" t="n">
        <v>67</v>
      </c>
      <c r="F76" s="85" t="n">
        <v>172</v>
      </c>
      <c r="G76" s="120" t="n">
        <v>0.0125</v>
      </c>
      <c r="H76" s="120" t="n">
        <v>0.0125</v>
      </c>
      <c r="I76" s="75" t="n"/>
      <c r="J76" s="95" t="n">
        <v>63.88</v>
      </c>
      <c r="K76" s="95" t="n">
        <v>1</v>
      </c>
      <c r="L76" s="85" t="n">
        <v>0</v>
      </c>
    </row>
    <row r="77">
      <c r="A77" s="84" t="inlineStr">
        <is>
          <t>Privé</t>
        </is>
      </c>
      <c r="B77" s="7" t="inlineStr">
        <is>
          <t>sédentaire</t>
        </is>
      </c>
      <c r="C77" s="88" t="n">
        <v>1989</v>
      </c>
      <c r="D77" s="95" t="n">
        <v>64</v>
      </c>
      <c r="E77" s="95" t="n">
        <v>67</v>
      </c>
      <c r="F77" s="85" t="n">
        <v>172</v>
      </c>
      <c r="G77" s="120" t="n">
        <v>0.0125</v>
      </c>
      <c r="H77" s="120" t="n">
        <v>0.0125</v>
      </c>
      <c r="I77" s="75" t="n"/>
      <c r="J77" s="95" t="n">
        <v>63.89</v>
      </c>
      <c r="K77" s="95" t="n">
        <v>1</v>
      </c>
      <c r="L77" s="85" t="n">
        <v>0</v>
      </c>
    </row>
    <row r="78">
      <c r="A78" s="84" t="inlineStr">
        <is>
          <t>Privé</t>
        </is>
      </c>
      <c r="B78" s="7" t="inlineStr">
        <is>
          <t>sédentaire</t>
        </is>
      </c>
      <c r="C78" s="88" t="n">
        <v>1990</v>
      </c>
      <c r="D78" s="95" t="n">
        <v>64</v>
      </c>
      <c r="E78" s="95" t="n">
        <v>67</v>
      </c>
      <c r="F78" s="85" t="n">
        <v>172</v>
      </c>
      <c r="G78" s="120" t="n">
        <v>0.0125</v>
      </c>
      <c r="H78" s="120" t="n">
        <v>0.0125</v>
      </c>
      <c r="I78" s="75" t="n"/>
      <c r="J78" s="95" t="n">
        <v>63.9</v>
      </c>
      <c r="K78" s="95" t="n">
        <v>1</v>
      </c>
      <c r="L78" s="85" t="n">
        <v>0</v>
      </c>
    </row>
    <row r="79">
      <c r="A79" s="84" t="inlineStr">
        <is>
          <t>Privé</t>
        </is>
      </c>
      <c r="B79" s="7" t="inlineStr">
        <is>
          <t>sédentaire</t>
        </is>
      </c>
      <c r="C79" s="88" t="n">
        <v>1991</v>
      </c>
      <c r="D79" s="95" t="n">
        <v>64</v>
      </c>
      <c r="E79" s="95" t="n">
        <v>67</v>
      </c>
      <c r="F79" s="85" t="n">
        <v>172</v>
      </c>
      <c r="G79" s="120" t="n">
        <v>0.0125</v>
      </c>
      <c r="H79" s="120" t="n">
        <v>0.0125</v>
      </c>
      <c r="I79" s="75" t="n"/>
      <c r="J79" s="95" t="n">
        <v>63.91</v>
      </c>
      <c r="K79" s="95" t="n">
        <v>1</v>
      </c>
      <c r="L79" s="85" t="n">
        <v>0</v>
      </c>
    </row>
    <row r="80">
      <c r="A80" s="84" t="inlineStr">
        <is>
          <t>Privé</t>
        </is>
      </c>
      <c r="B80" s="7" t="inlineStr">
        <is>
          <t>sédentaire</t>
        </is>
      </c>
      <c r="C80" s="88" t="n">
        <v>1992</v>
      </c>
      <c r="D80" s="95" t="n">
        <v>64</v>
      </c>
      <c r="E80" s="95" t="n">
        <v>67</v>
      </c>
      <c r="F80" s="85" t="n">
        <v>172</v>
      </c>
      <c r="G80" s="120" t="n">
        <v>0.0125</v>
      </c>
      <c r="H80" s="120" t="n">
        <v>0.0125</v>
      </c>
      <c r="I80" s="75" t="n"/>
      <c r="J80" s="95" t="n">
        <v>63.92</v>
      </c>
      <c r="K80" s="95" t="n">
        <v>1</v>
      </c>
      <c r="L80" s="85" t="n">
        <v>0</v>
      </c>
    </row>
    <row r="81">
      <c r="A81" s="84" t="inlineStr">
        <is>
          <t>Privé</t>
        </is>
      </c>
      <c r="B81" s="7" t="inlineStr">
        <is>
          <t>sédentaire</t>
        </is>
      </c>
      <c r="C81" s="88" t="n">
        <v>1993</v>
      </c>
      <c r="D81" s="95" t="n">
        <v>64</v>
      </c>
      <c r="E81" s="95" t="n">
        <v>67</v>
      </c>
      <c r="F81" s="85" t="n">
        <v>172</v>
      </c>
      <c r="G81" s="120" t="n">
        <v>0.0125</v>
      </c>
      <c r="H81" s="120" t="n">
        <v>0.0125</v>
      </c>
      <c r="I81" s="75" t="n"/>
      <c r="J81" s="95" t="n">
        <v>63.93</v>
      </c>
      <c r="K81" s="95" t="n">
        <v>1</v>
      </c>
      <c r="L81" s="85" t="n">
        <v>0</v>
      </c>
    </row>
    <row r="82">
      <c r="A82" s="84" t="inlineStr">
        <is>
          <t>Privé</t>
        </is>
      </c>
      <c r="B82" s="7" t="inlineStr">
        <is>
          <t>sédentaire</t>
        </is>
      </c>
      <c r="C82" s="88" t="n">
        <v>1994</v>
      </c>
      <c r="D82" s="95" t="n">
        <v>64</v>
      </c>
      <c r="E82" s="95" t="n">
        <v>67</v>
      </c>
      <c r="F82" s="85" t="n">
        <v>172</v>
      </c>
      <c r="G82" s="120" t="n">
        <v>0.0125</v>
      </c>
      <c r="H82" s="120" t="n">
        <v>0.0125</v>
      </c>
      <c r="I82" s="75" t="n"/>
      <c r="J82" s="95" t="n">
        <v>63.94</v>
      </c>
      <c r="K82" s="95" t="n">
        <v>1</v>
      </c>
      <c r="L82" s="85" t="n">
        <v>0</v>
      </c>
    </row>
    <row r="83">
      <c r="A83" s="84" t="inlineStr">
        <is>
          <t>Privé</t>
        </is>
      </c>
      <c r="B83" s="7" t="inlineStr">
        <is>
          <t>sédentaire</t>
        </is>
      </c>
      <c r="C83" s="88" t="n">
        <v>1995</v>
      </c>
      <c r="D83" s="95" t="n">
        <v>64</v>
      </c>
      <c r="E83" s="95" t="n">
        <v>67</v>
      </c>
      <c r="F83" s="85" t="n">
        <v>172</v>
      </c>
      <c r="G83" s="120" t="n">
        <v>0.0125</v>
      </c>
      <c r="H83" s="120" t="n">
        <v>0.0125</v>
      </c>
      <c r="I83" s="75" t="n"/>
      <c r="J83" s="95" t="n">
        <v>63.95</v>
      </c>
      <c r="K83" s="95" t="n">
        <v>1</v>
      </c>
      <c r="L83" s="85" t="n">
        <v>0</v>
      </c>
    </row>
    <row r="84">
      <c r="A84" s="84" t="inlineStr">
        <is>
          <t>Privé</t>
        </is>
      </c>
      <c r="B84" s="7" t="inlineStr">
        <is>
          <t>sédentaire</t>
        </is>
      </c>
      <c r="C84" s="88" t="n">
        <v>1996</v>
      </c>
      <c r="D84" s="95" t="n">
        <v>64</v>
      </c>
      <c r="E84" s="95" t="n">
        <v>67</v>
      </c>
      <c r="F84" s="85" t="n">
        <v>172</v>
      </c>
      <c r="G84" s="120" t="n">
        <v>0.0125</v>
      </c>
      <c r="H84" s="120" t="n">
        <v>0.0125</v>
      </c>
      <c r="I84" s="75" t="n"/>
      <c r="J84" s="95" t="n">
        <v>63.96</v>
      </c>
      <c r="K84" s="95" t="n">
        <v>1</v>
      </c>
      <c r="L84" s="85" t="n">
        <v>0</v>
      </c>
    </row>
    <row r="85">
      <c r="A85" s="84" t="inlineStr">
        <is>
          <t>Privé</t>
        </is>
      </c>
      <c r="B85" s="7" t="inlineStr">
        <is>
          <t>sédentaire</t>
        </is>
      </c>
      <c r="C85" s="88" t="n">
        <v>1997</v>
      </c>
      <c r="D85" s="95" t="n">
        <v>64</v>
      </c>
      <c r="E85" s="95" t="n">
        <v>67</v>
      </c>
      <c r="F85" s="85" t="n">
        <v>172</v>
      </c>
      <c r="G85" s="120" t="n">
        <v>0.0125</v>
      </c>
      <c r="H85" s="120" t="n">
        <v>0.0125</v>
      </c>
      <c r="I85" s="75" t="n"/>
      <c r="J85" s="95" t="n">
        <v>63.97</v>
      </c>
      <c r="K85" s="95" t="n">
        <v>1</v>
      </c>
      <c r="L85" s="85" t="n">
        <v>0</v>
      </c>
    </row>
    <row r="86">
      <c r="A86" s="84" t="inlineStr">
        <is>
          <t>Privé</t>
        </is>
      </c>
      <c r="B86" s="7" t="inlineStr">
        <is>
          <t>sédentaire</t>
        </is>
      </c>
      <c r="C86" s="88" t="n">
        <v>1998</v>
      </c>
      <c r="D86" s="95" t="n">
        <v>64</v>
      </c>
      <c r="E86" s="95" t="n">
        <v>67</v>
      </c>
      <c r="F86" s="85" t="n">
        <v>172</v>
      </c>
      <c r="G86" s="120" t="n">
        <v>0.0125</v>
      </c>
      <c r="H86" s="120" t="n">
        <v>0.0125</v>
      </c>
      <c r="I86" s="75" t="n"/>
      <c r="J86" s="95" t="n">
        <v>63.98</v>
      </c>
      <c r="K86" s="95" t="n">
        <v>1</v>
      </c>
      <c r="L86" s="85" t="n">
        <v>0</v>
      </c>
    </row>
    <row r="87">
      <c r="A87" s="84" t="inlineStr">
        <is>
          <t>Privé</t>
        </is>
      </c>
      <c r="B87" s="7" t="inlineStr">
        <is>
          <t>sédentaire</t>
        </is>
      </c>
      <c r="C87" s="88" t="n">
        <v>1999</v>
      </c>
      <c r="D87" s="95" t="n">
        <v>64</v>
      </c>
      <c r="E87" s="95" t="n">
        <v>67</v>
      </c>
      <c r="F87" s="85" t="n">
        <v>172</v>
      </c>
      <c r="G87" s="120" t="n">
        <v>0.0125</v>
      </c>
      <c r="H87" s="120" t="n">
        <v>0.0125</v>
      </c>
      <c r="I87" s="75" t="n"/>
      <c r="J87" s="95" t="n">
        <v>63.99</v>
      </c>
      <c r="K87" s="95" t="n">
        <v>1</v>
      </c>
      <c r="L87" s="85" t="n">
        <v>0</v>
      </c>
    </row>
    <row r="88">
      <c r="A88" s="84" t="inlineStr">
        <is>
          <t>Privé</t>
        </is>
      </c>
      <c r="B88" s="7" t="inlineStr">
        <is>
          <t>sédentaire</t>
        </is>
      </c>
      <c r="C88" s="88" t="n">
        <v>2000</v>
      </c>
      <c r="D88" s="95" t="n">
        <v>64</v>
      </c>
      <c r="E88" s="95" t="n">
        <v>67</v>
      </c>
      <c r="F88" s="85" t="n">
        <v>172</v>
      </c>
      <c r="G88" s="120" t="n">
        <v>0.0125</v>
      </c>
      <c r="H88" s="120" t="n">
        <v>0.0125</v>
      </c>
      <c r="I88" s="75" t="n"/>
      <c r="J88" s="95" t="n">
        <v>64</v>
      </c>
      <c r="K88" s="95" t="n">
        <v>1</v>
      </c>
      <c r="L88" s="85" t="n">
        <v>0</v>
      </c>
    </row>
    <row r="89">
      <c r="A89" s="84" t="inlineStr">
        <is>
          <t>Privé</t>
        </is>
      </c>
      <c r="B89" s="7" t="inlineStr">
        <is>
          <t>sédentaire</t>
        </is>
      </c>
      <c r="C89" s="88" t="n">
        <v>2001</v>
      </c>
      <c r="D89" s="95" t="n">
        <v>64</v>
      </c>
      <c r="E89" s="95" t="n">
        <v>67</v>
      </c>
      <c r="F89" s="85" t="n">
        <v>172</v>
      </c>
      <c r="G89" s="120" t="n">
        <v>0.0125</v>
      </c>
      <c r="H89" s="120" t="n">
        <v>0.0125</v>
      </c>
      <c r="I89" s="75" t="n"/>
      <c r="J89" s="95" t="n">
        <v>64</v>
      </c>
      <c r="K89" s="95" t="n">
        <v>1</v>
      </c>
      <c r="L89" s="85" t="n">
        <v>0</v>
      </c>
    </row>
    <row r="90">
      <c r="A90" s="84" t="inlineStr">
        <is>
          <t>Privé</t>
        </is>
      </c>
      <c r="B90" s="7" t="inlineStr">
        <is>
          <t>sédentaire</t>
        </is>
      </c>
      <c r="C90" s="88" t="n">
        <v>2002</v>
      </c>
      <c r="D90" s="95" t="n">
        <v>64</v>
      </c>
      <c r="E90" s="95" t="n">
        <v>67</v>
      </c>
      <c r="F90" s="85" t="n">
        <v>172</v>
      </c>
      <c r="G90" s="120" t="n">
        <v>0.0125</v>
      </c>
      <c r="H90" s="120" t="n">
        <v>0.0125</v>
      </c>
      <c r="I90" s="75" t="n"/>
      <c r="J90" s="95" t="n">
        <v>64</v>
      </c>
      <c r="K90" s="95" t="n">
        <v>1</v>
      </c>
      <c r="L90" s="85" t="n">
        <v>0</v>
      </c>
    </row>
    <row r="91">
      <c r="A91" s="84" t="inlineStr">
        <is>
          <t>Privé</t>
        </is>
      </c>
      <c r="B91" s="7" t="inlineStr">
        <is>
          <t>sédentaire</t>
        </is>
      </c>
      <c r="C91" s="88" t="n">
        <v>2003</v>
      </c>
      <c r="D91" s="95" t="n">
        <v>64</v>
      </c>
      <c r="E91" s="95" t="n">
        <v>67</v>
      </c>
      <c r="F91" s="85" t="n">
        <v>172</v>
      </c>
      <c r="G91" s="120" t="n">
        <v>0.0125</v>
      </c>
      <c r="H91" s="120" t="n">
        <v>0.0125</v>
      </c>
      <c r="I91" s="75" t="n"/>
      <c r="J91" s="95" t="n">
        <v>64</v>
      </c>
      <c r="K91" s="95" t="n">
        <v>1</v>
      </c>
      <c r="L91" s="85" t="n">
        <v>0</v>
      </c>
    </row>
    <row r="92">
      <c r="A92" s="84" t="inlineStr">
        <is>
          <t>Privé</t>
        </is>
      </c>
      <c r="B92" s="7" t="inlineStr">
        <is>
          <t>sédentaire</t>
        </is>
      </c>
      <c r="C92" s="88" t="n">
        <v>2004</v>
      </c>
      <c r="D92" s="95" t="n">
        <v>64</v>
      </c>
      <c r="E92" s="95" t="n">
        <v>67</v>
      </c>
      <c r="F92" s="85" t="n">
        <v>172</v>
      </c>
      <c r="G92" s="120" t="n">
        <v>0.0125</v>
      </c>
      <c r="H92" s="120" t="n">
        <v>0.0125</v>
      </c>
      <c r="I92" s="75" t="n"/>
      <c r="J92" s="95" t="n">
        <v>64</v>
      </c>
      <c r="K92" s="95" t="n">
        <v>1</v>
      </c>
      <c r="L92" s="85" t="n">
        <v>0</v>
      </c>
    </row>
    <row r="93">
      <c r="A93" s="84" t="inlineStr">
        <is>
          <t>Privé</t>
        </is>
      </c>
      <c r="B93" s="7" t="inlineStr">
        <is>
          <t>sédentaire</t>
        </is>
      </c>
      <c r="C93" s="88" t="n">
        <v>2005</v>
      </c>
      <c r="D93" s="95" t="n">
        <v>64</v>
      </c>
      <c r="E93" s="95" t="n">
        <v>67</v>
      </c>
      <c r="F93" s="85" t="n">
        <v>172</v>
      </c>
      <c r="G93" s="120" t="n">
        <v>0.0125</v>
      </c>
      <c r="H93" s="120" t="n">
        <v>0.0125</v>
      </c>
      <c r="I93" s="75" t="n"/>
      <c r="J93" s="95" t="n">
        <v>64</v>
      </c>
      <c r="K93" s="95" t="n">
        <v>1</v>
      </c>
      <c r="L93" s="85" t="n">
        <v>0</v>
      </c>
    </row>
    <row r="94">
      <c r="A94" s="84" t="inlineStr">
        <is>
          <t>Privé</t>
        </is>
      </c>
      <c r="B94" s="7" t="inlineStr">
        <is>
          <t>sédentaire</t>
        </is>
      </c>
      <c r="C94" s="88" t="n">
        <v>2006</v>
      </c>
      <c r="D94" s="95" t="n">
        <v>64</v>
      </c>
      <c r="E94" s="95" t="n">
        <v>67</v>
      </c>
      <c r="F94" s="85" t="n">
        <v>172</v>
      </c>
      <c r="G94" s="120" t="n">
        <v>0.0125</v>
      </c>
      <c r="H94" s="120" t="n">
        <v>0.0125</v>
      </c>
      <c r="I94" s="75" t="n"/>
      <c r="J94" s="95" t="n">
        <v>64</v>
      </c>
      <c r="K94" s="95" t="n">
        <v>1</v>
      </c>
      <c r="L94" s="85" t="n">
        <v>0</v>
      </c>
    </row>
    <row r="95">
      <c r="A95" s="84" t="inlineStr">
        <is>
          <t>Privé</t>
        </is>
      </c>
      <c r="B95" s="7" t="inlineStr">
        <is>
          <t>sédentaire</t>
        </is>
      </c>
      <c r="C95" s="88" t="n">
        <v>2007</v>
      </c>
      <c r="D95" s="95" t="n">
        <v>64</v>
      </c>
      <c r="E95" s="95" t="n">
        <v>67</v>
      </c>
      <c r="F95" s="85" t="n">
        <v>172</v>
      </c>
      <c r="G95" s="120" t="n">
        <v>0.0125</v>
      </c>
      <c r="H95" s="120" t="n">
        <v>0.0125</v>
      </c>
      <c r="I95" s="75" t="n"/>
      <c r="J95" s="95" t="n">
        <v>64</v>
      </c>
      <c r="K95" s="95" t="n">
        <v>1</v>
      </c>
      <c r="L95" s="85" t="n">
        <v>0</v>
      </c>
    </row>
    <row r="96">
      <c r="A96" s="84" t="inlineStr">
        <is>
          <t>Privé</t>
        </is>
      </c>
      <c r="B96" s="7" t="inlineStr">
        <is>
          <t>sédentaire</t>
        </is>
      </c>
      <c r="C96" s="88" t="n">
        <v>2008</v>
      </c>
      <c r="D96" s="95" t="n">
        <v>64</v>
      </c>
      <c r="E96" s="95" t="n">
        <v>67</v>
      </c>
      <c r="F96" s="85" t="n">
        <v>172</v>
      </c>
      <c r="G96" s="120" t="n">
        <v>0.0125</v>
      </c>
      <c r="H96" s="120" t="n">
        <v>0.0125</v>
      </c>
      <c r="I96" s="75" t="n"/>
      <c r="J96" s="95" t="n">
        <v>64</v>
      </c>
      <c r="K96" s="95" t="n">
        <v>1</v>
      </c>
      <c r="L96" s="85" t="n">
        <v>0</v>
      </c>
    </row>
    <row r="97">
      <c r="A97" s="84" t="inlineStr">
        <is>
          <t>Privé</t>
        </is>
      </c>
      <c r="B97" s="7" t="inlineStr">
        <is>
          <t>sédentaire</t>
        </is>
      </c>
      <c r="C97" s="88" t="n">
        <v>2009</v>
      </c>
      <c r="D97" s="95" t="n">
        <v>64</v>
      </c>
      <c r="E97" s="95" t="n">
        <v>67</v>
      </c>
      <c r="F97" s="85" t="n">
        <v>172</v>
      </c>
      <c r="G97" s="120" t="n">
        <v>0.0125</v>
      </c>
      <c r="H97" s="120" t="n">
        <v>0.0125</v>
      </c>
      <c r="I97" s="75" t="n"/>
      <c r="J97" s="95" t="n">
        <v>64</v>
      </c>
      <c r="K97" s="95" t="n">
        <v>1</v>
      </c>
      <c r="L97" s="85" t="n">
        <v>0</v>
      </c>
    </row>
    <row r="98">
      <c r="A98" s="84" t="inlineStr">
        <is>
          <t>Privé</t>
        </is>
      </c>
      <c r="B98" s="7" t="inlineStr">
        <is>
          <t>sédentaire</t>
        </is>
      </c>
      <c r="C98" s="88" t="n">
        <v>2010</v>
      </c>
      <c r="D98" s="95" t="n">
        <v>64</v>
      </c>
      <c r="E98" s="95" t="n">
        <v>67</v>
      </c>
      <c r="F98" s="85" t="n">
        <v>172</v>
      </c>
      <c r="G98" s="120" t="n">
        <v>0.0125</v>
      </c>
      <c r="H98" s="120" t="n">
        <v>0.0125</v>
      </c>
      <c r="I98" s="75" t="n"/>
      <c r="J98" s="95" t="n">
        <v>64</v>
      </c>
      <c r="K98" s="95" t="n">
        <v>1</v>
      </c>
      <c r="L98" s="85" t="n">
        <v>0</v>
      </c>
    </row>
    <row r="99">
      <c r="A99" s="84" t="inlineStr">
        <is>
          <t>Privé</t>
        </is>
      </c>
      <c r="B99" s="7" t="inlineStr">
        <is>
          <t>sédentaire</t>
        </is>
      </c>
      <c r="C99" s="88" t="n">
        <v>2011</v>
      </c>
      <c r="D99" s="95" t="n">
        <v>64</v>
      </c>
      <c r="E99" s="95" t="n">
        <v>67</v>
      </c>
      <c r="F99" s="85" t="n">
        <v>172</v>
      </c>
      <c r="G99" s="120" t="n">
        <v>0.0125</v>
      </c>
      <c r="H99" s="120" t="n">
        <v>0.0125</v>
      </c>
      <c r="I99" s="75" t="n"/>
      <c r="J99" s="95" t="n">
        <v>64</v>
      </c>
      <c r="K99" s="95" t="n">
        <v>1</v>
      </c>
      <c r="L99" s="85" t="n">
        <v>0</v>
      </c>
    </row>
    <row r="100">
      <c r="A100" s="84" t="inlineStr">
        <is>
          <t>Privé</t>
        </is>
      </c>
      <c r="B100" s="7" t="inlineStr">
        <is>
          <t>sédentaire</t>
        </is>
      </c>
      <c r="C100" s="88" t="n">
        <v>2012</v>
      </c>
      <c r="D100" s="95" t="n">
        <v>64</v>
      </c>
      <c r="E100" s="95" t="n">
        <v>67</v>
      </c>
      <c r="F100" s="85" t="n">
        <v>172</v>
      </c>
      <c r="G100" s="120" t="n">
        <v>0.0125</v>
      </c>
      <c r="H100" s="120" t="n">
        <v>0.0125</v>
      </c>
      <c r="I100" s="75" t="n"/>
      <c r="J100" s="95" t="n">
        <v>64</v>
      </c>
      <c r="K100" s="95" t="n">
        <v>1</v>
      </c>
      <c r="L100" s="85" t="n">
        <v>0</v>
      </c>
    </row>
    <row r="101">
      <c r="A101" s="84" t="inlineStr">
        <is>
          <t>Privé</t>
        </is>
      </c>
      <c r="B101" s="7" t="inlineStr">
        <is>
          <t>sédentaire</t>
        </is>
      </c>
      <c r="C101" s="88" t="n">
        <v>2013</v>
      </c>
      <c r="D101" s="95" t="n">
        <v>64</v>
      </c>
      <c r="E101" s="95" t="n">
        <v>67</v>
      </c>
      <c r="F101" s="85" t="n">
        <v>172</v>
      </c>
      <c r="G101" s="120" t="n">
        <v>0.0125</v>
      </c>
      <c r="H101" s="120" t="n">
        <v>0.0125</v>
      </c>
      <c r="I101" s="75" t="n"/>
      <c r="J101" s="95" t="n">
        <v>64</v>
      </c>
      <c r="K101" s="95" t="n">
        <v>1</v>
      </c>
      <c r="L101" s="85" t="n">
        <v>0</v>
      </c>
    </row>
    <row r="102">
      <c r="A102" s="84" t="inlineStr">
        <is>
          <t>Privé</t>
        </is>
      </c>
      <c r="B102" s="7" t="inlineStr">
        <is>
          <t>sédentaire</t>
        </is>
      </c>
      <c r="C102" s="88" t="n">
        <v>2014</v>
      </c>
      <c r="D102" s="95" t="n">
        <v>64</v>
      </c>
      <c r="E102" s="95" t="n">
        <v>67</v>
      </c>
      <c r="F102" s="85" t="n">
        <v>172</v>
      </c>
      <c r="G102" s="120" t="n">
        <v>0.0125</v>
      </c>
      <c r="H102" s="120" t="n">
        <v>0.0125</v>
      </c>
      <c r="I102" s="75" t="n"/>
      <c r="J102" s="95" t="n">
        <v>64</v>
      </c>
      <c r="K102" s="95" t="n">
        <v>1</v>
      </c>
      <c r="L102" s="85" t="n">
        <v>0</v>
      </c>
    </row>
    <row r="103">
      <c r="A103" s="84" t="inlineStr">
        <is>
          <t>Privé</t>
        </is>
      </c>
      <c r="B103" s="7" t="inlineStr">
        <is>
          <t>sédentaire</t>
        </is>
      </c>
      <c r="C103" s="88" t="n">
        <v>2015</v>
      </c>
      <c r="D103" s="95" t="n">
        <v>64</v>
      </c>
      <c r="E103" s="95" t="n">
        <v>67</v>
      </c>
      <c r="F103" s="85" t="n">
        <v>172</v>
      </c>
      <c r="G103" s="120" t="n">
        <v>0.0125</v>
      </c>
      <c r="H103" s="120" t="n">
        <v>0.0125</v>
      </c>
      <c r="I103" s="75" t="n"/>
      <c r="J103" s="95" t="n">
        <v>64</v>
      </c>
      <c r="K103" s="95" t="n">
        <v>1</v>
      </c>
      <c r="L103" s="85" t="n">
        <v>0</v>
      </c>
    </row>
    <row r="104">
      <c r="A104" s="84" t="inlineStr">
        <is>
          <t>Privé</t>
        </is>
      </c>
      <c r="B104" s="7" t="inlineStr">
        <is>
          <t>sédentaire</t>
        </is>
      </c>
      <c r="C104" s="88" t="n">
        <v>2016</v>
      </c>
      <c r="D104" s="95" t="n">
        <v>64</v>
      </c>
      <c r="E104" s="95" t="n">
        <v>67</v>
      </c>
      <c r="F104" s="85" t="n">
        <v>172</v>
      </c>
      <c r="G104" s="120" t="n">
        <v>0.0125</v>
      </c>
      <c r="H104" s="120" t="n">
        <v>0.0125</v>
      </c>
      <c r="I104" s="75" t="n"/>
      <c r="J104" s="95" t="n">
        <v>64</v>
      </c>
      <c r="K104" s="95" t="n">
        <v>1</v>
      </c>
      <c r="L104" s="85" t="n">
        <v>0</v>
      </c>
    </row>
    <row r="105">
      <c r="A105" s="84" t="inlineStr">
        <is>
          <t>Privé</t>
        </is>
      </c>
      <c r="B105" s="7" t="inlineStr">
        <is>
          <t>sédentaire</t>
        </is>
      </c>
      <c r="C105" s="88" t="n">
        <v>2017</v>
      </c>
      <c r="D105" s="95" t="n">
        <v>64</v>
      </c>
      <c r="E105" s="95" t="n">
        <v>67</v>
      </c>
      <c r="F105" s="85" t="n">
        <v>172</v>
      </c>
      <c r="G105" s="120" t="n">
        <v>0.0125</v>
      </c>
      <c r="H105" s="120" t="n">
        <v>0.0125</v>
      </c>
      <c r="I105" s="75" t="n"/>
      <c r="J105" s="95" t="n">
        <v>64</v>
      </c>
      <c r="K105" s="95" t="n">
        <v>1</v>
      </c>
      <c r="L105" s="85" t="n">
        <v>0</v>
      </c>
    </row>
    <row r="106">
      <c r="A106" s="84" t="inlineStr">
        <is>
          <t>Privé</t>
        </is>
      </c>
      <c r="B106" s="7" t="inlineStr">
        <is>
          <t>sédentaire</t>
        </is>
      </c>
      <c r="C106" s="88" t="n">
        <v>2018</v>
      </c>
      <c r="D106" s="95" t="n">
        <v>64</v>
      </c>
      <c r="E106" s="95" t="n">
        <v>67</v>
      </c>
      <c r="F106" s="85" t="n">
        <v>172</v>
      </c>
      <c r="G106" s="120" t="n">
        <v>0.0125</v>
      </c>
      <c r="H106" s="120" t="n">
        <v>0.0125</v>
      </c>
      <c r="I106" s="75" t="n"/>
      <c r="J106" s="95" t="n">
        <v>64</v>
      </c>
      <c r="K106" s="95" t="n">
        <v>1</v>
      </c>
      <c r="L106" s="85" t="n">
        <v>0</v>
      </c>
    </row>
    <row r="107">
      <c r="A107" s="84" t="inlineStr">
        <is>
          <t>Privé</t>
        </is>
      </c>
      <c r="B107" s="7" t="inlineStr">
        <is>
          <t>sédentaire</t>
        </is>
      </c>
      <c r="C107" s="88" t="n">
        <v>2019</v>
      </c>
      <c r="D107" s="95" t="n">
        <v>64</v>
      </c>
      <c r="E107" s="95" t="n">
        <v>67</v>
      </c>
      <c r="F107" s="85" t="n">
        <v>172</v>
      </c>
      <c r="G107" s="120" t="n">
        <v>0.0125</v>
      </c>
      <c r="H107" s="120" t="n">
        <v>0.0125</v>
      </c>
      <c r="I107" s="75" t="n"/>
      <c r="J107" s="95" t="n">
        <v>64</v>
      </c>
      <c r="K107" s="95" t="n">
        <v>1</v>
      </c>
      <c r="L107" s="85" t="n">
        <v>0</v>
      </c>
    </row>
    <row r="108">
      <c r="A108" s="84" t="inlineStr">
        <is>
          <t>Privé</t>
        </is>
      </c>
      <c r="B108" s="7" t="inlineStr">
        <is>
          <t>sédentaire</t>
        </is>
      </c>
      <c r="C108" s="88" t="n">
        <v>2020</v>
      </c>
      <c r="D108" s="95" t="n">
        <v>64</v>
      </c>
      <c r="E108" s="95" t="n">
        <v>67</v>
      </c>
      <c r="F108" s="85" t="n">
        <v>172</v>
      </c>
      <c r="G108" s="120" t="n">
        <v>0.0125</v>
      </c>
      <c r="H108" s="120" t="n">
        <v>0.0125</v>
      </c>
      <c r="I108" s="75" t="n"/>
      <c r="J108" s="95" t="n">
        <v>64</v>
      </c>
      <c r="K108" s="95" t="n">
        <v>1</v>
      </c>
      <c r="L108" s="85" t="n">
        <v>0</v>
      </c>
    </row>
    <row r="109">
      <c r="A109" s="84" t="inlineStr">
        <is>
          <t>Privé</t>
        </is>
      </c>
      <c r="B109" s="7" t="inlineStr">
        <is>
          <t>sédentaire</t>
        </is>
      </c>
      <c r="C109" s="88" t="n">
        <v>2021</v>
      </c>
      <c r="D109" s="95" t="n">
        <v>64</v>
      </c>
      <c r="E109" s="95" t="n">
        <v>67</v>
      </c>
      <c r="F109" s="85" t="n">
        <v>172</v>
      </c>
      <c r="G109" s="120" t="n">
        <v>0.0125</v>
      </c>
      <c r="H109" s="120" t="n">
        <v>0.0125</v>
      </c>
      <c r="I109" s="75" t="n"/>
      <c r="J109" s="95" t="n">
        <v>64</v>
      </c>
      <c r="K109" s="95" t="n">
        <v>1</v>
      </c>
      <c r="L109" s="85" t="n">
        <v>0</v>
      </c>
    </row>
    <row r="110">
      <c r="A110" s="84" t="inlineStr">
        <is>
          <t>Privé</t>
        </is>
      </c>
      <c r="B110" s="7" t="inlineStr">
        <is>
          <t>sédentaire</t>
        </is>
      </c>
      <c r="C110" s="88" t="n">
        <v>2022</v>
      </c>
      <c r="D110" s="95" t="n">
        <v>64</v>
      </c>
      <c r="E110" s="95" t="n">
        <v>67</v>
      </c>
      <c r="F110" s="85" t="n">
        <v>172</v>
      </c>
      <c r="G110" s="120" t="n">
        <v>0.0125</v>
      </c>
      <c r="H110" s="120" t="n">
        <v>0.0125</v>
      </c>
      <c r="I110" s="75" t="n"/>
      <c r="J110" s="95" t="n">
        <v>64</v>
      </c>
      <c r="K110" s="95" t="n">
        <v>1</v>
      </c>
      <c r="L110" s="85" t="n">
        <v>0</v>
      </c>
    </row>
    <row r="111">
      <c r="A111" s="84" t="inlineStr">
        <is>
          <t>Privé</t>
        </is>
      </c>
      <c r="B111" s="7" t="inlineStr">
        <is>
          <t>sédentaire</t>
        </is>
      </c>
      <c r="C111" s="88" t="n">
        <v>2023</v>
      </c>
      <c r="D111" s="95" t="n">
        <v>64</v>
      </c>
      <c r="E111" s="95" t="n">
        <v>67</v>
      </c>
      <c r="F111" s="85" t="n">
        <v>172</v>
      </c>
      <c r="G111" s="120" t="n">
        <v>0.0125</v>
      </c>
      <c r="H111" s="120" t="n">
        <v>0.0125</v>
      </c>
      <c r="I111" s="75" t="n"/>
      <c r="J111" s="95" t="n">
        <v>64</v>
      </c>
      <c r="K111" s="95" t="n">
        <v>1</v>
      </c>
      <c r="L111" s="85" t="n">
        <v>0</v>
      </c>
    </row>
    <row r="112">
      <c r="A112" s="84" t="inlineStr">
        <is>
          <t>Privé</t>
        </is>
      </c>
      <c r="B112" s="7" t="inlineStr">
        <is>
          <t>sédentaire</t>
        </is>
      </c>
      <c r="C112" s="88" t="n">
        <v>2024</v>
      </c>
      <c r="D112" s="95" t="n">
        <v>64</v>
      </c>
      <c r="E112" s="95" t="n">
        <v>67</v>
      </c>
      <c r="F112" s="85" t="n">
        <v>172</v>
      </c>
      <c r="G112" s="120" t="n">
        <v>0.0125</v>
      </c>
      <c r="H112" s="120" t="n">
        <v>0.0125</v>
      </c>
      <c r="I112" s="75" t="n"/>
      <c r="J112" s="95" t="n">
        <v>64</v>
      </c>
      <c r="K112" s="95" t="n">
        <v>1</v>
      </c>
      <c r="L112" s="85" t="n">
        <v>0</v>
      </c>
    </row>
    <row r="113">
      <c r="A113" s="84" t="inlineStr">
        <is>
          <t>Privé</t>
        </is>
      </c>
      <c r="B113" s="7" t="inlineStr">
        <is>
          <t>sédentaire</t>
        </is>
      </c>
      <c r="C113" s="88" t="n">
        <v>2025</v>
      </c>
      <c r="D113" s="95" t="n">
        <v>64</v>
      </c>
      <c r="E113" s="95" t="n">
        <v>67</v>
      </c>
      <c r="F113" s="85" t="n">
        <v>172</v>
      </c>
      <c r="G113" s="120" t="n">
        <v>0.0125</v>
      </c>
      <c r="H113" s="120" t="n">
        <v>0.0125</v>
      </c>
      <c r="I113" s="75" t="n"/>
      <c r="J113" s="95" t="n">
        <v>64</v>
      </c>
      <c r="K113" s="95" t="n">
        <v>1</v>
      </c>
      <c r="L113" s="85" t="n">
        <v>0</v>
      </c>
    </row>
    <row r="114">
      <c r="A114" s="84" t="inlineStr">
        <is>
          <t>Privé</t>
        </is>
      </c>
      <c r="B114" s="7" t="inlineStr">
        <is>
          <t>actif</t>
        </is>
      </c>
      <c r="C114" s="88" t="n">
        <v>1915</v>
      </c>
      <c r="D114" s="95" t="n">
        <v>60</v>
      </c>
      <c r="E114" s="95" t="n">
        <v>65</v>
      </c>
      <c r="F114" s="85" t="n">
        <v>150</v>
      </c>
      <c r="G114" s="120" t="n">
        <v>0.025</v>
      </c>
      <c r="H114" s="120" t="n">
        <v>0.0075</v>
      </c>
      <c r="I114" s="75" t="n"/>
      <c r="J114" s="95" t="n">
        <v>63.02</v>
      </c>
      <c r="K114" s="95" t="n">
        <v>1</v>
      </c>
      <c r="L114" s="85" t="n">
        <v>0</v>
      </c>
    </row>
    <row r="115">
      <c r="A115" s="84" t="inlineStr">
        <is>
          <t>Privé</t>
        </is>
      </c>
      <c r="B115" s="7" t="inlineStr">
        <is>
          <t>actif</t>
        </is>
      </c>
      <c r="C115" s="88" t="n">
        <v>1916</v>
      </c>
      <c r="D115" s="95" t="n">
        <v>60</v>
      </c>
      <c r="E115" s="95" t="n">
        <v>65</v>
      </c>
      <c r="F115" s="85" t="n">
        <v>150</v>
      </c>
      <c r="G115" s="120" t="n">
        <v>0.025</v>
      </c>
      <c r="H115" s="120" t="n">
        <v>0.0075</v>
      </c>
      <c r="I115" s="75" t="n"/>
      <c r="J115" s="95" t="n">
        <v>62.89</v>
      </c>
      <c r="K115" s="95" t="n">
        <v>1</v>
      </c>
      <c r="L115" s="85" t="n">
        <v>0</v>
      </c>
    </row>
    <row r="116">
      <c r="A116" s="84" t="inlineStr">
        <is>
          <t>Privé</t>
        </is>
      </c>
      <c r="B116" s="7" t="inlineStr">
        <is>
          <t>actif</t>
        </is>
      </c>
      <c r="C116" s="88" t="n">
        <v>1917</v>
      </c>
      <c r="D116" s="95" t="n">
        <v>60</v>
      </c>
      <c r="E116" s="95" t="n">
        <v>65</v>
      </c>
      <c r="F116" s="85" t="n">
        <v>150</v>
      </c>
      <c r="G116" s="120" t="n">
        <v>0.025</v>
      </c>
      <c r="H116" s="120" t="n">
        <v>0.0075</v>
      </c>
      <c r="I116" s="75" t="n"/>
      <c r="J116" s="95" t="n">
        <v>62.76</v>
      </c>
      <c r="K116" s="95" t="n">
        <v>1</v>
      </c>
      <c r="L116" s="85" t="n">
        <v>0</v>
      </c>
    </row>
    <row r="117">
      <c r="A117" s="84" t="inlineStr">
        <is>
          <t>Privé</t>
        </is>
      </c>
      <c r="B117" s="7" t="inlineStr">
        <is>
          <t>actif</t>
        </is>
      </c>
      <c r="C117" s="88" t="n">
        <v>1918</v>
      </c>
      <c r="D117" s="95" t="n">
        <v>60</v>
      </c>
      <c r="E117" s="95" t="n">
        <v>65</v>
      </c>
      <c r="F117" s="85" t="n">
        <v>150</v>
      </c>
      <c r="G117" s="120" t="n">
        <v>0.025</v>
      </c>
      <c r="H117" s="120" t="n">
        <v>0.0075</v>
      </c>
      <c r="I117" s="75" t="n"/>
      <c r="J117" s="95" t="n">
        <v>62.63</v>
      </c>
      <c r="K117" s="95" t="n">
        <v>1</v>
      </c>
      <c r="L117" s="85" t="n">
        <v>0</v>
      </c>
    </row>
    <row r="118">
      <c r="A118" s="84" t="inlineStr">
        <is>
          <t>Privé</t>
        </is>
      </c>
      <c r="B118" s="7" t="inlineStr">
        <is>
          <t>actif</t>
        </is>
      </c>
      <c r="C118" s="88" t="n">
        <v>1919</v>
      </c>
      <c r="D118" s="95" t="n">
        <v>60</v>
      </c>
      <c r="E118" s="95" t="n">
        <v>65</v>
      </c>
      <c r="F118" s="85" t="n">
        <v>150</v>
      </c>
      <c r="G118" s="120" t="n">
        <v>0.025</v>
      </c>
      <c r="H118" s="120" t="n">
        <v>0.0075</v>
      </c>
      <c r="I118" s="75" t="n"/>
      <c r="J118" s="95" t="n">
        <v>62.5</v>
      </c>
      <c r="K118" s="95" t="n">
        <v>1</v>
      </c>
      <c r="L118" s="85" t="n">
        <v>0</v>
      </c>
    </row>
    <row r="119">
      <c r="A119" s="84" t="inlineStr">
        <is>
          <t>Privé</t>
        </is>
      </c>
      <c r="B119" s="7" t="inlineStr">
        <is>
          <t>actif</t>
        </is>
      </c>
      <c r="C119" s="88" t="n">
        <v>1920</v>
      </c>
      <c r="D119" s="95" t="n">
        <v>60</v>
      </c>
      <c r="E119" s="95" t="n">
        <v>65</v>
      </c>
      <c r="F119" s="85" t="n">
        <v>150</v>
      </c>
      <c r="G119" s="120" t="n">
        <v>0.025</v>
      </c>
      <c r="H119" s="120" t="n">
        <v>0.0075</v>
      </c>
      <c r="I119" s="75" t="n"/>
      <c r="J119" s="95" t="n">
        <v>62.37</v>
      </c>
      <c r="K119" s="95" t="n">
        <v>1</v>
      </c>
      <c r="L119" s="85" t="n">
        <v>0</v>
      </c>
    </row>
    <row r="120">
      <c r="A120" s="84" t="inlineStr">
        <is>
          <t>Privé</t>
        </is>
      </c>
      <c r="B120" s="7" t="inlineStr">
        <is>
          <t>actif</t>
        </is>
      </c>
      <c r="C120" s="88" t="n">
        <v>1921</v>
      </c>
      <c r="D120" s="95" t="n">
        <v>60</v>
      </c>
      <c r="E120" s="95" t="n">
        <v>65</v>
      </c>
      <c r="F120" s="85" t="n">
        <v>150</v>
      </c>
      <c r="G120" s="120" t="n">
        <v>0.025</v>
      </c>
      <c r="H120" s="120" t="n">
        <v>0.0075</v>
      </c>
      <c r="I120" s="75" t="n"/>
      <c r="J120" s="95" t="n">
        <v>62.24</v>
      </c>
      <c r="K120" s="95" t="n">
        <v>1</v>
      </c>
      <c r="L120" s="85" t="n">
        <v>0</v>
      </c>
    </row>
    <row r="121">
      <c r="A121" s="84" t="inlineStr">
        <is>
          <t>Privé</t>
        </is>
      </c>
      <c r="B121" s="7" t="inlineStr">
        <is>
          <t>actif</t>
        </is>
      </c>
      <c r="C121" s="88" t="n">
        <v>1922</v>
      </c>
      <c r="D121" s="95" t="n">
        <v>60</v>
      </c>
      <c r="E121" s="95" t="n">
        <v>65</v>
      </c>
      <c r="F121" s="85" t="n">
        <v>150</v>
      </c>
      <c r="G121" s="120" t="n">
        <v>0.025</v>
      </c>
      <c r="H121" s="120" t="n">
        <v>0.0075</v>
      </c>
      <c r="I121" s="75" t="n"/>
      <c r="J121" s="95" t="n">
        <v>62.11</v>
      </c>
      <c r="K121" s="95" t="n">
        <v>1</v>
      </c>
      <c r="L121" s="85" t="n">
        <v>0</v>
      </c>
    </row>
    <row r="122">
      <c r="A122" s="84" t="inlineStr">
        <is>
          <t>Privé</t>
        </is>
      </c>
      <c r="B122" s="7" t="inlineStr">
        <is>
          <t>actif</t>
        </is>
      </c>
      <c r="C122" s="88" t="n">
        <v>1923</v>
      </c>
      <c r="D122" s="95" t="n">
        <v>60</v>
      </c>
      <c r="E122" s="95" t="n">
        <v>65</v>
      </c>
      <c r="F122" s="85" t="n">
        <v>150</v>
      </c>
      <c r="G122" s="120" t="n">
        <v>0.025</v>
      </c>
      <c r="H122" s="120" t="n">
        <v>0.0075</v>
      </c>
      <c r="I122" s="75" t="n"/>
      <c r="J122" s="95" t="n">
        <v>61.98</v>
      </c>
      <c r="K122" s="95" t="n">
        <v>1</v>
      </c>
      <c r="L122" s="85" t="n">
        <v>0</v>
      </c>
    </row>
    <row r="123">
      <c r="A123" s="84" t="inlineStr">
        <is>
          <t>Privé</t>
        </is>
      </c>
      <c r="B123" s="7" t="inlineStr">
        <is>
          <t>actif</t>
        </is>
      </c>
      <c r="C123" s="88" t="n">
        <v>1924</v>
      </c>
      <c r="D123" s="95" t="n">
        <v>60</v>
      </c>
      <c r="E123" s="95" t="n">
        <v>65</v>
      </c>
      <c r="F123" s="85" t="n">
        <v>150</v>
      </c>
      <c r="G123" s="120" t="n">
        <v>0.025</v>
      </c>
      <c r="H123" s="120" t="n">
        <v>0.0075</v>
      </c>
      <c r="I123" s="75" t="n"/>
      <c r="J123" s="95" t="n">
        <v>61.85</v>
      </c>
      <c r="K123" s="95" t="n">
        <v>1</v>
      </c>
      <c r="L123" s="85" t="n">
        <v>0</v>
      </c>
    </row>
    <row r="124">
      <c r="A124" s="84" t="inlineStr">
        <is>
          <t>Privé</t>
        </is>
      </c>
      <c r="B124" s="7" t="inlineStr">
        <is>
          <t>actif</t>
        </is>
      </c>
      <c r="C124" s="88" t="n">
        <v>1925</v>
      </c>
      <c r="D124" s="95" t="n">
        <v>60</v>
      </c>
      <c r="E124" s="95" t="n">
        <v>65</v>
      </c>
      <c r="F124" s="85" t="n">
        <v>150</v>
      </c>
      <c r="G124" s="120" t="n">
        <v>0.025</v>
      </c>
      <c r="H124" s="120" t="n">
        <v>0.0075</v>
      </c>
      <c r="I124" s="75" t="n"/>
      <c r="J124" s="95" t="n">
        <v>61.72</v>
      </c>
      <c r="K124" s="95" t="n">
        <v>1</v>
      </c>
      <c r="L124" s="85" t="n">
        <v>0</v>
      </c>
    </row>
    <row r="125">
      <c r="A125" s="84" t="inlineStr">
        <is>
          <t>Privé</t>
        </is>
      </c>
      <c r="B125" s="7" t="inlineStr">
        <is>
          <t>actif</t>
        </is>
      </c>
      <c r="C125" s="88" t="n">
        <v>1926</v>
      </c>
      <c r="D125" s="95" t="n">
        <v>60</v>
      </c>
      <c r="E125" s="95" t="n">
        <v>65</v>
      </c>
      <c r="F125" s="85" t="n">
        <v>150</v>
      </c>
      <c r="G125" s="120" t="n">
        <v>0.025</v>
      </c>
      <c r="H125" s="120" t="n">
        <v>0.0075</v>
      </c>
      <c r="I125" s="75" t="n"/>
      <c r="J125" s="95" t="n">
        <v>61.58</v>
      </c>
      <c r="K125" s="95" t="n">
        <v>1</v>
      </c>
      <c r="L125" s="85" t="n">
        <v>0</v>
      </c>
    </row>
    <row r="126">
      <c r="A126" s="84" t="inlineStr">
        <is>
          <t>Privé</t>
        </is>
      </c>
      <c r="B126" s="7" t="inlineStr">
        <is>
          <t>actif</t>
        </is>
      </c>
      <c r="C126" s="88" t="n">
        <v>1927</v>
      </c>
      <c r="D126" s="95" t="n">
        <v>60</v>
      </c>
      <c r="E126" s="95" t="n">
        <v>65</v>
      </c>
      <c r="F126" s="85" t="n">
        <v>150</v>
      </c>
      <c r="G126" s="120" t="n">
        <v>0.025</v>
      </c>
      <c r="H126" s="120" t="n">
        <v>0.0075</v>
      </c>
      <c r="I126" s="75" t="n"/>
      <c r="J126" s="95" t="n">
        <v>61.45</v>
      </c>
      <c r="K126" s="95" t="n">
        <v>1</v>
      </c>
      <c r="L126" s="85" t="n">
        <v>0</v>
      </c>
    </row>
    <row r="127">
      <c r="A127" s="84" t="inlineStr">
        <is>
          <t>Privé</t>
        </is>
      </c>
      <c r="B127" s="7" t="inlineStr">
        <is>
          <t>actif</t>
        </is>
      </c>
      <c r="C127" s="88" t="n">
        <v>1928</v>
      </c>
      <c r="D127" s="95" t="n">
        <v>60</v>
      </c>
      <c r="E127" s="95" t="n">
        <v>65</v>
      </c>
      <c r="F127" s="85" t="n">
        <v>150</v>
      </c>
      <c r="G127" s="120" t="n">
        <v>0.025</v>
      </c>
      <c r="H127" s="120" t="n">
        <v>0.0075</v>
      </c>
      <c r="I127" s="75" t="n"/>
      <c r="J127" s="95" t="n">
        <v>61.32</v>
      </c>
      <c r="K127" s="95" t="n">
        <v>1</v>
      </c>
      <c r="L127" s="85" t="n">
        <v>0</v>
      </c>
    </row>
    <row r="128">
      <c r="A128" s="84" t="inlineStr">
        <is>
          <t>Privé</t>
        </is>
      </c>
      <c r="B128" s="7" t="inlineStr">
        <is>
          <t>actif</t>
        </is>
      </c>
      <c r="C128" s="88" t="n">
        <v>1929</v>
      </c>
      <c r="D128" s="95" t="n">
        <v>60</v>
      </c>
      <c r="E128" s="95" t="n">
        <v>65</v>
      </c>
      <c r="F128" s="85" t="n">
        <v>150</v>
      </c>
      <c r="G128" s="120" t="n">
        <v>0.025</v>
      </c>
      <c r="H128" s="120" t="n">
        <v>0.0075</v>
      </c>
      <c r="I128" s="75" t="n"/>
      <c r="J128" s="95" t="n">
        <v>61.19</v>
      </c>
      <c r="K128" s="95" t="n">
        <v>1</v>
      </c>
      <c r="L128" s="85" t="n">
        <v>0</v>
      </c>
    </row>
    <row r="129">
      <c r="A129" s="84" t="inlineStr">
        <is>
          <t>Privé</t>
        </is>
      </c>
      <c r="B129" s="7" t="inlineStr">
        <is>
          <t>actif</t>
        </is>
      </c>
      <c r="C129" s="88" t="n">
        <v>1930</v>
      </c>
      <c r="D129" s="95" t="n">
        <v>60</v>
      </c>
      <c r="E129" s="95" t="n">
        <v>65</v>
      </c>
      <c r="F129" s="85" t="n">
        <v>150</v>
      </c>
      <c r="G129" s="120" t="n">
        <v>0.025</v>
      </c>
      <c r="H129" s="120" t="n">
        <v>0.0075</v>
      </c>
      <c r="I129" s="75" t="n"/>
      <c r="J129" s="95" t="n">
        <v>61.06</v>
      </c>
      <c r="K129" s="95" t="n">
        <v>1</v>
      </c>
      <c r="L129" s="85" t="n">
        <v>0</v>
      </c>
    </row>
    <row r="130">
      <c r="A130" s="84" t="inlineStr">
        <is>
          <t>Privé</t>
        </is>
      </c>
      <c r="B130" s="7" t="inlineStr">
        <is>
          <t>actif</t>
        </is>
      </c>
      <c r="C130" s="88" t="n">
        <v>1931</v>
      </c>
      <c r="D130" s="95" t="n">
        <v>60</v>
      </c>
      <c r="E130" s="95" t="n">
        <v>65</v>
      </c>
      <c r="F130" s="85" t="n">
        <v>150</v>
      </c>
      <c r="G130" s="120" t="n">
        <v>0.025</v>
      </c>
      <c r="H130" s="120" t="n">
        <v>0.0075</v>
      </c>
      <c r="I130" s="75" t="n"/>
      <c r="J130" s="95" t="n">
        <v>60.93</v>
      </c>
      <c r="K130" s="95" t="n">
        <v>1</v>
      </c>
      <c r="L130" s="85" t="n">
        <v>0</v>
      </c>
    </row>
    <row r="131">
      <c r="A131" s="84" t="inlineStr">
        <is>
          <t>Privé</t>
        </is>
      </c>
      <c r="B131" s="7" t="inlineStr">
        <is>
          <t>actif</t>
        </is>
      </c>
      <c r="C131" s="88" t="n">
        <v>1932</v>
      </c>
      <c r="D131" s="95" t="n">
        <v>60</v>
      </c>
      <c r="E131" s="95" t="n">
        <v>65</v>
      </c>
      <c r="F131" s="85" t="n">
        <v>150</v>
      </c>
      <c r="G131" s="120" t="n">
        <v>0.025</v>
      </c>
      <c r="H131" s="120" t="n">
        <v>0.0075</v>
      </c>
      <c r="I131" s="75" t="n"/>
      <c r="J131" s="95" t="n">
        <v>60.8</v>
      </c>
      <c r="K131" s="95" t="n">
        <v>1</v>
      </c>
      <c r="L131" s="85" t="n">
        <v>0</v>
      </c>
    </row>
    <row r="132">
      <c r="A132" s="84" t="inlineStr">
        <is>
          <t>Privé</t>
        </is>
      </c>
      <c r="B132" s="7" t="inlineStr">
        <is>
          <t>actif</t>
        </is>
      </c>
      <c r="C132" s="88" t="n">
        <v>1933</v>
      </c>
      <c r="D132" s="95" t="n">
        <v>60</v>
      </c>
      <c r="E132" s="95" t="n">
        <v>65</v>
      </c>
      <c r="F132" s="85" t="n">
        <v>150</v>
      </c>
      <c r="G132" s="120" t="n">
        <v>0.025</v>
      </c>
      <c r="H132" s="120" t="n">
        <v>0.0075</v>
      </c>
      <c r="I132" s="75" t="n"/>
      <c r="J132" s="95" t="n">
        <v>60.81</v>
      </c>
      <c r="K132" s="95" t="n">
        <v>1</v>
      </c>
      <c r="L132" s="85" t="n">
        <v>0</v>
      </c>
    </row>
    <row r="133">
      <c r="A133" s="84" t="inlineStr">
        <is>
          <t>Privé</t>
        </is>
      </c>
      <c r="B133" s="7" t="inlineStr">
        <is>
          <t>actif</t>
        </is>
      </c>
      <c r="C133" s="88" t="n">
        <v>1934</v>
      </c>
      <c r="D133" s="95" t="n">
        <v>60</v>
      </c>
      <c r="E133" s="95" t="n">
        <v>65</v>
      </c>
      <c r="F133" s="85" t="n">
        <v>151</v>
      </c>
      <c r="G133" s="120" t="n">
        <v>0.025</v>
      </c>
      <c r="H133" s="120" t="n">
        <v>0.0075</v>
      </c>
      <c r="I133" s="75" t="n"/>
      <c r="J133" s="95" t="n">
        <v>60.82</v>
      </c>
      <c r="K133" s="95" t="n">
        <v>1</v>
      </c>
      <c r="L133" s="85" t="n">
        <v>0</v>
      </c>
    </row>
    <row r="134">
      <c r="A134" s="84" t="inlineStr">
        <is>
          <t>Privé</t>
        </is>
      </c>
      <c r="B134" s="7" t="inlineStr">
        <is>
          <t>actif</t>
        </is>
      </c>
      <c r="C134" s="88" t="n">
        <v>1935</v>
      </c>
      <c r="D134" s="95" t="n">
        <v>60</v>
      </c>
      <c r="E134" s="95" t="n">
        <v>65</v>
      </c>
      <c r="F134" s="85" t="n">
        <v>152</v>
      </c>
      <c r="G134" s="120" t="n">
        <v>0.025</v>
      </c>
      <c r="H134" s="120" t="n">
        <v>0.0075</v>
      </c>
      <c r="I134" s="75" t="n"/>
      <c r="J134" s="95" t="n">
        <v>60.84</v>
      </c>
      <c r="K134" s="95" t="n">
        <v>1</v>
      </c>
      <c r="L134" s="85" t="n">
        <v>0</v>
      </c>
    </row>
    <row r="135">
      <c r="A135" s="84" t="inlineStr">
        <is>
          <t>Privé</t>
        </is>
      </c>
      <c r="B135" s="7" t="inlineStr">
        <is>
          <t>actif</t>
        </is>
      </c>
      <c r="C135" s="88" t="n">
        <v>1936</v>
      </c>
      <c r="D135" s="95" t="n">
        <v>60</v>
      </c>
      <c r="E135" s="95" t="n">
        <v>65</v>
      </c>
      <c r="F135" s="85" t="n">
        <v>153</v>
      </c>
      <c r="G135" s="120" t="n">
        <v>0.025</v>
      </c>
      <c r="H135" s="120" t="n">
        <v>0.0075</v>
      </c>
      <c r="I135" s="75" t="n"/>
      <c r="J135" s="95" t="n">
        <v>60.85</v>
      </c>
      <c r="K135" s="95" t="n">
        <v>1</v>
      </c>
      <c r="L135" s="85" t="n">
        <v>0</v>
      </c>
    </row>
    <row r="136">
      <c r="A136" s="84" t="inlineStr">
        <is>
          <t>Privé</t>
        </is>
      </c>
      <c r="B136" s="7" t="inlineStr">
        <is>
          <t>actif</t>
        </is>
      </c>
      <c r="C136" s="88" t="n">
        <v>1937</v>
      </c>
      <c r="D136" s="95" t="n">
        <v>60</v>
      </c>
      <c r="E136" s="95" t="n">
        <v>65</v>
      </c>
      <c r="F136" s="85" t="n">
        <v>154</v>
      </c>
      <c r="G136" s="120" t="n">
        <v>0.025</v>
      </c>
      <c r="H136" s="120" t="n">
        <v>0.0075</v>
      </c>
      <c r="I136" s="75" t="n"/>
      <c r="J136" s="95" t="n">
        <v>60.86</v>
      </c>
      <c r="K136" s="95" t="n">
        <v>1</v>
      </c>
      <c r="L136" s="85" t="n">
        <v>0</v>
      </c>
    </row>
    <row r="137">
      <c r="A137" s="84" t="inlineStr">
        <is>
          <t>Privé</t>
        </is>
      </c>
      <c r="B137" s="7" t="inlineStr">
        <is>
          <t>actif</t>
        </is>
      </c>
      <c r="C137" s="88" t="n">
        <v>1938</v>
      </c>
      <c r="D137" s="95" t="n">
        <v>60</v>
      </c>
      <c r="E137" s="95" t="n">
        <v>65</v>
      </c>
      <c r="F137" s="85" t="n">
        <v>155</v>
      </c>
      <c r="G137" s="120" t="n">
        <v>0.025</v>
      </c>
      <c r="H137" s="120" t="n">
        <v>0.0075</v>
      </c>
      <c r="I137" s="75" t="n"/>
      <c r="J137" s="95" t="n">
        <v>60.88</v>
      </c>
      <c r="K137" s="95" t="n">
        <v>1</v>
      </c>
      <c r="L137" s="85" t="n">
        <v>0</v>
      </c>
    </row>
    <row r="138">
      <c r="A138" s="84" t="inlineStr">
        <is>
          <t>Privé</t>
        </is>
      </c>
      <c r="B138" s="7" t="inlineStr">
        <is>
          <t>actif</t>
        </is>
      </c>
      <c r="C138" s="88" t="n">
        <v>1939</v>
      </c>
      <c r="D138" s="95" t="n">
        <v>60</v>
      </c>
      <c r="E138" s="95" t="n">
        <v>65</v>
      </c>
      <c r="F138" s="85" t="n">
        <v>156</v>
      </c>
      <c r="G138" s="120" t="n">
        <v>0.025</v>
      </c>
      <c r="H138" s="120" t="n">
        <v>0.0075</v>
      </c>
      <c r="I138" s="75" t="n"/>
      <c r="J138" s="95" t="n">
        <v>60.89</v>
      </c>
      <c r="K138" s="95" t="n">
        <v>1</v>
      </c>
      <c r="L138" s="85" t="n">
        <v>0</v>
      </c>
    </row>
    <row r="139">
      <c r="A139" s="84" t="inlineStr">
        <is>
          <t>Privé</t>
        </is>
      </c>
      <c r="B139" s="7" t="inlineStr">
        <is>
          <t>actif</t>
        </is>
      </c>
      <c r="C139" s="88" t="n">
        <v>1940</v>
      </c>
      <c r="D139" s="95" t="n">
        <v>60</v>
      </c>
      <c r="E139" s="95" t="n">
        <v>65</v>
      </c>
      <c r="F139" s="85" t="n">
        <v>157</v>
      </c>
      <c r="G139" s="120" t="n">
        <v>0.025</v>
      </c>
      <c r="H139" s="120" t="n">
        <v>0.0075</v>
      </c>
      <c r="I139" s="75" t="n"/>
      <c r="J139" s="95" t="n">
        <v>60.9</v>
      </c>
      <c r="K139" s="95" t="n">
        <v>1</v>
      </c>
      <c r="L139" s="85" t="n">
        <v>0</v>
      </c>
    </row>
    <row r="140">
      <c r="A140" s="84" t="inlineStr">
        <is>
          <t>Privé</t>
        </is>
      </c>
      <c r="B140" s="7" t="inlineStr">
        <is>
          <t>actif</t>
        </is>
      </c>
      <c r="C140" s="88" t="n">
        <v>1941</v>
      </c>
      <c r="D140" s="95" t="n">
        <v>60</v>
      </c>
      <c r="E140" s="95" t="n">
        <v>65</v>
      </c>
      <c r="F140" s="85" t="n">
        <v>158</v>
      </c>
      <c r="G140" s="120" t="n">
        <v>0.025</v>
      </c>
      <c r="H140" s="120" t="n">
        <v>0.0075</v>
      </c>
      <c r="I140" s="75" t="n"/>
      <c r="J140" s="95" t="n">
        <v>60.92</v>
      </c>
      <c r="K140" s="95" t="n">
        <v>1</v>
      </c>
      <c r="L140" s="85" t="n">
        <v>0</v>
      </c>
    </row>
    <row r="141">
      <c r="A141" s="84" t="inlineStr">
        <is>
          <t>Privé</t>
        </is>
      </c>
      <c r="B141" s="7" t="inlineStr">
        <is>
          <t>actif</t>
        </is>
      </c>
      <c r="C141" s="88" t="n">
        <v>1942</v>
      </c>
      <c r="D141" s="95" t="n">
        <v>60</v>
      </c>
      <c r="E141" s="95" t="n">
        <v>65</v>
      </c>
      <c r="F141" s="85" t="n">
        <v>159</v>
      </c>
      <c r="G141" s="120" t="n">
        <v>0.025</v>
      </c>
      <c r="H141" s="120" t="n">
        <v>0.0075</v>
      </c>
      <c r="I141" s="75" t="n"/>
      <c r="J141" s="95" t="n">
        <v>60.94</v>
      </c>
      <c r="K141" s="95" t="n">
        <v>1</v>
      </c>
      <c r="L141" s="85" t="n">
        <v>0</v>
      </c>
    </row>
    <row r="142">
      <c r="A142" s="84" t="inlineStr">
        <is>
          <t>Privé</t>
        </is>
      </c>
      <c r="B142" s="7" t="inlineStr">
        <is>
          <t>actif</t>
        </is>
      </c>
      <c r="C142" s="88" t="n">
        <v>1943</v>
      </c>
      <c r="D142" s="95" t="n">
        <v>60</v>
      </c>
      <c r="E142" s="95" t="n">
        <v>65</v>
      </c>
      <c r="F142" s="85" t="n">
        <v>160</v>
      </c>
      <c r="G142" s="120" t="n">
        <v>0.025</v>
      </c>
      <c r="H142" s="120" t="n">
        <v>0.0075</v>
      </c>
      <c r="I142" s="75" t="n"/>
      <c r="J142" s="95" t="n">
        <v>60.96</v>
      </c>
      <c r="K142" s="95" t="n">
        <v>1</v>
      </c>
      <c r="L142" s="85" t="n">
        <v>0</v>
      </c>
    </row>
    <row r="143">
      <c r="A143" s="84" t="inlineStr">
        <is>
          <t>Privé</t>
        </is>
      </c>
      <c r="B143" s="7" t="inlineStr">
        <is>
          <t>actif</t>
        </is>
      </c>
      <c r="C143" s="88" t="n">
        <v>1944</v>
      </c>
      <c r="D143" s="95" t="n">
        <v>60</v>
      </c>
      <c r="E143" s="95" t="n">
        <v>65</v>
      </c>
      <c r="F143" s="85" t="n">
        <v>160</v>
      </c>
      <c r="G143" s="120" t="n">
        <v>0.02375</v>
      </c>
      <c r="H143" s="120" t="n">
        <v>0.0075</v>
      </c>
      <c r="I143" s="75" t="n"/>
      <c r="J143" s="95" t="n">
        <v>60.98</v>
      </c>
      <c r="K143" s="95" t="n">
        <v>1</v>
      </c>
      <c r="L143" s="85" t="n">
        <v>0</v>
      </c>
    </row>
    <row r="144">
      <c r="A144" s="84" t="inlineStr">
        <is>
          <t>Privé</t>
        </is>
      </c>
      <c r="B144" s="7" t="inlineStr">
        <is>
          <t>actif</t>
        </is>
      </c>
      <c r="C144" s="88" t="n">
        <v>1945</v>
      </c>
      <c r="D144" s="95" t="n">
        <v>60</v>
      </c>
      <c r="E144" s="95" t="n">
        <v>65</v>
      </c>
      <c r="F144" s="85" t="n">
        <v>160</v>
      </c>
      <c r="G144" s="120" t="n">
        <v>0.0225</v>
      </c>
      <c r="H144" s="120" t="n">
        <v>0.0075</v>
      </c>
      <c r="I144" s="75" t="n"/>
      <c r="J144" s="95" t="n">
        <v>61</v>
      </c>
      <c r="K144" s="95" t="n">
        <v>1</v>
      </c>
      <c r="L144" s="85" t="n">
        <v>0</v>
      </c>
    </row>
    <row r="145">
      <c r="A145" s="84" t="inlineStr">
        <is>
          <t>Privé</t>
        </is>
      </c>
      <c r="B145" s="7" t="inlineStr">
        <is>
          <t>actif</t>
        </is>
      </c>
      <c r="C145" s="88" t="n">
        <v>1946</v>
      </c>
      <c r="D145" s="95" t="n">
        <v>60</v>
      </c>
      <c r="E145" s="95" t="n">
        <v>65</v>
      </c>
      <c r="F145" s="85" t="n">
        <v>160</v>
      </c>
      <c r="G145" s="120" t="n">
        <v>0.02125</v>
      </c>
      <c r="H145" s="120" t="n">
        <v>0.0075</v>
      </c>
      <c r="I145" s="75" t="n"/>
      <c r="J145" s="95" t="n">
        <v>60.9</v>
      </c>
      <c r="K145" s="95" t="n">
        <v>1</v>
      </c>
      <c r="L145" s="85" t="n">
        <v>0</v>
      </c>
    </row>
    <row r="146">
      <c r="A146" s="84" t="inlineStr">
        <is>
          <t>Privé</t>
        </is>
      </c>
      <c r="B146" s="7" t="inlineStr">
        <is>
          <t>actif</t>
        </is>
      </c>
      <c r="C146" s="88" t="n">
        <v>1947</v>
      </c>
      <c r="D146" s="95" t="n">
        <v>60</v>
      </c>
      <c r="E146" s="95" t="n">
        <v>65</v>
      </c>
      <c r="F146" s="85" t="n">
        <v>160</v>
      </c>
      <c r="G146" s="120" t="n">
        <v>0.02</v>
      </c>
      <c r="H146" s="120" t="n">
        <v>0.0075</v>
      </c>
      <c r="I146" s="75" t="n"/>
      <c r="J146" s="95" t="n">
        <v>60.8</v>
      </c>
      <c r="K146" s="95" t="n">
        <v>1</v>
      </c>
      <c r="L146" s="85" t="n">
        <v>0</v>
      </c>
    </row>
    <row r="147">
      <c r="A147" s="84" t="inlineStr">
        <is>
          <t>Privé</t>
        </is>
      </c>
      <c r="B147" s="7" t="inlineStr">
        <is>
          <t>actif</t>
        </is>
      </c>
      <c r="C147" s="88" t="n">
        <v>1948</v>
      </c>
      <c r="D147" s="95" t="n">
        <v>60</v>
      </c>
      <c r="E147" s="95" t="n">
        <v>65</v>
      </c>
      <c r="F147" s="85" t="n">
        <v>160</v>
      </c>
      <c r="G147" s="120" t="n">
        <v>0.01875</v>
      </c>
      <c r="H147" s="120" t="n">
        <v>0.0075</v>
      </c>
      <c r="I147" s="75" t="n"/>
      <c r="J147" s="95" t="n">
        <v>60.7</v>
      </c>
      <c r="K147" s="95" t="n">
        <v>1</v>
      </c>
      <c r="L147" s="85" t="n">
        <v>0</v>
      </c>
    </row>
    <row r="148">
      <c r="A148" s="84" t="inlineStr">
        <is>
          <t>Privé</t>
        </is>
      </c>
      <c r="B148" s="7" t="inlineStr">
        <is>
          <t>actif</t>
        </is>
      </c>
      <c r="C148" s="88" t="n">
        <v>1949</v>
      </c>
      <c r="D148" s="95" t="n">
        <v>60</v>
      </c>
      <c r="E148" s="95" t="n">
        <v>65</v>
      </c>
      <c r="F148" s="85" t="n">
        <v>161</v>
      </c>
      <c r="G148" s="120" t="n">
        <v>0.0175</v>
      </c>
      <c r="H148" s="120" t="n">
        <v>0.0125</v>
      </c>
      <c r="I148" s="75" t="n"/>
      <c r="J148" s="95" t="n">
        <v>60.6</v>
      </c>
      <c r="K148" s="95" t="n">
        <v>1</v>
      </c>
      <c r="L148" s="85" t="n">
        <v>0</v>
      </c>
    </row>
    <row r="149">
      <c r="A149" s="84" t="inlineStr">
        <is>
          <t>Privé</t>
        </is>
      </c>
      <c r="B149" s="7" t="inlineStr">
        <is>
          <t>actif</t>
        </is>
      </c>
      <c r="C149" s="88" t="n">
        <v>1950</v>
      </c>
      <c r="D149" s="95" t="n">
        <v>60</v>
      </c>
      <c r="E149" s="95" t="n">
        <v>65</v>
      </c>
      <c r="F149" s="85" t="n">
        <v>162</v>
      </c>
      <c r="G149" s="120" t="n">
        <v>0.01625</v>
      </c>
      <c r="H149" s="120" t="n">
        <v>0.0125</v>
      </c>
      <c r="I149" s="75" t="n"/>
      <c r="J149" s="95" t="n">
        <v>60.5</v>
      </c>
      <c r="K149" s="95" t="n">
        <v>1</v>
      </c>
      <c r="L149" s="85" t="n">
        <v>0</v>
      </c>
    </row>
    <row r="150">
      <c r="A150" s="84" t="inlineStr">
        <is>
          <t>Privé</t>
        </is>
      </c>
      <c r="B150" s="7" t="inlineStr">
        <is>
          <t>actif</t>
        </is>
      </c>
      <c r="C150" s="88" t="n">
        <v>1951</v>
      </c>
      <c r="D150" s="95" t="n">
        <v>60.3333</v>
      </c>
      <c r="E150" s="95" t="n">
        <v>65.33329999999999</v>
      </c>
      <c r="F150" s="85" t="n">
        <v>163</v>
      </c>
      <c r="G150" s="120" t="n">
        <v>0.015</v>
      </c>
      <c r="H150" s="120" t="n">
        <v>0.0125</v>
      </c>
      <c r="I150" s="75" t="n"/>
      <c r="J150" s="95" t="n">
        <v>60.76</v>
      </c>
      <c r="K150" s="95" t="n">
        <v>1</v>
      </c>
      <c r="L150" s="85" t="n">
        <v>0</v>
      </c>
    </row>
    <row r="151">
      <c r="A151" s="84" t="inlineStr">
        <is>
          <t>Privé</t>
        </is>
      </c>
      <c r="B151" s="7" t="inlineStr">
        <is>
          <t>actif</t>
        </is>
      </c>
      <c r="C151" s="88" t="n">
        <v>1952</v>
      </c>
      <c r="D151" s="95" t="n">
        <v>60.75</v>
      </c>
      <c r="E151" s="95" t="n">
        <v>65.75</v>
      </c>
      <c r="F151" s="85" t="n">
        <v>164</v>
      </c>
      <c r="G151" s="120" t="n">
        <v>0.01375</v>
      </c>
      <c r="H151" s="120" t="n">
        <v>0.0125</v>
      </c>
      <c r="I151" s="75" t="n"/>
      <c r="J151" s="95" t="n">
        <v>61.02</v>
      </c>
      <c r="K151" s="95" t="n">
        <v>1</v>
      </c>
      <c r="L151" s="85" t="n">
        <v>0</v>
      </c>
    </row>
    <row r="152">
      <c r="A152" s="84" t="inlineStr">
        <is>
          <t>Privé</t>
        </is>
      </c>
      <c r="B152" s="7" t="inlineStr">
        <is>
          <t>actif</t>
        </is>
      </c>
      <c r="C152" s="88" t="n">
        <v>1953</v>
      </c>
      <c r="D152" s="95" t="n">
        <v>61.1667</v>
      </c>
      <c r="E152" s="95" t="n">
        <v>66.16670000000001</v>
      </c>
      <c r="F152" s="85" t="n">
        <v>165</v>
      </c>
      <c r="G152" s="120" t="n">
        <v>0.0125</v>
      </c>
      <c r="H152" s="120" t="n">
        <v>0.0125</v>
      </c>
      <c r="I152" s="75" t="n"/>
      <c r="J152" s="95" t="n">
        <v>61.28</v>
      </c>
      <c r="K152" s="95" t="n">
        <v>1</v>
      </c>
      <c r="L152" s="85" t="n">
        <v>0</v>
      </c>
    </row>
    <row r="153">
      <c r="A153" s="84" t="inlineStr">
        <is>
          <t>Privé</t>
        </is>
      </c>
      <c r="B153" s="7" t="inlineStr">
        <is>
          <t>actif</t>
        </is>
      </c>
      <c r="C153" s="88" t="n">
        <v>1954</v>
      </c>
      <c r="D153" s="95" t="n">
        <v>61.5833</v>
      </c>
      <c r="E153" s="95" t="n">
        <v>66.58329999999999</v>
      </c>
      <c r="F153" s="85" t="n">
        <v>165</v>
      </c>
      <c r="G153" s="120" t="n">
        <v>0.0125</v>
      </c>
      <c r="H153" s="120" t="n">
        <v>0.0125</v>
      </c>
      <c r="I153" s="75" t="n"/>
      <c r="J153" s="95" t="n">
        <v>61.54</v>
      </c>
      <c r="K153" s="95" t="n">
        <v>1</v>
      </c>
      <c r="L153" s="85" t="n">
        <v>0</v>
      </c>
    </row>
    <row r="154">
      <c r="A154" s="84" t="inlineStr">
        <is>
          <t>Privé</t>
        </is>
      </c>
      <c r="B154" s="7" t="inlineStr">
        <is>
          <t>actif</t>
        </is>
      </c>
      <c r="C154" s="88" t="n">
        <v>1955</v>
      </c>
      <c r="D154" s="95" t="n">
        <v>62</v>
      </c>
      <c r="E154" s="95" t="n">
        <v>67</v>
      </c>
      <c r="F154" s="85" t="n">
        <v>166</v>
      </c>
      <c r="G154" s="120" t="n">
        <v>0.0125</v>
      </c>
      <c r="H154" s="120" t="n">
        <v>0.0125</v>
      </c>
      <c r="I154" s="75" t="n"/>
      <c r="J154" s="95" t="n">
        <v>61.8</v>
      </c>
      <c r="K154" s="95" t="n">
        <v>1</v>
      </c>
      <c r="L154" s="85" t="n">
        <v>0</v>
      </c>
    </row>
    <row r="155">
      <c r="A155" s="84" t="inlineStr">
        <is>
          <t>Privé</t>
        </is>
      </c>
      <c r="B155" s="7" t="inlineStr">
        <is>
          <t>actif</t>
        </is>
      </c>
      <c r="C155" s="88" t="n">
        <v>1956</v>
      </c>
      <c r="D155" s="95" t="n">
        <v>62</v>
      </c>
      <c r="E155" s="95" t="n">
        <v>67</v>
      </c>
      <c r="F155" s="85" t="n">
        <v>166</v>
      </c>
      <c r="G155" s="120" t="n">
        <v>0.0125</v>
      </c>
      <c r="H155" s="120" t="n">
        <v>0.0125</v>
      </c>
      <c r="I155" s="75" t="n"/>
      <c r="J155" s="95" t="n">
        <v>61.89</v>
      </c>
      <c r="K155" s="95" t="n">
        <v>1</v>
      </c>
      <c r="L155" s="85" t="n">
        <v>0</v>
      </c>
    </row>
    <row r="156">
      <c r="A156" s="84" t="inlineStr">
        <is>
          <t>Privé</t>
        </is>
      </c>
      <c r="B156" s="7" t="inlineStr">
        <is>
          <t>actif</t>
        </is>
      </c>
      <c r="C156" s="88" t="n">
        <v>1957</v>
      </c>
      <c r="D156" s="95" t="n">
        <v>62</v>
      </c>
      <c r="E156" s="95" t="n">
        <v>67</v>
      </c>
      <c r="F156" s="85" t="n">
        <v>166</v>
      </c>
      <c r="G156" s="120" t="n">
        <v>0.0125</v>
      </c>
      <c r="H156" s="120" t="n">
        <v>0.0125</v>
      </c>
      <c r="I156" s="75" t="n"/>
      <c r="J156" s="95" t="n">
        <v>61.99</v>
      </c>
      <c r="K156" s="95" t="n">
        <v>1</v>
      </c>
      <c r="L156" s="85" t="n">
        <v>0</v>
      </c>
    </row>
    <row r="157">
      <c r="A157" s="84" t="inlineStr">
        <is>
          <t>Privé</t>
        </is>
      </c>
      <c r="B157" s="7" t="inlineStr">
        <is>
          <t>actif</t>
        </is>
      </c>
      <c r="C157" s="88" t="n">
        <v>1958</v>
      </c>
      <c r="D157" s="95" t="n">
        <v>62</v>
      </c>
      <c r="E157" s="95" t="n">
        <v>67</v>
      </c>
      <c r="F157" s="85" t="n">
        <v>167</v>
      </c>
      <c r="G157" s="120" t="n">
        <v>0.0125</v>
      </c>
      <c r="H157" s="120" t="n">
        <v>0.0125</v>
      </c>
      <c r="I157" s="75" t="n"/>
      <c r="J157" s="95" t="n">
        <v>62.08</v>
      </c>
      <c r="K157" s="95" t="n">
        <v>1</v>
      </c>
      <c r="L157" s="85" t="n">
        <v>0</v>
      </c>
    </row>
    <row r="158">
      <c r="A158" s="84" t="inlineStr">
        <is>
          <t>Privé</t>
        </is>
      </c>
      <c r="B158" s="7" t="inlineStr">
        <is>
          <t>actif</t>
        </is>
      </c>
      <c r="C158" s="88" t="n">
        <v>1959</v>
      </c>
      <c r="D158" s="95" t="n">
        <v>62</v>
      </c>
      <c r="E158" s="95" t="n">
        <v>67</v>
      </c>
      <c r="F158" s="85" t="n">
        <v>167</v>
      </c>
      <c r="G158" s="120" t="n">
        <v>0.0125</v>
      </c>
      <c r="H158" s="120" t="n">
        <v>0.0125</v>
      </c>
      <c r="I158" s="75" t="n"/>
      <c r="J158" s="95" t="n">
        <v>62.18</v>
      </c>
      <c r="K158" s="95" t="n">
        <v>1</v>
      </c>
      <c r="L158" s="85" t="n">
        <v>0</v>
      </c>
    </row>
    <row r="159">
      <c r="A159" s="84" t="inlineStr">
        <is>
          <t>Privé</t>
        </is>
      </c>
      <c r="B159" s="7" t="inlineStr">
        <is>
          <t>actif</t>
        </is>
      </c>
      <c r="C159" s="88" t="n">
        <v>1960</v>
      </c>
      <c r="D159" s="95" t="n">
        <v>62</v>
      </c>
      <c r="E159" s="95" t="n">
        <v>67</v>
      </c>
      <c r="F159" s="85" t="n">
        <v>167</v>
      </c>
      <c r="G159" s="120" t="n">
        <v>0.0125</v>
      </c>
      <c r="H159" s="120" t="n">
        <v>0.0125</v>
      </c>
      <c r="I159" s="75" t="n"/>
      <c r="J159" s="95" t="n">
        <v>62.27</v>
      </c>
      <c r="K159" s="95" t="n">
        <v>1</v>
      </c>
      <c r="L159" s="85" t="n">
        <v>0</v>
      </c>
    </row>
    <row r="160">
      <c r="A160" s="84" t="inlineStr">
        <is>
          <t>Privé</t>
        </is>
      </c>
      <c r="B160" s="7" t="inlineStr">
        <is>
          <t>actif</t>
        </is>
      </c>
      <c r="C160" s="88" t="n">
        <v>1961</v>
      </c>
      <c r="D160" s="95" t="n">
        <v>62</v>
      </c>
      <c r="E160" s="95" t="n">
        <v>67</v>
      </c>
      <c r="F160" s="85" t="n">
        <v>168</v>
      </c>
      <c r="G160" s="120" t="n">
        <v>0.0125</v>
      </c>
      <c r="H160" s="120" t="n">
        <v>0.0125</v>
      </c>
      <c r="I160" s="75" t="n"/>
      <c r="J160" s="95" t="n">
        <v>62.37</v>
      </c>
      <c r="K160" s="95" t="n">
        <v>1</v>
      </c>
      <c r="L160" s="85" t="n">
        <v>0</v>
      </c>
    </row>
    <row r="161">
      <c r="A161" s="84" t="inlineStr">
        <is>
          <t>Privé</t>
        </is>
      </c>
      <c r="B161" s="7" t="inlineStr">
        <is>
          <t>actif</t>
        </is>
      </c>
      <c r="C161" s="88" t="n">
        <v>1962</v>
      </c>
      <c r="D161" s="95" t="n">
        <v>62.5</v>
      </c>
      <c r="E161" s="95" t="n">
        <v>67</v>
      </c>
      <c r="F161" s="85" t="n">
        <v>169</v>
      </c>
      <c r="G161" s="120" t="n">
        <v>0.0125</v>
      </c>
      <c r="H161" s="120" t="n">
        <v>0.0125</v>
      </c>
      <c r="I161" s="75" t="n"/>
      <c r="J161" s="95" t="n">
        <v>62.46</v>
      </c>
      <c r="K161" s="95" t="n">
        <v>1</v>
      </c>
      <c r="L161" s="85" t="n">
        <v>0</v>
      </c>
    </row>
    <row r="162">
      <c r="A162" s="84" t="inlineStr">
        <is>
          <t>Privé</t>
        </is>
      </c>
      <c r="B162" s="7" t="inlineStr">
        <is>
          <t>actif</t>
        </is>
      </c>
      <c r="C162" s="88" t="n">
        <v>1963</v>
      </c>
      <c r="D162" s="95" t="n">
        <v>62.75</v>
      </c>
      <c r="E162" s="95" t="n">
        <v>67</v>
      </c>
      <c r="F162" s="85" t="n">
        <v>170</v>
      </c>
      <c r="G162" s="120" t="n">
        <v>0.0125</v>
      </c>
      <c r="H162" s="120" t="n">
        <v>0.0125</v>
      </c>
      <c r="I162" s="75" t="n"/>
      <c r="J162" s="95" t="n">
        <v>62.56</v>
      </c>
      <c r="K162" s="95" t="n">
        <v>1</v>
      </c>
      <c r="L162" s="85" t="n">
        <v>0</v>
      </c>
    </row>
    <row r="163">
      <c r="A163" s="84" t="inlineStr">
        <is>
          <t>Privé</t>
        </is>
      </c>
      <c r="B163" s="7" t="inlineStr">
        <is>
          <t>actif</t>
        </is>
      </c>
      <c r="C163" s="88" t="n">
        <v>1964</v>
      </c>
      <c r="D163" s="95" t="n">
        <v>62.75</v>
      </c>
      <c r="E163" s="95" t="n">
        <v>67</v>
      </c>
      <c r="F163" s="85" t="n">
        <v>170</v>
      </c>
      <c r="G163" s="120" t="n">
        <v>0.0125</v>
      </c>
      <c r="H163" s="120" t="n">
        <v>0.0125</v>
      </c>
      <c r="I163" s="75" t="n"/>
      <c r="J163" s="95" t="n">
        <v>62.65</v>
      </c>
      <c r="K163" s="95" t="n">
        <v>1</v>
      </c>
      <c r="L163" s="85" t="n">
        <v>0</v>
      </c>
    </row>
    <row r="164">
      <c r="A164" s="84" t="inlineStr">
        <is>
          <t>Privé</t>
        </is>
      </c>
      <c r="B164" s="7" t="inlineStr">
        <is>
          <t>actif</t>
        </is>
      </c>
      <c r="C164" s="88" t="n">
        <v>1965</v>
      </c>
      <c r="D164" s="95" t="n">
        <v>63</v>
      </c>
      <c r="E164" s="95" t="n">
        <v>67</v>
      </c>
      <c r="F164" s="85" t="n">
        <v>171</v>
      </c>
      <c r="G164" s="120" t="n">
        <v>0.0125</v>
      </c>
      <c r="H164" s="120" t="n">
        <v>0.0125</v>
      </c>
      <c r="I164" s="75" t="n"/>
      <c r="J164" s="95" t="n">
        <v>62.74</v>
      </c>
      <c r="K164" s="95" t="n">
        <v>1</v>
      </c>
      <c r="L164" s="85" t="n">
        <v>0</v>
      </c>
    </row>
    <row r="165">
      <c r="A165" s="84" t="inlineStr">
        <is>
          <t>Privé</t>
        </is>
      </c>
      <c r="B165" s="7" t="inlineStr">
        <is>
          <t>actif</t>
        </is>
      </c>
      <c r="C165" s="88" t="n">
        <v>1966</v>
      </c>
      <c r="D165" s="95" t="n">
        <v>63.25</v>
      </c>
      <c r="E165" s="95" t="n">
        <v>67</v>
      </c>
      <c r="F165" s="85" t="n">
        <v>172</v>
      </c>
      <c r="G165" s="120" t="n">
        <v>0.0125</v>
      </c>
      <c r="H165" s="120" t="n">
        <v>0.0125</v>
      </c>
      <c r="I165" s="75" t="n"/>
      <c r="J165" s="95" t="n">
        <v>62.84</v>
      </c>
      <c r="K165" s="95" t="n">
        <v>1</v>
      </c>
      <c r="L165" s="85" t="n">
        <v>0</v>
      </c>
    </row>
    <row r="166">
      <c r="A166" s="84" t="inlineStr">
        <is>
          <t>Privé</t>
        </is>
      </c>
      <c r="B166" s="7" t="inlineStr">
        <is>
          <t>actif</t>
        </is>
      </c>
      <c r="C166" s="88" t="n">
        <v>1967</v>
      </c>
      <c r="D166" s="95" t="n">
        <v>63.5</v>
      </c>
      <c r="E166" s="95" t="n">
        <v>67</v>
      </c>
      <c r="F166" s="85" t="n">
        <v>172</v>
      </c>
      <c r="G166" s="120" t="n">
        <v>0.0125</v>
      </c>
      <c r="H166" s="120" t="n">
        <v>0.0125</v>
      </c>
      <c r="I166" s="75" t="n"/>
      <c r="J166" s="95" t="n">
        <v>62.93</v>
      </c>
      <c r="K166" s="95" t="n">
        <v>1</v>
      </c>
      <c r="L166" s="85" t="n">
        <v>0</v>
      </c>
    </row>
    <row r="167">
      <c r="A167" s="84" t="inlineStr">
        <is>
          <t>Privé</t>
        </is>
      </c>
      <c r="B167" s="7" t="inlineStr">
        <is>
          <t>actif</t>
        </is>
      </c>
      <c r="C167" s="88" t="n">
        <v>1968</v>
      </c>
      <c r="D167" s="95" t="n">
        <v>63.75</v>
      </c>
      <c r="E167" s="95" t="n">
        <v>67</v>
      </c>
      <c r="F167" s="85" t="n">
        <v>172</v>
      </c>
      <c r="G167" s="120" t="n">
        <v>0.0125</v>
      </c>
      <c r="H167" s="120" t="n">
        <v>0.0125</v>
      </c>
      <c r="I167" s="75" t="n"/>
      <c r="J167" s="95" t="n">
        <v>63.03</v>
      </c>
      <c r="K167" s="95" t="n">
        <v>1</v>
      </c>
      <c r="L167" s="85" t="n">
        <v>0</v>
      </c>
    </row>
    <row r="168">
      <c r="A168" s="84" t="inlineStr">
        <is>
          <t>Privé</t>
        </is>
      </c>
      <c r="B168" s="7" t="inlineStr">
        <is>
          <t>actif</t>
        </is>
      </c>
      <c r="C168" s="88" t="n">
        <v>1969</v>
      </c>
      <c r="D168" s="95" t="n">
        <v>64</v>
      </c>
      <c r="E168" s="95" t="n">
        <v>67</v>
      </c>
      <c r="F168" s="85" t="n">
        <v>172</v>
      </c>
      <c r="G168" s="120" t="n">
        <v>0.0125</v>
      </c>
      <c r="H168" s="120" t="n">
        <v>0.0125</v>
      </c>
      <c r="I168" s="75" t="n"/>
      <c r="J168" s="95" t="n">
        <v>63.12</v>
      </c>
      <c r="K168" s="95" t="n">
        <v>1</v>
      </c>
      <c r="L168" s="85" t="n">
        <v>0</v>
      </c>
    </row>
    <row r="169">
      <c r="A169" s="84" t="inlineStr">
        <is>
          <t>Privé</t>
        </is>
      </c>
      <c r="B169" s="7" t="inlineStr">
        <is>
          <t>actif</t>
        </is>
      </c>
      <c r="C169" s="88" t="n">
        <v>1970</v>
      </c>
      <c r="D169" s="95" t="n">
        <v>64</v>
      </c>
      <c r="E169" s="95" t="n">
        <v>67</v>
      </c>
      <c r="F169" s="85" t="n">
        <v>172</v>
      </c>
      <c r="G169" s="120" t="n">
        <v>0.0125</v>
      </c>
      <c r="H169" s="120" t="n">
        <v>0.0125</v>
      </c>
      <c r="I169" s="75" t="n"/>
      <c r="J169" s="95" t="n">
        <v>63.22</v>
      </c>
      <c r="K169" s="95" t="n">
        <v>1</v>
      </c>
      <c r="L169" s="85" t="n">
        <v>0</v>
      </c>
    </row>
    <row r="170">
      <c r="A170" s="84" t="inlineStr">
        <is>
          <t>Privé</t>
        </is>
      </c>
      <c r="B170" s="7" t="inlineStr">
        <is>
          <t>actif</t>
        </is>
      </c>
      <c r="C170" s="88" t="n">
        <v>1971</v>
      </c>
      <c r="D170" s="95" t="n">
        <v>64</v>
      </c>
      <c r="E170" s="95" t="n">
        <v>67</v>
      </c>
      <c r="F170" s="85" t="n">
        <v>172</v>
      </c>
      <c r="G170" s="120" t="n">
        <v>0.0125</v>
      </c>
      <c r="H170" s="120" t="n">
        <v>0.0125</v>
      </c>
      <c r="I170" s="75" t="n"/>
      <c r="J170" s="95" t="n">
        <v>63.31</v>
      </c>
      <c r="K170" s="95" t="n">
        <v>1</v>
      </c>
      <c r="L170" s="85" t="n">
        <v>0</v>
      </c>
    </row>
    <row r="171">
      <c r="A171" s="84" t="inlineStr">
        <is>
          <t>Privé</t>
        </is>
      </c>
      <c r="B171" s="7" t="inlineStr">
        <is>
          <t>actif</t>
        </is>
      </c>
      <c r="C171" s="88" t="n">
        <v>1972</v>
      </c>
      <c r="D171" s="95" t="n">
        <v>64</v>
      </c>
      <c r="E171" s="95" t="n">
        <v>67</v>
      </c>
      <c r="F171" s="85" t="n">
        <v>172</v>
      </c>
      <c r="G171" s="120" t="n">
        <v>0.0125</v>
      </c>
      <c r="H171" s="120" t="n">
        <v>0.0125</v>
      </c>
      <c r="I171" s="75" t="n"/>
      <c r="J171" s="95" t="n">
        <v>63.41</v>
      </c>
      <c r="K171" s="95" t="n">
        <v>1</v>
      </c>
      <c r="L171" s="85" t="n">
        <v>0</v>
      </c>
    </row>
    <row r="172">
      <c r="A172" s="84" t="inlineStr">
        <is>
          <t>Privé</t>
        </is>
      </c>
      <c r="B172" s="7" t="inlineStr">
        <is>
          <t>actif</t>
        </is>
      </c>
      <c r="C172" s="88" t="n">
        <v>1973</v>
      </c>
      <c r="D172" s="95" t="n">
        <v>64</v>
      </c>
      <c r="E172" s="95" t="n">
        <v>67</v>
      </c>
      <c r="F172" s="85" t="n">
        <v>172</v>
      </c>
      <c r="G172" s="120" t="n">
        <v>0.0125</v>
      </c>
      <c r="H172" s="120" t="n">
        <v>0.0125</v>
      </c>
      <c r="I172" s="75" t="n"/>
      <c r="J172" s="95" t="n">
        <v>63.5</v>
      </c>
      <c r="K172" s="95" t="n">
        <v>1</v>
      </c>
      <c r="L172" s="85" t="n">
        <v>0</v>
      </c>
    </row>
    <row r="173">
      <c r="A173" s="84" t="inlineStr">
        <is>
          <t>Privé</t>
        </is>
      </c>
      <c r="B173" s="7" t="inlineStr">
        <is>
          <t>actif</t>
        </is>
      </c>
      <c r="C173" s="88" t="n">
        <v>1974</v>
      </c>
      <c r="D173" s="95" t="n">
        <v>64</v>
      </c>
      <c r="E173" s="95" t="n">
        <v>67</v>
      </c>
      <c r="F173" s="85" t="n">
        <v>172</v>
      </c>
      <c r="G173" s="120" t="n">
        <v>0.0125</v>
      </c>
      <c r="H173" s="120" t="n">
        <v>0.0125</v>
      </c>
      <c r="I173" s="75" t="n"/>
      <c r="J173" s="95" t="n">
        <v>63.54</v>
      </c>
      <c r="K173" s="95" t="n">
        <v>1</v>
      </c>
      <c r="L173" s="85" t="n">
        <v>0</v>
      </c>
    </row>
    <row r="174">
      <c r="A174" s="84" t="inlineStr">
        <is>
          <t>Privé</t>
        </is>
      </c>
      <c r="B174" s="7" t="inlineStr">
        <is>
          <t>actif</t>
        </is>
      </c>
      <c r="C174" s="88" t="n">
        <v>1975</v>
      </c>
      <c r="D174" s="95" t="n">
        <v>64</v>
      </c>
      <c r="E174" s="95" t="n">
        <v>67</v>
      </c>
      <c r="F174" s="85" t="n">
        <v>172</v>
      </c>
      <c r="G174" s="120" t="n">
        <v>0.0125</v>
      </c>
      <c r="H174" s="120" t="n">
        <v>0.0125</v>
      </c>
      <c r="I174" s="75" t="n"/>
      <c r="J174" s="95" t="n">
        <v>63.59</v>
      </c>
      <c r="K174" s="95" t="n">
        <v>1</v>
      </c>
      <c r="L174" s="85" t="n">
        <v>0</v>
      </c>
    </row>
    <row r="175">
      <c r="A175" s="84" t="inlineStr">
        <is>
          <t>Privé</t>
        </is>
      </c>
      <c r="B175" s="7" t="inlineStr">
        <is>
          <t>actif</t>
        </is>
      </c>
      <c r="C175" s="88" t="n">
        <v>1976</v>
      </c>
      <c r="D175" s="95" t="n">
        <v>64</v>
      </c>
      <c r="E175" s="95" t="n">
        <v>67</v>
      </c>
      <c r="F175" s="85" t="n">
        <v>172</v>
      </c>
      <c r="G175" s="120" t="n">
        <v>0.0125</v>
      </c>
      <c r="H175" s="120" t="n">
        <v>0.0125</v>
      </c>
      <c r="I175" s="75" t="n"/>
      <c r="J175" s="95" t="n">
        <v>63.63</v>
      </c>
      <c r="K175" s="95" t="n">
        <v>1</v>
      </c>
      <c r="L175" s="85" t="n">
        <v>0</v>
      </c>
    </row>
    <row r="176">
      <c r="A176" s="84" t="inlineStr">
        <is>
          <t>Privé</t>
        </is>
      </c>
      <c r="B176" s="7" t="inlineStr">
        <is>
          <t>actif</t>
        </is>
      </c>
      <c r="C176" s="88" t="n">
        <v>1977</v>
      </c>
      <c r="D176" s="95" t="n">
        <v>64</v>
      </c>
      <c r="E176" s="95" t="n">
        <v>67</v>
      </c>
      <c r="F176" s="85" t="n">
        <v>172</v>
      </c>
      <c r="G176" s="120" t="n">
        <v>0.0125</v>
      </c>
      <c r="H176" s="120" t="n">
        <v>0.0125</v>
      </c>
      <c r="I176" s="75" t="n"/>
      <c r="J176" s="95" t="n">
        <v>63.67</v>
      </c>
      <c r="K176" s="95" t="n">
        <v>1</v>
      </c>
      <c r="L176" s="85" t="n">
        <v>0</v>
      </c>
    </row>
    <row r="177">
      <c r="A177" s="84" t="inlineStr">
        <is>
          <t>Privé</t>
        </is>
      </c>
      <c r="B177" s="7" t="inlineStr">
        <is>
          <t>actif</t>
        </is>
      </c>
      <c r="C177" s="88" t="n">
        <v>1978</v>
      </c>
      <c r="D177" s="95" t="n">
        <v>64</v>
      </c>
      <c r="E177" s="95" t="n">
        <v>67</v>
      </c>
      <c r="F177" s="85" t="n">
        <v>172</v>
      </c>
      <c r="G177" s="120" t="n">
        <v>0.0125</v>
      </c>
      <c r="H177" s="120" t="n">
        <v>0.0125</v>
      </c>
      <c r="I177" s="75" t="n"/>
      <c r="J177" s="95" t="n">
        <v>63.71</v>
      </c>
      <c r="K177" s="95" t="n">
        <v>1</v>
      </c>
      <c r="L177" s="85" t="n">
        <v>0</v>
      </c>
    </row>
    <row r="178">
      <c r="A178" s="84" t="inlineStr">
        <is>
          <t>Privé</t>
        </is>
      </c>
      <c r="B178" s="7" t="inlineStr">
        <is>
          <t>actif</t>
        </is>
      </c>
      <c r="C178" s="88" t="n">
        <v>1979</v>
      </c>
      <c r="D178" s="95" t="n">
        <v>64</v>
      </c>
      <c r="E178" s="95" t="n">
        <v>67</v>
      </c>
      <c r="F178" s="85" t="n">
        <v>172</v>
      </c>
      <c r="G178" s="120" t="n">
        <v>0.0125</v>
      </c>
      <c r="H178" s="120" t="n">
        <v>0.0125</v>
      </c>
      <c r="I178" s="75" t="n"/>
      <c r="J178" s="95" t="n">
        <v>63.76</v>
      </c>
      <c r="K178" s="95" t="n">
        <v>1</v>
      </c>
      <c r="L178" s="85" t="n">
        <v>0</v>
      </c>
    </row>
    <row r="179">
      <c r="A179" s="84" t="inlineStr">
        <is>
          <t>Privé</t>
        </is>
      </c>
      <c r="B179" s="7" t="inlineStr">
        <is>
          <t>actif</t>
        </is>
      </c>
      <c r="C179" s="88" t="n">
        <v>1980</v>
      </c>
      <c r="D179" s="95" t="n">
        <v>64</v>
      </c>
      <c r="E179" s="95" t="n">
        <v>67</v>
      </c>
      <c r="F179" s="85" t="n">
        <v>172</v>
      </c>
      <c r="G179" s="120" t="n">
        <v>0.0125</v>
      </c>
      <c r="H179" s="120" t="n">
        <v>0.0125</v>
      </c>
      <c r="I179" s="75" t="n"/>
      <c r="J179" s="95" t="n">
        <v>63.8</v>
      </c>
      <c r="K179" s="95" t="n">
        <v>1</v>
      </c>
      <c r="L179" s="85" t="n">
        <v>0</v>
      </c>
    </row>
    <row r="180">
      <c r="A180" s="84" t="inlineStr">
        <is>
          <t>Privé</t>
        </is>
      </c>
      <c r="B180" s="7" t="inlineStr">
        <is>
          <t>actif</t>
        </is>
      </c>
      <c r="C180" s="88" t="n">
        <v>1981</v>
      </c>
      <c r="D180" s="95" t="n">
        <v>64</v>
      </c>
      <c r="E180" s="95" t="n">
        <v>67</v>
      </c>
      <c r="F180" s="85" t="n">
        <v>172</v>
      </c>
      <c r="G180" s="120" t="n">
        <v>0.0125</v>
      </c>
      <c r="H180" s="120" t="n">
        <v>0.0125</v>
      </c>
      <c r="I180" s="75" t="n"/>
      <c r="J180" s="95" t="n">
        <v>63.81</v>
      </c>
      <c r="K180" s="95" t="n">
        <v>1</v>
      </c>
      <c r="L180" s="85" t="n">
        <v>0</v>
      </c>
    </row>
    <row r="181">
      <c r="A181" s="84" t="inlineStr">
        <is>
          <t>Privé</t>
        </is>
      </c>
      <c r="B181" s="7" t="inlineStr">
        <is>
          <t>actif</t>
        </is>
      </c>
      <c r="C181" s="88" t="n">
        <v>1982</v>
      </c>
      <c r="D181" s="95" t="n">
        <v>64</v>
      </c>
      <c r="E181" s="95" t="n">
        <v>67</v>
      </c>
      <c r="F181" s="85" t="n">
        <v>172</v>
      </c>
      <c r="G181" s="120" t="n">
        <v>0.0125</v>
      </c>
      <c r="H181" s="120" t="n">
        <v>0.0125</v>
      </c>
      <c r="I181" s="75" t="n"/>
      <c r="J181" s="95" t="n">
        <v>63.82</v>
      </c>
      <c r="K181" s="95" t="n">
        <v>1</v>
      </c>
      <c r="L181" s="85" t="n">
        <v>0</v>
      </c>
    </row>
    <row r="182">
      <c r="A182" s="84" t="inlineStr">
        <is>
          <t>Privé</t>
        </is>
      </c>
      <c r="B182" s="7" t="inlineStr">
        <is>
          <t>actif</t>
        </is>
      </c>
      <c r="C182" s="88" t="n">
        <v>1983</v>
      </c>
      <c r="D182" s="95" t="n">
        <v>64</v>
      </c>
      <c r="E182" s="95" t="n">
        <v>67</v>
      </c>
      <c r="F182" s="85" t="n">
        <v>172</v>
      </c>
      <c r="G182" s="120" t="n">
        <v>0.0125</v>
      </c>
      <c r="H182" s="120" t="n">
        <v>0.0125</v>
      </c>
      <c r="I182" s="75" t="n"/>
      <c r="J182" s="95" t="n">
        <v>63.83</v>
      </c>
      <c r="K182" s="95" t="n">
        <v>1</v>
      </c>
      <c r="L182" s="85" t="n">
        <v>0</v>
      </c>
    </row>
    <row r="183">
      <c r="A183" s="84" t="inlineStr">
        <is>
          <t>Privé</t>
        </is>
      </c>
      <c r="B183" s="7" t="inlineStr">
        <is>
          <t>actif</t>
        </is>
      </c>
      <c r="C183" s="88" t="n">
        <v>1984</v>
      </c>
      <c r="D183" s="95" t="n">
        <v>64</v>
      </c>
      <c r="E183" s="95" t="n">
        <v>67</v>
      </c>
      <c r="F183" s="85" t="n">
        <v>172</v>
      </c>
      <c r="G183" s="120" t="n">
        <v>0.0125</v>
      </c>
      <c r="H183" s="120" t="n">
        <v>0.0125</v>
      </c>
      <c r="I183" s="75" t="n"/>
      <c r="J183" s="95" t="n">
        <v>63.84</v>
      </c>
      <c r="K183" s="95" t="n">
        <v>1</v>
      </c>
      <c r="L183" s="85" t="n">
        <v>0</v>
      </c>
    </row>
    <row r="184">
      <c r="A184" s="84" t="inlineStr">
        <is>
          <t>Privé</t>
        </is>
      </c>
      <c r="B184" s="7" t="inlineStr">
        <is>
          <t>actif</t>
        </is>
      </c>
      <c r="C184" s="88" t="n">
        <v>1985</v>
      </c>
      <c r="D184" s="95" t="n">
        <v>64</v>
      </c>
      <c r="E184" s="95" t="n">
        <v>67</v>
      </c>
      <c r="F184" s="85" t="n">
        <v>172</v>
      </c>
      <c r="G184" s="120" t="n">
        <v>0.0125</v>
      </c>
      <c r="H184" s="120" t="n">
        <v>0.0125</v>
      </c>
      <c r="I184" s="75" t="n"/>
      <c r="J184" s="95" t="n">
        <v>63.85</v>
      </c>
      <c r="K184" s="95" t="n">
        <v>1</v>
      </c>
      <c r="L184" s="85" t="n">
        <v>0</v>
      </c>
    </row>
    <row r="185">
      <c r="A185" s="84" t="inlineStr">
        <is>
          <t>Privé</t>
        </is>
      </c>
      <c r="B185" s="7" t="inlineStr">
        <is>
          <t>actif</t>
        </is>
      </c>
      <c r="C185" s="88" t="n">
        <v>1986</v>
      </c>
      <c r="D185" s="95" t="n">
        <v>64</v>
      </c>
      <c r="E185" s="95" t="n">
        <v>67</v>
      </c>
      <c r="F185" s="85" t="n">
        <v>172</v>
      </c>
      <c r="G185" s="120" t="n">
        <v>0.0125</v>
      </c>
      <c r="H185" s="120" t="n">
        <v>0.0125</v>
      </c>
      <c r="I185" s="75" t="n"/>
      <c r="J185" s="95" t="n">
        <v>63.86</v>
      </c>
      <c r="K185" s="95" t="n">
        <v>1</v>
      </c>
      <c r="L185" s="85" t="n">
        <v>0</v>
      </c>
    </row>
    <row r="186">
      <c r="A186" s="84" t="inlineStr">
        <is>
          <t>Privé</t>
        </is>
      </c>
      <c r="B186" s="7" t="inlineStr">
        <is>
          <t>actif</t>
        </is>
      </c>
      <c r="C186" s="88" t="n">
        <v>1987</v>
      </c>
      <c r="D186" s="95" t="n">
        <v>64</v>
      </c>
      <c r="E186" s="95" t="n">
        <v>67</v>
      </c>
      <c r="F186" s="85" t="n">
        <v>172</v>
      </c>
      <c r="G186" s="120" t="n">
        <v>0.0125</v>
      </c>
      <c r="H186" s="120" t="n">
        <v>0.0125</v>
      </c>
      <c r="I186" s="75" t="n"/>
      <c r="J186" s="95" t="n">
        <v>63.87</v>
      </c>
      <c r="K186" s="95" t="n">
        <v>1</v>
      </c>
      <c r="L186" s="85" t="n">
        <v>0</v>
      </c>
    </row>
    <row r="187">
      <c r="A187" s="84" t="inlineStr">
        <is>
          <t>Privé</t>
        </is>
      </c>
      <c r="B187" s="7" t="inlineStr">
        <is>
          <t>actif</t>
        </is>
      </c>
      <c r="C187" s="88" t="n">
        <v>1988</v>
      </c>
      <c r="D187" s="95" t="n">
        <v>64</v>
      </c>
      <c r="E187" s="95" t="n">
        <v>67</v>
      </c>
      <c r="F187" s="85" t="n">
        <v>172</v>
      </c>
      <c r="G187" s="120" t="n">
        <v>0.0125</v>
      </c>
      <c r="H187" s="120" t="n">
        <v>0.0125</v>
      </c>
      <c r="I187" s="75" t="n"/>
      <c r="J187" s="95" t="n">
        <v>63.88</v>
      </c>
      <c r="K187" s="95" t="n">
        <v>1</v>
      </c>
      <c r="L187" s="85" t="n">
        <v>0</v>
      </c>
    </row>
    <row r="188">
      <c r="A188" s="84" t="inlineStr">
        <is>
          <t>Privé</t>
        </is>
      </c>
      <c r="B188" s="7" t="inlineStr">
        <is>
          <t>actif</t>
        </is>
      </c>
      <c r="C188" s="88" t="n">
        <v>1989</v>
      </c>
      <c r="D188" s="95" t="n">
        <v>64</v>
      </c>
      <c r="E188" s="95" t="n">
        <v>67</v>
      </c>
      <c r="F188" s="85" t="n">
        <v>172</v>
      </c>
      <c r="G188" s="120" t="n">
        <v>0.0125</v>
      </c>
      <c r="H188" s="120" t="n">
        <v>0.0125</v>
      </c>
      <c r="I188" s="75" t="n"/>
      <c r="J188" s="95" t="n">
        <v>63.89</v>
      </c>
      <c r="K188" s="95" t="n">
        <v>1</v>
      </c>
      <c r="L188" s="85" t="n">
        <v>0</v>
      </c>
    </row>
    <row r="189">
      <c r="A189" s="84" t="inlineStr">
        <is>
          <t>Privé</t>
        </is>
      </c>
      <c r="B189" s="7" t="inlineStr">
        <is>
          <t>actif</t>
        </is>
      </c>
      <c r="C189" s="88" t="n">
        <v>1990</v>
      </c>
      <c r="D189" s="95" t="n">
        <v>64</v>
      </c>
      <c r="E189" s="95" t="n">
        <v>67</v>
      </c>
      <c r="F189" s="85" t="n">
        <v>172</v>
      </c>
      <c r="G189" s="120" t="n">
        <v>0.0125</v>
      </c>
      <c r="H189" s="120" t="n">
        <v>0.0125</v>
      </c>
      <c r="I189" s="75" t="n"/>
      <c r="J189" s="95" t="n">
        <v>63.9</v>
      </c>
      <c r="K189" s="95" t="n">
        <v>1</v>
      </c>
      <c r="L189" s="85" t="n">
        <v>0</v>
      </c>
    </row>
    <row r="190">
      <c r="A190" s="84" t="inlineStr">
        <is>
          <t>Privé</t>
        </is>
      </c>
      <c r="B190" s="7" t="inlineStr">
        <is>
          <t>actif</t>
        </is>
      </c>
      <c r="C190" s="88" t="n">
        <v>1991</v>
      </c>
      <c r="D190" s="95" t="n">
        <v>64</v>
      </c>
      <c r="E190" s="95" t="n">
        <v>67</v>
      </c>
      <c r="F190" s="85" t="n">
        <v>172</v>
      </c>
      <c r="G190" s="120" t="n">
        <v>0.0125</v>
      </c>
      <c r="H190" s="120" t="n">
        <v>0.0125</v>
      </c>
      <c r="I190" s="75" t="n"/>
      <c r="J190" s="95" t="n">
        <v>63.91</v>
      </c>
      <c r="K190" s="95" t="n">
        <v>1</v>
      </c>
      <c r="L190" s="85" t="n">
        <v>0</v>
      </c>
    </row>
    <row r="191">
      <c r="A191" s="84" t="inlineStr">
        <is>
          <t>Privé</t>
        </is>
      </c>
      <c r="B191" s="7" t="inlineStr">
        <is>
          <t>actif</t>
        </is>
      </c>
      <c r="C191" s="88" t="n">
        <v>1992</v>
      </c>
      <c r="D191" s="95" t="n">
        <v>64</v>
      </c>
      <c r="E191" s="95" t="n">
        <v>67</v>
      </c>
      <c r="F191" s="85" t="n">
        <v>172</v>
      </c>
      <c r="G191" s="120" t="n">
        <v>0.0125</v>
      </c>
      <c r="H191" s="120" t="n">
        <v>0.0125</v>
      </c>
      <c r="I191" s="75" t="n"/>
      <c r="J191" s="95" t="n">
        <v>63.92</v>
      </c>
      <c r="K191" s="95" t="n">
        <v>1</v>
      </c>
      <c r="L191" s="85" t="n">
        <v>0</v>
      </c>
    </row>
    <row r="192">
      <c r="A192" s="84" t="inlineStr">
        <is>
          <t>Privé</t>
        </is>
      </c>
      <c r="B192" s="7" t="inlineStr">
        <is>
          <t>actif</t>
        </is>
      </c>
      <c r="C192" s="88" t="n">
        <v>1993</v>
      </c>
      <c r="D192" s="95" t="n">
        <v>64</v>
      </c>
      <c r="E192" s="95" t="n">
        <v>67</v>
      </c>
      <c r="F192" s="85" t="n">
        <v>172</v>
      </c>
      <c r="G192" s="120" t="n">
        <v>0.0125</v>
      </c>
      <c r="H192" s="120" t="n">
        <v>0.0125</v>
      </c>
      <c r="I192" s="75" t="n"/>
      <c r="J192" s="95" t="n">
        <v>63.93</v>
      </c>
      <c r="K192" s="95" t="n">
        <v>1</v>
      </c>
      <c r="L192" s="85" t="n">
        <v>0</v>
      </c>
    </row>
    <row r="193">
      <c r="A193" s="84" t="inlineStr">
        <is>
          <t>Privé</t>
        </is>
      </c>
      <c r="B193" s="7" t="inlineStr">
        <is>
          <t>actif</t>
        </is>
      </c>
      <c r="C193" s="88" t="n">
        <v>1994</v>
      </c>
      <c r="D193" s="95" t="n">
        <v>64</v>
      </c>
      <c r="E193" s="95" t="n">
        <v>67</v>
      </c>
      <c r="F193" s="85" t="n">
        <v>172</v>
      </c>
      <c r="G193" s="120" t="n">
        <v>0.0125</v>
      </c>
      <c r="H193" s="120" t="n">
        <v>0.0125</v>
      </c>
      <c r="I193" s="75" t="n"/>
      <c r="J193" s="95" t="n">
        <v>63.94</v>
      </c>
      <c r="K193" s="95" t="n">
        <v>1</v>
      </c>
      <c r="L193" s="85" t="n">
        <v>0</v>
      </c>
    </row>
    <row r="194">
      <c r="A194" s="84" t="inlineStr">
        <is>
          <t>Privé</t>
        </is>
      </c>
      <c r="B194" s="7" t="inlineStr">
        <is>
          <t>actif</t>
        </is>
      </c>
      <c r="C194" s="88" t="n">
        <v>1995</v>
      </c>
      <c r="D194" s="95" t="n">
        <v>64</v>
      </c>
      <c r="E194" s="95" t="n">
        <v>67</v>
      </c>
      <c r="F194" s="85" t="n">
        <v>172</v>
      </c>
      <c r="G194" s="120" t="n">
        <v>0.0125</v>
      </c>
      <c r="H194" s="120" t="n">
        <v>0.0125</v>
      </c>
      <c r="I194" s="75" t="n"/>
      <c r="J194" s="95" t="n">
        <v>63.95</v>
      </c>
      <c r="K194" s="95" t="n">
        <v>1</v>
      </c>
      <c r="L194" s="85" t="n">
        <v>0</v>
      </c>
    </row>
    <row r="195">
      <c r="A195" s="84" t="inlineStr">
        <is>
          <t>Privé</t>
        </is>
      </c>
      <c r="B195" s="7" t="inlineStr">
        <is>
          <t>actif</t>
        </is>
      </c>
      <c r="C195" s="88" t="n">
        <v>1996</v>
      </c>
      <c r="D195" s="95" t="n">
        <v>64</v>
      </c>
      <c r="E195" s="95" t="n">
        <v>67</v>
      </c>
      <c r="F195" s="85" t="n">
        <v>172</v>
      </c>
      <c r="G195" s="120" t="n">
        <v>0.0125</v>
      </c>
      <c r="H195" s="120" t="n">
        <v>0.0125</v>
      </c>
      <c r="I195" s="75" t="n"/>
      <c r="J195" s="95" t="n">
        <v>63.96</v>
      </c>
      <c r="K195" s="95" t="n">
        <v>1</v>
      </c>
      <c r="L195" s="85" t="n">
        <v>0</v>
      </c>
    </row>
    <row r="196">
      <c r="A196" s="84" t="inlineStr">
        <is>
          <t>Privé</t>
        </is>
      </c>
      <c r="B196" s="7" t="inlineStr">
        <is>
          <t>actif</t>
        </is>
      </c>
      <c r="C196" s="88" t="n">
        <v>1997</v>
      </c>
      <c r="D196" s="95" t="n">
        <v>64</v>
      </c>
      <c r="E196" s="95" t="n">
        <v>67</v>
      </c>
      <c r="F196" s="85" t="n">
        <v>172</v>
      </c>
      <c r="G196" s="120" t="n">
        <v>0.0125</v>
      </c>
      <c r="H196" s="120" t="n">
        <v>0.0125</v>
      </c>
      <c r="I196" s="75" t="n"/>
      <c r="J196" s="95" t="n">
        <v>63.97</v>
      </c>
      <c r="K196" s="95" t="n">
        <v>1</v>
      </c>
      <c r="L196" s="85" t="n">
        <v>0</v>
      </c>
    </row>
    <row r="197">
      <c r="A197" s="84" t="inlineStr">
        <is>
          <t>Privé</t>
        </is>
      </c>
      <c r="B197" s="7" t="inlineStr">
        <is>
          <t>actif</t>
        </is>
      </c>
      <c r="C197" s="88" t="n">
        <v>1998</v>
      </c>
      <c r="D197" s="95" t="n">
        <v>64</v>
      </c>
      <c r="E197" s="95" t="n">
        <v>67</v>
      </c>
      <c r="F197" s="85" t="n">
        <v>172</v>
      </c>
      <c r="G197" s="120" t="n">
        <v>0.0125</v>
      </c>
      <c r="H197" s="120" t="n">
        <v>0.0125</v>
      </c>
      <c r="I197" s="75" t="n"/>
      <c r="J197" s="95" t="n">
        <v>63.98</v>
      </c>
      <c r="K197" s="95" t="n">
        <v>1</v>
      </c>
      <c r="L197" s="85" t="n">
        <v>0</v>
      </c>
    </row>
    <row r="198">
      <c r="A198" s="84" t="inlineStr">
        <is>
          <t>Privé</t>
        </is>
      </c>
      <c r="B198" s="7" t="inlineStr">
        <is>
          <t>actif</t>
        </is>
      </c>
      <c r="C198" s="88" t="n">
        <v>1999</v>
      </c>
      <c r="D198" s="95" t="n">
        <v>64</v>
      </c>
      <c r="E198" s="95" t="n">
        <v>67</v>
      </c>
      <c r="F198" s="85" t="n">
        <v>172</v>
      </c>
      <c r="G198" s="120" t="n">
        <v>0.0125</v>
      </c>
      <c r="H198" s="120" t="n">
        <v>0.0125</v>
      </c>
      <c r="I198" s="75" t="n"/>
      <c r="J198" s="95" t="n">
        <v>63.99</v>
      </c>
      <c r="K198" s="95" t="n">
        <v>1</v>
      </c>
      <c r="L198" s="85" t="n">
        <v>0</v>
      </c>
    </row>
    <row r="199">
      <c r="A199" s="84" t="inlineStr">
        <is>
          <t>Privé</t>
        </is>
      </c>
      <c r="B199" s="7" t="inlineStr">
        <is>
          <t>actif</t>
        </is>
      </c>
      <c r="C199" s="88" t="n">
        <v>2000</v>
      </c>
      <c r="D199" s="95" t="n">
        <v>64</v>
      </c>
      <c r="E199" s="95" t="n">
        <v>67</v>
      </c>
      <c r="F199" s="85" t="n">
        <v>172</v>
      </c>
      <c r="G199" s="120" t="n">
        <v>0.0125</v>
      </c>
      <c r="H199" s="120" t="n">
        <v>0.0125</v>
      </c>
      <c r="I199" s="75" t="n"/>
      <c r="J199" s="95" t="n">
        <v>64</v>
      </c>
      <c r="K199" s="95" t="n">
        <v>1</v>
      </c>
      <c r="L199" s="85" t="n">
        <v>0</v>
      </c>
    </row>
    <row r="200">
      <c r="A200" s="84" t="inlineStr">
        <is>
          <t>Privé</t>
        </is>
      </c>
      <c r="B200" s="7" t="inlineStr">
        <is>
          <t>actif</t>
        </is>
      </c>
      <c r="C200" s="88" t="n">
        <v>2001</v>
      </c>
      <c r="D200" s="95" t="n">
        <v>64</v>
      </c>
      <c r="E200" s="95" t="n">
        <v>67</v>
      </c>
      <c r="F200" s="85" t="n">
        <v>172</v>
      </c>
      <c r="G200" s="120" t="n">
        <v>0.0125</v>
      </c>
      <c r="H200" s="120" t="n">
        <v>0.0125</v>
      </c>
      <c r="I200" s="75" t="n"/>
      <c r="J200" s="95" t="n">
        <v>64</v>
      </c>
      <c r="K200" s="95" t="n">
        <v>1</v>
      </c>
      <c r="L200" s="85" t="n">
        <v>0</v>
      </c>
    </row>
    <row r="201">
      <c r="A201" s="84" t="inlineStr">
        <is>
          <t>Privé</t>
        </is>
      </c>
      <c r="B201" s="7" t="inlineStr">
        <is>
          <t>actif</t>
        </is>
      </c>
      <c r="C201" s="88" t="n">
        <v>2002</v>
      </c>
      <c r="D201" s="95" t="n">
        <v>64</v>
      </c>
      <c r="E201" s="95" t="n">
        <v>67</v>
      </c>
      <c r="F201" s="85" t="n">
        <v>172</v>
      </c>
      <c r="G201" s="120" t="n">
        <v>0.0125</v>
      </c>
      <c r="H201" s="120" t="n">
        <v>0.0125</v>
      </c>
      <c r="I201" s="75" t="n"/>
      <c r="J201" s="95" t="n">
        <v>64</v>
      </c>
      <c r="K201" s="95" t="n">
        <v>1</v>
      </c>
      <c r="L201" s="85" t="n">
        <v>0</v>
      </c>
    </row>
    <row r="202">
      <c r="A202" s="84" t="inlineStr">
        <is>
          <t>Privé</t>
        </is>
      </c>
      <c r="B202" s="7" t="inlineStr">
        <is>
          <t>actif</t>
        </is>
      </c>
      <c r="C202" s="88" t="n">
        <v>2003</v>
      </c>
      <c r="D202" s="95" t="n">
        <v>64</v>
      </c>
      <c r="E202" s="95" t="n">
        <v>67</v>
      </c>
      <c r="F202" s="85" t="n">
        <v>172</v>
      </c>
      <c r="G202" s="120" t="n">
        <v>0.0125</v>
      </c>
      <c r="H202" s="120" t="n">
        <v>0.0125</v>
      </c>
      <c r="I202" s="75" t="n"/>
      <c r="J202" s="95" t="n">
        <v>64</v>
      </c>
      <c r="K202" s="95" t="n">
        <v>1</v>
      </c>
      <c r="L202" s="85" t="n">
        <v>0</v>
      </c>
    </row>
    <row r="203">
      <c r="A203" s="84" t="inlineStr">
        <is>
          <t>Privé</t>
        </is>
      </c>
      <c r="B203" s="7" t="inlineStr">
        <is>
          <t>actif</t>
        </is>
      </c>
      <c r="C203" s="88" t="n">
        <v>2004</v>
      </c>
      <c r="D203" s="95" t="n">
        <v>64</v>
      </c>
      <c r="E203" s="95" t="n">
        <v>67</v>
      </c>
      <c r="F203" s="85" t="n">
        <v>172</v>
      </c>
      <c r="G203" s="120" t="n">
        <v>0.0125</v>
      </c>
      <c r="H203" s="120" t="n">
        <v>0.0125</v>
      </c>
      <c r="I203" s="75" t="n"/>
      <c r="J203" s="95" t="n">
        <v>64</v>
      </c>
      <c r="K203" s="95" t="n">
        <v>1</v>
      </c>
      <c r="L203" s="85" t="n">
        <v>0</v>
      </c>
    </row>
    <row r="204">
      <c r="A204" s="84" t="inlineStr">
        <is>
          <t>Privé</t>
        </is>
      </c>
      <c r="B204" s="7" t="inlineStr">
        <is>
          <t>actif</t>
        </is>
      </c>
      <c r="C204" s="88" t="n">
        <v>2005</v>
      </c>
      <c r="D204" s="95" t="n">
        <v>64</v>
      </c>
      <c r="E204" s="95" t="n">
        <v>67</v>
      </c>
      <c r="F204" s="85" t="n">
        <v>172</v>
      </c>
      <c r="G204" s="120" t="n">
        <v>0.0125</v>
      </c>
      <c r="H204" s="120" t="n">
        <v>0.0125</v>
      </c>
      <c r="I204" s="75" t="n"/>
      <c r="J204" s="95" t="n">
        <v>64</v>
      </c>
      <c r="K204" s="95" t="n">
        <v>1</v>
      </c>
      <c r="L204" s="85" t="n">
        <v>0</v>
      </c>
    </row>
    <row r="205">
      <c r="A205" s="84" t="inlineStr">
        <is>
          <t>Privé</t>
        </is>
      </c>
      <c r="B205" s="7" t="inlineStr">
        <is>
          <t>actif</t>
        </is>
      </c>
      <c r="C205" s="88" t="n">
        <v>2006</v>
      </c>
      <c r="D205" s="95" t="n">
        <v>64</v>
      </c>
      <c r="E205" s="95" t="n">
        <v>67</v>
      </c>
      <c r="F205" s="85" t="n">
        <v>172</v>
      </c>
      <c r="G205" s="120" t="n">
        <v>0.0125</v>
      </c>
      <c r="H205" s="120" t="n">
        <v>0.0125</v>
      </c>
      <c r="I205" s="75" t="n"/>
      <c r="J205" s="95" t="n">
        <v>64</v>
      </c>
      <c r="K205" s="95" t="n">
        <v>1</v>
      </c>
      <c r="L205" s="85" t="n">
        <v>0</v>
      </c>
    </row>
    <row r="206">
      <c r="A206" s="84" t="inlineStr">
        <is>
          <t>Privé</t>
        </is>
      </c>
      <c r="B206" s="7" t="inlineStr">
        <is>
          <t>actif</t>
        </is>
      </c>
      <c r="C206" s="88" t="n">
        <v>2007</v>
      </c>
      <c r="D206" s="95" t="n">
        <v>64</v>
      </c>
      <c r="E206" s="95" t="n">
        <v>67</v>
      </c>
      <c r="F206" s="85" t="n">
        <v>172</v>
      </c>
      <c r="G206" s="120" t="n">
        <v>0.0125</v>
      </c>
      <c r="H206" s="120" t="n">
        <v>0.0125</v>
      </c>
      <c r="I206" s="75" t="n"/>
      <c r="J206" s="95" t="n">
        <v>64</v>
      </c>
      <c r="K206" s="95" t="n">
        <v>1</v>
      </c>
      <c r="L206" s="85" t="n">
        <v>0</v>
      </c>
    </row>
    <row r="207">
      <c r="A207" s="84" t="inlineStr">
        <is>
          <t>Privé</t>
        </is>
      </c>
      <c r="B207" s="7" t="inlineStr">
        <is>
          <t>actif</t>
        </is>
      </c>
      <c r="C207" s="88" t="n">
        <v>2008</v>
      </c>
      <c r="D207" s="95" t="n">
        <v>64</v>
      </c>
      <c r="E207" s="95" t="n">
        <v>67</v>
      </c>
      <c r="F207" s="85" t="n">
        <v>172</v>
      </c>
      <c r="G207" s="120" t="n">
        <v>0.0125</v>
      </c>
      <c r="H207" s="120" t="n">
        <v>0.0125</v>
      </c>
      <c r="I207" s="75" t="n"/>
      <c r="J207" s="95" t="n">
        <v>64</v>
      </c>
      <c r="K207" s="95" t="n">
        <v>1</v>
      </c>
      <c r="L207" s="85" t="n">
        <v>0</v>
      </c>
    </row>
    <row r="208">
      <c r="A208" s="84" t="inlineStr">
        <is>
          <t>Privé</t>
        </is>
      </c>
      <c r="B208" s="7" t="inlineStr">
        <is>
          <t>actif</t>
        </is>
      </c>
      <c r="C208" s="88" t="n">
        <v>2009</v>
      </c>
      <c r="D208" s="95" t="n">
        <v>64</v>
      </c>
      <c r="E208" s="95" t="n">
        <v>67</v>
      </c>
      <c r="F208" s="85" t="n">
        <v>172</v>
      </c>
      <c r="G208" s="120" t="n">
        <v>0.0125</v>
      </c>
      <c r="H208" s="120" t="n">
        <v>0.0125</v>
      </c>
      <c r="I208" s="75" t="n"/>
      <c r="J208" s="95" t="n">
        <v>64</v>
      </c>
      <c r="K208" s="95" t="n">
        <v>1</v>
      </c>
      <c r="L208" s="85" t="n">
        <v>0</v>
      </c>
    </row>
    <row r="209">
      <c r="A209" s="84" t="inlineStr">
        <is>
          <t>Privé</t>
        </is>
      </c>
      <c r="B209" s="7" t="inlineStr">
        <is>
          <t>actif</t>
        </is>
      </c>
      <c r="C209" s="88" t="n">
        <v>2010</v>
      </c>
      <c r="D209" s="95" t="n">
        <v>64</v>
      </c>
      <c r="E209" s="95" t="n">
        <v>67</v>
      </c>
      <c r="F209" s="85" t="n">
        <v>172</v>
      </c>
      <c r="G209" s="120" t="n">
        <v>0.0125</v>
      </c>
      <c r="H209" s="120" t="n">
        <v>0.0125</v>
      </c>
      <c r="I209" s="75" t="n"/>
      <c r="J209" s="95" t="n">
        <v>64</v>
      </c>
      <c r="K209" s="95" t="n">
        <v>1</v>
      </c>
      <c r="L209" s="85" t="n">
        <v>0</v>
      </c>
    </row>
    <row r="210">
      <c r="A210" s="84" t="inlineStr">
        <is>
          <t>Privé</t>
        </is>
      </c>
      <c r="B210" s="7" t="inlineStr">
        <is>
          <t>actif</t>
        </is>
      </c>
      <c r="C210" s="88" t="n">
        <v>2011</v>
      </c>
      <c r="D210" s="95" t="n">
        <v>64</v>
      </c>
      <c r="E210" s="95" t="n">
        <v>67</v>
      </c>
      <c r="F210" s="85" t="n">
        <v>172</v>
      </c>
      <c r="G210" s="120" t="n">
        <v>0.0125</v>
      </c>
      <c r="H210" s="120" t="n">
        <v>0.0125</v>
      </c>
      <c r="I210" s="75" t="n"/>
      <c r="J210" s="95" t="n">
        <v>64</v>
      </c>
      <c r="K210" s="95" t="n">
        <v>1</v>
      </c>
      <c r="L210" s="85" t="n">
        <v>0</v>
      </c>
    </row>
    <row r="211">
      <c r="A211" s="84" t="inlineStr">
        <is>
          <t>Privé</t>
        </is>
      </c>
      <c r="B211" s="7" t="inlineStr">
        <is>
          <t>actif</t>
        </is>
      </c>
      <c r="C211" s="88" t="n">
        <v>2012</v>
      </c>
      <c r="D211" s="95" t="n">
        <v>64</v>
      </c>
      <c r="E211" s="95" t="n">
        <v>67</v>
      </c>
      <c r="F211" s="85" t="n">
        <v>172</v>
      </c>
      <c r="G211" s="120" t="n">
        <v>0.0125</v>
      </c>
      <c r="H211" s="120" t="n">
        <v>0.0125</v>
      </c>
      <c r="I211" s="75" t="n"/>
      <c r="J211" s="95" t="n">
        <v>64</v>
      </c>
      <c r="K211" s="95" t="n">
        <v>1</v>
      </c>
      <c r="L211" s="85" t="n">
        <v>0</v>
      </c>
    </row>
    <row r="212">
      <c r="A212" s="84" t="inlineStr">
        <is>
          <t>Privé</t>
        </is>
      </c>
      <c r="B212" s="7" t="inlineStr">
        <is>
          <t>actif</t>
        </is>
      </c>
      <c r="C212" s="88" t="n">
        <v>2013</v>
      </c>
      <c r="D212" s="95" t="n">
        <v>64</v>
      </c>
      <c r="E212" s="95" t="n">
        <v>67</v>
      </c>
      <c r="F212" s="85" t="n">
        <v>172</v>
      </c>
      <c r="G212" s="120" t="n">
        <v>0.0125</v>
      </c>
      <c r="H212" s="120" t="n">
        <v>0.0125</v>
      </c>
      <c r="I212" s="75" t="n"/>
      <c r="J212" s="95" t="n">
        <v>64</v>
      </c>
      <c r="K212" s="95" t="n">
        <v>1</v>
      </c>
      <c r="L212" s="85" t="n">
        <v>0</v>
      </c>
    </row>
    <row r="213">
      <c r="A213" s="84" t="inlineStr">
        <is>
          <t>Privé</t>
        </is>
      </c>
      <c r="B213" s="7" t="inlineStr">
        <is>
          <t>actif</t>
        </is>
      </c>
      <c r="C213" s="88" t="n">
        <v>2014</v>
      </c>
      <c r="D213" s="95" t="n">
        <v>64</v>
      </c>
      <c r="E213" s="95" t="n">
        <v>67</v>
      </c>
      <c r="F213" s="85" t="n">
        <v>172</v>
      </c>
      <c r="G213" s="120" t="n">
        <v>0.0125</v>
      </c>
      <c r="H213" s="120" t="n">
        <v>0.0125</v>
      </c>
      <c r="I213" s="75" t="n"/>
      <c r="J213" s="95" t="n">
        <v>64</v>
      </c>
      <c r="K213" s="95" t="n">
        <v>1</v>
      </c>
      <c r="L213" s="85" t="n">
        <v>0</v>
      </c>
    </row>
    <row r="214">
      <c r="A214" s="84" t="inlineStr">
        <is>
          <t>Privé</t>
        </is>
      </c>
      <c r="B214" s="7" t="inlineStr">
        <is>
          <t>actif</t>
        </is>
      </c>
      <c r="C214" s="88" t="n">
        <v>2015</v>
      </c>
      <c r="D214" s="95" t="n">
        <v>64</v>
      </c>
      <c r="E214" s="95" t="n">
        <v>67</v>
      </c>
      <c r="F214" s="85" t="n">
        <v>172</v>
      </c>
      <c r="G214" s="120" t="n">
        <v>0.0125</v>
      </c>
      <c r="H214" s="120" t="n">
        <v>0.0125</v>
      </c>
      <c r="I214" s="75" t="n"/>
      <c r="J214" s="95" t="n">
        <v>64</v>
      </c>
      <c r="K214" s="95" t="n">
        <v>1</v>
      </c>
      <c r="L214" s="85" t="n">
        <v>0</v>
      </c>
    </row>
    <row r="215">
      <c r="A215" s="84" t="inlineStr">
        <is>
          <t>Privé</t>
        </is>
      </c>
      <c r="B215" s="7" t="inlineStr">
        <is>
          <t>actif</t>
        </is>
      </c>
      <c r="C215" s="88" t="n">
        <v>2016</v>
      </c>
      <c r="D215" s="95" t="n">
        <v>64</v>
      </c>
      <c r="E215" s="95" t="n">
        <v>67</v>
      </c>
      <c r="F215" s="85" t="n">
        <v>172</v>
      </c>
      <c r="G215" s="120" t="n">
        <v>0.0125</v>
      </c>
      <c r="H215" s="120" t="n">
        <v>0.0125</v>
      </c>
      <c r="I215" s="75" t="n"/>
      <c r="J215" s="95" t="n">
        <v>64</v>
      </c>
      <c r="K215" s="95" t="n">
        <v>1</v>
      </c>
      <c r="L215" s="85" t="n">
        <v>0</v>
      </c>
    </row>
    <row r="216">
      <c r="A216" s="84" t="inlineStr">
        <is>
          <t>Privé</t>
        </is>
      </c>
      <c r="B216" s="7" t="inlineStr">
        <is>
          <t>actif</t>
        </is>
      </c>
      <c r="C216" s="88" t="n">
        <v>2017</v>
      </c>
      <c r="D216" s="95" t="n">
        <v>64</v>
      </c>
      <c r="E216" s="95" t="n">
        <v>67</v>
      </c>
      <c r="F216" s="85" t="n">
        <v>172</v>
      </c>
      <c r="G216" s="120" t="n">
        <v>0.0125</v>
      </c>
      <c r="H216" s="120" t="n">
        <v>0.0125</v>
      </c>
      <c r="I216" s="75" t="n"/>
      <c r="J216" s="95" t="n">
        <v>64</v>
      </c>
      <c r="K216" s="95" t="n">
        <v>1</v>
      </c>
      <c r="L216" s="85" t="n">
        <v>0</v>
      </c>
    </row>
    <row r="217">
      <c r="A217" s="84" t="inlineStr">
        <is>
          <t>Privé</t>
        </is>
      </c>
      <c r="B217" s="7" t="inlineStr">
        <is>
          <t>actif</t>
        </is>
      </c>
      <c r="C217" s="88" t="n">
        <v>2018</v>
      </c>
      <c r="D217" s="95" t="n">
        <v>64</v>
      </c>
      <c r="E217" s="95" t="n">
        <v>67</v>
      </c>
      <c r="F217" s="85" t="n">
        <v>172</v>
      </c>
      <c r="G217" s="120" t="n">
        <v>0.0125</v>
      </c>
      <c r="H217" s="120" t="n">
        <v>0.0125</v>
      </c>
      <c r="I217" s="75" t="n"/>
      <c r="J217" s="95" t="n">
        <v>64</v>
      </c>
      <c r="K217" s="95" t="n">
        <v>1</v>
      </c>
      <c r="L217" s="85" t="n">
        <v>0</v>
      </c>
    </row>
    <row r="218">
      <c r="A218" s="84" t="inlineStr">
        <is>
          <t>Privé</t>
        </is>
      </c>
      <c r="B218" s="7" t="inlineStr">
        <is>
          <t>actif</t>
        </is>
      </c>
      <c r="C218" s="88" t="n">
        <v>2019</v>
      </c>
      <c r="D218" s="95" t="n">
        <v>64</v>
      </c>
      <c r="E218" s="95" t="n">
        <v>67</v>
      </c>
      <c r="F218" s="85" t="n">
        <v>172</v>
      </c>
      <c r="G218" s="120" t="n">
        <v>0.0125</v>
      </c>
      <c r="H218" s="120" t="n">
        <v>0.0125</v>
      </c>
      <c r="I218" s="75" t="n"/>
      <c r="J218" s="95" t="n">
        <v>64</v>
      </c>
      <c r="K218" s="95" t="n">
        <v>1</v>
      </c>
      <c r="L218" s="85" t="n">
        <v>0</v>
      </c>
    </row>
    <row r="219">
      <c r="A219" s="84" t="inlineStr">
        <is>
          <t>Privé</t>
        </is>
      </c>
      <c r="B219" s="7" t="inlineStr">
        <is>
          <t>actif</t>
        </is>
      </c>
      <c r="C219" s="88" t="n">
        <v>2020</v>
      </c>
      <c r="D219" s="95" t="n">
        <v>64</v>
      </c>
      <c r="E219" s="95" t="n">
        <v>67</v>
      </c>
      <c r="F219" s="85" t="n">
        <v>172</v>
      </c>
      <c r="G219" s="120" t="n">
        <v>0.0125</v>
      </c>
      <c r="H219" s="120" t="n">
        <v>0.0125</v>
      </c>
      <c r="I219" s="75" t="n"/>
      <c r="J219" s="95" t="n">
        <v>64</v>
      </c>
      <c r="K219" s="95" t="n">
        <v>1</v>
      </c>
      <c r="L219" s="85" t="n">
        <v>0</v>
      </c>
    </row>
    <row r="220">
      <c r="A220" s="84" t="inlineStr">
        <is>
          <t>Privé</t>
        </is>
      </c>
      <c r="B220" s="7" t="inlineStr">
        <is>
          <t>actif</t>
        </is>
      </c>
      <c r="C220" s="88" t="n">
        <v>2021</v>
      </c>
      <c r="D220" s="95" t="n">
        <v>64</v>
      </c>
      <c r="E220" s="95" t="n">
        <v>67</v>
      </c>
      <c r="F220" s="85" t="n">
        <v>172</v>
      </c>
      <c r="G220" s="120" t="n">
        <v>0.0125</v>
      </c>
      <c r="H220" s="120" t="n">
        <v>0.0125</v>
      </c>
      <c r="I220" s="75" t="n"/>
      <c r="J220" s="95" t="n">
        <v>64</v>
      </c>
      <c r="K220" s="95" t="n">
        <v>1</v>
      </c>
      <c r="L220" s="85" t="n">
        <v>0</v>
      </c>
    </row>
    <row r="221">
      <c r="A221" s="84" t="inlineStr">
        <is>
          <t>Privé</t>
        </is>
      </c>
      <c r="B221" s="7" t="inlineStr">
        <is>
          <t>actif</t>
        </is>
      </c>
      <c r="C221" s="88" t="n">
        <v>2022</v>
      </c>
      <c r="D221" s="95" t="n">
        <v>64</v>
      </c>
      <c r="E221" s="95" t="n">
        <v>67</v>
      </c>
      <c r="F221" s="85" t="n">
        <v>172</v>
      </c>
      <c r="G221" s="120" t="n">
        <v>0.0125</v>
      </c>
      <c r="H221" s="120" t="n">
        <v>0.0125</v>
      </c>
      <c r="I221" s="75" t="n"/>
      <c r="J221" s="95" t="n">
        <v>64</v>
      </c>
      <c r="K221" s="95" t="n">
        <v>1</v>
      </c>
      <c r="L221" s="85" t="n">
        <v>0</v>
      </c>
    </row>
    <row r="222">
      <c r="A222" s="84" t="inlineStr">
        <is>
          <t>Privé</t>
        </is>
      </c>
      <c r="B222" s="7" t="inlineStr">
        <is>
          <t>actif</t>
        </is>
      </c>
      <c r="C222" s="88" t="n">
        <v>2023</v>
      </c>
      <c r="D222" s="95" t="n">
        <v>64</v>
      </c>
      <c r="E222" s="95" t="n">
        <v>67</v>
      </c>
      <c r="F222" s="85" t="n">
        <v>172</v>
      </c>
      <c r="G222" s="120" t="n">
        <v>0.0125</v>
      </c>
      <c r="H222" s="120" t="n">
        <v>0.0125</v>
      </c>
      <c r="I222" s="75" t="n"/>
      <c r="J222" s="95" t="n">
        <v>64</v>
      </c>
      <c r="K222" s="95" t="n">
        <v>1</v>
      </c>
      <c r="L222" s="85" t="n">
        <v>0</v>
      </c>
    </row>
    <row r="223">
      <c r="A223" s="84" t="inlineStr">
        <is>
          <t>Privé</t>
        </is>
      </c>
      <c r="B223" s="7" t="inlineStr">
        <is>
          <t>actif</t>
        </is>
      </c>
      <c r="C223" s="88" t="n">
        <v>2024</v>
      </c>
      <c r="D223" s="95" t="n">
        <v>64</v>
      </c>
      <c r="E223" s="95" t="n">
        <v>67</v>
      </c>
      <c r="F223" s="85" t="n">
        <v>172</v>
      </c>
      <c r="G223" s="120" t="n">
        <v>0.0125</v>
      </c>
      <c r="H223" s="120" t="n">
        <v>0.0125</v>
      </c>
      <c r="I223" s="75" t="n"/>
      <c r="J223" s="95" t="n">
        <v>64</v>
      </c>
      <c r="K223" s="95" t="n">
        <v>1</v>
      </c>
      <c r="L223" s="85" t="n">
        <v>0</v>
      </c>
    </row>
    <row r="224">
      <c r="A224" s="84" t="inlineStr">
        <is>
          <t>Privé</t>
        </is>
      </c>
      <c r="B224" s="7" t="inlineStr">
        <is>
          <t>actif</t>
        </is>
      </c>
      <c r="C224" s="88" t="n">
        <v>2025</v>
      </c>
      <c r="D224" s="95" t="n">
        <v>64</v>
      </c>
      <c r="E224" s="95" t="n">
        <v>67</v>
      </c>
      <c r="F224" s="85" t="n">
        <v>172</v>
      </c>
      <c r="G224" s="120" t="n">
        <v>0.0125</v>
      </c>
      <c r="H224" s="120" t="n">
        <v>0.0125</v>
      </c>
      <c r="I224" s="75" t="n"/>
      <c r="J224" s="95" t="n">
        <v>64</v>
      </c>
      <c r="K224" s="95" t="n">
        <v>1</v>
      </c>
      <c r="L224" s="85" t="n">
        <v>0</v>
      </c>
    </row>
    <row r="225">
      <c r="A225" s="84" t="inlineStr">
        <is>
          <t>Privé</t>
        </is>
      </c>
      <c r="B225" s="7" t="inlineStr">
        <is>
          <t>conduite ou super-actif</t>
        </is>
      </c>
      <c r="C225" s="88" t="n">
        <v>1915</v>
      </c>
      <c r="D225" s="95" t="n">
        <v>60</v>
      </c>
      <c r="E225" s="95" t="n">
        <v>65</v>
      </c>
      <c r="F225" s="85" t="n">
        <v>150</v>
      </c>
      <c r="G225" s="120" t="n">
        <v>0.025</v>
      </c>
      <c r="H225" s="120" t="n">
        <v>0.0075</v>
      </c>
      <c r="I225" s="75" t="n"/>
      <c r="J225" s="95" t="n">
        <v>63.02</v>
      </c>
      <c r="K225" s="95" t="n">
        <v>1</v>
      </c>
      <c r="L225" s="85" t="n">
        <v>0</v>
      </c>
    </row>
    <row r="226">
      <c r="A226" s="84" t="inlineStr">
        <is>
          <t>Privé</t>
        </is>
      </c>
      <c r="B226" s="7" t="inlineStr">
        <is>
          <t>conduite ou super-actif</t>
        </is>
      </c>
      <c r="C226" s="88" t="n">
        <v>1916</v>
      </c>
      <c r="D226" s="95" t="n">
        <v>60</v>
      </c>
      <c r="E226" s="95" t="n">
        <v>65</v>
      </c>
      <c r="F226" s="85" t="n">
        <v>150</v>
      </c>
      <c r="G226" s="120" t="n">
        <v>0.025</v>
      </c>
      <c r="H226" s="120" t="n">
        <v>0.0075</v>
      </c>
      <c r="I226" s="75" t="n"/>
      <c r="J226" s="95" t="n">
        <v>62.89</v>
      </c>
      <c r="K226" s="95" t="n">
        <v>1</v>
      </c>
      <c r="L226" s="85" t="n">
        <v>0</v>
      </c>
    </row>
    <row r="227">
      <c r="A227" s="84" t="inlineStr">
        <is>
          <t>Privé</t>
        </is>
      </c>
      <c r="B227" s="7" t="inlineStr">
        <is>
          <t>conduite ou super-actif</t>
        </is>
      </c>
      <c r="C227" s="88" t="n">
        <v>1917</v>
      </c>
      <c r="D227" s="95" t="n">
        <v>60</v>
      </c>
      <c r="E227" s="95" t="n">
        <v>65</v>
      </c>
      <c r="F227" s="85" t="n">
        <v>150</v>
      </c>
      <c r="G227" s="120" t="n">
        <v>0.025</v>
      </c>
      <c r="H227" s="120" t="n">
        <v>0.0075</v>
      </c>
      <c r="I227" s="75" t="n"/>
      <c r="J227" s="95" t="n">
        <v>62.76</v>
      </c>
      <c r="K227" s="95" t="n">
        <v>1</v>
      </c>
      <c r="L227" s="85" t="n">
        <v>0</v>
      </c>
    </row>
    <row r="228">
      <c r="A228" s="84" t="inlineStr">
        <is>
          <t>Privé</t>
        </is>
      </c>
      <c r="B228" s="7" t="inlineStr">
        <is>
          <t>conduite ou super-actif</t>
        </is>
      </c>
      <c r="C228" s="88" t="n">
        <v>1918</v>
      </c>
      <c r="D228" s="95" t="n">
        <v>60</v>
      </c>
      <c r="E228" s="95" t="n">
        <v>65</v>
      </c>
      <c r="F228" s="85" t="n">
        <v>150</v>
      </c>
      <c r="G228" s="120" t="n">
        <v>0.025</v>
      </c>
      <c r="H228" s="120" t="n">
        <v>0.0075</v>
      </c>
      <c r="I228" s="75" t="n"/>
      <c r="J228" s="95" t="n">
        <v>62.63</v>
      </c>
      <c r="K228" s="95" t="n">
        <v>1</v>
      </c>
      <c r="L228" s="85" t="n">
        <v>0</v>
      </c>
    </row>
    <row r="229">
      <c r="A229" s="84" t="inlineStr">
        <is>
          <t>Privé</t>
        </is>
      </c>
      <c r="B229" s="7" t="inlineStr">
        <is>
          <t>conduite ou super-actif</t>
        </is>
      </c>
      <c r="C229" s="88" t="n">
        <v>1919</v>
      </c>
      <c r="D229" s="95" t="n">
        <v>60</v>
      </c>
      <c r="E229" s="95" t="n">
        <v>65</v>
      </c>
      <c r="F229" s="85" t="n">
        <v>150</v>
      </c>
      <c r="G229" s="120" t="n">
        <v>0.025</v>
      </c>
      <c r="H229" s="120" t="n">
        <v>0.0075</v>
      </c>
      <c r="I229" s="75" t="n"/>
      <c r="J229" s="95" t="n">
        <v>62.5</v>
      </c>
      <c r="K229" s="95" t="n">
        <v>1</v>
      </c>
      <c r="L229" s="85" t="n">
        <v>0</v>
      </c>
    </row>
    <row r="230">
      <c r="A230" s="84" t="inlineStr">
        <is>
          <t>Privé</t>
        </is>
      </c>
      <c r="B230" s="7" t="inlineStr">
        <is>
          <t>conduite ou super-actif</t>
        </is>
      </c>
      <c r="C230" s="88" t="n">
        <v>1920</v>
      </c>
      <c r="D230" s="95" t="n">
        <v>60</v>
      </c>
      <c r="E230" s="95" t="n">
        <v>65</v>
      </c>
      <c r="F230" s="85" t="n">
        <v>150</v>
      </c>
      <c r="G230" s="120" t="n">
        <v>0.025</v>
      </c>
      <c r="H230" s="120" t="n">
        <v>0.0075</v>
      </c>
      <c r="I230" s="75" t="n"/>
      <c r="J230" s="95" t="n">
        <v>62.37</v>
      </c>
      <c r="K230" s="95" t="n">
        <v>1</v>
      </c>
      <c r="L230" s="85" t="n">
        <v>0</v>
      </c>
    </row>
    <row r="231">
      <c r="A231" s="84" t="inlineStr">
        <is>
          <t>Privé</t>
        </is>
      </c>
      <c r="B231" s="7" t="inlineStr">
        <is>
          <t>conduite ou super-actif</t>
        </is>
      </c>
      <c r="C231" s="88" t="n">
        <v>1921</v>
      </c>
      <c r="D231" s="95" t="n">
        <v>60</v>
      </c>
      <c r="E231" s="95" t="n">
        <v>65</v>
      </c>
      <c r="F231" s="85" t="n">
        <v>150</v>
      </c>
      <c r="G231" s="120" t="n">
        <v>0.025</v>
      </c>
      <c r="H231" s="120" t="n">
        <v>0.0075</v>
      </c>
      <c r="I231" s="75" t="n"/>
      <c r="J231" s="95" t="n">
        <v>62.24</v>
      </c>
      <c r="K231" s="95" t="n">
        <v>1</v>
      </c>
      <c r="L231" s="85" t="n">
        <v>0</v>
      </c>
    </row>
    <row r="232">
      <c r="A232" s="84" t="inlineStr">
        <is>
          <t>Privé</t>
        </is>
      </c>
      <c r="B232" s="7" t="inlineStr">
        <is>
          <t>conduite ou super-actif</t>
        </is>
      </c>
      <c r="C232" s="88" t="n">
        <v>1922</v>
      </c>
      <c r="D232" s="95" t="n">
        <v>60</v>
      </c>
      <c r="E232" s="95" t="n">
        <v>65</v>
      </c>
      <c r="F232" s="85" t="n">
        <v>150</v>
      </c>
      <c r="G232" s="120" t="n">
        <v>0.025</v>
      </c>
      <c r="H232" s="120" t="n">
        <v>0.0075</v>
      </c>
      <c r="I232" s="75" t="n"/>
      <c r="J232" s="95" t="n">
        <v>62.11</v>
      </c>
      <c r="K232" s="95" t="n">
        <v>1</v>
      </c>
      <c r="L232" s="85" t="n">
        <v>0</v>
      </c>
    </row>
    <row r="233">
      <c r="A233" s="84" t="inlineStr">
        <is>
          <t>Privé</t>
        </is>
      </c>
      <c r="B233" s="7" t="inlineStr">
        <is>
          <t>conduite ou super-actif</t>
        </is>
      </c>
      <c r="C233" s="88" t="n">
        <v>1923</v>
      </c>
      <c r="D233" s="95" t="n">
        <v>60</v>
      </c>
      <c r="E233" s="95" t="n">
        <v>65</v>
      </c>
      <c r="F233" s="85" t="n">
        <v>150</v>
      </c>
      <c r="G233" s="120" t="n">
        <v>0.025</v>
      </c>
      <c r="H233" s="120" t="n">
        <v>0.0075</v>
      </c>
      <c r="I233" s="75" t="n"/>
      <c r="J233" s="95" t="n">
        <v>61.98</v>
      </c>
      <c r="K233" s="95" t="n">
        <v>1</v>
      </c>
      <c r="L233" s="85" t="n">
        <v>0</v>
      </c>
    </row>
    <row r="234">
      <c r="A234" s="84" t="inlineStr">
        <is>
          <t>Privé</t>
        </is>
      </c>
      <c r="B234" s="7" t="inlineStr">
        <is>
          <t>conduite ou super-actif</t>
        </is>
      </c>
      <c r="C234" s="88" t="n">
        <v>1924</v>
      </c>
      <c r="D234" s="95" t="n">
        <v>60</v>
      </c>
      <c r="E234" s="95" t="n">
        <v>65</v>
      </c>
      <c r="F234" s="85" t="n">
        <v>150</v>
      </c>
      <c r="G234" s="120" t="n">
        <v>0.025</v>
      </c>
      <c r="H234" s="120" t="n">
        <v>0.0075</v>
      </c>
      <c r="I234" s="75" t="n"/>
      <c r="J234" s="95" t="n">
        <v>61.85</v>
      </c>
      <c r="K234" s="95" t="n">
        <v>1</v>
      </c>
      <c r="L234" s="85" t="n">
        <v>0</v>
      </c>
    </row>
    <row r="235">
      <c r="A235" s="84" t="inlineStr">
        <is>
          <t>Privé</t>
        </is>
      </c>
      <c r="B235" s="7" t="inlineStr">
        <is>
          <t>conduite ou super-actif</t>
        </is>
      </c>
      <c r="C235" s="88" t="n">
        <v>1925</v>
      </c>
      <c r="D235" s="95" t="n">
        <v>60</v>
      </c>
      <c r="E235" s="95" t="n">
        <v>65</v>
      </c>
      <c r="F235" s="85" t="n">
        <v>150</v>
      </c>
      <c r="G235" s="120" t="n">
        <v>0.025</v>
      </c>
      <c r="H235" s="120" t="n">
        <v>0.0075</v>
      </c>
      <c r="I235" s="75" t="n"/>
      <c r="J235" s="95" t="n">
        <v>61.72</v>
      </c>
      <c r="K235" s="95" t="n">
        <v>1</v>
      </c>
      <c r="L235" s="85" t="n">
        <v>0</v>
      </c>
    </row>
    <row r="236">
      <c r="A236" s="84" t="inlineStr">
        <is>
          <t>Privé</t>
        </is>
      </c>
      <c r="B236" s="7" t="inlineStr">
        <is>
          <t>conduite ou super-actif</t>
        </is>
      </c>
      <c r="C236" s="88" t="n">
        <v>1926</v>
      </c>
      <c r="D236" s="95" t="n">
        <v>60</v>
      </c>
      <c r="E236" s="95" t="n">
        <v>65</v>
      </c>
      <c r="F236" s="85" t="n">
        <v>150</v>
      </c>
      <c r="G236" s="120" t="n">
        <v>0.025</v>
      </c>
      <c r="H236" s="120" t="n">
        <v>0.0075</v>
      </c>
      <c r="I236" s="75" t="n"/>
      <c r="J236" s="95" t="n">
        <v>61.58</v>
      </c>
      <c r="K236" s="95" t="n">
        <v>1</v>
      </c>
      <c r="L236" s="85" t="n">
        <v>0</v>
      </c>
    </row>
    <row r="237">
      <c r="A237" s="84" t="inlineStr">
        <is>
          <t>Privé</t>
        </is>
      </c>
      <c r="B237" s="7" t="inlineStr">
        <is>
          <t>conduite ou super-actif</t>
        </is>
      </c>
      <c r="C237" s="88" t="n">
        <v>1927</v>
      </c>
      <c r="D237" s="95" t="n">
        <v>60</v>
      </c>
      <c r="E237" s="95" t="n">
        <v>65</v>
      </c>
      <c r="F237" s="85" t="n">
        <v>150</v>
      </c>
      <c r="G237" s="120" t="n">
        <v>0.025</v>
      </c>
      <c r="H237" s="120" t="n">
        <v>0.0075</v>
      </c>
      <c r="I237" s="75" t="n"/>
      <c r="J237" s="95" t="n">
        <v>61.45</v>
      </c>
      <c r="K237" s="95" t="n">
        <v>1</v>
      </c>
      <c r="L237" s="85" t="n">
        <v>0</v>
      </c>
    </row>
    <row r="238">
      <c r="A238" s="84" t="inlineStr">
        <is>
          <t>Privé</t>
        </is>
      </c>
      <c r="B238" s="7" t="inlineStr">
        <is>
          <t>conduite ou super-actif</t>
        </is>
      </c>
      <c r="C238" s="88" t="n">
        <v>1928</v>
      </c>
      <c r="D238" s="95" t="n">
        <v>60</v>
      </c>
      <c r="E238" s="95" t="n">
        <v>65</v>
      </c>
      <c r="F238" s="85" t="n">
        <v>150</v>
      </c>
      <c r="G238" s="120" t="n">
        <v>0.025</v>
      </c>
      <c r="H238" s="120" t="n">
        <v>0.0075</v>
      </c>
      <c r="I238" s="75" t="n"/>
      <c r="J238" s="95" t="n">
        <v>61.32</v>
      </c>
      <c r="K238" s="95" t="n">
        <v>1</v>
      </c>
      <c r="L238" s="85" t="n">
        <v>0</v>
      </c>
    </row>
    <row r="239">
      <c r="A239" s="84" t="inlineStr">
        <is>
          <t>Privé</t>
        </is>
      </c>
      <c r="B239" s="7" t="inlineStr">
        <is>
          <t>conduite ou super-actif</t>
        </is>
      </c>
      <c r="C239" s="88" t="n">
        <v>1929</v>
      </c>
      <c r="D239" s="95" t="n">
        <v>60</v>
      </c>
      <c r="E239" s="95" t="n">
        <v>65</v>
      </c>
      <c r="F239" s="85" t="n">
        <v>150</v>
      </c>
      <c r="G239" s="120" t="n">
        <v>0.025</v>
      </c>
      <c r="H239" s="120" t="n">
        <v>0.0075</v>
      </c>
      <c r="I239" s="75" t="n"/>
      <c r="J239" s="95" t="n">
        <v>61.19</v>
      </c>
      <c r="K239" s="95" t="n">
        <v>1</v>
      </c>
      <c r="L239" s="85" t="n">
        <v>0</v>
      </c>
    </row>
    <row r="240">
      <c r="A240" s="84" t="inlineStr">
        <is>
          <t>Privé</t>
        </is>
      </c>
      <c r="B240" s="7" t="inlineStr">
        <is>
          <t>conduite ou super-actif</t>
        </is>
      </c>
      <c r="C240" s="88" t="n">
        <v>1930</v>
      </c>
      <c r="D240" s="95" t="n">
        <v>60</v>
      </c>
      <c r="E240" s="95" t="n">
        <v>65</v>
      </c>
      <c r="F240" s="85" t="n">
        <v>150</v>
      </c>
      <c r="G240" s="120" t="n">
        <v>0.025</v>
      </c>
      <c r="H240" s="120" t="n">
        <v>0.0075</v>
      </c>
      <c r="I240" s="75" t="n"/>
      <c r="J240" s="95" t="n">
        <v>61.06</v>
      </c>
      <c r="K240" s="95" t="n">
        <v>1</v>
      </c>
      <c r="L240" s="85" t="n">
        <v>0</v>
      </c>
    </row>
    <row r="241">
      <c r="A241" s="84" t="inlineStr">
        <is>
          <t>Privé</t>
        </is>
      </c>
      <c r="B241" s="7" t="inlineStr">
        <is>
          <t>conduite ou super-actif</t>
        </is>
      </c>
      <c r="C241" s="88" t="n">
        <v>1931</v>
      </c>
      <c r="D241" s="95" t="n">
        <v>60</v>
      </c>
      <c r="E241" s="95" t="n">
        <v>65</v>
      </c>
      <c r="F241" s="85" t="n">
        <v>150</v>
      </c>
      <c r="G241" s="120" t="n">
        <v>0.025</v>
      </c>
      <c r="H241" s="120" t="n">
        <v>0.0075</v>
      </c>
      <c r="I241" s="75" t="n"/>
      <c r="J241" s="95" t="n">
        <v>60.93</v>
      </c>
      <c r="K241" s="95" t="n">
        <v>1</v>
      </c>
      <c r="L241" s="85" t="n">
        <v>0</v>
      </c>
    </row>
    <row r="242">
      <c r="A242" s="84" t="inlineStr">
        <is>
          <t>Privé</t>
        </is>
      </c>
      <c r="B242" s="7" t="inlineStr">
        <is>
          <t>conduite ou super-actif</t>
        </is>
      </c>
      <c r="C242" s="88" t="n">
        <v>1932</v>
      </c>
      <c r="D242" s="95" t="n">
        <v>60</v>
      </c>
      <c r="E242" s="95" t="n">
        <v>65</v>
      </c>
      <c r="F242" s="85" t="n">
        <v>150</v>
      </c>
      <c r="G242" s="120" t="n">
        <v>0.025</v>
      </c>
      <c r="H242" s="120" t="n">
        <v>0.0075</v>
      </c>
      <c r="I242" s="75" t="n"/>
      <c r="J242" s="95" t="n">
        <v>60.8</v>
      </c>
      <c r="K242" s="95" t="n">
        <v>1</v>
      </c>
      <c r="L242" s="85" t="n">
        <v>0</v>
      </c>
    </row>
    <row r="243">
      <c r="A243" s="84" t="inlineStr">
        <is>
          <t>Privé</t>
        </is>
      </c>
      <c r="B243" s="7" t="inlineStr">
        <is>
          <t>conduite ou super-actif</t>
        </is>
      </c>
      <c r="C243" s="88" t="n">
        <v>1933</v>
      </c>
      <c r="D243" s="95" t="n">
        <v>60</v>
      </c>
      <c r="E243" s="95" t="n">
        <v>65</v>
      </c>
      <c r="F243" s="85" t="n">
        <v>150</v>
      </c>
      <c r="G243" s="120" t="n">
        <v>0.025</v>
      </c>
      <c r="H243" s="120" t="n">
        <v>0.0075</v>
      </c>
      <c r="I243" s="75" t="n"/>
      <c r="J243" s="95" t="n">
        <v>60.81</v>
      </c>
      <c r="K243" s="95" t="n">
        <v>1</v>
      </c>
      <c r="L243" s="85" t="n">
        <v>0</v>
      </c>
    </row>
    <row r="244">
      <c r="A244" s="84" t="inlineStr">
        <is>
          <t>Privé</t>
        </is>
      </c>
      <c r="B244" s="7" t="inlineStr">
        <is>
          <t>conduite ou super-actif</t>
        </is>
      </c>
      <c r="C244" s="88" t="n">
        <v>1934</v>
      </c>
      <c r="D244" s="95" t="n">
        <v>60</v>
      </c>
      <c r="E244" s="95" t="n">
        <v>65</v>
      </c>
      <c r="F244" s="85" t="n">
        <v>151</v>
      </c>
      <c r="G244" s="120" t="n">
        <v>0.025</v>
      </c>
      <c r="H244" s="120" t="n">
        <v>0.0075</v>
      </c>
      <c r="I244" s="75" t="n"/>
      <c r="J244" s="95" t="n">
        <v>60.82</v>
      </c>
      <c r="K244" s="95" t="n">
        <v>1</v>
      </c>
      <c r="L244" s="85" t="n">
        <v>0</v>
      </c>
    </row>
    <row r="245">
      <c r="A245" s="84" t="inlineStr">
        <is>
          <t>Privé</t>
        </is>
      </c>
      <c r="B245" s="7" t="inlineStr">
        <is>
          <t>conduite ou super-actif</t>
        </is>
      </c>
      <c r="C245" s="88" t="n">
        <v>1935</v>
      </c>
      <c r="D245" s="95" t="n">
        <v>60</v>
      </c>
      <c r="E245" s="95" t="n">
        <v>65</v>
      </c>
      <c r="F245" s="85" t="n">
        <v>152</v>
      </c>
      <c r="G245" s="120" t="n">
        <v>0.025</v>
      </c>
      <c r="H245" s="120" t="n">
        <v>0.0075</v>
      </c>
      <c r="I245" s="75" t="n"/>
      <c r="J245" s="95" t="n">
        <v>60.84</v>
      </c>
      <c r="K245" s="95" t="n">
        <v>1</v>
      </c>
      <c r="L245" s="85" t="n">
        <v>0</v>
      </c>
    </row>
    <row r="246">
      <c r="A246" s="84" t="inlineStr">
        <is>
          <t>Privé</t>
        </is>
      </c>
      <c r="B246" s="7" t="inlineStr">
        <is>
          <t>conduite ou super-actif</t>
        </is>
      </c>
      <c r="C246" s="88" t="n">
        <v>1936</v>
      </c>
      <c r="D246" s="95" t="n">
        <v>60</v>
      </c>
      <c r="E246" s="95" t="n">
        <v>65</v>
      </c>
      <c r="F246" s="85" t="n">
        <v>153</v>
      </c>
      <c r="G246" s="120" t="n">
        <v>0.025</v>
      </c>
      <c r="H246" s="120" t="n">
        <v>0.0075</v>
      </c>
      <c r="I246" s="75" t="n"/>
      <c r="J246" s="95" t="n">
        <v>60.85</v>
      </c>
      <c r="K246" s="95" t="n">
        <v>1</v>
      </c>
      <c r="L246" s="85" t="n">
        <v>0</v>
      </c>
    </row>
    <row r="247">
      <c r="A247" s="84" t="inlineStr">
        <is>
          <t>Privé</t>
        </is>
      </c>
      <c r="B247" s="7" t="inlineStr">
        <is>
          <t>conduite ou super-actif</t>
        </is>
      </c>
      <c r="C247" s="88" t="n">
        <v>1937</v>
      </c>
      <c r="D247" s="95" t="n">
        <v>60</v>
      </c>
      <c r="E247" s="95" t="n">
        <v>65</v>
      </c>
      <c r="F247" s="85" t="n">
        <v>154</v>
      </c>
      <c r="G247" s="120" t="n">
        <v>0.025</v>
      </c>
      <c r="H247" s="120" t="n">
        <v>0.0075</v>
      </c>
      <c r="I247" s="75" t="n"/>
      <c r="J247" s="95" t="n">
        <v>60.86</v>
      </c>
      <c r="K247" s="95" t="n">
        <v>1</v>
      </c>
      <c r="L247" s="85" t="n">
        <v>0</v>
      </c>
    </row>
    <row r="248">
      <c r="A248" s="84" t="inlineStr">
        <is>
          <t>Privé</t>
        </is>
      </c>
      <c r="B248" s="7" t="inlineStr">
        <is>
          <t>conduite ou super-actif</t>
        </is>
      </c>
      <c r="C248" s="88" t="n">
        <v>1938</v>
      </c>
      <c r="D248" s="95" t="n">
        <v>60</v>
      </c>
      <c r="E248" s="95" t="n">
        <v>65</v>
      </c>
      <c r="F248" s="85" t="n">
        <v>155</v>
      </c>
      <c r="G248" s="120" t="n">
        <v>0.025</v>
      </c>
      <c r="H248" s="120" t="n">
        <v>0.0075</v>
      </c>
      <c r="I248" s="75" t="n"/>
      <c r="J248" s="95" t="n">
        <v>60.88</v>
      </c>
      <c r="K248" s="95" t="n">
        <v>1</v>
      </c>
      <c r="L248" s="85" t="n">
        <v>0</v>
      </c>
    </row>
    <row r="249">
      <c r="A249" s="84" t="inlineStr">
        <is>
          <t>Privé</t>
        </is>
      </c>
      <c r="B249" s="7" t="inlineStr">
        <is>
          <t>conduite ou super-actif</t>
        </is>
      </c>
      <c r="C249" s="88" t="n">
        <v>1939</v>
      </c>
      <c r="D249" s="95" t="n">
        <v>60</v>
      </c>
      <c r="E249" s="95" t="n">
        <v>65</v>
      </c>
      <c r="F249" s="85" t="n">
        <v>156</v>
      </c>
      <c r="G249" s="120" t="n">
        <v>0.025</v>
      </c>
      <c r="H249" s="120" t="n">
        <v>0.0075</v>
      </c>
      <c r="I249" s="75" t="n"/>
      <c r="J249" s="95" t="n">
        <v>60.89</v>
      </c>
      <c r="K249" s="95" t="n">
        <v>1</v>
      </c>
      <c r="L249" s="85" t="n">
        <v>0</v>
      </c>
    </row>
    <row r="250">
      <c r="A250" s="84" t="inlineStr">
        <is>
          <t>Privé</t>
        </is>
      </c>
      <c r="B250" s="7" t="inlineStr">
        <is>
          <t>conduite ou super-actif</t>
        </is>
      </c>
      <c r="C250" s="88" t="n">
        <v>1940</v>
      </c>
      <c r="D250" s="95" t="n">
        <v>60</v>
      </c>
      <c r="E250" s="95" t="n">
        <v>65</v>
      </c>
      <c r="F250" s="85" t="n">
        <v>157</v>
      </c>
      <c r="G250" s="120" t="n">
        <v>0.025</v>
      </c>
      <c r="H250" s="120" t="n">
        <v>0.0075</v>
      </c>
      <c r="I250" s="75" t="n"/>
      <c r="J250" s="95" t="n">
        <v>60.9</v>
      </c>
      <c r="K250" s="95" t="n">
        <v>1</v>
      </c>
      <c r="L250" s="85" t="n">
        <v>0</v>
      </c>
    </row>
    <row r="251">
      <c r="A251" s="84" t="inlineStr">
        <is>
          <t>Privé</t>
        </is>
      </c>
      <c r="B251" s="7" t="inlineStr">
        <is>
          <t>conduite ou super-actif</t>
        </is>
      </c>
      <c r="C251" s="88" t="n">
        <v>1941</v>
      </c>
      <c r="D251" s="95" t="n">
        <v>60</v>
      </c>
      <c r="E251" s="95" t="n">
        <v>65</v>
      </c>
      <c r="F251" s="85" t="n">
        <v>158</v>
      </c>
      <c r="G251" s="120" t="n">
        <v>0.025</v>
      </c>
      <c r="H251" s="120" t="n">
        <v>0.0075</v>
      </c>
      <c r="I251" s="75" t="n"/>
      <c r="J251" s="95" t="n">
        <v>60.92</v>
      </c>
      <c r="K251" s="95" t="n">
        <v>1</v>
      </c>
      <c r="L251" s="85" t="n">
        <v>0</v>
      </c>
    </row>
    <row r="252">
      <c r="A252" s="84" t="inlineStr">
        <is>
          <t>Privé</t>
        </is>
      </c>
      <c r="B252" s="7" t="inlineStr">
        <is>
          <t>conduite ou super-actif</t>
        </is>
      </c>
      <c r="C252" s="88" t="n">
        <v>1942</v>
      </c>
      <c r="D252" s="95" t="n">
        <v>60</v>
      </c>
      <c r="E252" s="95" t="n">
        <v>65</v>
      </c>
      <c r="F252" s="85" t="n">
        <v>159</v>
      </c>
      <c r="G252" s="120" t="n">
        <v>0.025</v>
      </c>
      <c r="H252" s="120" t="n">
        <v>0.0075</v>
      </c>
      <c r="I252" s="75" t="n"/>
      <c r="J252" s="95" t="n">
        <v>60.94</v>
      </c>
      <c r="K252" s="95" t="n">
        <v>1</v>
      </c>
      <c r="L252" s="85" t="n">
        <v>0</v>
      </c>
    </row>
    <row r="253">
      <c r="A253" s="84" t="inlineStr">
        <is>
          <t>Privé</t>
        </is>
      </c>
      <c r="B253" s="7" t="inlineStr">
        <is>
          <t>conduite ou super-actif</t>
        </is>
      </c>
      <c r="C253" s="88" t="n">
        <v>1943</v>
      </c>
      <c r="D253" s="95" t="n">
        <v>60</v>
      </c>
      <c r="E253" s="95" t="n">
        <v>65</v>
      </c>
      <c r="F253" s="85" t="n">
        <v>160</v>
      </c>
      <c r="G253" s="120" t="n">
        <v>0.025</v>
      </c>
      <c r="H253" s="120" t="n">
        <v>0.0075</v>
      </c>
      <c r="I253" s="75" t="n"/>
      <c r="J253" s="95" t="n">
        <v>60.96</v>
      </c>
      <c r="K253" s="95" t="n">
        <v>1</v>
      </c>
      <c r="L253" s="85" t="n">
        <v>0</v>
      </c>
    </row>
    <row r="254">
      <c r="A254" s="84" t="inlineStr">
        <is>
          <t>Privé</t>
        </is>
      </c>
      <c r="B254" s="7" t="inlineStr">
        <is>
          <t>conduite ou super-actif</t>
        </is>
      </c>
      <c r="C254" s="88" t="n">
        <v>1944</v>
      </c>
      <c r="D254" s="95" t="n">
        <v>60</v>
      </c>
      <c r="E254" s="95" t="n">
        <v>65</v>
      </c>
      <c r="F254" s="85" t="n">
        <v>160</v>
      </c>
      <c r="G254" s="120" t="n">
        <v>0.02375</v>
      </c>
      <c r="H254" s="120" t="n">
        <v>0.0075</v>
      </c>
      <c r="I254" s="75" t="n"/>
      <c r="J254" s="95" t="n">
        <v>60.98</v>
      </c>
      <c r="K254" s="95" t="n">
        <v>1</v>
      </c>
      <c r="L254" s="85" t="n">
        <v>0</v>
      </c>
    </row>
    <row r="255">
      <c r="A255" s="84" t="inlineStr">
        <is>
          <t>Privé</t>
        </is>
      </c>
      <c r="B255" s="7" t="inlineStr">
        <is>
          <t>conduite ou super-actif</t>
        </is>
      </c>
      <c r="C255" s="88" t="n">
        <v>1945</v>
      </c>
      <c r="D255" s="95" t="n">
        <v>60</v>
      </c>
      <c r="E255" s="95" t="n">
        <v>65</v>
      </c>
      <c r="F255" s="85" t="n">
        <v>160</v>
      </c>
      <c r="G255" s="120" t="n">
        <v>0.0225</v>
      </c>
      <c r="H255" s="120" t="n">
        <v>0.0075</v>
      </c>
      <c r="I255" s="75" t="n"/>
      <c r="J255" s="95" t="n">
        <v>61</v>
      </c>
      <c r="K255" s="95" t="n">
        <v>1</v>
      </c>
      <c r="L255" s="85" t="n">
        <v>0</v>
      </c>
    </row>
    <row r="256">
      <c r="A256" s="84" t="inlineStr">
        <is>
          <t>Privé</t>
        </is>
      </c>
      <c r="B256" s="7" t="inlineStr">
        <is>
          <t>conduite ou super-actif</t>
        </is>
      </c>
      <c r="C256" s="88" t="n">
        <v>1946</v>
      </c>
      <c r="D256" s="95" t="n">
        <v>60</v>
      </c>
      <c r="E256" s="95" t="n">
        <v>65</v>
      </c>
      <c r="F256" s="85" t="n">
        <v>160</v>
      </c>
      <c r="G256" s="120" t="n">
        <v>0.02125</v>
      </c>
      <c r="H256" s="120" t="n">
        <v>0.0075</v>
      </c>
      <c r="I256" s="75" t="n"/>
      <c r="J256" s="95" t="n">
        <v>60.9</v>
      </c>
      <c r="K256" s="95" t="n">
        <v>1</v>
      </c>
      <c r="L256" s="85" t="n">
        <v>0</v>
      </c>
    </row>
    <row r="257">
      <c r="A257" s="84" t="inlineStr">
        <is>
          <t>Privé</t>
        </is>
      </c>
      <c r="B257" s="7" t="inlineStr">
        <is>
          <t>conduite ou super-actif</t>
        </is>
      </c>
      <c r="C257" s="88" t="n">
        <v>1947</v>
      </c>
      <c r="D257" s="95" t="n">
        <v>60</v>
      </c>
      <c r="E257" s="95" t="n">
        <v>65</v>
      </c>
      <c r="F257" s="85" t="n">
        <v>160</v>
      </c>
      <c r="G257" s="120" t="n">
        <v>0.02</v>
      </c>
      <c r="H257" s="120" t="n">
        <v>0.0075</v>
      </c>
      <c r="I257" s="75" t="n"/>
      <c r="J257" s="95" t="n">
        <v>60.8</v>
      </c>
      <c r="K257" s="95" t="n">
        <v>1</v>
      </c>
      <c r="L257" s="85" t="n">
        <v>0</v>
      </c>
    </row>
    <row r="258">
      <c r="A258" s="84" t="inlineStr">
        <is>
          <t>Privé</t>
        </is>
      </c>
      <c r="B258" s="7" t="inlineStr">
        <is>
          <t>conduite ou super-actif</t>
        </is>
      </c>
      <c r="C258" s="88" t="n">
        <v>1948</v>
      </c>
      <c r="D258" s="95" t="n">
        <v>60</v>
      </c>
      <c r="E258" s="95" t="n">
        <v>65</v>
      </c>
      <c r="F258" s="85" t="n">
        <v>160</v>
      </c>
      <c r="G258" s="120" t="n">
        <v>0.01875</v>
      </c>
      <c r="H258" s="120" t="n">
        <v>0.0075</v>
      </c>
      <c r="I258" s="75" t="n"/>
      <c r="J258" s="95" t="n">
        <v>60.7</v>
      </c>
      <c r="K258" s="95" t="n">
        <v>1</v>
      </c>
      <c r="L258" s="85" t="n">
        <v>0</v>
      </c>
    </row>
    <row r="259">
      <c r="A259" s="84" t="inlineStr">
        <is>
          <t>Privé</t>
        </is>
      </c>
      <c r="B259" s="7" t="inlineStr">
        <is>
          <t>conduite ou super-actif</t>
        </is>
      </c>
      <c r="C259" s="88" t="n">
        <v>1949</v>
      </c>
      <c r="D259" s="95" t="n">
        <v>60</v>
      </c>
      <c r="E259" s="95" t="n">
        <v>65</v>
      </c>
      <c r="F259" s="85" t="n">
        <v>161</v>
      </c>
      <c r="G259" s="120" t="n">
        <v>0.0175</v>
      </c>
      <c r="H259" s="120" t="n">
        <v>0.0125</v>
      </c>
      <c r="I259" s="75" t="n"/>
      <c r="J259" s="95" t="n">
        <v>60.6</v>
      </c>
      <c r="K259" s="95" t="n">
        <v>1</v>
      </c>
      <c r="L259" s="85" t="n">
        <v>0</v>
      </c>
    </row>
    <row r="260">
      <c r="A260" s="84" t="inlineStr">
        <is>
          <t>Privé</t>
        </is>
      </c>
      <c r="B260" s="7" t="inlineStr">
        <is>
          <t>conduite ou super-actif</t>
        </is>
      </c>
      <c r="C260" s="88" t="n">
        <v>1950</v>
      </c>
      <c r="D260" s="95" t="n">
        <v>60</v>
      </c>
      <c r="E260" s="95" t="n">
        <v>65</v>
      </c>
      <c r="F260" s="85" t="n">
        <v>162</v>
      </c>
      <c r="G260" s="120" t="n">
        <v>0.01625</v>
      </c>
      <c r="H260" s="120" t="n">
        <v>0.0125</v>
      </c>
      <c r="I260" s="75" t="n"/>
      <c r="J260" s="95" t="n">
        <v>60.5</v>
      </c>
      <c r="K260" s="95" t="n">
        <v>1</v>
      </c>
      <c r="L260" s="85" t="n">
        <v>0</v>
      </c>
    </row>
    <row r="261">
      <c r="A261" s="84" t="inlineStr">
        <is>
          <t>Privé</t>
        </is>
      </c>
      <c r="B261" s="7" t="inlineStr">
        <is>
          <t>conduite ou super-actif</t>
        </is>
      </c>
      <c r="C261" s="88" t="n">
        <v>1951</v>
      </c>
      <c r="D261" s="95" t="n">
        <v>60.3333</v>
      </c>
      <c r="E261" s="95" t="n">
        <v>65.33329999999999</v>
      </c>
      <c r="F261" s="85" t="n">
        <v>163</v>
      </c>
      <c r="G261" s="120" t="n">
        <v>0.015</v>
      </c>
      <c r="H261" s="120" t="n">
        <v>0.0125</v>
      </c>
      <c r="I261" s="75" t="n"/>
      <c r="J261" s="95" t="n">
        <v>60.76</v>
      </c>
      <c r="K261" s="95" t="n">
        <v>1</v>
      </c>
      <c r="L261" s="85" t="n">
        <v>0</v>
      </c>
    </row>
    <row r="262">
      <c r="A262" s="84" t="inlineStr">
        <is>
          <t>Privé</t>
        </is>
      </c>
      <c r="B262" s="7" t="inlineStr">
        <is>
          <t>conduite ou super-actif</t>
        </is>
      </c>
      <c r="C262" s="88" t="n">
        <v>1952</v>
      </c>
      <c r="D262" s="95" t="n">
        <v>60.75</v>
      </c>
      <c r="E262" s="95" t="n">
        <v>65.75</v>
      </c>
      <c r="F262" s="85" t="n">
        <v>164</v>
      </c>
      <c r="G262" s="120" t="n">
        <v>0.01375</v>
      </c>
      <c r="H262" s="120" t="n">
        <v>0.0125</v>
      </c>
      <c r="I262" s="75" t="n"/>
      <c r="J262" s="95" t="n">
        <v>61.02</v>
      </c>
      <c r="K262" s="95" t="n">
        <v>1</v>
      </c>
      <c r="L262" s="85" t="n">
        <v>0</v>
      </c>
    </row>
    <row r="263">
      <c r="A263" s="84" t="inlineStr">
        <is>
          <t>Privé</t>
        </is>
      </c>
      <c r="B263" s="7" t="inlineStr">
        <is>
          <t>conduite ou super-actif</t>
        </is>
      </c>
      <c r="C263" s="88" t="n">
        <v>1953</v>
      </c>
      <c r="D263" s="95" t="n">
        <v>61.1667</v>
      </c>
      <c r="E263" s="95" t="n">
        <v>66.16670000000001</v>
      </c>
      <c r="F263" s="85" t="n">
        <v>165</v>
      </c>
      <c r="G263" s="120" t="n">
        <v>0.0125</v>
      </c>
      <c r="H263" s="120" t="n">
        <v>0.0125</v>
      </c>
      <c r="I263" s="75" t="n"/>
      <c r="J263" s="95" t="n">
        <v>61.28</v>
      </c>
      <c r="K263" s="95" t="n">
        <v>1</v>
      </c>
      <c r="L263" s="85" t="n">
        <v>0</v>
      </c>
    </row>
    <row r="264">
      <c r="A264" s="84" t="inlineStr">
        <is>
          <t>Privé</t>
        </is>
      </c>
      <c r="B264" s="7" t="inlineStr">
        <is>
          <t>conduite ou super-actif</t>
        </is>
      </c>
      <c r="C264" s="88" t="n">
        <v>1954</v>
      </c>
      <c r="D264" s="95" t="n">
        <v>61.5833</v>
      </c>
      <c r="E264" s="95" t="n">
        <v>66.58329999999999</v>
      </c>
      <c r="F264" s="85" t="n">
        <v>165</v>
      </c>
      <c r="G264" s="120" t="n">
        <v>0.0125</v>
      </c>
      <c r="H264" s="120" t="n">
        <v>0.0125</v>
      </c>
      <c r="I264" s="75" t="n"/>
      <c r="J264" s="95" t="n">
        <v>61.54</v>
      </c>
      <c r="K264" s="95" t="n">
        <v>1</v>
      </c>
      <c r="L264" s="85" t="n">
        <v>0</v>
      </c>
    </row>
    <row r="265">
      <c r="A265" s="84" t="inlineStr">
        <is>
          <t>Privé</t>
        </is>
      </c>
      <c r="B265" s="7" t="inlineStr">
        <is>
          <t>conduite ou super-actif</t>
        </is>
      </c>
      <c r="C265" s="88" t="n">
        <v>1955</v>
      </c>
      <c r="D265" s="95" t="n">
        <v>62</v>
      </c>
      <c r="E265" s="95" t="n">
        <v>67</v>
      </c>
      <c r="F265" s="85" t="n">
        <v>166</v>
      </c>
      <c r="G265" s="120" t="n">
        <v>0.0125</v>
      </c>
      <c r="H265" s="120" t="n">
        <v>0.0125</v>
      </c>
      <c r="I265" s="75" t="n"/>
      <c r="J265" s="95" t="n">
        <v>61.8</v>
      </c>
      <c r="K265" s="95" t="n">
        <v>1</v>
      </c>
      <c r="L265" s="85" t="n">
        <v>0</v>
      </c>
    </row>
    <row r="266">
      <c r="A266" s="84" t="inlineStr">
        <is>
          <t>Privé</t>
        </is>
      </c>
      <c r="B266" s="7" t="inlineStr">
        <is>
          <t>conduite ou super-actif</t>
        </is>
      </c>
      <c r="C266" s="88" t="n">
        <v>1956</v>
      </c>
      <c r="D266" s="95" t="n">
        <v>62</v>
      </c>
      <c r="E266" s="95" t="n">
        <v>67</v>
      </c>
      <c r="F266" s="85" t="n">
        <v>166</v>
      </c>
      <c r="G266" s="120" t="n">
        <v>0.0125</v>
      </c>
      <c r="H266" s="120" t="n">
        <v>0.0125</v>
      </c>
      <c r="I266" s="75" t="n"/>
      <c r="J266" s="95" t="n">
        <v>61.89</v>
      </c>
      <c r="K266" s="95" t="n">
        <v>1</v>
      </c>
      <c r="L266" s="85" t="n">
        <v>0</v>
      </c>
    </row>
    <row r="267">
      <c r="A267" s="84" t="inlineStr">
        <is>
          <t>Privé</t>
        </is>
      </c>
      <c r="B267" s="7" t="inlineStr">
        <is>
          <t>conduite ou super-actif</t>
        </is>
      </c>
      <c r="C267" s="88" t="n">
        <v>1957</v>
      </c>
      <c r="D267" s="95" t="n">
        <v>62</v>
      </c>
      <c r="E267" s="95" t="n">
        <v>67</v>
      </c>
      <c r="F267" s="85" t="n">
        <v>166</v>
      </c>
      <c r="G267" s="120" t="n">
        <v>0.0125</v>
      </c>
      <c r="H267" s="120" t="n">
        <v>0.0125</v>
      </c>
      <c r="I267" s="75" t="n"/>
      <c r="J267" s="95" t="n">
        <v>61.99</v>
      </c>
      <c r="K267" s="95" t="n">
        <v>1</v>
      </c>
      <c r="L267" s="85" t="n">
        <v>0</v>
      </c>
    </row>
    <row r="268">
      <c r="A268" s="84" t="inlineStr">
        <is>
          <t>Privé</t>
        </is>
      </c>
      <c r="B268" s="7" t="inlineStr">
        <is>
          <t>conduite ou super-actif</t>
        </is>
      </c>
      <c r="C268" s="88" t="n">
        <v>1958</v>
      </c>
      <c r="D268" s="95" t="n">
        <v>62</v>
      </c>
      <c r="E268" s="95" t="n">
        <v>67</v>
      </c>
      <c r="F268" s="85" t="n">
        <v>167</v>
      </c>
      <c r="G268" s="120" t="n">
        <v>0.0125</v>
      </c>
      <c r="H268" s="120" t="n">
        <v>0.0125</v>
      </c>
      <c r="I268" s="75" t="n"/>
      <c r="J268" s="95" t="n">
        <v>62.08</v>
      </c>
      <c r="K268" s="95" t="n">
        <v>1</v>
      </c>
      <c r="L268" s="85" t="n">
        <v>0</v>
      </c>
    </row>
    <row r="269">
      <c r="A269" s="84" t="inlineStr">
        <is>
          <t>Privé</t>
        </is>
      </c>
      <c r="B269" s="7" t="inlineStr">
        <is>
          <t>conduite ou super-actif</t>
        </is>
      </c>
      <c r="C269" s="88" t="n">
        <v>1959</v>
      </c>
      <c r="D269" s="95" t="n">
        <v>62</v>
      </c>
      <c r="E269" s="95" t="n">
        <v>67</v>
      </c>
      <c r="F269" s="85" t="n">
        <v>167</v>
      </c>
      <c r="G269" s="120" t="n">
        <v>0.0125</v>
      </c>
      <c r="H269" s="120" t="n">
        <v>0.0125</v>
      </c>
      <c r="I269" s="75" t="n"/>
      <c r="J269" s="95" t="n">
        <v>62.18</v>
      </c>
      <c r="K269" s="95" t="n">
        <v>1</v>
      </c>
      <c r="L269" s="85" t="n">
        <v>0</v>
      </c>
    </row>
    <row r="270">
      <c r="A270" s="84" t="inlineStr">
        <is>
          <t>Privé</t>
        </is>
      </c>
      <c r="B270" s="7" t="inlineStr">
        <is>
          <t>conduite ou super-actif</t>
        </is>
      </c>
      <c r="C270" s="88" t="n">
        <v>1960</v>
      </c>
      <c r="D270" s="95" t="n">
        <v>62</v>
      </c>
      <c r="E270" s="95" t="n">
        <v>67</v>
      </c>
      <c r="F270" s="85" t="n">
        <v>167</v>
      </c>
      <c r="G270" s="120" t="n">
        <v>0.0125</v>
      </c>
      <c r="H270" s="120" t="n">
        <v>0.0125</v>
      </c>
      <c r="I270" s="75" t="n"/>
      <c r="J270" s="95" t="n">
        <v>62.27</v>
      </c>
      <c r="K270" s="95" t="n">
        <v>1</v>
      </c>
      <c r="L270" s="85" t="n">
        <v>0</v>
      </c>
    </row>
    <row r="271">
      <c r="A271" s="84" t="inlineStr">
        <is>
          <t>Privé</t>
        </is>
      </c>
      <c r="B271" s="7" t="inlineStr">
        <is>
          <t>conduite ou super-actif</t>
        </is>
      </c>
      <c r="C271" s="88" t="n">
        <v>1961</v>
      </c>
      <c r="D271" s="95" t="n">
        <v>62</v>
      </c>
      <c r="E271" s="95" t="n">
        <v>67</v>
      </c>
      <c r="F271" s="85" t="n">
        <v>168</v>
      </c>
      <c r="G271" s="120" t="n">
        <v>0.0125</v>
      </c>
      <c r="H271" s="120" t="n">
        <v>0.0125</v>
      </c>
      <c r="I271" s="75" t="n"/>
      <c r="J271" s="95" t="n">
        <v>62.37</v>
      </c>
      <c r="K271" s="95" t="n">
        <v>1</v>
      </c>
      <c r="L271" s="85" t="n">
        <v>0</v>
      </c>
    </row>
    <row r="272">
      <c r="A272" s="84" t="inlineStr">
        <is>
          <t>Privé</t>
        </is>
      </c>
      <c r="B272" s="7" t="inlineStr">
        <is>
          <t>conduite ou super-actif</t>
        </is>
      </c>
      <c r="C272" s="88" t="n">
        <v>1962</v>
      </c>
      <c r="D272" s="95" t="n">
        <v>62.5</v>
      </c>
      <c r="E272" s="95" t="n">
        <v>67</v>
      </c>
      <c r="F272" s="85" t="n">
        <v>169</v>
      </c>
      <c r="G272" s="120" t="n">
        <v>0.0125</v>
      </c>
      <c r="H272" s="120" t="n">
        <v>0.0125</v>
      </c>
      <c r="I272" s="75" t="n"/>
      <c r="J272" s="95" t="n">
        <v>62.46</v>
      </c>
      <c r="K272" s="95" t="n">
        <v>1</v>
      </c>
      <c r="L272" s="85" t="n">
        <v>0</v>
      </c>
    </row>
    <row r="273">
      <c r="A273" s="84" t="inlineStr">
        <is>
          <t>Privé</t>
        </is>
      </c>
      <c r="B273" s="7" t="inlineStr">
        <is>
          <t>conduite ou super-actif</t>
        </is>
      </c>
      <c r="C273" s="88" t="n">
        <v>1963</v>
      </c>
      <c r="D273" s="95" t="n">
        <v>62.75</v>
      </c>
      <c r="E273" s="95" t="n">
        <v>67</v>
      </c>
      <c r="F273" s="85" t="n">
        <v>170</v>
      </c>
      <c r="G273" s="120" t="n">
        <v>0.0125</v>
      </c>
      <c r="H273" s="120" t="n">
        <v>0.0125</v>
      </c>
      <c r="I273" s="75" t="n"/>
      <c r="J273" s="95" t="n">
        <v>62.56</v>
      </c>
      <c r="K273" s="95" t="n">
        <v>1</v>
      </c>
      <c r="L273" s="85" t="n">
        <v>0</v>
      </c>
    </row>
    <row r="274">
      <c r="A274" s="84" t="inlineStr">
        <is>
          <t>Privé</t>
        </is>
      </c>
      <c r="B274" s="7" t="inlineStr">
        <is>
          <t>conduite ou super-actif</t>
        </is>
      </c>
      <c r="C274" s="88" t="n">
        <v>1964</v>
      </c>
      <c r="D274" s="95" t="n">
        <v>62.75</v>
      </c>
      <c r="E274" s="95" t="n">
        <v>67</v>
      </c>
      <c r="F274" s="85" t="n">
        <v>170</v>
      </c>
      <c r="G274" s="120" t="n">
        <v>0.0125</v>
      </c>
      <c r="H274" s="120" t="n">
        <v>0.0125</v>
      </c>
      <c r="I274" s="75" t="n"/>
      <c r="J274" s="95" t="n">
        <v>62.65</v>
      </c>
      <c r="K274" s="95" t="n">
        <v>1</v>
      </c>
      <c r="L274" s="85" t="n">
        <v>0</v>
      </c>
    </row>
    <row r="275">
      <c r="A275" s="84" t="inlineStr">
        <is>
          <t>Privé</t>
        </is>
      </c>
      <c r="B275" s="7" t="inlineStr">
        <is>
          <t>conduite ou super-actif</t>
        </is>
      </c>
      <c r="C275" s="88" t="n">
        <v>1965</v>
      </c>
      <c r="D275" s="95" t="n">
        <v>63</v>
      </c>
      <c r="E275" s="95" t="n">
        <v>67</v>
      </c>
      <c r="F275" s="85" t="n">
        <v>171</v>
      </c>
      <c r="G275" s="120" t="n">
        <v>0.0125</v>
      </c>
      <c r="H275" s="120" t="n">
        <v>0.0125</v>
      </c>
      <c r="I275" s="75" t="n"/>
      <c r="J275" s="95" t="n">
        <v>62.74</v>
      </c>
      <c r="K275" s="95" t="n">
        <v>1</v>
      </c>
      <c r="L275" s="85" t="n">
        <v>0</v>
      </c>
    </row>
    <row r="276">
      <c r="A276" s="84" t="inlineStr">
        <is>
          <t>Privé</t>
        </is>
      </c>
      <c r="B276" s="7" t="inlineStr">
        <is>
          <t>conduite ou super-actif</t>
        </is>
      </c>
      <c r="C276" s="88" t="n">
        <v>1966</v>
      </c>
      <c r="D276" s="95" t="n">
        <v>63.25</v>
      </c>
      <c r="E276" s="95" t="n">
        <v>67</v>
      </c>
      <c r="F276" s="85" t="n">
        <v>172</v>
      </c>
      <c r="G276" s="120" t="n">
        <v>0.0125</v>
      </c>
      <c r="H276" s="120" t="n">
        <v>0.0125</v>
      </c>
      <c r="I276" s="75" t="n"/>
      <c r="J276" s="95" t="n">
        <v>62.84</v>
      </c>
      <c r="K276" s="95" t="n">
        <v>1</v>
      </c>
      <c r="L276" s="85" t="n">
        <v>0</v>
      </c>
    </row>
    <row r="277">
      <c r="A277" s="84" t="inlineStr">
        <is>
          <t>Privé</t>
        </is>
      </c>
      <c r="B277" s="7" t="inlineStr">
        <is>
          <t>conduite ou super-actif</t>
        </is>
      </c>
      <c r="C277" s="88" t="n">
        <v>1967</v>
      </c>
      <c r="D277" s="95" t="n">
        <v>63.5</v>
      </c>
      <c r="E277" s="95" t="n">
        <v>67</v>
      </c>
      <c r="F277" s="85" t="n">
        <v>172</v>
      </c>
      <c r="G277" s="120" t="n">
        <v>0.0125</v>
      </c>
      <c r="H277" s="120" t="n">
        <v>0.0125</v>
      </c>
      <c r="I277" s="75" t="n"/>
      <c r="J277" s="95" t="n">
        <v>62.93</v>
      </c>
      <c r="K277" s="95" t="n">
        <v>1</v>
      </c>
      <c r="L277" s="85" t="n">
        <v>0</v>
      </c>
    </row>
    <row r="278">
      <c r="A278" s="84" t="inlineStr">
        <is>
          <t>Privé</t>
        </is>
      </c>
      <c r="B278" s="7" t="inlineStr">
        <is>
          <t>conduite ou super-actif</t>
        </is>
      </c>
      <c r="C278" s="88" t="n">
        <v>1968</v>
      </c>
      <c r="D278" s="95" t="n">
        <v>63.75</v>
      </c>
      <c r="E278" s="95" t="n">
        <v>67</v>
      </c>
      <c r="F278" s="85" t="n">
        <v>172</v>
      </c>
      <c r="G278" s="120" t="n">
        <v>0.0125</v>
      </c>
      <c r="H278" s="120" t="n">
        <v>0.0125</v>
      </c>
      <c r="I278" s="75" t="n"/>
      <c r="J278" s="95" t="n">
        <v>63.03</v>
      </c>
      <c r="K278" s="95" t="n">
        <v>1</v>
      </c>
      <c r="L278" s="85" t="n">
        <v>0</v>
      </c>
    </row>
    <row r="279">
      <c r="A279" s="84" t="inlineStr">
        <is>
          <t>Privé</t>
        </is>
      </c>
      <c r="B279" s="7" t="inlineStr">
        <is>
          <t>conduite ou super-actif</t>
        </is>
      </c>
      <c r="C279" s="88" t="n">
        <v>1969</v>
      </c>
      <c r="D279" s="95" t="n">
        <v>64</v>
      </c>
      <c r="E279" s="95" t="n">
        <v>67</v>
      </c>
      <c r="F279" s="85" t="n">
        <v>172</v>
      </c>
      <c r="G279" s="120" t="n">
        <v>0.0125</v>
      </c>
      <c r="H279" s="120" t="n">
        <v>0.0125</v>
      </c>
      <c r="I279" s="75" t="n"/>
      <c r="J279" s="95" t="n">
        <v>63.12</v>
      </c>
      <c r="K279" s="95" t="n">
        <v>1</v>
      </c>
      <c r="L279" s="85" t="n">
        <v>0</v>
      </c>
    </row>
    <row r="280">
      <c r="A280" s="84" t="inlineStr">
        <is>
          <t>Privé</t>
        </is>
      </c>
      <c r="B280" s="7" t="inlineStr">
        <is>
          <t>conduite ou super-actif</t>
        </is>
      </c>
      <c r="C280" s="88" t="n">
        <v>1970</v>
      </c>
      <c r="D280" s="95" t="n">
        <v>64</v>
      </c>
      <c r="E280" s="95" t="n">
        <v>67</v>
      </c>
      <c r="F280" s="85" t="n">
        <v>172</v>
      </c>
      <c r="G280" s="120" t="n">
        <v>0.0125</v>
      </c>
      <c r="H280" s="120" t="n">
        <v>0.0125</v>
      </c>
      <c r="I280" s="75" t="n"/>
      <c r="J280" s="95" t="n">
        <v>63.22</v>
      </c>
      <c r="K280" s="95" t="n">
        <v>1</v>
      </c>
      <c r="L280" s="85" t="n">
        <v>0</v>
      </c>
    </row>
    <row r="281">
      <c r="A281" s="84" t="inlineStr">
        <is>
          <t>Privé</t>
        </is>
      </c>
      <c r="B281" s="7" t="inlineStr">
        <is>
          <t>conduite ou super-actif</t>
        </is>
      </c>
      <c r="C281" s="88" t="n">
        <v>1971</v>
      </c>
      <c r="D281" s="95" t="n">
        <v>64</v>
      </c>
      <c r="E281" s="95" t="n">
        <v>67</v>
      </c>
      <c r="F281" s="85" t="n">
        <v>172</v>
      </c>
      <c r="G281" s="120" t="n">
        <v>0.0125</v>
      </c>
      <c r="H281" s="120" t="n">
        <v>0.0125</v>
      </c>
      <c r="I281" s="75" t="n"/>
      <c r="J281" s="95" t="n">
        <v>63.31</v>
      </c>
      <c r="K281" s="95" t="n">
        <v>1</v>
      </c>
      <c r="L281" s="85" t="n">
        <v>0</v>
      </c>
    </row>
    <row r="282">
      <c r="A282" s="84" t="inlineStr">
        <is>
          <t>Privé</t>
        </is>
      </c>
      <c r="B282" s="7" t="inlineStr">
        <is>
          <t>conduite ou super-actif</t>
        </is>
      </c>
      <c r="C282" s="88" t="n">
        <v>1972</v>
      </c>
      <c r="D282" s="95" t="n">
        <v>64</v>
      </c>
      <c r="E282" s="95" t="n">
        <v>67</v>
      </c>
      <c r="F282" s="85" t="n">
        <v>172</v>
      </c>
      <c r="G282" s="120" t="n">
        <v>0.0125</v>
      </c>
      <c r="H282" s="120" t="n">
        <v>0.0125</v>
      </c>
      <c r="I282" s="75" t="n"/>
      <c r="J282" s="95" t="n">
        <v>63.41</v>
      </c>
      <c r="K282" s="95" t="n">
        <v>1</v>
      </c>
      <c r="L282" s="85" t="n">
        <v>0</v>
      </c>
    </row>
    <row r="283">
      <c r="A283" s="84" t="inlineStr">
        <is>
          <t>Privé</t>
        </is>
      </c>
      <c r="B283" s="7" t="inlineStr">
        <is>
          <t>conduite ou super-actif</t>
        </is>
      </c>
      <c r="C283" s="88" t="n">
        <v>1973</v>
      </c>
      <c r="D283" s="95" t="n">
        <v>64</v>
      </c>
      <c r="E283" s="95" t="n">
        <v>67</v>
      </c>
      <c r="F283" s="85" t="n">
        <v>172</v>
      </c>
      <c r="G283" s="120" t="n">
        <v>0.0125</v>
      </c>
      <c r="H283" s="120" t="n">
        <v>0.0125</v>
      </c>
      <c r="I283" s="75" t="n"/>
      <c r="J283" s="95" t="n">
        <v>63.5</v>
      </c>
      <c r="K283" s="95" t="n">
        <v>1</v>
      </c>
      <c r="L283" s="85" t="n">
        <v>0</v>
      </c>
    </row>
    <row r="284">
      <c r="A284" s="84" t="inlineStr">
        <is>
          <t>Privé</t>
        </is>
      </c>
      <c r="B284" s="7" t="inlineStr">
        <is>
          <t>conduite ou super-actif</t>
        </is>
      </c>
      <c r="C284" s="88" t="n">
        <v>1974</v>
      </c>
      <c r="D284" s="95" t="n">
        <v>64</v>
      </c>
      <c r="E284" s="95" t="n">
        <v>67</v>
      </c>
      <c r="F284" s="85" t="n">
        <v>172</v>
      </c>
      <c r="G284" s="120" t="n">
        <v>0.0125</v>
      </c>
      <c r="H284" s="120" t="n">
        <v>0.0125</v>
      </c>
      <c r="I284" s="75" t="n"/>
      <c r="J284" s="95" t="n">
        <v>63.54</v>
      </c>
      <c r="K284" s="95" t="n">
        <v>1</v>
      </c>
      <c r="L284" s="85" t="n">
        <v>0</v>
      </c>
    </row>
    <row r="285">
      <c r="A285" s="84" t="inlineStr">
        <is>
          <t>Privé</t>
        </is>
      </c>
      <c r="B285" s="7" t="inlineStr">
        <is>
          <t>conduite ou super-actif</t>
        </is>
      </c>
      <c r="C285" s="88" t="n">
        <v>1975</v>
      </c>
      <c r="D285" s="95" t="n">
        <v>64</v>
      </c>
      <c r="E285" s="95" t="n">
        <v>67</v>
      </c>
      <c r="F285" s="85" t="n">
        <v>172</v>
      </c>
      <c r="G285" s="120" t="n">
        <v>0.0125</v>
      </c>
      <c r="H285" s="120" t="n">
        <v>0.0125</v>
      </c>
      <c r="I285" s="75" t="n"/>
      <c r="J285" s="95" t="n">
        <v>63.59</v>
      </c>
      <c r="K285" s="95" t="n">
        <v>1</v>
      </c>
      <c r="L285" s="85" t="n">
        <v>0</v>
      </c>
    </row>
    <row r="286">
      <c r="A286" s="84" t="inlineStr">
        <is>
          <t>Privé</t>
        </is>
      </c>
      <c r="B286" s="7" t="inlineStr">
        <is>
          <t>conduite ou super-actif</t>
        </is>
      </c>
      <c r="C286" s="88" t="n">
        <v>1976</v>
      </c>
      <c r="D286" s="95" t="n">
        <v>64</v>
      </c>
      <c r="E286" s="95" t="n">
        <v>67</v>
      </c>
      <c r="F286" s="85" t="n">
        <v>172</v>
      </c>
      <c r="G286" s="120" t="n">
        <v>0.0125</v>
      </c>
      <c r="H286" s="120" t="n">
        <v>0.0125</v>
      </c>
      <c r="I286" s="75" t="n"/>
      <c r="J286" s="95" t="n">
        <v>63.63</v>
      </c>
      <c r="K286" s="95" t="n">
        <v>1</v>
      </c>
      <c r="L286" s="85" t="n">
        <v>0</v>
      </c>
    </row>
    <row r="287">
      <c r="A287" s="84" t="inlineStr">
        <is>
          <t>Privé</t>
        </is>
      </c>
      <c r="B287" s="7" t="inlineStr">
        <is>
          <t>conduite ou super-actif</t>
        </is>
      </c>
      <c r="C287" s="88" t="n">
        <v>1977</v>
      </c>
      <c r="D287" s="95" t="n">
        <v>64</v>
      </c>
      <c r="E287" s="95" t="n">
        <v>67</v>
      </c>
      <c r="F287" s="85" t="n">
        <v>172</v>
      </c>
      <c r="G287" s="120" t="n">
        <v>0.0125</v>
      </c>
      <c r="H287" s="120" t="n">
        <v>0.0125</v>
      </c>
      <c r="I287" s="75" t="n"/>
      <c r="J287" s="95" t="n">
        <v>63.67</v>
      </c>
      <c r="K287" s="95" t="n">
        <v>1</v>
      </c>
      <c r="L287" s="85" t="n">
        <v>0</v>
      </c>
    </row>
    <row r="288">
      <c r="A288" s="84" t="inlineStr">
        <is>
          <t>Privé</t>
        </is>
      </c>
      <c r="B288" s="7" t="inlineStr">
        <is>
          <t>conduite ou super-actif</t>
        </is>
      </c>
      <c r="C288" s="88" t="n">
        <v>1978</v>
      </c>
      <c r="D288" s="95" t="n">
        <v>64</v>
      </c>
      <c r="E288" s="95" t="n">
        <v>67</v>
      </c>
      <c r="F288" s="85" t="n">
        <v>172</v>
      </c>
      <c r="G288" s="120" t="n">
        <v>0.0125</v>
      </c>
      <c r="H288" s="120" t="n">
        <v>0.0125</v>
      </c>
      <c r="I288" s="75" t="n"/>
      <c r="J288" s="95" t="n">
        <v>63.71</v>
      </c>
      <c r="K288" s="95" t="n">
        <v>1</v>
      </c>
      <c r="L288" s="85" t="n">
        <v>0</v>
      </c>
    </row>
    <row r="289">
      <c r="A289" s="84" t="inlineStr">
        <is>
          <t>Privé</t>
        </is>
      </c>
      <c r="B289" s="7" t="inlineStr">
        <is>
          <t>conduite ou super-actif</t>
        </is>
      </c>
      <c r="C289" s="88" t="n">
        <v>1979</v>
      </c>
      <c r="D289" s="95" t="n">
        <v>64</v>
      </c>
      <c r="E289" s="95" t="n">
        <v>67</v>
      </c>
      <c r="F289" s="85" t="n">
        <v>172</v>
      </c>
      <c r="G289" s="120" t="n">
        <v>0.0125</v>
      </c>
      <c r="H289" s="120" t="n">
        <v>0.0125</v>
      </c>
      <c r="I289" s="75" t="n"/>
      <c r="J289" s="95" t="n">
        <v>63.76</v>
      </c>
      <c r="K289" s="95" t="n">
        <v>1</v>
      </c>
      <c r="L289" s="85" t="n">
        <v>0</v>
      </c>
    </row>
    <row r="290">
      <c r="A290" s="84" t="inlineStr">
        <is>
          <t>Privé</t>
        </is>
      </c>
      <c r="B290" s="7" t="inlineStr">
        <is>
          <t>conduite ou super-actif</t>
        </is>
      </c>
      <c r="C290" s="88" t="n">
        <v>1980</v>
      </c>
      <c r="D290" s="95" t="n">
        <v>64</v>
      </c>
      <c r="E290" s="95" t="n">
        <v>67</v>
      </c>
      <c r="F290" s="85" t="n">
        <v>172</v>
      </c>
      <c r="G290" s="120" t="n">
        <v>0.0125</v>
      </c>
      <c r="H290" s="120" t="n">
        <v>0.0125</v>
      </c>
      <c r="I290" s="75" t="n"/>
      <c r="J290" s="95" t="n">
        <v>63.8</v>
      </c>
      <c r="K290" s="95" t="n">
        <v>1</v>
      </c>
      <c r="L290" s="85" t="n">
        <v>0</v>
      </c>
    </row>
    <row r="291">
      <c r="A291" s="84" t="inlineStr">
        <is>
          <t>Privé</t>
        </is>
      </c>
      <c r="B291" s="7" t="inlineStr">
        <is>
          <t>conduite ou super-actif</t>
        </is>
      </c>
      <c r="C291" s="88" t="n">
        <v>1981</v>
      </c>
      <c r="D291" s="95" t="n">
        <v>64</v>
      </c>
      <c r="E291" s="95" t="n">
        <v>67</v>
      </c>
      <c r="F291" s="85" t="n">
        <v>172</v>
      </c>
      <c r="G291" s="120" t="n">
        <v>0.0125</v>
      </c>
      <c r="H291" s="120" t="n">
        <v>0.0125</v>
      </c>
      <c r="I291" s="75" t="n"/>
      <c r="J291" s="95" t="n">
        <v>63.81</v>
      </c>
      <c r="K291" s="95" t="n">
        <v>1</v>
      </c>
      <c r="L291" s="85" t="n">
        <v>0</v>
      </c>
    </row>
    <row r="292">
      <c r="A292" s="84" t="inlineStr">
        <is>
          <t>Privé</t>
        </is>
      </c>
      <c r="B292" s="7" t="inlineStr">
        <is>
          <t>conduite ou super-actif</t>
        </is>
      </c>
      <c r="C292" s="88" t="n">
        <v>1982</v>
      </c>
      <c r="D292" s="95" t="n">
        <v>64</v>
      </c>
      <c r="E292" s="95" t="n">
        <v>67</v>
      </c>
      <c r="F292" s="85" t="n">
        <v>172</v>
      </c>
      <c r="G292" s="120" t="n">
        <v>0.0125</v>
      </c>
      <c r="H292" s="120" t="n">
        <v>0.0125</v>
      </c>
      <c r="I292" s="75" t="n"/>
      <c r="J292" s="95" t="n">
        <v>63.82</v>
      </c>
      <c r="K292" s="95" t="n">
        <v>1</v>
      </c>
      <c r="L292" s="85" t="n">
        <v>0</v>
      </c>
    </row>
    <row r="293">
      <c r="A293" s="84" t="inlineStr">
        <is>
          <t>Privé</t>
        </is>
      </c>
      <c r="B293" s="7" t="inlineStr">
        <is>
          <t>conduite ou super-actif</t>
        </is>
      </c>
      <c r="C293" s="88" t="n">
        <v>1983</v>
      </c>
      <c r="D293" s="95" t="n">
        <v>64</v>
      </c>
      <c r="E293" s="95" t="n">
        <v>67</v>
      </c>
      <c r="F293" s="85" t="n">
        <v>172</v>
      </c>
      <c r="G293" s="120" t="n">
        <v>0.0125</v>
      </c>
      <c r="H293" s="120" t="n">
        <v>0.0125</v>
      </c>
      <c r="I293" s="75" t="n"/>
      <c r="J293" s="95" t="n">
        <v>63.83</v>
      </c>
      <c r="K293" s="95" t="n">
        <v>1</v>
      </c>
      <c r="L293" s="85" t="n">
        <v>0</v>
      </c>
    </row>
    <row r="294">
      <c r="A294" s="84" t="inlineStr">
        <is>
          <t>Privé</t>
        </is>
      </c>
      <c r="B294" s="7" t="inlineStr">
        <is>
          <t>conduite ou super-actif</t>
        </is>
      </c>
      <c r="C294" s="88" t="n">
        <v>1984</v>
      </c>
      <c r="D294" s="95" t="n">
        <v>64</v>
      </c>
      <c r="E294" s="95" t="n">
        <v>67</v>
      </c>
      <c r="F294" s="85" t="n">
        <v>172</v>
      </c>
      <c r="G294" s="120" t="n">
        <v>0.0125</v>
      </c>
      <c r="H294" s="120" t="n">
        <v>0.0125</v>
      </c>
      <c r="I294" s="75" t="n"/>
      <c r="J294" s="95" t="n">
        <v>63.84</v>
      </c>
      <c r="K294" s="95" t="n">
        <v>1</v>
      </c>
      <c r="L294" s="85" t="n">
        <v>0</v>
      </c>
    </row>
    <row r="295">
      <c r="A295" s="84" t="inlineStr">
        <is>
          <t>Privé</t>
        </is>
      </c>
      <c r="B295" s="7" t="inlineStr">
        <is>
          <t>conduite ou super-actif</t>
        </is>
      </c>
      <c r="C295" s="88" t="n">
        <v>1985</v>
      </c>
      <c r="D295" s="95" t="n">
        <v>64</v>
      </c>
      <c r="E295" s="95" t="n">
        <v>67</v>
      </c>
      <c r="F295" s="85" t="n">
        <v>172</v>
      </c>
      <c r="G295" s="120" t="n">
        <v>0.0125</v>
      </c>
      <c r="H295" s="120" t="n">
        <v>0.0125</v>
      </c>
      <c r="I295" s="75" t="n"/>
      <c r="J295" s="95" t="n">
        <v>63.85</v>
      </c>
      <c r="K295" s="95" t="n">
        <v>1</v>
      </c>
      <c r="L295" s="85" t="n">
        <v>0</v>
      </c>
    </row>
    <row r="296">
      <c r="A296" s="84" t="inlineStr">
        <is>
          <t>Privé</t>
        </is>
      </c>
      <c r="B296" s="7" t="inlineStr">
        <is>
          <t>conduite ou super-actif</t>
        </is>
      </c>
      <c r="C296" s="88" t="n">
        <v>1986</v>
      </c>
      <c r="D296" s="95" t="n">
        <v>64</v>
      </c>
      <c r="E296" s="95" t="n">
        <v>67</v>
      </c>
      <c r="F296" s="85" t="n">
        <v>172</v>
      </c>
      <c r="G296" s="120" t="n">
        <v>0.0125</v>
      </c>
      <c r="H296" s="120" t="n">
        <v>0.0125</v>
      </c>
      <c r="I296" s="75" t="n"/>
      <c r="J296" s="95" t="n">
        <v>63.86</v>
      </c>
      <c r="K296" s="95" t="n">
        <v>1</v>
      </c>
      <c r="L296" s="85" t="n">
        <v>0</v>
      </c>
    </row>
    <row r="297">
      <c r="A297" s="84" t="inlineStr">
        <is>
          <t>Privé</t>
        </is>
      </c>
      <c r="B297" s="7" t="inlineStr">
        <is>
          <t>conduite ou super-actif</t>
        </is>
      </c>
      <c r="C297" s="88" t="n">
        <v>1987</v>
      </c>
      <c r="D297" s="95" t="n">
        <v>64</v>
      </c>
      <c r="E297" s="95" t="n">
        <v>67</v>
      </c>
      <c r="F297" s="85" t="n">
        <v>172</v>
      </c>
      <c r="G297" s="120" t="n">
        <v>0.0125</v>
      </c>
      <c r="H297" s="120" t="n">
        <v>0.0125</v>
      </c>
      <c r="I297" s="75" t="n"/>
      <c r="J297" s="95" t="n">
        <v>63.87</v>
      </c>
      <c r="K297" s="95" t="n">
        <v>1</v>
      </c>
      <c r="L297" s="85" t="n">
        <v>0</v>
      </c>
    </row>
    <row r="298">
      <c r="A298" s="84" t="inlineStr">
        <is>
          <t>Privé</t>
        </is>
      </c>
      <c r="B298" s="7" t="inlineStr">
        <is>
          <t>conduite ou super-actif</t>
        </is>
      </c>
      <c r="C298" s="88" t="n">
        <v>1988</v>
      </c>
      <c r="D298" s="95" t="n">
        <v>64</v>
      </c>
      <c r="E298" s="95" t="n">
        <v>67</v>
      </c>
      <c r="F298" s="85" t="n">
        <v>172</v>
      </c>
      <c r="G298" s="120" t="n">
        <v>0.0125</v>
      </c>
      <c r="H298" s="120" t="n">
        <v>0.0125</v>
      </c>
      <c r="I298" s="75" t="n"/>
      <c r="J298" s="95" t="n">
        <v>63.88</v>
      </c>
      <c r="K298" s="95" t="n">
        <v>1</v>
      </c>
      <c r="L298" s="85" t="n">
        <v>0</v>
      </c>
    </row>
    <row r="299">
      <c r="A299" s="84" t="inlineStr">
        <is>
          <t>Privé</t>
        </is>
      </c>
      <c r="B299" s="7" t="inlineStr">
        <is>
          <t>conduite ou super-actif</t>
        </is>
      </c>
      <c r="C299" s="88" t="n">
        <v>1989</v>
      </c>
      <c r="D299" s="95" t="n">
        <v>64</v>
      </c>
      <c r="E299" s="95" t="n">
        <v>67</v>
      </c>
      <c r="F299" s="85" t="n">
        <v>172</v>
      </c>
      <c r="G299" s="120" t="n">
        <v>0.0125</v>
      </c>
      <c r="H299" s="120" t="n">
        <v>0.0125</v>
      </c>
      <c r="I299" s="75" t="n"/>
      <c r="J299" s="95" t="n">
        <v>63.89</v>
      </c>
      <c r="K299" s="95" t="n">
        <v>1</v>
      </c>
      <c r="L299" s="85" t="n">
        <v>0</v>
      </c>
    </row>
    <row r="300">
      <c r="A300" s="84" t="inlineStr">
        <is>
          <t>Privé</t>
        </is>
      </c>
      <c r="B300" s="7" t="inlineStr">
        <is>
          <t>conduite ou super-actif</t>
        </is>
      </c>
      <c r="C300" s="88" t="n">
        <v>1990</v>
      </c>
      <c r="D300" s="95" t="n">
        <v>64</v>
      </c>
      <c r="E300" s="95" t="n">
        <v>67</v>
      </c>
      <c r="F300" s="85" t="n">
        <v>172</v>
      </c>
      <c r="G300" s="120" t="n">
        <v>0.0125</v>
      </c>
      <c r="H300" s="120" t="n">
        <v>0.0125</v>
      </c>
      <c r="I300" s="75" t="n"/>
      <c r="J300" s="95" t="n">
        <v>63.9</v>
      </c>
      <c r="K300" s="95" t="n">
        <v>1</v>
      </c>
      <c r="L300" s="85" t="n">
        <v>0</v>
      </c>
    </row>
    <row r="301">
      <c r="A301" s="84" t="inlineStr">
        <is>
          <t>Privé</t>
        </is>
      </c>
      <c r="B301" s="7" t="inlineStr">
        <is>
          <t>conduite ou super-actif</t>
        </is>
      </c>
      <c r="C301" s="88" t="n">
        <v>1991</v>
      </c>
      <c r="D301" s="95" t="n">
        <v>64</v>
      </c>
      <c r="E301" s="95" t="n">
        <v>67</v>
      </c>
      <c r="F301" s="85" t="n">
        <v>172</v>
      </c>
      <c r="G301" s="120" t="n">
        <v>0.0125</v>
      </c>
      <c r="H301" s="120" t="n">
        <v>0.0125</v>
      </c>
      <c r="I301" s="75" t="n"/>
      <c r="J301" s="95" t="n">
        <v>63.91</v>
      </c>
      <c r="K301" s="95" t="n">
        <v>1</v>
      </c>
      <c r="L301" s="85" t="n">
        <v>0</v>
      </c>
    </row>
    <row r="302">
      <c r="A302" s="84" t="inlineStr">
        <is>
          <t>Privé</t>
        </is>
      </c>
      <c r="B302" s="7" t="inlineStr">
        <is>
          <t>conduite ou super-actif</t>
        </is>
      </c>
      <c r="C302" s="88" t="n">
        <v>1992</v>
      </c>
      <c r="D302" s="95" t="n">
        <v>64</v>
      </c>
      <c r="E302" s="95" t="n">
        <v>67</v>
      </c>
      <c r="F302" s="85" t="n">
        <v>172</v>
      </c>
      <c r="G302" s="120" t="n">
        <v>0.0125</v>
      </c>
      <c r="H302" s="120" t="n">
        <v>0.0125</v>
      </c>
      <c r="I302" s="75" t="n"/>
      <c r="J302" s="95" t="n">
        <v>63.92</v>
      </c>
      <c r="K302" s="95" t="n">
        <v>1</v>
      </c>
      <c r="L302" s="85" t="n">
        <v>0</v>
      </c>
    </row>
    <row r="303">
      <c r="A303" s="84" t="inlineStr">
        <is>
          <t>Privé</t>
        </is>
      </c>
      <c r="B303" s="7" t="inlineStr">
        <is>
          <t>conduite ou super-actif</t>
        </is>
      </c>
      <c r="C303" s="88" t="n">
        <v>1993</v>
      </c>
      <c r="D303" s="95" t="n">
        <v>64</v>
      </c>
      <c r="E303" s="95" t="n">
        <v>67</v>
      </c>
      <c r="F303" s="85" t="n">
        <v>172</v>
      </c>
      <c r="G303" s="120" t="n">
        <v>0.0125</v>
      </c>
      <c r="H303" s="120" t="n">
        <v>0.0125</v>
      </c>
      <c r="I303" s="75" t="n"/>
      <c r="J303" s="95" t="n">
        <v>63.93</v>
      </c>
      <c r="K303" s="95" t="n">
        <v>1</v>
      </c>
      <c r="L303" s="85" t="n">
        <v>0</v>
      </c>
    </row>
    <row r="304">
      <c r="A304" s="84" t="inlineStr">
        <is>
          <t>Privé</t>
        </is>
      </c>
      <c r="B304" s="7" t="inlineStr">
        <is>
          <t>conduite ou super-actif</t>
        </is>
      </c>
      <c r="C304" s="88" t="n">
        <v>1994</v>
      </c>
      <c r="D304" s="95" t="n">
        <v>64</v>
      </c>
      <c r="E304" s="95" t="n">
        <v>67</v>
      </c>
      <c r="F304" s="85" t="n">
        <v>172</v>
      </c>
      <c r="G304" s="120" t="n">
        <v>0.0125</v>
      </c>
      <c r="H304" s="120" t="n">
        <v>0.0125</v>
      </c>
      <c r="I304" s="75" t="n"/>
      <c r="J304" s="95" t="n">
        <v>63.94</v>
      </c>
      <c r="K304" s="95" t="n">
        <v>1</v>
      </c>
      <c r="L304" s="85" t="n">
        <v>0</v>
      </c>
    </row>
    <row r="305">
      <c r="A305" s="84" t="inlineStr">
        <is>
          <t>Privé</t>
        </is>
      </c>
      <c r="B305" s="7" t="inlineStr">
        <is>
          <t>conduite ou super-actif</t>
        </is>
      </c>
      <c r="C305" s="88" t="n">
        <v>1995</v>
      </c>
      <c r="D305" s="95" t="n">
        <v>64</v>
      </c>
      <c r="E305" s="95" t="n">
        <v>67</v>
      </c>
      <c r="F305" s="85" t="n">
        <v>172</v>
      </c>
      <c r="G305" s="120" t="n">
        <v>0.0125</v>
      </c>
      <c r="H305" s="120" t="n">
        <v>0.0125</v>
      </c>
      <c r="I305" s="75" t="n"/>
      <c r="J305" s="95" t="n">
        <v>63.95</v>
      </c>
      <c r="K305" s="95" t="n">
        <v>1</v>
      </c>
      <c r="L305" s="85" t="n">
        <v>0</v>
      </c>
    </row>
    <row r="306">
      <c r="A306" s="84" t="inlineStr">
        <is>
          <t>Privé</t>
        </is>
      </c>
      <c r="B306" s="7" t="inlineStr">
        <is>
          <t>conduite ou super-actif</t>
        </is>
      </c>
      <c r="C306" s="88" t="n">
        <v>1996</v>
      </c>
      <c r="D306" s="95" t="n">
        <v>64</v>
      </c>
      <c r="E306" s="95" t="n">
        <v>67</v>
      </c>
      <c r="F306" s="85" t="n">
        <v>172</v>
      </c>
      <c r="G306" s="120" t="n">
        <v>0.0125</v>
      </c>
      <c r="H306" s="120" t="n">
        <v>0.0125</v>
      </c>
      <c r="I306" s="75" t="n"/>
      <c r="J306" s="95" t="n">
        <v>63.96</v>
      </c>
      <c r="K306" s="95" t="n">
        <v>1</v>
      </c>
      <c r="L306" s="85" t="n">
        <v>0</v>
      </c>
    </row>
    <row r="307">
      <c r="A307" s="84" t="inlineStr">
        <is>
          <t>Privé</t>
        </is>
      </c>
      <c r="B307" s="7" t="inlineStr">
        <is>
          <t>conduite ou super-actif</t>
        </is>
      </c>
      <c r="C307" s="88" t="n">
        <v>1997</v>
      </c>
      <c r="D307" s="95" t="n">
        <v>64</v>
      </c>
      <c r="E307" s="95" t="n">
        <v>67</v>
      </c>
      <c r="F307" s="85" t="n">
        <v>172</v>
      </c>
      <c r="G307" s="120" t="n">
        <v>0.0125</v>
      </c>
      <c r="H307" s="120" t="n">
        <v>0.0125</v>
      </c>
      <c r="I307" s="75" t="n"/>
      <c r="J307" s="95" t="n">
        <v>63.97</v>
      </c>
      <c r="K307" s="95" t="n">
        <v>1</v>
      </c>
      <c r="L307" s="85" t="n">
        <v>0</v>
      </c>
    </row>
    <row r="308">
      <c r="A308" s="84" t="inlineStr">
        <is>
          <t>Privé</t>
        </is>
      </c>
      <c r="B308" s="7" t="inlineStr">
        <is>
          <t>conduite ou super-actif</t>
        </is>
      </c>
      <c r="C308" s="88" t="n">
        <v>1998</v>
      </c>
      <c r="D308" s="95" t="n">
        <v>64</v>
      </c>
      <c r="E308" s="95" t="n">
        <v>67</v>
      </c>
      <c r="F308" s="85" t="n">
        <v>172</v>
      </c>
      <c r="G308" s="120" t="n">
        <v>0.0125</v>
      </c>
      <c r="H308" s="120" t="n">
        <v>0.0125</v>
      </c>
      <c r="I308" s="75" t="n"/>
      <c r="J308" s="95" t="n">
        <v>63.98</v>
      </c>
      <c r="K308" s="95" t="n">
        <v>1</v>
      </c>
      <c r="L308" s="85" t="n">
        <v>0</v>
      </c>
    </row>
    <row r="309">
      <c r="A309" s="84" t="inlineStr">
        <is>
          <t>Privé</t>
        </is>
      </c>
      <c r="B309" s="7" t="inlineStr">
        <is>
          <t>conduite ou super-actif</t>
        </is>
      </c>
      <c r="C309" s="88" t="n">
        <v>1999</v>
      </c>
      <c r="D309" s="95" t="n">
        <v>64</v>
      </c>
      <c r="E309" s="95" t="n">
        <v>67</v>
      </c>
      <c r="F309" s="85" t="n">
        <v>172</v>
      </c>
      <c r="G309" s="120" t="n">
        <v>0.0125</v>
      </c>
      <c r="H309" s="120" t="n">
        <v>0.0125</v>
      </c>
      <c r="I309" s="75" t="n"/>
      <c r="J309" s="95" t="n">
        <v>63.99</v>
      </c>
      <c r="K309" s="95" t="n">
        <v>1</v>
      </c>
      <c r="L309" s="85" t="n">
        <v>0</v>
      </c>
    </row>
    <row r="310">
      <c r="A310" s="84" t="inlineStr">
        <is>
          <t>Privé</t>
        </is>
      </c>
      <c r="B310" s="7" t="inlineStr">
        <is>
          <t>conduite ou super-actif</t>
        </is>
      </c>
      <c r="C310" s="88" t="n">
        <v>2000</v>
      </c>
      <c r="D310" s="95" t="n">
        <v>64</v>
      </c>
      <c r="E310" s="95" t="n">
        <v>67</v>
      </c>
      <c r="F310" s="85" t="n">
        <v>172</v>
      </c>
      <c r="G310" s="120" t="n">
        <v>0.0125</v>
      </c>
      <c r="H310" s="120" t="n">
        <v>0.0125</v>
      </c>
      <c r="I310" s="75" t="n"/>
      <c r="J310" s="95" t="n">
        <v>64</v>
      </c>
      <c r="K310" s="95" t="n">
        <v>1</v>
      </c>
      <c r="L310" s="85" t="n">
        <v>0</v>
      </c>
    </row>
    <row r="311">
      <c r="A311" s="84" t="inlineStr">
        <is>
          <t>Privé</t>
        </is>
      </c>
      <c r="B311" s="7" t="inlineStr">
        <is>
          <t>conduite ou super-actif</t>
        </is>
      </c>
      <c r="C311" s="88" t="n">
        <v>2001</v>
      </c>
      <c r="D311" s="95" t="n">
        <v>64</v>
      </c>
      <c r="E311" s="95" t="n">
        <v>67</v>
      </c>
      <c r="F311" s="85" t="n">
        <v>172</v>
      </c>
      <c r="G311" s="120" t="n">
        <v>0.0125</v>
      </c>
      <c r="H311" s="120" t="n">
        <v>0.0125</v>
      </c>
      <c r="I311" s="75" t="n"/>
      <c r="J311" s="95" t="n">
        <v>64</v>
      </c>
      <c r="K311" s="95" t="n">
        <v>1</v>
      </c>
      <c r="L311" s="85" t="n">
        <v>0</v>
      </c>
    </row>
    <row r="312">
      <c r="A312" s="84" t="inlineStr">
        <is>
          <t>Privé</t>
        </is>
      </c>
      <c r="B312" s="7" t="inlineStr">
        <is>
          <t>conduite ou super-actif</t>
        </is>
      </c>
      <c r="C312" s="88" t="n">
        <v>2002</v>
      </c>
      <c r="D312" s="95" t="n">
        <v>64</v>
      </c>
      <c r="E312" s="95" t="n">
        <v>67</v>
      </c>
      <c r="F312" s="85" t="n">
        <v>172</v>
      </c>
      <c r="G312" s="120" t="n">
        <v>0.0125</v>
      </c>
      <c r="H312" s="120" t="n">
        <v>0.0125</v>
      </c>
      <c r="I312" s="75" t="n"/>
      <c r="J312" s="95" t="n">
        <v>64</v>
      </c>
      <c r="K312" s="95" t="n">
        <v>1</v>
      </c>
      <c r="L312" s="85" t="n">
        <v>0</v>
      </c>
    </row>
    <row r="313">
      <c r="A313" s="84" t="inlineStr">
        <is>
          <t>Privé</t>
        </is>
      </c>
      <c r="B313" s="7" t="inlineStr">
        <is>
          <t>conduite ou super-actif</t>
        </is>
      </c>
      <c r="C313" s="88" t="n">
        <v>2003</v>
      </c>
      <c r="D313" s="95" t="n">
        <v>64</v>
      </c>
      <c r="E313" s="95" t="n">
        <v>67</v>
      </c>
      <c r="F313" s="85" t="n">
        <v>172</v>
      </c>
      <c r="G313" s="120" t="n">
        <v>0.0125</v>
      </c>
      <c r="H313" s="120" t="n">
        <v>0.0125</v>
      </c>
      <c r="I313" s="75" t="n"/>
      <c r="J313" s="95" t="n">
        <v>64</v>
      </c>
      <c r="K313" s="95" t="n">
        <v>1</v>
      </c>
      <c r="L313" s="85" t="n">
        <v>0</v>
      </c>
    </row>
    <row r="314">
      <c r="A314" s="84" t="inlineStr">
        <is>
          <t>Privé</t>
        </is>
      </c>
      <c r="B314" s="7" t="inlineStr">
        <is>
          <t>conduite ou super-actif</t>
        </is>
      </c>
      <c r="C314" s="88" t="n">
        <v>2004</v>
      </c>
      <c r="D314" s="95" t="n">
        <v>64</v>
      </c>
      <c r="E314" s="95" t="n">
        <v>67</v>
      </c>
      <c r="F314" s="85" t="n">
        <v>172</v>
      </c>
      <c r="G314" s="120" t="n">
        <v>0.0125</v>
      </c>
      <c r="H314" s="120" t="n">
        <v>0.0125</v>
      </c>
      <c r="I314" s="75" t="n"/>
      <c r="J314" s="95" t="n">
        <v>64</v>
      </c>
      <c r="K314" s="95" t="n">
        <v>1</v>
      </c>
      <c r="L314" s="85" t="n">
        <v>0</v>
      </c>
    </row>
    <row r="315">
      <c r="A315" s="84" t="inlineStr">
        <is>
          <t>Privé</t>
        </is>
      </c>
      <c r="B315" s="7" t="inlineStr">
        <is>
          <t>conduite ou super-actif</t>
        </is>
      </c>
      <c r="C315" s="88" t="n">
        <v>2005</v>
      </c>
      <c r="D315" s="95" t="n">
        <v>64</v>
      </c>
      <c r="E315" s="95" t="n">
        <v>67</v>
      </c>
      <c r="F315" s="85" t="n">
        <v>172</v>
      </c>
      <c r="G315" s="120" t="n">
        <v>0.0125</v>
      </c>
      <c r="H315" s="120" t="n">
        <v>0.0125</v>
      </c>
      <c r="I315" s="75" t="n"/>
      <c r="J315" s="95" t="n">
        <v>64</v>
      </c>
      <c r="K315" s="95" t="n">
        <v>1</v>
      </c>
      <c r="L315" s="85" t="n">
        <v>0</v>
      </c>
    </row>
    <row r="316">
      <c r="A316" s="84" t="inlineStr">
        <is>
          <t>Privé</t>
        </is>
      </c>
      <c r="B316" s="7" t="inlineStr">
        <is>
          <t>conduite ou super-actif</t>
        </is>
      </c>
      <c r="C316" s="88" t="n">
        <v>2006</v>
      </c>
      <c r="D316" s="95" t="n">
        <v>64</v>
      </c>
      <c r="E316" s="95" t="n">
        <v>67</v>
      </c>
      <c r="F316" s="85" t="n">
        <v>172</v>
      </c>
      <c r="G316" s="120" t="n">
        <v>0.0125</v>
      </c>
      <c r="H316" s="120" t="n">
        <v>0.0125</v>
      </c>
      <c r="I316" s="75" t="n"/>
      <c r="J316" s="95" t="n">
        <v>64</v>
      </c>
      <c r="K316" s="95" t="n">
        <v>1</v>
      </c>
      <c r="L316" s="85" t="n">
        <v>0</v>
      </c>
    </row>
    <row r="317">
      <c r="A317" s="84" t="inlineStr">
        <is>
          <t>Privé</t>
        </is>
      </c>
      <c r="B317" s="7" t="inlineStr">
        <is>
          <t>conduite ou super-actif</t>
        </is>
      </c>
      <c r="C317" s="88" t="n">
        <v>2007</v>
      </c>
      <c r="D317" s="95" t="n">
        <v>64</v>
      </c>
      <c r="E317" s="95" t="n">
        <v>67</v>
      </c>
      <c r="F317" s="85" t="n">
        <v>172</v>
      </c>
      <c r="G317" s="120" t="n">
        <v>0.0125</v>
      </c>
      <c r="H317" s="120" t="n">
        <v>0.0125</v>
      </c>
      <c r="I317" s="75" t="n"/>
      <c r="J317" s="95" t="n">
        <v>64</v>
      </c>
      <c r="K317" s="95" t="n">
        <v>1</v>
      </c>
      <c r="L317" s="85" t="n">
        <v>0</v>
      </c>
    </row>
    <row r="318">
      <c r="A318" s="84" t="inlineStr">
        <is>
          <t>Privé</t>
        </is>
      </c>
      <c r="B318" s="7" t="inlineStr">
        <is>
          <t>conduite ou super-actif</t>
        </is>
      </c>
      <c r="C318" s="88" t="n">
        <v>2008</v>
      </c>
      <c r="D318" s="95" t="n">
        <v>64</v>
      </c>
      <c r="E318" s="95" t="n">
        <v>67</v>
      </c>
      <c r="F318" s="85" t="n">
        <v>172</v>
      </c>
      <c r="G318" s="120" t="n">
        <v>0.0125</v>
      </c>
      <c r="H318" s="120" t="n">
        <v>0.0125</v>
      </c>
      <c r="I318" s="75" t="n"/>
      <c r="J318" s="95" t="n">
        <v>64</v>
      </c>
      <c r="K318" s="95" t="n">
        <v>1</v>
      </c>
      <c r="L318" s="85" t="n">
        <v>0</v>
      </c>
    </row>
    <row r="319">
      <c r="A319" s="84" t="inlineStr">
        <is>
          <t>Privé</t>
        </is>
      </c>
      <c r="B319" s="7" t="inlineStr">
        <is>
          <t>conduite ou super-actif</t>
        </is>
      </c>
      <c r="C319" s="88" t="n">
        <v>2009</v>
      </c>
      <c r="D319" s="95" t="n">
        <v>64</v>
      </c>
      <c r="E319" s="95" t="n">
        <v>67</v>
      </c>
      <c r="F319" s="85" t="n">
        <v>172</v>
      </c>
      <c r="G319" s="120" t="n">
        <v>0.0125</v>
      </c>
      <c r="H319" s="120" t="n">
        <v>0.0125</v>
      </c>
      <c r="I319" s="75" t="n"/>
      <c r="J319" s="95" t="n">
        <v>64</v>
      </c>
      <c r="K319" s="95" t="n">
        <v>1</v>
      </c>
      <c r="L319" s="85" t="n">
        <v>0</v>
      </c>
    </row>
    <row r="320">
      <c r="A320" s="84" t="inlineStr">
        <is>
          <t>Privé</t>
        </is>
      </c>
      <c r="B320" s="7" t="inlineStr">
        <is>
          <t>conduite ou super-actif</t>
        </is>
      </c>
      <c r="C320" s="88" t="n">
        <v>2010</v>
      </c>
      <c r="D320" s="95" t="n">
        <v>64</v>
      </c>
      <c r="E320" s="95" t="n">
        <v>67</v>
      </c>
      <c r="F320" s="85" t="n">
        <v>172</v>
      </c>
      <c r="G320" s="120" t="n">
        <v>0.0125</v>
      </c>
      <c r="H320" s="120" t="n">
        <v>0.0125</v>
      </c>
      <c r="I320" s="75" t="n"/>
      <c r="J320" s="95" t="n">
        <v>64</v>
      </c>
      <c r="K320" s="95" t="n">
        <v>1</v>
      </c>
      <c r="L320" s="85" t="n">
        <v>0</v>
      </c>
    </row>
    <row r="321">
      <c r="A321" s="84" t="inlineStr">
        <is>
          <t>Privé</t>
        </is>
      </c>
      <c r="B321" s="7" t="inlineStr">
        <is>
          <t>conduite ou super-actif</t>
        </is>
      </c>
      <c r="C321" s="88" t="n">
        <v>2011</v>
      </c>
      <c r="D321" s="95" t="n">
        <v>64</v>
      </c>
      <c r="E321" s="95" t="n">
        <v>67</v>
      </c>
      <c r="F321" s="85" t="n">
        <v>172</v>
      </c>
      <c r="G321" s="120" t="n">
        <v>0.0125</v>
      </c>
      <c r="H321" s="120" t="n">
        <v>0.0125</v>
      </c>
      <c r="I321" s="75" t="n"/>
      <c r="J321" s="95" t="n">
        <v>64</v>
      </c>
      <c r="K321" s="95" t="n">
        <v>1</v>
      </c>
      <c r="L321" s="85" t="n">
        <v>0</v>
      </c>
    </row>
    <row r="322">
      <c r="A322" s="84" t="inlineStr">
        <is>
          <t>Privé</t>
        </is>
      </c>
      <c r="B322" s="7" t="inlineStr">
        <is>
          <t>conduite ou super-actif</t>
        </is>
      </c>
      <c r="C322" s="88" t="n">
        <v>2012</v>
      </c>
      <c r="D322" s="95" t="n">
        <v>64</v>
      </c>
      <c r="E322" s="95" t="n">
        <v>67</v>
      </c>
      <c r="F322" s="85" t="n">
        <v>172</v>
      </c>
      <c r="G322" s="120" t="n">
        <v>0.0125</v>
      </c>
      <c r="H322" s="120" t="n">
        <v>0.0125</v>
      </c>
      <c r="I322" s="75" t="n"/>
      <c r="J322" s="95" t="n">
        <v>64</v>
      </c>
      <c r="K322" s="95" t="n">
        <v>1</v>
      </c>
      <c r="L322" s="85" t="n">
        <v>0</v>
      </c>
    </row>
    <row r="323">
      <c r="A323" s="84" t="inlineStr">
        <is>
          <t>Privé</t>
        </is>
      </c>
      <c r="B323" s="7" t="inlineStr">
        <is>
          <t>conduite ou super-actif</t>
        </is>
      </c>
      <c r="C323" s="88" t="n">
        <v>2013</v>
      </c>
      <c r="D323" s="95" t="n">
        <v>64</v>
      </c>
      <c r="E323" s="95" t="n">
        <v>67</v>
      </c>
      <c r="F323" s="85" t="n">
        <v>172</v>
      </c>
      <c r="G323" s="120" t="n">
        <v>0.0125</v>
      </c>
      <c r="H323" s="120" t="n">
        <v>0.0125</v>
      </c>
      <c r="I323" s="75" t="n"/>
      <c r="J323" s="95" t="n">
        <v>64</v>
      </c>
      <c r="K323" s="95" t="n">
        <v>1</v>
      </c>
      <c r="L323" s="85" t="n">
        <v>0</v>
      </c>
    </row>
    <row r="324">
      <c r="A324" s="84" t="inlineStr">
        <is>
          <t>Privé</t>
        </is>
      </c>
      <c r="B324" s="7" t="inlineStr">
        <is>
          <t>conduite ou super-actif</t>
        </is>
      </c>
      <c r="C324" s="88" t="n">
        <v>2014</v>
      </c>
      <c r="D324" s="95" t="n">
        <v>64</v>
      </c>
      <c r="E324" s="95" t="n">
        <v>67</v>
      </c>
      <c r="F324" s="85" t="n">
        <v>172</v>
      </c>
      <c r="G324" s="120" t="n">
        <v>0.0125</v>
      </c>
      <c r="H324" s="120" t="n">
        <v>0.0125</v>
      </c>
      <c r="I324" s="75" t="n"/>
      <c r="J324" s="95" t="n">
        <v>64</v>
      </c>
      <c r="K324" s="95" t="n">
        <v>1</v>
      </c>
      <c r="L324" s="85" t="n">
        <v>0</v>
      </c>
    </row>
    <row r="325">
      <c r="A325" s="84" t="inlineStr">
        <is>
          <t>Privé</t>
        </is>
      </c>
      <c r="B325" s="7" t="inlineStr">
        <is>
          <t>conduite ou super-actif</t>
        </is>
      </c>
      <c r="C325" s="88" t="n">
        <v>2015</v>
      </c>
      <c r="D325" s="95" t="n">
        <v>64</v>
      </c>
      <c r="E325" s="95" t="n">
        <v>67</v>
      </c>
      <c r="F325" s="85" t="n">
        <v>172</v>
      </c>
      <c r="G325" s="120" t="n">
        <v>0.0125</v>
      </c>
      <c r="H325" s="120" t="n">
        <v>0.0125</v>
      </c>
      <c r="I325" s="75" t="n"/>
      <c r="J325" s="95" t="n">
        <v>64</v>
      </c>
      <c r="K325" s="95" t="n">
        <v>1</v>
      </c>
      <c r="L325" s="85" t="n">
        <v>0</v>
      </c>
    </row>
    <row r="326">
      <c r="A326" s="84" t="inlineStr">
        <is>
          <t>Privé</t>
        </is>
      </c>
      <c r="B326" s="7" t="inlineStr">
        <is>
          <t>conduite ou super-actif</t>
        </is>
      </c>
      <c r="C326" s="88" t="n">
        <v>2016</v>
      </c>
      <c r="D326" s="95" t="n">
        <v>64</v>
      </c>
      <c r="E326" s="95" t="n">
        <v>67</v>
      </c>
      <c r="F326" s="85" t="n">
        <v>172</v>
      </c>
      <c r="G326" s="120" t="n">
        <v>0.0125</v>
      </c>
      <c r="H326" s="120" t="n">
        <v>0.0125</v>
      </c>
      <c r="I326" s="75" t="n"/>
      <c r="J326" s="95" t="n">
        <v>64</v>
      </c>
      <c r="K326" s="95" t="n">
        <v>1</v>
      </c>
      <c r="L326" s="85" t="n">
        <v>0</v>
      </c>
    </row>
    <row r="327">
      <c r="A327" s="84" t="inlineStr">
        <is>
          <t>Privé</t>
        </is>
      </c>
      <c r="B327" s="7" t="inlineStr">
        <is>
          <t>conduite ou super-actif</t>
        </is>
      </c>
      <c r="C327" s="88" t="n">
        <v>2017</v>
      </c>
      <c r="D327" s="95" t="n">
        <v>64</v>
      </c>
      <c r="E327" s="95" t="n">
        <v>67</v>
      </c>
      <c r="F327" s="85" t="n">
        <v>172</v>
      </c>
      <c r="G327" s="120" t="n">
        <v>0.0125</v>
      </c>
      <c r="H327" s="120" t="n">
        <v>0.0125</v>
      </c>
      <c r="I327" s="75" t="n"/>
      <c r="J327" s="95" t="n">
        <v>64</v>
      </c>
      <c r="K327" s="95" t="n">
        <v>1</v>
      </c>
      <c r="L327" s="85" t="n">
        <v>0</v>
      </c>
    </row>
    <row r="328">
      <c r="A328" s="84" t="inlineStr">
        <is>
          <t>Privé</t>
        </is>
      </c>
      <c r="B328" s="7" t="inlineStr">
        <is>
          <t>conduite ou super-actif</t>
        </is>
      </c>
      <c r="C328" s="88" t="n">
        <v>2018</v>
      </c>
      <c r="D328" s="95" t="n">
        <v>64</v>
      </c>
      <c r="E328" s="95" t="n">
        <v>67</v>
      </c>
      <c r="F328" s="85" t="n">
        <v>172</v>
      </c>
      <c r="G328" s="120" t="n">
        <v>0.0125</v>
      </c>
      <c r="H328" s="120" t="n">
        <v>0.0125</v>
      </c>
      <c r="I328" s="75" t="n"/>
      <c r="J328" s="95" t="n">
        <v>64</v>
      </c>
      <c r="K328" s="95" t="n">
        <v>1</v>
      </c>
      <c r="L328" s="85" t="n">
        <v>0</v>
      </c>
    </row>
    <row r="329">
      <c r="A329" s="84" t="inlineStr">
        <is>
          <t>Privé</t>
        </is>
      </c>
      <c r="B329" s="7" t="inlineStr">
        <is>
          <t>conduite ou super-actif</t>
        </is>
      </c>
      <c r="C329" s="88" t="n">
        <v>2019</v>
      </c>
      <c r="D329" s="95" t="n">
        <v>64</v>
      </c>
      <c r="E329" s="95" t="n">
        <v>67</v>
      </c>
      <c r="F329" s="85" t="n">
        <v>172</v>
      </c>
      <c r="G329" s="120" t="n">
        <v>0.0125</v>
      </c>
      <c r="H329" s="120" t="n">
        <v>0.0125</v>
      </c>
      <c r="I329" s="75" t="n"/>
      <c r="J329" s="95" t="n">
        <v>64</v>
      </c>
      <c r="K329" s="95" t="n">
        <v>1</v>
      </c>
      <c r="L329" s="85" t="n">
        <v>0</v>
      </c>
    </row>
    <row r="330">
      <c r="A330" s="84" t="inlineStr">
        <is>
          <t>Privé</t>
        </is>
      </c>
      <c r="B330" s="7" t="inlineStr">
        <is>
          <t>conduite ou super-actif</t>
        </is>
      </c>
      <c r="C330" s="88" t="n">
        <v>2020</v>
      </c>
      <c r="D330" s="95" t="n">
        <v>64</v>
      </c>
      <c r="E330" s="95" t="n">
        <v>67</v>
      </c>
      <c r="F330" s="85" t="n">
        <v>172</v>
      </c>
      <c r="G330" s="120" t="n">
        <v>0.0125</v>
      </c>
      <c r="H330" s="120" t="n">
        <v>0.0125</v>
      </c>
      <c r="I330" s="75" t="n"/>
      <c r="J330" s="95" t="n">
        <v>64</v>
      </c>
      <c r="K330" s="95" t="n">
        <v>1</v>
      </c>
      <c r="L330" s="85" t="n">
        <v>0</v>
      </c>
    </row>
    <row r="331">
      <c r="A331" s="84" t="inlineStr">
        <is>
          <t>Privé</t>
        </is>
      </c>
      <c r="B331" s="7" t="inlineStr">
        <is>
          <t>conduite ou super-actif</t>
        </is>
      </c>
      <c r="C331" s="88" t="n">
        <v>2021</v>
      </c>
      <c r="D331" s="95" t="n">
        <v>64</v>
      </c>
      <c r="E331" s="95" t="n">
        <v>67</v>
      </c>
      <c r="F331" s="85" t="n">
        <v>172</v>
      </c>
      <c r="G331" s="120" t="n">
        <v>0.0125</v>
      </c>
      <c r="H331" s="120" t="n">
        <v>0.0125</v>
      </c>
      <c r="I331" s="75" t="n"/>
      <c r="J331" s="95" t="n">
        <v>64</v>
      </c>
      <c r="K331" s="95" t="n">
        <v>1</v>
      </c>
      <c r="L331" s="85" t="n">
        <v>0</v>
      </c>
    </row>
    <row r="332">
      <c r="A332" s="84" t="inlineStr">
        <is>
          <t>Privé</t>
        </is>
      </c>
      <c r="B332" s="7" t="inlineStr">
        <is>
          <t>conduite ou super-actif</t>
        </is>
      </c>
      <c r="C332" s="88" t="n">
        <v>2022</v>
      </c>
      <c r="D332" s="95" t="n">
        <v>64</v>
      </c>
      <c r="E332" s="95" t="n">
        <v>67</v>
      </c>
      <c r="F332" s="85" t="n">
        <v>172</v>
      </c>
      <c r="G332" s="120" t="n">
        <v>0.0125</v>
      </c>
      <c r="H332" s="120" t="n">
        <v>0.0125</v>
      </c>
      <c r="I332" s="75" t="n"/>
      <c r="J332" s="95" t="n">
        <v>64</v>
      </c>
      <c r="K332" s="95" t="n">
        <v>1</v>
      </c>
      <c r="L332" s="85" t="n">
        <v>0</v>
      </c>
    </row>
    <row r="333">
      <c r="A333" s="84" t="inlineStr">
        <is>
          <t>Privé</t>
        </is>
      </c>
      <c r="B333" s="7" t="inlineStr">
        <is>
          <t>conduite ou super-actif</t>
        </is>
      </c>
      <c r="C333" s="88" t="n">
        <v>2023</v>
      </c>
      <c r="D333" s="95" t="n">
        <v>64</v>
      </c>
      <c r="E333" s="95" t="n">
        <v>67</v>
      </c>
      <c r="F333" s="85" t="n">
        <v>172</v>
      </c>
      <c r="G333" s="120" t="n">
        <v>0.0125</v>
      </c>
      <c r="H333" s="120" t="n">
        <v>0.0125</v>
      </c>
      <c r="I333" s="75" t="n"/>
      <c r="J333" s="95" t="n">
        <v>64</v>
      </c>
      <c r="K333" s="95" t="n">
        <v>1</v>
      </c>
      <c r="L333" s="85" t="n">
        <v>0</v>
      </c>
    </row>
    <row r="334">
      <c r="A334" s="84" t="inlineStr">
        <is>
          <t>Privé</t>
        </is>
      </c>
      <c r="B334" s="7" t="inlineStr">
        <is>
          <t>conduite ou super-actif</t>
        </is>
      </c>
      <c r="C334" s="88" t="n">
        <v>2024</v>
      </c>
      <c r="D334" s="95" t="n">
        <v>64</v>
      </c>
      <c r="E334" s="95" t="n">
        <v>67</v>
      </c>
      <c r="F334" s="85" t="n">
        <v>172</v>
      </c>
      <c r="G334" s="120" t="n">
        <v>0.0125</v>
      </c>
      <c r="H334" s="120" t="n">
        <v>0.0125</v>
      </c>
      <c r="I334" s="75" t="n"/>
      <c r="J334" s="95" t="n">
        <v>64</v>
      </c>
      <c r="K334" s="95" t="n">
        <v>1</v>
      </c>
      <c r="L334" s="85" t="n">
        <v>0</v>
      </c>
    </row>
    <row r="335">
      <c r="A335" s="84" t="inlineStr">
        <is>
          <t>Privé</t>
        </is>
      </c>
      <c r="B335" s="7" t="inlineStr">
        <is>
          <t>conduite ou super-actif</t>
        </is>
      </c>
      <c r="C335" s="88" t="n">
        <v>2025</v>
      </c>
      <c r="D335" s="95" t="n">
        <v>64</v>
      </c>
      <c r="E335" s="95" t="n">
        <v>67</v>
      </c>
      <c r="F335" s="85" t="n">
        <v>172</v>
      </c>
      <c r="G335" s="120" t="n">
        <v>0.0125</v>
      </c>
      <c r="H335" s="120" t="n">
        <v>0.0125</v>
      </c>
      <c r="I335" s="75" t="n"/>
      <c r="J335" s="95" t="n">
        <v>64</v>
      </c>
      <c r="K335" s="95" t="n">
        <v>1</v>
      </c>
      <c r="L335" s="85" t="n">
        <v>0</v>
      </c>
    </row>
    <row r="336">
      <c r="A336" s="84" t="inlineStr">
        <is>
          <t>Fonction publique d'État</t>
        </is>
      </c>
      <c r="B336" s="7" t="inlineStr">
        <is>
          <t>sédentaire</t>
        </is>
      </c>
      <c r="C336" s="88" t="n">
        <v>1915</v>
      </c>
      <c r="D336" s="95" t="n">
        <v>60</v>
      </c>
      <c r="E336" s="95" t="n">
        <v>65</v>
      </c>
      <c r="F336" s="85" t="n">
        <v>150</v>
      </c>
      <c r="G336" s="120" t="n">
        <v>0</v>
      </c>
      <c r="H336" s="120" t="n">
        <v>0</v>
      </c>
      <c r="I336" s="95" t="n">
        <v>0.8</v>
      </c>
      <c r="J336" s="95" t="n">
        <v>60.8</v>
      </c>
      <c r="K336" s="95" t="n">
        <v>1.01</v>
      </c>
      <c r="L336" s="85" t="n">
        <v>0</v>
      </c>
    </row>
    <row r="337">
      <c r="A337" s="84" t="inlineStr">
        <is>
          <t>Fonction publique d'État</t>
        </is>
      </c>
      <c r="B337" s="7" t="inlineStr">
        <is>
          <t>sédentaire</t>
        </is>
      </c>
      <c r="C337" s="88" t="n">
        <v>1916</v>
      </c>
      <c r="D337" s="95" t="n">
        <v>60</v>
      </c>
      <c r="E337" s="95" t="n">
        <v>65</v>
      </c>
      <c r="F337" s="85" t="n">
        <v>150</v>
      </c>
      <c r="G337" s="120" t="n">
        <v>0</v>
      </c>
      <c r="H337" s="120" t="n">
        <v>0</v>
      </c>
      <c r="I337" s="95" t="n">
        <v>0.8</v>
      </c>
      <c r="J337" s="95" t="n">
        <v>60.8</v>
      </c>
      <c r="K337" s="95" t="n">
        <v>1.01</v>
      </c>
      <c r="L337" s="85" t="n">
        <v>0</v>
      </c>
    </row>
    <row r="338">
      <c r="A338" s="84" t="inlineStr">
        <is>
          <t>Fonction publique d'État</t>
        </is>
      </c>
      <c r="B338" s="7" t="inlineStr">
        <is>
          <t>sédentaire</t>
        </is>
      </c>
      <c r="C338" s="88" t="n">
        <v>1917</v>
      </c>
      <c r="D338" s="95" t="n">
        <v>60</v>
      </c>
      <c r="E338" s="95" t="n">
        <v>65</v>
      </c>
      <c r="F338" s="85" t="n">
        <v>150</v>
      </c>
      <c r="G338" s="120" t="n">
        <v>0</v>
      </c>
      <c r="H338" s="120" t="n">
        <v>0</v>
      </c>
      <c r="I338" s="95" t="n">
        <v>0.8</v>
      </c>
      <c r="J338" s="95" t="n">
        <v>60.8</v>
      </c>
      <c r="K338" s="95" t="n">
        <v>1.01</v>
      </c>
      <c r="L338" s="85" t="n">
        <v>0</v>
      </c>
    </row>
    <row r="339">
      <c r="A339" s="84" t="inlineStr">
        <is>
          <t>Fonction publique d'État</t>
        </is>
      </c>
      <c r="B339" s="7" t="inlineStr">
        <is>
          <t>sédentaire</t>
        </is>
      </c>
      <c r="C339" s="88" t="n">
        <v>1918</v>
      </c>
      <c r="D339" s="95" t="n">
        <v>60</v>
      </c>
      <c r="E339" s="95" t="n">
        <v>65</v>
      </c>
      <c r="F339" s="85" t="n">
        <v>150</v>
      </c>
      <c r="G339" s="120" t="n">
        <v>0</v>
      </c>
      <c r="H339" s="120" t="n">
        <v>0</v>
      </c>
      <c r="I339" s="95" t="n">
        <v>0.8</v>
      </c>
      <c r="J339" s="95" t="n">
        <v>60.8</v>
      </c>
      <c r="K339" s="95" t="n">
        <v>1.01</v>
      </c>
      <c r="L339" s="85" t="n">
        <v>0</v>
      </c>
    </row>
    <row r="340">
      <c r="A340" s="84" t="inlineStr">
        <is>
          <t>Fonction publique d'État</t>
        </is>
      </c>
      <c r="B340" s="7" t="inlineStr">
        <is>
          <t>sédentaire</t>
        </is>
      </c>
      <c r="C340" s="88" t="n">
        <v>1919</v>
      </c>
      <c r="D340" s="95" t="n">
        <v>60</v>
      </c>
      <c r="E340" s="95" t="n">
        <v>65</v>
      </c>
      <c r="F340" s="85" t="n">
        <v>150</v>
      </c>
      <c r="G340" s="120" t="n">
        <v>0</v>
      </c>
      <c r="H340" s="120" t="n">
        <v>0</v>
      </c>
      <c r="I340" s="95" t="n">
        <v>0.8</v>
      </c>
      <c r="J340" s="95" t="n">
        <v>60.8</v>
      </c>
      <c r="K340" s="95" t="n">
        <v>1.01</v>
      </c>
      <c r="L340" s="85" t="n">
        <v>0</v>
      </c>
    </row>
    <row r="341">
      <c r="A341" s="84" t="inlineStr">
        <is>
          <t>Fonction publique d'État</t>
        </is>
      </c>
      <c r="B341" s="7" t="inlineStr">
        <is>
          <t>sédentaire</t>
        </is>
      </c>
      <c r="C341" s="88" t="n">
        <v>1920</v>
      </c>
      <c r="D341" s="95" t="n">
        <v>60</v>
      </c>
      <c r="E341" s="95" t="n">
        <v>65</v>
      </c>
      <c r="F341" s="85" t="n">
        <v>150</v>
      </c>
      <c r="G341" s="120" t="n">
        <v>0</v>
      </c>
      <c r="H341" s="120" t="n">
        <v>0</v>
      </c>
      <c r="I341" s="95" t="n">
        <v>0.8</v>
      </c>
      <c r="J341" s="95" t="n">
        <v>60.8</v>
      </c>
      <c r="K341" s="95" t="n">
        <v>1.01</v>
      </c>
      <c r="L341" s="85" t="n">
        <v>0</v>
      </c>
    </row>
    <row r="342">
      <c r="A342" s="84" t="inlineStr">
        <is>
          <t>Fonction publique d'État</t>
        </is>
      </c>
      <c r="B342" s="7" t="inlineStr">
        <is>
          <t>sédentaire</t>
        </is>
      </c>
      <c r="C342" s="88" t="n">
        <v>1921</v>
      </c>
      <c r="D342" s="95" t="n">
        <v>60</v>
      </c>
      <c r="E342" s="95" t="n">
        <v>65</v>
      </c>
      <c r="F342" s="85" t="n">
        <v>150</v>
      </c>
      <c r="G342" s="120" t="n">
        <v>0</v>
      </c>
      <c r="H342" s="120" t="n">
        <v>0</v>
      </c>
      <c r="I342" s="95" t="n">
        <v>0.8</v>
      </c>
      <c r="J342" s="95" t="n">
        <v>60.8</v>
      </c>
      <c r="K342" s="95" t="n">
        <v>1.01</v>
      </c>
      <c r="L342" s="85" t="n">
        <v>0</v>
      </c>
    </row>
    <row r="343">
      <c r="A343" s="84" t="inlineStr">
        <is>
          <t>Fonction publique d'État</t>
        </is>
      </c>
      <c r="B343" s="7" t="inlineStr">
        <is>
          <t>sédentaire</t>
        </is>
      </c>
      <c r="C343" s="88" t="n">
        <v>1922</v>
      </c>
      <c r="D343" s="95" t="n">
        <v>60</v>
      </c>
      <c r="E343" s="95" t="n">
        <v>65</v>
      </c>
      <c r="F343" s="85" t="n">
        <v>150</v>
      </c>
      <c r="G343" s="120" t="n">
        <v>0</v>
      </c>
      <c r="H343" s="120" t="n">
        <v>0</v>
      </c>
      <c r="I343" s="95" t="n">
        <v>0.8</v>
      </c>
      <c r="J343" s="95" t="n">
        <v>60.8</v>
      </c>
      <c r="K343" s="95" t="n">
        <v>1.01</v>
      </c>
      <c r="L343" s="85" t="n">
        <v>0</v>
      </c>
    </row>
    <row r="344">
      <c r="A344" s="84" t="inlineStr">
        <is>
          <t>Fonction publique d'État</t>
        </is>
      </c>
      <c r="B344" s="7" t="inlineStr">
        <is>
          <t>sédentaire</t>
        </is>
      </c>
      <c r="C344" s="88" t="n">
        <v>1923</v>
      </c>
      <c r="D344" s="95" t="n">
        <v>60</v>
      </c>
      <c r="E344" s="95" t="n">
        <v>65</v>
      </c>
      <c r="F344" s="85" t="n">
        <v>150</v>
      </c>
      <c r="G344" s="120" t="n">
        <v>0</v>
      </c>
      <c r="H344" s="120" t="n">
        <v>0</v>
      </c>
      <c r="I344" s="95" t="n">
        <v>0.8</v>
      </c>
      <c r="J344" s="95" t="n">
        <v>60.8</v>
      </c>
      <c r="K344" s="95" t="n">
        <v>1.01</v>
      </c>
      <c r="L344" s="85" t="n">
        <v>0</v>
      </c>
    </row>
    <row r="345">
      <c r="A345" s="84" t="inlineStr">
        <is>
          <t>Fonction publique d'État</t>
        </is>
      </c>
      <c r="B345" s="7" t="inlineStr">
        <is>
          <t>sédentaire</t>
        </is>
      </c>
      <c r="C345" s="88" t="n">
        <v>1924</v>
      </c>
      <c r="D345" s="95" t="n">
        <v>60</v>
      </c>
      <c r="E345" s="95" t="n">
        <v>65</v>
      </c>
      <c r="F345" s="85" t="n">
        <v>150</v>
      </c>
      <c r="G345" s="120" t="n">
        <v>0</v>
      </c>
      <c r="H345" s="120" t="n">
        <v>0</v>
      </c>
      <c r="I345" s="95" t="n">
        <v>0.8</v>
      </c>
      <c r="J345" s="95" t="n">
        <v>60.8</v>
      </c>
      <c r="K345" s="95" t="n">
        <v>1.01</v>
      </c>
      <c r="L345" s="85" t="n">
        <v>0</v>
      </c>
    </row>
    <row r="346">
      <c r="A346" s="84" t="inlineStr">
        <is>
          <t>Fonction publique d'État</t>
        </is>
      </c>
      <c r="B346" s="7" t="inlineStr">
        <is>
          <t>sédentaire</t>
        </is>
      </c>
      <c r="C346" s="88" t="n">
        <v>1925</v>
      </c>
      <c r="D346" s="95" t="n">
        <v>60</v>
      </c>
      <c r="E346" s="95" t="n">
        <v>65</v>
      </c>
      <c r="F346" s="85" t="n">
        <v>150</v>
      </c>
      <c r="G346" s="120" t="n">
        <v>0</v>
      </c>
      <c r="H346" s="120" t="n">
        <v>0</v>
      </c>
      <c r="I346" s="95" t="n">
        <v>0.8</v>
      </c>
      <c r="J346" s="95" t="n">
        <v>60.8</v>
      </c>
      <c r="K346" s="95" t="n">
        <v>1.01</v>
      </c>
      <c r="L346" s="85" t="n">
        <v>0</v>
      </c>
    </row>
    <row r="347">
      <c r="A347" s="84" t="inlineStr">
        <is>
          <t>Fonction publique d'État</t>
        </is>
      </c>
      <c r="B347" s="7" t="inlineStr">
        <is>
          <t>sédentaire</t>
        </is>
      </c>
      <c r="C347" s="88" t="n">
        <v>1926</v>
      </c>
      <c r="D347" s="95" t="n">
        <v>60</v>
      </c>
      <c r="E347" s="95" t="n">
        <v>65</v>
      </c>
      <c r="F347" s="85" t="n">
        <v>150</v>
      </c>
      <c r="G347" s="120" t="n">
        <v>0</v>
      </c>
      <c r="H347" s="120" t="n">
        <v>0</v>
      </c>
      <c r="I347" s="95" t="n">
        <v>0.8</v>
      </c>
      <c r="J347" s="95" t="n">
        <v>60.8</v>
      </c>
      <c r="K347" s="95" t="n">
        <v>1.01</v>
      </c>
      <c r="L347" s="85" t="n">
        <v>0</v>
      </c>
    </row>
    <row r="348">
      <c r="A348" s="84" t="inlineStr">
        <is>
          <t>Fonction publique d'État</t>
        </is>
      </c>
      <c r="B348" s="7" t="inlineStr">
        <is>
          <t>sédentaire</t>
        </is>
      </c>
      <c r="C348" s="88" t="n">
        <v>1927</v>
      </c>
      <c r="D348" s="95" t="n">
        <v>60</v>
      </c>
      <c r="E348" s="95" t="n">
        <v>65</v>
      </c>
      <c r="F348" s="85" t="n">
        <v>150</v>
      </c>
      <c r="G348" s="120" t="n">
        <v>0</v>
      </c>
      <c r="H348" s="120" t="n">
        <v>0</v>
      </c>
      <c r="I348" s="95" t="n">
        <v>0.8</v>
      </c>
      <c r="J348" s="95" t="n">
        <v>60.8</v>
      </c>
      <c r="K348" s="95" t="n">
        <v>1.01</v>
      </c>
      <c r="L348" s="85" t="n">
        <v>0</v>
      </c>
    </row>
    <row r="349">
      <c r="A349" s="84" t="inlineStr">
        <is>
          <t>Fonction publique d'État</t>
        </is>
      </c>
      <c r="B349" s="7" t="inlineStr">
        <is>
          <t>sédentaire</t>
        </is>
      </c>
      <c r="C349" s="88" t="n">
        <v>1928</v>
      </c>
      <c r="D349" s="95" t="n">
        <v>60</v>
      </c>
      <c r="E349" s="95" t="n">
        <v>65</v>
      </c>
      <c r="F349" s="85" t="n">
        <v>150</v>
      </c>
      <c r="G349" s="120" t="n">
        <v>0</v>
      </c>
      <c r="H349" s="120" t="n">
        <v>0</v>
      </c>
      <c r="I349" s="95" t="n">
        <v>0.8</v>
      </c>
      <c r="J349" s="95" t="n">
        <v>60.8</v>
      </c>
      <c r="K349" s="95" t="n">
        <v>1.01</v>
      </c>
      <c r="L349" s="85" t="n">
        <v>0</v>
      </c>
    </row>
    <row r="350">
      <c r="A350" s="84" t="inlineStr">
        <is>
          <t>Fonction publique d'État</t>
        </is>
      </c>
      <c r="B350" s="7" t="inlineStr">
        <is>
          <t>sédentaire</t>
        </is>
      </c>
      <c r="C350" s="88" t="n">
        <v>1929</v>
      </c>
      <c r="D350" s="95" t="n">
        <v>60</v>
      </c>
      <c r="E350" s="95" t="n">
        <v>65</v>
      </c>
      <c r="F350" s="85" t="n">
        <v>150</v>
      </c>
      <c r="G350" s="120" t="n">
        <v>0</v>
      </c>
      <c r="H350" s="120" t="n">
        <v>0</v>
      </c>
      <c r="I350" s="95" t="n">
        <v>0.8</v>
      </c>
      <c r="J350" s="95" t="n">
        <v>60.8</v>
      </c>
      <c r="K350" s="95" t="n">
        <v>1.01</v>
      </c>
      <c r="L350" s="85" t="n">
        <v>0</v>
      </c>
    </row>
    <row r="351">
      <c r="A351" s="84" t="inlineStr">
        <is>
          <t>Fonction publique d'État</t>
        </is>
      </c>
      <c r="B351" s="7" t="inlineStr">
        <is>
          <t>sédentaire</t>
        </is>
      </c>
      <c r="C351" s="88" t="n">
        <v>1930</v>
      </c>
      <c r="D351" s="95" t="n">
        <v>60</v>
      </c>
      <c r="E351" s="95" t="n">
        <v>65</v>
      </c>
      <c r="F351" s="85" t="n">
        <v>150</v>
      </c>
      <c r="G351" s="120" t="n">
        <v>0</v>
      </c>
      <c r="H351" s="120" t="n">
        <v>0</v>
      </c>
      <c r="I351" s="95" t="n">
        <v>0.8</v>
      </c>
      <c r="J351" s="95" t="n">
        <v>60.8</v>
      </c>
      <c r="K351" s="95" t="n">
        <v>1.01</v>
      </c>
      <c r="L351" s="85" t="n">
        <v>0</v>
      </c>
    </row>
    <row r="352">
      <c r="A352" s="84" t="inlineStr">
        <is>
          <t>Fonction publique d'État</t>
        </is>
      </c>
      <c r="B352" s="7" t="inlineStr">
        <is>
          <t>sédentaire</t>
        </is>
      </c>
      <c r="C352" s="88" t="n">
        <v>1931</v>
      </c>
      <c r="D352" s="95" t="n">
        <v>60</v>
      </c>
      <c r="E352" s="95" t="n">
        <v>65</v>
      </c>
      <c r="F352" s="85" t="n">
        <v>150</v>
      </c>
      <c r="G352" s="120" t="n">
        <v>0</v>
      </c>
      <c r="H352" s="120" t="n">
        <v>0</v>
      </c>
      <c r="I352" s="95" t="n">
        <v>0.8</v>
      </c>
      <c r="J352" s="95" t="n">
        <v>60.8</v>
      </c>
      <c r="K352" s="95" t="n">
        <v>1.01</v>
      </c>
      <c r="L352" s="85" t="n">
        <v>0</v>
      </c>
    </row>
    <row r="353">
      <c r="A353" s="84" t="inlineStr">
        <is>
          <t>Fonction publique d'État</t>
        </is>
      </c>
      <c r="B353" s="7" t="inlineStr">
        <is>
          <t>sédentaire</t>
        </is>
      </c>
      <c r="C353" s="88" t="n">
        <v>1932</v>
      </c>
      <c r="D353" s="95" t="n">
        <v>60</v>
      </c>
      <c r="E353" s="95" t="n">
        <v>65</v>
      </c>
      <c r="F353" s="85" t="n">
        <v>150</v>
      </c>
      <c r="G353" s="120" t="n">
        <v>0</v>
      </c>
      <c r="H353" s="120" t="n">
        <v>0</v>
      </c>
      <c r="I353" s="95" t="n">
        <v>0.8</v>
      </c>
      <c r="J353" s="95" t="n">
        <v>60.8</v>
      </c>
      <c r="K353" s="95" t="n">
        <v>1.01</v>
      </c>
      <c r="L353" s="85" t="n">
        <v>0</v>
      </c>
    </row>
    <row r="354">
      <c r="A354" s="84" t="inlineStr">
        <is>
          <t>Fonction publique d'État</t>
        </is>
      </c>
      <c r="B354" s="7" t="inlineStr">
        <is>
          <t>sédentaire</t>
        </is>
      </c>
      <c r="C354" s="88" t="n">
        <v>1933</v>
      </c>
      <c r="D354" s="95" t="n">
        <v>60</v>
      </c>
      <c r="E354" s="95" t="n">
        <v>65</v>
      </c>
      <c r="F354" s="85" t="n">
        <v>150</v>
      </c>
      <c r="G354" s="120" t="n">
        <v>0</v>
      </c>
      <c r="H354" s="120" t="n">
        <v>0</v>
      </c>
      <c r="I354" s="95" t="n">
        <v>0.8</v>
      </c>
      <c r="J354" s="95" t="n">
        <v>60.8</v>
      </c>
      <c r="K354" s="95" t="n">
        <v>1.01</v>
      </c>
      <c r="L354" s="85" t="n">
        <v>0</v>
      </c>
    </row>
    <row r="355">
      <c r="A355" s="84" t="inlineStr">
        <is>
          <t>Fonction publique d'État</t>
        </is>
      </c>
      <c r="B355" s="7" t="inlineStr">
        <is>
          <t>sédentaire</t>
        </is>
      </c>
      <c r="C355" s="88" t="n">
        <v>1934</v>
      </c>
      <c r="D355" s="95" t="n">
        <v>60</v>
      </c>
      <c r="E355" s="95" t="n">
        <v>65</v>
      </c>
      <c r="F355" s="85" t="n">
        <v>150</v>
      </c>
      <c r="G355" s="120" t="n">
        <v>0</v>
      </c>
      <c r="H355" s="120" t="n">
        <v>0</v>
      </c>
      <c r="I355" s="95" t="n">
        <v>0.8</v>
      </c>
      <c r="J355" s="95" t="n">
        <v>60.8</v>
      </c>
      <c r="K355" s="95" t="n">
        <v>1.01</v>
      </c>
      <c r="L355" s="85" t="n">
        <v>0</v>
      </c>
    </row>
    <row r="356">
      <c r="A356" s="84" t="inlineStr">
        <is>
          <t>Fonction publique d'État</t>
        </is>
      </c>
      <c r="B356" s="7" t="inlineStr">
        <is>
          <t>sédentaire</t>
        </is>
      </c>
      <c r="C356" s="88" t="n">
        <v>1935</v>
      </c>
      <c r="D356" s="95" t="n">
        <v>60</v>
      </c>
      <c r="E356" s="95" t="n">
        <v>65</v>
      </c>
      <c r="F356" s="85" t="n">
        <v>150</v>
      </c>
      <c r="G356" s="120" t="n">
        <v>0</v>
      </c>
      <c r="H356" s="120" t="n">
        <v>0</v>
      </c>
      <c r="I356" s="95" t="n">
        <v>0.8</v>
      </c>
      <c r="J356" s="95" t="n">
        <v>60.8</v>
      </c>
      <c r="K356" s="95" t="n">
        <v>1.01</v>
      </c>
      <c r="L356" s="85" t="n">
        <v>0</v>
      </c>
    </row>
    <row r="357">
      <c r="A357" s="84" t="inlineStr">
        <is>
          <t>Fonction publique d'État</t>
        </is>
      </c>
      <c r="B357" s="7" t="inlineStr">
        <is>
          <t>sédentaire</t>
        </is>
      </c>
      <c r="C357" s="88" t="n">
        <v>1936</v>
      </c>
      <c r="D357" s="95" t="n">
        <v>60</v>
      </c>
      <c r="E357" s="95" t="n">
        <v>65</v>
      </c>
      <c r="F357" s="85" t="n">
        <v>150</v>
      </c>
      <c r="G357" s="120" t="n">
        <v>0</v>
      </c>
      <c r="H357" s="120" t="n">
        <v>0</v>
      </c>
      <c r="I357" s="95" t="n">
        <v>0.8</v>
      </c>
      <c r="J357" s="95" t="n">
        <v>60.8</v>
      </c>
      <c r="K357" s="95" t="n">
        <v>1.01</v>
      </c>
      <c r="L357" s="85" t="n">
        <v>0</v>
      </c>
    </row>
    <row r="358">
      <c r="A358" s="84" t="inlineStr">
        <is>
          <t>Fonction publique d'État</t>
        </is>
      </c>
      <c r="B358" s="7" t="inlineStr">
        <is>
          <t>sédentaire</t>
        </is>
      </c>
      <c r="C358" s="88" t="n">
        <v>1937</v>
      </c>
      <c r="D358" s="95" t="n">
        <v>60</v>
      </c>
      <c r="E358" s="95" t="n">
        <v>65</v>
      </c>
      <c r="F358" s="85" t="n">
        <v>150</v>
      </c>
      <c r="G358" s="120" t="n">
        <v>0</v>
      </c>
      <c r="H358" s="120" t="n">
        <v>0</v>
      </c>
      <c r="I358" s="95" t="n">
        <v>0.8</v>
      </c>
      <c r="J358" s="95" t="n">
        <v>60.8</v>
      </c>
      <c r="K358" s="95" t="n">
        <v>1.01</v>
      </c>
      <c r="L358" s="85" t="n">
        <v>0</v>
      </c>
    </row>
    <row r="359">
      <c r="A359" s="84" t="inlineStr">
        <is>
          <t>Fonction publique d'État</t>
        </is>
      </c>
      <c r="B359" s="7" t="inlineStr">
        <is>
          <t>sédentaire</t>
        </is>
      </c>
      <c r="C359" s="88" t="n">
        <v>1938</v>
      </c>
      <c r="D359" s="95" t="n">
        <v>60</v>
      </c>
      <c r="E359" s="95" t="n">
        <v>65</v>
      </c>
      <c r="F359" s="85" t="n">
        <v>150</v>
      </c>
      <c r="G359" s="120" t="n">
        <v>0</v>
      </c>
      <c r="H359" s="120" t="n">
        <v>0</v>
      </c>
      <c r="I359" s="95" t="n">
        <v>0.8</v>
      </c>
      <c r="J359" s="95" t="n">
        <v>60.8</v>
      </c>
      <c r="K359" s="95" t="n">
        <v>1.01</v>
      </c>
      <c r="L359" s="85" t="n">
        <v>0</v>
      </c>
    </row>
    <row r="360">
      <c r="A360" s="84" t="inlineStr">
        <is>
          <t>Fonction publique d'État</t>
        </is>
      </c>
      <c r="B360" s="7" t="inlineStr">
        <is>
          <t>sédentaire</t>
        </is>
      </c>
      <c r="C360" s="88" t="n">
        <v>1939</v>
      </c>
      <c r="D360" s="95" t="n">
        <v>60</v>
      </c>
      <c r="E360" s="95" t="n">
        <v>65</v>
      </c>
      <c r="F360" s="85" t="n">
        <v>150</v>
      </c>
      <c r="G360" s="120" t="n">
        <v>0</v>
      </c>
      <c r="H360" s="120" t="n">
        <v>0</v>
      </c>
      <c r="I360" s="95" t="n">
        <v>0.8</v>
      </c>
      <c r="J360" s="95" t="n">
        <v>60.8</v>
      </c>
      <c r="K360" s="95" t="n">
        <v>1.01</v>
      </c>
      <c r="L360" s="85" t="n">
        <v>0</v>
      </c>
    </row>
    <row r="361">
      <c r="A361" s="84" t="inlineStr">
        <is>
          <t>Fonction publique d'État</t>
        </is>
      </c>
      <c r="B361" s="7" t="inlineStr">
        <is>
          <t>sédentaire</t>
        </is>
      </c>
      <c r="C361" s="88" t="n">
        <v>1940</v>
      </c>
      <c r="D361" s="95" t="n">
        <v>60</v>
      </c>
      <c r="E361" s="95" t="n">
        <v>65</v>
      </c>
      <c r="F361" s="85" t="n">
        <v>150</v>
      </c>
      <c r="G361" s="120" t="n">
        <v>0</v>
      </c>
      <c r="H361" s="120" t="n">
        <v>0</v>
      </c>
      <c r="I361" s="95" t="n">
        <v>0.8</v>
      </c>
      <c r="J361" s="95" t="n">
        <v>60.8</v>
      </c>
      <c r="K361" s="95" t="n">
        <v>1.01</v>
      </c>
      <c r="L361" s="85" t="n">
        <v>0</v>
      </c>
    </row>
    <row r="362">
      <c r="A362" s="84" t="inlineStr">
        <is>
          <t>Fonction publique d'État</t>
        </is>
      </c>
      <c r="B362" s="7" t="inlineStr">
        <is>
          <t>sédentaire</t>
        </is>
      </c>
      <c r="C362" s="88" t="n">
        <v>1941</v>
      </c>
      <c r="D362" s="95" t="n">
        <v>60</v>
      </c>
      <c r="E362" s="95" t="n">
        <v>65</v>
      </c>
      <c r="F362" s="85" t="n">
        <v>150</v>
      </c>
      <c r="G362" s="120" t="n">
        <v>0</v>
      </c>
      <c r="H362" s="120" t="n">
        <v>0</v>
      </c>
      <c r="I362" s="95" t="n">
        <v>0.8</v>
      </c>
      <c r="J362" s="95" t="n">
        <v>60.8</v>
      </c>
      <c r="K362" s="95" t="n">
        <v>1.01</v>
      </c>
      <c r="L362" s="85" t="n">
        <v>0</v>
      </c>
    </row>
    <row r="363">
      <c r="A363" s="84" t="inlineStr">
        <is>
          <t>Fonction publique d'État</t>
        </is>
      </c>
      <c r="B363" s="7" t="inlineStr">
        <is>
          <t>sédentaire</t>
        </is>
      </c>
      <c r="C363" s="88" t="n">
        <v>1942</v>
      </c>
      <c r="D363" s="95" t="n">
        <v>60</v>
      </c>
      <c r="E363" s="95" t="n">
        <v>65</v>
      </c>
      <c r="F363" s="85" t="n">
        <v>150</v>
      </c>
      <c r="G363" s="120" t="n">
        <v>0</v>
      </c>
      <c r="H363" s="120" t="n">
        <v>0</v>
      </c>
      <c r="I363" s="95" t="n">
        <v>0.8</v>
      </c>
      <c r="J363" s="95" t="n">
        <v>60.8</v>
      </c>
      <c r="K363" s="95" t="n">
        <v>1.01</v>
      </c>
      <c r="L363" s="85" t="n">
        <v>0</v>
      </c>
    </row>
    <row r="364">
      <c r="A364" s="84" t="inlineStr">
        <is>
          <t>Fonction publique d'État</t>
        </is>
      </c>
      <c r="B364" s="7" t="inlineStr">
        <is>
          <t>sédentaire</t>
        </is>
      </c>
      <c r="C364" s="88" t="n">
        <v>1943</v>
      </c>
      <c r="D364" s="95" t="n">
        <v>60</v>
      </c>
      <c r="E364" s="95" t="n">
        <v>65</v>
      </c>
      <c r="F364" s="85" t="n">
        <v>150</v>
      </c>
      <c r="G364" s="120" t="n">
        <v>0</v>
      </c>
      <c r="H364" s="120" t="n">
        <v>0</v>
      </c>
      <c r="I364" s="95" t="n">
        <v>0.8</v>
      </c>
      <c r="J364" s="95" t="n">
        <v>60.8</v>
      </c>
      <c r="K364" s="95" t="n">
        <v>1.01</v>
      </c>
      <c r="L364" s="85" t="n">
        <v>0</v>
      </c>
    </row>
    <row r="365">
      <c r="A365" s="84" t="inlineStr">
        <is>
          <t>Fonction publique d'État</t>
        </is>
      </c>
      <c r="B365" s="7" t="inlineStr">
        <is>
          <t>sédentaire</t>
        </is>
      </c>
      <c r="C365" s="88" t="n">
        <v>1944</v>
      </c>
      <c r="D365" s="95" t="n">
        <v>60</v>
      </c>
      <c r="E365" s="95" t="n">
        <v>65</v>
      </c>
      <c r="F365" s="85" t="n">
        <v>152</v>
      </c>
      <c r="G365" s="120" t="n">
        <v>0</v>
      </c>
      <c r="H365" s="120" t="n">
        <v>0.0075</v>
      </c>
      <c r="I365" s="95" t="n">
        <v>0.8</v>
      </c>
      <c r="J365" s="95" t="n">
        <v>60.8</v>
      </c>
      <c r="K365" s="95" t="n">
        <v>1.01</v>
      </c>
      <c r="L365" s="85" t="n">
        <v>0</v>
      </c>
    </row>
    <row r="366">
      <c r="A366" s="84" t="inlineStr">
        <is>
          <t>Fonction publique d'État</t>
        </is>
      </c>
      <c r="B366" s="7" t="inlineStr">
        <is>
          <t>sédentaire</t>
        </is>
      </c>
      <c r="C366" s="88" t="n">
        <v>1945</v>
      </c>
      <c r="D366" s="95" t="n">
        <v>60</v>
      </c>
      <c r="E366" s="95" t="n">
        <v>65</v>
      </c>
      <c r="F366" s="85" t="n">
        <v>154</v>
      </c>
      <c r="G366" s="120" t="n">
        <v>0</v>
      </c>
      <c r="H366" s="120" t="n">
        <v>0.0075</v>
      </c>
      <c r="I366" s="95" t="n">
        <v>0.8</v>
      </c>
      <c r="J366" s="95" t="n">
        <v>60.8</v>
      </c>
      <c r="K366" s="95" t="n">
        <v>1.01</v>
      </c>
      <c r="L366" s="85" t="n">
        <v>0</v>
      </c>
    </row>
    <row r="367">
      <c r="A367" s="84" t="inlineStr">
        <is>
          <t>Fonction publique d'État</t>
        </is>
      </c>
      <c r="B367" s="7" t="inlineStr">
        <is>
          <t>sédentaire</t>
        </is>
      </c>
      <c r="C367" s="88" t="n">
        <v>1946</v>
      </c>
      <c r="D367" s="95" t="n">
        <v>60</v>
      </c>
      <c r="E367" s="95" t="n">
        <v>61</v>
      </c>
      <c r="F367" s="85" t="n">
        <v>156</v>
      </c>
      <c r="G367" s="120" t="n">
        <v>0.00125</v>
      </c>
      <c r="H367" s="120" t="n">
        <v>0.0075</v>
      </c>
      <c r="I367" s="95" t="n">
        <v>0.91</v>
      </c>
      <c r="J367" s="95" t="n">
        <v>60.91</v>
      </c>
      <c r="K367" s="95" t="n">
        <v>1.01</v>
      </c>
      <c r="L367" s="85" t="n">
        <v>0</v>
      </c>
    </row>
    <row r="368">
      <c r="A368" s="84" t="inlineStr">
        <is>
          <t>Fonction publique d'État</t>
        </is>
      </c>
      <c r="B368" s="7" t="inlineStr">
        <is>
          <t>sédentaire</t>
        </is>
      </c>
      <c r="C368" s="88" t="n">
        <v>1947</v>
      </c>
      <c r="D368" s="95" t="n">
        <v>60</v>
      </c>
      <c r="E368" s="95" t="n">
        <v>61.5</v>
      </c>
      <c r="F368" s="85" t="n">
        <v>158</v>
      </c>
      <c r="G368" s="120" t="n">
        <v>0.0025</v>
      </c>
      <c r="H368" s="120" t="n">
        <v>0.0075</v>
      </c>
      <c r="I368" s="95" t="n">
        <v>1.01</v>
      </c>
      <c r="J368" s="95" t="n">
        <v>61.01</v>
      </c>
      <c r="K368" s="95" t="n">
        <v>1.01</v>
      </c>
      <c r="L368" s="85" t="n">
        <v>0</v>
      </c>
    </row>
    <row r="369">
      <c r="A369" s="84" t="inlineStr">
        <is>
          <t>Fonction publique d'État</t>
        </is>
      </c>
      <c r="B369" s="7" t="inlineStr">
        <is>
          <t>sédentaire</t>
        </is>
      </c>
      <c r="C369" s="88" t="n">
        <v>1948</v>
      </c>
      <c r="D369" s="95" t="n">
        <v>60</v>
      </c>
      <c r="E369" s="95" t="n">
        <v>62</v>
      </c>
      <c r="F369" s="85" t="n">
        <v>160</v>
      </c>
      <c r="G369" s="120" t="n">
        <v>0.00375</v>
      </c>
      <c r="H369" s="120" t="n">
        <v>0.0075</v>
      </c>
      <c r="I369" s="95" t="n">
        <v>1.12</v>
      </c>
      <c r="J369" s="95" t="n">
        <v>61.12</v>
      </c>
      <c r="K369" s="95" t="n">
        <v>1.01</v>
      </c>
      <c r="L369" s="85" t="n">
        <v>0</v>
      </c>
    </row>
    <row r="370">
      <c r="A370" s="84" t="inlineStr">
        <is>
          <t>Fonction publique d'État</t>
        </is>
      </c>
      <c r="B370" s="7" t="inlineStr">
        <is>
          <t>sédentaire</t>
        </is>
      </c>
      <c r="C370" s="88" t="n">
        <v>1949</v>
      </c>
      <c r="D370" s="95" t="n">
        <v>60</v>
      </c>
      <c r="E370" s="95" t="n">
        <v>62.25</v>
      </c>
      <c r="F370" s="85" t="n">
        <v>161</v>
      </c>
      <c r="G370" s="120" t="n">
        <v>0.005</v>
      </c>
      <c r="H370" s="120" t="n">
        <v>0.0125</v>
      </c>
      <c r="I370" s="95" t="n">
        <v>1.23</v>
      </c>
      <c r="J370" s="95" t="n">
        <v>61.23</v>
      </c>
      <c r="K370" s="95" t="n">
        <v>1.01</v>
      </c>
      <c r="L370" s="85" t="n">
        <v>0</v>
      </c>
    </row>
    <row r="371">
      <c r="A371" s="84" t="inlineStr">
        <is>
          <t>Fonction publique d'État</t>
        </is>
      </c>
      <c r="B371" s="7" t="inlineStr">
        <is>
          <t>sédentaire</t>
        </is>
      </c>
      <c r="C371" s="88" t="n">
        <v>1950</v>
      </c>
      <c r="D371" s="95" t="n">
        <v>60</v>
      </c>
      <c r="E371" s="95" t="n">
        <v>62.5</v>
      </c>
      <c r="F371" s="85" t="n">
        <v>162</v>
      </c>
      <c r="G371" s="120" t="n">
        <v>0.00625</v>
      </c>
      <c r="H371" s="120" t="n">
        <v>0.0125</v>
      </c>
      <c r="I371" s="95" t="n">
        <v>1.33</v>
      </c>
      <c r="J371" s="95" t="n">
        <v>61.33</v>
      </c>
      <c r="K371" s="95" t="n">
        <v>1.01</v>
      </c>
      <c r="L371" s="85" t="n">
        <v>0</v>
      </c>
    </row>
    <row r="372">
      <c r="A372" s="84" t="inlineStr">
        <is>
          <t>Fonction publique d'État</t>
        </is>
      </c>
      <c r="B372" s="7" t="inlineStr">
        <is>
          <t>sédentaire</t>
        </is>
      </c>
      <c r="C372" s="88" t="n">
        <v>1951</v>
      </c>
      <c r="D372" s="95" t="n">
        <v>60.1667</v>
      </c>
      <c r="E372" s="95" t="n">
        <v>62.9167</v>
      </c>
      <c r="F372" s="85" t="n">
        <v>163</v>
      </c>
      <c r="G372" s="120" t="n">
        <v>0.0075</v>
      </c>
      <c r="H372" s="120" t="n">
        <v>0.0125</v>
      </c>
      <c r="I372" s="95" t="n">
        <v>1.44</v>
      </c>
      <c r="J372" s="95" t="n">
        <v>61.61</v>
      </c>
      <c r="K372" s="95" t="n">
        <v>1.01</v>
      </c>
      <c r="L372" s="85" t="n">
        <v>0</v>
      </c>
    </row>
    <row r="373">
      <c r="A373" s="84" t="inlineStr">
        <is>
          <t>Fonction publique d'État</t>
        </is>
      </c>
      <c r="B373" s="7" t="inlineStr">
        <is>
          <t>sédentaire</t>
        </is>
      </c>
      <c r="C373" s="88" t="n">
        <v>1952</v>
      </c>
      <c r="D373" s="95" t="n">
        <v>60.75</v>
      </c>
      <c r="E373" s="95" t="n">
        <v>63.8333</v>
      </c>
      <c r="F373" s="85" t="n">
        <v>164</v>
      </c>
      <c r="G373" s="120" t="n">
        <v>0.008750000000000001</v>
      </c>
      <c r="H373" s="120" t="n">
        <v>0.0125</v>
      </c>
      <c r="I373" s="95" t="n">
        <v>1.55</v>
      </c>
      <c r="J373" s="95" t="n">
        <v>62.3</v>
      </c>
      <c r="K373" s="95" t="n">
        <v>1.01</v>
      </c>
      <c r="L373" s="85" t="n">
        <v>0</v>
      </c>
    </row>
    <row r="374">
      <c r="A374" s="84" t="inlineStr">
        <is>
          <t>Fonction publique d'État</t>
        </is>
      </c>
      <c r="B374" s="7" t="inlineStr">
        <is>
          <t>sédentaire</t>
        </is>
      </c>
      <c r="C374" s="88" t="n">
        <v>1953</v>
      </c>
      <c r="D374" s="95" t="n">
        <v>61.1667</v>
      </c>
      <c r="E374" s="95" t="n">
        <v>64.66670000000001</v>
      </c>
      <c r="F374" s="85" t="n">
        <v>165</v>
      </c>
      <c r="G374" s="120" t="n">
        <v>0.01125</v>
      </c>
      <c r="H374" s="120" t="n">
        <v>0.0125</v>
      </c>
      <c r="I374" s="95" t="n">
        <v>1.65</v>
      </c>
      <c r="J374" s="95" t="n">
        <v>62.82</v>
      </c>
      <c r="K374" s="95" t="n">
        <v>1.01</v>
      </c>
      <c r="L374" s="85" t="n">
        <v>0</v>
      </c>
    </row>
    <row r="375">
      <c r="A375" s="84" t="inlineStr">
        <is>
          <t>Fonction publique d'État</t>
        </is>
      </c>
      <c r="B375" s="7" t="inlineStr">
        <is>
          <t>sédentaire</t>
        </is>
      </c>
      <c r="C375" s="88" t="n">
        <v>1954</v>
      </c>
      <c r="D375" s="95" t="n">
        <v>61.5833</v>
      </c>
      <c r="E375" s="95" t="n">
        <v>65.41670000000001</v>
      </c>
      <c r="F375" s="85" t="n">
        <v>165</v>
      </c>
      <c r="G375" s="120" t="n">
        <v>0.0125</v>
      </c>
      <c r="H375" s="120" t="n">
        <v>0.0125</v>
      </c>
      <c r="I375" s="95" t="n">
        <v>1.76</v>
      </c>
      <c r="J375" s="95" t="n">
        <v>63.34</v>
      </c>
      <c r="K375" s="95" t="n">
        <v>1.01</v>
      </c>
      <c r="L375" s="85" t="n">
        <v>0</v>
      </c>
    </row>
    <row r="376">
      <c r="A376" s="84" t="inlineStr">
        <is>
          <t>Fonction publique d'État</t>
        </is>
      </c>
      <c r="B376" s="7" t="inlineStr">
        <is>
          <t>sédentaire</t>
        </is>
      </c>
      <c r="C376" s="88" t="n">
        <v>1955</v>
      </c>
      <c r="D376" s="95" t="n">
        <v>62</v>
      </c>
      <c r="E376" s="95" t="n">
        <v>66.25</v>
      </c>
      <c r="F376" s="85" t="n">
        <v>166</v>
      </c>
      <c r="G376" s="120" t="n">
        <v>0.0125</v>
      </c>
      <c r="H376" s="120" t="n">
        <v>0.0125</v>
      </c>
      <c r="I376" s="95" t="n">
        <v>1.87</v>
      </c>
      <c r="J376" s="95" t="n">
        <v>63.87</v>
      </c>
      <c r="K376" s="95" t="n">
        <v>1.01</v>
      </c>
      <c r="L376" s="85" t="n">
        <v>0</v>
      </c>
    </row>
    <row r="377">
      <c r="A377" s="84" t="inlineStr">
        <is>
          <t>Fonction publique d'État</t>
        </is>
      </c>
      <c r="B377" s="7" t="inlineStr">
        <is>
          <t>sédentaire</t>
        </is>
      </c>
      <c r="C377" s="88" t="n">
        <v>1956</v>
      </c>
      <c r="D377" s="95" t="n">
        <v>62</v>
      </c>
      <c r="E377" s="95" t="n">
        <v>66.5</v>
      </c>
      <c r="F377" s="85" t="n">
        <v>166</v>
      </c>
      <c r="G377" s="120" t="n">
        <v>0.0125</v>
      </c>
      <c r="H377" s="120" t="n">
        <v>0.0125</v>
      </c>
      <c r="I377" s="95" t="n">
        <v>1.97</v>
      </c>
      <c r="J377" s="95" t="n">
        <v>63.97</v>
      </c>
      <c r="K377" s="95" t="n">
        <v>1.01</v>
      </c>
      <c r="L377" s="85" t="n">
        <v>0</v>
      </c>
    </row>
    <row r="378">
      <c r="A378" s="84" t="inlineStr">
        <is>
          <t>Fonction publique d'État</t>
        </is>
      </c>
      <c r="B378" s="7" t="inlineStr">
        <is>
          <t>sédentaire</t>
        </is>
      </c>
      <c r="C378" s="88" t="n">
        <v>1957</v>
      </c>
      <c r="D378" s="95" t="n">
        <v>62</v>
      </c>
      <c r="E378" s="95" t="n">
        <v>66.75</v>
      </c>
      <c r="F378" s="85" t="n">
        <v>166</v>
      </c>
      <c r="G378" s="120" t="n">
        <v>0.0125</v>
      </c>
      <c r="H378" s="120" t="n">
        <v>0.0125</v>
      </c>
      <c r="I378" s="95" t="n">
        <v>2.08</v>
      </c>
      <c r="J378" s="95" t="n">
        <v>64.08</v>
      </c>
      <c r="K378" s="95" t="n">
        <v>1.01</v>
      </c>
      <c r="L378" s="85" t="n">
        <v>0</v>
      </c>
    </row>
    <row r="379">
      <c r="A379" s="84" t="inlineStr">
        <is>
          <t>Fonction publique d'État</t>
        </is>
      </c>
      <c r="B379" s="7" t="inlineStr">
        <is>
          <t>sédentaire</t>
        </is>
      </c>
      <c r="C379" s="88" t="n">
        <v>1958</v>
      </c>
      <c r="D379" s="95" t="n">
        <v>62</v>
      </c>
      <c r="E379" s="95" t="n">
        <v>67</v>
      </c>
      <c r="F379" s="85" t="n">
        <v>167</v>
      </c>
      <c r="G379" s="120" t="n">
        <v>0.0125</v>
      </c>
      <c r="H379" s="120" t="n">
        <v>0.0125</v>
      </c>
      <c r="I379" s="95" t="n">
        <v>2.19</v>
      </c>
      <c r="J379" s="95" t="n">
        <v>64.19</v>
      </c>
      <c r="K379" s="95" t="n">
        <v>1.01</v>
      </c>
      <c r="L379" s="85" t="n">
        <v>0</v>
      </c>
    </row>
    <row r="380">
      <c r="A380" s="84" t="inlineStr">
        <is>
          <t>Fonction publique d'État</t>
        </is>
      </c>
      <c r="B380" s="7" t="inlineStr">
        <is>
          <t>sédentaire</t>
        </is>
      </c>
      <c r="C380" s="88" t="n">
        <v>1959</v>
      </c>
      <c r="D380" s="95" t="n">
        <v>62</v>
      </c>
      <c r="E380" s="95" t="n">
        <v>67</v>
      </c>
      <c r="F380" s="85" t="n">
        <v>167</v>
      </c>
      <c r="G380" s="120" t="n">
        <v>0.0125</v>
      </c>
      <c r="H380" s="120" t="n">
        <v>0.0125</v>
      </c>
      <c r="I380" s="95" t="n">
        <v>2.29</v>
      </c>
      <c r="J380" s="95" t="n">
        <v>64.29000000000001</v>
      </c>
      <c r="K380" s="95" t="n">
        <v>1.01</v>
      </c>
      <c r="L380" s="85" t="n">
        <v>0</v>
      </c>
    </row>
    <row r="381">
      <c r="A381" s="84" t="inlineStr">
        <is>
          <t>Fonction publique d'État</t>
        </is>
      </c>
      <c r="B381" s="7" t="inlineStr">
        <is>
          <t>sédentaire</t>
        </is>
      </c>
      <c r="C381" s="88" t="n">
        <v>1960</v>
      </c>
      <c r="D381" s="95" t="n">
        <v>62</v>
      </c>
      <c r="E381" s="95" t="n">
        <v>67</v>
      </c>
      <c r="F381" s="85" t="n">
        <v>167</v>
      </c>
      <c r="G381" s="120" t="n">
        <v>0.0125</v>
      </c>
      <c r="H381" s="120" t="n">
        <v>0.0125</v>
      </c>
      <c r="I381" s="95" t="n">
        <v>2.4</v>
      </c>
      <c r="J381" s="95" t="n">
        <v>64.40000000000001</v>
      </c>
      <c r="K381" s="95" t="n">
        <v>1.01</v>
      </c>
      <c r="L381" s="85" t="n">
        <v>0</v>
      </c>
    </row>
    <row r="382">
      <c r="A382" s="84" t="inlineStr">
        <is>
          <t>Fonction publique d'État</t>
        </is>
      </c>
      <c r="B382" s="7" t="inlineStr">
        <is>
          <t>sédentaire</t>
        </is>
      </c>
      <c r="C382" s="88" t="n">
        <v>1961</v>
      </c>
      <c r="D382" s="95" t="n">
        <v>62.0833</v>
      </c>
      <c r="E382" s="95" t="n">
        <v>67</v>
      </c>
      <c r="F382" s="85" t="n">
        <v>168</v>
      </c>
      <c r="G382" s="120" t="n">
        <v>0.0125</v>
      </c>
      <c r="H382" s="120" t="n">
        <v>0.0125</v>
      </c>
      <c r="I382" s="95" t="n">
        <v>2.4</v>
      </c>
      <c r="J382" s="95" t="n">
        <v>64.48</v>
      </c>
      <c r="K382" s="95" t="n">
        <v>1.01</v>
      </c>
      <c r="L382" s="85" t="n">
        <v>0</v>
      </c>
    </row>
    <row r="383">
      <c r="A383" s="84" t="inlineStr">
        <is>
          <t>Fonction publique d'État</t>
        </is>
      </c>
      <c r="B383" s="7" t="inlineStr">
        <is>
          <t>sédentaire</t>
        </is>
      </c>
      <c r="C383" s="88" t="n">
        <v>1962</v>
      </c>
      <c r="D383" s="95" t="n">
        <v>62.5</v>
      </c>
      <c r="E383" s="95" t="n">
        <v>67</v>
      </c>
      <c r="F383" s="85" t="n">
        <v>169</v>
      </c>
      <c r="G383" s="120" t="n">
        <v>0.0125</v>
      </c>
      <c r="H383" s="120" t="n">
        <v>0.0125</v>
      </c>
      <c r="I383" s="95" t="n">
        <v>2.4</v>
      </c>
      <c r="J383" s="95" t="n">
        <v>64.90000000000001</v>
      </c>
      <c r="K383" s="95" t="n">
        <v>1.01</v>
      </c>
      <c r="L383" s="85" t="n">
        <v>0</v>
      </c>
    </row>
    <row r="384">
      <c r="A384" s="84" t="inlineStr">
        <is>
          <t>Fonction publique d'État</t>
        </is>
      </c>
      <c r="B384" s="7" t="inlineStr">
        <is>
          <t>sédentaire</t>
        </is>
      </c>
      <c r="C384" s="88" t="n">
        <v>1963</v>
      </c>
      <c r="D384" s="95" t="n">
        <v>62.75</v>
      </c>
      <c r="E384" s="95" t="n">
        <v>67</v>
      </c>
      <c r="F384" s="85" t="n">
        <v>170</v>
      </c>
      <c r="G384" s="120" t="n">
        <v>0.0125</v>
      </c>
      <c r="H384" s="120" t="n">
        <v>0.0125</v>
      </c>
      <c r="I384" s="95" t="n">
        <v>2.4</v>
      </c>
      <c r="J384" s="95" t="n">
        <v>65.15000000000001</v>
      </c>
      <c r="K384" s="95" t="n">
        <v>1.01</v>
      </c>
      <c r="L384" s="85" t="n">
        <v>0</v>
      </c>
    </row>
    <row r="385">
      <c r="A385" s="84" t="inlineStr">
        <is>
          <t>Fonction publique d'État</t>
        </is>
      </c>
      <c r="B385" s="7" t="inlineStr">
        <is>
          <t>sédentaire</t>
        </is>
      </c>
      <c r="C385" s="88" t="n">
        <v>1964</v>
      </c>
      <c r="D385" s="95" t="n">
        <v>62.75</v>
      </c>
      <c r="E385" s="95" t="n">
        <v>67</v>
      </c>
      <c r="F385" s="85" t="n">
        <v>170</v>
      </c>
      <c r="G385" s="120" t="n">
        <v>0.0125</v>
      </c>
      <c r="H385" s="120" t="n">
        <v>0.0125</v>
      </c>
      <c r="I385" s="95" t="n">
        <v>2.4</v>
      </c>
      <c r="J385" s="95" t="n">
        <v>65.15000000000001</v>
      </c>
      <c r="K385" s="95" t="n">
        <v>1.01</v>
      </c>
      <c r="L385" s="85" t="n">
        <v>0</v>
      </c>
    </row>
    <row r="386">
      <c r="A386" s="84" t="inlineStr">
        <is>
          <t>Fonction publique d'État</t>
        </is>
      </c>
      <c r="B386" s="7" t="inlineStr">
        <is>
          <t>sédentaire</t>
        </is>
      </c>
      <c r="C386" s="88" t="n">
        <v>1965</v>
      </c>
      <c r="D386" s="95" t="n">
        <v>62.9167</v>
      </c>
      <c r="E386" s="95" t="n">
        <v>67</v>
      </c>
      <c r="F386" s="85" t="n">
        <v>171</v>
      </c>
      <c r="G386" s="120" t="n">
        <v>0.0125</v>
      </c>
      <c r="H386" s="120" t="n">
        <v>0.0125</v>
      </c>
      <c r="I386" s="95" t="n">
        <v>2.4</v>
      </c>
      <c r="J386" s="95" t="n">
        <v>65.31999999999999</v>
      </c>
      <c r="K386" s="95" t="n">
        <v>1.01</v>
      </c>
      <c r="L386" s="85" t="n">
        <v>0</v>
      </c>
    </row>
    <row r="387">
      <c r="A387" s="84" t="inlineStr">
        <is>
          <t>Fonction publique d'État</t>
        </is>
      </c>
      <c r="B387" s="7" t="inlineStr">
        <is>
          <t>sédentaire</t>
        </is>
      </c>
      <c r="C387" s="88" t="n">
        <v>1966</v>
      </c>
      <c r="D387" s="95" t="n">
        <v>63.25</v>
      </c>
      <c r="E387" s="95" t="n">
        <v>67</v>
      </c>
      <c r="F387" s="85" t="n">
        <v>172</v>
      </c>
      <c r="G387" s="120" t="n">
        <v>0.0125</v>
      </c>
      <c r="H387" s="120" t="n">
        <v>0.0125</v>
      </c>
      <c r="I387" s="95" t="n">
        <v>2.4</v>
      </c>
      <c r="J387" s="95" t="n">
        <v>65.65000000000001</v>
      </c>
      <c r="K387" s="95" t="n">
        <v>1.01</v>
      </c>
      <c r="L387" s="85" t="n">
        <v>0</v>
      </c>
    </row>
    <row r="388">
      <c r="A388" s="84" t="inlineStr">
        <is>
          <t>Fonction publique d'État</t>
        </is>
      </c>
      <c r="B388" s="7" t="inlineStr">
        <is>
          <t>sédentaire</t>
        </is>
      </c>
      <c r="C388" s="88" t="n">
        <v>1967</v>
      </c>
      <c r="D388" s="95" t="n">
        <v>63.5</v>
      </c>
      <c r="E388" s="95" t="n">
        <v>67</v>
      </c>
      <c r="F388" s="85" t="n">
        <v>172</v>
      </c>
      <c r="G388" s="120" t="n">
        <v>0.0125</v>
      </c>
      <c r="H388" s="120" t="n">
        <v>0.0125</v>
      </c>
      <c r="I388" s="95" t="n">
        <v>2.4</v>
      </c>
      <c r="J388" s="95" t="n">
        <v>65.90000000000001</v>
      </c>
      <c r="K388" s="95" t="n">
        <v>1.01</v>
      </c>
      <c r="L388" s="85" t="n">
        <v>0</v>
      </c>
    </row>
    <row r="389">
      <c r="A389" s="84" t="inlineStr">
        <is>
          <t>Fonction publique d'État</t>
        </is>
      </c>
      <c r="B389" s="7" t="inlineStr">
        <is>
          <t>sédentaire</t>
        </is>
      </c>
      <c r="C389" s="88" t="n">
        <v>1968</v>
      </c>
      <c r="D389" s="95" t="n">
        <v>63.75</v>
      </c>
      <c r="E389" s="95" t="n">
        <v>67</v>
      </c>
      <c r="F389" s="85" t="n">
        <v>172</v>
      </c>
      <c r="G389" s="120" t="n">
        <v>0.0125</v>
      </c>
      <c r="H389" s="120" t="n">
        <v>0.0125</v>
      </c>
      <c r="I389" s="95" t="n">
        <v>2.4</v>
      </c>
      <c r="J389" s="95" t="n">
        <v>66.15000000000001</v>
      </c>
      <c r="K389" s="95" t="n">
        <v>1.01</v>
      </c>
      <c r="L389" s="85" t="n">
        <v>0</v>
      </c>
    </row>
    <row r="390">
      <c r="A390" s="84" t="inlineStr">
        <is>
          <t>Fonction publique d'État</t>
        </is>
      </c>
      <c r="B390" s="7" t="inlineStr">
        <is>
          <t>sédentaire</t>
        </is>
      </c>
      <c r="C390" s="88" t="n">
        <v>1969</v>
      </c>
      <c r="D390" s="95" t="n">
        <v>64</v>
      </c>
      <c r="E390" s="95" t="n">
        <v>67</v>
      </c>
      <c r="F390" s="85" t="n">
        <v>172</v>
      </c>
      <c r="G390" s="120" t="n">
        <v>0.0125</v>
      </c>
      <c r="H390" s="120" t="n">
        <v>0.0125</v>
      </c>
      <c r="I390" s="95" t="n">
        <v>2.4</v>
      </c>
      <c r="J390" s="95" t="n">
        <v>66.40000000000001</v>
      </c>
      <c r="K390" s="95" t="n">
        <v>1.01</v>
      </c>
      <c r="L390" s="85" t="n">
        <v>0</v>
      </c>
    </row>
    <row r="391">
      <c r="A391" s="84" t="inlineStr">
        <is>
          <t>Fonction publique d'État</t>
        </is>
      </c>
      <c r="B391" s="7" t="inlineStr">
        <is>
          <t>sédentaire</t>
        </is>
      </c>
      <c r="C391" s="88" t="n">
        <v>1970</v>
      </c>
      <c r="D391" s="95" t="n">
        <v>64</v>
      </c>
      <c r="E391" s="95" t="n">
        <v>67</v>
      </c>
      <c r="F391" s="85" t="n">
        <v>172</v>
      </c>
      <c r="G391" s="120" t="n">
        <v>0.0125</v>
      </c>
      <c r="H391" s="120" t="n">
        <v>0.0125</v>
      </c>
      <c r="I391" s="95" t="n">
        <v>2.4</v>
      </c>
      <c r="J391" s="95" t="n">
        <v>66.40000000000001</v>
      </c>
      <c r="K391" s="95" t="n">
        <v>1.01</v>
      </c>
      <c r="L391" s="85" t="n">
        <v>0</v>
      </c>
    </row>
    <row r="392">
      <c r="A392" s="84" t="inlineStr">
        <is>
          <t>Fonction publique d'État</t>
        </is>
      </c>
      <c r="B392" s="7" t="inlineStr">
        <is>
          <t>sédentaire</t>
        </is>
      </c>
      <c r="C392" s="88" t="n">
        <v>1971</v>
      </c>
      <c r="D392" s="95" t="n">
        <v>64</v>
      </c>
      <c r="E392" s="95" t="n">
        <v>67</v>
      </c>
      <c r="F392" s="85" t="n">
        <v>172</v>
      </c>
      <c r="G392" s="120" t="n">
        <v>0.0125</v>
      </c>
      <c r="H392" s="120" t="n">
        <v>0.0125</v>
      </c>
      <c r="I392" s="95" t="n">
        <v>2.4</v>
      </c>
      <c r="J392" s="95" t="n">
        <v>66.40000000000001</v>
      </c>
      <c r="K392" s="95" t="n">
        <v>1.01</v>
      </c>
      <c r="L392" s="85" t="n">
        <v>0</v>
      </c>
    </row>
    <row r="393">
      <c r="A393" s="84" t="inlineStr">
        <is>
          <t>Fonction publique d'État</t>
        </is>
      </c>
      <c r="B393" s="7" t="inlineStr">
        <is>
          <t>sédentaire</t>
        </is>
      </c>
      <c r="C393" s="88" t="n">
        <v>1972</v>
      </c>
      <c r="D393" s="95" t="n">
        <v>64</v>
      </c>
      <c r="E393" s="95" t="n">
        <v>67</v>
      </c>
      <c r="F393" s="85" t="n">
        <v>172</v>
      </c>
      <c r="G393" s="120" t="n">
        <v>0.0125</v>
      </c>
      <c r="H393" s="120" t="n">
        <v>0.0125</v>
      </c>
      <c r="I393" s="95" t="n">
        <v>2.4</v>
      </c>
      <c r="J393" s="95" t="n">
        <v>66.40000000000001</v>
      </c>
      <c r="K393" s="95" t="n">
        <v>1.01</v>
      </c>
      <c r="L393" s="85" t="n">
        <v>0</v>
      </c>
    </row>
    <row r="394">
      <c r="A394" s="84" t="inlineStr">
        <is>
          <t>Fonction publique d'État</t>
        </is>
      </c>
      <c r="B394" s="7" t="inlineStr">
        <is>
          <t>sédentaire</t>
        </is>
      </c>
      <c r="C394" s="88" t="n">
        <v>1973</v>
      </c>
      <c r="D394" s="95" t="n">
        <v>64</v>
      </c>
      <c r="E394" s="95" t="n">
        <v>67</v>
      </c>
      <c r="F394" s="85" t="n">
        <v>172</v>
      </c>
      <c r="G394" s="120" t="n">
        <v>0.0125</v>
      </c>
      <c r="H394" s="120" t="n">
        <v>0.0125</v>
      </c>
      <c r="I394" s="95" t="n">
        <v>2.4</v>
      </c>
      <c r="J394" s="95" t="n">
        <v>66.40000000000001</v>
      </c>
      <c r="K394" s="95" t="n">
        <v>1.01</v>
      </c>
      <c r="L394" s="85" t="n">
        <v>0</v>
      </c>
    </row>
    <row r="395">
      <c r="A395" s="84" t="inlineStr">
        <is>
          <t>Fonction publique d'État</t>
        </is>
      </c>
      <c r="B395" s="7" t="inlineStr">
        <is>
          <t>sédentaire</t>
        </is>
      </c>
      <c r="C395" s="88" t="n">
        <v>1974</v>
      </c>
      <c r="D395" s="95" t="n">
        <v>64</v>
      </c>
      <c r="E395" s="95" t="n">
        <v>67</v>
      </c>
      <c r="F395" s="85" t="n">
        <v>172</v>
      </c>
      <c r="G395" s="120" t="n">
        <v>0.0125</v>
      </c>
      <c r="H395" s="120" t="n">
        <v>0.0125</v>
      </c>
      <c r="I395" s="95" t="n">
        <v>2.4</v>
      </c>
      <c r="J395" s="95" t="n">
        <v>66.40000000000001</v>
      </c>
      <c r="K395" s="95" t="n">
        <v>1.01</v>
      </c>
      <c r="L395" s="85" t="n">
        <v>0</v>
      </c>
    </row>
    <row r="396">
      <c r="A396" s="84" t="inlineStr">
        <is>
          <t>Fonction publique d'État</t>
        </is>
      </c>
      <c r="B396" s="7" t="inlineStr">
        <is>
          <t>sédentaire</t>
        </is>
      </c>
      <c r="C396" s="88" t="n">
        <v>1975</v>
      </c>
      <c r="D396" s="95" t="n">
        <v>64</v>
      </c>
      <c r="E396" s="95" t="n">
        <v>67</v>
      </c>
      <c r="F396" s="85" t="n">
        <v>172</v>
      </c>
      <c r="G396" s="120" t="n">
        <v>0.0125</v>
      </c>
      <c r="H396" s="120" t="n">
        <v>0.0125</v>
      </c>
      <c r="I396" s="95" t="n">
        <v>2.4</v>
      </c>
      <c r="J396" s="95" t="n">
        <v>66.40000000000001</v>
      </c>
      <c r="K396" s="95" t="n">
        <v>1.01</v>
      </c>
      <c r="L396" s="85" t="n">
        <v>0</v>
      </c>
    </row>
    <row r="397">
      <c r="A397" s="84" t="inlineStr">
        <is>
          <t>Fonction publique d'État</t>
        </is>
      </c>
      <c r="B397" s="7" t="inlineStr">
        <is>
          <t>sédentaire</t>
        </is>
      </c>
      <c r="C397" s="88" t="n">
        <v>1976</v>
      </c>
      <c r="D397" s="95" t="n">
        <v>64</v>
      </c>
      <c r="E397" s="95" t="n">
        <v>67</v>
      </c>
      <c r="F397" s="85" t="n">
        <v>172</v>
      </c>
      <c r="G397" s="120" t="n">
        <v>0.0125</v>
      </c>
      <c r="H397" s="120" t="n">
        <v>0.0125</v>
      </c>
      <c r="I397" s="95" t="n">
        <v>2.4</v>
      </c>
      <c r="J397" s="95" t="n">
        <v>66.40000000000001</v>
      </c>
      <c r="K397" s="95" t="n">
        <v>1.01</v>
      </c>
      <c r="L397" s="85" t="n">
        <v>0</v>
      </c>
    </row>
    <row r="398">
      <c r="A398" s="84" t="inlineStr">
        <is>
          <t>Fonction publique d'État</t>
        </is>
      </c>
      <c r="B398" s="7" t="inlineStr">
        <is>
          <t>sédentaire</t>
        </is>
      </c>
      <c r="C398" s="88" t="n">
        <v>1977</v>
      </c>
      <c r="D398" s="95" t="n">
        <v>64</v>
      </c>
      <c r="E398" s="95" t="n">
        <v>67</v>
      </c>
      <c r="F398" s="85" t="n">
        <v>172</v>
      </c>
      <c r="G398" s="120" t="n">
        <v>0.0125</v>
      </c>
      <c r="H398" s="120" t="n">
        <v>0.0125</v>
      </c>
      <c r="I398" s="95" t="n">
        <v>2.4</v>
      </c>
      <c r="J398" s="95" t="n">
        <v>66.40000000000001</v>
      </c>
      <c r="K398" s="95" t="n">
        <v>1.01</v>
      </c>
      <c r="L398" s="85" t="n">
        <v>0</v>
      </c>
    </row>
    <row r="399">
      <c r="A399" s="84" t="inlineStr">
        <is>
          <t>Fonction publique d'État</t>
        </is>
      </c>
      <c r="B399" s="7" t="inlineStr">
        <is>
          <t>sédentaire</t>
        </is>
      </c>
      <c r="C399" s="88" t="n">
        <v>1978</v>
      </c>
      <c r="D399" s="95" t="n">
        <v>64</v>
      </c>
      <c r="E399" s="95" t="n">
        <v>67</v>
      </c>
      <c r="F399" s="85" t="n">
        <v>172</v>
      </c>
      <c r="G399" s="120" t="n">
        <v>0.0125</v>
      </c>
      <c r="H399" s="120" t="n">
        <v>0.0125</v>
      </c>
      <c r="I399" s="95" t="n">
        <v>2.4</v>
      </c>
      <c r="J399" s="95" t="n">
        <v>66.40000000000001</v>
      </c>
      <c r="K399" s="95" t="n">
        <v>1.01</v>
      </c>
      <c r="L399" s="85" t="n">
        <v>0</v>
      </c>
    </row>
    <row r="400">
      <c r="A400" s="84" t="inlineStr">
        <is>
          <t>Fonction publique d'État</t>
        </is>
      </c>
      <c r="B400" s="7" t="inlineStr">
        <is>
          <t>sédentaire</t>
        </is>
      </c>
      <c r="C400" s="88" t="n">
        <v>1979</v>
      </c>
      <c r="D400" s="95" t="n">
        <v>64</v>
      </c>
      <c r="E400" s="95" t="n">
        <v>67</v>
      </c>
      <c r="F400" s="85" t="n">
        <v>172</v>
      </c>
      <c r="G400" s="120" t="n">
        <v>0.0125</v>
      </c>
      <c r="H400" s="120" t="n">
        <v>0.0125</v>
      </c>
      <c r="I400" s="95" t="n">
        <v>2.4</v>
      </c>
      <c r="J400" s="95" t="n">
        <v>66.40000000000001</v>
      </c>
      <c r="K400" s="95" t="n">
        <v>1.01</v>
      </c>
      <c r="L400" s="85" t="n">
        <v>0</v>
      </c>
    </row>
    <row r="401">
      <c r="A401" s="84" t="inlineStr">
        <is>
          <t>Fonction publique d'État</t>
        </is>
      </c>
      <c r="B401" s="7" t="inlineStr">
        <is>
          <t>sédentaire</t>
        </is>
      </c>
      <c r="C401" s="88" t="n">
        <v>1980</v>
      </c>
      <c r="D401" s="95" t="n">
        <v>64</v>
      </c>
      <c r="E401" s="95" t="n">
        <v>67</v>
      </c>
      <c r="F401" s="85" t="n">
        <v>172</v>
      </c>
      <c r="G401" s="120" t="n">
        <v>0.0125</v>
      </c>
      <c r="H401" s="120" t="n">
        <v>0.0125</v>
      </c>
      <c r="I401" s="95" t="n">
        <v>2.4</v>
      </c>
      <c r="J401" s="95" t="n">
        <v>66.40000000000001</v>
      </c>
      <c r="K401" s="95" t="n">
        <v>1.01</v>
      </c>
      <c r="L401" s="85" t="n">
        <v>0</v>
      </c>
    </row>
    <row r="402">
      <c r="A402" s="84" t="inlineStr">
        <is>
          <t>Fonction publique d'État</t>
        </is>
      </c>
      <c r="B402" s="7" t="inlineStr">
        <is>
          <t>sédentaire</t>
        </is>
      </c>
      <c r="C402" s="88" t="n">
        <v>1981</v>
      </c>
      <c r="D402" s="95" t="n">
        <v>64</v>
      </c>
      <c r="E402" s="95" t="n">
        <v>67</v>
      </c>
      <c r="F402" s="85" t="n">
        <v>172</v>
      </c>
      <c r="G402" s="120" t="n">
        <v>0.0125</v>
      </c>
      <c r="H402" s="120" t="n">
        <v>0.0125</v>
      </c>
      <c r="I402" s="95" t="n">
        <v>2.4</v>
      </c>
      <c r="J402" s="95" t="n">
        <v>66.40000000000001</v>
      </c>
      <c r="K402" s="95" t="n">
        <v>1.01</v>
      </c>
      <c r="L402" s="85" t="n">
        <v>0</v>
      </c>
    </row>
    <row r="403">
      <c r="A403" s="84" t="inlineStr">
        <is>
          <t>Fonction publique d'État</t>
        </is>
      </c>
      <c r="B403" s="7" t="inlineStr">
        <is>
          <t>sédentaire</t>
        </is>
      </c>
      <c r="C403" s="88" t="n">
        <v>1982</v>
      </c>
      <c r="D403" s="95" t="n">
        <v>64</v>
      </c>
      <c r="E403" s="95" t="n">
        <v>67</v>
      </c>
      <c r="F403" s="85" t="n">
        <v>172</v>
      </c>
      <c r="G403" s="120" t="n">
        <v>0.0125</v>
      </c>
      <c r="H403" s="120" t="n">
        <v>0.0125</v>
      </c>
      <c r="I403" s="95" t="n">
        <v>2.4</v>
      </c>
      <c r="J403" s="95" t="n">
        <v>66.40000000000001</v>
      </c>
      <c r="K403" s="95" t="n">
        <v>1.01</v>
      </c>
      <c r="L403" s="85" t="n">
        <v>0</v>
      </c>
    </row>
    <row r="404">
      <c r="A404" s="84" t="inlineStr">
        <is>
          <t>Fonction publique d'État</t>
        </is>
      </c>
      <c r="B404" s="7" t="inlineStr">
        <is>
          <t>sédentaire</t>
        </is>
      </c>
      <c r="C404" s="88" t="n">
        <v>1983</v>
      </c>
      <c r="D404" s="95" t="n">
        <v>64</v>
      </c>
      <c r="E404" s="95" t="n">
        <v>67</v>
      </c>
      <c r="F404" s="85" t="n">
        <v>172</v>
      </c>
      <c r="G404" s="120" t="n">
        <v>0.0125</v>
      </c>
      <c r="H404" s="120" t="n">
        <v>0.0125</v>
      </c>
      <c r="I404" s="95" t="n">
        <v>2.4</v>
      </c>
      <c r="J404" s="95" t="n">
        <v>66.40000000000001</v>
      </c>
      <c r="K404" s="95" t="n">
        <v>1.01</v>
      </c>
      <c r="L404" s="85" t="n">
        <v>0</v>
      </c>
    </row>
    <row r="405">
      <c r="A405" s="84" t="inlineStr">
        <is>
          <t>Fonction publique d'État</t>
        </is>
      </c>
      <c r="B405" s="7" t="inlineStr">
        <is>
          <t>sédentaire</t>
        </is>
      </c>
      <c r="C405" s="88" t="n">
        <v>1984</v>
      </c>
      <c r="D405" s="95" t="n">
        <v>64</v>
      </c>
      <c r="E405" s="95" t="n">
        <v>67</v>
      </c>
      <c r="F405" s="85" t="n">
        <v>172</v>
      </c>
      <c r="G405" s="120" t="n">
        <v>0.0125</v>
      </c>
      <c r="H405" s="120" t="n">
        <v>0.0125</v>
      </c>
      <c r="I405" s="95" t="n">
        <v>2.4</v>
      </c>
      <c r="J405" s="95" t="n">
        <v>66.40000000000001</v>
      </c>
      <c r="K405" s="95" t="n">
        <v>1.01</v>
      </c>
      <c r="L405" s="85" t="n">
        <v>0</v>
      </c>
    </row>
    <row r="406">
      <c r="A406" s="84" t="inlineStr">
        <is>
          <t>Fonction publique d'État</t>
        </is>
      </c>
      <c r="B406" s="7" t="inlineStr">
        <is>
          <t>sédentaire</t>
        </is>
      </c>
      <c r="C406" s="88" t="n">
        <v>1985</v>
      </c>
      <c r="D406" s="95" t="n">
        <v>64</v>
      </c>
      <c r="E406" s="95" t="n">
        <v>67</v>
      </c>
      <c r="F406" s="85" t="n">
        <v>172</v>
      </c>
      <c r="G406" s="120" t="n">
        <v>0.0125</v>
      </c>
      <c r="H406" s="120" t="n">
        <v>0.0125</v>
      </c>
      <c r="I406" s="95" t="n">
        <v>2.4</v>
      </c>
      <c r="J406" s="95" t="n">
        <v>66.40000000000001</v>
      </c>
      <c r="K406" s="95" t="n">
        <v>1.01</v>
      </c>
      <c r="L406" s="85" t="n">
        <v>0</v>
      </c>
    </row>
    <row r="407">
      <c r="A407" s="84" t="inlineStr">
        <is>
          <t>Fonction publique d'État</t>
        </is>
      </c>
      <c r="B407" s="7" t="inlineStr">
        <is>
          <t>sédentaire</t>
        </is>
      </c>
      <c r="C407" s="88" t="n">
        <v>1986</v>
      </c>
      <c r="D407" s="95" t="n">
        <v>64</v>
      </c>
      <c r="E407" s="95" t="n">
        <v>67</v>
      </c>
      <c r="F407" s="85" t="n">
        <v>172</v>
      </c>
      <c r="G407" s="120" t="n">
        <v>0.0125</v>
      </c>
      <c r="H407" s="120" t="n">
        <v>0.0125</v>
      </c>
      <c r="I407" s="95" t="n">
        <v>2.4</v>
      </c>
      <c r="J407" s="95" t="n">
        <v>66.40000000000001</v>
      </c>
      <c r="K407" s="95" t="n">
        <v>1.01</v>
      </c>
      <c r="L407" s="85" t="n">
        <v>0</v>
      </c>
    </row>
    <row r="408">
      <c r="A408" s="84" t="inlineStr">
        <is>
          <t>Fonction publique d'État</t>
        </is>
      </c>
      <c r="B408" s="7" t="inlineStr">
        <is>
          <t>sédentaire</t>
        </is>
      </c>
      <c r="C408" s="88" t="n">
        <v>1987</v>
      </c>
      <c r="D408" s="95" t="n">
        <v>64</v>
      </c>
      <c r="E408" s="95" t="n">
        <v>67</v>
      </c>
      <c r="F408" s="85" t="n">
        <v>172</v>
      </c>
      <c r="G408" s="120" t="n">
        <v>0.0125</v>
      </c>
      <c r="H408" s="120" t="n">
        <v>0.0125</v>
      </c>
      <c r="I408" s="95" t="n">
        <v>2.4</v>
      </c>
      <c r="J408" s="95" t="n">
        <v>66.40000000000001</v>
      </c>
      <c r="K408" s="95" t="n">
        <v>1.01</v>
      </c>
      <c r="L408" s="85" t="n">
        <v>0</v>
      </c>
    </row>
    <row r="409">
      <c r="A409" s="84" t="inlineStr">
        <is>
          <t>Fonction publique d'État</t>
        </is>
      </c>
      <c r="B409" s="7" t="inlineStr">
        <is>
          <t>sédentaire</t>
        </is>
      </c>
      <c r="C409" s="88" t="n">
        <v>1988</v>
      </c>
      <c r="D409" s="95" t="n">
        <v>64</v>
      </c>
      <c r="E409" s="95" t="n">
        <v>67</v>
      </c>
      <c r="F409" s="85" t="n">
        <v>172</v>
      </c>
      <c r="G409" s="120" t="n">
        <v>0.0125</v>
      </c>
      <c r="H409" s="120" t="n">
        <v>0.0125</v>
      </c>
      <c r="I409" s="95" t="n">
        <v>2.4</v>
      </c>
      <c r="J409" s="95" t="n">
        <v>66.40000000000001</v>
      </c>
      <c r="K409" s="95" t="n">
        <v>1.01</v>
      </c>
      <c r="L409" s="85" t="n">
        <v>0</v>
      </c>
    </row>
    <row r="410">
      <c r="A410" s="84" t="inlineStr">
        <is>
          <t>Fonction publique d'État</t>
        </is>
      </c>
      <c r="B410" s="7" t="inlineStr">
        <is>
          <t>sédentaire</t>
        </is>
      </c>
      <c r="C410" s="88" t="n">
        <v>1989</v>
      </c>
      <c r="D410" s="95" t="n">
        <v>64</v>
      </c>
      <c r="E410" s="95" t="n">
        <v>67</v>
      </c>
      <c r="F410" s="85" t="n">
        <v>172</v>
      </c>
      <c r="G410" s="120" t="n">
        <v>0.0125</v>
      </c>
      <c r="H410" s="120" t="n">
        <v>0.0125</v>
      </c>
      <c r="I410" s="95" t="n">
        <v>2.4</v>
      </c>
      <c r="J410" s="95" t="n">
        <v>66.40000000000001</v>
      </c>
      <c r="K410" s="95" t="n">
        <v>1.01</v>
      </c>
      <c r="L410" s="85" t="n">
        <v>0</v>
      </c>
    </row>
    <row r="411">
      <c r="A411" s="84" t="inlineStr">
        <is>
          <t>Fonction publique d'État</t>
        </is>
      </c>
      <c r="B411" s="7" t="inlineStr">
        <is>
          <t>sédentaire</t>
        </is>
      </c>
      <c r="C411" s="88" t="n">
        <v>1990</v>
      </c>
      <c r="D411" s="95" t="n">
        <v>64</v>
      </c>
      <c r="E411" s="95" t="n">
        <v>67</v>
      </c>
      <c r="F411" s="85" t="n">
        <v>172</v>
      </c>
      <c r="G411" s="120" t="n">
        <v>0.0125</v>
      </c>
      <c r="H411" s="120" t="n">
        <v>0.0125</v>
      </c>
      <c r="I411" s="95" t="n">
        <v>2.4</v>
      </c>
      <c r="J411" s="95" t="n">
        <v>66.40000000000001</v>
      </c>
      <c r="K411" s="95" t="n">
        <v>1.01</v>
      </c>
      <c r="L411" s="85" t="n">
        <v>0</v>
      </c>
    </row>
    <row r="412">
      <c r="A412" s="84" t="inlineStr">
        <is>
          <t>Fonction publique d'État</t>
        </is>
      </c>
      <c r="B412" s="7" t="inlineStr">
        <is>
          <t>sédentaire</t>
        </is>
      </c>
      <c r="C412" s="88" t="n">
        <v>1991</v>
      </c>
      <c r="D412" s="95" t="n">
        <v>64</v>
      </c>
      <c r="E412" s="95" t="n">
        <v>67</v>
      </c>
      <c r="F412" s="85" t="n">
        <v>172</v>
      </c>
      <c r="G412" s="120" t="n">
        <v>0.0125</v>
      </c>
      <c r="H412" s="120" t="n">
        <v>0.0125</v>
      </c>
      <c r="I412" s="95" t="n">
        <v>2.4</v>
      </c>
      <c r="J412" s="95" t="n">
        <v>66.40000000000001</v>
      </c>
      <c r="K412" s="95" t="n">
        <v>1.01</v>
      </c>
      <c r="L412" s="85" t="n">
        <v>0</v>
      </c>
    </row>
    <row r="413">
      <c r="A413" s="84" t="inlineStr">
        <is>
          <t>Fonction publique d'État</t>
        </is>
      </c>
      <c r="B413" s="7" t="inlineStr">
        <is>
          <t>sédentaire</t>
        </is>
      </c>
      <c r="C413" s="88" t="n">
        <v>1992</v>
      </c>
      <c r="D413" s="95" t="n">
        <v>64</v>
      </c>
      <c r="E413" s="95" t="n">
        <v>67</v>
      </c>
      <c r="F413" s="85" t="n">
        <v>172</v>
      </c>
      <c r="G413" s="120" t="n">
        <v>0.0125</v>
      </c>
      <c r="H413" s="120" t="n">
        <v>0.0125</v>
      </c>
      <c r="I413" s="95" t="n">
        <v>2.4</v>
      </c>
      <c r="J413" s="95" t="n">
        <v>66.40000000000001</v>
      </c>
      <c r="K413" s="95" t="n">
        <v>1.01</v>
      </c>
      <c r="L413" s="85" t="n">
        <v>0</v>
      </c>
    </row>
    <row r="414">
      <c r="A414" s="84" t="inlineStr">
        <is>
          <t>Fonction publique d'État</t>
        </is>
      </c>
      <c r="B414" s="7" t="inlineStr">
        <is>
          <t>sédentaire</t>
        </is>
      </c>
      <c r="C414" s="88" t="n">
        <v>1993</v>
      </c>
      <c r="D414" s="95" t="n">
        <v>64</v>
      </c>
      <c r="E414" s="95" t="n">
        <v>67</v>
      </c>
      <c r="F414" s="85" t="n">
        <v>172</v>
      </c>
      <c r="G414" s="120" t="n">
        <v>0.0125</v>
      </c>
      <c r="H414" s="120" t="n">
        <v>0.0125</v>
      </c>
      <c r="I414" s="95" t="n">
        <v>2.4</v>
      </c>
      <c r="J414" s="95" t="n">
        <v>66.40000000000001</v>
      </c>
      <c r="K414" s="95" t="n">
        <v>1.01</v>
      </c>
      <c r="L414" s="85" t="n">
        <v>0</v>
      </c>
    </row>
    <row r="415">
      <c r="A415" s="84" t="inlineStr">
        <is>
          <t>Fonction publique d'État</t>
        </is>
      </c>
      <c r="B415" s="7" t="inlineStr">
        <is>
          <t>sédentaire</t>
        </is>
      </c>
      <c r="C415" s="88" t="n">
        <v>1994</v>
      </c>
      <c r="D415" s="95" t="n">
        <v>64</v>
      </c>
      <c r="E415" s="95" t="n">
        <v>67</v>
      </c>
      <c r="F415" s="85" t="n">
        <v>172</v>
      </c>
      <c r="G415" s="120" t="n">
        <v>0.0125</v>
      </c>
      <c r="H415" s="120" t="n">
        <v>0.0125</v>
      </c>
      <c r="I415" s="95" t="n">
        <v>2.4</v>
      </c>
      <c r="J415" s="95" t="n">
        <v>66.40000000000001</v>
      </c>
      <c r="K415" s="95" t="n">
        <v>1.01</v>
      </c>
      <c r="L415" s="85" t="n">
        <v>0</v>
      </c>
    </row>
    <row r="416">
      <c r="A416" s="84" t="inlineStr">
        <is>
          <t>Fonction publique d'État</t>
        </is>
      </c>
      <c r="B416" s="7" t="inlineStr">
        <is>
          <t>sédentaire</t>
        </is>
      </c>
      <c r="C416" s="88" t="n">
        <v>1995</v>
      </c>
      <c r="D416" s="95" t="n">
        <v>64</v>
      </c>
      <c r="E416" s="95" t="n">
        <v>67</v>
      </c>
      <c r="F416" s="85" t="n">
        <v>172</v>
      </c>
      <c r="G416" s="120" t="n">
        <v>0.0125</v>
      </c>
      <c r="H416" s="120" t="n">
        <v>0.0125</v>
      </c>
      <c r="I416" s="95" t="n">
        <v>2.4</v>
      </c>
      <c r="J416" s="95" t="n">
        <v>66.40000000000001</v>
      </c>
      <c r="K416" s="95" t="n">
        <v>1.01</v>
      </c>
      <c r="L416" s="85" t="n">
        <v>0</v>
      </c>
    </row>
    <row r="417">
      <c r="A417" s="84" t="inlineStr">
        <is>
          <t>Fonction publique d'État</t>
        </is>
      </c>
      <c r="B417" s="7" t="inlineStr">
        <is>
          <t>sédentaire</t>
        </is>
      </c>
      <c r="C417" s="88" t="n">
        <v>1996</v>
      </c>
      <c r="D417" s="95" t="n">
        <v>64</v>
      </c>
      <c r="E417" s="95" t="n">
        <v>67</v>
      </c>
      <c r="F417" s="85" t="n">
        <v>172</v>
      </c>
      <c r="G417" s="120" t="n">
        <v>0.0125</v>
      </c>
      <c r="H417" s="120" t="n">
        <v>0.0125</v>
      </c>
      <c r="I417" s="95" t="n">
        <v>2.4</v>
      </c>
      <c r="J417" s="95" t="n">
        <v>66.40000000000001</v>
      </c>
      <c r="K417" s="95" t="n">
        <v>1.01</v>
      </c>
      <c r="L417" s="85" t="n">
        <v>0</v>
      </c>
    </row>
    <row r="418">
      <c r="A418" s="84" t="inlineStr">
        <is>
          <t>Fonction publique d'État</t>
        </is>
      </c>
      <c r="B418" s="7" t="inlineStr">
        <is>
          <t>sédentaire</t>
        </is>
      </c>
      <c r="C418" s="88" t="n">
        <v>1997</v>
      </c>
      <c r="D418" s="95" t="n">
        <v>64</v>
      </c>
      <c r="E418" s="95" t="n">
        <v>67</v>
      </c>
      <c r="F418" s="85" t="n">
        <v>172</v>
      </c>
      <c r="G418" s="120" t="n">
        <v>0.0125</v>
      </c>
      <c r="H418" s="120" t="n">
        <v>0.0125</v>
      </c>
      <c r="I418" s="95" t="n">
        <v>2.4</v>
      </c>
      <c r="J418" s="95" t="n">
        <v>66.40000000000001</v>
      </c>
      <c r="K418" s="95" t="n">
        <v>1.01</v>
      </c>
      <c r="L418" s="85" t="n">
        <v>0</v>
      </c>
    </row>
    <row r="419">
      <c r="A419" s="84" t="inlineStr">
        <is>
          <t>Fonction publique d'État</t>
        </is>
      </c>
      <c r="B419" s="7" t="inlineStr">
        <is>
          <t>sédentaire</t>
        </is>
      </c>
      <c r="C419" s="88" t="n">
        <v>1998</v>
      </c>
      <c r="D419" s="95" t="n">
        <v>64</v>
      </c>
      <c r="E419" s="95" t="n">
        <v>67</v>
      </c>
      <c r="F419" s="85" t="n">
        <v>172</v>
      </c>
      <c r="G419" s="120" t="n">
        <v>0.0125</v>
      </c>
      <c r="H419" s="120" t="n">
        <v>0.0125</v>
      </c>
      <c r="I419" s="95" t="n">
        <v>2.4</v>
      </c>
      <c r="J419" s="95" t="n">
        <v>66.40000000000001</v>
      </c>
      <c r="K419" s="95" t="n">
        <v>1.01</v>
      </c>
      <c r="L419" s="85" t="n">
        <v>0</v>
      </c>
    </row>
    <row r="420">
      <c r="A420" s="84" t="inlineStr">
        <is>
          <t>Fonction publique d'État</t>
        </is>
      </c>
      <c r="B420" s="7" t="inlineStr">
        <is>
          <t>sédentaire</t>
        </is>
      </c>
      <c r="C420" s="88" t="n">
        <v>1999</v>
      </c>
      <c r="D420" s="95" t="n">
        <v>64</v>
      </c>
      <c r="E420" s="95" t="n">
        <v>67</v>
      </c>
      <c r="F420" s="85" t="n">
        <v>172</v>
      </c>
      <c r="G420" s="120" t="n">
        <v>0.0125</v>
      </c>
      <c r="H420" s="120" t="n">
        <v>0.0125</v>
      </c>
      <c r="I420" s="95" t="n">
        <v>2.4</v>
      </c>
      <c r="J420" s="95" t="n">
        <v>66.40000000000001</v>
      </c>
      <c r="K420" s="95" t="n">
        <v>1.01</v>
      </c>
      <c r="L420" s="85" t="n">
        <v>0</v>
      </c>
    </row>
    <row r="421">
      <c r="A421" s="84" t="inlineStr">
        <is>
          <t>Fonction publique d'État</t>
        </is>
      </c>
      <c r="B421" s="7" t="inlineStr">
        <is>
          <t>sédentaire</t>
        </is>
      </c>
      <c r="C421" s="88" t="n">
        <v>2000</v>
      </c>
      <c r="D421" s="95" t="n">
        <v>64</v>
      </c>
      <c r="E421" s="95" t="n">
        <v>67</v>
      </c>
      <c r="F421" s="85" t="n">
        <v>172</v>
      </c>
      <c r="G421" s="120" t="n">
        <v>0.0125</v>
      </c>
      <c r="H421" s="120" t="n">
        <v>0.0125</v>
      </c>
      <c r="I421" s="95" t="n">
        <v>2.4</v>
      </c>
      <c r="J421" s="95" t="n">
        <v>66.40000000000001</v>
      </c>
      <c r="K421" s="95" t="n">
        <v>1.01</v>
      </c>
      <c r="L421" s="85" t="n">
        <v>0</v>
      </c>
    </row>
    <row r="422">
      <c r="A422" s="84" t="inlineStr">
        <is>
          <t>Fonction publique d'État</t>
        </is>
      </c>
      <c r="B422" s="7" t="inlineStr">
        <is>
          <t>sédentaire</t>
        </is>
      </c>
      <c r="C422" s="88" t="n">
        <v>2001</v>
      </c>
      <c r="D422" s="95" t="n">
        <v>64</v>
      </c>
      <c r="E422" s="95" t="n">
        <v>67</v>
      </c>
      <c r="F422" s="85" t="n">
        <v>172</v>
      </c>
      <c r="G422" s="120" t="n">
        <v>0.0125</v>
      </c>
      <c r="H422" s="120" t="n">
        <v>0.0125</v>
      </c>
      <c r="I422" s="95" t="n">
        <v>2.4</v>
      </c>
      <c r="J422" s="95" t="n">
        <v>66.40000000000001</v>
      </c>
      <c r="K422" s="95" t="n">
        <v>1.01</v>
      </c>
      <c r="L422" s="85" t="n">
        <v>0</v>
      </c>
    </row>
    <row r="423">
      <c r="A423" s="84" t="inlineStr">
        <is>
          <t>Fonction publique d'État</t>
        </is>
      </c>
      <c r="B423" s="7" t="inlineStr">
        <is>
          <t>sédentaire</t>
        </is>
      </c>
      <c r="C423" s="88" t="n">
        <v>2002</v>
      </c>
      <c r="D423" s="95" t="n">
        <v>64</v>
      </c>
      <c r="E423" s="95" t="n">
        <v>67</v>
      </c>
      <c r="F423" s="85" t="n">
        <v>172</v>
      </c>
      <c r="G423" s="120" t="n">
        <v>0.0125</v>
      </c>
      <c r="H423" s="120" t="n">
        <v>0.0125</v>
      </c>
      <c r="I423" s="95" t="n">
        <v>2.4</v>
      </c>
      <c r="J423" s="95" t="n">
        <v>66.40000000000001</v>
      </c>
      <c r="K423" s="95" t="n">
        <v>1.01</v>
      </c>
      <c r="L423" s="85" t="n">
        <v>0</v>
      </c>
    </row>
    <row r="424">
      <c r="A424" s="84" t="inlineStr">
        <is>
          <t>Fonction publique d'État</t>
        </is>
      </c>
      <c r="B424" s="7" t="inlineStr">
        <is>
          <t>sédentaire</t>
        </is>
      </c>
      <c r="C424" s="88" t="n">
        <v>2003</v>
      </c>
      <c r="D424" s="95" t="n">
        <v>64</v>
      </c>
      <c r="E424" s="95" t="n">
        <v>67</v>
      </c>
      <c r="F424" s="85" t="n">
        <v>172</v>
      </c>
      <c r="G424" s="120" t="n">
        <v>0.0125</v>
      </c>
      <c r="H424" s="120" t="n">
        <v>0.0125</v>
      </c>
      <c r="I424" s="95" t="n">
        <v>2.4</v>
      </c>
      <c r="J424" s="95" t="n">
        <v>66.40000000000001</v>
      </c>
      <c r="K424" s="95" t="n">
        <v>1.01</v>
      </c>
      <c r="L424" s="85" t="n">
        <v>0</v>
      </c>
    </row>
    <row r="425">
      <c r="A425" s="84" t="inlineStr">
        <is>
          <t>Fonction publique d'État</t>
        </is>
      </c>
      <c r="B425" s="7" t="inlineStr">
        <is>
          <t>sédentaire</t>
        </is>
      </c>
      <c r="C425" s="88" t="n">
        <v>2004</v>
      </c>
      <c r="D425" s="95" t="n">
        <v>64</v>
      </c>
      <c r="E425" s="95" t="n">
        <v>67</v>
      </c>
      <c r="F425" s="85" t="n">
        <v>172</v>
      </c>
      <c r="G425" s="120" t="n">
        <v>0.0125</v>
      </c>
      <c r="H425" s="120" t="n">
        <v>0.0125</v>
      </c>
      <c r="I425" s="95" t="n">
        <v>2.4</v>
      </c>
      <c r="J425" s="95" t="n">
        <v>66.40000000000001</v>
      </c>
      <c r="K425" s="95" t="n">
        <v>1.01</v>
      </c>
      <c r="L425" s="85" t="n">
        <v>0</v>
      </c>
    </row>
    <row r="426">
      <c r="A426" s="84" t="inlineStr">
        <is>
          <t>Fonction publique d'État</t>
        </is>
      </c>
      <c r="B426" s="7" t="inlineStr">
        <is>
          <t>sédentaire</t>
        </is>
      </c>
      <c r="C426" s="88" t="n">
        <v>2005</v>
      </c>
      <c r="D426" s="95" t="n">
        <v>64</v>
      </c>
      <c r="E426" s="95" t="n">
        <v>67</v>
      </c>
      <c r="F426" s="85" t="n">
        <v>172</v>
      </c>
      <c r="G426" s="120" t="n">
        <v>0.0125</v>
      </c>
      <c r="H426" s="120" t="n">
        <v>0.0125</v>
      </c>
      <c r="I426" s="95" t="n">
        <v>2.4</v>
      </c>
      <c r="J426" s="95" t="n">
        <v>66.40000000000001</v>
      </c>
      <c r="K426" s="95" t="n">
        <v>1.01</v>
      </c>
      <c r="L426" s="85" t="n">
        <v>0</v>
      </c>
    </row>
    <row r="427">
      <c r="A427" s="84" t="inlineStr">
        <is>
          <t>Fonction publique d'État</t>
        </is>
      </c>
      <c r="B427" s="7" t="inlineStr">
        <is>
          <t>sédentaire</t>
        </is>
      </c>
      <c r="C427" s="88" t="n">
        <v>2006</v>
      </c>
      <c r="D427" s="95" t="n">
        <v>64</v>
      </c>
      <c r="E427" s="95" t="n">
        <v>67</v>
      </c>
      <c r="F427" s="85" t="n">
        <v>172</v>
      </c>
      <c r="G427" s="120" t="n">
        <v>0.0125</v>
      </c>
      <c r="H427" s="120" t="n">
        <v>0.0125</v>
      </c>
      <c r="I427" s="95" t="n">
        <v>2.4</v>
      </c>
      <c r="J427" s="95" t="n">
        <v>66.40000000000001</v>
      </c>
      <c r="K427" s="95" t="n">
        <v>1.01</v>
      </c>
      <c r="L427" s="85" t="n">
        <v>0</v>
      </c>
    </row>
    <row r="428">
      <c r="A428" s="84" t="inlineStr">
        <is>
          <t>Fonction publique d'État</t>
        </is>
      </c>
      <c r="B428" s="7" t="inlineStr">
        <is>
          <t>sédentaire</t>
        </is>
      </c>
      <c r="C428" s="88" t="n">
        <v>2007</v>
      </c>
      <c r="D428" s="95" t="n">
        <v>64</v>
      </c>
      <c r="E428" s="95" t="n">
        <v>67</v>
      </c>
      <c r="F428" s="85" t="n">
        <v>172</v>
      </c>
      <c r="G428" s="120" t="n">
        <v>0.0125</v>
      </c>
      <c r="H428" s="120" t="n">
        <v>0.0125</v>
      </c>
      <c r="I428" s="95" t="n">
        <v>2.4</v>
      </c>
      <c r="J428" s="95" t="n">
        <v>66.40000000000001</v>
      </c>
      <c r="K428" s="95" t="n">
        <v>1.01</v>
      </c>
      <c r="L428" s="85" t="n">
        <v>0</v>
      </c>
    </row>
    <row r="429">
      <c r="A429" s="84" t="inlineStr">
        <is>
          <t>Fonction publique d'État</t>
        </is>
      </c>
      <c r="B429" s="7" t="inlineStr">
        <is>
          <t>sédentaire</t>
        </is>
      </c>
      <c r="C429" s="88" t="n">
        <v>2008</v>
      </c>
      <c r="D429" s="95" t="n">
        <v>64</v>
      </c>
      <c r="E429" s="95" t="n">
        <v>67</v>
      </c>
      <c r="F429" s="85" t="n">
        <v>172</v>
      </c>
      <c r="G429" s="120" t="n">
        <v>0.0125</v>
      </c>
      <c r="H429" s="120" t="n">
        <v>0.0125</v>
      </c>
      <c r="I429" s="95" t="n">
        <v>2.4</v>
      </c>
      <c r="J429" s="95" t="n">
        <v>66.40000000000001</v>
      </c>
      <c r="K429" s="95" t="n">
        <v>1.01</v>
      </c>
      <c r="L429" s="85" t="n">
        <v>0</v>
      </c>
    </row>
    <row r="430">
      <c r="A430" s="84" t="inlineStr">
        <is>
          <t>Fonction publique d'État</t>
        </is>
      </c>
      <c r="B430" s="7" t="inlineStr">
        <is>
          <t>sédentaire</t>
        </is>
      </c>
      <c r="C430" s="88" t="n">
        <v>2009</v>
      </c>
      <c r="D430" s="95" t="n">
        <v>64</v>
      </c>
      <c r="E430" s="95" t="n">
        <v>67</v>
      </c>
      <c r="F430" s="85" t="n">
        <v>172</v>
      </c>
      <c r="G430" s="120" t="n">
        <v>0.0125</v>
      </c>
      <c r="H430" s="120" t="n">
        <v>0.0125</v>
      </c>
      <c r="I430" s="95" t="n">
        <v>2.4</v>
      </c>
      <c r="J430" s="95" t="n">
        <v>66.40000000000001</v>
      </c>
      <c r="K430" s="95" t="n">
        <v>1.01</v>
      </c>
      <c r="L430" s="85" t="n">
        <v>0</v>
      </c>
    </row>
    <row r="431">
      <c r="A431" s="84" t="inlineStr">
        <is>
          <t>Fonction publique d'État</t>
        </is>
      </c>
      <c r="B431" s="7" t="inlineStr">
        <is>
          <t>sédentaire</t>
        </is>
      </c>
      <c r="C431" s="88" t="n">
        <v>2010</v>
      </c>
      <c r="D431" s="95" t="n">
        <v>64</v>
      </c>
      <c r="E431" s="95" t="n">
        <v>67</v>
      </c>
      <c r="F431" s="85" t="n">
        <v>172</v>
      </c>
      <c r="G431" s="120" t="n">
        <v>0.0125</v>
      </c>
      <c r="H431" s="120" t="n">
        <v>0.0125</v>
      </c>
      <c r="I431" s="95" t="n">
        <v>2.4</v>
      </c>
      <c r="J431" s="95" t="n">
        <v>66.40000000000001</v>
      </c>
      <c r="K431" s="95" t="n">
        <v>1.01</v>
      </c>
      <c r="L431" s="85" t="n">
        <v>0</v>
      </c>
    </row>
    <row r="432">
      <c r="A432" s="84" t="inlineStr">
        <is>
          <t>Fonction publique d'État</t>
        </is>
      </c>
      <c r="B432" s="7" t="inlineStr">
        <is>
          <t>sédentaire</t>
        </is>
      </c>
      <c r="C432" s="88" t="n">
        <v>2011</v>
      </c>
      <c r="D432" s="95" t="n">
        <v>64</v>
      </c>
      <c r="E432" s="95" t="n">
        <v>67</v>
      </c>
      <c r="F432" s="85" t="n">
        <v>172</v>
      </c>
      <c r="G432" s="120" t="n">
        <v>0.0125</v>
      </c>
      <c r="H432" s="120" t="n">
        <v>0.0125</v>
      </c>
      <c r="I432" s="95" t="n">
        <v>2.4</v>
      </c>
      <c r="J432" s="95" t="n">
        <v>66.40000000000001</v>
      </c>
      <c r="K432" s="95" t="n">
        <v>1.01</v>
      </c>
      <c r="L432" s="85" t="n">
        <v>0</v>
      </c>
    </row>
    <row r="433">
      <c r="A433" s="84" t="inlineStr">
        <is>
          <t>Fonction publique d'État</t>
        </is>
      </c>
      <c r="B433" s="7" t="inlineStr">
        <is>
          <t>sédentaire</t>
        </is>
      </c>
      <c r="C433" s="88" t="n">
        <v>2012</v>
      </c>
      <c r="D433" s="95" t="n">
        <v>64</v>
      </c>
      <c r="E433" s="95" t="n">
        <v>67</v>
      </c>
      <c r="F433" s="85" t="n">
        <v>172</v>
      </c>
      <c r="G433" s="120" t="n">
        <v>0.0125</v>
      </c>
      <c r="H433" s="120" t="n">
        <v>0.0125</v>
      </c>
      <c r="I433" s="95" t="n">
        <v>2.4</v>
      </c>
      <c r="J433" s="95" t="n">
        <v>66.40000000000001</v>
      </c>
      <c r="K433" s="95" t="n">
        <v>1.01</v>
      </c>
      <c r="L433" s="85" t="n">
        <v>0</v>
      </c>
    </row>
    <row r="434">
      <c r="A434" s="84" t="inlineStr">
        <is>
          <t>Fonction publique d'État</t>
        </is>
      </c>
      <c r="B434" s="7" t="inlineStr">
        <is>
          <t>sédentaire</t>
        </is>
      </c>
      <c r="C434" s="88" t="n">
        <v>2013</v>
      </c>
      <c r="D434" s="95" t="n">
        <v>64</v>
      </c>
      <c r="E434" s="95" t="n">
        <v>67</v>
      </c>
      <c r="F434" s="85" t="n">
        <v>172</v>
      </c>
      <c r="G434" s="120" t="n">
        <v>0.0125</v>
      </c>
      <c r="H434" s="120" t="n">
        <v>0.0125</v>
      </c>
      <c r="I434" s="95" t="n">
        <v>2.4</v>
      </c>
      <c r="J434" s="95" t="n">
        <v>66.40000000000001</v>
      </c>
      <c r="K434" s="95" t="n">
        <v>1.01</v>
      </c>
      <c r="L434" s="85" t="n">
        <v>0</v>
      </c>
    </row>
    <row r="435">
      <c r="A435" s="84" t="inlineStr">
        <is>
          <t>Fonction publique d'État</t>
        </is>
      </c>
      <c r="B435" s="7" t="inlineStr">
        <is>
          <t>sédentaire</t>
        </is>
      </c>
      <c r="C435" s="88" t="n">
        <v>2014</v>
      </c>
      <c r="D435" s="95" t="n">
        <v>64</v>
      </c>
      <c r="E435" s="95" t="n">
        <v>67</v>
      </c>
      <c r="F435" s="85" t="n">
        <v>172</v>
      </c>
      <c r="G435" s="120" t="n">
        <v>0.0125</v>
      </c>
      <c r="H435" s="120" t="n">
        <v>0.0125</v>
      </c>
      <c r="I435" s="95" t="n">
        <v>2.4</v>
      </c>
      <c r="J435" s="95" t="n">
        <v>66.40000000000001</v>
      </c>
      <c r="K435" s="95" t="n">
        <v>1.01</v>
      </c>
      <c r="L435" s="85" t="n">
        <v>0</v>
      </c>
    </row>
    <row r="436">
      <c r="A436" s="84" t="inlineStr">
        <is>
          <t>Fonction publique d'État</t>
        </is>
      </c>
      <c r="B436" s="7" t="inlineStr">
        <is>
          <t>sédentaire</t>
        </is>
      </c>
      <c r="C436" s="88" t="n">
        <v>2015</v>
      </c>
      <c r="D436" s="95" t="n">
        <v>64</v>
      </c>
      <c r="E436" s="95" t="n">
        <v>67</v>
      </c>
      <c r="F436" s="85" t="n">
        <v>172</v>
      </c>
      <c r="G436" s="120" t="n">
        <v>0.0125</v>
      </c>
      <c r="H436" s="120" t="n">
        <v>0.0125</v>
      </c>
      <c r="I436" s="95" t="n">
        <v>2.4</v>
      </c>
      <c r="J436" s="95" t="n">
        <v>66.40000000000001</v>
      </c>
      <c r="K436" s="95" t="n">
        <v>1.01</v>
      </c>
      <c r="L436" s="85" t="n">
        <v>0</v>
      </c>
    </row>
    <row r="437">
      <c r="A437" s="84" t="inlineStr">
        <is>
          <t>Fonction publique d'État</t>
        </is>
      </c>
      <c r="B437" s="7" t="inlineStr">
        <is>
          <t>sédentaire</t>
        </is>
      </c>
      <c r="C437" s="88" t="n">
        <v>2016</v>
      </c>
      <c r="D437" s="95" t="n">
        <v>64</v>
      </c>
      <c r="E437" s="95" t="n">
        <v>67</v>
      </c>
      <c r="F437" s="85" t="n">
        <v>172</v>
      </c>
      <c r="G437" s="120" t="n">
        <v>0.0125</v>
      </c>
      <c r="H437" s="120" t="n">
        <v>0.0125</v>
      </c>
      <c r="I437" s="95" t="n">
        <v>2.4</v>
      </c>
      <c r="J437" s="95" t="n">
        <v>66.40000000000001</v>
      </c>
      <c r="K437" s="95" t="n">
        <v>1.01</v>
      </c>
      <c r="L437" s="85" t="n">
        <v>0</v>
      </c>
    </row>
    <row r="438">
      <c r="A438" s="84" t="inlineStr">
        <is>
          <t>Fonction publique d'État</t>
        </is>
      </c>
      <c r="B438" s="7" t="inlineStr">
        <is>
          <t>sédentaire</t>
        </is>
      </c>
      <c r="C438" s="88" t="n">
        <v>2017</v>
      </c>
      <c r="D438" s="95" t="n">
        <v>64</v>
      </c>
      <c r="E438" s="95" t="n">
        <v>67</v>
      </c>
      <c r="F438" s="85" t="n">
        <v>172</v>
      </c>
      <c r="G438" s="120" t="n">
        <v>0.0125</v>
      </c>
      <c r="H438" s="120" t="n">
        <v>0.0125</v>
      </c>
      <c r="I438" s="95" t="n">
        <v>2.4</v>
      </c>
      <c r="J438" s="95" t="n">
        <v>66.40000000000001</v>
      </c>
      <c r="K438" s="95" t="n">
        <v>1.01</v>
      </c>
      <c r="L438" s="85" t="n">
        <v>0</v>
      </c>
    </row>
    <row r="439">
      <c r="A439" s="84" t="inlineStr">
        <is>
          <t>Fonction publique d'État</t>
        </is>
      </c>
      <c r="B439" s="7" t="inlineStr">
        <is>
          <t>sédentaire</t>
        </is>
      </c>
      <c r="C439" s="88" t="n">
        <v>2018</v>
      </c>
      <c r="D439" s="95" t="n">
        <v>64</v>
      </c>
      <c r="E439" s="95" t="n">
        <v>67</v>
      </c>
      <c r="F439" s="85" t="n">
        <v>172</v>
      </c>
      <c r="G439" s="120" t="n">
        <v>0.0125</v>
      </c>
      <c r="H439" s="120" t="n">
        <v>0.0125</v>
      </c>
      <c r="I439" s="95" t="n">
        <v>2.4</v>
      </c>
      <c r="J439" s="95" t="n">
        <v>66.40000000000001</v>
      </c>
      <c r="K439" s="95" t="n">
        <v>1.01</v>
      </c>
      <c r="L439" s="85" t="n">
        <v>0</v>
      </c>
    </row>
    <row r="440">
      <c r="A440" s="84" t="inlineStr">
        <is>
          <t>Fonction publique d'État</t>
        </is>
      </c>
      <c r="B440" s="7" t="inlineStr">
        <is>
          <t>sédentaire</t>
        </is>
      </c>
      <c r="C440" s="88" t="n">
        <v>2019</v>
      </c>
      <c r="D440" s="95" t="n">
        <v>64</v>
      </c>
      <c r="E440" s="95" t="n">
        <v>67</v>
      </c>
      <c r="F440" s="85" t="n">
        <v>172</v>
      </c>
      <c r="G440" s="120" t="n">
        <v>0.0125</v>
      </c>
      <c r="H440" s="120" t="n">
        <v>0.0125</v>
      </c>
      <c r="I440" s="95" t="n">
        <v>2.4</v>
      </c>
      <c r="J440" s="95" t="n">
        <v>66.40000000000001</v>
      </c>
      <c r="K440" s="95" t="n">
        <v>1.01</v>
      </c>
      <c r="L440" s="85" t="n">
        <v>0</v>
      </c>
    </row>
    <row r="441">
      <c r="A441" s="84" t="inlineStr">
        <is>
          <t>Fonction publique d'État</t>
        </is>
      </c>
      <c r="B441" s="7" t="inlineStr">
        <is>
          <t>sédentaire</t>
        </is>
      </c>
      <c r="C441" s="88" t="n">
        <v>2020</v>
      </c>
      <c r="D441" s="95" t="n">
        <v>64</v>
      </c>
      <c r="E441" s="95" t="n">
        <v>67</v>
      </c>
      <c r="F441" s="85" t="n">
        <v>172</v>
      </c>
      <c r="G441" s="120" t="n">
        <v>0.0125</v>
      </c>
      <c r="H441" s="120" t="n">
        <v>0.0125</v>
      </c>
      <c r="I441" s="95" t="n">
        <v>2.4</v>
      </c>
      <c r="J441" s="95" t="n">
        <v>66.40000000000001</v>
      </c>
      <c r="K441" s="95" t="n">
        <v>1.01</v>
      </c>
      <c r="L441" s="85" t="n">
        <v>0</v>
      </c>
    </row>
    <row r="442">
      <c r="A442" s="84" t="inlineStr">
        <is>
          <t>Fonction publique d'État</t>
        </is>
      </c>
      <c r="B442" s="7" t="inlineStr">
        <is>
          <t>sédentaire</t>
        </is>
      </c>
      <c r="C442" s="88" t="n">
        <v>2021</v>
      </c>
      <c r="D442" s="95" t="n">
        <v>64</v>
      </c>
      <c r="E442" s="95" t="n">
        <v>67</v>
      </c>
      <c r="F442" s="85" t="n">
        <v>172</v>
      </c>
      <c r="G442" s="120" t="n">
        <v>0.0125</v>
      </c>
      <c r="H442" s="120" t="n">
        <v>0.0125</v>
      </c>
      <c r="I442" s="95" t="n">
        <v>2.4</v>
      </c>
      <c r="J442" s="95" t="n">
        <v>66.40000000000001</v>
      </c>
      <c r="K442" s="95" t="n">
        <v>1.01</v>
      </c>
      <c r="L442" s="85" t="n">
        <v>0</v>
      </c>
    </row>
    <row r="443">
      <c r="A443" s="84" t="inlineStr">
        <is>
          <t>Fonction publique d'État</t>
        </is>
      </c>
      <c r="B443" s="7" t="inlineStr">
        <is>
          <t>sédentaire</t>
        </is>
      </c>
      <c r="C443" s="88" t="n">
        <v>2022</v>
      </c>
      <c r="D443" s="95" t="n">
        <v>64</v>
      </c>
      <c r="E443" s="95" t="n">
        <v>67</v>
      </c>
      <c r="F443" s="85" t="n">
        <v>172</v>
      </c>
      <c r="G443" s="120" t="n">
        <v>0.0125</v>
      </c>
      <c r="H443" s="120" t="n">
        <v>0.0125</v>
      </c>
      <c r="I443" s="95" t="n">
        <v>2.4</v>
      </c>
      <c r="J443" s="95" t="n">
        <v>66.40000000000001</v>
      </c>
      <c r="K443" s="95" t="n">
        <v>1.01</v>
      </c>
      <c r="L443" s="85" t="n">
        <v>0</v>
      </c>
    </row>
    <row r="444">
      <c r="A444" s="84" t="inlineStr">
        <is>
          <t>Fonction publique d'État</t>
        </is>
      </c>
      <c r="B444" s="7" t="inlineStr">
        <is>
          <t>sédentaire</t>
        </is>
      </c>
      <c r="C444" s="88" t="n">
        <v>2023</v>
      </c>
      <c r="D444" s="95" t="n">
        <v>64</v>
      </c>
      <c r="E444" s="95" t="n">
        <v>67</v>
      </c>
      <c r="F444" s="85" t="n">
        <v>172</v>
      </c>
      <c r="G444" s="120" t="n">
        <v>0.0125</v>
      </c>
      <c r="H444" s="120" t="n">
        <v>0.0125</v>
      </c>
      <c r="I444" s="95" t="n">
        <v>2.4</v>
      </c>
      <c r="J444" s="95" t="n">
        <v>66.40000000000001</v>
      </c>
      <c r="K444" s="95" t="n">
        <v>1.01</v>
      </c>
      <c r="L444" s="85" t="n">
        <v>0</v>
      </c>
    </row>
    <row r="445">
      <c r="A445" s="84" t="inlineStr">
        <is>
          <t>Fonction publique d'État</t>
        </is>
      </c>
      <c r="B445" s="7" t="inlineStr">
        <is>
          <t>sédentaire</t>
        </is>
      </c>
      <c r="C445" s="88" t="n">
        <v>2024</v>
      </c>
      <c r="D445" s="95" t="n">
        <v>64</v>
      </c>
      <c r="E445" s="95" t="n">
        <v>67</v>
      </c>
      <c r="F445" s="85" t="n">
        <v>172</v>
      </c>
      <c r="G445" s="120" t="n">
        <v>0.0125</v>
      </c>
      <c r="H445" s="120" t="n">
        <v>0.0125</v>
      </c>
      <c r="I445" s="95" t="n">
        <v>2.4</v>
      </c>
      <c r="J445" s="95" t="n">
        <v>66.40000000000001</v>
      </c>
      <c r="K445" s="95" t="n">
        <v>1.01</v>
      </c>
      <c r="L445" s="85" t="n">
        <v>0</v>
      </c>
    </row>
    <row r="446">
      <c r="A446" s="84" t="inlineStr">
        <is>
          <t>Fonction publique d'État</t>
        </is>
      </c>
      <c r="B446" s="7" t="inlineStr">
        <is>
          <t>sédentaire</t>
        </is>
      </c>
      <c r="C446" s="88" t="n">
        <v>2025</v>
      </c>
      <c r="D446" s="95" t="n">
        <v>64</v>
      </c>
      <c r="E446" s="95" t="n">
        <v>67</v>
      </c>
      <c r="F446" s="85" t="n">
        <v>172</v>
      </c>
      <c r="G446" s="120" t="n">
        <v>0.0125</v>
      </c>
      <c r="H446" s="120" t="n">
        <v>0.0125</v>
      </c>
      <c r="I446" s="95" t="n">
        <v>2.4</v>
      </c>
      <c r="J446" s="95" t="n">
        <v>66.40000000000001</v>
      </c>
      <c r="K446" s="95" t="n">
        <v>1.01</v>
      </c>
      <c r="L446" s="85" t="n">
        <v>0</v>
      </c>
    </row>
    <row r="447">
      <c r="A447" s="84" t="inlineStr">
        <is>
          <t>Fonction publique d'État</t>
        </is>
      </c>
      <c r="B447" s="7" t="inlineStr">
        <is>
          <t>actif</t>
        </is>
      </c>
      <c r="C447" s="88" t="n">
        <v>1915</v>
      </c>
      <c r="D447" s="95" t="n">
        <v>55</v>
      </c>
      <c r="E447" s="95" t="n">
        <v>60</v>
      </c>
      <c r="F447" s="85" t="n">
        <v>150</v>
      </c>
      <c r="G447" s="120" t="n">
        <v>0</v>
      </c>
      <c r="H447" s="120" t="n">
        <v>0</v>
      </c>
      <c r="I447" s="95" t="n">
        <v>0.5</v>
      </c>
      <c r="J447" s="95" t="n">
        <v>55.5</v>
      </c>
      <c r="K447" s="95" t="n">
        <v>0.97</v>
      </c>
      <c r="L447" s="85" t="n">
        <v>0</v>
      </c>
    </row>
    <row r="448">
      <c r="A448" s="84" t="inlineStr">
        <is>
          <t>Fonction publique d'État</t>
        </is>
      </c>
      <c r="B448" s="7" t="inlineStr">
        <is>
          <t>actif</t>
        </is>
      </c>
      <c r="C448" s="88" t="n">
        <v>1916</v>
      </c>
      <c r="D448" s="95" t="n">
        <v>55</v>
      </c>
      <c r="E448" s="95" t="n">
        <v>60</v>
      </c>
      <c r="F448" s="85" t="n">
        <v>150</v>
      </c>
      <c r="G448" s="120" t="n">
        <v>0</v>
      </c>
      <c r="H448" s="120" t="n">
        <v>0</v>
      </c>
      <c r="I448" s="95" t="n">
        <v>0.5</v>
      </c>
      <c r="J448" s="95" t="n">
        <v>55.5</v>
      </c>
      <c r="K448" s="95" t="n">
        <v>0.97</v>
      </c>
      <c r="L448" s="85" t="n">
        <v>0</v>
      </c>
    </row>
    <row r="449">
      <c r="A449" s="84" t="inlineStr">
        <is>
          <t>Fonction publique d'État</t>
        </is>
      </c>
      <c r="B449" s="7" t="inlineStr">
        <is>
          <t>actif</t>
        </is>
      </c>
      <c r="C449" s="88" t="n">
        <v>1917</v>
      </c>
      <c r="D449" s="95" t="n">
        <v>55</v>
      </c>
      <c r="E449" s="95" t="n">
        <v>60</v>
      </c>
      <c r="F449" s="85" t="n">
        <v>150</v>
      </c>
      <c r="G449" s="120" t="n">
        <v>0</v>
      </c>
      <c r="H449" s="120" t="n">
        <v>0</v>
      </c>
      <c r="I449" s="95" t="n">
        <v>0.5</v>
      </c>
      <c r="J449" s="95" t="n">
        <v>55.5</v>
      </c>
      <c r="K449" s="95" t="n">
        <v>0.97</v>
      </c>
      <c r="L449" s="85" t="n">
        <v>0</v>
      </c>
    </row>
    <row r="450">
      <c r="A450" s="84" t="inlineStr">
        <is>
          <t>Fonction publique d'État</t>
        </is>
      </c>
      <c r="B450" s="7" t="inlineStr">
        <is>
          <t>actif</t>
        </is>
      </c>
      <c r="C450" s="88" t="n">
        <v>1918</v>
      </c>
      <c r="D450" s="95" t="n">
        <v>55</v>
      </c>
      <c r="E450" s="95" t="n">
        <v>60</v>
      </c>
      <c r="F450" s="85" t="n">
        <v>150</v>
      </c>
      <c r="G450" s="120" t="n">
        <v>0</v>
      </c>
      <c r="H450" s="120" t="n">
        <v>0</v>
      </c>
      <c r="I450" s="95" t="n">
        <v>0.5</v>
      </c>
      <c r="J450" s="95" t="n">
        <v>55.5</v>
      </c>
      <c r="K450" s="95" t="n">
        <v>0.97</v>
      </c>
      <c r="L450" s="85" t="n">
        <v>0</v>
      </c>
    </row>
    <row r="451">
      <c r="A451" s="84" t="inlineStr">
        <is>
          <t>Fonction publique d'État</t>
        </is>
      </c>
      <c r="B451" s="7" t="inlineStr">
        <is>
          <t>actif</t>
        </is>
      </c>
      <c r="C451" s="88" t="n">
        <v>1919</v>
      </c>
      <c r="D451" s="95" t="n">
        <v>55</v>
      </c>
      <c r="E451" s="95" t="n">
        <v>60</v>
      </c>
      <c r="F451" s="85" t="n">
        <v>150</v>
      </c>
      <c r="G451" s="120" t="n">
        <v>0</v>
      </c>
      <c r="H451" s="120" t="n">
        <v>0</v>
      </c>
      <c r="I451" s="95" t="n">
        <v>0.5</v>
      </c>
      <c r="J451" s="95" t="n">
        <v>55.5</v>
      </c>
      <c r="K451" s="95" t="n">
        <v>0.97</v>
      </c>
      <c r="L451" s="85" t="n">
        <v>0</v>
      </c>
    </row>
    <row r="452">
      <c r="A452" s="84" t="inlineStr">
        <is>
          <t>Fonction publique d'État</t>
        </is>
      </c>
      <c r="B452" s="7" t="inlineStr">
        <is>
          <t>actif</t>
        </is>
      </c>
      <c r="C452" s="88" t="n">
        <v>1920</v>
      </c>
      <c r="D452" s="95" t="n">
        <v>55</v>
      </c>
      <c r="E452" s="95" t="n">
        <v>60</v>
      </c>
      <c r="F452" s="85" t="n">
        <v>150</v>
      </c>
      <c r="G452" s="120" t="n">
        <v>0</v>
      </c>
      <c r="H452" s="120" t="n">
        <v>0</v>
      </c>
      <c r="I452" s="95" t="n">
        <v>0.5</v>
      </c>
      <c r="J452" s="95" t="n">
        <v>55.5</v>
      </c>
      <c r="K452" s="95" t="n">
        <v>0.97</v>
      </c>
      <c r="L452" s="85" t="n">
        <v>0</v>
      </c>
    </row>
    <row r="453">
      <c r="A453" s="84" t="inlineStr">
        <is>
          <t>Fonction publique d'État</t>
        </is>
      </c>
      <c r="B453" s="7" t="inlineStr">
        <is>
          <t>actif</t>
        </is>
      </c>
      <c r="C453" s="88" t="n">
        <v>1921</v>
      </c>
      <c r="D453" s="95" t="n">
        <v>55</v>
      </c>
      <c r="E453" s="95" t="n">
        <v>60</v>
      </c>
      <c r="F453" s="85" t="n">
        <v>150</v>
      </c>
      <c r="G453" s="120" t="n">
        <v>0</v>
      </c>
      <c r="H453" s="120" t="n">
        <v>0</v>
      </c>
      <c r="I453" s="95" t="n">
        <v>0.5</v>
      </c>
      <c r="J453" s="95" t="n">
        <v>55.5</v>
      </c>
      <c r="K453" s="95" t="n">
        <v>0.97</v>
      </c>
      <c r="L453" s="85" t="n">
        <v>0</v>
      </c>
    </row>
    <row r="454">
      <c r="A454" s="84" t="inlineStr">
        <is>
          <t>Fonction publique d'État</t>
        </is>
      </c>
      <c r="B454" s="7" t="inlineStr">
        <is>
          <t>actif</t>
        </is>
      </c>
      <c r="C454" s="88" t="n">
        <v>1922</v>
      </c>
      <c r="D454" s="95" t="n">
        <v>55</v>
      </c>
      <c r="E454" s="95" t="n">
        <v>60</v>
      </c>
      <c r="F454" s="85" t="n">
        <v>150</v>
      </c>
      <c r="G454" s="120" t="n">
        <v>0</v>
      </c>
      <c r="H454" s="120" t="n">
        <v>0</v>
      </c>
      <c r="I454" s="95" t="n">
        <v>0.5</v>
      </c>
      <c r="J454" s="95" t="n">
        <v>55.5</v>
      </c>
      <c r="K454" s="95" t="n">
        <v>0.97</v>
      </c>
      <c r="L454" s="85" t="n">
        <v>0</v>
      </c>
    </row>
    <row r="455">
      <c r="A455" s="84" t="inlineStr">
        <is>
          <t>Fonction publique d'État</t>
        </is>
      </c>
      <c r="B455" s="7" t="inlineStr">
        <is>
          <t>actif</t>
        </is>
      </c>
      <c r="C455" s="88" t="n">
        <v>1923</v>
      </c>
      <c r="D455" s="95" t="n">
        <v>55</v>
      </c>
      <c r="E455" s="95" t="n">
        <v>60</v>
      </c>
      <c r="F455" s="85" t="n">
        <v>150</v>
      </c>
      <c r="G455" s="120" t="n">
        <v>0</v>
      </c>
      <c r="H455" s="120" t="n">
        <v>0</v>
      </c>
      <c r="I455" s="95" t="n">
        <v>0.5</v>
      </c>
      <c r="J455" s="95" t="n">
        <v>55.5</v>
      </c>
      <c r="K455" s="95" t="n">
        <v>0.97</v>
      </c>
      <c r="L455" s="85" t="n">
        <v>0</v>
      </c>
    </row>
    <row r="456">
      <c r="A456" s="84" t="inlineStr">
        <is>
          <t>Fonction publique d'État</t>
        </is>
      </c>
      <c r="B456" s="7" t="inlineStr">
        <is>
          <t>actif</t>
        </is>
      </c>
      <c r="C456" s="88" t="n">
        <v>1924</v>
      </c>
      <c r="D456" s="95" t="n">
        <v>55</v>
      </c>
      <c r="E456" s="95" t="n">
        <v>60</v>
      </c>
      <c r="F456" s="85" t="n">
        <v>150</v>
      </c>
      <c r="G456" s="120" t="n">
        <v>0</v>
      </c>
      <c r="H456" s="120" t="n">
        <v>0</v>
      </c>
      <c r="I456" s="95" t="n">
        <v>0.5</v>
      </c>
      <c r="J456" s="95" t="n">
        <v>55.5</v>
      </c>
      <c r="K456" s="95" t="n">
        <v>0.97</v>
      </c>
      <c r="L456" s="85" t="n">
        <v>0</v>
      </c>
    </row>
    <row r="457">
      <c r="A457" s="84" t="inlineStr">
        <is>
          <t>Fonction publique d'État</t>
        </is>
      </c>
      <c r="B457" s="7" t="inlineStr">
        <is>
          <t>actif</t>
        </is>
      </c>
      <c r="C457" s="88" t="n">
        <v>1925</v>
      </c>
      <c r="D457" s="95" t="n">
        <v>55</v>
      </c>
      <c r="E457" s="95" t="n">
        <v>60</v>
      </c>
      <c r="F457" s="85" t="n">
        <v>150</v>
      </c>
      <c r="G457" s="120" t="n">
        <v>0</v>
      </c>
      <c r="H457" s="120" t="n">
        <v>0</v>
      </c>
      <c r="I457" s="95" t="n">
        <v>0.5</v>
      </c>
      <c r="J457" s="95" t="n">
        <v>55.5</v>
      </c>
      <c r="K457" s="95" t="n">
        <v>0.97</v>
      </c>
      <c r="L457" s="85" t="n">
        <v>0</v>
      </c>
    </row>
    <row r="458">
      <c r="A458" s="84" t="inlineStr">
        <is>
          <t>Fonction publique d'État</t>
        </is>
      </c>
      <c r="B458" s="7" t="inlineStr">
        <is>
          <t>actif</t>
        </is>
      </c>
      <c r="C458" s="88" t="n">
        <v>1926</v>
      </c>
      <c r="D458" s="95" t="n">
        <v>55</v>
      </c>
      <c r="E458" s="95" t="n">
        <v>60</v>
      </c>
      <c r="F458" s="85" t="n">
        <v>150</v>
      </c>
      <c r="G458" s="120" t="n">
        <v>0</v>
      </c>
      <c r="H458" s="120" t="n">
        <v>0</v>
      </c>
      <c r="I458" s="95" t="n">
        <v>0.5</v>
      </c>
      <c r="J458" s="95" t="n">
        <v>55.5</v>
      </c>
      <c r="K458" s="95" t="n">
        <v>0.97</v>
      </c>
      <c r="L458" s="85" t="n">
        <v>0</v>
      </c>
    </row>
    <row r="459">
      <c r="A459" s="84" t="inlineStr">
        <is>
          <t>Fonction publique d'État</t>
        </is>
      </c>
      <c r="B459" s="7" t="inlineStr">
        <is>
          <t>actif</t>
        </is>
      </c>
      <c r="C459" s="88" t="n">
        <v>1927</v>
      </c>
      <c r="D459" s="95" t="n">
        <v>55</v>
      </c>
      <c r="E459" s="95" t="n">
        <v>60</v>
      </c>
      <c r="F459" s="85" t="n">
        <v>150</v>
      </c>
      <c r="G459" s="120" t="n">
        <v>0</v>
      </c>
      <c r="H459" s="120" t="n">
        <v>0</v>
      </c>
      <c r="I459" s="95" t="n">
        <v>0.5</v>
      </c>
      <c r="J459" s="95" t="n">
        <v>55.5</v>
      </c>
      <c r="K459" s="95" t="n">
        <v>0.97</v>
      </c>
      <c r="L459" s="85" t="n">
        <v>0</v>
      </c>
    </row>
    <row r="460">
      <c r="A460" s="84" t="inlineStr">
        <is>
          <t>Fonction publique d'État</t>
        </is>
      </c>
      <c r="B460" s="7" t="inlineStr">
        <is>
          <t>actif</t>
        </is>
      </c>
      <c r="C460" s="88" t="n">
        <v>1928</v>
      </c>
      <c r="D460" s="95" t="n">
        <v>55</v>
      </c>
      <c r="E460" s="95" t="n">
        <v>60</v>
      </c>
      <c r="F460" s="85" t="n">
        <v>150</v>
      </c>
      <c r="G460" s="120" t="n">
        <v>0</v>
      </c>
      <c r="H460" s="120" t="n">
        <v>0</v>
      </c>
      <c r="I460" s="95" t="n">
        <v>0.5</v>
      </c>
      <c r="J460" s="95" t="n">
        <v>55.5</v>
      </c>
      <c r="K460" s="95" t="n">
        <v>0.97</v>
      </c>
      <c r="L460" s="85" t="n">
        <v>0</v>
      </c>
    </row>
    <row r="461">
      <c r="A461" s="84" t="inlineStr">
        <is>
          <t>Fonction publique d'État</t>
        </is>
      </c>
      <c r="B461" s="7" t="inlineStr">
        <is>
          <t>actif</t>
        </is>
      </c>
      <c r="C461" s="88" t="n">
        <v>1929</v>
      </c>
      <c r="D461" s="95" t="n">
        <v>55</v>
      </c>
      <c r="E461" s="95" t="n">
        <v>60</v>
      </c>
      <c r="F461" s="85" t="n">
        <v>150</v>
      </c>
      <c r="G461" s="120" t="n">
        <v>0</v>
      </c>
      <c r="H461" s="120" t="n">
        <v>0</v>
      </c>
      <c r="I461" s="95" t="n">
        <v>0.5</v>
      </c>
      <c r="J461" s="95" t="n">
        <v>55.5</v>
      </c>
      <c r="K461" s="95" t="n">
        <v>0.97</v>
      </c>
      <c r="L461" s="85" t="n">
        <v>0</v>
      </c>
    </row>
    <row r="462">
      <c r="A462" s="84" t="inlineStr">
        <is>
          <t>Fonction publique d'État</t>
        </is>
      </c>
      <c r="B462" s="7" t="inlineStr">
        <is>
          <t>actif</t>
        </is>
      </c>
      <c r="C462" s="88" t="n">
        <v>1930</v>
      </c>
      <c r="D462" s="95" t="n">
        <v>55</v>
      </c>
      <c r="E462" s="95" t="n">
        <v>60</v>
      </c>
      <c r="F462" s="85" t="n">
        <v>150</v>
      </c>
      <c r="G462" s="120" t="n">
        <v>0</v>
      </c>
      <c r="H462" s="120" t="n">
        <v>0</v>
      </c>
      <c r="I462" s="95" t="n">
        <v>0.5</v>
      </c>
      <c r="J462" s="95" t="n">
        <v>55.5</v>
      </c>
      <c r="K462" s="95" t="n">
        <v>0.97</v>
      </c>
      <c r="L462" s="85" t="n">
        <v>0</v>
      </c>
    </row>
    <row r="463">
      <c r="A463" s="84" t="inlineStr">
        <is>
          <t>Fonction publique d'État</t>
        </is>
      </c>
      <c r="B463" s="7" t="inlineStr">
        <is>
          <t>actif</t>
        </is>
      </c>
      <c r="C463" s="88" t="n">
        <v>1931</v>
      </c>
      <c r="D463" s="95" t="n">
        <v>55</v>
      </c>
      <c r="E463" s="95" t="n">
        <v>60</v>
      </c>
      <c r="F463" s="85" t="n">
        <v>150</v>
      </c>
      <c r="G463" s="120" t="n">
        <v>0</v>
      </c>
      <c r="H463" s="120" t="n">
        <v>0</v>
      </c>
      <c r="I463" s="95" t="n">
        <v>0.5</v>
      </c>
      <c r="J463" s="95" t="n">
        <v>55.5</v>
      </c>
      <c r="K463" s="95" t="n">
        <v>0.97</v>
      </c>
      <c r="L463" s="85" t="n">
        <v>0</v>
      </c>
    </row>
    <row r="464">
      <c r="A464" s="84" t="inlineStr">
        <is>
          <t>Fonction publique d'État</t>
        </is>
      </c>
      <c r="B464" s="7" t="inlineStr">
        <is>
          <t>actif</t>
        </is>
      </c>
      <c r="C464" s="88" t="n">
        <v>1932</v>
      </c>
      <c r="D464" s="95" t="n">
        <v>55</v>
      </c>
      <c r="E464" s="95" t="n">
        <v>60</v>
      </c>
      <c r="F464" s="85" t="n">
        <v>150</v>
      </c>
      <c r="G464" s="120" t="n">
        <v>0</v>
      </c>
      <c r="H464" s="120" t="n">
        <v>0</v>
      </c>
      <c r="I464" s="95" t="n">
        <v>0.5</v>
      </c>
      <c r="J464" s="95" t="n">
        <v>55.5</v>
      </c>
      <c r="K464" s="95" t="n">
        <v>0.97</v>
      </c>
      <c r="L464" s="85" t="n">
        <v>0</v>
      </c>
    </row>
    <row r="465">
      <c r="A465" s="84" t="inlineStr">
        <is>
          <t>Fonction publique d'État</t>
        </is>
      </c>
      <c r="B465" s="7" t="inlineStr">
        <is>
          <t>actif</t>
        </is>
      </c>
      <c r="C465" s="88" t="n">
        <v>1933</v>
      </c>
      <c r="D465" s="95" t="n">
        <v>55</v>
      </c>
      <c r="E465" s="95" t="n">
        <v>60</v>
      </c>
      <c r="F465" s="85" t="n">
        <v>150</v>
      </c>
      <c r="G465" s="120" t="n">
        <v>0</v>
      </c>
      <c r="H465" s="120" t="n">
        <v>0</v>
      </c>
      <c r="I465" s="95" t="n">
        <v>0.5</v>
      </c>
      <c r="J465" s="95" t="n">
        <v>55.5</v>
      </c>
      <c r="K465" s="95" t="n">
        <v>0.97</v>
      </c>
      <c r="L465" s="85" t="n">
        <v>0</v>
      </c>
    </row>
    <row r="466">
      <c r="A466" s="84" t="inlineStr">
        <is>
          <t>Fonction publique d'État</t>
        </is>
      </c>
      <c r="B466" s="7" t="inlineStr">
        <is>
          <t>actif</t>
        </is>
      </c>
      <c r="C466" s="88" t="n">
        <v>1934</v>
      </c>
      <c r="D466" s="95" t="n">
        <v>55</v>
      </c>
      <c r="E466" s="95" t="n">
        <v>60</v>
      </c>
      <c r="F466" s="85" t="n">
        <v>150</v>
      </c>
      <c r="G466" s="120" t="n">
        <v>0</v>
      </c>
      <c r="H466" s="120" t="n">
        <v>0</v>
      </c>
      <c r="I466" s="95" t="n">
        <v>0.5</v>
      </c>
      <c r="J466" s="95" t="n">
        <v>55.5</v>
      </c>
      <c r="K466" s="95" t="n">
        <v>0.97</v>
      </c>
      <c r="L466" s="85" t="n">
        <v>0</v>
      </c>
    </row>
    <row r="467">
      <c r="A467" s="84" t="inlineStr">
        <is>
          <t>Fonction publique d'État</t>
        </is>
      </c>
      <c r="B467" s="7" t="inlineStr">
        <is>
          <t>actif</t>
        </is>
      </c>
      <c r="C467" s="88" t="n">
        <v>1935</v>
      </c>
      <c r="D467" s="95" t="n">
        <v>55</v>
      </c>
      <c r="E467" s="95" t="n">
        <v>60</v>
      </c>
      <c r="F467" s="85" t="n">
        <v>150</v>
      </c>
      <c r="G467" s="120" t="n">
        <v>0</v>
      </c>
      <c r="H467" s="120" t="n">
        <v>0</v>
      </c>
      <c r="I467" s="95" t="n">
        <v>0.5</v>
      </c>
      <c r="J467" s="95" t="n">
        <v>55.5</v>
      </c>
      <c r="K467" s="95" t="n">
        <v>0.97</v>
      </c>
      <c r="L467" s="85" t="n">
        <v>0</v>
      </c>
    </row>
    <row r="468">
      <c r="A468" s="84" t="inlineStr">
        <is>
          <t>Fonction publique d'État</t>
        </is>
      </c>
      <c r="B468" s="7" t="inlineStr">
        <is>
          <t>actif</t>
        </is>
      </c>
      <c r="C468" s="88" t="n">
        <v>1936</v>
      </c>
      <c r="D468" s="95" t="n">
        <v>55</v>
      </c>
      <c r="E468" s="95" t="n">
        <v>60</v>
      </c>
      <c r="F468" s="85" t="n">
        <v>150</v>
      </c>
      <c r="G468" s="120" t="n">
        <v>0</v>
      </c>
      <c r="H468" s="120" t="n">
        <v>0</v>
      </c>
      <c r="I468" s="95" t="n">
        <v>0.5</v>
      </c>
      <c r="J468" s="95" t="n">
        <v>55.5</v>
      </c>
      <c r="K468" s="95" t="n">
        <v>0.97</v>
      </c>
      <c r="L468" s="85" t="n">
        <v>0</v>
      </c>
    </row>
    <row r="469">
      <c r="A469" s="84" t="inlineStr">
        <is>
          <t>Fonction publique d'État</t>
        </is>
      </c>
      <c r="B469" s="7" t="inlineStr">
        <is>
          <t>actif</t>
        </is>
      </c>
      <c r="C469" s="88" t="n">
        <v>1937</v>
      </c>
      <c r="D469" s="95" t="n">
        <v>55</v>
      </c>
      <c r="E469" s="95" t="n">
        <v>60</v>
      </c>
      <c r="F469" s="85" t="n">
        <v>150</v>
      </c>
      <c r="G469" s="120" t="n">
        <v>0</v>
      </c>
      <c r="H469" s="120" t="n">
        <v>0</v>
      </c>
      <c r="I469" s="95" t="n">
        <v>0.5</v>
      </c>
      <c r="J469" s="95" t="n">
        <v>55.5</v>
      </c>
      <c r="K469" s="95" t="n">
        <v>0.97</v>
      </c>
      <c r="L469" s="85" t="n">
        <v>0</v>
      </c>
    </row>
    <row r="470">
      <c r="A470" s="84" t="inlineStr">
        <is>
          <t>Fonction publique d'État</t>
        </is>
      </c>
      <c r="B470" s="7" t="inlineStr">
        <is>
          <t>actif</t>
        </is>
      </c>
      <c r="C470" s="88" t="n">
        <v>1938</v>
      </c>
      <c r="D470" s="95" t="n">
        <v>55</v>
      </c>
      <c r="E470" s="95" t="n">
        <v>60</v>
      </c>
      <c r="F470" s="85" t="n">
        <v>150</v>
      </c>
      <c r="G470" s="120" t="n">
        <v>0</v>
      </c>
      <c r="H470" s="120" t="n">
        <v>0</v>
      </c>
      <c r="I470" s="95" t="n">
        <v>0.5</v>
      </c>
      <c r="J470" s="95" t="n">
        <v>55.5</v>
      </c>
      <c r="K470" s="95" t="n">
        <v>0.97</v>
      </c>
      <c r="L470" s="85" t="n">
        <v>0</v>
      </c>
    </row>
    <row r="471">
      <c r="A471" s="84" t="inlineStr">
        <is>
          <t>Fonction publique d'État</t>
        </is>
      </c>
      <c r="B471" s="7" t="inlineStr">
        <is>
          <t>actif</t>
        </is>
      </c>
      <c r="C471" s="88" t="n">
        <v>1939</v>
      </c>
      <c r="D471" s="95" t="n">
        <v>55</v>
      </c>
      <c r="E471" s="95" t="n">
        <v>60</v>
      </c>
      <c r="F471" s="85" t="n">
        <v>150</v>
      </c>
      <c r="G471" s="120" t="n">
        <v>0</v>
      </c>
      <c r="H471" s="120" t="n">
        <v>0</v>
      </c>
      <c r="I471" s="95" t="n">
        <v>0.5</v>
      </c>
      <c r="J471" s="95" t="n">
        <v>55.5</v>
      </c>
      <c r="K471" s="95" t="n">
        <v>0.97</v>
      </c>
      <c r="L471" s="85" t="n">
        <v>0</v>
      </c>
    </row>
    <row r="472">
      <c r="A472" s="84" t="inlineStr">
        <is>
          <t>Fonction publique d'État</t>
        </is>
      </c>
      <c r="B472" s="7" t="inlineStr">
        <is>
          <t>actif</t>
        </is>
      </c>
      <c r="C472" s="88" t="n">
        <v>1940</v>
      </c>
      <c r="D472" s="95" t="n">
        <v>55</v>
      </c>
      <c r="E472" s="95" t="n">
        <v>60</v>
      </c>
      <c r="F472" s="85" t="n">
        <v>150</v>
      </c>
      <c r="G472" s="120" t="n">
        <v>0</v>
      </c>
      <c r="H472" s="120" t="n">
        <v>0</v>
      </c>
      <c r="I472" s="95" t="n">
        <v>0.5</v>
      </c>
      <c r="J472" s="95" t="n">
        <v>55.5</v>
      </c>
      <c r="K472" s="95" t="n">
        <v>0.97</v>
      </c>
      <c r="L472" s="85" t="n">
        <v>0</v>
      </c>
    </row>
    <row r="473">
      <c r="A473" s="84" t="inlineStr">
        <is>
          <t>Fonction publique d'État</t>
        </is>
      </c>
      <c r="B473" s="7" t="inlineStr">
        <is>
          <t>actif</t>
        </is>
      </c>
      <c r="C473" s="88" t="n">
        <v>1941</v>
      </c>
      <c r="D473" s="95" t="n">
        <v>55</v>
      </c>
      <c r="E473" s="95" t="n">
        <v>60</v>
      </c>
      <c r="F473" s="85" t="n">
        <v>150</v>
      </c>
      <c r="G473" s="120" t="n">
        <v>0</v>
      </c>
      <c r="H473" s="120" t="n">
        <v>0</v>
      </c>
      <c r="I473" s="95" t="n">
        <v>0.5</v>
      </c>
      <c r="J473" s="95" t="n">
        <v>55.5</v>
      </c>
      <c r="K473" s="95" t="n">
        <v>0.97</v>
      </c>
      <c r="L473" s="85" t="n">
        <v>0</v>
      </c>
    </row>
    <row r="474">
      <c r="A474" s="84" t="inlineStr">
        <is>
          <t>Fonction publique d'État</t>
        </is>
      </c>
      <c r="B474" s="7" t="inlineStr">
        <is>
          <t>actif</t>
        </is>
      </c>
      <c r="C474" s="88" t="n">
        <v>1942</v>
      </c>
      <c r="D474" s="95" t="n">
        <v>55</v>
      </c>
      <c r="E474" s="95" t="n">
        <v>60</v>
      </c>
      <c r="F474" s="85" t="n">
        <v>150</v>
      </c>
      <c r="G474" s="120" t="n">
        <v>0</v>
      </c>
      <c r="H474" s="120" t="n">
        <v>0</v>
      </c>
      <c r="I474" s="95" t="n">
        <v>0.5</v>
      </c>
      <c r="J474" s="95" t="n">
        <v>55.5</v>
      </c>
      <c r="K474" s="95" t="n">
        <v>0.97</v>
      </c>
      <c r="L474" s="85" t="n">
        <v>0</v>
      </c>
    </row>
    <row r="475">
      <c r="A475" s="84" t="inlineStr">
        <is>
          <t>Fonction publique d'État</t>
        </is>
      </c>
      <c r="B475" s="7" t="inlineStr">
        <is>
          <t>actif</t>
        </is>
      </c>
      <c r="C475" s="88" t="n">
        <v>1943</v>
      </c>
      <c r="D475" s="95" t="n">
        <v>55</v>
      </c>
      <c r="E475" s="95" t="n">
        <v>60</v>
      </c>
      <c r="F475" s="85" t="n">
        <v>150</v>
      </c>
      <c r="G475" s="120" t="n">
        <v>0</v>
      </c>
      <c r="H475" s="120" t="n">
        <v>0</v>
      </c>
      <c r="I475" s="95" t="n">
        <v>0.5</v>
      </c>
      <c r="J475" s="95" t="n">
        <v>55.5</v>
      </c>
      <c r="K475" s="95" t="n">
        <v>0.97</v>
      </c>
      <c r="L475" s="85" t="n">
        <v>0</v>
      </c>
    </row>
    <row r="476">
      <c r="A476" s="84" t="inlineStr">
        <is>
          <t>Fonction publique d'État</t>
        </is>
      </c>
      <c r="B476" s="7" t="inlineStr">
        <is>
          <t>actif</t>
        </is>
      </c>
      <c r="C476" s="88" t="n">
        <v>1944</v>
      </c>
      <c r="D476" s="95" t="n">
        <v>55</v>
      </c>
      <c r="E476" s="95" t="n">
        <v>60</v>
      </c>
      <c r="F476" s="85" t="n">
        <v>150</v>
      </c>
      <c r="G476" s="120" t="n">
        <v>0</v>
      </c>
      <c r="H476" s="120" t="n">
        <v>0</v>
      </c>
      <c r="I476" s="95" t="n">
        <v>0.5</v>
      </c>
      <c r="J476" s="95" t="n">
        <v>55.5</v>
      </c>
      <c r="K476" s="95" t="n">
        <v>0.97</v>
      </c>
      <c r="L476" s="85" t="n">
        <v>0</v>
      </c>
    </row>
    <row r="477">
      <c r="A477" s="84" t="inlineStr">
        <is>
          <t>Fonction publique d'État</t>
        </is>
      </c>
      <c r="B477" s="7" t="inlineStr">
        <is>
          <t>actif</t>
        </is>
      </c>
      <c r="C477" s="88" t="n">
        <v>1945</v>
      </c>
      <c r="D477" s="95" t="n">
        <v>55</v>
      </c>
      <c r="E477" s="95" t="n">
        <v>60</v>
      </c>
      <c r="F477" s="85" t="n">
        <v>150</v>
      </c>
      <c r="G477" s="120" t="n">
        <v>0</v>
      </c>
      <c r="H477" s="120" t="n">
        <v>0</v>
      </c>
      <c r="I477" s="95" t="n">
        <v>0.5</v>
      </c>
      <c r="J477" s="95" t="n">
        <v>55.5</v>
      </c>
      <c r="K477" s="95" t="n">
        <v>0.97</v>
      </c>
      <c r="L477" s="85" t="n">
        <v>0</v>
      </c>
    </row>
    <row r="478">
      <c r="A478" s="84" t="inlineStr">
        <is>
          <t>Fonction publique d'État</t>
        </is>
      </c>
      <c r="B478" s="7" t="inlineStr">
        <is>
          <t>actif</t>
        </is>
      </c>
      <c r="C478" s="88" t="n">
        <v>1946</v>
      </c>
      <c r="D478" s="95" t="n">
        <v>55</v>
      </c>
      <c r="E478" s="95" t="n">
        <v>60</v>
      </c>
      <c r="F478" s="85" t="n">
        <v>150</v>
      </c>
      <c r="G478" s="120" t="n">
        <v>0</v>
      </c>
      <c r="H478" s="120" t="n">
        <v>0</v>
      </c>
      <c r="I478" s="95" t="n">
        <v>0.7</v>
      </c>
      <c r="J478" s="95" t="n">
        <v>55.7</v>
      </c>
      <c r="K478" s="95" t="n">
        <v>0.97</v>
      </c>
      <c r="L478" s="85" t="n">
        <v>0</v>
      </c>
    </row>
    <row r="479">
      <c r="A479" s="84" t="inlineStr">
        <is>
          <t>Fonction publique d'État</t>
        </is>
      </c>
      <c r="B479" s="7" t="inlineStr">
        <is>
          <t>actif</t>
        </is>
      </c>
      <c r="C479" s="88" t="n">
        <v>1947</v>
      </c>
      <c r="D479" s="95" t="n">
        <v>55</v>
      </c>
      <c r="E479" s="95" t="n">
        <v>60</v>
      </c>
      <c r="F479" s="85" t="n">
        <v>150</v>
      </c>
      <c r="G479" s="120" t="n">
        <v>0</v>
      </c>
      <c r="H479" s="120" t="n">
        <v>0</v>
      </c>
      <c r="I479" s="95" t="n">
        <v>0.9</v>
      </c>
      <c r="J479" s="95" t="n">
        <v>55.9</v>
      </c>
      <c r="K479" s="95" t="n">
        <v>0.97</v>
      </c>
      <c r="L479" s="85" t="n">
        <v>0</v>
      </c>
    </row>
    <row r="480">
      <c r="A480" s="84" t="inlineStr">
        <is>
          <t>Fonction publique d'État</t>
        </is>
      </c>
      <c r="B480" s="7" t="inlineStr">
        <is>
          <t>actif</t>
        </is>
      </c>
      <c r="C480" s="88" t="n">
        <v>1948</v>
      </c>
      <c r="D480" s="95" t="n">
        <v>55</v>
      </c>
      <c r="E480" s="95" t="n">
        <v>60</v>
      </c>
      <c r="F480" s="85" t="n">
        <v>150</v>
      </c>
      <c r="G480" s="120" t="n">
        <v>0</v>
      </c>
      <c r="H480" s="120" t="n">
        <v>0</v>
      </c>
      <c r="I480" s="95" t="n">
        <v>1.1</v>
      </c>
      <c r="J480" s="95" t="n">
        <v>56.1</v>
      </c>
      <c r="K480" s="95" t="n">
        <v>0.97</v>
      </c>
      <c r="L480" s="85" t="n">
        <v>0</v>
      </c>
    </row>
    <row r="481">
      <c r="A481" s="84" t="inlineStr">
        <is>
          <t>Fonction publique d'État</t>
        </is>
      </c>
      <c r="B481" s="7" t="inlineStr">
        <is>
          <t>actif</t>
        </is>
      </c>
      <c r="C481" s="88" t="n">
        <v>1949</v>
      </c>
      <c r="D481" s="95" t="n">
        <v>55</v>
      </c>
      <c r="E481" s="95" t="n">
        <v>60</v>
      </c>
      <c r="F481" s="85" t="n">
        <v>152</v>
      </c>
      <c r="G481" s="120" t="n">
        <v>0</v>
      </c>
      <c r="H481" s="120" t="n">
        <v>0.0075</v>
      </c>
      <c r="I481" s="95" t="n">
        <v>1.3</v>
      </c>
      <c r="J481" s="95" t="n">
        <v>56.3</v>
      </c>
      <c r="K481" s="95" t="n">
        <v>0.97</v>
      </c>
      <c r="L481" s="85" t="n">
        <v>0</v>
      </c>
    </row>
    <row r="482">
      <c r="A482" s="84" t="inlineStr">
        <is>
          <t>Fonction publique d'État</t>
        </is>
      </c>
      <c r="B482" s="7" t="inlineStr">
        <is>
          <t>actif</t>
        </is>
      </c>
      <c r="C482" s="88" t="n">
        <v>1950</v>
      </c>
      <c r="D482" s="95" t="n">
        <v>55</v>
      </c>
      <c r="E482" s="95" t="n">
        <v>60</v>
      </c>
      <c r="F482" s="85" t="n">
        <v>154</v>
      </c>
      <c r="G482" s="120" t="n">
        <v>0</v>
      </c>
      <c r="H482" s="120" t="n">
        <v>0.0075</v>
      </c>
      <c r="I482" s="95" t="n">
        <v>1.5</v>
      </c>
      <c r="J482" s="95" t="n">
        <v>56.5</v>
      </c>
      <c r="K482" s="95" t="n">
        <v>0.97</v>
      </c>
      <c r="L482" s="85" t="n">
        <v>0</v>
      </c>
    </row>
    <row r="483">
      <c r="A483" s="84" t="inlineStr">
        <is>
          <t>Fonction publique d'État</t>
        </is>
      </c>
      <c r="B483" s="7" t="inlineStr">
        <is>
          <t>actif</t>
        </is>
      </c>
      <c r="C483" s="88" t="n">
        <v>1951</v>
      </c>
      <c r="D483" s="95" t="n">
        <v>55</v>
      </c>
      <c r="E483" s="95" t="n">
        <v>56</v>
      </c>
      <c r="F483" s="85" t="n">
        <v>156</v>
      </c>
      <c r="G483" s="120" t="n">
        <v>0.00125</v>
      </c>
      <c r="H483" s="120" t="n">
        <v>0.0075</v>
      </c>
      <c r="I483" s="95" t="n">
        <v>1.7</v>
      </c>
      <c r="J483" s="95" t="n">
        <v>56.7</v>
      </c>
      <c r="K483" s="95" t="n">
        <v>0.97</v>
      </c>
      <c r="L483" s="85" t="n">
        <v>0</v>
      </c>
    </row>
    <row r="484">
      <c r="A484" s="84" t="inlineStr">
        <is>
          <t>Fonction publique d'État</t>
        </is>
      </c>
      <c r="B484" s="7" t="inlineStr">
        <is>
          <t>actif</t>
        </is>
      </c>
      <c r="C484" s="88" t="n">
        <v>1952</v>
      </c>
      <c r="D484" s="95" t="n">
        <v>55</v>
      </c>
      <c r="E484" s="95" t="n">
        <v>56.5</v>
      </c>
      <c r="F484" s="85" t="n">
        <v>158</v>
      </c>
      <c r="G484" s="120" t="n">
        <v>0.0025</v>
      </c>
      <c r="H484" s="120" t="n">
        <v>0.0075</v>
      </c>
      <c r="I484" s="95" t="n">
        <v>1.9</v>
      </c>
      <c r="J484" s="95" t="n">
        <v>56.9</v>
      </c>
      <c r="K484" s="95" t="n">
        <v>0.97</v>
      </c>
      <c r="L484" s="85" t="n">
        <v>0</v>
      </c>
    </row>
    <row r="485">
      <c r="A485" s="84" t="inlineStr">
        <is>
          <t>Fonction publique d'État</t>
        </is>
      </c>
      <c r="B485" s="7" t="inlineStr">
        <is>
          <t>actif</t>
        </is>
      </c>
      <c r="C485" s="88" t="n">
        <v>1953</v>
      </c>
      <c r="D485" s="95" t="n">
        <v>55</v>
      </c>
      <c r="E485" s="95" t="n">
        <v>57</v>
      </c>
      <c r="F485" s="85" t="n">
        <v>160</v>
      </c>
      <c r="G485" s="120" t="n">
        <v>0.00375</v>
      </c>
      <c r="H485" s="120" t="n">
        <v>0.0075</v>
      </c>
      <c r="I485" s="95" t="n">
        <v>2.1</v>
      </c>
      <c r="J485" s="95" t="n">
        <v>57.1</v>
      </c>
      <c r="K485" s="95" t="n">
        <v>0.97</v>
      </c>
      <c r="L485" s="85" t="n">
        <v>0</v>
      </c>
    </row>
    <row r="486">
      <c r="A486" s="84" t="inlineStr">
        <is>
          <t>Fonction publique d'État</t>
        </is>
      </c>
      <c r="B486" s="7" t="inlineStr">
        <is>
          <t>actif</t>
        </is>
      </c>
      <c r="C486" s="88" t="n">
        <v>1954</v>
      </c>
      <c r="D486" s="95" t="n">
        <v>55</v>
      </c>
      <c r="E486" s="95" t="n">
        <v>57.25</v>
      </c>
      <c r="F486" s="85" t="n">
        <v>161</v>
      </c>
      <c r="G486" s="120" t="n">
        <v>0.005</v>
      </c>
      <c r="H486" s="120" t="n">
        <v>0.0125</v>
      </c>
      <c r="I486" s="95" t="n">
        <v>2.3</v>
      </c>
      <c r="J486" s="95" t="n">
        <v>57.3</v>
      </c>
      <c r="K486" s="95" t="n">
        <v>0.97</v>
      </c>
      <c r="L486" s="85" t="n">
        <v>0</v>
      </c>
    </row>
    <row r="487">
      <c r="A487" s="84" t="inlineStr">
        <is>
          <t>Fonction publique d'État</t>
        </is>
      </c>
      <c r="B487" s="7" t="inlineStr">
        <is>
          <t>actif</t>
        </is>
      </c>
      <c r="C487" s="88" t="n">
        <v>1955</v>
      </c>
      <c r="D487" s="95" t="n">
        <v>55</v>
      </c>
      <c r="E487" s="95" t="n">
        <v>57.5</v>
      </c>
      <c r="F487" s="85" t="n">
        <v>162</v>
      </c>
      <c r="G487" s="120" t="n">
        <v>0.00625</v>
      </c>
      <c r="H487" s="120" t="n">
        <v>0.0125</v>
      </c>
      <c r="I487" s="95" t="n">
        <v>2.5</v>
      </c>
      <c r="J487" s="95" t="n">
        <v>57.5</v>
      </c>
      <c r="K487" s="95" t="n">
        <v>0.97</v>
      </c>
      <c r="L487" s="85" t="n">
        <v>0</v>
      </c>
    </row>
    <row r="488">
      <c r="A488" s="84" t="inlineStr">
        <is>
          <t>Fonction publique d'État</t>
        </is>
      </c>
      <c r="B488" s="7" t="inlineStr">
        <is>
          <t>actif</t>
        </is>
      </c>
      <c r="C488" s="88" t="n">
        <v>1956</v>
      </c>
      <c r="D488" s="95" t="n">
        <v>55.1667</v>
      </c>
      <c r="E488" s="95" t="n">
        <v>58</v>
      </c>
      <c r="F488" s="85" t="n">
        <v>163</v>
      </c>
      <c r="G488" s="120" t="n">
        <v>0.0075</v>
      </c>
      <c r="H488" s="120" t="n">
        <v>0.0125</v>
      </c>
      <c r="I488" s="95" t="n">
        <v>2.7</v>
      </c>
      <c r="J488" s="95" t="n">
        <v>57.87</v>
      </c>
      <c r="K488" s="95" t="n">
        <v>0.97</v>
      </c>
      <c r="L488" s="85" t="n">
        <v>0</v>
      </c>
    </row>
    <row r="489">
      <c r="A489" s="84" t="inlineStr">
        <is>
          <t>Fonction publique d'État</t>
        </is>
      </c>
      <c r="B489" s="7" t="inlineStr">
        <is>
          <t>actif</t>
        </is>
      </c>
      <c r="C489" s="88" t="n">
        <v>1957</v>
      </c>
      <c r="D489" s="95" t="n">
        <v>55.75</v>
      </c>
      <c r="E489" s="95" t="n">
        <v>58.9167</v>
      </c>
      <c r="F489" s="85" t="n">
        <v>165</v>
      </c>
      <c r="G489" s="120" t="n">
        <v>0.01</v>
      </c>
      <c r="H489" s="120" t="n">
        <v>0.0125</v>
      </c>
      <c r="I489" s="95" t="n">
        <v>2.9</v>
      </c>
      <c r="J489" s="95" t="n">
        <v>58.65</v>
      </c>
      <c r="K489" s="95" t="n">
        <v>0.97</v>
      </c>
      <c r="L489" s="85" t="n">
        <v>0</v>
      </c>
    </row>
    <row r="490">
      <c r="A490" s="84" t="inlineStr">
        <is>
          <t>Fonction publique d'État</t>
        </is>
      </c>
      <c r="B490" s="7" t="inlineStr">
        <is>
          <t>actif</t>
        </is>
      </c>
      <c r="C490" s="88" t="n">
        <v>1958</v>
      </c>
      <c r="D490" s="95" t="n">
        <v>56.1667</v>
      </c>
      <c r="E490" s="95" t="n">
        <v>59.6667</v>
      </c>
      <c r="F490" s="85" t="n">
        <v>165</v>
      </c>
      <c r="G490" s="120" t="n">
        <v>0.01125</v>
      </c>
      <c r="H490" s="120" t="n">
        <v>0.0125</v>
      </c>
      <c r="I490" s="95" t="n">
        <v>3.1</v>
      </c>
      <c r="J490" s="95" t="n">
        <v>59.27</v>
      </c>
      <c r="K490" s="95" t="n">
        <v>0.97</v>
      </c>
      <c r="L490" s="85" t="n">
        <v>0</v>
      </c>
    </row>
    <row r="491">
      <c r="A491" s="84" t="inlineStr">
        <is>
          <t>Fonction publique d'État</t>
        </is>
      </c>
      <c r="B491" s="7" t="inlineStr">
        <is>
          <t>actif</t>
        </is>
      </c>
      <c r="C491" s="88" t="n">
        <v>1959</v>
      </c>
      <c r="D491" s="95" t="n">
        <v>56.5833</v>
      </c>
      <c r="E491" s="95" t="n">
        <v>60.5</v>
      </c>
      <c r="F491" s="85" t="n">
        <v>166</v>
      </c>
      <c r="G491" s="120" t="n">
        <v>0.0125</v>
      </c>
      <c r="H491" s="120" t="n">
        <v>0.0125</v>
      </c>
      <c r="I491" s="95" t="n">
        <v>3.3</v>
      </c>
      <c r="J491" s="95" t="n">
        <v>59.88</v>
      </c>
      <c r="K491" s="95" t="n">
        <v>0.97</v>
      </c>
      <c r="L491" s="85" t="n">
        <v>0</v>
      </c>
    </row>
    <row r="492">
      <c r="A492" s="84" t="inlineStr">
        <is>
          <t>Fonction publique d'État</t>
        </is>
      </c>
      <c r="B492" s="7" t="inlineStr">
        <is>
          <t>actif</t>
        </is>
      </c>
      <c r="C492" s="88" t="n">
        <v>1960</v>
      </c>
      <c r="D492" s="95" t="n">
        <v>57</v>
      </c>
      <c r="E492" s="95" t="n">
        <v>61.25</v>
      </c>
      <c r="F492" s="85" t="n">
        <v>166</v>
      </c>
      <c r="G492" s="120" t="n">
        <v>0.0125</v>
      </c>
      <c r="H492" s="120" t="n">
        <v>0.0125</v>
      </c>
      <c r="I492" s="95" t="n">
        <v>3.5</v>
      </c>
      <c r="J492" s="95" t="n">
        <v>60.5</v>
      </c>
      <c r="K492" s="95" t="n">
        <v>0.97</v>
      </c>
      <c r="L492" s="85" t="n">
        <v>0</v>
      </c>
    </row>
    <row r="493">
      <c r="A493" s="84" t="inlineStr">
        <is>
          <t>Fonction publique d'État</t>
        </is>
      </c>
      <c r="B493" s="7" t="inlineStr">
        <is>
          <t>actif</t>
        </is>
      </c>
      <c r="C493" s="88" t="n">
        <v>1961</v>
      </c>
      <c r="D493" s="95" t="n">
        <v>57</v>
      </c>
      <c r="E493" s="95" t="n">
        <v>61.5</v>
      </c>
      <c r="F493" s="85" t="n">
        <v>167</v>
      </c>
      <c r="G493" s="120" t="n">
        <v>0.0125</v>
      </c>
      <c r="H493" s="120" t="n">
        <v>0.0125</v>
      </c>
      <c r="I493" s="95" t="n">
        <v>3.5</v>
      </c>
      <c r="J493" s="95" t="n">
        <v>60.5</v>
      </c>
      <c r="K493" s="95" t="n">
        <v>0.97</v>
      </c>
      <c r="L493" s="85" t="n">
        <v>0</v>
      </c>
    </row>
    <row r="494">
      <c r="A494" s="84" t="inlineStr">
        <is>
          <t>Fonction publique d'État</t>
        </is>
      </c>
      <c r="B494" s="7" t="inlineStr">
        <is>
          <t>actif</t>
        </is>
      </c>
      <c r="C494" s="88" t="n">
        <v>1962</v>
      </c>
      <c r="D494" s="95" t="n">
        <v>57</v>
      </c>
      <c r="E494" s="95" t="n">
        <v>61.75</v>
      </c>
      <c r="F494" s="85" t="n">
        <v>167</v>
      </c>
      <c r="G494" s="120" t="n">
        <v>0.0125</v>
      </c>
      <c r="H494" s="120" t="n">
        <v>0.0125</v>
      </c>
      <c r="I494" s="95" t="n">
        <v>3.5</v>
      </c>
      <c r="J494" s="95" t="n">
        <v>60.5</v>
      </c>
      <c r="K494" s="95" t="n">
        <v>0.97</v>
      </c>
      <c r="L494" s="85" t="n">
        <v>0</v>
      </c>
    </row>
    <row r="495">
      <c r="A495" s="84" t="inlineStr">
        <is>
          <t>Fonction publique d'État</t>
        </is>
      </c>
      <c r="B495" s="7" t="inlineStr">
        <is>
          <t>actif</t>
        </is>
      </c>
      <c r="C495" s="88" t="n">
        <v>1963</v>
      </c>
      <c r="D495" s="95" t="n">
        <v>57</v>
      </c>
      <c r="E495" s="95" t="n">
        <v>62</v>
      </c>
      <c r="F495" s="85" t="n">
        <v>167</v>
      </c>
      <c r="G495" s="120" t="n">
        <v>0.0125</v>
      </c>
      <c r="H495" s="120" t="n">
        <v>0.0125</v>
      </c>
      <c r="I495" s="95" t="n">
        <v>3.5</v>
      </c>
      <c r="J495" s="95" t="n">
        <v>60.5</v>
      </c>
      <c r="K495" s="95" t="n">
        <v>0.97</v>
      </c>
      <c r="L495" s="85" t="n">
        <v>0</v>
      </c>
    </row>
    <row r="496">
      <c r="A496" s="84" t="inlineStr">
        <is>
          <t>Fonction publique d'État</t>
        </is>
      </c>
      <c r="B496" s="7" t="inlineStr">
        <is>
          <t>actif</t>
        </is>
      </c>
      <c r="C496" s="88" t="n">
        <v>1964</v>
      </c>
      <c r="D496" s="95" t="n">
        <v>57</v>
      </c>
      <c r="E496" s="95" t="n">
        <v>62</v>
      </c>
      <c r="F496" s="85" t="n">
        <v>168</v>
      </c>
      <c r="G496" s="120" t="n">
        <v>0.0125</v>
      </c>
      <c r="H496" s="120" t="n">
        <v>0.0125</v>
      </c>
      <c r="I496" s="95" t="n">
        <v>3.5</v>
      </c>
      <c r="J496" s="95" t="n">
        <v>60.5</v>
      </c>
      <c r="K496" s="95" t="n">
        <v>0.97</v>
      </c>
      <c r="L496" s="85" t="n">
        <v>0</v>
      </c>
    </row>
    <row r="497">
      <c r="A497" s="84" t="inlineStr">
        <is>
          <t>Fonction publique d'État</t>
        </is>
      </c>
      <c r="B497" s="7" t="inlineStr">
        <is>
          <t>actif</t>
        </is>
      </c>
      <c r="C497" s="88" t="n">
        <v>1965</v>
      </c>
      <c r="D497" s="95" t="n">
        <v>57</v>
      </c>
      <c r="E497" s="95" t="n">
        <v>62</v>
      </c>
      <c r="F497" s="85" t="n">
        <v>168</v>
      </c>
      <c r="G497" s="120" t="n">
        <v>0.0125</v>
      </c>
      <c r="H497" s="120" t="n">
        <v>0.0125</v>
      </c>
      <c r="I497" s="95" t="n">
        <v>3.5</v>
      </c>
      <c r="J497" s="95" t="n">
        <v>60.5</v>
      </c>
      <c r="K497" s="95" t="n">
        <v>0.97</v>
      </c>
      <c r="L497" s="85" t="n">
        <v>0</v>
      </c>
    </row>
    <row r="498">
      <c r="A498" s="84" t="inlineStr">
        <is>
          <t>Fonction publique d'État</t>
        </is>
      </c>
      <c r="B498" s="7" t="inlineStr">
        <is>
          <t>actif</t>
        </is>
      </c>
      <c r="C498" s="88" t="n">
        <v>1966</v>
      </c>
      <c r="D498" s="95" t="n">
        <v>57.0833</v>
      </c>
      <c r="E498" s="95" t="n">
        <v>62</v>
      </c>
      <c r="F498" s="85" t="n">
        <v>168</v>
      </c>
      <c r="G498" s="120" t="n">
        <v>0.0125</v>
      </c>
      <c r="H498" s="120" t="n">
        <v>0.0125</v>
      </c>
      <c r="I498" s="95" t="n">
        <v>3.5</v>
      </c>
      <c r="J498" s="95" t="n">
        <v>60.58</v>
      </c>
      <c r="K498" s="95" t="n">
        <v>0.97</v>
      </c>
      <c r="L498" s="85" t="n">
        <v>0</v>
      </c>
    </row>
    <row r="499">
      <c r="A499" s="84" t="inlineStr">
        <is>
          <t>Fonction publique d'État</t>
        </is>
      </c>
      <c r="B499" s="7" t="inlineStr">
        <is>
          <t>actif</t>
        </is>
      </c>
      <c r="C499" s="88" t="n">
        <v>1967</v>
      </c>
      <c r="D499" s="95" t="n">
        <v>57.5</v>
      </c>
      <c r="E499" s="95" t="n">
        <v>62</v>
      </c>
      <c r="F499" s="85" t="n">
        <v>169</v>
      </c>
      <c r="G499" s="120" t="n">
        <v>0.0125</v>
      </c>
      <c r="H499" s="120" t="n">
        <v>0.0125</v>
      </c>
      <c r="I499" s="95" t="n">
        <v>3.5</v>
      </c>
      <c r="J499" s="95" t="n">
        <v>61</v>
      </c>
      <c r="K499" s="95" t="n">
        <v>0.97</v>
      </c>
      <c r="L499" s="85" t="n">
        <v>0</v>
      </c>
    </row>
    <row r="500">
      <c r="A500" s="84" t="inlineStr">
        <is>
          <t>Fonction publique d'État</t>
        </is>
      </c>
      <c r="B500" s="7" t="inlineStr">
        <is>
          <t>actif</t>
        </is>
      </c>
      <c r="C500" s="88" t="n">
        <v>1968</v>
      </c>
      <c r="D500" s="95" t="n">
        <v>57.75</v>
      </c>
      <c r="E500" s="95" t="n">
        <v>62</v>
      </c>
      <c r="F500" s="85" t="n">
        <v>170</v>
      </c>
      <c r="G500" s="120" t="n">
        <v>0.0125</v>
      </c>
      <c r="H500" s="120" t="n">
        <v>0.0125</v>
      </c>
      <c r="I500" s="95" t="n">
        <v>3.5</v>
      </c>
      <c r="J500" s="95" t="n">
        <v>61.25</v>
      </c>
      <c r="K500" s="95" t="n">
        <v>0.97</v>
      </c>
      <c r="L500" s="85" t="n">
        <v>0</v>
      </c>
    </row>
    <row r="501">
      <c r="A501" s="84" t="inlineStr">
        <is>
          <t>Fonction publique d'État</t>
        </is>
      </c>
      <c r="B501" s="7" t="inlineStr">
        <is>
          <t>actif</t>
        </is>
      </c>
      <c r="C501" s="88" t="n">
        <v>1969</v>
      </c>
      <c r="D501" s="95" t="n">
        <v>57.75</v>
      </c>
      <c r="E501" s="95" t="n">
        <v>62</v>
      </c>
      <c r="F501" s="85" t="n">
        <v>170</v>
      </c>
      <c r="G501" s="120" t="n">
        <v>0.0125</v>
      </c>
      <c r="H501" s="120" t="n">
        <v>0.0125</v>
      </c>
      <c r="I501" s="95" t="n">
        <v>3.5</v>
      </c>
      <c r="J501" s="95" t="n">
        <v>61.25</v>
      </c>
      <c r="K501" s="95" t="n">
        <v>0.97</v>
      </c>
      <c r="L501" s="85" t="n">
        <v>0</v>
      </c>
    </row>
    <row r="502">
      <c r="A502" s="84" t="inlineStr">
        <is>
          <t>Fonction publique d'État</t>
        </is>
      </c>
      <c r="B502" s="7" t="inlineStr">
        <is>
          <t>actif</t>
        </is>
      </c>
      <c r="C502" s="88" t="n">
        <v>1970</v>
      </c>
      <c r="D502" s="95" t="n">
        <v>57.9167</v>
      </c>
      <c r="E502" s="95" t="n">
        <v>62</v>
      </c>
      <c r="F502" s="85" t="n">
        <v>171</v>
      </c>
      <c r="G502" s="120" t="n">
        <v>0.0125</v>
      </c>
      <c r="H502" s="120" t="n">
        <v>0.0125</v>
      </c>
      <c r="I502" s="95" t="n">
        <v>3.5</v>
      </c>
      <c r="J502" s="95" t="n">
        <v>61.42</v>
      </c>
      <c r="K502" s="95" t="n">
        <v>0.97</v>
      </c>
      <c r="L502" s="85" t="n">
        <v>0</v>
      </c>
    </row>
    <row r="503">
      <c r="A503" s="84" t="inlineStr">
        <is>
          <t>Fonction publique d'État</t>
        </is>
      </c>
      <c r="B503" s="7" t="inlineStr">
        <is>
          <t>actif</t>
        </is>
      </c>
      <c r="C503" s="88" t="n">
        <v>1971</v>
      </c>
      <c r="D503" s="95" t="n">
        <v>58.25</v>
      </c>
      <c r="E503" s="95" t="n">
        <v>62</v>
      </c>
      <c r="F503" s="85" t="n">
        <v>172</v>
      </c>
      <c r="G503" s="120" t="n">
        <v>0.0125</v>
      </c>
      <c r="H503" s="120" t="n">
        <v>0.0125</v>
      </c>
      <c r="I503" s="95" t="n">
        <v>3.5</v>
      </c>
      <c r="J503" s="95" t="n">
        <v>61.75</v>
      </c>
      <c r="K503" s="95" t="n">
        <v>0.97</v>
      </c>
      <c r="L503" s="85" t="n">
        <v>0</v>
      </c>
    </row>
    <row r="504">
      <c r="A504" s="84" t="inlineStr">
        <is>
          <t>Fonction publique d'État</t>
        </is>
      </c>
      <c r="B504" s="7" t="inlineStr">
        <is>
          <t>actif</t>
        </is>
      </c>
      <c r="C504" s="88" t="n">
        <v>1972</v>
      </c>
      <c r="D504" s="95" t="n">
        <v>58.5</v>
      </c>
      <c r="E504" s="95" t="n">
        <v>62</v>
      </c>
      <c r="F504" s="85" t="n">
        <v>172</v>
      </c>
      <c r="G504" s="120" t="n">
        <v>0.0125</v>
      </c>
      <c r="H504" s="120" t="n">
        <v>0.0125</v>
      </c>
      <c r="I504" s="95" t="n">
        <v>3.5</v>
      </c>
      <c r="J504" s="95" t="n">
        <v>62</v>
      </c>
      <c r="K504" s="95" t="n">
        <v>0.97</v>
      </c>
      <c r="L504" s="85" t="n">
        <v>0</v>
      </c>
    </row>
    <row r="505">
      <c r="A505" s="84" t="inlineStr">
        <is>
          <t>Fonction publique d'État</t>
        </is>
      </c>
      <c r="B505" s="7" t="inlineStr">
        <is>
          <t>actif</t>
        </is>
      </c>
      <c r="C505" s="88" t="n">
        <v>1973</v>
      </c>
      <c r="D505" s="95" t="n">
        <v>58.75</v>
      </c>
      <c r="E505" s="95" t="n">
        <v>62</v>
      </c>
      <c r="F505" s="85" t="n">
        <v>172</v>
      </c>
      <c r="G505" s="120" t="n">
        <v>0.0125</v>
      </c>
      <c r="H505" s="120" t="n">
        <v>0.0125</v>
      </c>
      <c r="I505" s="95" t="n">
        <v>3.5</v>
      </c>
      <c r="J505" s="95" t="n">
        <v>62.25</v>
      </c>
      <c r="K505" s="95" t="n">
        <v>0.97</v>
      </c>
      <c r="L505" s="85" t="n">
        <v>0</v>
      </c>
    </row>
    <row r="506">
      <c r="A506" s="84" t="inlineStr">
        <is>
          <t>Fonction publique d'État</t>
        </is>
      </c>
      <c r="B506" s="7" t="inlineStr">
        <is>
          <t>actif</t>
        </is>
      </c>
      <c r="C506" s="88" t="n">
        <v>1974</v>
      </c>
      <c r="D506" s="95" t="n">
        <v>59</v>
      </c>
      <c r="E506" s="95" t="n">
        <v>62</v>
      </c>
      <c r="F506" s="85" t="n">
        <v>172</v>
      </c>
      <c r="G506" s="120" t="n">
        <v>0.0125</v>
      </c>
      <c r="H506" s="120" t="n">
        <v>0.0125</v>
      </c>
      <c r="I506" s="95" t="n">
        <v>3.5</v>
      </c>
      <c r="J506" s="95" t="n">
        <v>62.5</v>
      </c>
      <c r="K506" s="95" t="n">
        <v>0.97</v>
      </c>
      <c r="L506" s="85" t="n">
        <v>0</v>
      </c>
    </row>
    <row r="507">
      <c r="A507" s="84" t="inlineStr">
        <is>
          <t>Fonction publique d'État</t>
        </is>
      </c>
      <c r="B507" s="7" t="inlineStr">
        <is>
          <t>actif</t>
        </is>
      </c>
      <c r="C507" s="88" t="n">
        <v>1975</v>
      </c>
      <c r="D507" s="95" t="n">
        <v>59</v>
      </c>
      <c r="E507" s="95" t="n">
        <v>62</v>
      </c>
      <c r="F507" s="85" t="n">
        <v>172</v>
      </c>
      <c r="G507" s="120" t="n">
        <v>0.0125</v>
      </c>
      <c r="H507" s="120" t="n">
        <v>0.0125</v>
      </c>
      <c r="I507" s="95" t="n">
        <v>3.5</v>
      </c>
      <c r="J507" s="95" t="n">
        <v>62.5</v>
      </c>
      <c r="K507" s="95" t="n">
        <v>0.97</v>
      </c>
      <c r="L507" s="85" t="n">
        <v>0</v>
      </c>
    </row>
    <row r="508">
      <c r="A508" s="84" t="inlineStr">
        <is>
          <t>Fonction publique d'État</t>
        </is>
      </c>
      <c r="B508" s="7" t="inlineStr">
        <is>
          <t>actif</t>
        </is>
      </c>
      <c r="C508" s="88" t="n">
        <v>1976</v>
      </c>
      <c r="D508" s="95" t="n">
        <v>59</v>
      </c>
      <c r="E508" s="95" t="n">
        <v>62</v>
      </c>
      <c r="F508" s="85" t="n">
        <v>172</v>
      </c>
      <c r="G508" s="120" t="n">
        <v>0.0125</v>
      </c>
      <c r="H508" s="120" t="n">
        <v>0.0125</v>
      </c>
      <c r="I508" s="95" t="n">
        <v>3.5</v>
      </c>
      <c r="J508" s="95" t="n">
        <v>62.5</v>
      </c>
      <c r="K508" s="95" t="n">
        <v>0.97</v>
      </c>
      <c r="L508" s="85" t="n">
        <v>0</v>
      </c>
    </row>
    <row r="509">
      <c r="A509" s="84" t="inlineStr">
        <is>
          <t>Fonction publique d'État</t>
        </is>
      </c>
      <c r="B509" s="7" t="inlineStr">
        <is>
          <t>actif</t>
        </is>
      </c>
      <c r="C509" s="88" t="n">
        <v>1977</v>
      </c>
      <c r="D509" s="95" t="n">
        <v>59</v>
      </c>
      <c r="E509" s="95" t="n">
        <v>62</v>
      </c>
      <c r="F509" s="85" t="n">
        <v>172</v>
      </c>
      <c r="G509" s="120" t="n">
        <v>0.0125</v>
      </c>
      <c r="H509" s="120" t="n">
        <v>0.0125</v>
      </c>
      <c r="I509" s="95" t="n">
        <v>3.5</v>
      </c>
      <c r="J509" s="95" t="n">
        <v>62.5</v>
      </c>
      <c r="K509" s="95" t="n">
        <v>0.97</v>
      </c>
      <c r="L509" s="85" t="n">
        <v>0</v>
      </c>
    </row>
    <row r="510">
      <c r="A510" s="84" t="inlineStr">
        <is>
          <t>Fonction publique d'État</t>
        </is>
      </c>
      <c r="B510" s="7" t="inlineStr">
        <is>
          <t>actif</t>
        </is>
      </c>
      <c r="C510" s="88" t="n">
        <v>1978</v>
      </c>
      <c r="D510" s="95" t="n">
        <v>59</v>
      </c>
      <c r="E510" s="95" t="n">
        <v>62</v>
      </c>
      <c r="F510" s="85" t="n">
        <v>172</v>
      </c>
      <c r="G510" s="120" t="n">
        <v>0.0125</v>
      </c>
      <c r="H510" s="120" t="n">
        <v>0.0125</v>
      </c>
      <c r="I510" s="95" t="n">
        <v>3.5</v>
      </c>
      <c r="J510" s="95" t="n">
        <v>62.5</v>
      </c>
      <c r="K510" s="95" t="n">
        <v>0.97</v>
      </c>
      <c r="L510" s="85" t="n">
        <v>0</v>
      </c>
    </row>
    <row r="511">
      <c r="A511" s="84" t="inlineStr">
        <is>
          <t>Fonction publique d'État</t>
        </is>
      </c>
      <c r="B511" s="7" t="inlineStr">
        <is>
          <t>actif</t>
        </is>
      </c>
      <c r="C511" s="88" t="n">
        <v>1979</v>
      </c>
      <c r="D511" s="95" t="n">
        <v>59</v>
      </c>
      <c r="E511" s="95" t="n">
        <v>62</v>
      </c>
      <c r="F511" s="85" t="n">
        <v>172</v>
      </c>
      <c r="G511" s="120" t="n">
        <v>0.0125</v>
      </c>
      <c r="H511" s="120" t="n">
        <v>0.0125</v>
      </c>
      <c r="I511" s="95" t="n">
        <v>3.5</v>
      </c>
      <c r="J511" s="95" t="n">
        <v>62.5</v>
      </c>
      <c r="K511" s="95" t="n">
        <v>0.97</v>
      </c>
      <c r="L511" s="85" t="n">
        <v>0</v>
      </c>
    </row>
    <row r="512">
      <c r="A512" s="84" t="inlineStr">
        <is>
          <t>Fonction publique d'État</t>
        </is>
      </c>
      <c r="B512" s="7" t="inlineStr">
        <is>
          <t>actif</t>
        </is>
      </c>
      <c r="C512" s="88" t="n">
        <v>1980</v>
      </c>
      <c r="D512" s="95" t="n">
        <v>59</v>
      </c>
      <c r="E512" s="95" t="n">
        <v>62</v>
      </c>
      <c r="F512" s="85" t="n">
        <v>172</v>
      </c>
      <c r="G512" s="120" t="n">
        <v>0.0125</v>
      </c>
      <c r="H512" s="120" t="n">
        <v>0.0125</v>
      </c>
      <c r="I512" s="95" t="n">
        <v>3.5</v>
      </c>
      <c r="J512" s="95" t="n">
        <v>62.5</v>
      </c>
      <c r="K512" s="95" t="n">
        <v>0.97</v>
      </c>
      <c r="L512" s="85" t="n">
        <v>0</v>
      </c>
    </row>
    <row r="513">
      <c r="A513" s="84" t="inlineStr">
        <is>
          <t>Fonction publique d'État</t>
        </is>
      </c>
      <c r="B513" s="7" t="inlineStr">
        <is>
          <t>actif</t>
        </is>
      </c>
      <c r="C513" s="88" t="n">
        <v>1981</v>
      </c>
      <c r="D513" s="95" t="n">
        <v>59</v>
      </c>
      <c r="E513" s="95" t="n">
        <v>62</v>
      </c>
      <c r="F513" s="85" t="n">
        <v>172</v>
      </c>
      <c r="G513" s="120" t="n">
        <v>0.0125</v>
      </c>
      <c r="H513" s="120" t="n">
        <v>0.0125</v>
      </c>
      <c r="I513" s="95" t="n">
        <v>3.5</v>
      </c>
      <c r="J513" s="95" t="n">
        <v>62.5</v>
      </c>
      <c r="K513" s="95" t="n">
        <v>0.97</v>
      </c>
      <c r="L513" s="85" t="n">
        <v>0</v>
      </c>
    </row>
    <row r="514">
      <c r="A514" s="84" t="inlineStr">
        <is>
          <t>Fonction publique d'État</t>
        </is>
      </c>
      <c r="B514" s="7" t="inlineStr">
        <is>
          <t>actif</t>
        </is>
      </c>
      <c r="C514" s="88" t="n">
        <v>1982</v>
      </c>
      <c r="D514" s="95" t="n">
        <v>59</v>
      </c>
      <c r="E514" s="95" t="n">
        <v>62</v>
      </c>
      <c r="F514" s="85" t="n">
        <v>172</v>
      </c>
      <c r="G514" s="120" t="n">
        <v>0.0125</v>
      </c>
      <c r="H514" s="120" t="n">
        <v>0.0125</v>
      </c>
      <c r="I514" s="95" t="n">
        <v>3.5</v>
      </c>
      <c r="J514" s="95" t="n">
        <v>62.5</v>
      </c>
      <c r="K514" s="95" t="n">
        <v>0.97</v>
      </c>
      <c r="L514" s="85" t="n">
        <v>0</v>
      </c>
    </row>
    <row r="515">
      <c r="A515" s="84" t="inlineStr">
        <is>
          <t>Fonction publique d'État</t>
        </is>
      </c>
      <c r="B515" s="7" t="inlineStr">
        <is>
          <t>actif</t>
        </is>
      </c>
      <c r="C515" s="88" t="n">
        <v>1983</v>
      </c>
      <c r="D515" s="95" t="n">
        <v>59</v>
      </c>
      <c r="E515" s="95" t="n">
        <v>62</v>
      </c>
      <c r="F515" s="85" t="n">
        <v>172</v>
      </c>
      <c r="G515" s="120" t="n">
        <v>0.0125</v>
      </c>
      <c r="H515" s="120" t="n">
        <v>0.0125</v>
      </c>
      <c r="I515" s="95" t="n">
        <v>3.5</v>
      </c>
      <c r="J515" s="95" t="n">
        <v>62.5</v>
      </c>
      <c r="K515" s="95" t="n">
        <v>0.97</v>
      </c>
      <c r="L515" s="85" t="n">
        <v>0</v>
      </c>
    </row>
    <row r="516">
      <c r="A516" s="84" t="inlineStr">
        <is>
          <t>Fonction publique d'État</t>
        </is>
      </c>
      <c r="B516" s="7" t="inlineStr">
        <is>
          <t>actif</t>
        </is>
      </c>
      <c r="C516" s="88" t="n">
        <v>1984</v>
      </c>
      <c r="D516" s="95" t="n">
        <v>59</v>
      </c>
      <c r="E516" s="95" t="n">
        <v>62</v>
      </c>
      <c r="F516" s="85" t="n">
        <v>172</v>
      </c>
      <c r="G516" s="120" t="n">
        <v>0.0125</v>
      </c>
      <c r="H516" s="120" t="n">
        <v>0.0125</v>
      </c>
      <c r="I516" s="95" t="n">
        <v>3.5</v>
      </c>
      <c r="J516" s="95" t="n">
        <v>62.5</v>
      </c>
      <c r="K516" s="95" t="n">
        <v>0.97</v>
      </c>
      <c r="L516" s="85" t="n">
        <v>0</v>
      </c>
    </row>
    <row r="517">
      <c r="A517" s="84" t="inlineStr">
        <is>
          <t>Fonction publique d'État</t>
        </is>
      </c>
      <c r="B517" s="7" t="inlineStr">
        <is>
          <t>actif</t>
        </is>
      </c>
      <c r="C517" s="88" t="n">
        <v>1985</v>
      </c>
      <c r="D517" s="95" t="n">
        <v>59</v>
      </c>
      <c r="E517" s="95" t="n">
        <v>62</v>
      </c>
      <c r="F517" s="85" t="n">
        <v>172</v>
      </c>
      <c r="G517" s="120" t="n">
        <v>0.0125</v>
      </c>
      <c r="H517" s="120" t="n">
        <v>0.0125</v>
      </c>
      <c r="I517" s="95" t="n">
        <v>3.5</v>
      </c>
      <c r="J517" s="95" t="n">
        <v>62.5</v>
      </c>
      <c r="K517" s="95" t="n">
        <v>0.97</v>
      </c>
      <c r="L517" s="85" t="n">
        <v>0</v>
      </c>
    </row>
    <row r="518">
      <c r="A518" s="84" t="inlineStr">
        <is>
          <t>Fonction publique d'État</t>
        </is>
      </c>
      <c r="B518" s="7" t="inlineStr">
        <is>
          <t>actif</t>
        </is>
      </c>
      <c r="C518" s="88" t="n">
        <v>1986</v>
      </c>
      <c r="D518" s="95" t="n">
        <v>59</v>
      </c>
      <c r="E518" s="95" t="n">
        <v>62</v>
      </c>
      <c r="F518" s="85" t="n">
        <v>172</v>
      </c>
      <c r="G518" s="120" t="n">
        <v>0.0125</v>
      </c>
      <c r="H518" s="120" t="n">
        <v>0.0125</v>
      </c>
      <c r="I518" s="95" t="n">
        <v>3.5</v>
      </c>
      <c r="J518" s="95" t="n">
        <v>62.5</v>
      </c>
      <c r="K518" s="95" t="n">
        <v>0.97</v>
      </c>
      <c r="L518" s="85" t="n">
        <v>0</v>
      </c>
    </row>
    <row r="519">
      <c r="A519" s="84" t="inlineStr">
        <is>
          <t>Fonction publique d'État</t>
        </is>
      </c>
      <c r="B519" s="7" t="inlineStr">
        <is>
          <t>actif</t>
        </is>
      </c>
      <c r="C519" s="88" t="n">
        <v>1987</v>
      </c>
      <c r="D519" s="95" t="n">
        <v>59</v>
      </c>
      <c r="E519" s="95" t="n">
        <v>62</v>
      </c>
      <c r="F519" s="85" t="n">
        <v>172</v>
      </c>
      <c r="G519" s="120" t="n">
        <v>0.0125</v>
      </c>
      <c r="H519" s="120" t="n">
        <v>0.0125</v>
      </c>
      <c r="I519" s="95" t="n">
        <v>3.5</v>
      </c>
      <c r="J519" s="95" t="n">
        <v>62.5</v>
      </c>
      <c r="K519" s="95" t="n">
        <v>0.97</v>
      </c>
      <c r="L519" s="85" t="n">
        <v>0</v>
      </c>
    </row>
    <row r="520">
      <c r="A520" s="84" t="inlineStr">
        <is>
          <t>Fonction publique d'État</t>
        </is>
      </c>
      <c r="B520" s="7" t="inlineStr">
        <is>
          <t>actif</t>
        </is>
      </c>
      <c r="C520" s="88" t="n">
        <v>1988</v>
      </c>
      <c r="D520" s="95" t="n">
        <v>59</v>
      </c>
      <c r="E520" s="95" t="n">
        <v>62</v>
      </c>
      <c r="F520" s="85" t="n">
        <v>172</v>
      </c>
      <c r="G520" s="120" t="n">
        <v>0.0125</v>
      </c>
      <c r="H520" s="120" t="n">
        <v>0.0125</v>
      </c>
      <c r="I520" s="95" t="n">
        <v>3.5</v>
      </c>
      <c r="J520" s="95" t="n">
        <v>62.5</v>
      </c>
      <c r="K520" s="95" t="n">
        <v>0.97</v>
      </c>
      <c r="L520" s="85" t="n">
        <v>0</v>
      </c>
    </row>
    <row r="521">
      <c r="A521" s="84" t="inlineStr">
        <is>
          <t>Fonction publique d'État</t>
        </is>
      </c>
      <c r="B521" s="7" t="inlineStr">
        <is>
          <t>actif</t>
        </is>
      </c>
      <c r="C521" s="88" t="n">
        <v>1989</v>
      </c>
      <c r="D521" s="95" t="n">
        <v>59</v>
      </c>
      <c r="E521" s="95" t="n">
        <v>62</v>
      </c>
      <c r="F521" s="85" t="n">
        <v>172</v>
      </c>
      <c r="G521" s="120" t="n">
        <v>0.0125</v>
      </c>
      <c r="H521" s="120" t="n">
        <v>0.0125</v>
      </c>
      <c r="I521" s="95" t="n">
        <v>3.5</v>
      </c>
      <c r="J521" s="95" t="n">
        <v>62.5</v>
      </c>
      <c r="K521" s="95" t="n">
        <v>0.97</v>
      </c>
      <c r="L521" s="85" t="n">
        <v>0</v>
      </c>
    </row>
    <row r="522">
      <c r="A522" s="84" t="inlineStr">
        <is>
          <t>Fonction publique d'État</t>
        </is>
      </c>
      <c r="B522" s="7" t="inlineStr">
        <is>
          <t>actif</t>
        </is>
      </c>
      <c r="C522" s="88" t="n">
        <v>1990</v>
      </c>
      <c r="D522" s="95" t="n">
        <v>59</v>
      </c>
      <c r="E522" s="95" t="n">
        <v>62</v>
      </c>
      <c r="F522" s="85" t="n">
        <v>172</v>
      </c>
      <c r="G522" s="120" t="n">
        <v>0.0125</v>
      </c>
      <c r="H522" s="120" t="n">
        <v>0.0125</v>
      </c>
      <c r="I522" s="95" t="n">
        <v>3.5</v>
      </c>
      <c r="J522" s="95" t="n">
        <v>62.5</v>
      </c>
      <c r="K522" s="95" t="n">
        <v>0.97</v>
      </c>
      <c r="L522" s="85" t="n">
        <v>0</v>
      </c>
    </row>
    <row r="523">
      <c r="A523" s="84" t="inlineStr">
        <is>
          <t>Fonction publique d'État</t>
        </is>
      </c>
      <c r="B523" s="7" t="inlineStr">
        <is>
          <t>actif</t>
        </is>
      </c>
      <c r="C523" s="88" t="n">
        <v>1991</v>
      </c>
      <c r="D523" s="95" t="n">
        <v>59</v>
      </c>
      <c r="E523" s="95" t="n">
        <v>62</v>
      </c>
      <c r="F523" s="85" t="n">
        <v>172</v>
      </c>
      <c r="G523" s="120" t="n">
        <v>0.0125</v>
      </c>
      <c r="H523" s="120" t="n">
        <v>0.0125</v>
      </c>
      <c r="I523" s="95" t="n">
        <v>3.5</v>
      </c>
      <c r="J523" s="95" t="n">
        <v>62.5</v>
      </c>
      <c r="K523" s="95" t="n">
        <v>0.97</v>
      </c>
      <c r="L523" s="85" t="n">
        <v>0</v>
      </c>
    </row>
    <row r="524">
      <c r="A524" s="84" t="inlineStr">
        <is>
          <t>Fonction publique d'État</t>
        </is>
      </c>
      <c r="B524" s="7" t="inlineStr">
        <is>
          <t>actif</t>
        </is>
      </c>
      <c r="C524" s="88" t="n">
        <v>1992</v>
      </c>
      <c r="D524" s="95" t="n">
        <v>59</v>
      </c>
      <c r="E524" s="95" t="n">
        <v>62</v>
      </c>
      <c r="F524" s="85" t="n">
        <v>172</v>
      </c>
      <c r="G524" s="120" t="n">
        <v>0.0125</v>
      </c>
      <c r="H524" s="120" t="n">
        <v>0.0125</v>
      </c>
      <c r="I524" s="95" t="n">
        <v>3.5</v>
      </c>
      <c r="J524" s="95" t="n">
        <v>62.5</v>
      </c>
      <c r="K524" s="95" t="n">
        <v>0.97</v>
      </c>
      <c r="L524" s="85" t="n">
        <v>0</v>
      </c>
    </row>
    <row r="525">
      <c r="A525" s="84" t="inlineStr">
        <is>
          <t>Fonction publique d'État</t>
        </is>
      </c>
      <c r="B525" s="7" t="inlineStr">
        <is>
          <t>actif</t>
        </is>
      </c>
      <c r="C525" s="88" t="n">
        <v>1993</v>
      </c>
      <c r="D525" s="95" t="n">
        <v>59</v>
      </c>
      <c r="E525" s="95" t="n">
        <v>62</v>
      </c>
      <c r="F525" s="85" t="n">
        <v>172</v>
      </c>
      <c r="G525" s="120" t="n">
        <v>0.0125</v>
      </c>
      <c r="H525" s="120" t="n">
        <v>0.0125</v>
      </c>
      <c r="I525" s="95" t="n">
        <v>3.5</v>
      </c>
      <c r="J525" s="95" t="n">
        <v>62.5</v>
      </c>
      <c r="K525" s="95" t="n">
        <v>0.97</v>
      </c>
      <c r="L525" s="85" t="n">
        <v>0</v>
      </c>
    </row>
    <row r="526">
      <c r="A526" s="84" t="inlineStr">
        <is>
          <t>Fonction publique d'État</t>
        </is>
      </c>
      <c r="B526" s="7" t="inlineStr">
        <is>
          <t>actif</t>
        </is>
      </c>
      <c r="C526" s="88" t="n">
        <v>1994</v>
      </c>
      <c r="D526" s="95" t="n">
        <v>59</v>
      </c>
      <c r="E526" s="95" t="n">
        <v>62</v>
      </c>
      <c r="F526" s="85" t="n">
        <v>172</v>
      </c>
      <c r="G526" s="120" t="n">
        <v>0.0125</v>
      </c>
      <c r="H526" s="120" t="n">
        <v>0.0125</v>
      </c>
      <c r="I526" s="95" t="n">
        <v>3.5</v>
      </c>
      <c r="J526" s="95" t="n">
        <v>62.5</v>
      </c>
      <c r="K526" s="95" t="n">
        <v>0.97</v>
      </c>
      <c r="L526" s="85" t="n">
        <v>0</v>
      </c>
    </row>
    <row r="527">
      <c r="A527" s="84" t="inlineStr">
        <is>
          <t>Fonction publique d'État</t>
        </is>
      </c>
      <c r="B527" s="7" t="inlineStr">
        <is>
          <t>actif</t>
        </is>
      </c>
      <c r="C527" s="88" t="n">
        <v>1995</v>
      </c>
      <c r="D527" s="95" t="n">
        <v>59</v>
      </c>
      <c r="E527" s="95" t="n">
        <v>62</v>
      </c>
      <c r="F527" s="85" t="n">
        <v>172</v>
      </c>
      <c r="G527" s="120" t="n">
        <v>0.0125</v>
      </c>
      <c r="H527" s="120" t="n">
        <v>0.0125</v>
      </c>
      <c r="I527" s="95" t="n">
        <v>3.5</v>
      </c>
      <c r="J527" s="95" t="n">
        <v>62.5</v>
      </c>
      <c r="K527" s="95" t="n">
        <v>0.97</v>
      </c>
      <c r="L527" s="85" t="n">
        <v>0</v>
      </c>
    </row>
    <row r="528">
      <c r="A528" s="84" t="inlineStr">
        <is>
          <t>Fonction publique d'État</t>
        </is>
      </c>
      <c r="B528" s="7" t="inlineStr">
        <is>
          <t>actif</t>
        </is>
      </c>
      <c r="C528" s="88" t="n">
        <v>1996</v>
      </c>
      <c r="D528" s="95" t="n">
        <v>59</v>
      </c>
      <c r="E528" s="95" t="n">
        <v>62</v>
      </c>
      <c r="F528" s="85" t="n">
        <v>172</v>
      </c>
      <c r="G528" s="120" t="n">
        <v>0.0125</v>
      </c>
      <c r="H528" s="120" t="n">
        <v>0.0125</v>
      </c>
      <c r="I528" s="95" t="n">
        <v>3.5</v>
      </c>
      <c r="J528" s="95" t="n">
        <v>62.5</v>
      </c>
      <c r="K528" s="95" t="n">
        <v>0.97</v>
      </c>
      <c r="L528" s="85" t="n">
        <v>0</v>
      </c>
    </row>
    <row r="529">
      <c r="A529" s="84" t="inlineStr">
        <is>
          <t>Fonction publique d'État</t>
        </is>
      </c>
      <c r="B529" s="7" t="inlineStr">
        <is>
          <t>actif</t>
        </is>
      </c>
      <c r="C529" s="88" t="n">
        <v>1997</v>
      </c>
      <c r="D529" s="95" t="n">
        <v>59</v>
      </c>
      <c r="E529" s="95" t="n">
        <v>62</v>
      </c>
      <c r="F529" s="85" t="n">
        <v>172</v>
      </c>
      <c r="G529" s="120" t="n">
        <v>0.0125</v>
      </c>
      <c r="H529" s="120" t="n">
        <v>0.0125</v>
      </c>
      <c r="I529" s="95" t="n">
        <v>3.5</v>
      </c>
      <c r="J529" s="95" t="n">
        <v>62.5</v>
      </c>
      <c r="K529" s="95" t="n">
        <v>0.97</v>
      </c>
      <c r="L529" s="85" t="n">
        <v>0</v>
      </c>
    </row>
    <row r="530">
      <c r="A530" s="84" t="inlineStr">
        <is>
          <t>Fonction publique d'État</t>
        </is>
      </c>
      <c r="B530" s="7" t="inlineStr">
        <is>
          <t>actif</t>
        </is>
      </c>
      <c r="C530" s="88" t="n">
        <v>1998</v>
      </c>
      <c r="D530" s="95" t="n">
        <v>59</v>
      </c>
      <c r="E530" s="95" t="n">
        <v>62</v>
      </c>
      <c r="F530" s="85" t="n">
        <v>172</v>
      </c>
      <c r="G530" s="120" t="n">
        <v>0.0125</v>
      </c>
      <c r="H530" s="120" t="n">
        <v>0.0125</v>
      </c>
      <c r="I530" s="95" t="n">
        <v>3.5</v>
      </c>
      <c r="J530" s="95" t="n">
        <v>62.5</v>
      </c>
      <c r="K530" s="95" t="n">
        <v>0.97</v>
      </c>
      <c r="L530" s="85" t="n">
        <v>0</v>
      </c>
    </row>
    <row r="531">
      <c r="A531" s="84" t="inlineStr">
        <is>
          <t>Fonction publique d'État</t>
        </is>
      </c>
      <c r="B531" s="7" t="inlineStr">
        <is>
          <t>actif</t>
        </is>
      </c>
      <c r="C531" s="88" t="n">
        <v>1999</v>
      </c>
      <c r="D531" s="95" t="n">
        <v>59</v>
      </c>
      <c r="E531" s="95" t="n">
        <v>62</v>
      </c>
      <c r="F531" s="85" t="n">
        <v>172</v>
      </c>
      <c r="G531" s="120" t="n">
        <v>0.0125</v>
      </c>
      <c r="H531" s="120" t="n">
        <v>0.0125</v>
      </c>
      <c r="I531" s="95" t="n">
        <v>3.5</v>
      </c>
      <c r="J531" s="95" t="n">
        <v>62.5</v>
      </c>
      <c r="K531" s="95" t="n">
        <v>0.97</v>
      </c>
      <c r="L531" s="85" t="n">
        <v>0</v>
      </c>
    </row>
    <row r="532">
      <c r="A532" s="84" t="inlineStr">
        <is>
          <t>Fonction publique d'État</t>
        </is>
      </c>
      <c r="B532" s="7" t="inlineStr">
        <is>
          <t>actif</t>
        </is>
      </c>
      <c r="C532" s="88" t="n">
        <v>2000</v>
      </c>
      <c r="D532" s="95" t="n">
        <v>59</v>
      </c>
      <c r="E532" s="95" t="n">
        <v>62</v>
      </c>
      <c r="F532" s="85" t="n">
        <v>172</v>
      </c>
      <c r="G532" s="120" t="n">
        <v>0.0125</v>
      </c>
      <c r="H532" s="120" t="n">
        <v>0.0125</v>
      </c>
      <c r="I532" s="95" t="n">
        <v>3.5</v>
      </c>
      <c r="J532" s="95" t="n">
        <v>62.5</v>
      </c>
      <c r="K532" s="95" t="n">
        <v>0.97</v>
      </c>
      <c r="L532" s="85" t="n">
        <v>0</v>
      </c>
    </row>
    <row r="533">
      <c r="A533" s="84" t="inlineStr">
        <is>
          <t>Fonction publique d'État</t>
        </is>
      </c>
      <c r="B533" s="7" t="inlineStr">
        <is>
          <t>actif</t>
        </is>
      </c>
      <c r="C533" s="88" t="n">
        <v>2001</v>
      </c>
      <c r="D533" s="95" t="n">
        <v>59</v>
      </c>
      <c r="E533" s="95" t="n">
        <v>62</v>
      </c>
      <c r="F533" s="85" t="n">
        <v>172</v>
      </c>
      <c r="G533" s="120" t="n">
        <v>0.0125</v>
      </c>
      <c r="H533" s="120" t="n">
        <v>0.0125</v>
      </c>
      <c r="I533" s="95" t="n">
        <v>3.5</v>
      </c>
      <c r="J533" s="95" t="n">
        <v>62.5</v>
      </c>
      <c r="K533" s="95" t="n">
        <v>0.97</v>
      </c>
      <c r="L533" s="85" t="n">
        <v>0</v>
      </c>
    </row>
    <row r="534">
      <c r="A534" s="84" t="inlineStr">
        <is>
          <t>Fonction publique d'État</t>
        </is>
      </c>
      <c r="B534" s="7" t="inlineStr">
        <is>
          <t>actif</t>
        </is>
      </c>
      <c r="C534" s="88" t="n">
        <v>2002</v>
      </c>
      <c r="D534" s="95" t="n">
        <v>59</v>
      </c>
      <c r="E534" s="95" t="n">
        <v>62</v>
      </c>
      <c r="F534" s="85" t="n">
        <v>172</v>
      </c>
      <c r="G534" s="120" t="n">
        <v>0.0125</v>
      </c>
      <c r="H534" s="120" t="n">
        <v>0.0125</v>
      </c>
      <c r="I534" s="95" t="n">
        <v>3.5</v>
      </c>
      <c r="J534" s="95" t="n">
        <v>62.5</v>
      </c>
      <c r="K534" s="95" t="n">
        <v>0.97</v>
      </c>
      <c r="L534" s="85" t="n">
        <v>0</v>
      </c>
    </row>
    <row r="535">
      <c r="A535" s="84" t="inlineStr">
        <is>
          <t>Fonction publique d'État</t>
        </is>
      </c>
      <c r="B535" s="7" t="inlineStr">
        <is>
          <t>actif</t>
        </is>
      </c>
      <c r="C535" s="88" t="n">
        <v>2003</v>
      </c>
      <c r="D535" s="95" t="n">
        <v>59</v>
      </c>
      <c r="E535" s="95" t="n">
        <v>62</v>
      </c>
      <c r="F535" s="85" t="n">
        <v>172</v>
      </c>
      <c r="G535" s="120" t="n">
        <v>0.0125</v>
      </c>
      <c r="H535" s="120" t="n">
        <v>0.0125</v>
      </c>
      <c r="I535" s="95" t="n">
        <v>3.5</v>
      </c>
      <c r="J535" s="95" t="n">
        <v>62.5</v>
      </c>
      <c r="K535" s="95" t="n">
        <v>0.97</v>
      </c>
      <c r="L535" s="85" t="n">
        <v>0</v>
      </c>
    </row>
    <row r="536">
      <c r="A536" s="84" t="inlineStr">
        <is>
          <t>Fonction publique d'État</t>
        </is>
      </c>
      <c r="B536" s="7" t="inlineStr">
        <is>
          <t>actif</t>
        </is>
      </c>
      <c r="C536" s="88" t="n">
        <v>2004</v>
      </c>
      <c r="D536" s="95" t="n">
        <v>59</v>
      </c>
      <c r="E536" s="95" t="n">
        <v>62</v>
      </c>
      <c r="F536" s="85" t="n">
        <v>172</v>
      </c>
      <c r="G536" s="120" t="n">
        <v>0.0125</v>
      </c>
      <c r="H536" s="120" t="n">
        <v>0.0125</v>
      </c>
      <c r="I536" s="95" t="n">
        <v>3.5</v>
      </c>
      <c r="J536" s="95" t="n">
        <v>62.5</v>
      </c>
      <c r="K536" s="95" t="n">
        <v>0.97</v>
      </c>
      <c r="L536" s="85" t="n">
        <v>0</v>
      </c>
    </row>
    <row r="537">
      <c r="A537" s="84" t="inlineStr">
        <is>
          <t>Fonction publique d'État</t>
        </is>
      </c>
      <c r="B537" s="7" t="inlineStr">
        <is>
          <t>actif</t>
        </is>
      </c>
      <c r="C537" s="88" t="n">
        <v>2005</v>
      </c>
      <c r="D537" s="95" t="n">
        <v>59</v>
      </c>
      <c r="E537" s="95" t="n">
        <v>62</v>
      </c>
      <c r="F537" s="85" t="n">
        <v>172</v>
      </c>
      <c r="G537" s="120" t="n">
        <v>0.0125</v>
      </c>
      <c r="H537" s="120" t="n">
        <v>0.0125</v>
      </c>
      <c r="I537" s="95" t="n">
        <v>3.5</v>
      </c>
      <c r="J537" s="95" t="n">
        <v>62.5</v>
      </c>
      <c r="K537" s="95" t="n">
        <v>0.97</v>
      </c>
      <c r="L537" s="85" t="n">
        <v>0</v>
      </c>
    </row>
    <row r="538">
      <c r="A538" s="84" t="inlineStr">
        <is>
          <t>Fonction publique d'État</t>
        </is>
      </c>
      <c r="B538" s="7" t="inlineStr">
        <is>
          <t>actif</t>
        </is>
      </c>
      <c r="C538" s="88" t="n">
        <v>2006</v>
      </c>
      <c r="D538" s="95" t="n">
        <v>59</v>
      </c>
      <c r="E538" s="95" t="n">
        <v>62</v>
      </c>
      <c r="F538" s="85" t="n">
        <v>172</v>
      </c>
      <c r="G538" s="120" t="n">
        <v>0.0125</v>
      </c>
      <c r="H538" s="120" t="n">
        <v>0.0125</v>
      </c>
      <c r="I538" s="95" t="n">
        <v>3.5</v>
      </c>
      <c r="J538" s="95" t="n">
        <v>62.5</v>
      </c>
      <c r="K538" s="95" t="n">
        <v>0.97</v>
      </c>
      <c r="L538" s="85" t="n">
        <v>0</v>
      </c>
    </row>
    <row r="539">
      <c r="A539" s="84" t="inlineStr">
        <is>
          <t>Fonction publique d'État</t>
        </is>
      </c>
      <c r="B539" s="7" t="inlineStr">
        <is>
          <t>actif</t>
        </is>
      </c>
      <c r="C539" s="88" t="n">
        <v>2007</v>
      </c>
      <c r="D539" s="95" t="n">
        <v>59</v>
      </c>
      <c r="E539" s="95" t="n">
        <v>62</v>
      </c>
      <c r="F539" s="85" t="n">
        <v>172</v>
      </c>
      <c r="G539" s="120" t="n">
        <v>0.0125</v>
      </c>
      <c r="H539" s="120" t="n">
        <v>0.0125</v>
      </c>
      <c r="I539" s="95" t="n">
        <v>3.5</v>
      </c>
      <c r="J539" s="95" t="n">
        <v>62.5</v>
      </c>
      <c r="K539" s="95" t="n">
        <v>0.97</v>
      </c>
      <c r="L539" s="85" t="n">
        <v>0</v>
      </c>
    </row>
    <row r="540">
      <c r="A540" s="84" t="inlineStr">
        <is>
          <t>Fonction publique d'État</t>
        </is>
      </c>
      <c r="B540" s="7" t="inlineStr">
        <is>
          <t>actif</t>
        </is>
      </c>
      <c r="C540" s="88" t="n">
        <v>2008</v>
      </c>
      <c r="D540" s="95" t="n">
        <v>59</v>
      </c>
      <c r="E540" s="95" t="n">
        <v>62</v>
      </c>
      <c r="F540" s="85" t="n">
        <v>172</v>
      </c>
      <c r="G540" s="120" t="n">
        <v>0.0125</v>
      </c>
      <c r="H540" s="120" t="n">
        <v>0.0125</v>
      </c>
      <c r="I540" s="95" t="n">
        <v>3.5</v>
      </c>
      <c r="J540" s="95" t="n">
        <v>62.5</v>
      </c>
      <c r="K540" s="95" t="n">
        <v>0.97</v>
      </c>
      <c r="L540" s="85" t="n">
        <v>0</v>
      </c>
    </row>
    <row r="541">
      <c r="A541" s="84" t="inlineStr">
        <is>
          <t>Fonction publique d'État</t>
        </is>
      </c>
      <c r="B541" s="7" t="inlineStr">
        <is>
          <t>actif</t>
        </is>
      </c>
      <c r="C541" s="88" t="n">
        <v>2009</v>
      </c>
      <c r="D541" s="95" t="n">
        <v>59</v>
      </c>
      <c r="E541" s="95" t="n">
        <v>62</v>
      </c>
      <c r="F541" s="85" t="n">
        <v>172</v>
      </c>
      <c r="G541" s="120" t="n">
        <v>0.0125</v>
      </c>
      <c r="H541" s="120" t="n">
        <v>0.0125</v>
      </c>
      <c r="I541" s="95" t="n">
        <v>3.5</v>
      </c>
      <c r="J541" s="95" t="n">
        <v>62.5</v>
      </c>
      <c r="K541" s="95" t="n">
        <v>0.97</v>
      </c>
      <c r="L541" s="85" t="n">
        <v>0</v>
      </c>
    </row>
    <row r="542">
      <c r="A542" s="84" t="inlineStr">
        <is>
          <t>Fonction publique d'État</t>
        </is>
      </c>
      <c r="B542" s="7" t="inlineStr">
        <is>
          <t>actif</t>
        </is>
      </c>
      <c r="C542" s="88" t="n">
        <v>2010</v>
      </c>
      <c r="D542" s="95" t="n">
        <v>59</v>
      </c>
      <c r="E542" s="95" t="n">
        <v>62</v>
      </c>
      <c r="F542" s="85" t="n">
        <v>172</v>
      </c>
      <c r="G542" s="120" t="n">
        <v>0.0125</v>
      </c>
      <c r="H542" s="120" t="n">
        <v>0.0125</v>
      </c>
      <c r="I542" s="95" t="n">
        <v>3.5</v>
      </c>
      <c r="J542" s="95" t="n">
        <v>62.5</v>
      </c>
      <c r="K542" s="95" t="n">
        <v>0.97</v>
      </c>
      <c r="L542" s="85" t="n">
        <v>0</v>
      </c>
    </row>
    <row r="543">
      <c r="A543" s="84" t="inlineStr">
        <is>
          <t>Fonction publique d'État</t>
        </is>
      </c>
      <c r="B543" s="7" t="inlineStr">
        <is>
          <t>actif</t>
        </is>
      </c>
      <c r="C543" s="88" t="n">
        <v>2011</v>
      </c>
      <c r="D543" s="95" t="n">
        <v>59</v>
      </c>
      <c r="E543" s="95" t="n">
        <v>62</v>
      </c>
      <c r="F543" s="85" t="n">
        <v>172</v>
      </c>
      <c r="G543" s="120" t="n">
        <v>0.0125</v>
      </c>
      <c r="H543" s="120" t="n">
        <v>0.0125</v>
      </c>
      <c r="I543" s="95" t="n">
        <v>3.5</v>
      </c>
      <c r="J543" s="95" t="n">
        <v>62.5</v>
      </c>
      <c r="K543" s="95" t="n">
        <v>0.97</v>
      </c>
      <c r="L543" s="85" t="n">
        <v>0</v>
      </c>
    </row>
    <row r="544">
      <c r="A544" s="84" t="inlineStr">
        <is>
          <t>Fonction publique d'État</t>
        </is>
      </c>
      <c r="B544" s="7" t="inlineStr">
        <is>
          <t>actif</t>
        </is>
      </c>
      <c r="C544" s="88" t="n">
        <v>2012</v>
      </c>
      <c r="D544" s="95" t="n">
        <v>59</v>
      </c>
      <c r="E544" s="95" t="n">
        <v>62</v>
      </c>
      <c r="F544" s="85" t="n">
        <v>172</v>
      </c>
      <c r="G544" s="120" t="n">
        <v>0.0125</v>
      </c>
      <c r="H544" s="120" t="n">
        <v>0.0125</v>
      </c>
      <c r="I544" s="95" t="n">
        <v>3.5</v>
      </c>
      <c r="J544" s="95" t="n">
        <v>62.5</v>
      </c>
      <c r="K544" s="95" t="n">
        <v>0.97</v>
      </c>
      <c r="L544" s="85" t="n">
        <v>0</v>
      </c>
    </row>
    <row r="545">
      <c r="A545" s="84" t="inlineStr">
        <is>
          <t>Fonction publique d'État</t>
        </is>
      </c>
      <c r="B545" s="7" t="inlineStr">
        <is>
          <t>actif</t>
        </is>
      </c>
      <c r="C545" s="88" t="n">
        <v>2013</v>
      </c>
      <c r="D545" s="95" t="n">
        <v>59</v>
      </c>
      <c r="E545" s="95" t="n">
        <v>62</v>
      </c>
      <c r="F545" s="85" t="n">
        <v>172</v>
      </c>
      <c r="G545" s="120" t="n">
        <v>0.0125</v>
      </c>
      <c r="H545" s="120" t="n">
        <v>0.0125</v>
      </c>
      <c r="I545" s="95" t="n">
        <v>3.5</v>
      </c>
      <c r="J545" s="95" t="n">
        <v>62.5</v>
      </c>
      <c r="K545" s="95" t="n">
        <v>0.97</v>
      </c>
      <c r="L545" s="85" t="n">
        <v>0</v>
      </c>
    </row>
    <row r="546">
      <c r="A546" s="84" t="inlineStr">
        <is>
          <t>Fonction publique d'État</t>
        </is>
      </c>
      <c r="B546" s="7" t="inlineStr">
        <is>
          <t>actif</t>
        </is>
      </c>
      <c r="C546" s="88" t="n">
        <v>2014</v>
      </c>
      <c r="D546" s="95" t="n">
        <v>59</v>
      </c>
      <c r="E546" s="95" t="n">
        <v>62</v>
      </c>
      <c r="F546" s="85" t="n">
        <v>172</v>
      </c>
      <c r="G546" s="120" t="n">
        <v>0.0125</v>
      </c>
      <c r="H546" s="120" t="n">
        <v>0.0125</v>
      </c>
      <c r="I546" s="95" t="n">
        <v>3.5</v>
      </c>
      <c r="J546" s="95" t="n">
        <v>62.5</v>
      </c>
      <c r="K546" s="95" t="n">
        <v>0.97</v>
      </c>
      <c r="L546" s="85" t="n">
        <v>0</v>
      </c>
    </row>
    <row r="547">
      <c r="A547" s="84" t="inlineStr">
        <is>
          <t>Fonction publique d'État</t>
        </is>
      </c>
      <c r="B547" s="7" t="inlineStr">
        <is>
          <t>actif</t>
        </is>
      </c>
      <c r="C547" s="88" t="n">
        <v>2015</v>
      </c>
      <c r="D547" s="95" t="n">
        <v>59</v>
      </c>
      <c r="E547" s="95" t="n">
        <v>62</v>
      </c>
      <c r="F547" s="85" t="n">
        <v>172</v>
      </c>
      <c r="G547" s="120" t="n">
        <v>0.0125</v>
      </c>
      <c r="H547" s="120" t="n">
        <v>0.0125</v>
      </c>
      <c r="I547" s="95" t="n">
        <v>3.5</v>
      </c>
      <c r="J547" s="95" t="n">
        <v>62.5</v>
      </c>
      <c r="K547" s="95" t="n">
        <v>0.97</v>
      </c>
      <c r="L547" s="85" t="n">
        <v>0</v>
      </c>
    </row>
    <row r="548">
      <c r="A548" s="84" t="inlineStr">
        <is>
          <t>Fonction publique d'État</t>
        </is>
      </c>
      <c r="B548" s="7" t="inlineStr">
        <is>
          <t>actif</t>
        </is>
      </c>
      <c r="C548" s="88" t="n">
        <v>2016</v>
      </c>
      <c r="D548" s="95" t="n">
        <v>59</v>
      </c>
      <c r="E548" s="95" t="n">
        <v>62</v>
      </c>
      <c r="F548" s="85" t="n">
        <v>172</v>
      </c>
      <c r="G548" s="120" t="n">
        <v>0.0125</v>
      </c>
      <c r="H548" s="120" t="n">
        <v>0.0125</v>
      </c>
      <c r="I548" s="95" t="n">
        <v>3.5</v>
      </c>
      <c r="J548" s="95" t="n">
        <v>62.5</v>
      </c>
      <c r="K548" s="95" t="n">
        <v>0.97</v>
      </c>
      <c r="L548" s="85" t="n">
        <v>0</v>
      </c>
    </row>
    <row r="549">
      <c r="A549" s="84" t="inlineStr">
        <is>
          <t>Fonction publique d'État</t>
        </is>
      </c>
      <c r="B549" s="7" t="inlineStr">
        <is>
          <t>actif</t>
        </is>
      </c>
      <c r="C549" s="88" t="n">
        <v>2017</v>
      </c>
      <c r="D549" s="95" t="n">
        <v>59</v>
      </c>
      <c r="E549" s="95" t="n">
        <v>62</v>
      </c>
      <c r="F549" s="85" t="n">
        <v>172</v>
      </c>
      <c r="G549" s="120" t="n">
        <v>0.0125</v>
      </c>
      <c r="H549" s="120" t="n">
        <v>0.0125</v>
      </c>
      <c r="I549" s="95" t="n">
        <v>3.5</v>
      </c>
      <c r="J549" s="95" t="n">
        <v>62.5</v>
      </c>
      <c r="K549" s="95" t="n">
        <v>0.97</v>
      </c>
      <c r="L549" s="85" t="n">
        <v>0</v>
      </c>
    </row>
    <row r="550">
      <c r="A550" s="84" t="inlineStr">
        <is>
          <t>Fonction publique d'État</t>
        </is>
      </c>
      <c r="B550" s="7" t="inlineStr">
        <is>
          <t>actif</t>
        </is>
      </c>
      <c r="C550" s="88" t="n">
        <v>2018</v>
      </c>
      <c r="D550" s="95" t="n">
        <v>59</v>
      </c>
      <c r="E550" s="95" t="n">
        <v>62</v>
      </c>
      <c r="F550" s="85" t="n">
        <v>172</v>
      </c>
      <c r="G550" s="120" t="n">
        <v>0.0125</v>
      </c>
      <c r="H550" s="120" t="n">
        <v>0.0125</v>
      </c>
      <c r="I550" s="95" t="n">
        <v>3.5</v>
      </c>
      <c r="J550" s="95" t="n">
        <v>62.5</v>
      </c>
      <c r="K550" s="95" t="n">
        <v>0.97</v>
      </c>
      <c r="L550" s="85" t="n">
        <v>0</v>
      </c>
    </row>
    <row r="551">
      <c r="A551" s="84" t="inlineStr">
        <is>
          <t>Fonction publique d'État</t>
        </is>
      </c>
      <c r="B551" s="7" t="inlineStr">
        <is>
          <t>actif</t>
        </is>
      </c>
      <c r="C551" s="88" t="n">
        <v>2019</v>
      </c>
      <c r="D551" s="95" t="n">
        <v>59</v>
      </c>
      <c r="E551" s="95" t="n">
        <v>62</v>
      </c>
      <c r="F551" s="85" t="n">
        <v>172</v>
      </c>
      <c r="G551" s="120" t="n">
        <v>0.0125</v>
      </c>
      <c r="H551" s="120" t="n">
        <v>0.0125</v>
      </c>
      <c r="I551" s="95" t="n">
        <v>3.5</v>
      </c>
      <c r="J551" s="95" t="n">
        <v>62.5</v>
      </c>
      <c r="K551" s="95" t="n">
        <v>0.97</v>
      </c>
      <c r="L551" s="85" t="n">
        <v>0</v>
      </c>
    </row>
    <row r="552">
      <c r="A552" s="84" t="inlineStr">
        <is>
          <t>Fonction publique d'État</t>
        </is>
      </c>
      <c r="B552" s="7" t="inlineStr">
        <is>
          <t>actif</t>
        </is>
      </c>
      <c r="C552" s="88" t="n">
        <v>2020</v>
      </c>
      <c r="D552" s="95" t="n">
        <v>59</v>
      </c>
      <c r="E552" s="95" t="n">
        <v>62</v>
      </c>
      <c r="F552" s="85" t="n">
        <v>172</v>
      </c>
      <c r="G552" s="120" t="n">
        <v>0.0125</v>
      </c>
      <c r="H552" s="120" t="n">
        <v>0.0125</v>
      </c>
      <c r="I552" s="95" t="n">
        <v>3.5</v>
      </c>
      <c r="J552" s="95" t="n">
        <v>62.5</v>
      </c>
      <c r="K552" s="95" t="n">
        <v>0.97</v>
      </c>
      <c r="L552" s="85" t="n">
        <v>0</v>
      </c>
    </row>
    <row r="553">
      <c r="A553" s="84" t="inlineStr">
        <is>
          <t>Fonction publique d'État</t>
        </is>
      </c>
      <c r="B553" s="7" t="inlineStr">
        <is>
          <t>actif</t>
        </is>
      </c>
      <c r="C553" s="88" t="n">
        <v>2021</v>
      </c>
      <c r="D553" s="95" t="n">
        <v>59</v>
      </c>
      <c r="E553" s="95" t="n">
        <v>62</v>
      </c>
      <c r="F553" s="85" t="n">
        <v>172</v>
      </c>
      <c r="G553" s="120" t="n">
        <v>0.0125</v>
      </c>
      <c r="H553" s="120" t="n">
        <v>0.0125</v>
      </c>
      <c r="I553" s="95" t="n">
        <v>3.5</v>
      </c>
      <c r="J553" s="95" t="n">
        <v>62.5</v>
      </c>
      <c r="K553" s="95" t="n">
        <v>0.97</v>
      </c>
      <c r="L553" s="85" t="n">
        <v>0</v>
      </c>
    </row>
    <row r="554">
      <c r="A554" s="84" t="inlineStr">
        <is>
          <t>Fonction publique d'État</t>
        </is>
      </c>
      <c r="B554" s="7" t="inlineStr">
        <is>
          <t>actif</t>
        </is>
      </c>
      <c r="C554" s="88" t="n">
        <v>2022</v>
      </c>
      <c r="D554" s="95" t="n">
        <v>59</v>
      </c>
      <c r="E554" s="95" t="n">
        <v>62</v>
      </c>
      <c r="F554" s="85" t="n">
        <v>172</v>
      </c>
      <c r="G554" s="120" t="n">
        <v>0.0125</v>
      </c>
      <c r="H554" s="120" t="n">
        <v>0.0125</v>
      </c>
      <c r="I554" s="95" t="n">
        <v>3.5</v>
      </c>
      <c r="J554" s="95" t="n">
        <v>62.5</v>
      </c>
      <c r="K554" s="95" t="n">
        <v>0.97</v>
      </c>
      <c r="L554" s="85" t="n">
        <v>0</v>
      </c>
    </row>
    <row r="555">
      <c r="A555" s="84" t="inlineStr">
        <is>
          <t>Fonction publique d'État</t>
        </is>
      </c>
      <c r="B555" s="7" t="inlineStr">
        <is>
          <t>actif</t>
        </is>
      </c>
      <c r="C555" s="88" t="n">
        <v>2023</v>
      </c>
      <c r="D555" s="95" t="n">
        <v>59</v>
      </c>
      <c r="E555" s="95" t="n">
        <v>62</v>
      </c>
      <c r="F555" s="85" t="n">
        <v>172</v>
      </c>
      <c r="G555" s="120" t="n">
        <v>0.0125</v>
      </c>
      <c r="H555" s="120" t="n">
        <v>0.0125</v>
      </c>
      <c r="I555" s="95" t="n">
        <v>3.5</v>
      </c>
      <c r="J555" s="95" t="n">
        <v>62.5</v>
      </c>
      <c r="K555" s="95" t="n">
        <v>0.97</v>
      </c>
      <c r="L555" s="85" t="n">
        <v>0</v>
      </c>
    </row>
    <row r="556">
      <c r="A556" s="84" t="inlineStr">
        <is>
          <t>Fonction publique d'État</t>
        </is>
      </c>
      <c r="B556" s="7" t="inlineStr">
        <is>
          <t>actif</t>
        </is>
      </c>
      <c r="C556" s="88" t="n">
        <v>2024</v>
      </c>
      <c r="D556" s="95" t="n">
        <v>59</v>
      </c>
      <c r="E556" s="95" t="n">
        <v>62</v>
      </c>
      <c r="F556" s="85" t="n">
        <v>172</v>
      </c>
      <c r="G556" s="120" t="n">
        <v>0.0125</v>
      </c>
      <c r="H556" s="120" t="n">
        <v>0.0125</v>
      </c>
      <c r="I556" s="95" t="n">
        <v>3.5</v>
      </c>
      <c r="J556" s="95" t="n">
        <v>62.5</v>
      </c>
      <c r="K556" s="95" t="n">
        <v>0.97</v>
      </c>
      <c r="L556" s="85" t="n">
        <v>0</v>
      </c>
    </row>
    <row r="557">
      <c r="A557" s="84" t="inlineStr">
        <is>
          <t>Fonction publique d'État</t>
        </is>
      </c>
      <c r="B557" s="7" t="inlineStr">
        <is>
          <t>actif</t>
        </is>
      </c>
      <c r="C557" s="88" t="n">
        <v>2025</v>
      </c>
      <c r="D557" s="95" t="n">
        <v>59</v>
      </c>
      <c r="E557" s="95" t="n">
        <v>62</v>
      </c>
      <c r="F557" s="85" t="n">
        <v>172</v>
      </c>
      <c r="G557" s="120" t="n">
        <v>0.0125</v>
      </c>
      <c r="H557" s="120" t="n">
        <v>0.0125</v>
      </c>
      <c r="I557" s="95" t="n">
        <v>3.5</v>
      </c>
      <c r="J557" s="95" t="n">
        <v>62.5</v>
      </c>
      <c r="K557" s="95" t="n">
        <v>0.97</v>
      </c>
      <c r="L557" s="85" t="n">
        <v>0</v>
      </c>
    </row>
    <row r="558">
      <c r="A558" s="84" t="inlineStr">
        <is>
          <t>Fonction publique d'État</t>
        </is>
      </c>
      <c r="B558" s="7" t="inlineStr">
        <is>
          <t>conduite ou super-actif</t>
        </is>
      </c>
      <c r="C558" s="88" t="n">
        <v>1915</v>
      </c>
      <c r="D558" s="95" t="n">
        <v>50</v>
      </c>
      <c r="E558" s="95" t="n">
        <v>55</v>
      </c>
      <c r="F558" s="85" t="n">
        <v>150</v>
      </c>
      <c r="G558" s="120" t="n">
        <v>0</v>
      </c>
      <c r="H558" s="120" t="n">
        <v>0</v>
      </c>
      <c r="I558" s="95" t="n">
        <v>0.5</v>
      </c>
      <c r="J558" s="95" t="n">
        <v>50.5</v>
      </c>
      <c r="K558" s="95" t="n">
        <v>0.97</v>
      </c>
      <c r="L558" s="85" t="n">
        <v>1</v>
      </c>
    </row>
    <row r="559">
      <c r="A559" s="84" t="inlineStr">
        <is>
          <t>Fonction publique d'État</t>
        </is>
      </c>
      <c r="B559" s="7" t="inlineStr">
        <is>
          <t>conduite ou super-actif</t>
        </is>
      </c>
      <c r="C559" s="88" t="n">
        <v>1916</v>
      </c>
      <c r="D559" s="95" t="n">
        <v>50</v>
      </c>
      <c r="E559" s="95" t="n">
        <v>55</v>
      </c>
      <c r="F559" s="85" t="n">
        <v>150</v>
      </c>
      <c r="G559" s="120" t="n">
        <v>0</v>
      </c>
      <c r="H559" s="120" t="n">
        <v>0</v>
      </c>
      <c r="I559" s="95" t="n">
        <v>0.5</v>
      </c>
      <c r="J559" s="95" t="n">
        <v>50.5</v>
      </c>
      <c r="K559" s="95" t="n">
        <v>0.97</v>
      </c>
      <c r="L559" s="85" t="n">
        <v>1</v>
      </c>
    </row>
    <row r="560">
      <c r="A560" s="84" t="inlineStr">
        <is>
          <t>Fonction publique d'État</t>
        </is>
      </c>
      <c r="B560" s="7" t="inlineStr">
        <is>
          <t>conduite ou super-actif</t>
        </is>
      </c>
      <c r="C560" s="88" t="n">
        <v>1917</v>
      </c>
      <c r="D560" s="95" t="n">
        <v>50</v>
      </c>
      <c r="E560" s="95" t="n">
        <v>55</v>
      </c>
      <c r="F560" s="85" t="n">
        <v>150</v>
      </c>
      <c r="G560" s="120" t="n">
        <v>0</v>
      </c>
      <c r="H560" s="120" t="n">
        <v>0</v>
      </c>
      <c r="I560" s="95" t="n">
        <v>0.5</v>
      </c>
      <c r="J560" s="95" t="n">
        <v>50.5</v>
      </c>
      <c r="K560" s="95" t="n">
        <v>0.97</v>
      </c>
      <c r="L560" s="85" t="n">
        <v>1</v>
      </c>
    </row>
    <row r="561">
      <c r="A561" s="84" t="inlineStr">
        <is>
          <t>Fonction publique d'État</t>
        </is>
      </c>
      <c r="B561" s="7" t="inlineStr">
        <is>
          <t>conduite ou super-actif</t>
        </is>
      </c>
      <c r="C561" s="88" t="n">
        <v>1918</v>
      </c>
      <c r="D561" s="95" t="n">
        <v>50</v>
      </c>
      <c r="E561" s="95" t="n">
        <v>55</v>
      </c>
      <c r="F561" s="85" t="n">
        <v>150</v>
      </c>
      <c r="G561" s="120" t="n">
        <v>0</v>
      </c>
      <c r="H561" s="120" t="n">
        <v>0</v>
      </c>
      <c r="I561" s="95" t="n">
        <v>0.5</v>
      </c>
      <c r="J561" s="95" t="n">
        <v>50.5</v>
      </c>
      <c r="K561" s="95" t="n">
        <v>0.97</v>
      </c>
      <c r="L561" s="85" t="n">
        <v>1</v>
      </c>
    </row>
    <row r="562">
      <c r="A562" s="84" t="inlineStr">
        <is>
          <t>Fonction publique d'État</t>
        </is>
      </c>
      <c r="B562" s="7" t="inlineStr">
        <is>
          <t>conduite ou super-actif</t>
        </is>
      </c>
      <c r="C562" s="88" t="n">
        <v>1919</v>
      </c>
      <c r="D562" s="95" t="n">
        <v>50</v>
      </c>
      <c r="E562" s="95" t="n">
        <v>55</v>
      </c>
      <c r="F562" s="85" t="n">
        <v>150</v>
      </c>
      <c r="G562" s="120" t="n">
        <v>0</v>
      </c>
      <c r="H562" s="120" t="n">
        <v>0</v>
      </c>
      <c r="I562" s="95" t="n">
        <v>0.5</v>
      </c>
      <c r="J562" s="95" t="n">
        <v>50.5</v>
      </c>
      <c r="K562" s="95" t="n">
        <v>0.97</v>
      </c>
      <c r="L562" s="85" t="n">
        <v>1</v>
      </c>
    </row>
    <row r="563">
      <c r="A563" s="84" t="inlineStr">
        <is>
          <t>Fonction publique d'État</t>
        </is>
      </c>
      <c r="B563" s="7" t="inlineStr">
        <is>
          <t>conduite ou super-actif</t>
        </is>
      </c>
      <c r="C563" s="88" t="n">
        <v>1920</v>
      </c>
      <c r="D563" s="95" t="n">
        <v>50</v>
      </c>
      <c r="E563" s="95" t="n">
        <v>55</v>
      </c>
      <c r="F563" s="85" t="n">
        <v>150</v>
      </c>
      <c r="G563" s="120" t="n">
        <v>0</v>
      </c>
      <c r="H563" s="120" t="n">
        <v>0</v>
      </c>
      <c r="I563" s="95" t="n">
        <v>0.5</v>
      </c>
      <c r="J563" s="95" t="n">
        <v>50.5</v>
      </c>
      <c r="K563" s="95" t="n">
        <v>0.97</v>
      </c>
      <c r="L563" s="85" t="n">
        <v>1</v>
      </c>
    </row>
    <row r="564">
      <c r="A564" s="84" t="inlineStr">
        <is>
          <t>Fonction publique d'État</t>
        </is>
      </c>
      <c r="B564" s="7" t="inlineStr">
        <is>
          <t>conduite ou super-actif</t>
        </is>
      </c>
      <c r="C564" s="88" t="n">
        <v>1921</v>
      </c>
      <c r="D564" s="95" t="n">
        <v>50</v>
      </c>
      <c r="E564" s="95" t="n">
        <v>55</v>
      </c>
      <c r="F564" s="85" t="n">
        <v>150</v>
      </c>
      <c r="G564" s="120" t="n">
        <v>0</v>
      </c>
      <c r="H564" s="120" t="n">
        <v>0</v>
      </c>
      <c r="I564" s="95" t="n">
        <v>0.5</v>
      </c>
      <c r="J564" s="95" t="n">
        <v>50.5</v>
      </c>
      <c r="K564" s="95" t="n">
        <v>0.97</v>
      </c>
      <c r="L564" s="85" t="n">
        <v>1</v>
      </c>
    </row>
    <row r="565">
      <c r="A565" s="84" t="inlineStr">
        <is>
          <t>Fonction publique d'État</t>
        </is>
      </c>
      <c r="B565" s="7" t="inlineStr">
        <is>
          <t>conduite ou super-actif</t>
        </is>
      </c>
      <c r="C565" s="88" t="n">
        <v>1922</v>
      </c>
      <c r="D565" s="95" t="n">
        <v>50</v>
      </c>
      <c r="E565" s="95" t="n">
        <v>55</v>
      </c>
      <c r="F565" s="85" t="n">
        <v>150</v>
      </c>
      <c r="G565" s="120" t="n">
        <v>0</v>
      </c>
      <c r="H565" s="120" t="n">
        <v>0</v>
      </c>
      <c r="I565" s="95" t="n">
        <v>0.5</v>
      </c>
      <c r="J565" s="95" t="n">
        <v>50.5</v>
      </c>
      <c r="K565" s="95" t="n">
        <v>0.97</v>
      </c>
      <c r="L565" s="85" t="n">
        <v>1</v>
      </c>
    </row>
    <row r="566">
      <c r="A566" s="84" t="inlineStr">
        <is>
          <t>Fonction publique d'État</t>
        </is>
      </c>
      <c r="B566" s="7" t="inlineStr">
        <is>
          <t>conduite ou super-actif</t>
        </is>
      </c>
      <c r="C566" s="88" t="n">
        <v>1923</v>
      </c>
      <c r="D566" s="95" t="n">
        <v>50</v>
      </c>
      <c r="E566" s="95" t="n">
        <v>55</v>
      </c>
      <c r="F566" s="85" t="n">
        <v>150</v>
      </c>
      <c r="G566" s="120" t="n">
        <v>0</v>
      </c>
      <c r="H566" s="120" t="n">
        <v>0</v>
      </c>
      <c r="I566" s="95" t="n">
        <v>0.5</v>
      </c>
      <c r="J566" s="95" t="n">
        <v>50.5</v>
      </c>
      <c r="K566" s="95" t="n">
        <v>0.97</v>
      </c>
      <c r="L566" s="85" t="n">
        <v>1</v>
      </c>
    </row>
    <row r="567">
      <c r="A567" s="84" t="inlineStr">
        <is>
          <t>Fonction publique d'État</t>
        </is>
      </c>
      <c r="B567" s="7" t="inlineStr">
        <is>
          <t>conduite ou super-actif</t>
        </is>
      </c>
      <c r="C567" s="88" t="n">
        <v>1924</v>
      </c>
      <c r="D567" s="95" t="n">
        <v>50</v>
      </c>
      <c r="E567" s="95" t="n">
        <v>55</v>
      </c>
      <c r="F567" s="85" t="n">
        <v>150</v>
      </c>
      <c r="G567" s="120" t="n">
        <v>0</v>
      </c>
      <c r="H567" s="120" t="n">
        <v>0</v>
      </c>
      <c r="I567" s="95" t="n">
        <v>0.5</v>
      </c>
      <c r="J567" s="95" t="n">
        <v>50.5</v>
      </c>
      <c r="K567" s="95" t="n">
        <v>0.97</v>
      </c>
      <c r="L567" s="85" t="n">
        <v>1</v>
      </c>
    </row>
    <row r="568">
      <c r="A568" s="84" t="inlineStr">
        <is>
          <t>Fonction publique d'État</t>
        </is>
      </c>
      <c r="B568" s="7" t="inlineStr">
        <is>
          <t>conduite ou super-actif</t>
        </is>
      </c>
      <c r="C568" s="88" t="n">
        <v>1925</v>
      </c>
      <c r="D568" s="95" t="n">
        <v>50</v>
      </c>
      <c r="E568" s="95" t="n">
        <v>55</v>
      </c>
      <c r="F568" s="85" t="n">
        <v>150</v>
      </c>
      <c r="G568" s="120" t="n">
        <v>0</v>
      </c>
      <c r="H568" s="120" t="n">
        <v>0</v>
      </c>
      <c r="I568" s="95" t="n">
        <v>0.5</v>
      </c>
      <c r="J568" s="95" t="n">
        <v>50.5</v>
      </c>
      <c r="K568" s="95" t="n">
        <v>0.97</v>
      </c>
      <c r="L568" s="85" t="n">
        <v>1</v>
      </c>
    </row>
    <row r="569">
      <c r="A569" s="84" t="inlineStr">
        <is>
          <t>Fonction publique d'État</t>
        </is>
      </c>
      <c r="B569" s="7" t="inlineStr">
        <is>
          <t>conduite ou super-actif</t>
        </is>
      </c>
      <c r="C569" s="88" t="n">
        <v>1926</v>
      </c>
      <c r="D569" s="95" t="n">
        <v>50</v>
      </c>
      <c r="E569" s="95" t="n">
        <v>55</v>
      </c>
      <c r="F569" s="85" t="n">
        <v>150</v>
      </c>
      <c r="G569" s="120" t="n">
        <v>0</v>
      </c>
      <c r="H569" s="120" t="n">
        <v>0</v>
      </c>
      <c r="I569" s="95" t="n">
        <v>0.5</v>
      </c>
      <c r="J569" s="95" t="n">
        <v>50.5</v>
      </c>
      <c r="K569" s="95" t="n">
        <v>0.97</v>
      </c>
      <c r="L569" s="85" t="n">
        <v>1</v>
      </c>
    </row>
    <row r="570">
      <c r="A570" s="84" t="inlineStr">
        <is>
          <t>Fonction publique d'État</t>
        </is>
      </c>
      <c r="B570" s="7" t="inlineStr">
        <is>
          <t>conduite ou super-actif</t>
        </is>
      </c>
      <c r="C570" s="88" t="n">
        <v>1927</v>
      </c>
      <c r="D570" s="95" t="n">
        <v>50</v>
      </c>
      <c r="E570" s="95" t="n">
        <v>55</v>
      </c>
      <c r="F570" s="85" t="n">
        <v>150</v>
      </c>
      <c r="G570" s="120" t="n">
        <v>0</v>
      </c>
      <c r="H570" s="120" t="n">
        <v>0</v>
      </c>
      <c r="I570" s="95" t="n">
        <v>0.5</v>
      </c>
      <c r="J570" s="95" t="n">
        <v>50.5</v>
      </c>
      <c r="K570" s="95" t="n">
        <v>0.97</v>
      </c>
      <c r="L570" s="85" t="n">
        <v>1</v>
      </c>
    </row>
    <row r="571">
      <c r="A571" s="84" t="inlineStr">
        <is>
          <t>Fonction publique d'État</t>
        </is>
      </c>
      <c r="B571" s="7" t="inlineStr">
        <is>
          <t>conduite ou super-actif</t>
        </is>
      </c>
      <c r="C571" s="88" t="n">
        <v>1928</v>
      </c>
      <c r="D571" s="95" t="n">
        <v>50</v>
      </c>
      <c r="E571" s="95" t="n">
        <v>55</v>
      </c>
      <c r="F571" s="85" t="n">
        <v>150</v>
      </c>
      <c r="G571" s="120" t="n">
        <v>0</v>
      </c>
      <c r="H571" s="120" t="n">
        <v>0</v>
      </c>
      <c r="I571" s="95" t="n">
        <v>0.5</v>
      </c>
      <c r="J571" s="95" t="n">
        <v>50.5</v>
      </c>
      <c r="K571" s="95" t="n">
        <v>0.97</v>
      </c>
      <c r="L571" s="85" t="n">
        <v>1</v>
      </c>
    </row>
    <row r="572">
      <c r="A572" s="84" t="inlineStr">
        <is>
          <t>Fonction publique d'État</t>
        </is>
      </c>
      <c r="B572" s="7" t="inlineStr">
        <is>
          <t>conduite ou super-actif</t>
        </is>
      </c>
      <c r="C572" s="88" t="n">
        <v>1929</v>
      </c>
      <c r="D572" s="95" t="n">
        <v>50</v>
      </c>
      <c r="E572" s="95" t="n">
        <v>55</v>
      </c>
      <c r="F572" s="85" t="n">
        <v>150</v>
      </c>
      <c r="G572" s="120" t="n">
        <v>0</v>
      </c>
      <c r="H572" s="120" t="n">
        <v>0</v>
      </c>
      <c r="I572" s="95" t="n">
        <v>0.5</v>
      </c>
      <c r="J572" s="95" t="n">
        <v>50.5</v>
      </c>
      <c r="K572" s="95" t="n">
        <v>0.97</v>
      </c>
      <c r="L572" s="85" t="n">
        <v>1</v>
      </c>
    </row>
    <row r="573">
      <c r="A573" s="84" t="inlineStr">
        <is>
          <t>Fonction publique d'État</t>
        </is>
      </c>
      <c r="B573" s="7" t="inlineStr">
        <is>
          <t>conduite ou super-actif</t>
        </is>
      </c>
      <c r="C573" s="88" t="n">
        <v>1930</v>
      </c>
      <c r="D573" s="95" t="n">
        <v>50</v>
      </c>
      <c r="E573" s="95" t="n">
        <v>55</v>
      </c>
      <c r="F573" s="85" t="n">
        <v>150</v>
      </c>
      <c r="G573" s="120" t="n">
        <v>0</v>
      </c>
      <c r="H573" s="120" t="n">
        <v>0</v>
      </c>
      <c r="I573" s="95" t="n">
        <v>0.5</v>
      </c>
      <c r="J573" s="95" t="n">
        <v>50.5</v>
      </c>
      <c r="K573" s="95" t="n">
        <v>0.97</v>
      </c>
      <c r="L573" s="85" t="n">
        <v>1</v>
      </c>
    </row>
    <row r="574">
      <c r="A574" s="84" t="inlineStr">
        <is>
          <t>Fonction publique d'État</t>
        </is>
      </c>
      <c r="B574" s="7" t="inlineStr">
        <is>
          <t>conduite ou super-actif</t>
        </is>
      </c>
      <c r="C574" s="88" t="n">
        <v>1931</v>
      </c>
      <c r="D574" s="95" t="n">
        <v>50</v>
      </c>
      <c r="E574" s="95" t="n">
        <v>55</v>
      </c>
      <c r="F574" s="85" t="n">
        <v>150</v>
      </c>
      <c r="G574" s="120" t="n">
        <v>0</v>
      </c>
      <c r="H574" s="120" t="n">
        <v>0</v>
      </c>
      <c r="I574" s="95" t="n">
        <v>0.5</v>
      </c>
      <c r="J574" s="95" t="n">
        <v>50.5</v>
      </c>
      <c r="K574" s="95" t="n">
        <v>0.97</v>
      </c>
      <c r="L574" s="85" t="n">
        <v>1</v>
      </c>
    </row>
    <row r="575">
      <c r="A575" s="84" t="inlineStr">
        <is>
          <t>Fonction publique d'État</t>
        </is>
      </c>
      <c r="B575" s="7" t="inlineStr">
        <is>
          <t>conduite ou super-actif</t>
        </is>
      </c>
      <c r="C575" s="88" t="n">
        <v>1932</v>
      </c>
      <c r="D575" s="95" t="n">
        <v>50</v>
      </c>
      <c r="E575" s="95" t="n">
        <v>55</v>
      </c>
      <c r="F575" s="85" t="n">
        <v>150</v>
      </c>
      <c r="G575" s="120" t="n">
        <v>0</v>
      </c>
      <c r="H575" s="120" t="n">
        <v>0</v>
      </c>
      <c r="I575" s="95" t="n">
        <v>0.5</v>
      </c>
      <c r="J575" s="95" t="n">
        <v>50.5</v>
      </c>
      <c r="K575" s="95" t="n">
        <v>0.97</v>
      </c>
      <c r="L575" s="85" t="n">
        <v>1</v>
      </c>
    </row>
    <row r="576">
      <c r="A576" s="84" t="inlineStr">
        <is>
          <t>Fonction publique d'État</t>
        </is>
      </c>
      <c r="B576" s="7" t="inlineStr">
        <is>
          <t>conduite ou super-actif</t>
        </is>
      </c>
      <c r="C576" s="88" t="n">
        <v>1933</v>
      </c>
      <c r="D576" s="95" t="n">
        <v>50</v>
      </c>
      <c r="E576" s="95" t="n">
        <v>55</v>
      </c>
      <c r="F576" s="85" t="n">
        <v>150</v>
      </c>
      <c r="G576" s="120" t="n">
        <v>0</v>
      </c>
      <c r="H576" s="120" t="n">
        <v>0</v>
      </c>
      <c r="I576" s="95" t="n">
        <v>0.5</v>
      </c>
      <c r="J576" s="95" t="n">
        <v>50.5</v>
      </c>
      <c r="K576" s="95" t="n">
        <v>0.97</v>
      </c>
      <c r="L576" s="85" t="n">
        <v>1</v>
      </c>
    </row>
    <row r="577">
      <c r="A577" s="84" t="inlineStr">
        <is>
          <t>Fonction publique d'État</t>
        </is>
      </c>
      <c r="B577" s="7" t="inlineStr">
        <is>
          <t>conduite ou super-actif</t>
        </is>
      </c>
      <c r="C577" s="88" t="n">
        <v>1934</v>
      </c>
      <c r="D577" s="95" t="n">
        <v>50</v>
      </c>
      <c r="E577" s="95" t="n">
        <v>55</v>
      </c>
      <c r="F577" s="85" t="n">
        <v>150</v>
      </c>
      <c r="G577" s="120" t="n">
        <v>0</v>
      </c>
      <c r="H577" s="120" t="n">
        <v>0</v>
      </c>
      <c r="I577" s="95" t="n">
        <v>0.5</v>
      </c>
      <c r="J577" s="95" t="n">
        <v>50.5</v>
      </c>
      <c r="K577" s="95" t="n">
        <v>0.97</v>
      </c>
      <c r="L577" s="85" t="n">
        <v>1</v>
      </c>
    </row>
    <row r="578">
      <c r="A578" s="84" t="inlineStr">
        <is>
          <t>Fonction publique d'État</t>
        </is>
      </c>
      <c r="B578" s="7" t="inlineStr">
        <is>
          <t>conduite ou super-actif</t>
        </is>
      </c>
      <c r="C578" s="88" t="n">
        <v>1935</v>
      </c>
      <c r="D578" s="95" t="n">
        <v>50</v>
      </c>
      <c r="E578" s="95" t="n">
        <v>55</v>
      </c>
      <c r="F578" s="85" t="n">
        <v>150</v>
      </c>
      <c r="G578" s="120" t="n">
        <v>0</v>
      </c>
      <c r="H578" s="120" t="n">
        <v>0</v>
      </c>
      <c r="I578" s="95" t="n">
        <v>0.5</v>
      </c>
      <c r="J578" s="95" t="n">
        <v>50.5</v>
      </c>
      <c r="K578" s="95" t="n">
        <v>0.97</v>
      </c>
      <c r="L578" s="85" t="n">
        <v>1</v>
      </c>
    </row>
    <row r="579">
      <c r="A579" s="84" t="inlineStr">
        <is>
          <t>Fonction publique d'État</t>
        </is>
      </c>
      <c r="B579" s="7" t="inlineStr">
        <is>
          <t>conduite ou super-actif</t>
        </is>
      </c>
      <c r="C579" s="88" t="n">
        <v>1936</v>
      </c>
      <c r="D579" s="95" t="n">
        <v>50</v>
      </c>
      <c r="E579" s="95" t="n">
        <v>55</v>
      </c>
      <c r="F579" s="85" t="n">
        <v>150</v>
      </c>
      <c r="G579" s="120" t="n">
        <v>0</v>
      </c>
      <c r="H579" s="120" t="n">
        <v>0</v>
      </c>
      <c r="I579" s="95" t="n">
        <v>0.5</v>
      </c>
      <c r="J579" s="95" t="n">
        <v>50.5</v>
      </c>
      <c r="K579" s="95" t="n">
        <v>0.97</v>
      </c>
      <c r="L579" s="85" t="n">
        <v>1</v>
      </c>
    </row>
    <row r="580">
      <c r="A580" s="84" t="inlineStr">
        <is>
          <t>Fonction publique d'État</t>
        </is>
      </c>
      <c r="B580" s="7" t="inlineStr">
        <is>
          <t>conduite ou super-actif</t>
        </is>
      </c>
      <c r="C580" s="88" t="n">
        <v>1937</v>
      </c>
      <c r="D580" s="95" t="n">
        <v>50</v>
      </c>
      <c r="E580" s="95" t="n">
        <v>55</v>
      </c>
      <c r="F580" s="85" t="n">
        <v>150</v>
      </c>
      <c r="G580" s="120" t="n">
        <v>0</v>
      </c>
      <c r="H580" s="120" t="n">
        <v>0</v>
      </c>
      <c r="I580" s="95" t="n">
        <v>0.5</v>
      </c>
      <c r="J580" s="95" t="n">
        <v>50.5</v>
      </c>
      <c r="K580" s="95" t="n">
        <v>0.97</v>
      </c>
      <c r="L580" s="85" t="n">
        <v>1</v>
      </c>
    </row>
    <row r="581">
      <c r="A581" s="84" t="inlineStr">
        <is>
          <t>Fonction publique d'État</t>
        </is>
      </c>
      <c r="B581" s="7" t="inlineStr">
        <is>
          <t>conduite ou super-actif</t>
        </is>
      </c>
      <c r="C581" s="88" t="n">
        <v>1938</v>
      </c>
      <c r="D581" s="95" t="n">
        <v>50</v>
      </c>
      <c r="E581" s="95" t="n">
        <v>55</v>
      </c>
      <c r="F581" s="85" t="n">
        <v>150</v>
      </c>
      <c r="G581" s="120" t="n">
        <v>0</v>
      </c>
      <c r="H581" s="120" t="n">
        <v>0</v>
      </c>
      <c r="I581" s="95" t="n">
        <v>0.5</v>
      </c>
      <c r="J581" s="95" t="n">
        <v>50.5</v>
      </c>
      <c r="K581" s="95" t="n">
        <v>0.97</v>
      </c>
      <c r="L581" s="85" t="n">
        <v>1</v>
      </c>
    </row>
    <row r="582">
      <c r="A582" s="84" t="inlineStr">
        <is>
          <t>Fonction publique d'État</t>
        </is>
      </c>
      <c r="B582" s="7" t="inlineStr">
        <is>
          <t>conduite ou super-actif</t>
        </is>
      </c>
      <c r="C582" s="88" t="n">
        <v>1939</v>
      </c>
      <c r="D582" s="95" t="n">
        <v>50</v>
      </c>
      <c r="E582" s="95" t="n">
        <v>55</v>
      </c>
      <c r="F582" s="85" t="n">
        <v>150</v>
      </c>
      <c r="G582" s="120" t="n">
        <v>0</v>
      </c>
      <c r="H582" s="120" t="n">
        <v>0</v>
      </c>
      <c r="I582" s="95" t="n">
        <v>0.5</v>
      </c>
      <c r="J582" s="95" t="n">
        <v>50.5</v>
      </c>
      <c r="K582" s="95" t="n">
        <v>0.97</v>
      </c>
      <c r="L582" s="85" t="n">
        <v>1</v>
      </c>
    </row>
    <row r="583">
      <c r="A583" s="84" t="inlineStr">
        <is>
          <t>Fonction publique d'État</t>
        </is>
      </c>
      <c r="B583" s="7" t="inlineStr">
        <is>
          <t>conduite ou super-actif</t>
        </is>
      </c>
      <c r="C583" s="88" t="n">
        <v>1940</v>
      </c>
      <c r="D583" s="95" t="n">
        <v>50</v>
      </c>
      <c r="E583" s="95" t="n">
        <v>55</v>
      </c>
      <c r="F583" s="85" t="n">
        <v>150</v>
      </c>
      <c r="G583" s="120" t="n">
        <v>0</v>
      </c>
      <c r="H583" s="120" t="n">
        <v>0</v>
      </c>
      <c r="I583" s="95" t="n">
        <v>0.5</v>
      </c>
      <c r="J583" s="95" t="n">
        <v>50.5</v>
      </c>
      <c r="K583" s="95" t="n">
        <v>0.97</v>
      </c>
      <c r="L583" s="85" t="n">
        <v>1</v>
      </c>
    </row>
    <row r="584">
      <c r="A584" s="84" t="inlineStr">
        <is>
          <t>Fonction publique d'État</t>
        </is>
      </c>
      <c r="B584" s="7" t="inlineStr">
        <is>
          <t>conduite ou super-actif</t>
        </is>
      </c>
      <c r="C584" s="88" t="n">
        <v>1941</v>
      </c>
      <c r="D584" s="95" t="n">
        <v>50</v>
      </c>
      <c r="E584" s="95" t="n">
        <v>55</v>
      </c>
      <c r="F584" s="85" t="n">
        <v>150</v>
      </c>
      <c r="G584" s="120" t="n">
        <v>0</v>
      </c>
      <c r="H584" s="120" t="n">
        <v>0</v>
      </c>
      <c r="I584" s="95" t="n">
        <v>0.5</v>
      </c>
      <c r="J584" s="95" t="n">
        <v>50.5</v>
      </c>
      <c r="K584" s="95" t="n">
        <v>0.97</v>
      </c>
      <c r="L584" s="85" t="n">
        <v>1</v>
      </c>
    </row>
    <row r="585">
      <c r="A585" s="84" t="inlineStr">
        <is>
          <t>Fonction publique d'État</t>
        </is>
      </c>
      <c r="B585" s="7" t="inlineStr">
        <is>
          <t>conduite ou super-actif</t>
        </is>
      </c>
      <c r="C585" s="88" t="n">
        <v>1942</v>
      </c>
      <c r="D585" s="95" t="n">
        <v>50</v>
      </c>
      <c r="E585" s="95" t="n">
        <v>55</v>
      </c>
      <c r="F585" s="85" t="n">
        <v>150</v>
      </c>
      <c r="G585" s="120" t="n">
        <v>0</v>
      </c>
      <c r="H585" s="120" t="n">
        <v>0</v>
      </c>
      <c r="I585" s="95" t="n">
        <v>0.5</v>
      </c>
      <c r="J585" s="95" t="n">
        <v>50.5</v>
      </c>
      <c r="K585" s="95" t="n">
        <v>0.97</v>
      </c>
      <c r="L585" s="85" t="n">
        <v>1</v>
      </c>
    </row>
    <row r="586">
      <c r="A586" s="84" t="inlineStr">
        <is>
          <t>Fonction publique d'État</t>
        </is>
      </c>
      <c r="B586" s="7" t="inlineStr">
        <is>
          <t>conduite ou super-actif</t>
        </is>
      </c>
      <c r="C586" s="88" t="n">
        <v>1943</v>
      </c>
      <c r="D586" s="95" t="n">
        <v>50</v>
      </c>
      <c r="E586" s="95" t="n">
        <v>55</v>
      </c>
      <c r="F586" s="85" t="n">
        <v>150</v>
      </c>
      <c r="G586" s="120" t="n">
        <v>0</v>
      </c>
      <c r="H586" s="120" t="n">
        <v>0</v>
      </c>
      <c r="I586" s="95" t="n">
        <v>0.5</v>
      </c>
      <c r="J586" s="95" t="n">
        <v>50.5</v>
      </c>
      <c r="K586" s="95" t="n">
        <v>0.97</v>
      </c>
      <c r="L586" s="85" t="n">
        <v>1</v>
      </c>
    </row>
    <row r="587">
      <c r="A587" s="84" t="inlineStr">
        <is>
          <t>Fonction publique d'État</t>
        </is>
      </c>
      <c r="B587" s="7" t="inlineStr">
        <is>
          <t>conduite ou super-actif</t>
        </is>
      </c>
      <c r="C587" s="88" t="n">
        <v>1944</v>
      </c>
      <c r="D587" s="95" t="n">
        <v>50</v>
      </c>
      <c r="E587" s="95" t="n">
        <v>55</v>
      </c>
      <c r="F587" s="85" t="n">
        <v>150</v>
      </c>
      <c r="G587" s="120" t="n">
        <v>0</v>
      </c>
      <c r="H587" s="120" t="n">
        <v>0</v>
      </c>
      <c r="I587" s="95" t="n">
        <v>0.5</v>
      </c>
      <c r="J587" s="95" t="n">
        <v>50.5</v>
      </c>
      <c r="K587" s="95" t="n">
        <v>0.97</v>
      </c>
      <c r="L587" s="85" t="n">
        <v>1</v>
      </c>
    </row>
    <row r="588">
      <c r="A588" s="84" t="inlineStr">
        <is>
          <t>Fonction publique d'État</t>
        </is>
      </c>
      <c r="B588" s="7" t="inlineStr">
        <is>
          <t>conduite ou super-actif</t>
        </is>
      </c>
      <c r="C588" s="88" t="n">
        <v>1945</v>
      </c>
      <c r="D588" s="95" t="n">
        <v>50</v>
      </c>
      <c r="E588" s="95" t="n">
        <v>55</v>
      </c>
      <c r="F588" s="85" t="n">
        <v>150</v>
      </c>
      <c r="G588" s="120" t="n">
        <v>0</v>
      </c>
      <c r="H588" s="120" t="n">
        <v>0</v>
      </c>
      <c r="I588" s="95" t="n">
        <v>0.5</v>
      </c>
      <c r="J588" s="95" t="n">
        <v>50.5</v>
      </c>
      <c r="K588" s="95" t="n">
        <v>0.97</v>
      </c>
      <c r="L588" s="85" t="n">
        <v>1</v>
      </c>
    </row>
    <row r="589">
      <c r="A589" s="84" t="inlineStr">
        <is>
          <t>Fonction publique d'État</t>
        </is>
      </c>
      <c r="B589" s="7" t="inlineStr">
        <is>
          <t>conduite ou super-actif</t>
        </is>
      </c>
      <c r="C589" s="88" t="n">
        <v>1946</v>
      </c>
      <c r="D589" s="95" t="n">
        <v>50</v>
      </c>
      <c r="E589" s="95" t="n">
        <v>55</v>
      </c>
      <c r="F589" s="85" t="n">
        <v>150</v>
      </c>
      <c r="G589" s="120" t="n">
        <v>0</v>
      </c>
      <c r="H589" s="120" t="n">
        <v>0</v>
      </c>
      <c r="I589" s="95" t="n">
        <v>0.6</v>
      </c>
      <c r="J589" s="95" t="n">
        <v>50.6</v>
      </c>
      <c r="K589" s="95" t="n">
        <v>0.97</v>
      </c>
      <c r="L589" s="85" t="n">
        <v>1</v>
      </c>
    </row>
    <row r="590">
      <c r="A590" s="84" t="inlineStr">
        <is>
          <t>Fonction publique d'État</t>
        </is>
      </c>
      <c r="B590" s="7" t="inlineStr">
        <is>
          <t>conduite ou super-actif</t>
        </is>
      </c>
      <c r="C590" s="88" t="n">
        <v>1947</v>
      </c>
      <c r="D590" s="95" t="n">
        <v>50</v>
      </c>
      <c r="E590" s="95" t="n">
        <v>55</v>
      </c>
      <c r="F590" s="85" t="n">
        <v>150</v>
      </c>
      <c r="G590" s="120" t="n">
        <v>0</v>
      </c>
      <c r="H590" s="120" t="n">
        <v>0</v>
      </c>
      <c r="I590" s="95" t="n">
        <v>0.7</v>
      </c>
      <c r="J590" s="95" t="n">
        <v>50.7</v>
      </c>
      <c r="K590" s="95" t="n">
        <v>0.97</v>
      </c>
      <c r="L590" s="85" t="n">
        <v>1</v>
      </c>
    </row>
    <row r="591">
      <c r="A591" s="84" t="inlineStr">
        <is>
          <t>Fonction publique d'État</t>
        </is>
      </c>
      <c r="B591" s="7" t="inlineStr">
        <is>
          <t>conduite ou super-actif</t>
        </is>
      </c>
      <c r="C591" s="88" t="n">
        <v>1948</v>
      </c>
      <c r="D591" s="95" t="n">
        <v>50</v>
      </c>
      <c r="E591" s="95" t="n">
        <v>55</v>
      </c>
      <c r="F591" s="85" t="n">
        <v>150</v>
      </c>
      <c r="G591" s="120" t="n">
        <v>0</v>
      </c>
      <c r="H591" s="120" t="n">
        <v>0</v>
      </c>
      <c r="I591" s="95" t="n">
        <v>0.8</v>
      </c>
      <c r="J591" s="95" t="n">
        <v>50.8</v>
      </c>
      <c r="K591" s="95" t="n">
        <v>0.97</v>
      </c>
      <c r="L591" s="85" t="n">
        <v>1</v>
      </c>
    </row>
    <row r="592">
      <c r="A592" s="84" t="inlineStr">
        <is>
          <t>Fonction publique d'État</t>
        </is>
      </c>
      <c r="B592" s="7" t="inlineStr">
        <is>
          <t>conduite ou super-actif</t>
        </is>
      </c>
      <c r="C592" s="88" t="n">
        <v>1949</v>
      </c>
      <c r="D592" s="95" t="n">
        <v>50</v>
      </c>
      <c r="E592" s="95" t="n">
        <v>55</v>
      </c>
      <c r="F592" s="85" t="n">
        <v>150</v>
      </c>
      <c r="G592" s="120" t="n">
        <v>0</v>
      </c>
      <c r="H592" s="120" t="n">
        <v>0.0075</v>
      </c>
      <c r="I592" s="95" t="n">
        <v>0.9</v>
      </c>
      <c r="J592" s="95" t="n">
        <v>50.9</v>
      </c>
      <c r="K592" s="95" t="n">
        <v>0.97</v>
      </c>
      <c r="L592" s="85" t="n">
        <v>1</v>
      </c>
    </row>
    <row r="593">
      <c r="A593" s="84" t="inlineStr">
        <is>
          <t>Fonction publique d'État</t>
        </is>
      </c>
      <c r="B593" s="7" t="inlineStr">
        <is>
          <t>conduite ou super-actif</t>
        </is>
      </c>
      <c r="C593" s="88" t="n">
        <v>1950</v>
      </c>
      <c r="D593" s="95" t="n">
        <v>50</v>
      </c>
      <c r="E593" s="95" t="n">
        <v>55</v>
      </c>
      <c r="F593" s="85" t="n">
        <v>150</v>
      </c>
      <c r="G593" s="120" t="n">
        <v>0</v>
      </c>
      <c r="H593" s="120" t="n">
        <v>0.0075</v>
      </c>
      <c r="I593" s="95" t="n">
        <v>1</v>
      </c>
      <c r="J593" s="95" t="n">
        <v>51</v>
      </c>
      <c r="K593" s="95" t="n">
        <v>0.97</v>
      </c>
      <c r="L593" s="85" t="n">
        <v>1</v>
      </c>
    </row>
    <row r="594">
      <c r="A594" s="84" t="inlineStr">
        <is>
          <t>Fonction publique d'État</t>
        </is>
      </c>
      <c r="B594" s="7" t="inlineStr">
        <is>
          <t>conduite ou super-actif</t>
        </is>
      </c>
      <c r="C594" s="88" t="n">
        <v>1951</v>
      </c>
      <c r="D594" s="95" t="n">
        <v>50</v>
      </c>
      <c r="E594" s="95" t="n">
        <v>51</v>
      </c>
      <c r="F594" s="85" t="n">
        <v>150</v>
      </c>
      <c r="G594" s="120" t="n">
        <v>0.00125</v>
      </c>
      <c r="H594" s="120" t="n">
        <v>0.0075</v>
      </c>
      <c r="I594" s="95" t="n">
        <v>1.1</v>
      </c>
      <c r="J594" s="95" t="n">
        <v>51.1</v>
      </c>
      <c r="K594" s="95" t="n">
        <v>0.97</v>
      </c>
      <c r="L594" s="85" t="n">
        <v>1</v>
      </c>
    </row>
    <row r="595">
      <c r="A595" s="84" t="inlineStr">
        <is>
          <t>Fonction publique d'État</t>
        </is>
      </c>
      <c r="B595" s="7" t="inlineStr">
        <is>
          <t>conduite ou super-actif</t>
        </is>
      </c>
      <c r="C595" s="88" t="n">
        <v>1952</v>
      </c>
      <c r="D595" s="95" t="n">
        <v>50</v>
      </c>
      <c r="E595" s="95" t="n">
        <v>51.5</v>
      </c>
      <c r="F595" s="85" t="n">
        <v>150</v>
      </c>
      <c r="G595" s="120" t="n">
        <v>0.0025</v>
      </c>
      <c r="H595" s="120" t="n">
        <v>0.0075</v>
      </c>
      <c r="I595" s="95" t="n">
        <v>1.2</v>
      </c>
      <c r="J595" s="95" t="n">
        <v>51.2</v>
      </c>
      <c r="K595" s="95" t="n">
        <v>0.97</v>
      </c>
      <c r="L595" s="85" t="n">
        <v>1</v>
      </c>
    </row>
    <row r="596">
      <c r="A596" s="84" t="inlineStr">
        <is>
          <t>Fonction publique d'État</t>
        </is>
      </c>
      <c r="B596" s="7" t="inlineStr">
        <is>
          <t>conduite ou super-actif</t>
        </is>
      </c>
      <c r="C596" s="88" t="n">
        <v>1953</v>
      </c>
      <c r="D596" s="95" t="n">
        <v>50</v>
      </c>
      <c r="E596" s="95" t="n">
        <v>52</v>
      </c>
      <c r="F596" s="85" t="n">
        <v>150</v>
      </c>
      <c r="G596" s="120" t="n">
        <v>0.00375</v>
      </c>
      <c r="H596" s="120" t="n">
        <v>0.0075</v>
      </c>
      <c r="I596" s="95" t="n">
        <v>1.3</v>
      </c>
      <c r="J596" s="95" t="n">
        <v>51.3</v>
      </c>
      <c r="K596" s="95" t="n">
        <v>0.97</v>
      </c>
      <c r="L596" s="85" t="n">
        <v>1</v>
      </c>
    </row>
    <row r="597">
      <c r="A597" s="84" t="inlineStr">
        <is>
          <t>Fonction publique d'État</t>
        </is>
      </c>
      <c r="B597" s="7" t="inlineStr">
        <is>
          <t>conduite ou super-actif</t>
        </is>
      </c>
      <c r="C597" s="88" t="n">
        <v>1954</v>
      </c>
      <c r="D597" s="95" t="n">
        <v>50</v>
      </c>
      <c r="E597" s="95" t="n">
        <v>52.25</v>
      </c>
      <c r="F597" s="85" t="n">
        <v>150</v>
      </c>
      <c r="G597" s="120" t="n">
        <v>0.005</v>
      </c>
      <c r="H597" s="120" t="n">
        <v>0.0125</v>
      </c>
      <c r="I597" s="95" t="n">
        <v>1.4</v>
      </c>
      <c r="J597" s="95" t="n">
        <v>51.4</v>
      </c>
      <c r="K597" s="95" t="n">
        <v>0.97</v>
      </c>
      <c r="L597" s="85" t="n">
        <v>1</v>
      </c>
    </row>
    <row r="598">
      <c r="A598" s="84" t="inlineStr">
        <is>
          <t>Fonction publique d'État</t>
        </is>
      </c>
      <c r="B598" s="7" t="inlineStr">
        <is>
          <t>conduite ou super-actif</t>
        </is>
      </c>
      <c r="C598" s="88" t="n">
        <v>1955</v>
      </c>
      <c r="D598" s="95" t="n">
        <v>50</v>
      </c>
      <c r="E598" s="95" t="n">
        <v>52.5</v>
      </c>
      <c r="F598" s="85" t="n">
        <v>150</v>
      </c>
      <c r="G598" s="120" t="n">
        <v>0.00625</v>
      </c>
      <c r="H598" s="120" t="n">
        <v>0.0125</v>
      </c>
      <c r="I598" s="95" t="n">
        <v>1.5</v>
      </c>
      <c r="J598" s="95" t="n">
        <v>51.5</v>
      </c>
      <c r="K598" s="95" t="n">
        <v>0.97</v>
      </c>
      <c r="L598" s="85" t="n">
        <v>1</v>
      </c>
    </row>
    <row r="599">
      <c r="A599" s="84" t="inlineStr">
        <is>
          <t>Fonction publique d'État</t>
        </is>
      </c>
      <c r="B599" s="7" t="inlineStr">
        <is>
          <t>conduite ou super-actif</t>
        </is>
      </c>
      <c r="C599" s="88" t="n">
        <v>1956</v>
      </c>
      <c r="D599" s="95" t="n">
        <v>50</v>
      </c>
      <c r="E599" s="95" t="n">
        <v>53</v>
      </c>
      <c r="F599" s="85" t="n">
        <v>150</v>
      </c>
      <c r="G599" s="120" t="n">
        <v>0.0075</v>
      </c>
      <c r="H599" s="120" t="n">
        <v>0.0125</v>
      </c>
      <c r="I599" s="95" t="n">
        <v>1.6</v>
      </c>
      <c r="J599" s="95" t="n">
        <v>51.6</v>
      </c>
      <c r="K599" s="95" t="n">
        <v>0.97</v>
      </c>
      <c r="L599" s="85" t="n">
        <v>1</v>
      </c>
    </row>
    <row r="600">
      <c r="A600" s="84" t="inlineStr">
        <is>
          <t>Fonction publique d'État</t>
        </is>
      </c>
      <c r="B600" s="7" t="inlineStr">
        <is>
          <t>conduite ou super-actif</t>
        </is>
      </c>
      <c r="C600" s="88" t="n">
        <v>1957</v>
      </c>
      <c r="D600" s="95" t="n">
        <v>50</v>
      </c>
      <c r="E600" s="95" t="n">
        <v>53.9167</v>
      </c>
      <c r="F600" s="85" t="n">
        <v>150</v>
      </c>
      <c r="G600" s="120" t="n">
        <v>0.01</v>
      </c>
      <c r="H600" s="120" t="n">
        <v>0.0125</v>
      </c>
      <c r="I600" s="95" t="n">
        <v>1.7</v>
      </c>
      <c r="J600" s="95" t="n">
        <v>51.7</v>
      </c>
      <c r="K600" s="95" t="n">
        <v>0.97</v>
      </c>
      <c r="L600" s="85" t="n">
        <v>1</v>
      </c>
    </row>
    <row r="601">
      <c r="A601" s="84" t="inlineStr">
        <is>
          <t>Fonction publique d'État</t>
        </is>
      </c>
      <c r="B601" s="7" t="inlineStr">
        <is>
          <t>conduite ou super-actif</t>
        </is>
      </c>
      <c r="C601" s="88" t="n">
        <v>1958</v>
      </c>
      <c r="D601" s="95" t="n">
        <v>50</v>
      </c>
      <c r="E601" s="95" t="n">
        <v>54.6667</v>
      </c>
      <c r="F601" s="85" t="n">
        <v>150</v>
      </c>
      <c r="G601" s="120" t="n">
        <v>0.01125</v>
      </c>
      <c r="H601" s="120" t="n">
        <v>0.0125</v>
      </c>
      <c r="I601" s="95" t="n">
        <v>1.8</v>
      </c>
      <c r="J601" s="95" t="n">
        <v>51.8</v>
      </c>
      <c r="K601" s="95" t="n">
        <v>0.97</v>
      </c>
      <c r="L601" s="85" t="n">
        <v>1</v>
      </c>
    </row>
    <row r="602">
      <c r="A602" s="84" t="inlineStr">
        <is>
          <t>Fonction publique d'État</t>
        </is>
      </c>
      <c r="B602" s="7" t="inlineStr">
        <is>
          <t>conduite ou super-actif</t>
        </is>
      </c>
      <c r="C602" s="88" t="n">
        <v>1959</v>
      </c>
      <c r="D602" s="95" t="n">
        <v>50</v>
      </c>
      <c r="E602" s="95" t="n">
        <v>55.5</v>
      </c>
      <c r="F602" s="85" t="n">
        <v>150</v>
      </c>
      <c r="G602" s="120" t="n">
        <v>0.0125</v>
      </c>
      <c r="H602" s="120" t="n">
        <v>0.0125</v>
      </c>
      <c r="I602" s="95" t="n">
        <v>1.9</v>
      </c>
      <c r="J602" s="95" t="n">
        <v>51.9</v>
      </c>
      <c r="K602" s="95" t="n">
        <v>0.97</v>
      </c>
      <c r="L602" s="85" t="n">
        <v>1</v>
      </c>
    </row>
    <row r="603">
      <c r="A603" s="84" t="inlineStr">
        <is>
          <t>Fonction publique d'État</t>
        </is>
      </c>
      <c r="B603" s="7" t="inlineStr">
        <is>
          <t>conduite ou super-actif</t>
        </is>
      </c>
      <c r="C603" s="88" t="n">
        <v>1960</v>
      </c>
      <c r="D603" s="95" t="n">
        <v>50</v>
      </c>
      <c r="E603" s="95" t="n">
        <v>56.25</v>
      </c>
      <c r="F603" s="85" t="n">
        <v>150</v>
      </c>
      <c r="G603" s="120" t="n">
        <v>0.0125</v>
      </c>
      <c r="H603" s="120" t="n">
        <v>0.0125</v>
      </c>
      <c r="I603" s="95" t="n">
        <v>2</v>
      </c>
      <c r="J603" s="95" t="n">
        <v>52</v>
      </c>
      <c r="K603" s="95" t="n">
        <v>0.97</v>
      </c>
      <c r="L603" s="85" t="n">
        <v>1</v>
      </c>
    </row>
    <row r="604">
      <c r="A604" s="84" t="inlineStr">
        <is>
          <t>Fonction publique d'État</t>
        </is>
      </c>
      <c r="B604" s="7" t="inlineStr">
        <is>
          <t>conduite ou super-actif</t>
        </is>
      </c>
      <c r="C604" s="88" t="n">
        <v>1961</v>
      </c>
      <c r="D604" s="95" t="n">
        <v>50.1667</v>
      </c>
      <c r="E604" s="95" t="n">
        <v>56.5</v>
      </c>
      <c r="F604" s="85" t="n">
        <v>167</v>
      </c>
      <c r="G604" s="120" t="n">
        <v>0.0125</v>
      </c>
      <c r="H604" s="120" t="n">
        <v>0.0125</v>
      </c>
      <c r="I604" s="95" t="n">
        <v>2</v>
      </c>
      <c r="J604" s="95" t="n">
        <v>52.17</v>
      </c>
      <c r="K604" s="95" t="n">
        <v>0.97</v>
      </c>
      <c r="L604" s="85" t="n">
        <v>1</v>
      </c>
    </row>
    <row r="605">
      <c r="A605" s="84" t="inlineStr">
        <is>
          <t>Fonction publique d'État</t>
        </is>
      </c>
      <c r="B605" s="7" t="inlineStr">
        <is>
          <t>conduite ou super-actif</t>
        </is>
      </c>
      <c r="C605" s="88" t="n">
        <v>1962</v>
      </c>
      <c r="D605" s="95" t="n">
        <v>50.75</v>
      </c>
      <c r="E605" s="95" t="n">
        <v>56.75</v>
      </c>
      <c r="F605" s="85" t="n">
        <v>167</v>
      </c>
      <c r="G605" s="120" t="n">
        <v>0.0125</v>
      </c>
      <c r="H605" s="120" t="n">
        <v>0.0125</v>
      </c>
      <c r="I605" s="95" t="n">
        <v>2</v>
      </c>
      <c r="J605" s="95" t="n">
        <v>52.75</v>
      </c>
      <c r="K605" s="95" t="n">
        <v>0.97</v>
      </c>
      <c r="L605" s="85" t="n">
        <v>1</v>
      </c>
    </row>
    <row r="606">
      <c r="A606" s="84" t="inlineStr">
        <is>
          <t>Fonction publique d'État</t>
        </is>
      </c>
      <c r="B606" s="7" t="inlineStr">
        <is>
          <t>conduite ou super-actif</t>
        </is>
      </c>
      <c r="C606" s="88" t="n">
        <v>1963</v>
      </c>
      <c r="D606" s="95" t="n">
        <v>51.1667</v>
      </c>
      <c r="E606" s="95" t="n">
        <v>57</v>
      </c>
      <c r="F606" s="85" t="n">
        <v>167</v>
      </c>
      <c r="G606" s="120" t="n">
        <v>0.0125</v>
      </c>
      <c r="H606" s="120" t="n">
        <v>0.0125</v>
      </c>
      <c r="I606" s="95" t="n">
        <v>2</v>
      </c>
      <c r="J606" s="95" t="n">
        <v>53.17</v>
      </c>
      <c r="K606" s="95" t="n">
        <v>0.97</v>
      </c>
      <c r="L606" s="85" t="n">
        <v>1</v>
      </c>
    </row>
    <row r="607">
      <c r="A607" s="84" t="inlineStr">
        <is>
          <t>Fonction publique d'État</t>
        </is>
      </c>
      <c r="B607" s="7" t="inlineStr">
        <is>
          <t>conduite ou super-actif</t>
        </is>
      </c>
      <c r="C607" s="88" t="n">
        <v>1964</v>
      </c>
      <c r="D607" s="95" t="n">
        <v>51.5833</v>
      </c>
      <c r="E607" s="95" t="n">
        <v>57</v>
      </c>
      <c r="F607" s="85" t="n">
        <v>168</v>
      </c>
      <c r="G607" s="120" t="n">
        <v>0.0125</v>
      </c>
      <c r="H607" s="120" t="n">
        <v>0.0125</v>
      </c>
      <c r="I607" s="95" t="n">
        <v>2</v>
      </c>
      <c r="J607" s="95" t="n">
        <v>53.58</v>
      </c>
      <c r="K607" s="95" t="n">
        <v>0.97</v>
      </c>
      <c r="L607" s="85" t="n">
        <v>1</v>
      </c>
    </row>
    <row r="608">
      <c r="A608" s="84" t="inlineStr">
        <is>
          <t>Fonction publique d'État</t>
        </is>
      </c>
      <c r="B608" s="7" t="inlineStr">
        <is>
          <t>conduite ou super-actif</t>
        </is>
      </c>
      <c r="C608" s="88" t="n">
        <v>1965</v>
      </c>
      <c r="D608" s="95" t="n">
        <v>52</v>
      </c>
      <c r="E608" s="95" t="n">
        <v>57</v>
      </c>
      <c r="F608" s="85" t="n">
        <v>168</v>
      </c>
      <c r="G608" s="120" t="n">
        <v>0.0125</v>
      </c>
      <c r="H608" s="120" t="n">
        <v>0.0125</v>
      </c>
      <c r="I608" s="95" t="n">
        <v>2</v>
      </c>
      <c r="J608" s="95" t="n">
        <v>54</v>
      </c>
      <c r="K608" s="95" t="n">
        <v>0.97</v>
      </c>
      <c r="L608" s="85" t="n">
        <v>1</v>
      </c>
    </row>
    <row r="609">
      <c r="A609" s="84" t="inlineStr">
        <is>
          <t>Fonction publique d'État</t>
        </is>
      </c>
      <c r="B609" s="7" t="inlineStr">
        <is>
          <t>conduite ou super-actif</t>
        </is>
      </c>
      <c r="C609" s="88" t="n">
        <v>1966</v>
      </c>
      <c r="D609" s="95" t="n">
        <v>52</v>
      </c>
      <c r="E609" s="95" t="n">
        <v>57</v>
      </c>
      <c r="F609" s="85" t="n">
        <v>168</v>
      </c>
      <c r="G609" s="120" t="n">
        <v>0.0125</v>
      </c>
      <c r="H609" s="120" t="n">
        <v>0.0125</v>
      </c>
      <c r="I609" s="95" t="n">
        <v>2</v>
      </c>
      <c r="J609" s="95" t="n">
        <v>54</v>
      </c>
      <c r="K609" s="95" t="n">
        <v>0.97</v>
      </c>
      <c r="L609" s="85" t="n">
        <v>1</v>
      </c>
    </row>
    <row r="610">
      <c r="A610" s="84" t="inlineStr">
        <is>
          <t>Fonction publique d'État</t>
        </is>
      </c>
      <c r="B610" s="7" t="inlineStr">
        <is>
          <t>conduite ou super-actif</t>
        </is>
      </c>
      <c r="C610" s="88" t="n">
        <v>1967</v>
      </c>
      <c r="D610" s="95" t="n">
        <v>52</v>
      </c>
      <c r="E610" s="95" t="n">
        <v>57</v>
      </c>
      <c r="F610" s="85" t="n">
        <v>169</v>
      </c>
      <c r="G610" s="120" t="n">
        <v>0.0125</v>
      </c>
      <c r="H610" s="120" t="n">
        <v>0.0125</v>
      </c>
      <c r="I610" s="95" t="n">
        <v>2</v>
      </c>
      <c r="J610" s="95" t="n">
        <v>54</v>
      </c>
      <c r="K610" s="95" t="n">
        <v>0.97</v>
      </c>
      <c r="L610" s="85" t="n">
        <v>1</v>
      </c>
    </row>
    <row r="611">
      <c r="A611" s="84" t="inlineStr">
        <is>
          <t>Fonction publique d'État</t>
        </is>
      </c>
      <c r="B611" s="7" t="inlineStr">
        <is>
          <t>conduite ou super-actif</t>
        </is>
      </c>
      <c r="C611" s="88" t="n">
        <v>1968</v>
      </c>
      <c r="D611" s="95" t="n">
        <v>52</v>
      </c>
      <c r="E611" s="95" t="n">
        <v>57</v>
      </c>
      <c r="F611" s="85" t="n">
        <v>170</v>
      </c>
      <c r="G611" s="120" t="n">
        <v>0.0125</v>
      </c>
      <c r="H611" s="120" t="n">
        <v>0.0125</v>
      </c>
      <c r="I611" s="95" t="n">
        <v>2</v>
      </c>
      <c r="J611" s="95" t="n">
        <v>54</v>
      </c>
      <c r="K611" s="95" t="n">
        <v>0.97</v>
      </c>
      <c r="L611" s="85" t="n">
        <v>1</v>
      </c>
    </row>
    <row r="612">
      <c r="A612" s="84" t="inlineStr">
        <is>
          <t>Fonction publique d'État</t>
        </is>
      </c>
      <c r="B612" s="7" t="inlineStr">
        <is>
          <t>conduite ou super-actif</t>
        </is>
      </c>
      <c r="C612" s="88" t="n">
        <v>1969</v>
      </c>
      <c r="D612" s="95" t="n">
        <v>52</v>
      </c>
      <c r="E612" s="95" t="n">
        <v>57</v>
      </c>
      <c r="F612" s="85" t="n">
        <v>170</v>
      </c>
      <c r="G612" s="120" t="n">
        <v>0.0125</v>
      </c>
      <c r="H612" s="120" t="n">
        <v>0.0125</v>
      </c>
      <c r="I612" s="95" t="n">
        <v>2</v>
      </c>
      <c r="J612" s="95" t="n">
        <v>54</v>
      </c>
      <c r="K612" s="95" t="n">
        <v>0.97</v>
      </c>
      <c r="L612" s="85" t="n">
        <v>1</v>
      </c>
    </row>
    <row r="613">
      <c r="A613" s="84" t="inlineStr">
        <is>
          <t>Fonction publique d'État</t>
        </is>
      </c>
      <c r="B613" s="7" t="inlineStr">
        <is>
          <t>conduite ou super-actif</t>
        </is>
      </c>
      <c r="C613" s="88" t="n">
        <v>1970</v>
      </c>
      <c r="D613" s="95" t="n">
        <v>52</v>
      </c>
      <c r="E613" s="95" t="n">
        <v>57</v>
      </c>
      <c r="F613" s="85" t="n">
        <v>171</v>
      </c>
      <c r="G613" s="120" t="n">
        <v>0.0125</v>
      </c>
      <c r="H613" s="120" t="n">
        <v>0.0125</v>
      </c>
      <c r="I613" s="95" t="n">
        <v>2</v>
      </c>
      <c r="J613" s="95" t="n">
        <v>54</v>
      </c>
      <c r="K613" s="95" t="n">
        <v>0.97</v>
      </c>
      <c r="L613" s="85" t="n">
        <v>1</v>
      </c>
    </row>
    <row r="614">
      <c r="A614" s="84" t="inlineStr">
        <is>
          <t>Fonction publique d'État</t>
        </is>
      </c>
      <c r="B614" s="7" t="inlineStr">
        <is>
          <t>conduite ou super-actif</t>
        </is>
      </c>
      <c r="C614" s="88" t="n">
        <v>1971</v>
      </c>
      <c r="D614" s="95" t="n">
        <v>52</v>
      </c>
      <c r="E614" s="95" t="n">
        <v>57</v>
      </c>
      <c r="F614" s="85" t="n">
        <v>172</v>
      </c>
      <c r="G614" s="120" t="n">
        <v>0.0125</v>
      </c>
      <c r="H614" s="120" t="n">
        <v>0.0125</v>
      </c>
      <c r="I614" s="95" t="n">
        <v>2</v>
      </c>
      <c r="J614" s="95" t="n">
        <v>54</v>
      </c>
      <c r="K614" s="95" t="n">
        <v>0.97</v>
      </c>
      <c r="L614" s="85" t="n">
        <v>1</v>
      </c>
    </row>
    <row r="615">
      <c r="A615" s="84" t="inlineStr">
        <is>
          <t>Fonction publique d'État</t>
        </is>
      </c>
      <c r="B615" s="7" t="inlineStr">
        <is>
          <t>conduite ou super-actif</t>
        </is>
      </c>
      <c r="C615" s="88" t="n">
        <v>1972</v>
      </c>
      <c r="D615" s="95" t="n">
        <v>52.5</v>
      </c>
      <c r="E615" s="95" t="n">
        <v>57</v>
      </c>
      <c r="F615" s="85" t="n">
        <v>172</v>
      </c>
      <c r="G615" s="120" t="n">
        <v>0.0125</v>
      </c>
      <c r="H615" s="120" t="n">
        <v>0.0125</v>
      </c>
      <c r="I615" s="95" t="n">
        <v>2</v>
      </c>
      <c r="J615" s="95" t="n">
        <v>54.5</v>
      </c>
      <c r="K615" s="95" t="n">
        <v>0.97</v>
      </c>
      <c r="L615" s="85" t="n">
        <v>1</v>
      </c>
    </row>
    <row r="616">
      <c r="A616" s="84" t="inlineStr">
        <is>
          <t>Fonction publique d'État</t>
        </is>
      </c>
      <c r="B616" s="7" t="inlineStr">
        <is>
          <t>conduite ou super-actif</t>
        </is>
      </c>
      <c r="C616" s="88" t="n">
        <v>1973</v>
      </c>
      <c r="D616" s="95" t="n">
        <v>52.75</v>
      </c>
      <c r="E616" s="95" t="n">
        <v>57</v>
      </c>
      <c r="F616" s="85" t="n">
        <v>170</v>
      </c>
      <c r="G616" s="120" t="n">
        <v>0.0125</v>
      </c>
      <c r="H616" s="120" t="n">
        <v>0.0125</v>
      </c>
      <c r="I616" s="95" t="n">
        <v>2</v>
      </c>
      <c r="J616" s="95" t="n">
        <v>54.75</v>
      </c>
      <c r="K616" s="95" t="n">
        <v>0.97</v>
      </c>
      <c r="L616" s="85" t="n">
        <v>1</v>
      </c>
    </row>
    <row r="617">
      <c r="A617" s="84" t="inlineStr">
        <is>
          <t>Fonction publique d'État</t>
        </is>
      </c>
      <c r="B617" s="7" t="inlineStr">
        <is>
          <t>conduite ou super-actif</t>
        </is>
      </c>
      <c r="C617" s="88" t="n">
        <v>1974</v>
      </c>
      <c r="D617" s="95" t="n">
        <v>52.75</v>
      </c>
      <c r="E617" s="95" t="n">
        <v>57</v>
      </c>
      <c r="F617" s="85" t="n">
        <v>170</v>
      </c>
      <c r="G617" s="120" t="n">
        <v>0.0125</v>
      </c>
      <c r="H617" s="120" t="n">
        <v>0.0125</v>
      </c>
      <c r="I617" s="95" t="n">
        <v>2</v>
      </c>
      <c r="J617" s="95" t="n">
        <v>54.75</v>
      </c>
      <c r="K617" s="95" t="n">
        <v>0.97</v>
      </c>
      <c r="L617" s="85" t="n">
        <v>1</v>
      </c>
    </row>
    <row r="618">
      <c r="A618" s="84" t="inlineStr">
        <is>
          <t>Fonction publique d'État</t>
        </is>
      </c>
      <c r="B618" s="7" t="inlineStr">
        <is>
          <t>conduite ou super-actif</t>
        </is>
      </c>
      <c r="C618" s="88" t="n">
        <v>1975</v>
      </c>
      <c r="D618" s="95" t="n">
        <v>52.9167</v>
      </c>
      <c r="E618" s="95" t="n">
        <v>57</v>
      </c>
      <c r="F618" s="85" t="n">
        <v>172</v>
      </c>
      <c r="G618" s="120" t="n">
        <v>0.0125</v>
      </c>
      <c r="H618" s="120" t="n">
        <v>0.0125</v>
      </c>
      <c r="I618" s="95" t="n">
        <v>2</v>
      </c>
      <c r="J618" s="95" t="n">
        <v>54.92</v>
      </c>
      <c r="K618" s="95" t="n">
        <v>0.97</v>
      </c>
      <c r="L618" s="85" t="n">
        <v>1</v>
      </c>
    </row>
    <row r="619">
      <c r="A619" s="84" t="inlineStr">
        <is>
          <t>Fonction publique d'État</t>
        </is>
      </c>
      <c r="B619" s="7" t="inlineStr">
        <is>
          <t>conduite ou super-actif</t>
        </is>
      </c>
      <c r="C619" s="88" t="n">
        <v>1976</v>
      </c>
      <c r="D619" s="95" t="n">
        <v>53.25</v>
      </c>
      <c r="E619" s="95" t="n">
        <v>57</v>
      </c>
      <c r="F619" s="85" t="n">
        <v>172</v>
      </c>
      <c r="G619" s="120" t="n">
        <v>0.0125</v>
      </c>
      <c r="H619" s="120" t="n">
        <v>0.0125</v>
      </c>
      <c r="I619" s="95" t="n">
        <v>2</v>
      </c>
      <c r="J619" s="95" t="n">
        <v>55.25</v>
      </c>
      <c r="K619" s="95" t="n">
        <v>0.97</v>
      </c>
      <c r="L619" s="85" t="n">
        <v>1</v>
      </c>
    </row>
    <row r="620">
      <c r="A620" s="84" t="inlineStr">
        <is>
          <t>Fonction publique d'État</t>
        </is>
      </c>
      <c r="B620" s="7" t="inlineStr">
        <is>
          <t>conduite ou super-actif</t>
        </is>
      </c>
      <c r="C620" s="88" t="n">
        <v>1977</v>
      </c>
      <c r="D620" s="95" t="n">
        <v>53.5</v>
      </c>
      <c r="E620" s="95" t="n">
        <v>57</v>
      </c>
      <c r="F620" s="85" t="n">
        <v>172</v>
      </c>
      <c r="G620" s="120" t="n">
        <v>0.0125</v>
      </c>
      <c r="H620" s="120" t="n">
        <v>0.0125</v>
      </c>
      <c r="I620" s="95" t="n">
        <v>2</v>
      </c>
      <c r="J620" s="95" t="n">
        <v>55.5</v>
      </c>
      <c r="K620" s="95" t="n">
        <v>0.97</v>
      </c>
      <c r="L620" s="85" t="n">
        <v>1</v>
      </c>
    </row>
    <row r="621">
      <c r="A621" s="84" t="inlineStr">
        <is>
          <t>Fonction publique d'État</t>
        </is>
      </c>
      <c r="B621" s="7" t="inlineStr">
        <is>
          <t>conduite ou super-actif</t>
        </is>
      </c>
      <c r="C621" s="88" t="n">
        <v>1978</v>
      </c>
      <c r="D621" s="95" t="n">
        <v>53.75</v>
      </c>
      <c r="E621" s="95" t="n">
        <v>57</v>
      </c>
      <c r="F621" s="85" t="n">
        <v>172</v>
      </c>
      <c r="G621" s="120" t="n">
        <v>0.0125</v>
      </c>
      <c r="H621" s="120" t="n">
        <v>0.0125</v>
      </c>
      <c r="I621" s="95" t="n">
        <v>2</v>
      </c>
      <c r="J621" s="95" t="n">
        <v>55.75</v>
      </c>
      <c r="K621" s="95" t="n">
        <v>0.97</v>
      </c>
      <c r="L621" s="85" t="n">
        <v>1</v>
      </c>
    </row>
    <row r="622">
      <c r="A622" s="84" t="inlineStr">
        <is>
          <t>Fonction publique d'État</t>
        </is>
      </c>
      <c r="B622" s="7" t="inlineStr">
        <is>
          <t>conduite ou super-actif</t>
        </is>
      </c>
      <c r="C622" s="88" t="n">
        <v>1979</v>
      </c>
      <c r="D622" s="95" t="n">
        <v>54</v>
      </c>
      <c r="E622" s="95" t="n">
        <v>57</v>
      </c>
      <c r="F622" s="85" t="n">
        <v>172</v>
      </c>
      <c r="G622" s="120" t="n">
        <v>0.0125</v>
      </c>
      <c r="H622" s="120" t="n">
        <v>0.0125</v>
      </c>
      <c r="I622" s="95" t="n">
        <v>2</v>
      </c>
      <c r="J622" s="95" t="n">
        <v>56</v>
      </c>
      <c r="K622" s="95" t="n">
        <v>0.97</v>
      </c>
      <c r="L622" s="85" t="n">
        <v>1</v>
      </c>
    </row>
    <row r="623">
      <c r="A623" s="84" t="inlineStr">
        <is>
          <t>Fonction publique d'État</t>
        </is>
      </c>
      <c r="B623" s="7" t="inlineStr">
        <is>
          <t>conduite ou super-actif</t>
        </is>
      </c>
      <c r="C623" s="88" t="n">
        <v>1980</v>
      </c>
      <c r="D623" s="95" t="n">
        <v>54</v>
      </c>
      <c r="E623" s="95" t="n">
        <v>57</v>
      </c>
      <c r="F623" s="85" t="n">
        <v>172</v>
      </c>
      <c r="G623" s="120" t="n">
        <v>0.0125</v>
      </c>
      <c r="H623" s="120" t="n">
        <v>0.0125</v>
      </c>
      <c r="I623" s="95" t="n">
        <v>2</v>
      </c>
      <c r="J623" s="95" t="n">
        <v>56</v>
      </c>
      <c r="K623" s="95" t="n">
        <v>0.97</v>
      </c>
      <c r="L623" s="85" t="n">
        <v>1</v>
      </c>
    </row>
    <row r="624">
      <c r="A624" s="84" t="inlineStr">
        <is>
          <t>Fonction publique d'État</t>
        </is>
      </c>
      <c r="B624" s="7" t="inlineStr">
        <is>
          <t>conduite ou super-actif</t>
        </is>
      </c>
      <c r="C624" s="88" t="n">
        <v>1981</v>
      </c>
      <c r="D624" s="95" t="n">
        <v>54</v>
      </c>
      <c r="E624" s="95" t="n">
        <v>57</v>
      </c>
      <c r="F624" s="85" t="n">
        <v>172</v>
      </c>
      <c r="G624" s="120" t="n">
        <v>0.0125</v>
      </c>
      <c r="H624" s="120" t="n">
        <v>0.0125</v>
      </c>
      <c r="I624" s="95" t="n">
        <v>2</v>
      </c>
      <c r="J624" s="95" t="n">
        <v>56</v>
      </c>
      <c r="K624" s="95" t="n">
        <v>0.97</v>
      </c>
      <c r="L624" s="85" t="n">
        <v>1</v>
      </c>
    </row>
    <row r="625">
      <c r="A625" s="84" t="inlineStr">
        <is>
          <t>Fonction publique d'État</t>
        </is>
      </c>
      <c r="B625" s="7" t="inlineStr">
        <is>
          <t>conduite ou super-actif</t>
        </is>
      </c>
      <c r="C625" s="88" t="n">
        <v>1982</v>
      </c>
      <c r="D625" s="95" t="n">
        <v>54</v>
      </c>
      <c r="E625" s="95" t="n">
        <v>57</v>
      </c>
      <c r="F625" s="85" t="n">
        <v>172</v>
      </c>
      <c r="G625" s="120" t="n">
        <v>0.0125</v>
      </c>
      <c r="H625" s="120" t="n">
        <v>0.0125</v>
      </c>
      <c r="I625" s="95" t="n">
        <v>2</v>
      </c>
      <c r="J625" s="95" t="n">
        <v>56</v>
      </c>
      <c r="K625" s="95" t="n">
        <v>0.97</v>
      </c>
      <c r="L625" s="85" t="n">
        <v>1</v>
      </c>
    </row>
    <row r="626">
      <c r="A626" s="84" t="inlineStr">
        <is>
          <t>Fonction publique d'État</t>
        </is>
      </c>
      <c r="B626" s="7" t="inlineStr">
        <is>
          <t>conduite ou super-actif</t>
        </is>
      </c>
      <c r="C626" s="88" t="n">
        <v>1983</v>
      </c>
      <c r="D626" s="95" t="n">
        <v>54</v>
      </c>
      <c r="E626" s="95" t="n">
        <v>57</v>
      </c>
      <c r="F626" s="85" t="n">
        <v>172</v>
      </c>
      <c r="G626" s="120" t="n">
        <v>0.0125</v>
      </c>
      <c r="H626" s="120" t="n">
        <v>0.0125</v>
      </c>
      <c r="I626" s="95" t="n">
        <v>2</v>
      </c>
      <c r="J626" s="95" t="n">
        <v>56</v>
      </c>
      <c r="K626" s="95" t="n">
        <v>0.97</v>
      </c>
      <c r="L626" s="85" t="n">
        <v>1</v>
      </c>
    </row>
    <row r="627">
      <c r="A627" s="84" t="inlineStr">
        <is>
          <t>Fonction publique d'État</t>
        </is>
      </c>
      <c r="B627" s="7" t="inlineStr">
        <is>
          <t>conduite ou super-actif</t>
        </is>
      </c>
      <c r="C627" s="88" t="n">
        <v>1984</v>
      </c>
      <c r="D627" s="95" t="n">
        <v>54</v>
      </c>
      <c r="E627" s="95" t="n">
        <v>57</v>
      </c>
      <c r="F627" s="85" t="n">
        <v>172</v>
      </c>
      <c r="G627" s="120" t="n">
        <v>0.0125</v>
      </c>
      <c r="H627" s="120" t="n">
        <v>0.0125</v>
      </c>
      <c r="I627" s="95" t="n">
        <v>2</v>
      </c>
      <c r="J627" s="95" t="n">
        <v>56</v>
      </c>
      <c r="K627" s="95" t="n">
        <v>0.97</v>
      </c>
      <c r="L627" s="85" t="n">
        <v>1</v>
      </c>
    </row>
    <row r="628">
      <c r="A628" s="84" t="inlineStr">
        <is>
          <t>Fonction publique d'État</t>
        </is>
      </c>
      <c r="B628" s="7" t="inlineStr">
        <is>
          <t>conduite ou super-actif</t>
        </is>
      </c>
      <c r="C628" s="88" t="n">
        <v>1985</v>
      </c>
      <c r="D628" s="95" t="n">
        <v>54</v>
      </c>
      <c r="E628" s="95" t="n">
        <v>57</v>
      </c>
      <c r="F628" s="85" t="n">
        <v>172</v>
      </c>
      <c r="G628" s="120" t="n">
        <v>0.0125</v>
      </c>
      <c r="H628" s="120" t="n">
        <v>0.0125</v>
      </c>
      <c r="I628" s="95" t="n">
        <v>2</v>
      </c>
      <c r="J628" s="95" t="n">
        <v>56</v>
      </c>
      <c r="K628" s="95" t="n">
        <v>0.97</v>
      </c>
      <c r="L628" s="85" t="n">
        <v>1</v>
      </c>
    </row>
    <row r="629">
      <c r="A629" s="84" t="inlineStr">
        <is>
          <t>Fonction publique d'État</t>
        </is>
      </c>
      <c r="B629" s="7" t="inlineStr">
        <is>
          <t>conduite ou super-actif</t>
        </is>
      </c>
      <c r="C629" s="88" t="n">
        <v>1986</v>
      </c>
      <c r="D629" s="95" t="n">
        <v>54</v>
      </c>
      <c r="E629" s="95" t="n">
        <v>57</v>
      </c>
      <c r="F629" s="85" t="n">
        <v>172</v>
      </c>
      <c r="G629" s="120" t="n">
        <v>0.0125</v>
      </c>
      <c r="H629" s="120" t="n">
        <v>0.0125</v>
      </c>
      <c r="I629" s="95" t="n">
        <v>2</v>
      </c>
      <c r="J629" s="95" t="n">
        <v>56</v>
      </c>
      <c r="K629" s="95" t="n">
        <v>0.97</v>
      </c>
      <c r="L629" s="85" t="n">
        <v>1</v>
      </c>
    </row>
    <row r="630">
      <c r="A630" s="84" t="inlineStr">
        <is>
          <t>Fonction publique d'État</t>
        </is>
      </c>
      <c r="B630" s="7" t="inlineStr">
        <is>
          <t>conduite ou super-actif</t>
        </is>
      </c>
      <c r="C630" s="88" t="n">
        <v>1987</v>
      </c>
      <c r="D630" s="95" t="n">
        <v>54</v>
      </c>
      <c r="E630" s="95" t="n">
        <v>57</v>
      </c>
      <c r="F630" s="85" t="n">
        <v>172</v>
      </c>
      <c r="G630" s="120" t="n">
        <v>0.0125</v>
      </c>
      <c r="H630" s="120" t="n">
        <v>0.0125</v>
      </c>
      <c r="I630" s="95" t="n">
        <v>2</v>
      </c>
      <c r="J630" s="95" t="n">
        <v>56</v>
      </c>
      <c r="K630" s="95" t="n">
        <v>0.97</v>
      </c>
      <c r="L630" s="85" t="n">
        <v>1</v>
      </c>
    </row>
    <row r="631">
      <c r="A631" s="84" t="inlineStr">
        <is>
          <t>Fonction publique d'État</t>
        </is>
      </c>
      <c r="B631" s="7" t="inlineStr">
        <is>
          <t>conduite ou super-actif</t>
        </is>
      </c>
      <c r="C631" s="88" t="n">
        <v>1988</v>
      </c>
      <c r="D631" s="95" t="n">
        <v>54</v>
      </c>
      <c r="E631" s="95" t="n">
        <v>57</v>
      </c>
      <c r="F631" s="85" t="n">
        <v>172</v>
      </c>
      <c r="G631" s="120" t="n">
        <v>0.0125</v>
      </c>
      <c r="H631" s="120" t="n">
        <v>0.0125</v>
      </c>
      <c r="I631" s="95" t="n">
        <v>2</v>
      </c>
      <c r="J631" s="95" t="n">
        <v>56</v>
      </c>
      <c r="K631" s="95" t="n">
        <v>0.97</v>
      </c>
      <c r="L631" s="85" t="n">
        <v>1</v>
      </c>
    </row>
    <row r="632">
      <c r="A632" s="84" t="inlineStr">
        <is>
          <t>Fonction publique d'État</t>
        </is>
      </c>
      <c r="B632" s="7" t="inlineStr">
        <is>
          <t>conduite ou super-actif</t>
        </is>
      </c>
      <c r="C632" s="88" t="n">
        <v>1989</v>
      </c>
      <c r="D632" s="95" t="n">
        <v>54</v>
      </c>
      <c r="E632" s="95" t="n">
        <v>57</v>
      </c>
      <c r="F632" s="85" t="n">
        <v>172</v>
      </c>
      <c r="G632" s="120" t="n">
        <v>0.0125</v>
      </c>
      <c r="H632" s="120" t="n">
        <v>0.0125</v>
      </c>
      <c r="I632" s="95" t="n">
        <v>2</v>
      </c>
      <c r="J632" s="95" t="n">
        <v>56</v>
      </c>
      <c r="K632" s="95" t="n">
        <v>0.97</v>
      </c>
      <c r="L632" s="85" t="n">
        <v>1</v>
      </c>
    </row>
    <row r="633">
      <c r="A633" s="84" t="inlineStr">
        <is>
          <t>Fonction publique d'État</t>
        </is>
      </c>
      <c r="B633" s="7" t="inlineStr">
        <is>
          <t>conduite ou super-actif</t>
        </is>
      </c>
      <c r="C633" s="88" t="n">
        <v>1990</v>
      </c>
      <c r="D633" s="95" t="n">
        <v>54</v>
      </c>
      <c r="E633" s="95" t="n">
        <v>57</v>
      </c>
      <c r="F633" s="85" t="n">
        <v>172</v>
      </c>
      <c r="G633" s="120" t="n">
        <v>0.0125</v>
      </c>
      <c r="H633" s="120" t="n">
        <v>0.0125</v>
      </c>
      <c r="I633" s="95" t="n">
        <v>2</v>
      </c>
      <c r="J633" s="95" t="n">
        <v>56</v>
      </c>
      <c r="K633" s="95" t="n">
        <v>0.97</v>
      </c>
      <c r="L633" s="85" t="n">
        <v>1</v>
      </c>
    </row>
    <row r="634">
      <c r="A634" s="84" t="inlineStr">
        <is>
          <t>Fonction publique d'État</t>
        </is>
      </c>
      <c r="B634" s="7" t="inlineStr">
        <is>
          <t>conduite ou super-actif</t>
        </is>
      </c>
      <c r="C634" s="88" t="n">
        <v>1991</v>
      </c>
      <c r="D634" s="95" t="n">
        <v>54</v>
      </c>
      <c r="E634" s="95" t="n">
        <v>57</v>
      </c>
      <c r="F634" s="85" t="n">
        <v>172</v>
      </c>
      <c r="G634" s="120" t="n">
        <v>0.0125</v>
      </c>
      <c r="H634" s="120" t="n">
        <v>0.0125</v>
      </c>
      <c r="I634" s="95" t="n">
        <v>2</v>
      </c>
      <c r="J634" s="95" t="n">
        <v>56</v>
      </c>
      <c r="K634" s="95" t="n">
        <v>0.97</v>
      </c>
      <c r="L634" s="85" t="n">
        <v>1</v>
      </c>
    </row>
    <row r="635">
      <c r="A635" s="84" t="inlineStr">
        <is>
          <t>Fonction publique d'État</t>
        </is>
      </c>
      <c r="B635" s="7" t="inlineStr">
        <is>
          <t>conduite ou super-actif</t>
        </is>
      </c>
      <c r="C635" s="88" t="n">
        <v>1992</v>
      </c>
      <c r="D635" s="95" t="n">
        <v>54</v>
      </c>
      <c r="E635" s="95" t="n">
        <v>57</v>
      </c>
      <c r="F635" s="85" t="n">
        <v>172</v>
      </c>
      <c r="G635" s="120" t="n">
        <v>0.0125</v>
      </c>
      <c r="H635" s="120" t="n">
        <v>0.0125</v>
      </c>
      <c r="I635" s="95" t="n">
        <v>2</v>
      </c>
      <c r="J635" s="95" t="n">
        <v>56</v>
      </c>
      <c r="K635" s="95" t="n">
        <v>0.97</v>
      </c>
      <c r="L635" s="85" t="n">
        <v>1</v>
      </c>
    </row>
    <row r="636">
      <c r="A636" s="84" t="inlineStr">
        <is>
          <t>Fonction publique d'État</t>
        </is>
      </c>
      <c r="B636" s="7" t="inlineStr">
        <is>
          <t>conduite ou super-actif</t>
        </is>
      </c>
      <c r="C636" s="88" t="n">
        <v>1993</v>
      </c>
      <c r="D636" s="95" t="n">
        <v>54</v>
      </c>
      <c r="E636" s="95" t="n">
        <v>57</v>
      </c>
      <c r="F636" s="85" t="n">
        <v>172</v>
      </c>
      <c r="G636" s="120" t="n">
        <v>0.0125</v>
      </c>
      <c r="H636" s="120" t="n">
        <v>0.0125</v>
      </c>
      <c r="I636" s="95" t="n">
        <v>2</v>
      </c>
      <c r="J636" s="95" t="n">
        <v>56</v>
      </c>
      <c r="K636" s="95" t="n">
        <v>0.97</v>
      </c>
      <c r="L636" s="85" t="n">
        <v>1</v>
      </c>
    </row>
    <row r="637">
      <c r="A637" s="84" t="inlineStr">
        <is>
          <t>Fonction publique d'État</t>
        </is>
      </c>
      <c r="B637" s="7" t="inlineStr">
        <is>
          <t>conduite ou super-actif</t>
        </is>
      </c>
      <c r="C637" s="88" t="n">
        <v>1994</v>
      </c>
      <c r="D637" s="95" t="n">
        <v>54</v>
      </c>
      <c r="E637" s="95" t="n">
        <v>57</v>
      </c>
      <c r="F637" s="85" t="n">
        <v>172</v>
      </c>
      <c r="G637" s="120" t="n">
        <v>0.0125</v>
      </c>
      <c r="H637" s="120" t="n">
        <v>0.0125</v>
      </c>
      <c r="I637" s="95" t="n">
        <v>2</v>
      </c>
      <c r="J637" s="95" t="n">
        <v>56</v>
      </c>
      <c r="K637" s="95" t="n">
        <v>0.97</v>
      </c>
      <c r="L637" s="85" t="n">
        <v>1</v>
      </c>
    </row>
    <row r="638">
      <c r="A638" s="84" t="inlineStr">
        <is>
          <t>Fonction publique d'État</t>
        </is>
      </c>
      <c r="B638" s="7" t="inlineStr">
        <is>
          <t>conduite ou super-actif</t>
        </is>
      </c>
      <c r="C638" s="88" t="n">
        <v>1995</v>
      </c>
      <c r="D638" s="95" t="n">
        <v>54</v>
      </c>
      <c r="E638" s="95" t="n">
        <v>57</v>
      </c>
      <c r="F638" s="85" t="n">
        <v>172</v>
      </c>
      <c r="G638" s="120" t="n">
        <v>0.0125</v>
      </c>
      <c r="H638" s="120" t="n">
        <v>0.0125</v>
      </c>
      <c r="I638" s="95" t="n">
        <v>2</v>
      </c>
      <c r="J638" s="95" t="n">
        <v>56</v>
      </c>
      <c r="K638" s="95" t="n">
        <v>0.97</v>
      </c>
      <c r="L638" s="85" t="n">
        <v>1</v>
      </c>
    </row>
    <row r="639">
      <c r="A639" s="84" t="inlineStr">
        <is>
          <t>Fonction publique d'État</t>
        </is>
      </c>
      <c r="B639" s="7" t="inlineStr">
        <is>
          <t>conduite ou super-actif</t>
        </is>
      </c>
      <c r="C639" s="88" t="n">
        <v>1996</v>
      </c>
      <c r="D639" s="95" t="n">
        <v>54</v>
      </c>
      <c r="E639" s="95" t="n">
        <v>57</v>
      </c>
      <c r="F639" s="85" t="n">
        <v>172</v>
      </c>
      <c r="G639" s="120" t="n">
        <v>0.0125</v>
      </c>
      <c r="H639" s="120" t="n">
        <v>0.0125</v>
      </c>
      <c r="I639" s="95" t="n">
        <v>2</v>
      </c>
      <c r="J639" s="95" t="n">
        <v>56</v>
      </c>
      <c r="K639" s="95" t="n">
        <v>0.97</v>
      </c>
      <c r="L639" s="85" t="n">
        <v>1</v>
      </c>
    </row>
    <row r="640">
      <c r="A640" s="84" t="inlineStr">
        <is>
          <t>Fonction publique d'État</t>
        </is>
      </c>
      <c r="B640" s="7" t="inlineStr">
        <is>
          <t>conduite ou super-actif</t>
        </is>
      </c>
      <c r="C640" s="88" t="n">
        <v>1997</v>
      </c>
      <c r="D640" s="95" t="n">
        <v>54</v>
      </c>
      <c r="E640" s="95" t="n">
        <v>57</v>
      </c>
      <c r="F640" s="85" t="n">
        <v>172</v>
      </c>
      <c r="G640" s="120" t="n">
        <v>0.0125</v>
      </c>
      <c r="H640" s="120" t="n">
        <v>0.0125</v>
      </c>
      <c r="I640" s="95" t="n">
        <v>2</v>
      </c>
      <c r="J640" s="95" t="n">
        <v>56</v>
      </c>
      <c r="K640" s="95" t="n">
        <v>0.97</v>
      </c>
      <c r="L640" s="85" t="n">
        <v>1</v>
      </c>
    </row>
    <row r="641">
      <c r="A641" s="84" t="inlineStr">
        <is>
          <t>Fonction publique d'État</t>
        </is>
      </c>
      <c r="B641" s="7" t="inlineStr">
        <is>
          <t>conduite ou super-actif</t>
        </is>
      </c>
      <c r="C641" s="88" t="n">
        <v>1998</v>
      </c>
      <c r="D641" s="95" t="n">
        <v>54</v>
      </c>
      <c r="E641" s="95" t="n">
        <v>57</v>
      </c>
      <c r="F641" s="85" t="n">
        <v>172</v>
      </c>
      <c r="G641" s="120" t="n">
        <v>0.0125</v>
      </c>
      <c r="H641" s="120" t="n">
        <v>0.0125</v>
      </c>
      <c r="I641" s="95" t="n">
        <v>2</v>
      </c>
      <c r="J641" s="95" t="n">
        <v>56</v>
      </c>
      <c r="K641" s="95" t="n">
        <v>0.97</v>
      </c>
      <c r="L641" s="85" t="n">
        <v>1</v>
      </c>
    </row>
    <row r="642">
      <c r="A642" s="84" t="inlineStr">
        <is>
          <t>Fonction publique d'État</t>
        </is>
      </c>
      <c r="B642" s="7" t="inlineStr">
        <is>
          <t>conduite ou super-actif</t>
        </is>
      </c>
      <c r="C642" s="88" t="n">
        <v>1999</v>
      </c>
      <c r="D642" s="95" t="n">
        <v>54</v>
      </c>
      <c r="E642" s="95" t="n">
        <v>57</v>
      </c>
      <c r="F642" s="85" t="n">
        <v>172</v>
      </c>
      <c r="G642" s="120" t="n">
        <v>0.0125</v>
      </c>
      <c r="H642" s="120" t="n">
        <v>0.0125</v>
      </c>
      <c r="I642" s="95" t="n">
        <v>2</v>
      </c>
      <c r="J642" s="95" t="n">
        <v>56</v>
      </c>
      <c r="K642" s="95" t="n">
        <v>0.97</v>
      </c>
      <c r="L642" s="85" t="n">
        <v>1</v>
      </c>
    </row>
    <row r="643">
      <c r="A643" s="84" t="inlineStr">
        <is>
          <t>Fonction publique d'État</t>
        </is>
      </c>
      <c r="B643" s="7" t="inlineStr">
        <is>
          <t>conduite ou super-actif</t>
        </is>
      </c>
      <c r="C643" s="88" t="n">
        <v>2000</v>
      </c>
      <c r="D643" s="95" t="n">
        <v>54</v>
      </c>
      <c r="E643" s="95" t="n">
        <v>57</v>
      </c>
      <c r="F643" s="85" t="n">
        <v>172</v>
      </c>
      <c r="G643" s="120" t="n">
        <v>0.0125</v>
      </c>
      <c r="H643" s="120" t="n">
        <v>0.0125</v>
      </c>
      <c r="I643" s="95" t="n">
        <v>2</v>
      </c>
      <c r="J643" s="95" t="n">
        <v>56</v>
      </c>
      <c r="K643" s="95" t="n">
        <v>0.97</v>
      </c>
      <c r="L643" s="85" t="n">
        <v>1</v>
      </c>
    </row>
    <row r="644">
      <c r="A644" s="84" t="inlineStr">
        <is>
          <t>Fonction publique d'État</t>
        </is>
      </c>
      <c r="B644" s="7" t="inlineStr">
        <is>
          <t>conduite ou super-actif</t>
        </is>
      </c>
      <c r="C644" s="88" t="n">
        <v>2001</v>
      </c>
      <c r="D644" s="95" t="n">
        <v>54</v>
      </c>
      <c r="E644" s="95" t="n">
        <v>57</v>
      </c>
      <c r="F644" s="85" t="n">
        <v>172</v>
      </c>
      <c r="G644" s="120" t="n">
        <v>0.0125</v>
      </c>
      <c r="H644" s="120" t="n">
        <v>0.0125</v>
      </c>
      <c r="I644" s="95" t="n">
        <v>2</v>
      </c>
      <c r="J644" s="95" t="n">
        <v>56</v>
      </c>
      <c r="K644" s="95" t="n">
        <v>0.97</v>
      </c>
      <c r="L644" s="85" t="n">
        <v>1</v>
      </c>
    </row>
    <row r="645">
      <c r="A645" s="84" t="inlineStr">
        <is>
          <t>Fonction publique d'État</t>
        </is>
      </c>
      <c r="B645" s="7" t="inlineStr">
        <is>
          <t>conduite ou super-actif</t>
        </is>
      </c>
      <c r="C645" s="88" t="n">
        <v>2002</v>
      </c>
      <c r="D645" s="95" t="n">
        <v>54</v>
      </c>
      <c r="E645" s="95" t="n">
        <v>57</v>
      </c>
      <c r="F645" s="85" t="n">
        <v>172</v>
      </c>
      <c r="G645" s="120" t="n">
        <v>0.0125</v>
      </c>
      <c r="H645" s="120" t="n">
        <v>0.0125</v>
      </c>
      <c r="I645" s="95" t="n">
        <v>2</v>
      </c>
      <c r="J645" s="95" t="n">
        <v>56</v>
      </c>
      <c r="K645" s="95" t="n">
        <v>0.97</v>
      </c>
      <c r="L645" s="85" t="n">
        <v>1</v>
      </c>
    </row>
    <row r="646">
      <c r="A646" s="84" t="inlineStr">
        <is>
          <t>Fonction publique d'État</t>
        </is>
      </c>
      <c r="B646" s="7" t="inlineStr">
        <is>
          <t>conduite ou super-actif</t>
        </is>
      </c>
      <c r="C646" s="88" t="n">
        <v>2003</v>
      </c>
      <c r="D646" s="95" t="n">
        <v>54</v>
      </c>
      <c r="E646" s="95" t="n">
        <v>57</v>
      </c>
      <c r="F646" s="85" t="n">
        <v>172</v>
      </c>
      <c r="G646" s="120" t="n">
        <v>0.0125</v>
      </c>
      <c r="H646" s="120" t="n">
        <v>0.0125</v>
      </c>
      <c r="I646" s="95" t="n">
        <v>2</v>
      </c>
      <c r="J646" s="95" t="n">
        <v>56</v>
      </c>
      <c r="K646" s="95" t="n">
        <v>0.97</v>
      </c>
      <c r="L646" s="85" t="n">
        <v>1</v>
      </c>
    </row>
    <row r="647">
      <c r="A647" s="84" t="inlineStr">
        <is>
          <t>Fonction publique d'État</t>
        </is>
      </c>
      <c r="B647" s="7" t="inlineStr">
        <is>
          <t>conduite ou super-actif</t>
        </is>
      </c>
      <c r="C647" s="88" t="n">
        <v>2004</v>
      </c>
      <c r="D647" s="95" t="n">
        <v>54</v>
      </c>
      <c r="E647" s="95" t="n">
        <v>57</v>
      </c>
      <c r="F647" s="85" t="n">
        <v>172</v>
      </c>
      <c r="G647" s="120" t="n">
        <v>0.0125</v>
      </c>
      <c r="H647" s="120" t="n">
        <v>0.0125</v>
      </c>
      <c r="I647" s="95" t="n">
        <v>2</v>
      </c>
      <c r="J647" s="95" t="n">
        <v>56</v>
      </c>
      <c r="K647" s="95" t="n">
        <v>0.97</v>
      </c>
      <c r="L647" s="85" t="n">
        <v>1</v>
      </c>
    </row>
    <row r="648">
      <c r="A648" s="84" t="inlineStr">
        <is>
          <t>Fonction publique d'État</t>
        </is>
      </c>
      <c r="B648" s="7" t="inlineStr">
        <is>
          <t>conduite ou super-actif</t>
        </is>
      </c>
      <c r="C648" s="88" t="n">
        <v>2005</v>
      </c>
      <c r="D648" s="95" t="n">
        <v>54</v>
      </c>
      <c r="E648" s="95" t="n">
        <v>57</v>
      </c>
      <c r="F648" s="85" t="n">
        <v>172</v>
      </c>
      <c r="G648" s="120" t="n">
        <v>0.0125</v>
      </c>
      <c r="H648" s="120" t="n">
        <v>0.0125</v>
      </c>
      <c r="I648" s="95" t="n">
        <v>2</v>
      </c>
      <c r="J648" s="95" t="n">
        <v>56</v>
      </c>
      <c r="K648" s="95" t="n">
        <v>0.97</v>
      </c>
      <c r="L648" s="85" t="n">
        <v>1</v>
      </c>
    </row>
    <row r="649">
      <c r="A649" s="84" t="inlineStr">
        <is>
          <t>Fonction publique d'État</t>
        </is>
      </c>
      <c r="B649" s="7" t="inlineStr">
        <is>
          <t>conduite ou super-actif</t>
        </is>
      </c>
      <c r="C649" s="88" t="n">
        <v>2006</v>
      </c>
      <c r="D649" s="95" t="n">
        <v>54</v>
      </c>
      <c r="E649" s="95" t="n">
        <v>57</v>
      </c>
      <c r="F649" s="85" t="n">
        <v>172</v>
      </c>
      <c r="G649" s="120" t="n">
        <v>0.0125</v>
      </c>
      <c r="H649" s="120" t="n">
        <v>0.0125</v>
      </c>
      <c r="I649" s="95" t="n">
        <v>2</v>
      </c>
      <c r="J649" s="95" t="n">
        <v>56</v>
      </c>
      <c r="K649" s="95" t="n">
        <v>0.97</v>
      </c>
      <c r="L649" s="85" t="n">
        <v>1</v>
      </c>
    </row>
    <row r="650">
      <c r="A650" s="84" t="inlineStr">
        <is>
          <t>Fonction publique d'État</t>
        </is>
      </c>
      <c r="B650" s="7" t="inlineStr">
        <is>
          <t>conduite ou super-actif</t>
        </is>
      </c>
      <c r="C650" s="88" t="n">
        <v>2007</v>
      </c>
      <c r="D650" s="95" t="n">
        <v>54</v>
      </c>
      <c r="E650" s="95" t="n">
        <v>57</v>
      </c>
      <c r="F650" s="85" t="n">
        <v>172</v>
      </c>
      <c r="G650" s="120" t="n">
        <v>0.0125</v>
      </c>
      <c r="H650" s="120" t="n">
        <v>0.0125</v>
      </c>
      <c r="I650" s="95" t="n">
        <v>2</v>
      </c>
      <c r="J650" s="95" t="n">
        <v>56</v>
      </c>
      <c r="K650" s="95" t="n">
        <v>0.97</v>
      </c>
      <c r="L650" s="85" t="n">
        <v>1</v>
      </c>
    </row>
    <row r="651">
      <c r="A651" s="84" t="inlineStr">
        <is>
          <t>Fonction publique d'État</t>
        </is>
      </c>
      <c r="B651" s="7" t="inlineStr">
        <is>
          <t>conduite ou super-actif</t>
        </is>
      </c>
      <c r="C651" s="88" t="n">
        <v>2008</v>
      </c>
      <c r="D651" s="95" t="n">
        <v>54</v>
      </c>
      <c r="E651" s="95" t="n">
        <v>57</v>
      </c>
      <c r="F651" s="85" t="n">
        <v>172</v>
      </c>
      <c r="G651" s="120" t="n">
        <v>0.0125</v>
      </c>
      <c r="H651" s="120" t="n">
        <v>0.0125</v>
      </c>
      <c r="I651" s="95" t="n">
        <v>2</v>
      </c>
      <c r="J651" s="95" t="n">
        <v>56</v>
      </c>
      <c r="K651" s="95" t="n">
        <v>0.97</v>
      </c>
      <c r="L651" s="85" t="n">
        <v>1</v>
      </c>
    </row>
    <row r="652">
      <c r="A652" s="84" t="inlineStr">
        <is>
          <t>Fonction publique d'État</t>
        </is>
      </c>
      <c r="B652" s="7" t="inlineStr">
        <is>
          <t>conduite ou super-actif</t>
        </is>
      </c>
      <c r="C652" s="88" t="n">
        <v>2009</v>
      </c>
      <c r="D652" s="95" t="n">
        <v>54</v>
      </c>
      <c r="E652" s="95" t="n">
        <v>57</v>
      </c>
      <c r="F652" s="85" t="n">
        <v>172</v>
      </c>
      <c r="G652" s="120" t="n">
        <v>0.0125</v>
      </c>
      <c r="H652" s="120" t="n">
        <v>0.0125</v>
      </c>
      <c r="I652" s="95" t="n">
        <v>2</v>
      </c>
      <c r="J652" s="95" t="n">
        <v>56</v>
      </c>
      <c r="K652" s="95" t="n">
        <v>0.97</v>
      </c>
      <c r="L652" s="85" t="n">
        <v>1</v>
      </c>
    </row>
    <row r="653">
      <c r="A653" s="84" t="inlineStr">
        <is>
          <t>Fonction publique d'État</t>
        </is>
      </c>
      <c r="B653" s="7" t="inlineStr">
        <is>
          <t>conduite ou super-actif</t>
        </is>
      </c>
      <c r="C653" s="88" t="n">
        <v>2010</v>
      </c>
      <c r="D653" s="95" t="n">
        <v>54</v>
      </c>
      <c r="E653" s="95" t="n">
        <v>57</v>
      </c>
      <c r="F653" s="85" t="n">
        <v>172</v>
      </c>
      <c r="G653" s="120" t="n">
        <v>0.0125</v>
      </c>
      <c r="H653" s="120" t="n">
        <v>0.0125</v>
      </c>
      <c r="I653" s="95" t="n">
        <v>2</v>
      </c>
      <c r="J653" s="95" t="n">
        <v>56</v>
      </c>
      <c r="K653" s="95" t="n">
        <v>0.97</v>
      </c>
      <c r="L653" s="85" t="n">
        <v>1</v>
      </c>
    </row>
    <row r="654">
      <c r="A654" s="84" t="inlineStr">
        <is>
          <t>Fonction publique d'État</t>
        </is>
      </c>
      <c r="B654" s="7" t="inlineStr">
        <is>
          <t>conduite ou super-actif</t>
        </is>
      </c>
      <c r="C654" s="88" t="n">
        <v>2011</v>
      </c>
      <c r="D654" s="95" t="n">
        <v>54</v>
      </c>
      <c r="E654" s="95" t="n">
        <v>57</v>
      </c>
      <c r="F654" s="85" t="n">
        <v>172</v>
      </c>
      <c r="G654" s="120" t="n">
        <v>0.0125</v>
      </c>
      <c r="H654" s="120" t="n">
        <v>0.0125</v>
      </c>
      <c r="I654" s="95" t="n">
        <v>2</v>
      </c>
      <c r="J654" s="95" t="n">
        <v>56</v>
      </c>
      <c r="K654" s="95" t="n">
        <v>0.97</v>
      </c>
      <c r="L654" s="85" t="n">
        <v>1</v>
      </c>
    </row>
    <row r="655">
      <c r="A655" s="84" t="inlineStr">
        <is>
          <t>Fonction publique d'État</t>
        </is>
      </c>
      <c r="B655" s="7" t="inlineStr">
        <is>
          <t>conduite ou super-actif</t>
        </is>
      </c>
      <c r="C655" s="88" t="n">
        <v>2012</v>
      </c>
      <c r="D655" s="95" t="n">
        <v>54</v>
      </c>
      <c r="E655" s="95" t="n">
        <v>57</v>
      </c>
      <c r="F655" s="85" t="n">
        <v>172</v>
      </c>
      <c r="G655" s="120" t="n">
        <v>0.0125</v>
      </c>
      <c r="H655" s="120" t="n">
        <v>0.0125</v>
      </c>
      <c r="I655" s="95" t="n">
        <v>2</v>
      </c>
      <c r="J655" s="95" t="n">
        <v>56</v>
      </c>
      <c r="K655" s="95" t="n">
        <v>0.97</v>
      </c>
      <c r="L655" s="85" t="n">
        <v>1</v>
      </c>
    </row>
    <row r="656">
      <c r="A656" s="84" t="inlineStr">
        <is>
          <t>Fonction publique d'État</t>
        </is>
      </c>
      <c r="B656" s="7" t="inlineStr">
        <is>
          <t>conduite ou super-actif</t>
        </is>
      </c>
      <c r="C656" s="88" t="n">
        <v>2013</v>
      </c>
      <c r="D656" s="95" t="n">
        <v>54</v>
      </c>
      <c r="E656" s="95" t="n">
        <v>57</v>
      </c>
      <c r="F656" s="85" t="n">
        <v>172</v>
      </c>
      <c r="G656" s="120" t="n">
        <v>0.0125</v>
      </c>
      <c r="H656" s="120" t="n">
        <v>0.0125</v>
      </c>
      <c r="I656" s="95" t="n">
        <v>2</v>
      </c>
      <c r="J656" s="95" t="n">
        <v>56</v>
      </c>
      <c r="K656" s="95" t="n">
        <v>0.97</v>
      </c>
      <c r="L656" s="85" t="n">
        <v>1</v>
      </c>
    </row>
    <row r="657">
      <c r="A657" s="84" t="inlineStr">
        <is>
          <t>Fonction publique d'État</t>
        </is>
      </c>
      <c r="B657" s="7" t="inlineStr">
        <is>
          <t>conduite ou super-actif</t>
        </is>
      </c>
      <c r="C657" s="88" t="n">
        <v>2014</v>
      </c>
      <c r="D657" s="95" t="n">
        <v>54</v>
      </c>
      <c r="E657" s="95" t="n">
        <v>57</v>
      </c>
      <c r="F657" s="85" t="n">
        <v>172</v>
      </c>
      <c r="G657" s="120" t="n">
        <v>0.0125</v>
      </c>
      <c r="H657" s="120" t="n">
        <v>0.0125</v>
      </c>
      <c r="I657" s="95" t="n">
        <v>2</v>
      </c>
      <c r="J657" s="95" t="n">
        <v>56</v>
      </c>
      <c r="K657" s="95" t="n">
        <v>0.97</v>
      </c>
      <c r="L657" s="85" t="n">
        <v>1</v>
      </c>
    </row>
    <row r="658">
      <c r="A658" s="84" t="inlineStr">
        <is>
          <t>Fonction publique d'État</t>
        </is>
      </c>
      <c r="B658" s="7" t="inlineStr">
        <is>
          <t>conduite ou super-actif</t>
        </is>
      </c>
      <c r="C658" s="88" t="n">
        <v>2015</v>
      </c>
      <c r="D658" s="95" t="n">
        <v>54</v>
      </c>
      <c r="E658" s="95" t="n">
        <v>57</v>
      </c>
      <c r="F658" s="85" t="n">
        <v>172</v>
      </c>
      <c r="G658" s="120" t="n">
        <v>0.0125</v>
      </c>
      <c r="H658" s="120" t="n">
        <v>0.0125</v>
      </c>
      <c r="I658" s="95" t="n">
        <v>2</v>
      </c>
      <c r="J658" s="95" t="n">
        <v>56</v>
      </c>
      <c r="K658" s="95" t="n">
        <v>0.97</v>
      </c>
      <c r="L658" s="85" t="n">
        <v>1</v>
      </c>
    </row>
    <row r="659">
      <c r="A659" s="84" t="inlineStr">
        <is>
          <t>Fonction publique d'État</t>
        </is>
      </c>
      <c r="B659" s="7" t="inlineStr">
        <is>
          <t>conduite ou super-actif</t>
        </is>
      </c>
      <c r="C659" s="88" t="n">
        <v>2016</v>
      </c>
      <c r="D659" s="95" t="n">
        <v>54</v>
      </c>
      <c r="E659" s="95" t="n">
        <v>57</v>
      </c>
      <c r="F659" s="85" t="n">
        <v>172</v>
      </c>
      <c r="G659" s="120" t="n">
        <v>0.0125</v>
      </c>
      <c r="H659" s="120" t="n">
        <v>0.0125</v>
      </c>
      <c r="I659" s="95" t="n">
        <v>2</v>
      </c>
      <c r="J659" s="95" t="n">
        <v>56</v>
      </c>
      <c r="K659" s="95" t="n">
        <v>0.97</v>
      </c>
      <c r="L659" s="85" t="n">
        <v>1</v>
      </c>
    </row>
    <row r="660">
      <c r="A660" s="84" t="inlineStr">
        <is>
          <t>Fonction publique d'État</t>
        </is>
      </c>
      <c r="B660" s="7" t="inlineStr">
        <is>
          <t>conduite ou super-actif</t>
        </is>
      </c>
      <c r="C660" s="88" t="n">
        <v>2017</v>
      </c>
      <c r="D660" s="95" t="n">
        <v>54</v>
      </c>
      <c r="E660" s="95" t="n">
        <v>57</v>
      </c>
      <c r="F660" s="85" t="n">
        <v>172</v>
      </c>
      <c r="G660" s="120" t="n">
        <v>0.0125</v>
      </c>
      <c r="H660" s="120" t="n">
        <v>0.0125</v>
      </c>
      <c r="I660" s="95" t="n">
        <v>2</v>
      </c>
      <c r="J660" s="95" t="n">
        <v>56</v>
      </c>
      <c r="K660" s="95" t="n">
        <v>0.97</v>
      </c>
      <c r="L660" s="85" t="n">
        <v>1</v>
      </c>
    </row>
    <row r="661">
      <c r="A661" s="84" t="inlineStr">
        <is>
          <t>Fonction publique d'État</t>
        </is>
      </c>
      <c r="B661" s="7" t="inlineStr">
        <is>
          <t>conduite ou super-actif</t>
        </is>
      </c>
      <c r="C661" s="88" t="n">
        <v>2018</v>
      </c>
      <c r="D661" s="95" t="n">
        <v>54</v>
      </c>
      <c r="E661" s="95" t="n">
        <v>57</v>
      </c>
      <c r="F661" s="85" t="n">
        <v>172</v>
      </c>
      <c r="G661" s="120" t="n">
        <v>0.0125</v>
      </c>
      <c r="H661" s="120" t="n">
        <v>0.0125</v>
      </c>
      <c r="I661" s="95" t="n">
        <v>2</v>
      </c>
      <c r="J661" s="95" t="n">
        <v>56</v>
      </c>
      <c r="K661" s="95" t="n">
        <v>0.97</v>
      </c>
      <c r="L661" s="85" t="n">
        <v>1</v>
      </c>
    </row>
    <row r="662">
      <c r="A662" s="84" t="inlineStr">
        <is>
          <t>Fonction publique d'État</t>
        </is>
      </c>
      <c r="B662" s="7" t="inlineStr">
        <is>
          <t>conduite ou super-actif</t>
        </is>
      </c>
      <c r="C662" s="88" t="n">
        <v>2019</v>
      </c>
      <c r="D662" s="95" t="n">
        <v>54</v>
      </c>
      <c r="E662" s="95" t="n">
        <v>57</v>
      </c>
      <c r="F662" s="85" t="n">
        <v>172</v>
      </c>
      <c r="G662" s="120" t="n">
        <v>0.0125</v>
      </c>
      <c r="H662" s="120" t="n">
        <v>0.0125</v>
      </c>
      <c r="I662" s="95" t="n">
        <v>2</v>
      </c>
      <c r="J662" s="95" t="n">
        <v>56</v>
      </c>
      <c r="K662" s="95" t="n">
        <v>0.97</v>
      </c>
      <c r="L662" s="85" t="n">
        <v>1</v>
      </c>
    </row>
    <row r="663">
      <c r="A663" s="84" t="inlineStr">
        <is>
          <t>Fonction publique d'État</t>
        </is>
      </c>
      <c r="B663" s="7" t="inlineStr">
        <is>
          <t>conduite ou super-actif</t>
        </is>
      </c>
      <c r="C663" s="88" t="n">
        <v>2020</v>
      </c>
      <c r="D663" s="95" t="n">
        <v>54</v>
      </c>
      <c r="E663" s="95" t="n">
        <v>57</v>
      </c>
      <c r="F663" s="85" t="n">
        <v>172</v>
      </c>
      <c r="G663" s="120" t="n">
        <v>0.0125</v>
      </c>
      <c r="H663" s="120" t="n">
        <v>0.0125</v>
      </c>
      <c r="I663" s="95" t="n">
        <v>2</v>
      </c>
      <c r="J663" s="95" t="n">
        <v>56</v>
      </c>
      <c r="K663" s="95" t="n">
        <v>0.97</v>
      </c>
      <c r="L663" s="85" t="n">
        <v>1</v>
      </c>
    </row>
    <row r="664">
      <c r="A664" s="84" t="inlineStr">
        <is>
          <t>Fonction publique d'État</t>
        </is>
      </c>
      <c r="B664" s="7" t="inlineStr">
        <is>
          <t>conduite ou super-actif</t>
        </is>
      </c>
      <c r="C664" s="88" t="n">
        <v>2021</v>
      </c>
      <c r="D664" s="95" t="n">
        <v>54</v>
      </c>
      <c r="E664" s="95" t="n">
        <v>57</v>
      </c>
      <c r="F664" s="85" t="n">
        <v>172</v>
      </c>
      <c r="G664" s="120" t="n">
        <v>0.0125</v>
      </c>
      <c r="H664" s="120" t="n">
        <v>0.0125</v>
      </c>
      <c r="I664" s="95" t="n">
        <v>2</v>
      </c>
      <c r="J664" s="95" t="n">
        <v>56</v>
      </c>
      <c r="K664" s="95" t="n">
        <v>0.97</v>
      </c>
      <c r="L664" s="85" t="n">
        <v>1</v>
      </c>
    </row>
    <row r="665">
      <c r="A665" s="84" t="inlineStr">
        <is>
          <t>Fonction publique d'État</t>
        </is>
      </c>
      <c r="B665" s="7" t="inlineStr">
        <is>
          <t>conduite ou super-actif</t>
        </is>
      </c>
      <c r="C665" s="88" t="n">
        <v>2022</v>
      </c>
      <c r="D665" s="95" t="n">
        <v>54</v>
      </c>
      <c r="E665" s="95" t="n">
        <v>57</v>
      </c>
      <c r="F665" s="85" t="n">
        <v>172</v>
      </c>
      <c r="G665" s="120" t="n">
        <v>0.0125</v>
      </c>
      <c r="H665" s="120" t="n">
        <v>0.0125</v>
      </c>
      <c r="I665" s="95" t="n">
        <v>2</v>
      </c>
      <c r="J665" s="95" t="n">
        <v>56</v>
      </c>
      <c r="K665" s="95" t="n">
        <v>0.97</v>
      </c>
      <c r="L665" s="85" t="n">
        <v>1</v>
      </c>
    </row>
    <row r="666">
      <c r="A666" s="84" t="inlineStr">
        <is>
          <t>Fonction publique d'État</t>
        </is>
      </c>
      <c r="B666" s="7" t="inlineStr">
        <is>
          <t>conduite ou super-actif</t>
        </is>
      </c>
      <c r="C666" s="88" t="n">
        <v>2023</v>
      </c>
      <c r="D666" s="95" t="n">
        <v>54</v>
      </c>
      <c r="E666" s="95" t="n">
        <v>57</v>
      </c>
      <c r="F666" s="85" t="n">
        <v>172</v>
      </c>
      <c r="G666" s="120" t="n">
        <v>0.0125</v>
      </c>
      <c r="H666" s="120" t="n">
        <v>0.0125</v>
      </c>
      <c r="I666" s="95" t="n">
        <v>2</v>
      </c>
      <c r="J666" s="95" t="n">
        <v>56</v>
      </c>
      <c r="K666" s="95" t="n">
        <v>0.97</v>
      </c>
      <c r="L666" s="85" t="n">
        <v>1</v>
      </c>
    </row>
    <row r="667">
      <c r="A667" s="84" t="inlineStr">
        <is>
          <t>Fonction publique d'État</t>
        </is>
      </c>
      <c r="B667" s="7" t="inlineStr">
        <is>
          <t>conduite ou super-actif</t>
        </is>
      </c>
      <c r="C667" s="88" t="n">
        <v>2024</v>
      </c>
      <c r="D667" s="95" t="n">
        <v>54</v>
      </c>
      <c r="E667" s="95" t="n">
        <v>57</v>
      </c>
      <c r="F667" s="85" t="n">
        <v>172</v>
      </c>
      <c r="G667" s="120" t="n">
        <v>0.0125</v>
      </c>
      <c r="H667" s="120" t="n">
        <v>0.0125</v>
      </c>
      <c r="I667" s="95" t="n">
        <v>2</v>
      </c>
      <c r="J667" s="95" t="n">
        <v>56</v>
      </c>
      <c r="K667" s="95" t="n">
        <v>0.97</v>
      </c>
      <c r="L667" s="85" t="n">
        <v>1</v>
      </c>
    </row>
    <row r="668">
      <c r="A668" s="84" t="inlineStr">
        <is>
          <t>Fonction publique d'État</t>
        </is>
      </c>
      <c r="B668" s="7" t="inlineStr">
        <is>
          <t>conduite ou super-actif</t>
        </is>
      </c>
      <c r="C668" s="88" t="n">
        <v>2025</v>
      </c>
      <c r="D668" s="95" t="n">
        <v>54</v>
      </c>
      <c r="E668" s="95" t="n">
        <v>57</v>
      </c>
      <c r="F668" s="85" t="n">
        <v>172</v>
      </c>
      <c r="G668" s="120" t="n">
        <v>0.0125</v>
      </c>
      <c r="H668" s="120" t="n">
        <v>0.0125</v>
      </c>
      <c r="I668" s="95" t="n">
        <v>2</v>
      </c>
      <c r="J668" s="95" t="n">
        <v>56</v>
      </c>
      <c r="K668" s="95" t="n">
        <v>0.97</v>
      </c>
      <c r="L668" s="85" t="n">
        <v>1</v>
      </c>
    </row>
    <row r="669">
      <c r="A669" s="84" t="inlineStr">
        <is>
          <t>Fonction publique territoriale et hospitalière</t>
        </is>
      </c>
      <c r="B669" s="7" t="inlineStr">
        <is>
          <t>sédentaire</t>
        </is>
      </c>
      <c r="C669" s="88" t="n">
        <v>1915</v>
      </c>
      <c r="D669" s="95" t="n">
        <v>60</v>
      </c>
      <c r="E669" s="95" t="n">
        <v>65</v>
      </c>
      <c r="F669" s="85" t="n">
        <v>150</v>
      </c>
      <c r="G669" s="120" t="n">
        <v>0</v>
      </c>
      <c r="H669" s="120" t="n">
        <v>0</v>
      </c>
      <c r="I669" s="95" t="n">
        <v>0.8</v>
      </c>
      <c r="J669" s="95" t="n">
        <v>60.8</v>
      </c>
      <c r="K669" s="95" t="n">
        <v>0.955</v>
      </c>
      <c r="L669" s="85" t="n">
        <v>0</v>
      </c>
    </row>
    <row r="670">
      <c r="A670" s="84" t="inlineStr">
        <is>
          <t>Fonction publique territoriale et hospitalière</t>
        </is>
      </c>
      <c r="B670" s="7" t="inlineStr">
        <is>
          <t>sédentaire</t>
        </is>
      </c>
      <c r="C670" s="88" t="n">
        <v>1916</v>
      </c>
      <c r="D670" s="95" t="n">
        <v>60</v>
      </c>
      <c r="E670" s="95" t="n">
        <v>65</v>
      </c>
      <c r="F670" s="85" t="n">
        <v>150</v>
      </c>
      <c r="G670" s="120" t="n">
        <v>0</v>
      </c>
      <c r="H670" s="120" t="n">
        <v>0</v>
      </c>
      <c r="I670" s="95" t="n">
        <v>0.8</v>
      </c>
      <c r="J670" s="95" t="n">
        <v>60.8</v>
      </c>
      <c r="K670" s="95" t="n">
        <v>0.955</v>
      </c>
      <c r="L670" s="85" t="n">
        <v>0</v>
      </c>
    </row>
    <row r="671">
      <c r="A671" s="84" t="inlineStr">
        <is>
          <t>Fonction publique territoriale et hospitalière</t>
        </is>
      </c>
      <c r="B671" s="7" t="inlineStr">
        <is>
          <t>sédentaire</t>
        </is>
      </c>
      <c r="C671" s="88" t="n">
        <v>1917</v>
      </c>
      <c r="D671" s="95" t="n">
        <v>60</v>
      </c>
      <c r="E671" s="95" t="n">
        <v>65</v>
      </c>
      <c r="F671" s="85" t="n">
        <v>150</v>
      </c>
      <c r="G671" s="120" t="n">
        <v>0</v>
      </c>
      <c r="H671" s="120" t="n">
        <v>0</v>
      </c>
      <c r="I671" s="95" t="n">
        <v>0.8</v>
      </c>
      <c r="J671" s="95" t="n">
        <v>60.8</v>
      </c>
      <c r="K671" s="95" t="n">
        <v>0.955</v>
      </c>
      <c r="L671" s="85" t="n">
        <v>0</v>
      </c>
    </row>
    <row r="672">
      <c r="A672" s="84" t="inlineStr">
        <is>
          <t>Fonction publique territoriale et hospitalière</t>
        </is>
      </c>
      <c r="B672" s="7" t="inlineStr">
        <is>
          <t>sédentaire</t>
        </is>
      </c>
      <c r="C672" s="88" t="n">
        <v>1918</v>
      </c>
      <c r="D672" s="95" t="n">
        <v>60</v>
      </c>
      <c r="E672" s="95" t="n">
        <v>65</v>
      </c>
      <c r="F672" s="85" t="n">
        <v>150</v>
      </c>
      <c r="G672" s="120" t="n">
        <v>0</v>
      </c>
      <c r="H672" s="120" t="n">
        <v>0</v>
      </c>
      <c r="I672" s="95" t="n">
        <v>0.8</v>
      </c>
      <c r="J672" s="95" t="n">
        <v>60.8</v>
      </c>
      <c r="K672" s="95" t="n">
        <v>0.955</v>
      </c>
      <c r="L672" s="85" t="n">
        <v>0</v>
      </c>
    </row>
    <row r="673">
      <c r="A673" s="84" t="inlineStr">
        <is>
          <t>Fonction publique territoriale et hospitalière</t>
        </is>
      </c>
      <c r="B673" s="7" t="inlineStr">
        <is>
          <t>sédentaire</t>
        </is>
      </c>
      <c r="C673" s="88" t="n">
        <v>1919</v>
      </c>
      <c r="D673" s="95" t="n">
        <v>60</v>
      </c>
      <c r="E673" s="95" t="n">
        <v>65</v>
      </c>
      <c r="F673" s="85" t="n">
        <v>150</v>
      </c>
      <c r="G673" s="120" t="n">
        <v>0</v>
      </c>
      <c r="H673" s="120" t="n">
        <v>0</v>
      </c>
      <c r="I673" s="95" t="n">
        <v>0.8</v>
      </c>
      <c r="J673" s="95" t="n">
        <v>60.8</v>
      </c>
      <c r="K673" s="95" t="n">
        <v>0.955</v>
      </c>
      <c r="L673" s="85" t="n">
        <v>0</v>
      </c>
    </row>
    <row r="674">
      <c r="A674" s="84" t="inlineStr">
        <is>
          <t>Fonction publique territoriale et hospitalière</t>
        </is>
      </c>
      <c r="B674" s="7" t="inlineStr">
        <is>
          <t>sédentaire</t>
        </is>
      </c>
      <c r="C674" s="88" t="n">
        <v>1920</v>
      </c>
      <c r="D674" s="95" t="n">
        <v>60</v>
      </c>
      <c r="E674" s="95" t="n">
        <v>65</v>
      </c>
      <c r="F674" s="85" t="n">
        <v>150</v>
      </c>
      <c r="G674" s="120" t="n">
        <v>0</v>
      </c>
      <c r="H674" s="120" t="n">
        <v>0</v>
      </c>
      <c r="I674" s="95" t="n">
        <v>0.8</v>
      </c>
      <c r="J674" s="95" t="n">
        <v>60.8</v>
      </c>
      <c r="K674" s="95" t="n">
        <v>0.955</v>
      </c>
      <c r="L674" s="85" t="n">
        <v>0</v>
      </c>
    </row>
    <row r="675">
      <c r="A675" s="84" t="inlineStr">
        <is>
          <t>Fonction publique territoriale et hospitalière</t>
        </is>
      </c>
      <c r="B675" s="7" t="inlineStr">
        <is>
          <t>sédentaire</t>
        </is>
      </c>
      <c r="C675" s="88" t="n">
        <v>1921</v>
      </c>
      <c r="D675" s="95" t="n">
        <v>60</v>
      </c>
      <c r="E675" s="95" t="n">
        <v>65</v>
      </c>
      <c r="F675" s="85" t="n">
        <v>150</v>
      </c>
      <c r="G675" s="120" t="n">
        <v>0</v>
      </c>
      <c r="H675" s="120" t="n">
        <v>0</v>
      </c>
      <c r="I675" s="95" t="n">
        <v>0.8</v>
      </c>
      <c r="J675" s="95" t="n">
        <v>60.8</v>
      </c>
      <c r="K675" s="95" t="n">
        <v>0.955</v>
      </c>
      <c r="L675" s="85" t="n">
        <v>0</v>
      </c>
    </row>
    <row r="676">
      <c r="A676" s="84" t="inlineStr">
        <is>
          <t>Fonction publique territoriale et hospitalière</t>
        </is>
      </c>
      <c r="B676" s="7" t="inlineStr">
        <is>
          <t>sédentaire</t>
        </is>
      </c>
      <c r="C676" s="88" t="n">
        <v>1922</v>
      </c>
      <c r="D676" s="95" t="n">
        <v>60</v>
      </c>
      <c r="E676" s="95" t="n">
        <v>65</v>
      </c>
      <c r="F676" s="85" t="n">
        <v>150</v>
      </c>
      <c r="G676" s="120" t="n">
        <v>0</v>
      </c>
      <c r="H676" s="120" t="n">
        <v>0</v>
      </c>
      <c r="I676" s="95" t="n">
        <v>0.8</v>
      </c>
      <c r="J676" s="95" t="n">
        <v>60.8</v>
      </c>
      <c r="K676" s="95" t="n">
        <v>0.955</v>
      </c>
      <c r="L676" s="85" t="n">
        <v>0</v>
      </c>
    </row>
    <row r="677">
      <c r="A677" s="84" t="inlineStr">
        <is>
          <t>Fonction publique territoriale et hospitalière</t>
        </is>
      </c>
      <c r="B677" s="7" t="inlineStr">
        <is>
          <t>sédentaire</t>
        </is>
      </c>
      <c r="C677" s="88" t="n">
        <v>1923</v>
      </c>
      <c r="D677" s="95" t="n">
        <v>60</v>
      </c>
      <c r="E677" s="95" t="n">
        <v>65</v>
      </c>
      <c r="F677" s="85" t="n">
        <v>150</v>
      </c>
      <c r="G677" s="120" t="n">
        <v>0</v>
      </c>
      <c r="H677" s="120" t="n">
        <v>0</v>
      </c>
      <c r="I677" s="95" t="n">
        <v>0.8</v>
      </c>
      <c r="J677" s="95" t="n">
        <v>60.8</v>
      </c>
      <c r="K677" s="95" t="n">
        <v>0.955</v>
      </c>
      <c r="L677" s="85" t="n">
        <v>0</v>
      </c>
    </row>
    <row r="678">
      <c r="A678" s="84" t="inlineStr">
        <is>
          <t>Fonction publique territoriale et hospitalière</t>
        </is>
      </c>
      <c r="B678" s="7" t="inlineStr">
        <is>
          <t>sédentaire</t>
        </is>
      </c>
      <c r="C678" s="88" t="n">
        <v>1924</v>
      </c>
      <c r="D678" s="95" t="n">
        <v>60</v>
      </c>
      <c r="E678" s="95" t="n">
        <v>65</v>
      </c>
      <c r="F678" s="85" t="n">
        <v>150</v>
      </c>
      <c r="G678" s="120" t="n">
        <v>0</v>
      </c>
      <c r="H678" s="120" t="n">
        <v>0</v>
      </c>
      <c r="I678" s="95" t="n">
        <v>0.8</v>
      </c>
      <c r="J678" s="95" t="n">
        <v>60.8</v>
      </c>
      <c r="K678" s="95" t="n">
        <v>0.955</v>
      </c>
      <c r="L678" s="85" t="n">
        <v>0</v>
      </c>
    </row>
    <row r="679">
      <c r="A679" s="84" t="inlineStr">
        <is>
          <t>Fonction publique territoriale et hospitalière</t>
        </is>
      </c>
      <c r="B679" s="7" t="inlineStr">
        <is>
          <t>sédentaire</t>
        </is>
      </c>
      <c r="C679" s="88" t="n">
        <v>1925</v>
      </c>
      <c r="D679" s="95" t="n">
        <v>60</v>
      </c>
      <c r="E679" s="95" t="n">
        <v>65</v>
      </c>
      <c r="F679" s="85" t="n">
        <v>150</v>
      </c>
      <c r="G679" s="120" t="n">
        <v>0</v>
      </c>
      <c r="H679" s="120" t="n">
        <v>0</v>
      </c>
      <c r="I679" s="95" t="n">
        <v>0.8</v>
      </c>
      <c r="J679" s="95" t="n">
        <v>60.8</v>
      </c>
      <c r="K679" s="95" t="n">
        <v>0.955</v>
      </c>
      <c r="L679" s="85" t="n">
        <v>0</v>
      </c>
    </row>
    <row r="680">
      <c r="A680" s="84" t="inlineStr">
        <is>
          <t>Fonction publique territoriale et hospitalière</t>
        </is>
      </c>
      <c r="B680" s="7" t="inlineStr">
        <is>
          <t>sédentaire</t>
        </is>
      </c>
      <c r="C680" s="88" t="n">
        <v>1926</v>
      </c>
      <c r="D680" s="95" t="n">
        <v>60</v>
      </c>
      <c r="E680" s="95" t="n">
        <v>65</v>
      </c>
      <c r="F680" s="85" t="n">
        <v>150</v>
      </c>
      <c r="G680" s="120" t="n">
        <v>0</v>
      </c>
      <c r="H680" s="120" t="n">
        <v>0</v>
      </c>
      <c r="I680" s="95" t="n">
        <v>0.8</v>
      </c>
      <c r="J680" s="95" t="n">
        <v>60.8</v>
      </c>
      <c r="K680" s="95" t="n">
        <v>0.955</v>
      </c>
      <c r="L680" s="85" t="n">
        <v>0</v>
      </c>
    </row>
    <row r="681">
      <c r="A681" s="84" t="inlineStr">
        <is>
          <t>Fonction publique territoriale et hospitalière</t>
        </is>
      </c>
      <c r="B681" s="7" t="inlineStr">
        <is>
          <t>sédentaire</t>
        </is>
      </c>
      <c r="C681" s="88" t="n">
        <v>1927</v>
      </c>
      <c r="D681" s="95" t="n">
        <v>60</v>
      </c>
      <c r="E681" s="95" t="n">
        <v>65</v>
      </c>
      <c r="F681" s="85" t="n">
        <v>150</v>
      </c>
      <c r="G681" s="120" t="n">
        <v>0</v>
      </c>
      <c r="H681" s="120" t="n">
        <v>0</v>
      </c>
      <c r="I681" s="95" t="n">
        <v>0.8</v>
      </c>
      <c r="J681" s="95" t="n">
        <v>60.8</v>
      </c>
      <c r="K681" s="95" t="n">
        <v>0.955</v>
      </c>
      <c r="L681" s="85" t="n">
        <v>0</v>
      </c>
    </row>
    <row r="682">
      <c r="A682" s="84" t="inlineStr">
        <is>
          <t>Fonction publique territoriale et hospitalière</t>
        </is>
      </c>
      <c r="B682" s="7" t="inlineStr">
        <is>
          <t>sédentaire</t>
        </is>
      </c>
      <c r="C682" s="88" t="n">
        <v>1928</v>
      </c>
      <c r="D682" s="95" t="n">
        <v>60</v>
      </c>
      <c r="E682" s="95" t="n">
        <v>65</v>
      </c>
      <c r="F682" s="85" t="n">
        <v>150</v>
      </c>
      <c r="G682" s="120" t="n">
        <v>0</v>
      </c>
      <c r="H682" s="120" t="n">
        <v>0</v>
      </c>
      <c r="I682" s="95" t="n">
        <v>0.8</v>
      </c>
      <c r="J682" s="95" t="n">
        <v>60.8</v>
      </c>
      <c r="K682" s="95" t="n">
        <v>0.955</v>
      </c>
      <c r="L682" s="85" t="n">
        <v>0</v>
      </c>
    </row>
    <row r="683">
      <c r="A683" s="84" t="inlineStr">
        <is>
          <t>Fonction publique territoriale et hospitalière</t>
        </is>
      </c>
      <c r="B683" s="7" t="inlineStr">
        <is>
          <t>sédentaire</t>
        </is>
      </c>
      <c r="C683" s="88" t="n">
        <v>1929</v>
      </c>
      <c r="D683" s="95" t="n">
        <v>60</v>
      </c>
      <c r="E683" s="95" t="n">
        <v>65</v>
      </c>
      <c r="F683" s="85" t="n">
        <v>150</v>
      </c>
      <c r="G683" s="120" t="n">
        <v>0</v>
      </c>
      <c r="H683" s="120" t="n">
        <v>0</v>
      </c>
      <c r="I683" s="95" t="n">
        <v>0.8</v>
      </c>
      <c r="J683" s="95" t="n">
        <v>60.8</v>
      </c>
      <c r="K683" s="95" t="n">
        <v>0.955</v>
      </c>
      <c r="L683" s="85" t="n">
        <v>0</v>
      </c>
    </row>
    <row r="684">
      <c r="A684" s="84" t="inlineStr">
        <is>
          <t>Fonction publique territoriale et hospitalière</t>
        </is>
      </c>
      <c r="B684" s="7" t="inlineStr">
        <is>
          <t>sédentaire</t>
        </is>
      </c>
      <c r="C684" s="88" t="n">
        <v>1930</v>
      </c>
      <c r="D684" s="95" t="n">
        <v>60</v>
      </c>
      <c r="E684" s="95" t="n">
        <v>65</v>
      </c>
      <c r="F684" s="85" t="n">
        <v>150</v>
      </c>
      <c r="G684" s="120" t="n">
        <v>0</v>
      </c>
      <c r="H684" s="120" t="n">
        <v>0</v>
      </c>
      <c r="I684" s="95" t="n">
        <v>0.8</v>
      </c>
      <c r="J684" s="95" t="n">
        <v>60.8</v>
      </c>
      <c r="K684" s="95" t="n">
        <v>0.955</v>
      </c>
      <c r="L684" s="85" t="n">
        <v>0</v>
      </c>
    </row>
    <row r="685">
      <c r="A685" s="84" t="inlineStr">
        <is>
          <t>Fonction publique territoriale et hospitalière</t>
        </is>
      </c>
      <c r="B685" s="7" t="inlineStr">
        <is>
          <t>sédentaire</t>
        </is>
      </c>
      <c r="C685" s="88" t="n">
        <v>1931</v>
      </c>
      <c r="D685" s="95" t="n">
        <v>60</v>
      </c>
      <c r="E685" s="95" t="n">
        <v>65</v>
      </c>
      <c r="F685" s="85" t="n">
        <v>150</v>
      </c>
      <c r="G685" s="120" t="n">
        <v>0</v>
      </c>
      <c r="H685" s="120" t="n">
        <v>0</v>
      </c>
      <c r="I685" s="95" t="n">
        <v>0.8</v>
      </c>
      <c r="J685" s="95" t="n">
        <v>60.8</v>
      </c>
      <c r="K685" s="95" t="n">
        <v>0.955</v>
      </c>
      <c r="L685" s="85" t="n">
        <v>0</v>
      </c>
    </row>
    <row r="686">
      <c r="A686" s="84" t="inlineStr">
        <is>
          <t>Fonction publique territoriale et hospitalière</t>
        </is>
      </c>
      <c r="B686" s="7" t="inlineStr">
        <is>
          <t>sédentaire</t>
        </is>
      </c>
      <c r="C686" s="88" t="n">
        <v>1932</v>
      </c>
      <c r="D686" s="95" t="n">
        <v>60</v>
      </c>
      <c r="E686" s="95" t="n">
        <v>65</v>
      </c>
      <c r="F686" s="85" t="n">
        <v>150</v>
      </c>
      <c r="G686" s="120" t="n">
        <v>0</v>
      </c>
      <c r="H686" s="120" t="n">
        <v>0</v>
      </c>
      <c r="I686" s="95" t="n">
        <v>0.8</v>
      </c>
      <c r="J686" s="95" t="n">
        <v>60.8</v>
      </c>
      <c r="K686" s="95" t="n">
        <v>0.955</v>
      </c>
      <c r="L686" s="85" t="n">
        <v>0</v>
      </c>
    </row>
    <row r="687">
      <c r="A687" s="84" t="inlineStr">
        <is>
          <t>Fonction publique territoriale et hospitalière</t>
        </is>
      </c>
      <c r="B687" s="7" t="inlineStr">
        <is>
          <t>sédentaire</t>
        </is>
      </c>
      <c r="C687" s="88" t="n">
        <v>1933</v>
      </c>
      <c r="D687" s="95" t="n">
        <v>60</v>
      </c>
      <c r="E687" s="95" t="n">
        <v>65</v>
      </c>
      <c r="F687" s="85" t="n">
        <v>150</v>
      </c>
      <c r="G687" s="120" t="n">
        <v>0</v>
      </c>
      <c r="H687" s="120" t="n">
        <v>0</v>
      </c>
      <c r="I687" s="95" t="n">
        <v>0.8</v>
      </c>
      <c r="J687" s="95" t="n">
        <v>60.8</v>
      </c>
      <c r="K687" s="95" t="n">
        <v>0.955</v>
      </c>
      <c r="L687" s="85" t="n">
        <v>0</v>
      </c>
    </row>
    <row r="688">
      <c r="A688" s="84" t="inlineStr">
        <is>
          <t>Fonction publique territoriale et hospitalière</t>
        </is>
      </c>
      <c r="B688" s="7" t="inlineStr">
        <is>
          <t>sédentaire</t>
        </is>
      </c>
      <c r="C688" s="88" t="n">
        <v>1934</v>
      </c>
      <c r="D688" s="95" t="n">
        <v>60</v>
      </c>
      <c r="E688" s="95" t="n">
        <v>65</v>
      </c>
      <c r="F688" s="85" t="n">
        <v>150</v>
      </c>
      <c r="G688" s="120" t="n">
        <v>0</v>
      </c>
      <c r="H688" s="120" t="n">
        <v>0</v>
      </c>
      <c r="I688" s="95" t="n">
        <v>0.8</v>
      </c>
      <c r="J688" s="95" t="n">
        <v>60.8</v>
      </c>
      <c r="K688" s="95" t="n">
        <v>0.955</v>
      </c>
      <c r="L688" s="85" t="n">
        <v>0</v>
      </c>
    </row>
    <row r="689">
      <c r="A689" s="84" t="inlineStr">
        <is>
          <t>Fonction publique territoriale et hospitalière</t>
        </is>
      </c>
      <c r="B689" s="7" t="inlineStr">
        <is>
          <t>sédentaire</t>
        </is>
      </c>
      <c r="C689" s="88" t="n">
        <v>1935</v>
      </c>
      <c r="D689" s="95" t="n">
        <v>60</v>
      </c>
      <c r="E689" s="95" t="n">
        <v>65</v>
      </c>
      <c r="F689" s="85" t="n">
        <v>150</v>
      </c>
      <c r="G689" s="120" t="n">
        <v>0</v>
      </c>
      <c r="H689" s="120" t="n">
        <v>0</v>
      </c>
      <c r="I689" s="95" t="n">
        <v>0.8</v>
      </c>
      <c r="J689" s="95" t="n">
        <v>60.8</v>
      </c>
      <c r="K689" s="95" t="n">
        <v>0.955</v>
      </c>
      <c r="L689" s="85" t="n">
        <v>0</v>
      </c>
    </row>
    <row r="690">
      <c r="A690" s="84" t="inlineStr">
        <is>
          <t>Fonction publique territoriale et hospitalière</t>
        </is>
      </c>
      <c r="B690" s="7" t="inlineStr">
        <is>
          <t>sédentaire</t>
        </is>
      </c>
      <c r="C690" s="88" t="n">
        <v>1936</v>
      </c>
      <c r="D690" s="95" t="n">
        <v>60</v>
      </c>
      <c r="E690" s="95" t="n">
        <v>65</v>
      </c>
      <c r="F690" s="85" t="n">
        <v>150</v>
      </c>
      <c r="G690" s="120" t="n">
        <v>0</v>
      </c>
      <c r="H690" s="120" t="n">
        <v>0</v>
      </c>
      <c r="I690" s="95" t="n">
        <v>0.8</v>
      </c>
      <c r="J690" s="95" t="n">
        <v>60.8</v>
      </c>
      <c r="K690" s="95" t="n">
        <v>0.955</v>
      </c>
      <c r="L690" s="85" t="n">
        <v>0</v>
      </c>
    </row>
    <row r="691">
      <c r="A691" s="84" t="inlineStr">
        <is>
          <t>Fonction publique territoriale et hospitalière</t>
        </is>
      </c>
      <c r="B691" s="7" t="inlineStr">
        <is>
          <t>sédentaire</t>
        </is>
      </c>
      <c r="C691" s="88" t="n">
        <v>1937</v>
      </c>
      <c r="D691" s="95" t="n">
        <v>60</v>
      </c>
      <c r="E691" s="95" t="n">
        <v>65</v>
      </c>
      <c r="F691" s="85" t="n">
        <v>150</v>
      </c>
      <c r="G691" s="120" t="n">
        <v>0</v>
      </c>
      <c r="H691" s="120" t="n">
        <v>0</v>
      </c>
      <c r="I691" s="95" t="n">
        <v>0.8</v>
      </c>
      <c r="J691" s="95" t="n">
        <v>60.8</v>
      </c>
      <c r="K691" s="95" t="n">
        <v>0.955</v>
      </c>
      <c r="L691" s="85" t="n">
        <v>0</v>
      </c>
    </row>
    <row r="692">
      <c r="A692" s="84" t="inlineStr">
        <is>
          <t>Fonction publique territoriale et hospitalière</t>
        </is>
      </c>
      <c r="B692" s="7" t="inlineStr">
        <is>
          <t>sédentaire</t>
        </is>
      </c>
      <c r="C692" s="88" t="n">
        <v>1938</v>
      </c>
      <c r="D692" s="95" t="n">
        <v>60</v>
      </c>
      <c r="E692" s="95" t="n">
        <v>65</v>
      </c>
      <c r="F692" s="85" t="n">
        <v>150</v>
      </c>
      <c r="G692" s="120" t="n">
        <v>0</v>
      </c>
      <c r="H692" s="120" t="n">
        <v>0</v>
      </c>
      <c r="I692" s="95" t="n">
        <v>0.8</v>
      </c>
      <c r="J692" s="95" t="n">
        <v>60.8</v>
      </c>
      <c r="K692" s="95" t="n">
        <v>0.955</v>
      </c>
      <c r="L692" s="85" t="n">
        <v>0</v>
      </c>
    </row>
    <row r="693">
      <c r="A693" s="84" t="inlineStr">
        <is>
          <t>Fonction publique territoriale et hospitalière</t>
        </is>
      </c>
      <c r="B693" s="7" t="inlineStr">
        <is>
          <t>sédentaire</t>
        </is>
      </c>
      <c r="C693" s="88" t="n">
        <v>1939</v>
      </c>
      <c r="D693" s="95" t="n">
        <v>60</v>
      </c>
      <c r="E693" s="95" t="n">
        <v>65</v>
      </c>
      <c r="F693" s="85" t="n">
        <v>150</v>
      </c>
      <c r="G693" s="120" t="n">
        <v>0</v>
      </c>
      <c r="H693" s="120" t="n">
        <v>0</v>
      </c>
      <c r="I693" s="95" t="n">
        <v>0.8</v>
      </c>
      <c r="J693" s="95" t="n">
        <v>60.8</v>
      </c>
      <c r="K693" s="95" t="n">
        <v>0.955</v>
      </c>
      <c r="L693" s="85" t="n">
        <v>0</v>
      </c>
    </row>
    <row r="694">
      <c r="A694" s="84" t="inlineStr">
        <is>
          <t>Fonction publique territoriale et hospitalière</t>
        </is>
      </c>
      <c r="B694" s="7" t="inlineStr">
        <is>
          <t>sédentaire</t>
        </is>
      </c>
      <c r="C694" s="88" t="n">
        <v>1940</v>
      </c>
      <c r="D694" s="95" t="n">
        <v>60</v>
      </c>
      <c r="E694" s="95" t="n">
        <v>65</v>
      </c>
      <c r="F694" s="85" t="n">
        <v>150</v>
      </c>
      <c r="G694" s="120" t="n">
        <v>0</v>
      </c>
      <c r="H694" s="120" t="n">
        <v>0</v>
      </c>
      <c r="I694" s="95" t="n">
        <v>0.8</v>
      </c>
      <c r="J694" s="95" t="n">
        <v>60.8</v>
      </c>
      <c r="K694" s="95" t="n">
        <v>0.955</v>
      </c>
      <c r="L694" s="85" t="n">
        <v>0</v>
      </c>
    </row>
    <row r="695">
      <c r="A695" s="84" t="inlineStr">
        <is>
          <t>Fonction publique territoriale et hospitalière</t>
        </is>
      </c>
      <c r="B695" s="7" t="inlineStr">
        <is>
          <t>sédentaire</t>
        </is>
      </c>
      <c r="C695" s="88" t="n">
        <v>1941</v>
      </c>
      <c r="D695" s="95" t="n">
        <v>60</v>
      </c>
      <c r="E695" s="95" t="n">
        <v>65</v>
      </c>
      <c r="F695" s="85" t="n">
        <v>150</v>
      </c>
      <c r="G695" s="120" t="n">
        <v>0</v>
      </c>
      <c r="H695" s="120" t="n">
        <v>0</v>
      </c>
      <c r="I695" s="95" t="n">
        <v>0.8</v>
      </c>
      <c r="J695" s="95" t="n">
        <v>60.8</v>
      </c>
      <c r="K695" s="95" t="n">
        <v>0.955</v>
      </c>
      <c r="L695" s="85" t="n">
        <v>0</v>
      </c>
    </row>
    <row r="696">
      <c r="A696" s="84" t="inlineStr">
        <is>
          <t>Fonction publique territoriale et hospitalière</t>
        </is>
      </c>
      <c r="B696" s="7" t="inlineStr">
        <is>
          <t>sédentaire</t>
        </is>
      </c>
      <c r="C696" s="88" t="n">
        <v>1942</v>
      </c>
      <c r="D696" s="95" t="n">
        <v>60</v>
      </c>
      <c r="E696" s="95" t="n">
        <v>65</v>
      </c>
      <c r="F696" s="85" t="n">
        <v>150</v>
      </c>
      <c r="G696" s="120" t="n">
        <v>0</v>
      </c>
      <c r="H696" s="120" t="n">
        <v>0</v>
      </c>
      <c r="I696" s="95" t="n">
        <v>0.8</v>
      </c>
      <c r="J696" s="95" t="n">
        <v>60.8</v>
      </c>
      <c r="K696" s="95" t="n">
        <v>0.955</v>
      </c>
      <c r="L696" s="85" t="n">
        <v>0</v>
      </c>
    </row>
    <row r="697">
      <c r="A697" s="84" t="inlineStr">
        <is>
          <t>Fonction publique territoriale et hospitalière</t>
        </is>
      </c>
      <c r="B697" s="7" t="inlineStr">
        <is>
          <t>sédentaire</t>
        </is>
      </c>
      <c r="C697" s="88" t="n">
        <v>1943</v>
      </c>
      <c r="D697" s="95" t="n">
        <v>60</v>
      </c>
      <c r="E697" s="95" t="n">
        <v>65</v>
      </c>
      <c r="F697" s="85" t="n">
        <v>150</v>
      </c>
      <c r="G697" s="120" t="n">
        <v>0</v>
      </c>
      <c r="H697" s="120" t="n">
        <v>0</v>
      </c>
      <c r="I697" s="95" t="n">
        <v>0.8</v>
      </c>
      <c r="J697" s="95" t="n">
        <v>60.8</v>
      </c>
      <c r="K697" s="95" t="n">
        <v>0.955</v>
      </c>
      <c r="L697" s="85" t="n">
        <v>0</v>
      </c>
    </row>
    <row r="698">
      <c r="A698" s="84" t="inlineStr">
        <is>
          <t>Fonction publique territoriale et hospitalière</t>
        </is>
      </c>
      <c r="B698" s="7" t="inlineStr">
        <is>
          <t>sédentaire</t>
        </is>
      </c>
      <c r="C698" s="88" t="n">
        <v>1944</v>
      </c>
      <c r="D698" s="95" t="n">
        <v>60</v>
      </c>
      <c r="E698" s="95" t="n">
        <v>65</v>
      </c>
      <c r="F698" s="85" t="n">
        <v>152</v>
      </c>
      <c r="G698" s="120" t="n">
        <v>0</v>
      </c>
      <c r="H698" s="120" t="n">
        <v>0.0075</v>
      </c>
      <c r="I698" s="95" t="n">
        <v>0.8</v>
      </c>
      <c r="J698" s="95" t="n">
        <v>60.8</v>
      </c>
      <c r="K698" s="95" t="n">
        <v>0.955</v>
      </c>
      <c r="L698" s="85" t="n">
        <v>0</v>
      </c>
    </row>
    <row r="699">
      <c r="A699" s="84" t="inlineStr">
        <is>
          <t>Fonction publique territoriale et hospitalière</t>
        </is>
      </c>
      <c r="B699" s="7" t="inlineStr">
        <is>
          <t>sédentaire</t>
        </is>
      </c>
      <c r="C699" s="88" t="n">
        <v>1945</v>
      </c>
      <c r="D699" s="95" t="n">
        <v>60</v>
      </c>
      <c r="E699" s="95" t="n">
        <v>65</v>
      </c>
      <c r="F699" s="85" t="n">
        <v>154</v>
      </c>
      <c r="G699" s="120" t="n">
        <v>0</v>
      </c>
      <c r="H699" s="120" t="n">
        <v>0.0075</v>
      </c>
      <c r="I699" s="95" t="n">
        <v>0.8</v>
      </c>
      <c r="J699" s="95" t="n">
        <v>60.8</v>
      </c>
      <c r="K699" s="95" t="n">
        <v>0.955</v>
      </c>
      <c r="L699" s="85" t="n">
        <v>0</v>
      </c>
    </row>
    <row r="700">
      <c r="A700" s="84" t="inlineStr">
        <is>
          <t>Fonction publique territoriale et hospitalière</t>
        </is>
      </c>
      <c r="B700" s="7" t="inlineStr">
        <is>
          <t>sédentaire</t>
        </is>
      </c>
      <c r="C700" s="88" t="n">
        <v>1946</v>
      </c>
      <c r="D700" s="95" t="n">
        <v>60</v>
      </c>
      <c r="E700" s="95" t="n">
        <v>61</v>
      </c>
      <c r="F700" s="85" t="n">
        <v>156</v>
      </c>
      <c r="G700" s="120" t="n">
        <v>0.00125</v>
      </c>
      <c r="H700" s="120" t="n">
        <v>0.0075</v>
      </c>
      <c r="I700" s="95" t="n">
        <v>0.91</v>
      </c>
      <c r="J700" s="95" t="n">
        <v>60.91</v>
      </c>
      <c r="K700" s="95" t="n">
        <v>0.955</v>
      </c>
      <c r="L700" s="85" t="n">
        <v>0</v>
      </c>
    </row>
    <row r="701">
      <c r="A701" s="84" t="inlineStr">
        <is>
          <t>Fonction publique territoriale et hospitalière</t>
        </is>
      </c>
      <c r="B701" s="7" t="inlineStr">
        <is>
          <t>sédentaire</t>
        </is>
      </c>
      <c r="C701" s="88" t="n">
        <v>1947</v>
      </c>
      <c r="D701" s="95" t="n">
        <v>60</v>
      </c>
      <c r="E701" s="95" t="n">
        <v>61.5</v>
      </c>
      <c r="F701" s="85" t="n">
        <v>158</v>
      </c>
      <c r="G701" s="120" t="n">
        <v>0.0025</v>
      </c>
      <c r="H701" s="120" t="n">
        <v>0.0075</v>
      </c>
      <c r="I701" s="95" t="n">
        <v>1.01</v>
      </c>
      <c r="J701" s="95" t="n">
        <v>61.01</v>
      </c>
      <c r="K701" s="95" t="n">
        <v>0.955</v>
      </c>
      <c r="L701" s="85" t="n">
        <v>0</v>
      </c>
    </row>
    <row r="702">
      <c r="A702" s="84" t="inlineStr">
        <is>
          <t>Fonction publique territoriale et hospitalière</t>
        </is>
      </c>
      <c r="B702" s="7" t="inlineStr">
        <is>
          <t>sédentaire</t>
        </is>
      </c>
      <c r="C702" s="88" t="n">
        <v>1948</v>
      </c>
      <c r="D702" s="95" t="n">
        <v>60</v>
      </c>
      <c r="E702" s="95" t="n">
        <v>62</v>
      </c>
      <c r="F702" s="85" t="n">
        <v>160</v>
      </c>
      <c r="G702" s="120" t="n">
        <v>0.00375</v>
      </c>
      <c r="H702" s="120" t="n">
        <v>0.0075</v>
      </c>
      <c r="I702" s="95" t="n">
        <v>1.12</v>
      </c>
      <c r="J702" s="95" t="n">
        <v>61.12</v>
      </c>
      <c r="K702" s="95" t="n">
        <v>0.955</v>
      </c>
      <c r="L702" s="85" t="n">
        <v>0</v>
      </c>
    </row>
    <row r="703">
      <c r="A703" s="84" t="inlineStr">
        <is>
          <t>Fonction publique territoriale et hospitalière</t>
        </is>
      </c>
      <c r="B703" s="7" t="inlineStr">
        <is>
          <t>sédentaire</t>
        </is>
      </c>
      <c r="C703" s="88" t="n">
        <v>1949</v>
      </c>
      <c r="D703" s="95" t="n">
        <v>60</v>
      </c>
      <c r="E703" s="95" t="n">
        <v>62.25</v>
      </c>
      <c r="F703" s="85" t="n">
        <v>161</v>
      </c>
      <c r="G703" s="120" t="n">
        <v>0.005</v>
      </c>
      <c r="H703" s="120" t="n">
        <v>0.0125</v>
      </c>
      <c r="I703" s="95" t="n">
        <v>1.23</v>
      </c>
      <c r="J703" s="95" t="n">
        <v>61.23</v>
      </c>
      <c r="K703" s="95" t="n">
        <v>0.955</v>
      </c>
      <c r="L703" s="85" t="n">
        <v>0</v>
      </c>
    </row>
    <row r="704">
      <c r="A704" s="84" t="inlineStr">
        <is>
          <t>Fonction publique territoriale et hospitalière</t>
        </is>
      </c>
      <c r="B704" s="7" t="inlineStr">
        <is>
          <t>sédentaire</t>
        </is>
      </c>
      <c r="C704" s="88" t="n">
        <v>1950</v>
      </c>
      <c r="D704" s="95" t="n">
        <v>60</v>
      </c>
      <c r="E704" s="95" t="n">
        <v>62.5</v>
      </c>
      <c r="F704" s="85" t="n">
        <v>162</v>
      </c>
      <c r="G704" s="120" t="n">
        <v>0.00625</v>
      </c>
      <c r="H704" s="120" t="n">
        <v>0.0125</v>
      </c>
      <c r="I704" s="95" t="n">
        <v>1.33</v>
      </c>
      <c r="J704" s="95" t="n">
        <v>61.33</v>
      </c>
      <c r="K704" s="95" t="n">
        <v>0.955</v>
      </c>
      <c r="L704" s="85" t="n">
        <v>0</v>
      </c>
    </row>
    <row r="705">
      <c r="A705" s="84" t="inlineStr">
        <is>
          <t>Fonction publique territoriale et hospitalière</t>
        </is>
      </c>
      <c r="B705" s="7" t="inlineStr">
        <is>
          <t>sédentaire</t>
        </is>
      </c>
      <c r="C705" s="88" t="n">
        <v>1951</v>
      </c>
      <c r="D705" s="95" t="n">
        <v>60.1667</v>
      </c>
      <c r="E705" s="95" t="n">
        <v>62.9167</v>
      </c>
      <c r="F705" s="85" t="n">
        <v>163</v>
      </c>
      <c r="G705" s="120" t="n">
        <v>0.0075</v>
      </c>
      <c r="H705" s="120" t="n">
        <v>0.0125</v>
      </c>
      <c r="I705" s="95" t="n">
        <v>1.44</v>
      </c>
      <c r="J705" s="95" t="n">
        <v>61.61</v>
      </c>
      <c r="K705" s="95" t="n">
        <v>0.955</v>
      </c>
      <c r="L705" s="85" t="n">
        <v>0</v>
      </c>
    </row>
    <row r="706">
      <c r="A706" s="84" t="inlineStr">
        <is>
          <t>Fonction publique territoriale et hospitalière</t>
        </is>
      </c>
      <c r="B706" s="7" t="inlineStr">
        <is>
          <t>sédentaire</t>
        </is>
      </c>
      <c r="C706" s="88" t="n">
        <v>1952</v>
      </c>
      <c r="D706" s="95" t="n">
        <v>60.75</v>
      </c>
      <c r="E706" s="95" t="n">
        <v>63.8333</v>
      </c>
      <c r="F706" s="85" t="n">
        <v>164</v>
      </c>
      <c r="G706" s="120" t="n">
        <v>0.008750000000000001</v>
      </c>
      <c r="H706" s="120" t="n">
        <v>0.0125</v>
      </c>
      <c r="I706" s="95" t="n">
        <v>1.55</v>
      </c>
      <c r="J706" s="95" t="n">
        <v>62.3</v>
      </c>
      <c r="K706" s="95" t="n">
        <v>0.955</v>
      </c>
      <c r="L706" s="85" t="n">
        <v>0</v>
      </c>
    </row>
    <row r="707">
      <c r="A707" s="84" t="inlineStr">
        <is>
          <t>Fonction publique territoriale et hospitalière</t>
        </is>
      </c>
      <c r="B707" s="7" t="inlineStr">
        <is>
          <t>sédentaire</t>
        </is>
      </c>
      <c r="C707" s="88" t="n">
        <v>1953</v>
      </c>
      <c r="D707" s="95" t="n">
        <v>61.1667</v>
      </c>
      <c r="E707" s="95" t="n">
        <v>64.66670000000001</v>
      </c>
      <c r="F707" s="85" t="n">
        <v>165</v>
      </c>
      <c r="G707" s="120" t="n">
        <v>0.01125</v>
      </c>
      <c r="H707" s="120" t="n">
        <v>0.0125</v>
      </c>
      <c r="I707" s="95" t="n">
        <v>1.65</v>
      </c>
      <c r="J707" s="95" t="n">
        <v>62.82</v>
      </c>
      <c r="K707" s="95" t="n">
        <v>0.955</v>
      </c>
      <c r="L707" s="85" t="n">
        <v>0</v>
      </c>
    </row>
    <row r="708">
      <c r="A708" s="84" t="inlineStr">
        <is>
          <t>Fonction publique territoriale et hospitalière</t>
        </is>
      </c>
      <c r="B708" s="7" t="inlineStr">
        <is>
          <t>sédentaire</t>
        </is>
      </c>
      <c r="C708" s="88" t="n">
        <v>1954</v>
      </c>
      <c r="D708" s="95" t="n">
        <v>61.5833</v>
      </c>
      <c r="E708" s="95" t="n">
        <v>65.41670000000001</v>
      </c>
      <c r="F708" s="85" t="n">
        <v>165</v>
      </c>
      <c r="G708" s="120" t="n">
        <v>0.0125</v>
      </c>
      <c r="H708" s="120" t="n">
        <v>0.0125</v>
      </c>
      <c r="I708" s="95" t="n">
        <v>1.76</v>
      </c>
      <c r="J708" s="95" t="n">
        <v>63.34</v>
      </c>
      <c r="K708" s="95" t="n">
        <v>0.955</v>
      </c>
      <c r="L708" s="85" t="n">
        <v>0</v>
      </c>
    </row>
    <row r="709">
      <c r="A709" s="84" t="inlineStr">
        <is>
          <t>Fonction publique territoriale et hospitalière</t>
        </is>
      </c>
      <c r="B709" s="7" t="inlineStr">
        <is>
          <t>sédentaire</t>
        </is>
      </c>
      <c r="C709" s="88" t="n">
        <v>1955</v>
      </c>
      <c r="D709" s="95" t="n">
        <v>62</v>
      </c>
      <c r="E709" s="95" t="n">
        <v>66.25</v>
      </c>
      <c r="F709" s="85" t="n">
        <v>166</v>
      </c>
      <c r="G709" s="120" t="n">
        <v>0.0125</v>
      </c>
      <c r="H709" s="120" t="n">
        <v>0.0125</v>
      </c>
      <c r="I709" s="95" t="n">
        <v>1.87</v>
      </c>
      <c r="J709" s="95" t="n">
        <v>63.87</v>
      </c>
      <c r="K709" s="95" t="n">
        <v>0.955</v>
      </c>
      <c r="L709" s="85" t="n">
        <v>0</v>
      </c>
    </row>
    <row r="710">
      <c r="A710" s="84" t="inlineStr">
        <is>
          <t>Fonction publique territoriale et hospitalière</t>
        </is>
      </c>
      <c r="B710" s="7" t="inlineStr">
        <is>
          <t>sédentaire</t>
        </is>
      </c>
      <c r="C710" s="88" t="n">
        <v>1956</v>
      </c>
      <c r="D710" s="95" t="n">
        <v>62</v>
      </c>
      <c r="E710" s="95" t="n">
        <v>66.5</v>
      </c>
      <c r="F710" s="85" t="n">
        <v>166</v>
      </c>
      <c r="G710" s="120" t="n">
        <v>0.0125</v>
      </c>
      <c r="H710" s="120" t="n">
        <v>0.0125</v>
      </c>
      <c r="I710" s="95" t="n">
        <v>1.97</v>
      </c>
      <c r="J710" s="95" t="n">
        <v>63.97</v>
      </c>
      <c r="K710" s="95" t="n">
        <v>0.955</v>
      </c>
      <c r="L710" s="85" t="n">
        <v>0</v>
      </c>
    </row>
    <row r="711">
      <c r="A711" s="84" t="inlineStr">
        <is>
          <t>Fonction publique territoriale et hospitalière</t>
        </is>
      </c>
      <c r="B711" s="7" t="inlineStr">
        <is>
          <t>sédentaire</t>
        </is>
      </c>
      <c r="C711" s="88" t="n">
        <v>1957</v>
      </c>
      <c r="D711" s="95" t="n">
        <v>62</v>
      </c>
      <c r="E711" s="95" t="n">
        <v>66.75</v>
      </c>
      <c r="F711" s="85" t="n">
        <v>166</v>
      </c>
      <c r="G711" s="120" t="n">
        <v>0.0125</v>
      </c>
      <c r="H711" s="120" t="n">
        <v>0.0125</v>
      </c>
      <c r="I711" s="95" t="n">
        <v>2.08</v>
      </c>
      <c r="J711" s="95" t="n">
        <v>64.08</v>
      </c>
      <c r="K711" s="95" t="n">
        <v>0.955</v>
      </c>
      <c r="L711" s="85" t="n">
        <v>0</v>
      </c>
    </row>
    <row r="712">
      <c r="A712" s="84" t="inlineStr">
        <is>
          <t>Fonction publique territoriale et hospitalière</t>
        </is>
      </c>
      <c r="B712" s="7" t="inlineStr">
        <is>
          <t>sédentaire</t>
        </is>
      </c>
      <c r="C712" s="88" t="n">
        <v>1958</v>
      </c>
      <c r="D712" s="95" t="n">
        <v>62</v>
      </c>
      <c r="E712" s="95" t="n">
        <v>67</v>
      </c>
      <c r="F712" s="85" t="n">
        <v>167</v>
      </c>
      <c r="G712" s="120" t="n">
        <v>0.0125</v>
      </c>
      <c r="H712" s="120" t="n">
        <v>0.0125</v>
      </c>
      <c r="I712" s="95" t="n">
        <v>2.19</v>
      </c>
      <c r="J712" s="95" t="n">
        <v>64.19</v>
      </c>
      <c r="K712" s="95" t="n">
        <v>0.955</v>
      </c>
      <c r="L712" s="85" t="n">
        <v>0</v>
      </c>
    </row>
    <row r="713">
      <c r="A713" s="84" t="inlineStr">
        <is>
          <t>Fonction publique territoriale et hospitalière</t>
        </is>
      </c>
      <c r="B713" s="7" t="inlineStr">
        <is>
          <t>sédentaire</t>
        </is>
      </c>
      <c r="C713" s="88" t="n">
        <v>1959</v>
      </c>
      <c r="D713" s="95" t="n">
        <v>62</v>
      </c>
      <c r="E713" s="95" t="n">
        <v>67</v>
      </c>
      <c r="F713" s="85" t="n">
        <v>167</v>
      </c>
      <c r="G713" s="120" t="n">
        <v>0.0125</v>
      </c>
      <c r="H713" s="120" t="n">
        <v>0.0125</v>
      </c>
      <c r="I713" s="95" t="n">
        <v>2.29</v>
      </c>
      <c r="J713" s="95" t="n">
        <v>64.29000000000001</v>
      </c>
      <c r="K713" s="95" t="n">
        <v>0.955</v>
      </c>
      <c r="L713" s="85" t="n">
        <v>0</v>
      </c>
    </row>
    <row r="714">
      <c r="A714" s="84" t="inlineStr">
        <is>
          <t>Fonction publique territoriale et hospitalière</t>
        </is>
      </c>
      <c r="B714" s="7" t="inlineStr">
        <is>
          <t>sédentaire</t>
        </is>
      </c>
      <c r="C714" s="88" t="n">
        <v>1960</v>
      </c>
      <c r="D714" s="95" t="n">
        <v>62</v>
      </c>
      <c r="E714" s="95" t="n">
        <v>67</v>
      </c>
      <c r="F714" s="85" t="n">
        <v>167</v>
      </c>
      <c r="G714" s="120" t="n">
        <v>0.0125</v>
      </c>
      <c r="H714" s="120" t="n">
        <v>0.0125</v>
      </c>
      <c r="I714" s="95" t="n">
        <v>2.4</v>
      </c>
      <c r="J714" s="95" t="n">
        <v>64.40000000000001</v>
      </c>
      <c r="K714" s="95" t="n">
        <v>0.955</v>
      </c>
      <c r="L714" s="85" t="n">
        <v>0</v>
      </c>
    </row>
    <row r="715">
      <c r="A715" s="84" t="inlineStr">
        <is>
          <t>Fonction publique territoriale et hospitalière</t>
        </is>
      </c>
      <c r="B715" s="7" t="inlineStr">
        <is>
          <t>sédentaire</t>
        </is>
      </c>
      <c r="C715" s="88" t="n">
        <v>1961</v>
      </c>
      <c r="D715" s="95" t="n">
        <v>62.0833</v>
      </c>
      <c r="E715" s="95" t="n">
        <v>67</v>
      </c>
      <c r="F715" s="85" t="n">
        <v>168</v>
      </c>
      <c r="G715" s="120" t="n">
        <v>0.0125</v>
      </c>
      <c r="H715" s="120" t="n">
        <v>0.0125</v>
      </c>
      <c r="I715" s="95" t="n">
        <v>2.4</v>
      </c>
      <c r="J715" s="95" t="n">
        <v>64.48</v>
      </c>
      <c r="K715" s="95" t="n">
        <v>0.955</v>
      </c>
      <c r="L715" s="85" t="n">
        <v>0</v>
      </c>
    </row>
    <row r="716">
      <c r="A716" s="84" t="inlineStr">
        <is>
          <t>Fonction publique territoriale et hospitalière</t>
        </is>
      </c>
      <c r="B716" s="7" t="inlineStr">
        <is>
          <t>sédentaire</t>
        </is>
      </c>
      <c r="C716" s="88" t="n">
        <v>1962</v>
      </c>
      <c r="D716" s="95" t="n">
        <v>62.5</v>
      </c>
      <c r="E716" s="95" t="n">
        <v>67</v>
      </c>
      <c r="F716" s="85" t="n">
        <v>169</v>
      </c>
      <c r="G716" s="120" t="n">
        <v>0.0125</v>
      </c>
      <c r="H716" s="120" t="n">
        <v>0.0125</v>
      </c>
      <c r="I716" s="95" t="n">
        <v>2.4</v>
      </c>
      <c r="J716" s="95" t="n">
        <v>64.90000000000001</v>
      </c>
      <c r="K716" s="95" t="n">
        <v>0.955</v>
      </c>
      <c r="L716" s="85" t="n">
        <v>0</v>
      </c>
    </row>
    <row r="717">
      <c r="A717" s="84" t="inlineStr">
        <is>
          <t>Fonction publique territoriale et hospitalière</t>
        </is>
      </c>
      <c r="B717" s="7" t="inlineStr">
        <is>
          <t>sédentaire</t>
        </is>
      </c>
      <c r="C717" s="88" t="n">
        <v>1963</v>
      </c>
      <c r="D717" s="95" t="n">
        <v>62.75</v>
      </c>
      <c r="E717" s="95" t="n">
        <v>67</v>
      </c>
      <c r="F717" s="85" t="n">
        <v>170</v>
      </c>
      <c r="G717" s="120" t="n">
        <v>0.0125</v>
      </c>
      <c r="H717" s="120" t="n">
        <v>0.0125</v>
      </c>
      <c r="I717" s="95" t="n">
        <v>2.4</v>
      </c>
      <c r="J717" s="95" t="n">
        <v>65.15000000000001</v>
      </c>
      <c r="K717" s="95" t="n">
        <v>0.955</v>
      </c>
      <c r="L717" s="85" t="n">
        <v>0</v>
      </c>
    </row>
    <row r="718">
      <c r="A718" s="84" t="inlineStr">
        <is>
          <t>Fonction publique territoriale et hospitalière</t>
        </is>
      </c>
      <c r="B718" s="7" t="inlineStr">
        <is>
          <t>sédentaire</t>
        </is>
      </c>
      <c r="C718" s="88" t="n">
        <v>1964</v>
      </c>
      <c r="D718" s="95" t="n">
        <v>62.75</v>
      </c>
      <c r="E718" s="95" t="n">
        <v>67</v>
      </c>
      <c r="F718" s="85" t="n">
        <v>170</v>
      </c>
      <c r="G718" s="120" t="n">
        <v>0.0125</v>
      </c>
      <c r="H718" s="120" t="n">
        <v>0.0125</v>
      </c>
      <c r="I718" s="95" t="n">
        <v>2.4</v>
      </c>
      <c r="J718" s="95" t="n">
        <v>65.15000000000001</v>
      </c>
      <c r="K718" s="95" t="n">
        <v>0.955</v>
      </c>
      <c r="L718" s="85" t="n">
        <v>0</v>
      </c>
    </row>
    <row r="719">
      <c r="A719" s="84" t="inlineStr">
        <is>
          <t>Fonction publique territoriale et hospitalière</t>
        </is>
      </c>
      <c r="B719" s="7" t="inlineStr">
        <is>
          <t>sédentaire</t>
        </is>
      </c>
      <c r="C719" s="88" t="n">
        <v>1965</v>
      </c>
      <c r="D719" s="95" t="n">
        <v>62.9167</v>
      </c>
      <c r="E719" s="95" t="n">
        <v>67</v>
      </c>
      <c r="F719" s="85" t="n">
        <v>171</v>
      </c>
      <c r="G719" s="120" t="n">
        <v>0.0125</v>
      </c>
      <c r="H719" s="120" t="n">
        <v>0.0125</v>
      </c>
      <c r="I719" s="95" t="n">
        <v>2.4</v>
      </c>
      <c r="J719" s="95" t="n">
        <v>65.31999999999999</v>
      </c>
      <c r="K719" s="95" t="n">
        <v>0.955</v>
      </c>
      <c r="L719" s="85" t="n">
        <v>0</v>
      </c>
    </row>
    <row r="720">
      <c r="A720" s="84" t="inlineStr">
        <is>
          <t>Fonction publique territoriale et hospitalière</t>
        </is>
      </c>
      <c r="B720" s="7" t="inlineStr">
        <is>
          <t>sédentaire</t>
        </is>
      </c>
      <c r="C720" s="88" t="n">
        <v>1966</v>
      </c>
      <c r="D720" s="95" t="n">
        <v>63.25</v>
      </c>
      <c r="E720" s="95" t="n">
        <v>67</v>
      </c>
      <c r="F720" s="85" t="n">
        <v>172</v>
      </c>
      <c r="G720" s="120" t="n">
        <v>0.0125</v>
      </c>
      <c r="H720" s="120" t="n">
        <v>0.0125</v>
      </c>
      <c r="I720" s="95" t="n">
        <v>2.4</v>
      </c>
      <c r="J720" s="95" t="n">
        <v>65.65000000000001</v>
      </c>
      <c r="K720" s="95" t="n">
        <v>0.955</v>
      </c>
      <c r="L720" s="85" t="n">
        <v>0</v>
      </c>
    </row>
    <row r="721">
      <c r="A721" s="84" t="inlineStr">
        <is>
          <t>Fonction publique territoriale et hospitalière</t>
        </is>
      </c>
      <c r="B721" s="7" t="inlineStr">
        <is>
          <t>sédentaire</t>
        </is>
      </c>
      <c r="C721" s="88" t="n">
        <v>1967</v>
      </c>
      <c r="D721" s="95" t="n">
        <v>63.5</v>
      </c>
      <c r="E721" s="95" t="n">
        <v>67</v>
      </c>
      <c r="F721" s="85" t="n">
        <v>172</v>
      </c>
      <c r="G721" s="120" t="n">
        <v>0.0125</v>
      </c>
      <c r="H721" s="120" t="n">
        <v>0.0125</v>
      </c>
      <c r="I721" s="95" t="n">
        <v>2.4</v>
      </c>
      <c r="J721" s="95" t="n">
        <v>65.90000000000001</v>
      </c>
      <c r="K721" s="95" t="n">
        <v>0.955</v>
      </c>
      <c r="L721" s="85" t="n">
        <v>0</v>
      </c>
    </row>
    <row r="722">
      <c r="A722" s="84" t="inlineStr">
        <is>
          <t>Fonction publique territoriale et hospitalière</t>
        </is>
      </c>
      <c r="B722" s="7" t="inlineStr">
        <is>
          <t>sédentaire</t>
        </is>
      </c>
      <c r="C722" s="88" t="n">
        <v>1968</v>
      </c>
      <c r="D722" s="95" t="n">
        <v>63.75</v>
      </c>
      <c r="E722" s="95" t="n">
        <v>67</v>
      </c>
      <c r="F722" s="85" t="n">
        <v>172</v>
      </c>
      <c r="G722" s="120" t="n">
        <v>0.0125</v>
      </c>
      <c r="H722" s="120" t="n">
        <v>0.0125</v>
      </c>
      <c r="I722" s="95" t="n">
        <v>2.4</v>
      </c>
      <c r="J722" s="95" t="n">
        <v>66.15000000000001</v>
      </c>
      <c r="K722" s="95" t="n">
        <v>0.955</v>
      </c>
      <c r="L722" s="85" t="n">
        <v>0</v>
      </c>
    </row>
    <row r="723">
      <c r="A723" s="84" t="inlineStr">
        <is>
          <t>Fonction publique territoriale et hospitalière</t>
        </is>
      </c>
      <c r="B723" s="7" t="inlineStr">
        <is>
          <t>sédentaire</t>
        </is>
      </c>
      <c r="C723" s="88" t="n">
        <v>1969</v>
      </c>
      <c r="D723" s="95" t="n">
        <v>64</v>
      </c>
      <c r="E723" s="95" t="n">
        <v>67</v>
      </c>
      <c r="F723" s="85" t="n">
        <v>172</v>
      </c>
      <c r="G723" s="120" t="n">
        <v>0.0125</v>
      </c>
      <c r="H723" s="120" t="n">
        <v>0.0125</v>
      </c>
      <c r="I723" s="95" t="n">
        <v>2.4</v>
      </c>
      <c r="J723" s="95" t="n">
        <v>66.40000000000001</v>
      </c>
      <c r="K723" s="95" t="n">
        <v>0.955</v>
      </c>
      <c r="L723" s="85" t="n">
        <v>0</v>
      </c>
    </row>
    <row r="724">
      <c r="A724" s="84" t="inlineStr">
        <is>
          <t>Fonction publique territoriale et hospitalière</t>
        </is>
      </c>
      <c r="B724" s="7" t="inlineStr">
        <is>
          <t>sédentaire</t>
        </is>
      </c>
      <c r="C724" s="88" t="n">
        <v>1970</v>
      </c>
      <c r="D724" s="95" t="n">
        <v>64</v>
      </c>
      <c r="E724" s="95" t="n">
        <v>67</v>
      </c>
      <c r="F724" s="85" t="n">
        <v>172</v>
      </c>
      <c r="G724" s="120" t="n">
        <v>0.0125</v>
      </c>
      <c r="H724" s="120" t="n">
        <v>0.0125</v>
      </c>
      <c r="I724" s="95" t="n">
        <v>2.4</v>
      </c>
      <c r="J724" s="95" t="n">
        <v>66.40000000000001</v>
      </c>
      <c r="K724" s="95" t="n">
        <v>0.955</v>
      </c>
      <c r="L724" s="85" t="n">
        <v>0</v>
      </c>
    </row>
    <row r="725">
      <c r="A725" s="84" t="inlineStr">
        <is>
          <t>Fonction publique territoriale et hospitalière</t>
        </is>
      </c>
      <c r="B725" s="7" t="inlineStr">
        <is>
          <t>sédentaire</t>
        </is>
      </c>
      <c r="C725" s="88" t="n">
        <v>1971</v>
      </c>
      <c r="D725" s="95" t="n">
        <v>64</v>
      </c>
      <c r="E725" s="95" t="n">
        <v>67</v>
      </c>
      <c r="F725" s="85" t="n">
        <v>172</v>
      </c>
      <c r="G725" s="120" t="n">
        <v>0.0125</v>
      </c>
      <c r="H725" s="120" t="n">
        <v>0.0125</v>
      </c>
      <c r="I725" s="95" t="n">
        <v>2.4</v>
      </c>
      <c r="J725" s="95" t="n">
        <v>66.40000000000001</v>
      </c>
      <c r="K725" s="95" t="n">
        <v>0.955</v>
      </c>
      <c r="L725" s="85" t="n">
        <v>0</v>
      </c>
    </row>
    <row r="726">
      <c r="A726" s="84" t="inlineStr">
        <is>
          <t>Fonction publique territoriale et hospitalière</t>
        </is>
      </c>
      <c r="B726" s="7" t="inlineStr">
        <is>
          <t>sédentaire</t>
        </is>
      </c>
      <c r="C726" s="88" t="n">
        <v>1972</v>
      </c>
      <c r="D726" s="95" t="n">
        <v>64</v>
      </c>
      <c r="E726" s="95" t="n">
        <v>67</v>
      </c>
      <c r="F726" s="85" t="n">
        <v>172</v>
      </c>
      <c r="G726" s="120" t="n">
        <v>0.0125</v>
      </c>
      <c r="H726" s="120" t="n">
        <v>0.0125</v>
      </c>
      <c r="I726" s="95" t="n">
        <v>2.4</v>
      </c>
      <c r="J726" s="95" t="n">
        <v>66.40000000000001</v>
      </c>
      <c r="K726" s="95" t="n">
        <v>0.955</v>
      </c>
      <c r="L726" s="85" t="n">
        <v>0</v>
      </c>
    </row>
    <row r="727">
      <c r="A727" s="84" t="inlineStr">
        <is>
          <t>Fonction publique territoriale et hospitalière</t>
        </is>
      </c>
      <c r="B727" s="7" t="inlineStr">
        <is>
          <t>sédentaire</t>
        </is>
      </c>
      <c r="C727" s="88" t="n">
        <v>1973</v>
      </c>
      <c r="D727" s="95" t="n">
        <v>64</v>
      </c>
      <c r="E727" s="95" t="n">
        <v>67</v>
      </c>
      <c r="F727" s="85" t="n">
        <v>172</v>
      </c>
      <c r="G727" s="120" t="n">
        <v>0.0125</v>
      </c>
      <c r="H727" s="120" t="n">
        <v>0.0125</v>
      </c>
      <c r="I727" s="95" t="n">
        <v>2.4</v>
      </c>
      <c r="J727" s="95" t="n">
        <v>66.40000000000001</v>
      </c>
      <c r="K727" s="95" t="n">
        <v>0.955</v>
      </c>
      <c r="L727" s="85" t="n">
        <v>0</v>
      </c>
    </row>
    <row r="728">
      <c r="A728" s="84" t="inlineStr">
        <is>
          <t>Fonction publique territoriale et hospitalière</t>
        </is>
      </c>
      <c r="B728" s="7" t="inlineStr">
        <is>
          <t>sédentaire</t>
        </is>
      </c>
      <c r="C728" s="88" t="n">
        <v>1974</v>
      </c>
      <c r="D728" s="95" t="n">
        <v>64</v>
      </c>
      <c r="E728" s="95" t="n">
        <v>67</v>
      </c>
      <c r="F728" s="85" t="n">
        <v>172</v>
      </c>
      <c r="G728" s="120" t="n">
        <v>0.0125</v>
      </c>
      <c r="H728" s="120" t="n">
        <v>0.0125</v>
      </c>
      <c r="I728" s="95" t="n">
        <v>2.4</v>
      </c>
      <c r="J728" s="95" t="n">
        <v>66.40000000000001</v>
      </c>
      <c r="K728" s="95" t="n">
        <v>0.955</v>
      </c>
      <c r="L728" s="85" t="n">
        <v>0</v>
      </c>
    </row>
    <row r="729">
      <c r="A729" s="84" t="inlineStr">
        <is>
          <t>Fonction publique territoriale et hospitalière</t>
        </is>
      </c>
      <c r="B729" s="7" t="inlineStr">
        <is>
          <t>sédentaire</t>
        </is>
      </c>
      <c r="C729" s="88" t="n">
        <v>1975</v>
      </c>
      <c r="D729" s="95" t="n">
        <v>64</v>
      </c>
      <c r="E729" s="95" t="n">
        <v>67</v>
      </c>
      <c r="F729" s="85" t="n">
        <v>172</v>
      </c>
      <c r="G729" s="120" t="n">
        <v>0.0125</v>
      </c>
      <c r="H729" s="120" t="n">
        <v>0.0125</v>
      </c>
      <c r="I729" s="95" t="n">
        <v>2.4</v>
      </c>
      <c r="J729" s="95" t="n">
        <v>66.40000000000001</v>
      </c>
      <c r="K729" s="95" t="n">
        <v>0.955</v>
      </c>
      <c r="L729" s="85" t="n">
        <v>0</v>
      </c>
    </row>
    <row r="730">
      <c r="A730" s="84" t="inlineStr">
        <is>
          <t>Fonction publique territoriale et hospitalière</t>
        </is>
      </c>
      <c r="B730" s="7" t="inlineStr">
        <is>
          <t>sédentaire</t>
        </is>
      </c>
      <c r="C730" s="88" t="n">
        <v>1976</v>
      </c>
      <c r="D730" s="95" t="n">
        <v>64</v>
      </c>
      <c r="E730" s="95" t="n">
        <v>67</v>
      </c>
      <c r="F730" s="85" t="n">
        <v>172</v>
      </c>
      <c r="G730" s="120" t="n">
        <v>0.0125</v>
      </c>
      <c r="H730" s="120" t="n">
        <v>0.0125</v>
      </c>
      <c r="I730" s="95" t="n">
        <v>2.4</v>
      </c>
      <c r="J730" s="95" t="n">
        <v>66.40000000000001</v>
      </c>
      <c r="K730" s="95" t="n">
        <v>0.955</v>
      </c>
      <c r="L730" s="85" t="n">
        <v>0</v>
      </c>
    </row>
    <row r="731">
      <c r="A731" s="84" t="inlineStr">
        <is>
          <t>Fonction publique territoriale et hospitalière</t>
        </is>
      </c>
      <c r="B731" s="7" t="inlineStr">
        <is>
          <t>sédentaire</t>
        </is>
      </c>
      <c r="C731" s="88" t="n">
        <v>1977</v>
      </c>
      <c r="D731" s="95" t="n">
        <v>64</v>
      </c>
      <c r="E731" s="95" t="n">
        <v>67</v>
      </c>
      <c r="F731" s="85" t="n">
        <v>172</v>
      </c>
      <c r="G731" s="120" t="n">
        <v>0.0125</v>
      </c>
      <c r="H731" s="120" t="n">
        <v>0.0125</v>
      </c>
      <c r="I731" s="95" t="n">
        <v>2.4</v>
      </c>
      <c r="J731" s="95" t="n">
        <v>66.40000000000001</v>
      </c>
      <c r="K731" s="95" t="n">
        <v>0.955</v>
      </c>
      <c r="L731" s="85" t="n">
        <v>0</v>
      </c>
    </row>
    <row r="732">
      <c r="A732" s="84" t="inlineStr">
        <is>
          <t>Fonction publique territoriale et hospitalière</t>
        </is>
      </c>
      <c r="B732" s="7" t="inlineStr">
        <is>
          <t>sédentaire</t>
        </is>
      </c>
      <c r="C732" s="88" t="n">
        <v>1978</v>
      </c>
      <c r="D732" s="95" t="n">
        <v>64</v>
      </c>
      <c r="E732" s="95" t="n">
        <v>67</v>
      </c>
      <c r="F732" s="85" t="n">
        <v>172</v>
      </c>
      <c r="G732" s="120" t="n">
        <v>0.0125</v>
      </c>
      <c r="H732" s="120" t="n">
        <v>0.0125</v>
      </c>
      <c r="I732" s="95" t="n">
        <v>2.4</v>
      </c>
      <c r="J732" s="95" t="n">
        <v>66.40000000000001</v>
      </c>
      <c r="K732" s="95" t="n">
        <v>0.955</v>
      </c>
      <c r="L732" s="85" t="n">
        <v>0</v>
      </c>
    </row>
    <row r="733">
      <c r="A733" s="84" t="inlineStr">
        <is>
          <t>Fonction publique territoriale et hospitalière</t>
        </is>
      </c>
      <c r="B733" s="7" t="inlineStr">
        <is>
          <t>sédentaire</t>
        </is>
      </c>
      <c r="C733" s="88" t="n">
        <v>1979</v>
      </c>
      <c r="D733" s="95" t="n">
        <v>64</v>
      </c>
      <c r="E733" s="95" t="n">
        <v>67</v>
      </c>
      <c r="F733" s="85" t="n">
        <v>172</v>
      </c>
      <c r="G733" s="120" t="n">
        <v>0.0125</v>
      </c>
      <c r="H733" s="120" t="n">
        <v>0.0125</v>
      </c>
      <c r="I733" s="95" t="n">
        <v>2.4</v>
      </c>
      <c r="J733" s="95" t="n">
        <v>66.40000000000001</v>
      </c>
      <c r="K733" s="95" t="n">
        <v>0.955</v>
      </c>
      <c r="L733" s="85" t="n">
        <v>0</v>
      </c>
    </row>
    <row r="734">
      <c r="A734" s="84" t="inlineStr">
        <is>
          <t>Fonction publique territoriale et hospitalière</t>
        </is>
      </c>
      <c r="B734" s="7" t="inlineStr">
        <is>
          <t>sédentaire</t>
        </is>
      </c>
      <c r="C734" s="88" t="n">
        <v>1980</v>
      </c>
      <c r="D734" s="95" t="n">
        <v>64</v>
      </c>
      <c r="E734" s="95" t="n">
        <v>67</v>
      </c>
      <c r="F734" s="85" t="n">
        <v>172</v>
      </c>
      <c r="G734" s="120" t="n">
        <v>0.0125</v>
      </c>
      <c r="H734" s="120" t="n">
        <v>0.0125</v>
      </c>
      <c r="I734" s="95" t="n">
        <v>2.4</v>
      </c>
      <c r="J734" s="95" t="n">
        <v>66.40000000000001</v>
      </c>
      <c r="K734" s="95" t="n">
        <v>0.955</v>
      </c>
      <c r="L734" s="85" t="n">
        <v>0</v>
      </c>
    </row>
    <row r="735">
      <c r="A735" s="84" t="inlineStr">
        <is>
          <t>Fonction publique territoriale et hospitalière</t>
        </is>
      </c>
      <c r="B735" s="7" t="inlineStr">
        <is>
          <t>sédentaire</t>
        </is>
      </c>
      <c r="C735" s="88" t="n">
        <v>1981</v>
      </c>
      <c r="D735" s="95" t="n">
        <v>64</v>
      </c>
      <c r="E735" s="95" t="n">
        <v>67</v>
      </c>
      <c r="F735" s="85" t="n">
        <v>172</v>
      </c>
      <c r="G735" s="120" t="n">
        <v>0.0125</v>
      </c>
      <c r="H735" s="120" t="n">
        <v>0.0125</v>
      </c>
      <c r="I735" s="95" t="n">
        <v>2.4</v>
      </c>
      <c r="J735" s="95" t="n">
        <v>66.40000000000001</v>
      </c>
      <c r="K735" s="95" t="n">
        <v>0.955</v>
      </c>
      <c r="L735" s="85" t="n">
        <v>0</v>
      </c>
    </row>
    <row r="736">
      <c r="A736" s="84" t="inlineStr">
        <is>
          <t>Fonction publique territoriale et hospitalière</t>
        </is>
      </c>
      <c r="B736" s="7" t="inlineStr">
        <is>
          <t>sédentaire</t>
        </is>
      </c>
      <c r="C736" s="88" t="n">
        <v>1982</v>
      </c>
      <c r="D736" s="95" t="n">
        <v>64</v>
      </c>
      <c r="E736" s="95" t="n">
        <v>67</v>
      </c>
      <c r="F736" s="85" t="n">
        <v>172</v>
      </c>
      <c r="G736" s="120" t="n">
        <v>0.0125</v>
      </c>
      <c r="H736" s="120" t="n">
        <v>0.0125</v>
      </c>
      <c r="I736" s="95" t="n">
        <v>2.4</v>
      </c>
      <c r="J736" s="95" t="n">
        <v>66.40000000000001</v>
      </c>
      <c r="K736" s="95" t="n">
        <v>0.955</v>
      </c>
      <c r="L736" s="85" t="n">
        <v>0</v>
      </c>
    </row>
    <row r="737">
      <c r="A737" s="84" t="inlineStr">
        <is>
          <t>Fonction publique territoriale et hospitalière</t>
        </is>
      </c>
      <c r="B737" s="7" t="inlineStr">
        <is>
          <t>sédentaire</t>
        </is>
      </c>
      <c r="C737" s="88" t="n">
        <v>1983</v>
      </c>
      <c r="D737" s="95" t="n">
        <v>64</v>
      </c>
      <c r="E737" s="95" t="n">
        <v>67</v>
      </c>
      <c r="F737" s="85" t="n">
        <v>172</v>
      </c>
      <c r="G737" s="120" t="n">
        <v>0.0125</v>
      </c>
      <c r="H737" s="120" t="n">
        <v>0.0125</v>
      </c>
      <c r="I737" s="95" t="n">
        <v>2.4</v>
      </c>
      <c r="J737" s="95" t="n">
        <v>66.40000000000001</v>
      </c>
      <c r="K737" s="95" t="n">
        <v>0.955</v>
      </c>
      <c r="L737" s="85" t="n">
        <v>0</v>
      </c>
    </row>
    <row r="738">
      <c r="A738" s="84" t="inlineStr">
        <is>
          <t>Fonction publique territoriale et hospitalière</t>
        </is>
      </c>
      <c r="B738" s="7" t="inlineStr">
        <is>
          <t>sédentaire</t>
        </is>
      </c>
      <c r="C738" s="88" t="n">
        <v>1984</v>
      </c>
      <c r="D738" s="95" t="n">
        <v>64</v>
      </c>
      <c r="E738" s="95" t="n">
        <v>67</v>
      </c>
      <c r="F738" s="85" t="n">
        <v>172</v>
      </c>
      <c r="G738" s="120" t="n">
        <v>0.0125</v>
      </c>
      <c r="H738" s="120" t="n">
        <v>0.0125</v>
      </c>
      <c r="I738" s="95" t="n">
        <v>2.4</v>
      </c>
      <c r="J738" s="95" t="n">
        <v>66.40000000000001</v>
      </c>
      <c r="K738" s="95" t="n">
        <v>0.955</v>
      </c>
      <c r="L738" s="85" t="n">
        <v>0</v>
      </c>
    </row>
    <row r="739">
      <c r="A739" s="84" t="inlineStr">
        <is>
          <t>Fonction publique territoriale et hospitalière</t>
        </is>
      </c>
      <c r="B739" s="7" t="inlineStr">
        <is>
          <t>sédentaire</t>
        </is>
      </c>
      <c r="C739" s="88" t="n">
        <v>1985</v>
      </c>
      <c r="D739" s="95" t="n">
        <v>64</v>
      </c>
      <c r="E739" s="95" t="n">
        <v>67</v>
      </c>
      <c r="F739" s="85" t="n">
        <v>172</v>
      </c>
      <c r="G739" s="120" t="n">
        <v>0.0125</v>
      </c>
      <c r="H739" s="120" t="n">
        <v>0.0125</v>
      </c>
      <c r="I739" s="95" t="n">
        <v>2.4</v>
      </c>
      <c r="J739" s="95" t="n">
        <v>66.40000000000001</v>
      </c>
      <c r="K739" s="95" t="n">
        <v>0.955</v>
      </c>
      <c r="L739" s="85" t="n">
        <v>0</v>
      </c>
    </row>
    <row r="740">
      <c r="A740" s="84" t="inlineStr">
        <is>
          <t>Fonction publique territoriale et hospitalière</t>
        </is>
      </c>
      <c r="B740" s="7" t="inlineStr">
        <is>
          <t>sédentaire</t>
        </is>
      </c>
      <c r="C740" s="88" t="n">
        <v>1986</v>
      </c>
      <c r="D740" s="95" t="n">
        <v>64</v>
      </c>
      <c r="E740" s="95" t="n">
        <v>67</v>
      </c>
      <c r="F740" s="85" t="n">
        <v>172</v>
      </c>
      <c r="G740" s="120" t="n">
        <v>0.0125</v>
      </c>
      <c r="H740" s="120" t="n">
        <v>0.0125</v>
      </c>
      <c r="I740" s="95" t="n">
        <v>2.4</v>
      </c>
      <c r="J740" s="95" t="n">
        <v>66.40000000000001</v>
      </c>
      <c r="K740" s="95" t="n">
        <v>0.955</v>
      </c>
      <c r="L740" s="85" t="n">
        <v>0</v>
      </c>
    </row>
    <row r="741">
      <c r="A741" s="84" t="inlineStr">
        <is>
          <t>Fonction publique territoriale et hospitalière</t>
        </is>
      </c>
      <c r="B741" s="7" t="inlineStr">
        <is>
          <t>sédentaire</t>
        </is>
      </c>
      <c r="C741" s="88" t="n">
        <v>1987</v>
      </c>
      <c r="D741" s="95" t="n">
        <v>64</v>
      </c>
      <c r="E741" s="95" t="n">
        <v>67</v>
      </c>
      <c r="F741" s="85" t="n">
        <v>172</v>
      </c>
      <c r="G741" s="120" t="n">
        <v>0.0125</v>
      </c>
      <c r="H741" s="120" t="n">
        <v>0.0125</v>
      </c>
      <c r="I741" s="95" t="n">
        <v>2.4</v>
      </c>
      <c r="J741" s="95" t="n">
        <v>66.40000000000001</v>
      </c>
      <c r="K741" s="95" t="n">
        <v>0.955</v>
      </c>
      <c r="L741" s="85" t="n">
        <v>0</v>
      </c>
    </row>
    <row r="742">
      <c r="A742" s="84" t="inlineStr">
        <is>
          <t>Fonction publique territoriale et hospitalière</t>
        </is>
      </c>
      <c r="B742" s="7" t="inlineStr">
        <is>
          <t>sédentaire</t>
        </is>
      </c>
      <c r="C742" s="88" t="n">
        <v>1988</v>
      </c>
      <c r="D742" s="95" t="n">
        <v>64</v>
      </c>
      <c r="E742" s="95" t="n">
        <v>67</v>
      </c>
      <c r="F742" s="85" t="n">
        <v>172</v>
      </c>
      <c r="G742" s="120" t="n">
        <v>0.0125</v>
      </c>
      <c r="H742" s="120" t="n">
        <v>0.0125</v>
      </c>
      <c r="I742" s="95" t="n">
        <v>2.4</v>
      </c>
      <c r="J742" s="95" t="n">
        <v>66.40000000000001</v>
      </c>
      <c r="K742" s="95" t="n">
        <v>0.955</v>
      </c>
      <c r="L742" s="85" t="n">
        <v>0</v>
      </c>
    </row>
    <row r="743">
      <c r="A743" s="84" t="inlineStr">
        <is>
          <t>Fonction publique territoriale et hospitalière</t>
        </is>
      </c>
      <c r="B743" s="7" t="inlineStr">
        <is>
          <t>sédentaire</t>
        </is>
      </c>
      <c r="C743" s="88" t="n">
        <v>1989</v>
      </c>
      <c r="D743" s="95" t="n">
        <v>64</v>
      </c>
      <c r="E743" s="95" t="n">
        <v>67</v>
      </c>
      <c r="F743" s="85" t="n">
        <v>172</v>
      </c>
      <c r="G743" s="120" t="n">
        <v>0.0125</v>
      </c>
      <c r="H743" s="120" t="n">
        <v>0.0125</v>
      </c>
      <c r="I743" s="95" t="n">
        <v>2.4</v>
      </c>
      <c r="J743" s="95" t="n">
        <v>66.40000000000001</v>
      </c>
      <c r="K743" s="95" t="n">
        <v>0.955</v>
      </c>
      <c r="L743" s="85" t="n">
        <v>0</v>
      </c>
    </row>
    <row r="744">
      <c r="A744" s="84" t="inlineStr">
        <is>
          <t>Fonction publique territoriale et hospitalière</t>
        </is>
      </c>
      <c r="B744" s="7" t="inlineStr">
        <is>
          <t>sédentaire</t>
        </is>
      </c>
      <c r="C744" s="88" t="n">
        <v>1990</v>
      </c>
      <c r="D744" s="95" t="n">
        <v>64</v>
      </c>
      <c r="E744" s="95" t="n">
        <v>67</v>
      </c>
      <c r="F744" s="85" t="n">
        <v>172</v>
      </c>
      <c r="G744" s="120" t="n">
        <v>0.0125</v>
      </c>
      <c r="H744" s="120" t="n">
        <v>0.0125</v>
      </c>
      <c r="I744" s="95" t="n">
        <v>2.4</v>
      </c>
      <c r="J744" s="95" t="n">
        <v>66.40000000000001</v>
      </c>
      <c r="K744" s="95" t="n">
        <v>0.955</v>
      </c>
      <c r="L744" s="85" t="n">
        <v>0</v>
      </c>
    </row>
    <row r="745">
      <c r="A745" s="84" t="inlineStr">
        <is>
          <t>Fonction publique territoriale et hospitalière</t>
        </is>
      </c>
      <c r="B745" s="7" t="inlineStr">
        <is>
          <t>sédentaire</t>
        </is>
      </c>
      <c r="C745" s="88" t="n">
        <v>1991</v>
      </c>
      <c r="D745" s="95" t="n">
        <v>64</v>
      </c>
      <c r="E745" s="95" t="n">
        <v>67</v>
      </c>
      <c r="F745" s="85" t="n">
        <v>172</v>
      </c>
      <c r="G745" s="120" t="n">
        <v>0.0125</v>
      </c>
      <c r="H745" s="120" t="n">
        <v>0.0125</v>
      </c>
      <c r="I745" s="95" t="n">
        <v>2.4</v>
      </c>
      <c r="J745" s="95" t="n">
        <v>66.40000000000001</v>
      </c>
      <c r="K745" s="95" t="n">
        <v>0.955</v>
      </c>
      <c r="L745" s="85" t="n">
        <v>0</v>
      </c>
    </row>
    <row r="746">
      <c r="A746" s="84" t="inlineStr">
        <is>
          <t>Fonction publique territoriale et hospitalière</t>
        </is>
      </c>
      <c r="B746" s="7" t="inlineStr">
        <is>
          <t>sédentaire</t>
        </is>
      </c>
      <c r="C746" s="88" t="n">
        <v>1992</v>
      </c>
      <c r="D746" s="95" t="n">
        <v>64</v>
      </c>
      <c r="E746" s="95" t="n">
        <v>67</v>
      </c>
      <c r="F746" s="85" t="n">
        <v>172</v>
      </c>
      <c r="G746" s="120" t="n">
        <v>0.0125</v>
      </c>
      <c r="H746" s="120" t="n">
        <v>0.0125</v>
      </c>
      <c r="I746" s="95" t="n">
        <v>2.4</v>
      </c>
      <c r="J746" s="95" t="n">
        <v>66.40000000000001</v>
      </c>
      <c r="K746" s="95" t="n">
        <v>0.955</v>
      </c>
      <c r="L746" s="85" t="n">
        <v>0</v>
      </c>
    </row>
    <row r="747">
      <c r="A747" s="84" t="inlineStr">
        <is>
          <t>Fonction publique territoriale et hospitalière</t>
        </is>
      </c>
      <c r="B747" s="7" t="inlineStr">
        <is>
          <t>sédentaire</t>
        </is>
      </c>
      <c r="C747" s="88" t="n">
        <v>1993</v>
      </c>
      <c r="D747" s="95" t="n">
        <v>64</v>
      </c>
      <c r="E747" s="95" t="n">
        <v>67</v>
      </c>
      <c r="F747" s="85" t="n">
        <v>172</v>
      </c>
      <c r="G747" s="120" t="n">
        <v>0.0125</v>
      </c>
      <c r="H747" s="120" t="n">
        <v>0.0125</v>
      </c>
      <c r="I747" s="95" t="n">
        <v>2.4</v>
      </c>
      <c r="J747" s="95" t="n">
        <v>66.40000000000001</v>
      </c>
      <c r="K747" s="95" t="n">
        <v>0.955</v>
      </c>
      <c r="L747" s="85" t="n">
        <v>0</v>
      </c>
    </row>
    <row r="748">
      <c r="A748" s="84" t="inlineStr">
        <is>
          <t>Fonction publique territoriale et hospitalière</t>
        </is>
      </c>
      <c r="B748" s="7" t="inlineStr">
        <is>
          <t>sédentaire</t>
        </is>
      </c>
      <c r="C748" s="88" t="n">
        <v>1994</v>
      </c>
      <c r="D748" s="95" t="n">
        <v>64</v>
      </c>
      <c r="E748" s="95" t="n">
        <v>67</v>
      </c>
      <c r="F748" s="85" t="n">
        <v>172</v>
      </c>
      <c r="G748" s="120" t="n">
        <v>0.0125</v>
      </c>
      <c r="H748" s="120" t="n">
        <v>0.0125</v>
      </c>
      <c r="I748" s="95" t="n">
        <v>2.4</v>
      </c>
      <c r="J748" s="95" t="n">
        <v>66.40000000000001</v>
      </c>
      <c r="K748" s="95" t="n">
        <v>0.955</v>
      </c>
      <c r="L748" s="85" t="n">
        <v>0</v>
      </c>
    </row>
    <row r="749">
      <c r="A749" s="84" t="inlineStr">
        <is>
          <t>Fonction publique territoriale et hospitalière</t>
        </is>
      </c>
      <c r="B749" s="7" t="inlineStr">
        <is>
          <t>sédentaire</t>
        </is>
      </c>
      <c r="C749" s="88" t="n">
        <v>1995</v>
      </c>
      <c r="D749" s="95" t="n">
        <v>64</v>
      </c>
      <c r="E749" s="95" t="n">
        <v>67</v>
      </c>
      <c r="F749" s="85" t="n">
        <v>172</v>
      </c>
      <c r="G749" s="120" t="n">
        <v>0.0125</v>
      </c>
      <c r="H749" s="120" t="n">
        <v>0.0125</v>
      </c>
      <c r="I749" s="95" t="n">
        <v>2.4</v>
      </c>
      <c r="J749" s="95" t="n">
        <v>66.40000000000001</v>
      </c>
      <c r="K749" s="95" t="n">
        <v>0.955</v>
      </c>
      <c r="L749" s="85" t="n">
        <v>0</v>
      </c>
    </row>
    <row r="750">
      <c r="A750" s="84" t="inlineStr">
        <is>
          <t>Fonction publique territoriale et hospitalière</t>
        </is>
      </c>
      <c r="B750" s="7" t="inlineStr">
        <is>
          <t>sédentaire</t>
        </is>
      </c>
      <c r="C750" s="88" t="n">
        <v>1996</v>
      </c>
      <c r="D750" s="95" t="n">
        <v>64</v>
      </c>
      <c r="E750" s="95" t="n">
        <v>67</v>
      </c>
      <c r="F750" s="85" t="n">
        <v>172</v>
      </c>
      <c r="G750" s="120" t="n">
        <v>0.0125</v>
      </c>
      <c r="H750" s="120" t="n">
        <v>0.0125</v>
      </c>
      <c r="I750" s="95" t="n">
        <v>2.4</v>
      </c>
      <c r="J750" s="95" t="n">
        <v>66.40000000000001</v>
      </c>
      <c r="K750" s="95" t="n">
        <v>0.955</v>
      </c>
      <c r="L750" s="85" t="n">
        <v>0</v>
      </c>
    </row>
    <row r="751">
      <c r="A751" s="84" t="inlineStr">
        <is>
          <t>Fonction publique territoriale et hospitalière</t>
        </is>
      </c>
      <c r="B751" s="7" t="inlineStr">
        <is>
          <t>sédentaire</t>
        </is>
      </c>
      <c r="C751" s="88" t="n">
        <v>1997</v>
      </c>
      <c r="D751" s="95" t="n">
        <v>64</v>
      </c>
      <c r="E751" s="95" t="n">
        <v>67</v>
      </c>
      <c r="F751" s="85" t="n">
        <v>172</v>
      </c>
      <c r="G751" s="120" t="n">
        <v>0.0125</v>
      </c>
      <c r="H751" s="120" t="n">
        <v>0.0125</v>
      </c>
      <c r="I751" s="95" t="n">
        <v>2.4</v>
      </c>
      <c r="J751" s="95" t="n">
        <v>66.40000000000001</v>
      </c>
      <c r="K751" s="95" t="n">
        <v>0.955</v>
      </c>
      <c r="L751" s="85" t="n">
        <v>0</v>
      </c>
    </row>
    <row r="752">
      <c r="A752" s="84" t="inlineStr">
        <is>
          <t>Fonction publique territoriale et hospitalière</t>
        </is>
      </c>
      <c r="B752" s="7" t="inlineStr">
        <is>
          <t>sédentaire</t>
        </is>
      </c>
      <c r="C752" s="88" t="n">
        <v>1998</v>
      </c>
      <c r="D752" s="95" t="n">
        <v>64</v>
      </c>
      <c r="E752" s="95" t="n">
        <v>67</v>
      </c>
      <c r="F752" s="85" t="n">
        <v>172</v>
      </c>
      <c r="G752" s="120" t="n">
        <v>0.0125</v>
      </c>
      <c r="H752" s="120" t="n">
        <v>0.0125</v>
      </c>
      <c r="I752" s="95" t="n">
        <v>2.4</v>
      </c>
      <c r="J752" s="95" t="n">
        <v>66.40000000000001</v>
      </c>
      <c r="K752" s="95" t="n">
        <v>0.955</v>
      </c>
      <c r="L752" s="85" t="n">
        <v>0</v>
      </c>
    </row>
    <row r="753">
      <c r="A753" s="84" t="inlineStr">
        <is>
          <t>Fonction publique territoriale et hospitalière</t>
        </is>
      </c>
      <c r="B753" s="7" t="inlineStr">
        <is>
          <t>sédentaire</t>
        </is>
      </c>
      <c r="C753" s="88" t="n">
        <v>1999</v>
      </c>
      <c r="D753" s="95" t="n">
        <v>64</v>
      </c>
      <c r="E753" s="95" t="n">
        <v>67</v>
      </c>
      <c r="F753" s="85" t="n">
        <v>172</v>
      </c>
      <c r="G753" s="120" t="n">
        <v>0.0125</v>
      </c>
      <c r="H753" s="120" t="n">
        <v>0.0125</v>
      </c>
      <c r="I753" s="95" t="n">
        <v>2.4</v>
      </c>
      <c r="J753" s="95" t="n">
        <v>66.40000000000001</v>
      </c>
      <c r="K753" s="95" t="n">
        <v>0.955</v>
      </c>
      <c r="L753" s="85" t="n">
        <v>0</v>
      </c>
    </row>
    <row r="754">
      <c r="A754" s="84" t="inlineStr">
        <is>
          <t>Fonction publique territoriale et hospitalière</t>
        </is>
      </c>
      <c r="B754" s="7" t="inlineStr">
        <is>
          <t>sédentaire</t>
        </is>
      </c>
      <c r="C754" s="88" t="n">
        <v>2000</v>
      </c>
      <c r="D754" s="95" t="n">
        <v>64</v>
      </c>
      <c r="E754" s="95" t="n">
        <v>67</v>
      </c>
      <c r="F754" s="85" t="n">
        <v>172</v>
      </c>
      <c r="G754" s="120" t="n">
        <v>0.0125</v>
      </c>
      <c r="H754" s="120" t="n">
        <v>0.0125</v>
      </c>
      <c r="I754" s="95" t="n">
        <v>2.4</v>
      </c>
      <c r="J754" s="95" t="n">
        <v>66.40000000000001</v>
      </c>
      <c r="K754" s="95" t="n">
        <v>0.955</v>
      </c>
      <c r="L754" s="85" t="n">
        <v>0</v>
      </c>
    </row>
    <row r="755">
      <c r="A755" s="84" t="inlineStr">
        <is>
          <t>Fonction publique territoriale et hospitalière</t>
        </is>
      </c>
      <c r="B755" s="7" t="inlineStr">
        <is>
          <t>sédentaire</t>
        </is>
      </c>
      <c r="C755" s="88" t="n">
        <v>2001</v>
      </c>
      <c r="D755" s="95" t="n">
        <v>64</v>
      </c>
      <c r="E755" s="95" t="n">
        <v>67</v>
      </c>
      <c r="F755" s="85" t="n">
        <v>172</v>
      </c>
      <c r="G755" s="120" t="n">
        <v>0.0125</v>
      </c>
      <c r="H755" s="120" t="n">
        <v>0.0125</v>
      </c>
      <c r="I755" s="95" t="n">
        <v>2.4</v>
      </c>
      <c r="J755" s="95" t="n">
        <v>66.40000000000001</v>
      </c>
      <c r="K755" s="95" t="n">
        <v>0.955</v>
      </c>
      <c r="L755" s="85" t="n">
        <v>0</v>
      </c>
    </row>
    <row r="756">
      <c r="A756" s="84" t="inlineStr">
        <is>
          <t>Fonction publique territoriale et hospitalière</t>
        </is>
      </c>
      <c r="B756" s="7" t="inlineStr">
        <is>
          <t>sédentaire</t>
        </is>
      </c>
      <c r="C756" s="88" t="n">
        <v>2002</v>
      </c>
      <c r="D756" s="95" t="n">
        <v>64</v>
      </c>
      <c r="E756" s="95" t="n">
        <v>67</v>
      </c>
      <c r="F756" s="85" t="n">
        <v>172</v>
      </c>
      <c r="G756" s="120" t="n">
        <v>0.0125</v>
      </c>
      <c r="H756" s="120" t="n">
        <v>0.0125</v>
      </c>
      <c r="I756" s="95" t="n">
        <v>2.4</v>
      </c>
      <c r="J756" s="95" t="n">
        <v>66.40000000000001</v>
      </c>
      <c r="K756" s="95" t="n">
        <v>0.955</v>
      </c>
      <c r="L756" s="85" t="n">
        <v>0</v>
      </c>
    </row>
    <row r="757">
      <c r="A757" s="84" t="inlineStr">
        <is>
          <t>Fonction publique territoriale et hospitalière</t>
        </is>
      </c>
      <c r="B757" s="7" t="inlineStr">
        <is>
          <t>sédentaire</t>
        </is>
      </c>
      <c r="C757" s="88" t="n">
        <v>2003</v>
      </c>
      <c r="D757" s="95" t="n">
        <v>64</v>
      </c>
      <c r="E757" s="95" t="n">
        <v>67</v>
      </c>
      <c r="F757" s="85" t="n">
        <v>172</v>
      </c>
      <c r="G757" s="120" t="n">
        <v>0.0125</v>
      </c>
      <c r="H757" s="120" t="n">
        <v>0.0125</v>
      </c>
      <c r="I757" s="95" t="n">
        <v>2.4</v>
      </c>
      <c r="J757" s="95" t="n">
        <v>66.40000000000001</v>
      </c>
      <c r="K757" s="95" t="n">
        <v>0.955</v>
      </c>
      <c r="L757" s="85" t="n">
        <v>0</v>
      </c>
    </row>
    <row r="758">
      <c r="A758" s="84" t="inlineStr">
        <is>
          <t>Fonction publique territoriale et hospitalière</t>
        </is>
      </c>
      <c r="B758" s="7" t="inlineStr">
        <is>
          <t>sédentaire</t>
        </is>
      </c>
      <c r="C758" s="88" t="n">
        <v>2004</v>
      </c>
      <c r="D758" s="95" t="n">
        <v>64</v>
      </c>
      <c r="E758" s="95" t="n">
        <v>67</v>
      </c>
      <c r="F758" s="85" t="n">
        <v>172</v>
      </c>
      <c r="G758" s="120" t="n">
        <v>0.0125</v>
      </c>
      <c r="H758" s="120" t="n">
        <v>0.0125</v>
      </c>
      <c r="I758" s="95" t="n">
        <v>2.4</v>
      </c>
      <c r="J758" s="95" t="n">
        <v>66.40000000000001</v>
      </c>
      <c r="K758" s="95" t="n">
        <v>0.955</v>
      </c>
      <c r="L758" s="85" t="n">
        <v>0</v>
      </c>
    </row>
    <row r="759">
      <c r="A759" s="84" t="inlineStr">
        <is>
          <t>Fonction publique territoriale et hospitalière</t>
        </is>
      </c>
      <c r="B759" s="7" t="inlineStr">
        <is>
          <t>sédentaire</t>
        </is>
      </c>
      <c r="C759" s="88" t="n">
        <v>2005</v>
      </c>
      <c r="D759" s="95" t="n">
        <v>64</v>
      </c>
      <c r="E759" s="95" t="n">
        <v>67</v>
      </c>
      <c r="F759" s="85" t="n">
        <v>172</v>
      </c>
      <c r="G759" s="120" t="n">
        <v>0.0125</v>
      </c>
      <c r="H759" s="120" t="n">
        <v>0.0125</v>
      </c>
      <c r="I759" s="95" t="n">
        <v>2.4</v>
      </c>
      <c r="J759" s="95" t="n">
        <v>66.40000000000001</v>
      </c>
      <c r="K759" s="95" t="n">
        <v>0.955</v>
      </c>
      <c r="L759" s="85" t="n">
        <v>0</v>
      </c>
    </row>
    <row r="760">
      <c r="A760" s="84" t="inlineStr">
        <is>
          <t>Fonction publique territoriale et hospitalière</t>
        </is>
      </c>
      <c r="B760" s="7" t="inlineStr">
        <is>
          <t>sédentaire</t>
        </is>
      </c>
      <c r="C760" s="88" t="n">
        <v>2006</v>
      </c>
      <c r="D760" s="95" t="n">
        <v>64</v>
      </c>
      <c r="E760" s="95" t="n">
        <v>67</v>
      </c>
      <c r="F760" s="85" t="n">
        <v>172</v>
      </c>
      <c r="G760" s="120" t="n">
        <v>0.0125</v>
      </c>
      <c r="H760" s="120" t="n">
        <v>0.0125</v>
      </c>
      <c r="I760" s="95" t="n">
        <v>2.4</v>
      </c>
      <c r="J760" s="95" t="n">
        <v>66.40000000000001</v>
      </c>
      <c r="K760" s="95" t="n">
        <v>0.955</v>
      </c>
      <c r="L760" s="85" t="n">
        <v>0</v>
      </c>
    </row>
    <row r="761">
      <c r="A761" s="84" t="inlineStr">
        <is>
          <t>Fonction publique territoriale et hospitalière</t>
        </is>
      </c>
      <c r="B761" s="7" t="inlineStr">
        <is>
          <t>sédentaire</t>
        </is>
      </c>
      <c r="C761" s="88" t="n">
        <v>2007</v>
      </c>
      <c r="D761" s="95" t="n">
        <v>64</v>
      </c>
      <c r="E761" s="95" t="n">
        <v>67</v>
      </c>
      <c r="F761" s="85" t="n">
        <v>172</v>
      </c>
      <c r="G761" s="120" t="n">
        <v>0.0125</v>
      </c>
      <c r="H761" s="120" t="n">
        <v>0.0125</v>
      </c>
      <c r="I761" s="95" t="n">
        <v>2.4</v>
      </c>
      <c r="J761" s="95" t="n">
        <v>66.40000000000001</v>
      </c>
      <c r="K761" s="95" t="n">
        <v>0.955</v>
      </c>
      <c r="L761" s="85" t="n">
        <v>0</v>
      </c>
    </row>
    <row r="762">
      <c r="A762" s="84" t="inlineStr">
        <is>
          <t>Fonction publique territoriale et hospitalière</t>
        </is>
      </c>
      <c r="B762" s="7" t="inlineStr">
        <is>
          <t>sédentaire</t>
        </is>
      </c>
      <c r="C762" s="88" t="n">
        <v>2008</v>
      </c>
      <c r="D762" s="95" t="n">
        <v>64</v>
      </c>
      <c r="E762" s="95" t="n">
        <v>67</v>
      </c>
      <c r="F762" s="85" t="n">
        <v>172</v>
      </c>
      <c r="G762" s="120" t="n">
        <v>0.0125</v>
      </c>
      <c r="H762" s="120" t="n">
        <v>0.0125</v>
      </c>
      <c r="I762" s="95" t="n">
        <v>2.4</v>
      </c>
      <c r="J762" s="95" t="n">
        <v>66.40000000000001</v>
      </c>
      <c r="K762" s="95" t="n">
        <v>0.955</v>
      </c>
      <c r="L762" s="85" t="n">
        <v>0</v>
      </c>
    </row>
    <row r="763">
      <c r="A763" s="84" t="inlineStr">
        <is>
          <t>Fonction publique territoriale et hospitalière</t>
        </is>
      </c>
      <c r="B763" s="7" t="inlineStr">
        <is>
          <t>sédentaire</t>
        </is>
      </c>
      <c r="C763" s="88" t="n">
        <v>2009</v>
      </c>
      <c r="D763" s="95" t="n">
        <v>64</v>
      </c>
      <c r="E763" s="95" t="n">
        <v>67</v>
      </c>
      <c r="F763" s="85" t="n">
        <v>172</v>
      </c>
      <c r="G763" s="120" t="n">
        <v>0.0125</v>
      </c>
      <c r="H763" s="120" t="n">
        <v>0.0125</v>
      </c>
      <c r="I763" s="95" t="n">
        <v>2.4</v>
      </c>
      <c r="J763" s="95" t="n">
        <v>66.40000000000001</v>
      </c>
      <c r="K763" s="95" t="n">
        <v>0.955</v>
      </c>
      <c r="L763" s="85" t="n">
        <v>0</v>
      </c>
    </row>
    <row r="764">
      <c r="A764" s="84" t="inlineStr">
        <is>
          <t>Fonction publique territoriale et hospitalière</t>
        </is>
      </c>
      <c r="B764" s="7" t="inlineStr">
        <is>
          <t>sédentaire</t>
        </is>
      </c>
      <c r="C764" s="88" t="n">
        <v>2010</v>
      </c>
      <c r="D764" s="95" t="n">
        <v>64</v>
      </c>
      <c r="E764" s="95" t="n">
        <v>67</v>
      </c>
      <c r="F764" s="85" t="n">
        <v>172</v>
      </c>
      <c r="G764" s="120" t="n">
        <v>0.0125</v>
      </c>
      <c r="H764" s="120" t="n">
        <v>0.0125</v>
      </c>
      <c r="I764" s="95" t="n">
        <v>2.4</v>
      </c>
      <c r="J764" s="95" t="n">
        <v>66.40000000000001</v>
      </c>
      <c r="K764" s="95" t="n">
        <v>0.955</v>
      </c>
      <c r="L764" s="85" t="n">
        <v>0</v>
      </c>
    </row>
    <row r="765">
      <c r="A765" s="84" t="inlineStr">
        <is>
          <t>Fonction publique territoriale et hospitalière</t>
        </is>
      </c>
      <c r="B765" s="7" t="inlineStr">
        <is>
          <t>sédentaire</t>
        </is>
      </c>
      <c r="C765" s="88" t="n">
        <v>2011</v>
      </c>
      <c r="D765" s="95" t="n">
        <v>64</v>
      </c>
      <c r="E765" s="95" t="n">
        <v>67</v>
      </c>
      <c r="F765" s="85" t="n">
        <v>172</v>
      </c>
      <c r="G765" s="120" t="n">
        <v>0.0125</v>
      </c>
      <c r="H765" s="120" t="n">
        <v>0.0125</v>
      </c>
      <c r="I765" s="95" t="n">
        <v>2.4</v>
      </c>
      <c r="J765" s="95" t="n">
        <v>66.40000000000001</v>
      </c>
      <c r="K765" s="95" t="n">
        <v>0.955</v>
      </c>
      <c r="L765" s="85" t="n">
        <v>0</v>
      </c>
    </row>
    <row r="766">
      <c r="A766" s="84" t="inlineStr">
        <is>
          <t>Fonction publique territoriale et hospitalière</t>
        </is>
      </c>
      <c r="B766" s="7" t="inlineStr">
        <is>
          <t>sédentaire</t>
        </is>
      </c>
      <c r="C766" s="88" t="n">
        <v>2012</v>
      </c>
      <c r="D766" s="95" t="n">
        <v>64</v>
      </c>
      <c r="E766" s="95" t="n">
        <v>67</v>
      </c>
      <c r="F766" s="85" t="n">
        <v>172</v>
      </c>
      <c r="G766" s="120" t="n">
        <v>0.0125</v>
      </c>
      <c r="H766" s="120" t="n">
        <v>0.0125</v>
      </c>
      <c r="I766" s="95" t="n">
        <v>2.4</v>
      </c>
      <c r="J766" s="95" t="n">
        <v>66.40000000000001</v>
      </c>
      <c r="K766" s="95" t="n">
        <v>0.955</v>
      </c>
      <c r="L766" s="85" t="n">
        <v>0</v>
      </c>
    </row>
    <row r="767">
      <c r="A767" s="84" t="inlineStr">
        <is>
          <t>Fonction publique territoriale et hospitalière</t>
        </is>
      </c>
      <c r="B767" s="7" t="inlineStr">
        <is>
          <t>sédentaire</t>
        </is>
      </c>
      <c r="C767" s="88" t="n">
        <v>2013</v>
      </c>
      <c r="D767" s="95" t="n">
        <v>64</v>
      </c>
      <c r="E767" s="95" t="n">
        <v>67</v>
      </c>
      <c r="F767" s="85" t="n">
        <v>172</v>
      </c>
      <c r="G767" s="120" t="n">
        <v>0.0125</v>
      </c>
      <c r="H767" s="120" t="n">
        <v>0.0125</v>
      </c>
      <c r="I767" s="95" t="n">
        <v>2.4</v>
      </c>
      <c r="J767" s="95" t="n">
        <v>66.40000000000001</v>
      </c>
      <c r="K767" s="95" t="n">
        <v>0.955</v>
      </c>
      <c r="L767" s="85" t="n">
        <v>0</v>
      </c>
    </row>
    <row r="768">
      <c r="A768" s="84" t="inlineStr">
        <is>
          <t>Fonction publique territoriale et hospitalière</t>
        </is>
      </c>
      <c r="B768" s="7" t="inlineStr">
        <is>
          <t>sédentaire</t>
        </is>
      </c>
      <c r="C768" s="88" t="n">
        <v>2014</v>
      </c>
      <c r="D768" s="95" t="n">
        <v>64</v>
      </c>
      <c r="E768" s="95" t="n">
        <v>67</v>
      </c>
      <c r="F768" s="85" t="n">
        <v>172</v>
      </c>
      <c r="G768" s="120" t="n">
        <v>0.0125</v>
      </c>
      <c r="H768" s="120" t="n">
        <v>0.0125</v>
      </c>
      <c r="I768" s="95" t="n">
        <v>2.4</v>
      </c>
      <c r="J768" s="95" t="n">
        <v>66.40000000000001</v>
      </c>
      <c r="K768" s="95" t="n">
        <v>0.955</v>
      </c>
      <c r="L768" s="85" t="n">
        <v>0</v>
      </c>
    </row>
    <row r="769">
      <c r="A769" s="84" t="inlineStr">
        <is>
          <t>Fonction publique territoriale et hospitalière</t>
        </is>
      </c>
      <c r="B769" s="7" t="inlineStr">
        <is>
          <t>sédentaire</t>
        </is>
      </c>
      <c r="C769" s="88" t="n">
        <v>2015</v>
      </c>
      <c r="D769" s="95" t="n">
        <v>64</v>
      </c>
      <c r="E769" s="95" t="n">
        <v>67</v>
      </c>
      <c r="F769" s="85" t="n">
        <v>172</v>
      </c>
      <c r="G769" s="120" t="n">
        <v>0.0125</v>
      </c>
      <c r="H769" s="120" t="n">
        <v>0.0125</v>
      </c>
      <c r="I769" s="95" t="n">
        <v>2.4</v>
      </c>
      <c r="J769" s="95" t="n">
        <v>66.40000000000001</v>
      </c>
      <c r="K769" s="95" t="n">
        <v>0.955</v>
      </c>
      <c r="L769" s="85" t="n">
        <v>0</v>
      </c>
    </row>
    <row r="770">
      <c r="A770" s="84" t="inlineStr">
        <is>
          <t>Fonction publique territoriale et hospitalière</t>
        </is>
      </c>
      <c r="B770" s="7" t="inlineStr">
        <is>
          <t>sédentaire</t>
        </is>
      </c>
      <c r="C770" s="88" t="n">
        <v>2016</v>
      </c>
      <c r="D770" s="95" t="n">
        <v>64</v>
      </c>
      <c r="E770" s="95" t="n">
        <v>67</v>
      </c>
      <c r="F770" s="85" t="n">
        <v>172</v>
      </c>
      <c r="G770" s="120" t="n">
        <v>0.0125</v>
      </c>
      <c r="H770" s="120" t="n">
        <v>0.0125</v>
      </c>
      <c r="I770" s="95" t="n">
        <v>2.4</v>
      </c>
      <c r="J770" s="95" t="n">
        <v>66.40000000000001</v>
      </c>
      <c r="K770" s="95" t="n">
        <v>0.955</v>
      </c>
      <c r="L770" s="85" t="n">
        <v>0</v>
      </c>
    </row>
    <row r="771">
      <c r="A771" s="84" t="inlineStr">
        <is>
          <t>Fonction publique territoriale et hospitalière</t>
        </is>
      </c>
      <c r="B771" s="7" t="inlineStr">
        <is>
          <t>sédentaire</t>
        </is>
      </c>
      <c r="C771" s="88" t="n">
        <v>2017</v>
      </c>
      <c r="D771" s="95" t="n">
        <v>64</v>
      </c>
      <c r="E771" s="95" t="n">
        <v>67</v>
      </c>
      <c r="F771" s="85" t="n">
        <v>172</v>
      </c>
      <c r="G771" s="120" t="n">
        <v>0.0125</v>
      </c>
      <c r="H771" s="120" t="n">
        <v>0.0125</v>
      </c>
      <c r="I771" s="95" t="n">
        <v>2.4</v>
      </c>
      <c r="J771" s="95" t="n">
        <v>66.40000000000001</v>
      </c>
      <c r="K771" s="95" t="n">
        <v>0.955</v>
      </c>
      <c r="L771" s="85" t="n">
        <v>0</v>
      </c>
    </row>
    <row r="772">
      <c r="A772" s="84" t="inlineStr">
        <is>
          <t>Fonction publique territoriale et hospitalière</t>
        </is>
      </c>
      <c r="B772" s="7" t="inlineStr">
        <is>
          <t>sédentaire</t>
        </is>
      </c>
      <c r="C772" s="88" t="n">
        <v>2018</v>
      </c>
      <c r="D772" s="95" t="n">
        <v>64</v>
      </c>
      <c r="E772" s="95" t="n">
        <v>67</v>
      </c>
      <c r="F772" s="85" t="n">
        <v>172</v>
      </c>
      <c r="G772" s="120" t="n">
        <v>0.0125</v>
      </c>
      <c r="H772" s="120" t="n">
        <v>0.0125</v>
      </c>
      <c r="I772" s="95" t="n">
        <v>2.4</v>
      </c>
      <c r="J772" s="95" t="n">
        <v>66.40000000000001</v>
      </c>
      <c r="K772" s="95" t="n">
        <v>0.955</v>
      </c>
      <c r="L772" s="85" t="n">
        <v>0</v>
      </c>
    </row>
    <row r="773">
      <c r="A773" s="84" t="inlineStr">
        <is>
          <t>Fonction publique territoriale et hospitalière</t>
        </is>
      </c>
      <c r="B773" s="7" t="inlineStr">
        <is>
          <t>sédentaire</t>
        </is>
      </c>
      <c r="C773" s="88" t="n">
        <v>2019</v>
      </c>
      <c r="D773" s="95" t="n">
        <v>64</v>
      </c>
      <c r="E773" s="95" t="n">
        <v>67</v>
      </c>
      <c r="F773" s="85" t="n">
        <v>172</v>
      </c>
      <c r="G773" s="120" t="n">
        <v>0.0125</v>
      </c>
      <c r="H773" s="120" t="n">
        <v>0.0125</v>
      </c>
      <c r="I773" s="95" t="n">
        <v>2.4</v>
      </c>
      <c r="J773" s="95" t="n">
        <v>66.40000000000001</v>
      </c>
      <c r="K773" s="95" t="n">
        <v>0.955</v>
      </c>
      <c r="L773" s="85" t="n">
        <v>0</v>
      </c>
    </row>
    <row r="774">
      <c r="A774" s="84" t="inlineStr">
        <is>
          <t>Fonction publique territoriale et hospitalière</t>
        </is>
      </c>
      <c r="B774" s="7" t="inlineStr">
        <is>
          <t>sédentaire</t>
        </is>
      </c>
      <c r="C774" s="88" t="n">
        <v>2020</v>
      </c>
      <c r="D774" s="95" t="n">
        <v>64</v>
      </c>
      <c r="E774" s="95" t="n">
        <v>67</v>
      </c>
      <c r="F774" s="85" t="n">
        <v>172</v>
      </c>
      <c r="G774" s="120" t="n">
        <v>0.0125</v>
      </c>
      <c r="H774" s="120" t="n">
        <v>0.0125</v>
      </c>
      <c r="I774" s="95" t="n">
        <v>2.4</v>
      </c>
      <c r="J774" s="95" t="n">
        <v>66.40000000000001</v>
      </c>
      <c r="K774" s="95" t="n">
        <v>0.955</v>
      </c>
      <c r="L774" s="85" t="n">
        <v>0</v>
      </c>
    </row>
    <row r="775">
      <c r="A775" s="84" t="inlineStr">
        <is>
          <t>Fonction publique territoriale et hospitalière</t>
        </is>
      </c>
      <c r="B775" s="7" t="inlineStr">
        <is>
          <t>sédentaire</t>
        </is>
      </c>
      <c r="C775" s="88" t="n">
        <v>2021</v>
      </c>
      <c r="D775" s="95" t="n">
        <v>64</v>
      </c>
      <c r="E775" s="95" t="n">
        <v>67</v>
      </c>
      <c r="F775" s="85" t="n">
        <v>172</v>
      </c>
      <c r="G775" s="120" t="n">
        <v>0.0125</v>
      </c>
      <c r="H775" s="120" t="n">
        <v>0.0125</v>
      </c>
      <c r="I775" s="95" t="n">
        <v>2.4</v>
      </c>
      <c r="J775" s="95" t="n">
        <v>66.40000000000001</v>
      </c>
      <c r="K775" s="95" t="n">
        <v>0.955</v>
      </c>
      <c r="L775" s="85" t="n">
        <v>0</v>
      </c>
    </row>
    <row r="776">
      <c r="A776" s="84" t="inlineStr">
        <is>
          <t>Fonction publique territoriale et hospitalière</t>
        </is>
      </c>
      <c r="B776" s="7" t="inlineStr">
        <is>
          <t>sédentaire</t>
        </is>
      </c>
      <c r="C776" s="88" t="n">
        <v>2022</v>
      </c>
      <c r="D776" s="95" t="n">
        <v>64</v>
      </c>
      <c r="E776" s="95" t="n">
        <v>67</v>
      </c>
      <c r="F776" s="85" t="n">
        <v>172</v>
      </c>
      <c r="G776" s="120" t="n">
        <v>0.0125</v>
      </c>
      <c r="H776" s="120" t="n">
        <v>0.0125</v>
      </c>
      <c r="I776" s="95" t="n">
        <v>2.4</v>
      </c>
      <c r="J776" s="95" t="n">
        <v>66.40000000000001</v>
      </c>
      <c r="K776" s="95" t="n">
        <v>0.955</v>
      </c>
      <c r="L776" s="85" t="n">
        <v>0</v>
      </c>
    </row>
    <row r="777">
      <c r="A777" s="84" t="inlineStr">
        <is>
          <t>Fonction publique territoriale et hospitalière</t>
        </is>
      </c>
      <c r="B777" s="7" t="inlineStr">
        <is>
          <t>sédentaire</t>
        </is>
      </c>
      <c r="C777" s="88" t="n">
        <v>2023</v>
      </c>
      <c r="D777" s="95" t="n">
        <v>64</v>
      </c>
      <c r="E777" s="95" t="n">
        <v>67</v>
      </c>
      <c r="F777" s="85" t="n">
        <v>172</v>
      </c>
      <c r="G777" s="120" t="n">
        <v>0.0125</v>
      </c>
      <c r="H777" s="120" t="n">
        <v>0.0125</v>
      </c>
      <c r="I777" s="95" t="n">
        <v>2.4</v>
      </c>
      <c r="J777" s="95" t="n">
        <v>66.40000000000001</v>
      </c>
      <c r="K777" s="95" t="n">
        <v>0.955</v>
      </c>
      <c r="L777" s="85" t="n">
        <v>0</v>
      </c>
    </row>
    <row r="778">
      <c r="A778" s="84" t="inlineStr">
        <is>
          <t>Fonction publique territoriale et hospitalière</t>
        </is>
      </c>
      <c r="B778" s="7" t="inlineStr">
        <is>
          <t>sédentaire</t>
        </is>
      </c>
      <c r="C778" s="88" t="n">
        <v>2024</v>
      </c>
      <c r="D778" s="95" t="n">
        <v>64</v>
      </c>
      <c r="E778" s="95" t="n">
        <v>67</v>
      </c>
      <c r="F778" s="85" t="n">
        <v>172</v>
      </c>
      <c r="G778" s="120" t="n">
        <v>0.0125</v>
      </c>
      <c r="H778" s="120" t="n">
        <v>0.0125</v>
      </c>
      <c r="I778" s="95" t="n">
        <v>2.4</v>
      </c>
      <c r="J778" s="95" t="n">
        <v>66.40000000000001</v>
      </c>
      <c r="K778" s="95" t="n">
        <v>0.955</v>
      </c>
      <c r="L778" s="85" t="n">
        <v>0</v>
      </c>
    </row>
    <row r="779">
      <c r="A779" s="84" t="inlineStr">
        <is>
          <t>Fonction publique territoriale et hospitalière</t>
        </is>
      </c>
      <c r="B779" s="7" t="inlineStr">
        <is>
          <t>sédentaire</t>
        </is>
      </c>
      <c r="C779" s="88" t="n">
        <v>2025</v>
      </c>
      <c r="D779" s="95" t="n">
        <v>64</v>
      </c>
      <c r="E779" s="95" t="n">
        <v>67</v>
      </c>
      <c r="F779" s="85" t="n">
        <v>172</v>
      </c>
      <c r="G779" s="120" t="n">
        <v>0.0125</v>
      </c>
      <c r="H779" s="120" t="n">
        <v>0.0125</v>
      </c>
      <c r="I779" s="95" t="n">
        <v>2.4</v>
      </c>
      <c r="J779" s="95" t="n">
        <v>66.40000000000001</v>
      </c>
      <c r="K779" s="95" t="n">
        <v>0.955</v>
      </c>
      <c r="L779" s="85" t="n">
        <v>0</v>
      </c>
    </row>
    <row r="780">
      <c r="A780" s="84" t="inlineStr">
        <is>
          <t>Fonction publique territoriale et hospitalière</t>
        </is>
      </c>
      <c r="B780" s="7" t="inlineStr">
        <is>
          <t>actif</t>
        </is>
      </c>
      <c r="C780" s="88" t="n">
        <v>1915</v>
      </c>
      <c r="D780" s="95" t="n">
        <v>55</v>
      </c>
      <c r="E780" s="95" t="n">
        <v>60</v>
      </c>
      <c r="F780" s="85" t="n">
        <v>150</v>
      </c>
      <c r="G780" s="120" t="n">
        <v>0</v>
      </c>
      <c r="H780" s="120" t="n">
        <v>0</v>
      </c>
      <c r="I780" s="95" t="n">
        <v>0.5</v>
      </c>
      <c r="J780" s="95" t="n">
        <v>55.5</v>
      </c>
      <c r="K780" s="95" t="n">
        <v>0.955</v>
      </c>
      <c r="L780" s="85" t="n">
        <v>0</v>
      </c>
    </row>
    <row r="781">
      <c r="A781" s="84" t="inlineStr">
        <is>
          <t>Fonction publique territoriale et hospitalière</t>
        </is>
      </c>
      <c r="B781" s="7" t="inlineStr">
        <is>
          <t>actif</t>
        </is>
      </c>
      <c r="C781" s="88" t="n">
        <v>1916</v>
      </c>
      <c r="D781" s="95" t="n">
        <v>55</v>
      </c>
      <c r="E781" s="95" t="n">
        <v>60</v>
      </c>
      <c r="F781" s="85" t="n">
        <v>150</v>
      </c>
      <c r="G781" s="120" t="n">
        <v>0</v>
      </c>
      <c r="H781" s="120" t="n">
        <v>0</v>
      </c>
      <c r="I781" s="95" t="n">
        <v>0.5</v>
      </c>
      <c r="J781" s="95" t="n">
        <v>55.5</v>
      </c>
      <c r="K781" s="95" t="n">
        <v>0.955</v>
      </c>
      <c r="L781" s="85" t="n">
        <v>0</v>
      </c>
    </row>
    <row r="782">
      <c r="A782" s="84" t="inlineStr">
        <is>
          <t>Fonction publique territoriale et hospitalière</t>
        </is>
      </c>
      <c r="B782" s="7" t="inlineStr">
        <is>
          <t>actif</t>
        </is>
      </c>
      <c r="C782" s="88" t="n">
        <v>1917</v>
      </c>
      <c r="D782" s="95" t="n">
        <v>55</v>
      </c>
      <c r="E782" s="95" t="n">
        <v>60</v>
      </c>
      <c r="F782" s="85" t="n">
        <v>150</v>
      </c>
      <c r="G782" s="120" t="n">
        <v>0</v>
      </c>
      <c r="H782" s="120" t="n">
        <v>0</v>
      </c>
      <c r="I782" s="95" t="n">
        <v>0.5</v>
      </c>
      <c r="J782" s="95" t="n">
        <v>55.5</v>
      </c>
      <c r="K782" s="95" t="n">
        <v>0.955</v>
      </c>
      <c r="L782" s="85" t="n">
        <v>0</v>
      </c>
    </row>
    <row r="783">
      <c r="A783" s="84" t="inlineStr">
        <is>
          <t>Fonction publique territoriale et hospitalière</t>
        </is>
      </c>
      <c r="B783" s="7" t="inlineStr">
        <is>
          <t>actif</t>
        </is>
      </c>
      <c r="C783" s="88" t="n">
        <v>1918</v>
      </c>
      <c r="D783" s="95" t="n">
        <v>55</v>
      </c>
      <c r="E783" s="95" t="n">
        <v>60</v>
      </c>
      <c r="F783" s="85" t="n">
        <v>150</v>
      </c>
      <c r="G783" s="120" t="n">
        <v>0</v>
      </c>
      <c r="H783" s="120" t="n">
        <v>0</v>
      </c>
      <c r="I783" s="95" t="n">
        <v>0.5</v>
      </c>
      <c r="J783" s="95" t="n">
        <v>55.5</v>
      </c>
      <c r="K783" s="95" t="n">
        <v>0.955</v>
      </c>
      <c r="L783" s="85" t="n">
        <v>0</v>
      </c>
    </row>
    <row r="784">
      <c r="A784" s="84" t="inlineStr">
        <is>
          <t>Fonction publique territoriale et hospitalière</t>
        </is>
      </c>
      <c r="B784" s="7" t="inlineStr">
        <is>
          <t>actif</t>
        </is>
      </c>
      <c r="C784" s="88" t="n">
        <v>1919</v>
      </c>
      <c r="D784" s="95" t="n">
        <v>55</v>
      </c>
      <c r="E784" s="95" t="n">
        <v>60</v>
      </c>
      <c r="F784" s="85" t="n">
        <v>150</v>
      </c>
      <c r="G784" s="120" t="n">
        <v>0</v>
      </c>
      <c r="H784" s="120" t="n">
        <v>0</v>
      </c>
      <c r="I784" s="95" t="n">
        <v>0.5</v>
      </c>
      <c r="J784" s="95" t="n">
        <v>55.5</v>
      </c>
      <c r="K784" s="95" t="n">
        <v>0.955</v>
      </c>
      <c r="L784" s="85" t="n">
        <v>0</v>
      </c>
    </row>
    <row r="785">
      <c r="A785" s="84" t="inlineStr">
        <is>
          <t>Fonction publique territoriale et hospitalière</t>
        </is>
      </c>
      <c r="B785" s="7" t="inlineStr">
        <is>
          <t>actif</t>
        </is>
      </c>
      <c r="C785" s="88" t="n">
        <v>1920</v>
      </c>
      <c r="D785" s="95" t="n">
        <v>55</v>
      </c>
      <c r="E785" s="95" t="n">
        <v>60</v>
      </c>
      <c r="F785" s="85" t="n">
        <v>150</v>
      </c>
      <c r="G785" s="120" t="n">
        <v>0</v>
      </c>
      <c r="H785" s="120" t="n">
        <v>0</v>
      </c>
      <c r="I785" s="95" t="n">
        <v>0.5</v>
      </c>
      <c r="J785" s="95" t="n">
        <v>55.5</v>
      </c>
      <c r="K785" s="95" t="n">
        <v>0.955</v>
      </c>
      <c r="L785" s="85" t="n">
        <v>0</v>
      </c>
    </row>
    <row r="786">
      <c r="A786" s="84" t="inlineStr">
        <is>
          <t>Fonction publique territoriale et hospitalière</t>
        </is>
      </c>
      <c r="B786" s="7" t="inlineStr">
        <is>
          <t>actif</t>
        </is>
      </c>
      <c r="C786" s="88" t="n">
        <v>1921</v>
      </c>
      <c r="D786" s="95" t="n">
        <v>55</v>
      </c>
      <c r="E786" s="95" t="n">
        <v>60</v>
      </c>
      <c r="F786" s="85" t="n">
        <v>150</v>
      </c>
      <c r="G786" s="120" t="n">
        <v>0</v>
      </c>
      <c r="H786" s="120" t="n">
        <v>0</v>
      </c>
      <c r="I786" s="95" t="n">
        <v>0.5</v>
      </c>
      <c r="J786" s="95" t="n">
        <v>55.5</v>
      </c>
      <c r="K786" s="95" t="n">
        <v>0.955</v>
      </c>
      <c r="L786" s="85" t="n">
        <v>0</v>
      </c>
    </row>
    <row r="787">
      <c r="A787" s="84" t="inlineStr">
        <is>
          <t>Fonction publique territoriale et hospitalière</t>
        </is>
      </c>
      <c r="B787" s="7" t="inlineStr">
        <is>
          <t>actif</t>
        </is>
      </c>
      <c r="C787" s="88" t="n">
        <v>1922</v>
      </c>
      <c r="D787" s="95" t="n">
        <v>55</v>
      </c>
      <c r="E787" s="95" t="n">
        <v>60</v>
      </c>
      <c r="F787" s="85" t="n">
        <v>150</v>
      </c>
      <c r="G787" s="120" t="n">
        <v>0</v>
      </c>
      <c r="H787" s="120" t="n">
        <v>0</v>
      </c>
      <c r="I787" s="95" t="n">
        <v>0.5</v>
      </c>
      <c r="J787" s="95" t="n">
        <v>55.5</v>
      </c>
      <c r="K787" s="95" t="n">
        <v>0.955</v>
      </c>
      <c r="L787" s="85" t="n">
        <v>0</v>
      </c>
    </row>
    <row r="788">
      <c r="A788" s="84" t="inlineStr">
        <is>
          <t>Fonction publique territoriale et hospitalière</t>
        </is>
      </c>
      <c r="B788" s="7" t="inlineStr">
        <is>
          <t>actif</t>
        </is>
      </c>
      <c r="C788" s="88" t="n">
        <v>1923</v>
      </c>
      <c r="D788" s="95" t="n">
        <v>55</v>
      </c>
      <c r="E788" s="95" t="n">
        <v>60</v>
      </c>
      <c r="F788" s="85" t="n">
        <v>150</v>
      </c>
      <c r="G788" s="120" t="n">
        <v>0</v>
      </c>
      <c r="H788" s="120" t="n">
        <v>0</v>
      </c>
      <c r="I788" s="95" t="n">
        <v>0.5</v>
      </c>
      <c r="J788" s="95" t="n">
        <v>55.5</v>
      </c>
      <c r="K788" s="95" t="n">
        <v>0.955</v>
      </c>
      <c r="L788" s="85" t="n">
        <v>0</v>
      </c>
    </row>
    <row r="789">
      <c r="A789" s="84" t="inlineStr">
        <is>
          <t>Fonction publique territoriale et hospitalière</t>
        </is>
      </c>
      <c r="B789" s="7" t="inlineStr">
        <is>
          <t>actif</t>
        </is>
      </c>
      <c r="C789" s="88" t="n">
        <v>1924</v>
      </c>
      <c r="D789" s="95" t="n">
        <v>55</v>
      </c>
      <c r="E789" s="95" t="n">
        <v>60</v>
      </c>
      <c r="F789" s="85" t="n">
        <v>150</v>
      </c>
      <c r="G789" s="120" t="n">
        <v>0</v>
      </c>
      <c r="H789" s="120" t="n">
        <v>0</v>
      </c>
      <c r="I789" s="95" t="n">
        <v>0.5</v>
      </c>
      <c r="J789" s="95" t="n">
        <v>55.5</v>
      </c>
      <c r="K789" s="95" t="n">
        <v>0.955</v>
      </c>
      <c r="L789" s="85" t="n">
        <v>0</v>
      </c>
    </row>
    <row r="790">
      <c r="A790" s="84" t="inlineStr">
        <is>
          <t>Fonction publique territoriale et hospitalière</t>
        </is>
      </c>
      <c r="B790" s="7" t="inlineStr">
        <is>
          <t>actif</t>
        </is>
      </c>
      <c r="C790" s="88" t="n">
        <v>1925</v>
      </c>
      <c r="D790" s="95" t="n">
        <v>55</v>
      </c>
      <c r="E790" s="95" t="n">
        <v>60</v>
      </c>
      <c r="F790" s="85" t="n">
        <v>150</v>
      </c>
      <c r="G790" s="120" t="n">
        <v>0</v>
      </c>
      <c r="H790" s="120" t="n">
        <v>0</v>
      </c>
      <c r="I790" s="95" t="n">
        <v>0.5</v>
      </c>
      <c r="J790" s="95" t="n">
        <v>55.5</v>
      </c>
      <c r="K790" s="95" t="n">
        <v>0.955</v>
      </c>
      <c r="L790" s="85" t="n">
        <v>0</v>
      </c>
    </row>
    <row r="791">
      <c r="A791" s="84" t="inlineStr">
        <is>
          <t>Fonction publique territoriale et hospitalière</t>
        </is>
      </c>
      <c r="B791" s="7" t="inlineStr">
        <is>
          <t>actif</t>
        </is>
      </c>
      <c r="C791" s="88" t="n">
        <v>1926</v>
      </c>
      <c r="D791" s="95" t="n">
        <v>55</v>
      </c>
      <c r="E791" s="95" t="n">
        <v>60</v>
      </c>
      <c r="F791" s="85" t="n">
        <v>150</v>
      </c>
      <c r="G791" s="120" t="n">
        <v>0</v>
      </c>
      <c r="H791" s="120" t="n">
        <v>0</v>
      </c>
      <c r="I791" s="95" t="n">
        <v>0.5</v>
      </c>
      <c r="J791" s="95" t="n">
        <v>55.5</v>
      </c>
      <c r="K791" s="95" t="n">
        <v>0.955</v>
      </c>
      <c r="L791" s="85" t="n">
        <v>0</v>
      </c>
    </row>
    <row r="792">
      <c r="A792" s="84" t="inlineStr">
        <is>
          <t>Fonction publique territoriale et hospitalière</t>
        </is>
      </c>
      <c r="B792" s="7" t="inlineStr">
        <is>
          <t>actif</t>
        </is>
      </c>
      <c r="C792" s="88" t="n">
        <v>1927</v>
      </c>
      <c r="D792" s="95" t="n">
        <v>55</v>
      </c>
      <c r="E792" s="95" t="n">
        <v>60</v>
      </c>
      <c r="F792" s="85" t="n">
        <v>150</v>
      </c>
      <c r="G792" s="120" t="n">
        <v>0</v>
      </c>
      <c r="H792" s="120" t="n">
        <v>0</v>
      </c>
      <c r="I792" s="95" t="n">
        <v>0.5</v>
      </c>
      <c r="J792" s="95" t="n">
        <v>55.5</v>
      </c>
      <c r="K792" s="95" t="n">
        <v>0.955</v>
      </c>
      <c r="L792" s="85" t="n">
        <v>0</v>
      </c>
    </row>
    <row r="793">
      <c r="A793" s="84" t="inlineStr">
        <is>
          <t>Fonction publique territoriale et hospitalière</t>
        </is>
      </c>
      <c r="B793" s="7" t="inlineStr">
        <is>
          <t>actif</t>
        </is>
      </c>
      <c r="C793" s="88" t="n">
        <v>1928</v>
      </c>
      <c r="D793" s="95" t="n">
        <v>55</v>
      </c>
      <c r="E793" s="95" t="n">
        <v>60</v>
      </c>
      <c r="F793" s="85" t="n">
        <v>150</v>
      </c>
      <c r="G793" s="120" t="n">
        <v>0</v>
      </c>
      <c r="H793" s="120" t="n">
        <v>0</v>
      </c>
      <c r="I793" s="95" t="n">
        <v>0.5</v>
      </c>
      <c r="J793" s="95" t="n">
        <v>55.5</v>
      </c>
      <c r="K793" s="95" t="n">
        <v>0.955</v>
      </c>
      <c r="L793" s="85" t="n">
        <v>0</v>
      </c>
    </row>
    <row r="794">
      <c r="A794" s="84" t="inlineStr">
        <is>
          <t>Fonction publique territoriale et hospitalière</t>
        </is>
      </c>
      <c r="B794" s="7" t="inlineStr">
        <is>
          <t>actif</t>
        </is>
      </c>
      <c r="C794" s="88" t="n">
        <v>1929</v>
      </c>
      <c r="D794" s="95" t="n">
        <v>55</v>
      </c>
      <c r="E794" s="95" t="n">
        <v>60</v>
      </c>
      <c r="F794" s="85" t="n">
        <v>150</v>
      </c>
      <c r="G794" s="120" t="n">
        <v>0</v>
      </c>
      <c r="H794" s="120" t="n">
        <v>0</v>
      </c>
      <c r="I794" s="95" t="n">
        <v>0.5</v>
      </c>
      <c r="J794" s="95" t="n">
        <v>55.5</v>
      </c>
      <c r="K794" s="95" t="n">
        <v>0.955</v>
      </c>
      <c r="L794" s="85" t="n">
        <v>0</v>
      </c>
    </row>
    <row r="795">
      <c r="A795" s="84" t="inlineStr">
        <is>
          <t>Fonction publique territoriale et hospitalière</t>
        </is>
      </c>
      <c r="B795" s="7" t="inlineStr">
        <is>
          <t>actif</t>
        </is>
      </c>
      <c r="C795" s="88" t="n">
        <v>1930</v>
      </c>
      <c r="D795" s="95" t="n">
        <v>55</v>
      </c>
      <c r="E795" s="95" t="n">
        <v>60</v>
      </c>
      <c r="F795" s="85" t="n">
        <v>150</v>
      </c>
      <c r="G795" s="120" t="n">
        <v>0</v>
      </c>
      <c r="H795" s="120" t="n">
        <v>0</v>
      </c>
      <c r="I795" s="95" t="n">
        <v>0.5</v>
      </c>
      <c r="J795" s="95" t="n">
        <v>55.5</v>
      </c>
      <c r="K795" s="95" t="n">
        <v>0.955</v>
      </c>
      <c r="L795" s="85" t="n">
        <v>0</v>
      </c>
    </row>
    <row r="796">
      <c r="A796" s="84" t="inlineStr">
        <is>
          <t>Fonction publique territoriale et hospitalière</t>
        </is>
      </c>
      <c r="B796" s="7" t="inlineStr">
        <is>
          <t>actif</t>
        </is>
      </c>
      <c r="C796" s="88" t="n">
        <v>1931</v>
      </c>
      <c r="D796" s="95" t="n">
        <v>55</v>
      </c>
      <c r="E796" s="95" t="n">
        <v>60</v>
      </c>
      <c r="F796" s="85" t="n">
        <v>150</v>
      </c>
      <c r="G796" s="120" t="n">
        <v>0</v>
      </c>
      <c r="H796" s="120" t="n">
        <v>0</v>
      </c>
      <c r="I796" s="95" t="n">
        <v>0.5</v>
      </c>
      <c r="J796" s="95" t="n">
        <v>55.5</v>
      </c>
      <c r="K796" s="95" t="n">
        <v>0.955</v>
      </c>
      <c r="L796" s="85" t="n">
        <v>0</v>
      </c>
    </row>
    <row r="797">
      <c r="A797" s="84" t="inlineStr">
        <is>
          <t>Fonction publique territoriale et hospitalière</t>
        </is>
      </c>
      <c r="B797" s="7" t="inlineStr">
        <is>
          <t>actif</t>
        </is>
      </c>
      <c r="C797" s="88" t="n">
        <v>1932</v>
      </c>
      <c r="D797" s="95" t="n">
        <v>55</v>
      </c>
      <c r="E797" s="95" t="n">
        <v>60</v>
      </c>
      <c r="F797" s="85" t="n">
        <v>150</v>
      </c>
      <c r="G797" s="120" t="n">
        <v>0</v>
      </c>
      <c r="H797" s="120" t="n">
        <v>0</v>
      </c>
      <c r="I797" s="95" t="n">
        <v>0.5</v>
      </c>
      <c r="J797" s="95" t="n">
        <v>55.5</v>
      </c>
      <c r="K797" s="95" t="n">
        <v>0.955</v>
      </c>
      <c r="L797" s="85" t="n">
        <v>0</v>
      </c>
    </row>
    <row r="798">
      <c r="A798" s="84" t="inlineStr">
        <is>
          <t>Fonction publique territoriale et hospitalière</t>
        </is>
      </c>
      <c r="B798" s="7" t="inlineStr">
        <is>
          <t>actif</t>
        </is>
      </c>
      <c r="C798" s="88" t="n">
        <v>1933</v>
      </c>
      <c r="D798" s="95" t="n">
        <v>55</v>
      </c>
      <c r="E798" s="95" t="n">
        <v>60</v>
      </c>
      <c r="F798" s="85" t="n">
        <v>150</v>
      </c>
      <c r="G798" s="120" t="n">
        <v>0</v>
      </c>
      <c r="H798" s="120" t="n">
        <v>0</v>
      </c>
      <c r="I798" s="95" t="n">
        <v>0.5</v>
      </c>
      <c r="J798" s="95" t="n">
        <v>55.5</v>
      </c>
      <c r="K798" s="95" t="n">
        <v>0.955</v>
      </c>
      <c r="L798" s="85" t="n">
        <v>0</v>
      </c>
    </row>
    <row r="799">
      <c r="A799" s="84" t="inlineStr">
        <is>
          <t>Fonction publique territoriale et hospitalière</t>
        </is>
      </c>
      <c r="B799" s="7" t="inlineStr">
        <is>
          <t>actif</t>
        </is>
      </c>
      <c r="C799" s="88" t="n">
        <v>1934</v>
      </c>
      <c r="D799" s="95" t="n">
        <v>55</v>
      </c>
      <c r="E799" s="95" t="n">
        <v>60</v>
      </c>
      <c r="F799" s="85" t="n">
        <v>150</v>
      </c>
      <c r="G799" s="120" t="n">
        <v>0</v>
      </c>
      <c r="H799" s="120" t="n">
        <v>0</v>
      </c>
      <c r="I799" s="95" t="n">
        <v>0.5</v>
      </c>
      <c r="J799" s="95" t="n">
        <v>55.5</v>
      </c>
      <c r="K799" s="95" t="n">
        <v>0.955</v>
      </c>
      <c r="L799" s="85" t="n">
        <v>0</v>
      </c>
    </row>
    <row r="800">
      <c r="A800" s="84" t="inlineStr">
        <is>
          <t>Fonction publique territoriale et hospitalière</t>
        </is>
      </c>
      <c r="B800" s="7" t="inlineStr">
        <is>
          <t>actif</t>
        </is>
      </c>
      <c r="C800" s="88" t="n">
        <v>1935</v>
      </c>
      <c r="D800" s="95" t="n">
        <v>55</v>
      </c>
      <c r="E800" s="95" t="n">
        <v>60</v>
      </c>
      <c r="F800" s="85" t="n">
        <v>150</v>
      </c>
      <c r="G800" s="120" t="n">
        <v>0</v>
      </c>
      <c r="H800" s="120" t="n">
        <v>0</v>
      </c>
      <c r="I800" s="95" t="n">
        <v>0.5</v>
      </c>
      <c r="J800" s="95" t="n">
        <v>55.5</v>
      </c>
      <c r="K800" s="95" t="n">
        <v>0.955</v>
      </c>
      <c r="L800" s="85" t="n">
        <v>0</v>
      </c>
    </row>
    <row r="801">
      <c r="A801" s="84" t="inlineStr">
        <is>
          <t>Fonction publique territoriale et hospitalière</t>
        </is>
      </c>
      <c r="B801" s="7" t="inlineStr">
        <is>
          <t>actif</t>
        </is>
      </c>
      <c r="C801" s="88" t="n">
        <v>1936</v>
      </c>
      <c r="D801" s="95" t="n">
        <v>55</v>
      </c>
      <c r="E801" s="95" t="n">
        <v>60</v>
      </c>
      <c r="F801" s="85" t="n">
        <v>150</v>
      </c>
      <c r="G801" s="120" t="n">
        <v>0</v>
      </c>
      <c r="H801" s="120" t="n">
        <v>0</v>
      </c>
      <c r="I801" s="95" t="n">
        <v>0.5</v>
      </c>
      <c r="J801" s="95" t="n">
        <v>55.5</v>
      </c>
      <c r="K801" s="95" t="n">
        <v>0.955</v>
      </c>
      <c r="L801" s="85" t="n">
        <v>0</v>
      </c>
    </row>
    <row r="802">
      <c r="A802" s="84" t="inlineStr">
        <is>
          <t>Fonction publique territoriale et hospitalière</t>
        </is>
      </c>
      <c r="B802" s="7" t="inlineStr">
        <is>
          <t>actif</t>
        </is>
      </c>
      <c r="C802" s="88" t="n">
        <v>1937</v>
      </c>
      <c r="D802" s="95" t="n">
        <v>55</v>
      </c>
      <c r="E802" s="95" t="n">
        <v>60</v>
      </c>
      <c r="F802" s="85" t="n">
        <v>150</v>
      </c>
      <c r="G802" s="120" t="n">
        <v>0</v>
      </c>
      <c r="H802" s="120" t="n">
        <v>0</v>
      </c>
      <c r="I802" s="95" t="n">
        <v>0.5</v>
      </c>
      <c r="J802" s="95" t="n">
        <v>55.5</v>
      </c>
      <c r="K802" s="95" t="n">
        <v>0.955</v>
      </c>
      <c r="L802" s="85" t="n">
        <v>0</v>
      </c>
    </row>
    <row r="803">
      <c r="A803" s="84" t="inlineStr">
        <is>
          <t>Fonction publique territoriale et hospitalière</t>
        </is>
      </c>
      <c r="B803" s="7" t="inlineStr">
        <is>
          <t>actif</t>
        </is>
      </c>
      <c r="C803" s="88" t="n">
        <v>1938</v>
      </c>
      <c r="D803" s="95" t="n">
        <v>55</v>
      </c>
      <c r="E803" s="95" t="n">
        <v>60</v>
      </c>
      <c r="F803" s="85" t="n">
        <v>150</v>
      </c>
      <c r="G803" s="120" t="n">
        <v>0</v>
      </c>
      <c r="H803" s="120" t="n">
        <v>0</v>
      </c>
      <c r="I803" s="95" t="n">
        <v>0.5</v>
      </c>
      <c r="J803" s="95" t="n">
        <v>55.5</v>
      </c>
      <c r="K803" s="95" t="n">
        <v>0.955</v>
      </c>
      <c r="L803" s="85" t="n">
        <v>0</v>
      </c>
    </row>
    <row r="804">
      <c r="A804" s="84" t="inlineStr">
        <is>
          <t>Fonction publique territoriale et hospitalière</t>
        </is>
      </c>
      <c r="B804" s="7" t="inlineStr">
        <is>
          <t>actif</t>
        </is>
      </c>
      <c r="C804" s="88" t="n">
        <v>1939</v>
      </c>
      <c r="D804" s="95" t="n">
        <v>55</v>
      </c>
      <c r="E804" s="95" t="n">
        <v>60</v>
      </c>
      <c r="F804" s="85" t="n">
        <v>150</v>
      </c>
      <c r="G804" s="120" t="n">
        <v>0</v>
      </c>
      <c r="H804" s="120" t="n">
        <v>0</v>
      </c>
      <c r="I804" s="95" t="n">
        <v>0.5</v>
      </c>
      <c r="J804" s="95" t="n">
        <v>55.5</v>
      </c>
      <c r="K804" s="95" t="n">
        <v>0.955</v>
      </c>
      <c r="L804" s="85" t="n">
        <v>0</v>
      </c>
    </row>
    <row r="805">
      <c r="A805" s="84" t="inlineStr">
        <is>
          <t>Fonction publique territoriale et hospitalière</t>
        </is>
      </c>
      <c r="B805" s="7" t="inlineStr">
        <is>
          <t>actif</t>
        </is>
      </c>
      <c r="C805" s="88" t="n">
        <v>1940</v>
      </c>
      <c r="D805" s="95" t="n">
        <v>55</v>
      </c>
      <c r="E805" s="95" t="n">
        <v>60</v>
      </c>
      <c r="F805" s="85" t="n">
        <v>150</v>
      </c>
      <c r="G805" s="120" t="n">
        <v>0</v>
      </c>
      <c r="H805" s="120" t="n">
        <v>0</v>
      </c>
      <c r="I805" s="95" t="n">
        <v>0.5</v>
      </c>
      <c r="J805" s="95" t="n">
        <v>55.5</v>
      </c>
      <c r="K805" s="95" t="n">
        <v>0.955</v>
      </c>
      <c r="L805" s="85" t="n">
        <v>0</v>
      </c>
    </row>
    <row r="806">
      <c r="A806" s="84" t="inlineStr">
        <is>
          <t>Fonction publique territoriale et hospitalière</t>
        </is>
      </c>
      <c r="B806" s="7" t="inlineStr">
        <is>
          <t>actif</t>
        </is>
      </c>
      <c r="C806" s="88" t="n">
        <v>1941</v>
      </c>
      <c r="D806" s="95" t="n">
        <v>55</v>
      </c>
      <c r="E806" s="95" t="n">
        <v>60</v>
      </c>
      <c r="F806" s="85" t="n">
        <v>150</v>
      </c>
      <c r="G806" s="120" t="n">
        <v>0</v>
      </c>
      <c r="H806" s="120" t="n">
        <v>0</v>
      </c>
      <c r="I806" s="95" t="n">
        <v>0.5</v>
      </c>
      <c r="J806" s="95" t="n">
        <v>55.5</v>
      </c>
      <c r="K806" s="95" t="n">
        <v>0.955</v>
      </c>
      <c r="L806" s="85" t="n">
        <v>0</v>
      </c>
    </row>
    <row r="807">
      <c r="A807" s="84" t="inlineStr">
        <is>
          <t>Fonction publique territoriale et hospitalière</t>
        </is>
      </c>
      <c r="B807" s="7" t="inlineStr">
        <is>
          <t>actif</t>
        </is>
      </c>
      <c r="C807" s="88" t="n">
        <v>1942</v>
      </c>
      <c r="D807" s="95" t="n">
        <v>55</v>
      </c>
      <c r="E807" s="95" t="n">
        <v>60</v>
      </c>
      <c r="F807" s="85" t="n">
        <v>150</v>
      </c>
      <c r="G807" s="120" t="n">
        <v>0</v>
      </c>
      <c r="H807" s="120" t="n">
        <v>0</v>
      </c>
      <c r="I807" s="95" t="n">
        <v>0.5</v>
      </c>
      <c r="J807" s="95" t="n">
        <v>55.5</v>
      </c>
      <c r="K807" s="95" t="n">
        <v>0.955</v>
      </c>
      <c r="L807" s="85" t="n">
        <v>0</v>
      </c>
    </row>
    <row r="808">
      <c r="A808" s="84" t="inlineStr">
        <is>
          <t>Fonction publique territoriale et hospitalière</t>
        </is>
      </c>
      <c r="B808" s="7" t="inlineStr">
        <is>
          <t>actif</t>
        </is>
      </c>
      <c r="C808" s="88" t="n">
        <v>1943</v>
      </c>
      <c r="D808" s="95" t="n">
        <v>55</v>
      </c>
      <c r="E808" s="95" t="n">
        <v>60</v>
      </c>
      <c r="F808" s="85" t="n">
        <v>150</v>
      </c>
      <c r="G808" s="120" t="n">
        <v>0</v>
      </c>
      <c r="H808" s="120" t="n">
        <v>0</v>
      </c>
      <c r="I808" s="95" t="n">
        <v>0.5</v>
      </c>
      <c r="J808" s="95" t="n">
        <v>55.5</v>
      </c>
      <c r="K808" s="95" t="n">
        <v>0.955</v>
      </c>
      <c r="L808" s="85" t="n">
        <v>0</v>
      </c>
    </row>
    <row r="809">
      <c r="A809" s="84" t="inlineStr">
        <is>
          <t>Fonction publique territoriale et hospitalière</t>
        </is>
      </c>
      <c r="B809" s="7" t="inlineStr">
        <is>
          <t>actif</t>
        </is>
      </c>
      <c r="C809" s="88" t="n">
        <v>1944</v>
      </c>
      <c r="D809" s="95" t="n">
        <v>55</v>
      </c>
      <c r="E809" s="95" t="n">
        <v>60</v>
      </c>
      <c r="F809" s="85" t="n">
        <v>150</v>
      </c>
      <c r="G809" s="120" t="n">
        <v>0</v>
      </c>
      <c r="H809" s="120" t="n">
        <v>0</v>
      </c>
      <c r="I809" s="95" t="n">
        <v>0.5</v>
      </c>
      <c r="J809" s="95" t="n">
        <v>55.5</v>
      </c>
      <c r="K809" s="95" t="n">
        <v>0.955</v>
      </c>
      <c r="L809" s="85" t="n">
        <v>0</v>
      </c>
    </row>
    <row r="810">
      <c r="A810" s="84" t="inlineStr">
        <is>
          <t>Fonction publique territoriale et hospitalière</t>
        </is>
      </c>
      <c r="B810" s="7" t="inlineStr">
        <is>
          <t>actif</t>
        </is>
      </c>
      <c r="C810" s="88" t="n">
        <v>1945</v>
      </c>
      <c r="D810" s="95" t="n">
        <v>55</v>
      </c>
      <c r="E810" s="95" t="n">
        <v>60</v>
      </c>
      <c r="F810" s="85" t="n">
        <v>150</v>
      </c>
      <c r="G810" s="120" t="n">
        <v>0</v>
      </c>
      <c r="H810" s="120" t="n">
        <v>0</v>
      </c>
      <c r="I810" s="95" t="n">
        <v>0.5</v>
      </c>
      <c r="J810" s="95" t="n">
        <v>55.5</v>
      </c>
      <c r="K810" s="95" t="n">
        <v>0.955</v>
      </c>
      <c r="L810" s="85" t="n">
        <v>0</v>
      </c>
    </row>
    <row r="811">
      <c r="A811" s="84" t="inlineStr">
        <is>
          <t>Fonction publique territoriale et hospitalière</t>
        </is>
      </c>
      <c r="B811" s="7" t="inlineStr">
        <is>
          <t>actif</t>
        </is>
      </c>
      <c r="C811" s="88" t="n">
        <v>1946</v>
      </c>
      <c r="D811" s="95" t="n">
        <v>55</v>
      </c>
      <c r="E811" s="95" t="n">
        <v>60</v>
      </c>
      <c r="F811" s="85" t="n">
        <v>150</v>
      </c>
      <c r="G811" s="120" t="n">
        <v>0</v>
      </c>
      <c r="H811" s="120" t="n">
        <v>0</v>
      </c>
      <c r="I811" s="95" t="n">
        <v>0.7</v>
      </c>
      <c r="J811" s="95" t="n">
        <v>55.7</v>
      </c>
      <c r="K811" s="95" t="n">
        <v>0.955</v>
      </c>
      <c r="L811" s="85" t="n">
        <v>0</v>
      </c>
    </row>
    <row r="812">
      <c r="A812" s="84" t="inlineStr">
        <is>
          <t>Fonction publique territoriale et hospitalière</t>
        </is>
      </c>
      <c r="B812" s="7" t="inlineStr">
        <is>
          <t>actif</t>
        </is>
      </c>
      <c r="C812" s="88" t="n">
        <v>1947</v>
      </c>
      <c r="D812" s="95" t="n">
        <v>55</v>
      </c>
      <c r="E812" s="95" t="n">
        <v>60</v>
      </c>
      <c r="F812" s="85" t="n">
        <v>150</v>
      </c>
      <c r="G812" s="120" t="n">
        <v>0</v>
      </c>
      <c r="H812" s="120" t="n">
        <v>0</v>
      </c>
      <c r="I812" s="95" t="n">
        <v>0.9</v>
      </c>
      <c r="J812" s="95" t="n">
        <v>55.9</v>
      </c>
      <c r="K812" s="95" t="n">
        <v>0.955</v>
      </c>
      <c r="L812" s="85" t="n">
        <v>0</v>
      </c>
    </row>
    <row r="813">
      <c r="A813" s="84" t="inlineStr">
        <is>
          <t>Fonction publique territoriale et hospitalière</t>
        </is>
      </c>
      <c r="B813" s="7" t="inlineStr">
        <is>
          <t>actif</t>
        </is>
      </c>
      <c r="C813" s="88" t="n">
        <v>1948</v>
      </c>
      <c r="D813" s="95" t="n">
        <v>55</v>
      </c>
      <c r="E813" s="95" t="n">
        <v>60</v>
      </c>
      <c r="F813" s="85" t="n">
        <v>150</v>
      </c>
      <c r="G813" s="120" t="n">
        <v>0</v>
      </c>
      <c r="H813" s="120" t="n">
        <v>0</v>
      </c>
      <c r="I813" s="95" t="n">
        <v>1.1</v>
      </c>
      <c r="J813" s="95" t="n">
        <v>56.1</v>
      </c>
      <c r="K813" s="95" t="n">
        <v>0.955</v>
      </c>
      <c r="L813" s="85" t="n">
        <v>0</v>
      </c>
    </row>
    <row r="814">
      <c r="A814" s="84" t="inlineStr">
        <is>
          <t>Fonction publique territoriale et hospitalière</t>
        </is>
      </c>
      <c r="B814" s="7" t="inlineStr">
        <is>
          <t>actif</t>
        </is>
      </c>
      <c r="C814" s="88" t="n">
        <v>1949</v>
      </c>
      <c r="D814" s="95" t="n">
        <v>55</v>
      </c>
      <c r="E814" s="95" t="n">
        <v>60</v>
      </c>
      <c r="F814" s="85" t="n">
        <v>152</v>
      </c>
      <c r="G814" s="120" t="n">
        <v>0</v>
      </c>
      <c r="H814" s="120" t="n">
        <v>0.0075</v>
      </c>
      <c r="I814" s="95" t="n">
        <v>1.3</v>
      </c>
      <c r="J814" s="95" t="n">
        <v>56.3</v>
      </c>
      <c r="K814" s="95" t="n">
        <v>0.955</v>
      </c>
      <c r="L814" s="85" t="n">
        <v>0</v>
      </c>
    </row>
    <row r="815">
      <c r="A815" s="84" t="inlineStr">
        <is>
          <t>Fonction publique territoriale et hospitalière</t>
        </is>
      </c>
      <c r="B815" s="7" t="inlineStr">
        <is>
          <t>actif</t>
        </is>
      </c>
      <c r="C815" s="88" t="n">
        <v>1950</v>
      </c>
      <c r="D815" s="95" t="n">
        <v>55</v>
      </c>
      <c r="E815" s="95" t="n">
        <v>60</v>
      </c>
      <c r="F815" s="85" t="n">
        <v>154</v>
      </c>
      <c r="G815" s="120" t="n">
        <v>0</v>
      </c>
      <c r="H815" s="120" t="n">
        <v>0.0075</v>
      </c>
      <c r="I815" s="95" t="n">
        <v>1.5</v>
      </c>
      <c r="J815" s="95" t="n">
        <v>56.5</v>
      </c>
      <c r="K815" s="95" t="n">
        <v>0.955</v>
      </c>
      <c r="L815" s="85" t="n">
        <v>0</v>
      </c>
    </row>
    <row r="816">
      <c r="A816" s="84" t="inlineStr">
        <is>
          <t>Fonction publique territoriale et hospitalière</t>
        </is>
      </c>
      <c r="B816" s="7" t="inlineStr">
        <is>
          <t>actif</t>
        </is>
      </c>
      <c r="C816" s="88" t="n">
        <v>1951</v>
      </c>
      <c r="D816" s="95" t="n">
        <v>55</v>
      </c>
      <c r="E816" s="95" t="n">
        <v>56</v>
      </c>
      <c r="F816" s="85" t="n">
        <v>156</v>
      </c>
      <c r="G816" s="120" t="n">
        <v>0.00125</v>
      </c>
      <c r="H816" s="120" t="n">
        <v>0.0075</v>
      </c>
      <c r="I816" s="95" t="n">
        <v>1.7</v>
      </c>
      <c r="J816" s="95" t="n">
        <v>56.7</v>
      </c>
      <c r="K816" s="95" t="n">
        <v>0.955</v>
      </c>
      <c r="L816" s="85" t="n">
        <v>0</v>
      </c>
    </row>
    <row r="817">
      <c r="A817" s="84" t="inlineStr">
        <is>
          <t>Fonction publique territoriale et hospitalière</t>
        </is>
      </c>
      <c r="B817" s="7" t="inlineStr">
        <is>
          <t>actif</t>
        </is>
      </c>
      <c r="C817" s="88" t="n">
        <v>1952</v>
      </c>
      <c r="D817" s="95" t="n">
        <v>55</v>
      </c>
      <c r="E817" s="95" t="n">
        <v>56.5</v>
      </c>
      <c r="F817" s="85" t="n">
        <v>158</v>
      </c>
      <c r="G817" s="120" t="n">
        <v>0.0025</v>
      </c>
      <c r="H817" s="120" t="n">
        <v>0.0075</v>
      </c>
      <c r="I817" s="95" t="n">
        <v>1.9</v>
      </c>
      <c r="J817" s="95" t="n">
        <v>56.9</v>
      </c>
      <c r="K817" s="95" t="n">
        <v>0.955</v>
      </c>
      <c r="L817" s="85" t="n">
        <v>0</v>
      </c>
    </row>
    <row r="818">
      <c r="A818" s="84" t="inlineStr">
        <is>
          <t>Fonction publique territoriale et hospitalière</t>
        </is>
      </c>
      <c r="B818" s="7" t="inlineStr">
        <is>
          <t>actif</t>
        </is>
      </c>
      <c r="C818" s="88" t="n">
        <v>1953</v>
      </c>
      <c r="D818" s="95" t="n">
        <v>55</v>
      </c>
      <c r="E818" s="95" t="n">
        <v>57</v>
      </c>
      <c r="F818" s="85" t="n">
        <v>160</v>
      </c>
      <c r="G818" s="120" t="n">
        <v>0.00375</v>
      </c>
      <c r="H818" s="120" t="n">
        <v>0.0075</v>
      </c>
      <c r="I818" s="95" t="n">
        <v>2.1</v>
      </c>
      <c r="J818" s="95" t="n">
        <v>57.1</v>
      </c>
      <c r="K818" s="95" t="n">
        <v>0.955</v>
      </c>
      <c r="L818" s="85" t="n">
        <v>0</v>
      </c>
    </row>
    <row r="819">
      <c r="A819" s="84" t="inlineStr">
        <is>
          <t>Fonction publique territoriale et hospitalière</t>
        </is>
      </c>
      <c r="B819" s="7" t="inlineStr">
        <is>
          <t>actif</t>
        </is>
      </c>
      <c r="C819" s="88" t="n">
        <v>1954</v>
      </c>
      <c r="D819" s="95" t="n">
        <v>55</v>
      </c>
      <c r="E819" s="95" t="n">
        <v>57.25</v>
      </c>
      <c r="F819" s="85" t="n">
        <v>161</v>
      </c>
      <c r="G819" s="120" t="n">
        <v>0.005</v>
      </c>
      <c r="H819" s="120" t="n">
        <v>0.0125</v>
      </c>
      <c r="I819" s="95" t="n">
        <v>2.3</v>
      </c>
      <c r="J819" s="95" t="n">
        <v>57.3</v>
      </c>
      <c r="K819" s="95" t="n">
        <v>0.955</v>
      </c>
      <c r="L819" s="85" t="n">
        <v>0</v>
      </c>
    </row>
    <row r="820">
      <c r="A820" s="84" t="inlineStr">
        <is>
          <t>Fonction publique territoriale et hospitalière</t>
        </is>
      </c>
      <c r="B820" s="7" t="inlineStr">
        <is>
          <t>actif</t>
        </is>
      </c>
      <c r="C820" s="88" t="n">
        <v>1955</v>
      </c>
      <c r="D820" s="95" t="n">
        <v>55</v>
      </c>
      <c r="E820" s="95" t="n">
        <v>57.5</v>
      </c>
      <c r="F820" s="85" t="n">
        <v>162</v>
      </c>
      <c r="G820" s="120" t="n">
        <v>0.00625</v>
      </c>
      <c r="H820" s="120" t="n">
        <v>0.0125</v>
      </c>
      <c r="I820" s="95" t="n">
        <v>2.5</v>
      </c>
      <c r="J820" s="95" t="n">
        <v>57.5</v>
      </c>
      <c r="K820" s="95" t="n">
        <v>0.955</v>
      </c>
      <c r="L820" s="85" t="n">
        <v>0</v>
      </c>
    </row>
    <row r="821">
      <c r="A821" s="84" t="inlineStr">
        <is>
          <t>Fonction publique territoriale et hospitalière</t>
        </is>
      </c>
      <c r="B821" s="7" t="inlineStr">
        <is>
          <t>actif</t>
        </is>
      </c>
      <c r="C821" s="88" t="n">
        <v>1956</v>
      </c>
      <c r="D821" s="95" t="n">
        <v>55.1667</v>
      </c>
      <c r="E821" s="95" t="n">
        <v>58</v>
      </c>
      <c r="F821" s="85" t="n">
        <v>163</v>
      </c>
      <c r="G821" s="120" t="n">
        <v>0.0075</v>
      </c>
      <c r="H821" s="120" t="n">
        <v>0.0125</v>
      </c>
      <c r="I821" s="95" t="n">
        <v>2.7</v>
      </c>
      <c r="J821" s="95" t="n">
        <v>57.87</v>
      </c>
      <c r="K821" s="95" t="n">
        <v>0.955</v>
      </c>
      <c r="L821" s="85" t="n">
        <v>0</v>
      </c>
    </row>
    <row r="822">
      <c r="A822" s="84" t="inlineStr">
        <is>
          <t>Fonction publique territoriale et hospitalière</t>
        </is>
      </c>
      <c r="B822" s="7" t="inlineStr">
        <is>
          <t>actif</t>
        </is>
      </c>
      <c r="C822" s="88" t="n">
        <v>1957</v>
      </c>
      <c r="D822" s="95" t="n">
        <v>55.75</v>
      </c>
      <c r="E822" s="95" t="n">
        <v>58.9167</v>
      </c>
      <c r="F822" s="85" t="n">
        <v>165</v>
      </c>
      <c r="G822" s="120" t="n">
        <v>0.01</v>
      </c>
      <c r="H822" s="120" t="n">
        <v>0.0125</v>
      </c>
      <c r="I822" s="95" t="n">
        <v>2.9</v>
      </c>
      <c r="J822" s="95" t="n">
        <v>58.65</v>
      </c>
      <c r="K822" s="95" t="n">
        <v>0.955</v>
      </c>
      <c r="L822" s="85" t="n">
        <v>0</v>
      </c>
    </row>
    <row r="823">
      <c r="A823" s="84" t="inlineStr">
        <is>
          <t>Fonction publique territoriale et hospitalière</t>
        </is>
      </c>
      <c r="B823" s="7" t="inlineStr">
        <is>
          <t>actif</t>
        </is>
      </c>
      <c r="C823" s="88" t="n">
        <v>1958</v>
      </c>
      <c r="D823" s="95" t="n">
        <v>56.1667</v>
      </c>
      <c r="E823" s="95" t="n">
        <v>59.6667</v>
      </c>
      <c r="F823" s="85" t="n">
        <v>165</v>
      </c>
      <c r="G823" s="120" t="n">
        <v>0.01125</v>
      </c>
      <c r="H823" s="120" t="n">
        <v>0.0125</v>
      </c>
      <c r="I823" s="95" t="n">
        <v>3.1</v>
      </c>
      <c r="J823" s="95" t="n">
        <v>59.27</v>
      </c>
      <c r="K823" s="95" t="n">
        <v>0.955</v>
      </c>
      <c r="L823" s="85" t="n">
        <v>0</v>
      </c>
    </row>
    <row r="824">
      <c r="A824" s="84" t="inlineStr">
        <is>
          <t>Fonction publique territoriale et hospitalière</t>
        </is>
      </c>
      <c r="B824" s="7" t="inlineStr">
        <is>
          <t>actif</t>
        </is>
      </c>
      <c r="C824" s="88" t="n">
        <v>1959</v>
      </c>
      <c r="D824" s="95" t="n">
        <v>56.5833</v>
      </c>
      <c r="E824" s="95" t="n">
        <v>60.5</v>
      </c>
      <c r="F824" s="85" t="n">
        <v>166</v>
      </c>
      <c r="G824" s="120" t="n">
        <v>0.0125</v>
      </c>
      <c r="H824" s="120" t="n">
        <v>0.0125</v>
      </c>
      <c r="I824" s="95" t="n">
        <v>3.3</v>
      </c>
      <c r="J824" s="95" t="n">
        <v>59.88</v>
      </c>
      <c r="K824" s="95" t="n">
        <v>0.955</v>
      </c>
      <c r="L824" s="85" t="n">
        <v>0</v>
      </c>
    </row>
    <row r="825">
      <c r="A825" s="84" t="inlineStr">
        <is>
          <t>Fonction publique territoriale et hospitalière</t>
        </is>
      </c>
      <c r="B825" s="7" t="inlineStr">
        <is>
          <t>actif</t>
        </is>
      </c>
      <c r="C825" s="88" t="n">
        <v>1960</v>
      </c>
      <c r="D825" s="95" t="n">
        <v>57</v>
      </c>
      <c r="E825" s="95" t="n">
        <v>61.25</v>
      </c>
      <c r="F825" s="85" t="n">
        <v>166</v>
      </c>
      <c r="G825" s="120" t="n">
        <v>0.0125</v>
      </c>
      <c r="H825" s="120" t="n">
        <v>0.0125</v>
      </c>
      <c r="I825" s="95" t="n">
        <v>3.5</v>
      </c>
      <c r="J825" s="95" t="n">
        <v>60.5</v>
      </c>
      <c r="K825" s="95" t="n">
        <v>0.955</v>
      </c>
      <c r="L825" s="85" t="n">
        <v>0</v>
      </c>
    </row>
    <row r="826">
      <c r="A826" s="84" t="inlineStr">
        <is>
          <t>Fonction publique territoriale et hospitalière</t>
        </is>
      </c>
      <c r="B826" s="7" t="inlineStr">
        <is>
          <t>actif</t>
        </is>
      </c>
      <c r="C826" s="88" t="n">
        <v>1961</v>
      </c>
      <c r="D826" s="95" t="n">
        <v>57</v>
      </c>
      <c r="E826" s="95" t="n">
        <v>61.5</v>
      </c>
      <c r="F826" s="85" t="n">
        <v>167</v>
      </c>
      <c r="G826" s="120" t="n">
        <v>0.0125</v>
      </c>
      <c r="H826" s="120" t="n">
        <v>0.0125</v>
      </c>
      <c r="I826" s="95" t="n">
        <v>3.5</v>
      </c>
      <c r="J826" s="95" t="n">
        <v>60.5</v>
      </c>
      <c r="K826" s="95" t="n">
        <v>0.955</v>
      </c>
      <c r="L826" s="85" t="n">
        <v>0</v>
      </c>
    </row>
    <row r="827">
      <c r="A827" s="84" t="inlineStr">
        <is>
          <t>Fonction publique territoriale et hospitalière</t>
        </is>
      </c>
      <c r="B827" s="7" t="inlineStr">
        <is>
          <t>actif</t>
        </is>
      </c>
      <c r="C827" s="88" t="n">
        <v>1962</v>
      </c>
      <c r="D827" s="95" t="n">
        <v>57</v>
      </c>
      <c r="E827" s="95" t="n">
        <v>61.75</v>
      </c>
      <c r="F827" s="85" t="n">
        <v>167</v>
      </c>
      <c r="G827" s="120" t="n">
        <v>0.0125</v>
      </c>
      <c r="H827" s="120" t="n">
        <v>0.0125</v>
      </c>
      <c r="I827" s="95" t="n">
        <v>3.5</v>
      </c>
      <c r="J827" s="95" t="n">
        <v>60.5</v>
      </c>
      <c r="K827" s="95" t="n">
        <v>0.955</v>
      </c>
      <c r="L827" s="85" t="n">
        <v>0</v>
      </c>
    </row>
    <row r="828">
      <c r="A828" s="84" t="inlineStr">
        <is>
          <t>Fonction publique territoriale et hospitalière</t>
        </is>
      </c>
      <c r="B828" s="7" t="inlineStr">
        <is>
          <t>actif</t>
        </is>
      </c>
      <c r="C828" s="88" t="n">
        <v>1963</v>
      </c>
      <c r="D828" s="95" t="n">
        <v>57</v>
      </c>
      <c r="E828" s="95" t="n">
        <v>62</v>
      </c>
      <c r="F828" s="85" t="n">
        <v>167</v>
      </c>
      <c r="G828" s="120" t="n">
        <v>0.0125</v>
      </c>
      <c r="H828" s="120" t="n">
        <v>0.0125</v>
      </c>
      <c r="I828" s="95" t="n">
        <v>3.5</v>
      </c>
      <c r="J828" s="95" t="n">
        <v>60.5</v>
      </c>
      <c r="K828" s="95" t="n">
        <v>0.955</v>
      </c>
      <c r="L828" s="85" t="n">
        <v>0</v>
      </c>
    </row>
    <row r="829">
      <c r="A829" s="84" t="inlineStr">
        <is>
          <t>Fonction publique territoriale et hospitalière</t>
        </is>
      </c>
      <c r="B829" s="7" t="inlineStr">
        <is>
          <t>actif</t>
        </is>
      </c>
      <c r="C829" s="88" t="n">
        <v>1964</v>
      </c>
      <c r="D829" s="95" t="n">
        <v>57</v>
      </c>
      <c r="E829" s="95" t="n">
        <v>62</v>
      </c>
      <c r="F829" s="85" t="n">
        <v>168</v>
      </c>
      <c r="G829" s="120" t="n">
        <v>0.0125</v>
      </c>
      <c r="H829" s="120" t="n">
        <v>0.0125</v>
      </c>
      <c r="I829" s="95" t="n">
        <v>3.5</v>
      </c>
      <c r="J829" s="95" t="n">
        <v>60.5</v>
      </c>
      <c r="K829" s="95" t="n">
        <v>0.955</v>
      </c>
      <c r="L829" s="85" t="n">
        <v>0</v>
      </c>
    </row>
    <row r="830">
      <c r="A830" s="84" t="inlineStr">
        <is>
          <t>Fonction publique territoriale et hospitalière</t>
        </is>
      </c>
      <c r="B830" s="7" t="inlineStr">
        <is>
          <t>actif</t>
        </is>
      </c>
      <c r="C830" s="88" t="n">
        <v>1965</v>
      </c>
      <c r="D830" s="95" t="n">
        <v>57</v>
      </c>
      <c r="E830" s="95" t="n">
        <v>62</v>
      </c>
      <c r="F830" s="85" t="n">
        <v>168</v>
      </c>
      <c r="G830" s="120" t="n">
        <v>0.0125</v>
      </c>
      <c r="H830" s="120" t="n">
        <v>0.0125</v>
      </c>
      <c r="I830" s="95" t="n">
        <v>3.5</v>
      </c>
      <c r="J830" s="95" t="n">
        <v>60.5</v>
      </c>
      <c r="K830" s="95" t="n">
        <v>0.955</v>
      </c>
      <c r="L830" s="85" t="n">
        <v>0</v>
      </c>
    </row>
    <row r="831">
      <c r="A831" s="84" t="inlineStr">
        <is>
          <t>Fonction publique territoriale et hospitalière</t>
        </is>
      </c>
      <c r="B831" s="7" t="inlineStr">
        <is>
          <t>actif</t>
        </is>
      </c>
      <c r="C831" s="88" t="n">
        <v>1966</v>
      </c>
      <c r="D831" s="95" t="n">
        <v>57.0833</v>
      </c>
      <c r="E831" s="95" t="n">
        <v>62</v>
      </c>
      <c r="F831" s="85" t="n">
        <v>168</v>
      </c>
      <c r="G831" s="120" t="n">
        <v>0.0125</v>
      </c>
      <c r="H831" s="120" t="n">
        <v>0.0125</v>
      </c>
      <c r="I831" s="95" t="n">
        <v>3.5</v>
      </c>
      <c r="J831" s="95" t="n">
        <v>60.58</v>
      </c>
      <c r="K831" s="95" t="n">
        <v>0.955</v>
      </c>
      <c r="L831" s="85" t="n">
        <v>0</v>
      </c>
    </row>
    <row r="832">
      <c r="A832" s="84" t="inlineStr">
        <is>
          <t>Fonction publique territoriale et hospitalière</t>
        </is>
      </c>
      <c r="B832" s="7" t="inlineStr">
        <is>
          <t>actif</t>
        </is>
      </c>
      <c r="C832" s="88" t="n">
        <v>1967</v>
      </c>
      <c r="D832" s="95" t="n">
        <v>57.5</v>
      </c>
      <c r="E832" s="95" t="n">
        <v>62</v>
      </c>
      <c r="F832" s="85" t="n">
        <v>169</v>
      </c>
      <c r="G832" s="120" t="n">
        <v>0.0125</v>
      </c>
      <c r="H832" s="120" t="n">
        <v>0.0125</v>
      </c>
      <c r="I832" s="95" t="n">
        <v>3.5</v>
      </c>
      <c r="J832" s="95" t="n">
        <v>61</v>
      </c>
      <c r="K832" s="95" t="n">
        <v>0.955</v>
      </c>
      <c r="L832" s="85" t="n">
        <v>0</v>
      </c>
    </row>
    <row r="833">
      <c r="A833" s="84" t="inlineStr">
        <is>
          <t>Fonction publique territoriale et hospitalière</t>
        </is>
      </c>
      <c r="B833" s="7" t="inlineStr">
        <is>
          <t>actif</t>
        </is>
      </c>
      <c r="C833" s="88" t="n">
        <v>1968</v>
      </c>
      <c r="D833" s="95" t="n">
        <v>57.75</v>
      </c>
      <c r="E833" s="95" t="n">
        <v>62</v>
      </c>
      <c r="F833" s="85" t="n">
        <v>170</v>
      </c>
      <c r="G833" s="120" t="n">
        <v>0.0125</v>
      </c>
      <c r="H833" s="120" t="n">
        <v>0.0125</v>
      </c>
      <c r="I833" s="95" t="n">
        <v>3.5</v>
      </c>
      <c r="J833" s="95" t="n">
        <v>61.25</v>
      </c>
      <c r="K833" s="95" t="n">
        <v>0.955</v>
      </c>
      <c r="L833" s="85" t="n">
        <v>0</v>
      </c>
    </row>
    <row r="834">
      <c r="A834" s="84" t="inlineStr">
        <is>
          <t>Fonction publique territoriale et hospitalière</t>
        </is>
      </c>
      <c r="B834" s="7" t="inlineStr">
        <is>
          <t>actif</t>
        </is>
      </c>
      <c r="C834" s="88" t="n">
        <v>1969</v>
      </c>
      <c r="D834" s="95" t="n">
        <v>57.75</v>
      </c>
      <c r="E834" s="95" t="n">
        <v>62</v>
      </c>
      <c r="F834" s="85" t="n">
        <v>170</v>
      </c>
      <c r="G834" s="120" t="n">
        <v>0.0125</v>
      </c>
      <c r="H834" s="120" t="n">
        <v>0.0125</v>
      </c>
      <c r="I834" s="95" t="n">
        <v>3.5</v>
      </c>
      <c r="J834" s="95" t="n">
        <v>61.25</v>
      </c>
      <c r="K834" s="95" t="n">
        <v>0.955</v>
      </c>
      <c r="L834" s="85" t="n">
        <v>0</v>
      </c>
    </row>
    <row r="835">
      <c r="A835" s="84" t="inlineStr">
        <is>
          <t>Fonction publique territoriale et hospitalière</t>
        </is>
      </c>
      <c r="B835" s="7" t="inlineStr">
        <is>
          <t>actif</t>
        </is>
      </c>
      <c r="C835" s="88" t="n">
        <v>1970</v>
      </c>
      <c r="D835" s="95" t="n">
        <v>57.9167</v>
      </c>
      <c r="E835" s="95" t="n">
        <v>62</v>
      </c>
      <c r="F835" s="85" t="n">
        <v>171</v>
      </c>
      <c r="G835" s="120" t="n">
        <v>0.0125</v>
      </c>
      <c r="H835" s="120" t="n">
        <v>0.0125</v>
      </c>
      <c r="I835" s="95" t="n">
        <v>3.5</v>
      </c>
      <c r="J835" s="95" t="n">
        <v>61.42</v>
      </c>
      <c r="K835" s="95" t="n">
        <v>0.955</v>
      </c>
      <c r="L835" s="85" t="n">
        <v>0</v>
      </c>
    </row>
    <row r="836">
      <c r="A836" s="84" t="inlineStr">
        <is>
          <t>Fonction publique territoriale et hospitalière</t>
        </is>
      </c>
      <c r="B836" s="7" t="inlineStr">
        <is>
          <t>actif</t>
        </is>
      </c>
      <c r="C836" s="88" t="n">
        <v>1971</v>
      </c>
      <c r="D836" s="95" t="n">
        <v>58.25</v>
      </c>
      <c r="E836" s="95" t="n">
        <v>62</v>
      </c>
      <c r="F836" s="85" t="n">
        <v>172</v>
      </c>
      <c r="G836" s="120" t="n">
        <v>0.0125</v>
      </c>
      <c r="H836" s="120" t="n">
        <v>0.0125</v>
      </c>
      <c r="I836" s="95" t="n">
        <v>3.5</v>
      </c>
      <c r="J836" s="95" t="n">
        <v>61.75</v>
      </c>
      <c r="K836" s="95" t="n">
        <v>0.955</v>
      </c>
      <c r="L836" s="85" t="n">
        <v>0</v>
      </c>
    </row>
    <row r="837">
      <c r="A837" s="84" t="inlineStr">
        <is>
          <t>Fonction publique territoriale et hospitalière</t>
        </is>
      </c>
      <c r="B837" s="7" t="inlineStr">
        <is>
          <t>actif</t>
        </is>
      </c>
      <c r="C837" s="88" t="n">
        <v>1972</v>
      </c>
      <c r="D837" s="95" t="n">
        <v>58.5</v>
      </c>
      <c r="E837" s="95" t="n">
        <v>62</v>
      </c>
      <c r="F837" s="85" t="n">
        <v>172</v>
      </c>
      <c r="G837" s="120" t="n">
        <v>0.0125</v>
      </c>
      <c r="H837" s="120" t="n">
        <v>0.0125</v>
      </c>
      <c r="I837" s="95" t="n">
        <v>3.5</v>
      </c>
      <c r="J837" s="95" t="n">
        <v>62</v>
      </c>
      <c r="K837" s="95" t="n">
        <v>0.955</v>
      </c>
      <c r="L837" s="85" t="n">
        <v>0</v>
      </c>
    </row>
    <row r="838">
      <c r="A838" s="84" t="inlineStr">
        <is>
          <t>Fonction publique territoriale et hospitalière</t>
        </is>
      </c>
      <c r="B838" s="7" t="inlineStr">
        <is>
          <t>actif</t>
        </is>
      </c>
      <c r="C838" s="88" t="n">
        <v>1973</v>
      </c>
      <c r="D838" s="95" t="n">
        <v>58.75</v>
      </c>
      <c r="E838" s="95" t="n">
        <v>62</v>
      </c>
      <c r="F838" s="85" t="n">
        <v>172</v>
      </c>
      <c r="G838" s="120" t="n">
        <v>0.0125</v>
      </c>
      <c r="H838" s="120" t="n">
        <v>0.0125</v>
      </c>
      <c r="I838" s="95" t="n">
        <v>3.5</v>
      </c>
      <c r="J838" s="95" t="n">
        <v>62.25</v>
      </c>
      <c r="K838" s="95" t="n">
        <v>0.955</v>
      </c>
      <c r="L838" s="85" t="n">
        <v>0</v>
      </c>
    </row>
    <row r="839">
      <c r="A839" s="84" t="inlineStr">
        <is>
          <t>Fonction publique territoriale et hospitalière</t>
        </is>
      </c>
      <c r="B839" s="7" t="inlineStr">
        <is>
          <t>actif</t>
        </is>
      </c>
      <c r="C839" s="88" t="n">
        <v>1974</v>
      </c>
      <c r="D839" s="95" t="n">
        <v>59</v>
      </c>
      <c r="E839" s="95" t="n">
        <v>62</v>
      </c>
      <c r="F839" s="85" t="n">
        <v>172</v>
      </c>
      <c r="G839" s="120" t="n">
        <v>0.0125</v>
      </c>
      <c r="H839" s="120" t="n">
        <v>0.0125</v>
      </c>
      <c r="I839" s="95" t="n">
        <v>3.5</v>
      </c>
      <c r="J839" s="95" t="n">
        <v>62.5</v>
      </c>
      <c r="K839" s="95" t="n">
        <v>0.955</v>
      </c>
      <c r="L839" s="85" t="n">
        <v>0</v>
      </c>
    </row>
    <row r="840">
      <c r="A840" s="84" t="inlineStr">
        <is>
          <t>Fonction publique territoriale et hospitalière</t>
        </is>
      </c>
      <c r="B840" s="7" t="inlineStr">
        <is>
          <t>actif</t>
        </is>
      </c>
      <c r="C840" s="88" t="n">
        <v>1975</v>
      </c>
      <c r="D840" s="95" t="n">
        <v>59</v>
      </c>
      <c r="E840" s="95" t="n">
        <v>62</v>
      </c>
      <c r="F840" s="85" t="n">
        <v>172</v>
      </c>
      <c r="G840" s="120" t="n">
        <v>0.0125</v>
      </c>
      <c r="H840" s="120" t="n">
        <v>0.0125</v>
      </c>
      <c r="I840" s="95" t="n">
        <v>3.5</v>
      </c>
      <c r="J840" s="95" t="n">
        <v>62.5</v>
      </c>
      <c r="K840" s="95" t="n">
        <v>0.955</v>
      </c>
      <c r="L840" s="85" t="n">
        <v>0</v>
      </c>
    </row>
    <row r="841">
      <c r="A841" s="84" t="inlineStr">
        <is>
          <t>Fonction publique territoriale et hospitalière</t>
        </is>
      </c>
      <c r="B841" s="7" t="inlineStr">
        <is>
          <t>actif</t>
        </is>
      </c>
      <c r="C841" s="88" t="n">
        <v>1976</v>
      </c>
      <c r="D841" s="95" t="n">
        <v>59</v>
      </c>
      <c r="E841" s="95" t="n">
        <v>62</v>
      </c>
      <c r="F841" s="85" t="n">
        <v>172</v>
      </c>
      <c r="G841" s="120" t="n">
        <v>0.0125</v>
      </c>
      <c r="H841" s="120" t="n">
        <v>0.0125</v>
      </c>
      <c r="I841" s="95" t="n">
        <v>3.5</v>
      </c>
      <c r="J841" s="95" t="n">
        <v>62.5</v>
      </c>
      <c r="K841" s="95" t="n">
        <v>0.955</v>
      </c>
      <c r="L841" s="85" t="n">
        <v>0</v>
      </c>
    </row>
    <row r="842">
      <c r="A842" s="84" t="inlineStr">
        <is>
          <t>Fonction publique territoriale et hospitalière</t>
        </is>
      </c>
      <c r="B842" s="7" t="inlineStr">
        <is>
          <t>actif</t>
        </is>
      </c>
      <c r="C842" s="88" t="n">
        <v>1977</v>
      </c>
      <c r="D842" s="95" t="n">
        <v>59</v>
      </c>
      <c r="E842" s="95" t="n">
        <v>62</v>
      </c>
      <c r="F842" s="85" t="n">
        <v>172</v>
      </c>
      <c r="G842" s="120" t="n">
        <v>0.0125</v>
      </c>
      <c r="H842" s="120" t="n">
        <v>0.0125</v>
      </c>
      <c r="I842" s="95" t="n">
        <v>3.5</v>
      </c>
      <c r="J842" s="95" t="n">
        <v>62.5</v>
      </c>
      <c r="K842" s="95" t="n">
        <v>0.955</v>
      </c>
      <c r="L842" s="85" t="n">
        <v>0</v>
      </c>
    </row>
    <row r="843">
      <c r="A843" s="84" t="inlineStr">
        <is>
          <t>Fonction publique territoriale et hospitalière</t>
        </is>
      </c>
      <c r="B843" s="7" t="inlineStr">
        <is>
          <t>actif</t>
        </is>
      </c>
      <c r="C843" s="88" t="n">
        <v>1978</v>
      </c>
      <c r="D843" s="95" t="n">
        <v>59</v>
      </c>
      <c r="E843" s="95" t="n">
        <v>62</v>
      </c>
      <c r="F843" s="85" t="n">
        <v>172</v>
      </c>
      <c r="G843" s="120" t="n">
        <v>0.0125</v>
      </c>
      <c r="H843" s="120" t="n">
        <v>0.0125</v>
      </c>
      <c r="I843" s="95" t="n">
        <v>3.5</v>
      </c>
      <c r="J843" s="95" t="n">
        <v>62.5</v>
      </c>
      <c r="K843" s="95" t="n">
        <v>0.955</v>
      </c>
      <c r="L843" s="85" t="n">
        <v>0</v>
      </c>
    </row>
    <row r="844">
      <c r="A844" s="84" t="inlineStr">
        <is>
          <t>Fonction publique territoriale et hospitalière</t>
        </is>
      </c>
      <c r="B844" s="7" t="inlineStr">
        <is>
          <t>actif</t>
        </is>
      </c>
      <c r="C844" s="88" t="n">
        <v>1979</v>
      </c>
      <c r="D844" s="95" t="n">
        <v>59</v>
      </c>
      <c r="E844" s="95" t="n">
        <v>62</v>
      </c>
      <c r="F844" s="85" t="n">
        <v>172</v>
      </c>
      <c r="G844" s="120" t="n">
        <v>0.0125</v>
      </c>
      <c r="H844" s="120" t="n">
        <v>0.0125</v>
      </c>
      <c r="I844" s="95" t="n">
        <v>3.5</v>
      </c>
      <c r="J844" s="95" t="n">
        <v>62.5</v>
      </c>
      <c r="K844" s="95" t="n">
        <v>0.955</v>
      </c>
      <c r="L844" s="85" t="n">
        <v>0</v>
      </c>
    </row>
    <row r="845">
      <c r="A845" s="84" t="inlineStr">
        <is>
          <t>Fonction publique territoriale et hospitalière</t>
        </is>
      </c>
      <c r="B845" s="7" t="inlineStr">
        <is>
          <t>actif</t>
        </is>
      </c>
      <c r="C845" s="88" t="n">
        <v>1980</v>
      </c>
      <c r="D845" s="95" t="n">
        <v>59</v>
      </c>
      <c r="E845" s="95" t="n">
        <v>62</v>
      </c>
      <c r="F845" s="85" t="n">
        <v>172</v>
      </c>
      <c r="G845" s="120" t="n">
        <v>0.0125</v>
      </c>
      <c r="H845" s="120" t="n">
        <v>0.0125</v>
      </c>
      <c r="I845" s="95" t="n">
        <v>3.5</v>
      </c>
      <c r="J845" s="95" t="n">
        <v>62.5</v>
      </c>
      <c r="K845" s="95" t="n">
        <v>0.955</v>
      </c>
      <c r="L845" s="85" t="n">
        <v>0</v>
      </c>
    </row>
    <row r="846">
      <c r="A846" s="84" t="inlineStr">
        <is>
          <t>Fonction publique territoriale et hospitalière</t>
        </is>
      </c>
      <c r="B846" s="7" t="inlineStr">
        <is>
          <t>actif</t>
        </is>
      </c>
      <c r="C846" s="88" t="n">
        <v>1981</v>
      </c>
      <c r="D846" s="95" t="n">
        <v>59</v>
      </c>
      <c r="E846" s="95" t="n">
        <v>62</v>
      </c>
      <c r="F846" s="85" t="n">
        <v>172</v>
      </c>
      <c r="G846" s="120" t="n">
        <v>0.0125</v>
      </c>
      <c r="H846" s="120" t="n">
        <v>0.0125</v>
      </c>
      <c r="I846" s="95" t="n">
        <v>3.5</v>
      </c>
      <c r="J846" s="95" t="n">
        <v>62.5</v>
      </c>
      <c r="K846" s="95" t="n">
        <v>0.955</v>
      </c>
      <c r="L846" s="85" t="n">
        <v>0</v>
      </c>
    </row>
    <row r="847">
      <c r="A847" s="84" t="inlineStr">
        <is>
          <t>Fonction publique territoriale et hospitalière</t>
        </is>
      </c>
      <c r="B847" s="7" t="inlineStr">
        <is>
          <t>actif</t>
        </is>
      </c>
      <c r="C847" s="88" t="n">
        <v>1982</v>
      </c>
      <c r="D847" s="95" t="n">
        <v>59</v>
      </c>
      <c r="E847" s="95" t="n">
        <v>62</v>
      </c>
      <c r="F847" s="85" t="n">
        <v>172</v>
      </c>
      <c r="G847" s="120" t="n">
        <v>0.0125</v>
      </c>
      <c r="H847" s="120" t="n">
        <v>0.0125</v>
      </c>
      <c r="I847" s="95" t="n">
        <v>3.5</v>
      </c>
      <c r="J847" s="95" t="n">
        <v>62.5</v>
      </c>
      <c r="K847" s="95" t="n">
        <v>0.955</v>
      </c>
      <c r="L847" s="85" t="n">
        <v>0</v>
      </c>
    </row>
    <row r="848">
      <c r="A848" s="84" t="inlineStr">
        <is>
          <t>Fonction publique territoriale et hospitalière</t>
        </is>
      </c>
      <c r="B848" s="7" t="inlineStr">
        <is>
          <t>actif</t>
        </is>
      </c>
      <c r="C848" s="88" t="n">
        <v>1983</v>
      </c>
      <c r="D848" s="95" t="n">
        <v>59</v>
      </c>
      <c r="E848" s="95" t="n">
        <v>62</v>
      </c>
      <c r="F848" s="85" t="n">
        <v>172</v>
      </c>
      <c r="G848" s="120" t="n">
        <v>0.0125</v>
      </c>
      <c r="H848" s="120" t="n">
        <v>0.0125</v>
      </c>
      <c r="I848" s="95" t="n">
        <v>3.5</v>
      </c>
      <c r="J848" s="95" t="n">
        <v>62.5</v>
      </c>
      <c r="K848" s="95" t="n">
        <v>0.955</v>
      </c>
      <c r="L848" s="85" t="n">
        <v>0</v>
      </c>
    </row>
    <row r="849">
      <c r="A849" s="84" t="inlineStr">
        <is>
          <t>Fonction publique territoriale et hospitalière</t>
        </is>
      </c>
      <c r="B849" s="7" t="inlineStr">
        <is>
          <t>actif</t>
        </is>
      </c>
      <c r="C849" s="88" t="n">
        <v>1984</v>
      </c>
      <c r="D849" s="95" t="n">
        <v>59</v>
      </c>
      <c r="E849" s="95" t="n">
        <v>62</v>
      </c>
      <c r="F849" s="85" t="n">
        <v>172</v>
      </c>
      <c r="G849" s="120" t="n">
        <v>0.0125</v>
      </c>
      <c r="H849" s="120" t="n">
        <v>0.0125</v>
      </c>
      <c r="I849" s="95" t="n">
        <v>3.5</v>
      </c>
      <c r="J849" s="95" t="n">
        <v>62.5</v>
      </c>
      <c r="K849" s="95" t="n">
        <v>0.955</v>
      </c>
      <c r="L849" s="85" t="n">
        <v>0</v>
      </c>
    </row>
    <row r="850">
      <c r="A850" s="84" t="inlineStr">
        <is>
          <t>Fonction publique territoriale et hospitalière</t>
        </is>
      </c>
      <c r="B850" s="7" t="inlineStr">
        <is>
          <t>actif</t>
        </is>
      </c>
      <c r="C850" s="88" t="n">
        <v>1985</v>
      </c>
      <c r="D850" s="95" t="n">
        <v>59</v>
      </c>
      <c r="E850" s="95" t="n">
        <v>62</v>
      </c>
      <c r="F850" s="85" t="n">
        <v>172</v>
      </c>
      <c r="G850" s="120" t="n">
        <v>0.0125</v>
      </c>
      <c r="H850" s="120" t="n">
        <v>0.0125</v>
      </c>
      <c r="I850" s="95" t="n">
        <v>3.5</v>
      </c>
      <c r="J850" s="95" t="n">
        <v>62.5</v>
      </c>
      <c r="K850" s="95" t="n">
        <v>0.955</v>
      </c>
      <c r="L850" s="85" t="n">
        <v>0</v>
      </c>
    </row>
    <row r="851">
      <c r="A851" s="84" t="inlineStr">
        <is>
          <t>Fonction publique territoriale et hospitalière</t>
        </is>
      </c>
      <c r="B851" s="7" t="inlineStr">
        <is>
          <t>actif</t>
        </is>
      </c>
      <c r="C851" s="88" t="n">
        <v>1986</v>
      </c>
      <c r="D851" s="95" t="n">
        <v>59</v>
      </c>
      <c r="E851" s="95" t="n">
        <v>62</v>
      </c>
      <c r="F851" s="85" t="n">
        <v>172</v>
      </c>
      <c r="G851" s="120" t="n">
        <v>0.0125</v>
      </c>
      <c r="H851" s="120" t="n">
        <v>0.0125</v>
      </c>
      <c r="I851" s="95" t="n">
        <v>3.5</v>
      </c>
      <c r="J851" s="95" t="n">
        <v>62.5</v>
      </c>
      <c r="K851" s="95" t="n">
        <v>0.955</v>
      </c>
      <c r="L851" s="85" t="n">
        <v>0</v>
      </c>
    </row>
    <row r="852">
      <c r="A852" s="84" t="inlineStr">
        <is>
          <t>Fonction publique territoriale et hospitalière</t>
        </is>
      </c>
      <c r="B852" s="7" t="inlineStr">
        <is>
          <t>actif</t>
        </is>
      </c>
      <c r="C852" s="88" t="n">
        <v>1987</v>
      </c>
      <c r="D852" s="95" t="n">
        <v>59</v>
      </c>
      <c r="E852" s="95" t="n">
        <v>62</v>
      </c>
      <c r="F852" s="85" t="n">
        <v>172</v>
      </c>
      <c r="G852" s="120" t="n">
        <v>0.0125</v>
      </c>
      <c r="H852" s="120" t="n">
        <v>0.0125</v>
      </c>
      <c r="I852" s="95" t="n">
        <v>3.5</v>
      </c>
      <c r="J852" s="95" t="n">
        <v>62.5</v>
      </c>
      <c r="K852" s="95" t="n">
        <v>0.955</v>
      </c>
      <c r="L852" s="85" t="n">
        <v>0</v>
      </c>
    </row>
    <row r="853">
      <c r="A853" s="84" t="inlineStr">
        <is>
          <t>Fonction publique territoriale et hospitalière</t>
        </is>
      </c>
      <c r="B853" s="7" t="inlineStr">
        <is>
          <t>actif</t>
        </is>
      </c>
      <c r="C853" s="88" t="n">
        <v>1988</v>
      </c>
      <c r="D853" s="95" t="n">
        <v>59</v>
      </c>
      <c r="E853" s="95" t="n">
        <v>62</v>
      </c>
      <c r="F853" s="85" t="n">
        <v>172</v>
      </c>
      <c r="G853" s="120" t="n">
        <v>0.0125</v>
      </c>
      <c r="H853" s="120" t="n">
        <v>0.0125</v>
      </c>
      <c r="I853" s="95" t="n">
        <v>3.5</v>
      </c>
      <c r="J853" s="95" t="n">
        <v>62.5</v>
      </c>
      <c r="K853" s="95" t="n">
        <v>0.955</v>
      </c>
      <c r="L853" s="85" t="n">
        <v>0</v>
      </c>
    </row>
    <row r="854">
      <c r="A854" s="84" t="inlineStr">
        <is>
          <t>Fonction publique territoriale et hospitalière</t>
        </is>
      </c>
      <c r="B854" s="7" t="inlineStr">
        <is>
          <t>actif</t>
        </is>
      </c>
      <c r="C854" s="88" t="n">
        <v>1989</v>
      </c>
      <c r="D854" s="95" t="n">
        <v>59</v>
      </c>
      <c r="E854" s="95" t="n">
        <v>62</v>
      </c>
      <c r="F854" s="85" t="n">
        <v>172</v>
      </c>
      <c r="G854" s="120" t="n">
        <v>0.0125</v>
      </c>
      <c r="H854" s="120" t="n">
        <v>0.0125</v>
      </c>
      <c r="I854" s="95" t="n">
        <v>3.5</v>
      </c>
      <c r="J854" s="95" t="n">
        <v>62.5</v>
      </c>
      <c r="K854" s="95" t="n">
        <v>0.955</v>
      </c>
      <c r="L854" s="85" t="n">
        <v>0</v>
      </c>
    </row>
    <row r="855">
      <c r="A855" s="84" t="inlineStr">
        <is>
          <t>Fonction publique territoriale et hospitalière</t>
        </is>
      </c>
      <c r="B855" s="7" t="inlineStr">
        <is>
          <t>actif</t>
        </is>
      </c>
      <c r="C855" s="88" t="n">
        <v>1990</v>
      </c>
      <c r="D855" s="95" t="n">
        <v>59</v>
      </c>
      <c r="E855" s="95" t="n">
        <v>62</v>
      </c>
      <c r="F855" s="85" t="n">
        <v>172</v>
      </c>
      <c r="G855" s="120" t="n">
        <v>0.0125</v>
      </c>
      <c r="H855" s="120" t="n">
        <v>0.0125</v>
      </c>
      <c r="I855" s="95" t="n">
        <v>3.5</v>
      </c>
      <c r="J855" s="95" t="n">
        <v>62.5</v>
      </c>
      <c r="K855" s="95" t="n">
        <v>0.955</v>
      </c>
      <c r="L855" s="85" t="n">
        <v>0</v>
      </c>
    </row>
    <row r="856">
      <c r="A856" s="84" t="inlineStr">
        <is>
          <t>Fonction publique territoriale et hospitalière</t>
        </is>
      </c>
      <c r="B856" s="7" t="inlineStr">
        <is>
          <t>actif</t>
        </is>
      </c>
      <c r="C856" s="88" t="n">
        <v>1991</v>
      </c>
      <c r="D856" s="95" t="n">
        <v>59</v>
      </c>
      <c r="E856" s="95" t="n">
        <v>62</v>
      </c>
      <c r="F856" s="85" t="n">
        <v>172</v>
      </c>
      <c r="G856" s="120" t="n">
        <v>0.0125</v>
      </c>
      <c r="H856" s="120" t="n">
        <v>0.0125</v>
      </c>
      <c r="I856" s="95" t="n">
        <v>3.5</v>
      </c>
      <c r="J856" s="95" t="n">
        <v>62.5</v>
      </c>
      <c r="K856" s="95" t="n">
        <v>0.955</v>
      </c>
      <c r="L856" s="85" t="n">
        <v>0</v>
      </c>
    </row>
    <row r="857">
      <c r="A857" s="84" t="inlineStr">
        <is>
          <t>Fonction publique territoriale et hospitalière</t>
        </is>
      </c>
      <c r="B857" s="7" t="inlineStr">
        <is>
          <t>actif</t>
        </is>
      </c>
      <c r="C857" s="88" t="n">
        <v>1992</v>
      </c>
      <c r="D857" s="95" t="n">
        <v>59</v>
      </c>
      <c r="E857" s="95" t="n">
        <v>62</v>
      </c>
      <c r="F857" s="85" t="n">
        <v>172</v>
      </c>
      <c r="G857" s="120" t="n">
        <v>0.0125</v>
      </c>
      <c r="H857" s="120" t="n">
        <v>0.0125</v>
      </c>
      <c r="I857" s="95" t="n">
        <v>3.5</v>
      </c>
      <c r="J857" s="95" t="n">
        <v>62.5</v>
      </c>
      <c r="K857" s="95" t="n">
        <v>0.955</v>
      </c>
      <c r="L857" s="85" t="n">
        <v>0</v>
      </c>
    </row>
    <row r="858">
      <c r="A858" s="84" t="inlineStr">
        <is>
          <t>Fonction publique territoriale et hospitalière</t>
        </is>
      </c>
      <c r="B858" s="7" t="inlineStr">
        <is>
          <t>actif</t>
        </is>
      </c>
      <c r="C858" s="88" t="n">
        <v>1993</v>
      </c>
      <c r="D858" s="95" t="n">
        <v>59</v>
      </c>
      <c r="E858" s="95" t="n">
        <v>62</v>
      </c>
      <c r="F858" s="85" t="n">
        <v>172</v>
      </c>
      <c r="G858" s="120" t="n">
        <v>0.0125</v>
      </c>
      <c r="H858" s="120" t="n">
        <v>0.0125</v>
      </c>
      <c r="I858" s="95" t="n">
        <v>3.5</v>
      </c>
      <c r="J858" s="95" t="n">
        <v>62.5</v>
      </c>
      <c r="K858" s="95" t="n">
        <v>0.955</v>
      </c>
      <c r="L858" s="85" t="n">
        <v>0</v>
      </c>
    </row>
    <row r="859">
      <c r="A859" s="84" t="inlineStr">
        <is>
          <t>Fonction publique territoriale et hospitalière</t>
        </is>
      </c>
      <c r="B859" s="7" t="inlineStr">
        <is>
          <t>actif</t>
        </is>
      </c>
      <c r="C859" s="88" t="n">
        <v>1994</v>
      </c>
      <c r="D859" s="95" t="n">
        <v>59</v>
      </c>
      <c r="E859" s="95" t="n">
        <v>62</v>
      </c>
      <c r="F859" s="85" t="n">
        <v>172</v>
      </c>
      <c r="G859" s="120" t="n">
        <v>0.0125</v>
      </c>
      <c r="H859" s="120" t="n">
        <v>0.0125</v>
      </c>
      <c r="I859" s="95" t="n">
        <v>3.5</v>
      </c>
      <c r="J859" s="95" t="n">
        <v>62.5</v>
      </c>
      <c r="K859" s="95" t="n">
        <v>0.955</v>
      </c>
      <c r="L859" s="85" t="n">
        <v>0</v>
      </c>
    </row>
    <row r="860">
      <c r="A860" s="84" t="inlineStr">
        <is>
          <t>Fonction publique territoriale et hospitalière</t>
        </is>
      </c>
      <c r="B860" s="7" t="inlineStr">
        <is>
          <t>actif</t>
        </is>
      </c>
      <c r="C860" s="88" t="n">
        <v>1995</v>
      </c>
      <c r="D860" s="95" t="n">
        <v>59</v>
      </c>
      <c r="E860" s="95" t="n">
        <v>62</v>
      </c>
      <c r="F860" s="85" t="n">
        <v>172</v>
      </c>
      <c r="G860" s="120" t="n">
        <v>0.0125</v>
      </c>
      <c r="H860" s="120" t="n">
        <v>0.0125</v>
      </c>
      <c r="I860" s="95" t="n">
        <v>3.5</v>
      </c>
      <c r="J860" s="95" t="n">
        <v>62.5</v>
      </c>
      <c r="K860" s="95" t="n">
        <v>0.955</v>
      </c>
      <c r="L860" s="85" t="n">
        <v>0</v>
      </c>
    </row>
    <row r="861">
      <c r="A861" s="84" t="inlineStr">
        <is>
          <t>Fonction publique territoriale et hospitalière</t>
        </is>
      </c>
      <c r="B861" s="7" t="inlineStr">
        <is>
          <t>actif</t>
        </is>
      </c>
      <c r="C861" s="88" t="n">
        <v>1996</v>
      </c>
      <c r="D861" s="95" t="n">
        <v>59</v>
      </c>
      <c r="E861" s="95" t="n">
        <v>62</v>
      </c>
      <c r="F861" s="85" t="n">
        <v>172</v>
      </c>
      <c r="G861" s="120" t="n">
        <v>0.0125</v>
      </c>
      <c r="H861" s="120" t="n">
        <v>0.0125</v>
      </c>
      <c r="I861" s="95" t="n">
        <v>3.5</v>
      </c>
      <c r="J861" s="95" t="n">
        <v>62.5</v>
      </c>
      <c r="K861" s="95" t="n">
        <v>0.955</v>
      </c>
      <c r="L861" s="85" t="n">
        <v>0</v>
      </c>
    </row>
    <row r="862">
      <c r="A862" s="84" t="inlineStr">
        <is>
          <t>Fonction publique territoriale et hospitalière</t>
        </is>
      </c>
      <c r="B862" s="7" t="inlineStr">
        <is>
          <t>actif</t>
        </is>
      </c>
      <c r="C862" s="88" t="n">
        <v>1997</v>
      </c>
      <c r="D862" s="95" t="n">
        <v>59</v>
      </c>
      <c r="E862" s="95" t="n">
        <v>62</v>
      </c>
      <c r="F862" s="85" t="n">
        <v>172</v>
      </c>
      <c r="G862" s="120" t="n">
        <v>0.0125</v>
      </c>
      <c r="H862" s="120" t="n">
        <v>0.0125</v>
      </c>
      <c r="I862" s="95" t="n">
        <v>3.5</v>
      </c>
      <c r="J862" s="95" t="n">
        <v>62.5</v>
      </c>
      <c r="K862" s="95" t="n">
        <v>0.955</v>
      </c>
      <c r="L862" s="85" t="n">
        <v>0</v>
      </c>
    </row>
    <row r="863">
      <c r="A863" s="84" t="inlineStr">
        <is>
          <t>Fonction publique territoriale et hospitalière</t>
        </is>
      </c>
      <c r="B863" s="7" t="inlineStr">
        <is>
          <t>actif</t>
        </is>
      </c>
      <c r="C863" s="88" t="n">
        <v>1998</v>
      </c>
      <c r="D863" s="95" t="n">
        <v>59</v>
      </c>
      <c r="E863" s="95" t="n">
        <v>62</v>
      </c>
      <c r="F863" s="85" t="n">
        <v>172</v>
      </c>
      <c r="G863" s="120" t="n">
        <v>0.0125</v>
      </c>
      <c r="H863" s="120" t="n">
        <v>0.0125</v>
      </c>
      <c r="I863" s="95" t="n">
        <v>3.5</v>
      </c>
      <c r="J863" s="95" t="n">
        <v>62.5</v>
      </c>
      <c r="K863" s="95" t="n">
        <v>0.955</v>
      </c>
      <c r="L863" s="85" t="n">
        <v>0</v>
      </c>
    </row>
    <row r="864">
      <c r="A864" s="84" t="inlineStr">
        <is>
          <t>Fonction publique territoriale et hospitalière</t>
        </is>
      </c>
      <c r="B864" s="7" t="inlineStr">
        <is>
          <t>actif</t>
        </is>
      </c>
      <c r="C864" s="88" t="n">
        <v>1999</v>
      </c>
      <c r="D864" s="95" t="n">
        <v>59</v>
      </c>
      <c r="E864" s="95" t="n">
        <v>62</v>
      </c>
      <c r="F864" s="85" t="n">
        <v>172</v>
      </c>
      <c r="G864" s="120" t="n">
        <v>0.0125</v>
      </c>
      <c r="H864" s="120" t="n">
        <v>0.0125</v>
      </c>
      <c r="I864" s="95" t="n">
        <v>3.5</v>
      </c>
      <c r="J864" s="95" t="n">
        <v>62.5</v>
      </c>
      <c r="K864" s="95" t="n">
        <v>0.955</v>
      </c>
      <c r="L864" s="85" t="n">
        <v>0</v>
      </c>
    </row>
    <row r="865">
      <c r="A865" s="84" t="inlineStr">
        <is>
          <t>Fonction publique territoriale et hospitalière</t>
        </is>
      </c>
      <c r="B865" s="7" t="inlineStr">
        <is>
          <t>actif</t>
        </is>
      </c>
      <c r="C865" s="88" t="n">
        <v>2000</v>
      </c>
      <c r="D865" s="95" t="n">
        <v>59</v>
      </c>
      <c r="E865" s="95" t="n">
        <v>62</v>
      </c>
      <c r="F865" s="85" t="n">
        <v>172</v>
      </c>
      <c r="G865" s="120" t="n">
        <v>0.0125</v>
      </c>
      <c r="H865" s="120" t="n">
        <v>0.0125</v>
      </c>
      <c r="I865" s="95" t="n">
        <v>3.5</v>
      </c>
      <c r="J865" s="95" t="n">
        <v>62.5</v>
      </c>
      <c r="K865" s="95" t="n">
        <v>0.955</v>
      </c>
      <c r="L865" s="85" t="n">
        <v>0</v>
      </c>
    </row>
    <row r="866">
      <c r="A866" s="84" t="inlineStr">
        <is>
          <t>Fonction publique territoriale et hospitalière</t>
        </is>
      </c>
      <c r="B866" s="7" t="inlineStr">
        <is>
          <t>actif</t>
        </is>
      </c>
      <c r="C866" s="88" t="n">
        <v>2001</v>
      </c>
      <c r="D866" s="95" t="n">
        <v>59</v>
      </c>
      <c r="E866" s="95" t="n">
        <v>62</v>
      </c>
      <c r="F866" s="85" t="n">
        <v>172</v>
      </c>
      <c r="G866" s="120" t="n">
        <v>0.0125</v>
      </c>
      <c r="H866" s="120" t="n">
        <v>0.0125</v>
      </c>
      <c r="I866" s="95" t="n">
        <v>3.5</v>
      </c>
      <c r="J866" s="95" t="n">
        <v>62.5</v>
      </c>
      <c r="K866" s="95" t="n">
        <v>0.955</v>
      </c>
      <c r="L866" s="85" t="n">
        <v>0</v>
      </c>
    </row>
    <row r="867">
      <c r="A867" s="84" t="inlineStr">
        <is>
          <t>Fonction publique territoriale et hospitalière</t>
        </is>
      </c>
      <c r="B867" s="7" t="inlineStr">
        <is>
          <t>actif</t>
        </is>
      </c>
      <c r="C867" s="88" t="n">
        <v>2002</v>
      </c>
      <c r="D867" s="95" t="n">
        <v>59</v>
      </c>
      <c r="E867" s="95" t="n">
        <v>62</v>
      </c>
      <c r="F867" s="85" t="n">
        <v>172</v>
      </c>
      <c r="G867" s="120" t="n">
        <v>0.0125</v>
      </c>
      <c r="H867" s="120" t="n">
        <v>0.0125</v>
      </c>
      <c r="I867" s="95" t="n">
        <v>3.5</v>
      </c>
      <c r="J867" s="95" t="n">
        <v>62.5</v>
      </c>
      <c r="K867" s="95" t="n">
        <v>0.955</v>
      </c>
      <c r="L867" s="85" t="n">
        <v>0</v>
      </c>
    </row>
    <row r="868">
      <c r="A868" s="84" t="inlineStr">
        <is>
          <t>Fonction publique territoriale et hospitalière</t>
        </is>
      </c>
      <c r="B868" s="7" t="inlineStr">
        <is>
          <t>actif</t>
        </is>
      </c>
      <c r="C868" s="88" t="n">
        <v>2003</v>
      </c>
      <c r="D868" s="95" t="n">
        <v>59</v>
      </c>
      <c r="E868" s="95" t="n">
        <v>62</v>
      </c>
      <c r="F868" s="85" t="n">
        <v>172</v>
      </c>
      <c r="G868" s="120" t="n">
        <v>0.0125</v>
      </c>
      <c r="H868" s="120" t="n">
        <v>0.0125</v>
      </c>
      <c r="I868" s="95" t="n">
        <v>3.5</v>
      </c>
      <c r="J868" s="95" t="n">
        <v>62.5</v>
      </c>
      <c r="K868" s="95" t="n">
        <v>0.955</v>
      </c>
      <c r="L868" s="85" t="n">
        <v>0</v>
      </c>
    </row>
    <row r="869">
      <c r="A869" s="84" t="inlineStr">
        <is>
          <t>Fonction publique territoriale et hospitalière</t>
        </is>
      </c>
      <c r="B869" s="7" t="inlineStr">
        <is>
          <t>actif</t>
        </is>
      </c>
      <c r="C869" s="88" t="n">
        <v>2004</v>
      </c>
      <c r="D869" s="95" t="n">
        <v>59</v>
      </c>
      <c r="E869" s="95" t="n">
        <v>62</v>
      </c>
      <c r="F869" s="85" t="n">
        <v>172</v>
      </c>
      <c r="G869" s="120" t="n">
        <v>0.0125</v>
      </c>
      <c r="H869" s="120" t="n">
        <v>0.0125</v>
      </c>
      <c r="I869" s="95" t="n">
        <v>3.5</v>
      </c>
      <c r="J869" s="95" t="n">
        <v>62.5</v>
      </c>
      <c r="K869" s="95" t="n">
        <v>0.955</v>
      </c>
      <c r="L869" s="85" t="n">
        <v>0</v>
      </c>
    </row>
    <row r="870">
      <c r="A870" s="84" t="inlineStr">
        <is>
          <t>Fonction publique territoriale et hospitalière</t>
        </is>
      </c>
      <c r="B870" s="7" t="inlineStr">
        <is>
          <t>actif</t>
        </is>
      </c>
      <c r="C870" s="88" t="n">
        <v>2005</v>
      </c>
      <c r="D870" s="95" t="n">
        <v>59</v>
      </c>
      <c r="E870" s="95" t="n">
        <v>62</v>
      </c>
      <c r="F870" s="85" t="n">
        <v>172</v>
      </c>
      <c r="G870" s="120" t="n">
        <v>0.0125</v>
      </c>
      <c r="H870" s="120" t="n">
        <v>0.0125</v>
      </c>
      <c r="I870" s="95" t="n">
        <v>3.5</v>
      </c>
      <c r="J870" s="95" t="n">
        <v>62.5</v>
      </c>
      <c r="K870" s="95" t="n">
        <v>0.955</v>
      </c>
      <c r="L870" s="85" t="n">
        <v>0</v>
      </c>
    </row>
    <row r="871">
      <c r="A871" s="84" t="inlineStr">
        <is>
          <t>Fonction publique territoriale et hospitalière</t>
        </is>
      </c>
      <c r="B871" s="7" t="inlineStr">
        <is>
          <t>actif</t>
        </is>
      </c>
      <c r="C871" s="88" t="n">
        <v>2006</v>
      </c>
      <c r="D871" s="95" t="n">
        <v>59</v>
      </c>
      <c r="E871" s="95" t="n">
        <v>62</v>
      </c>
      <c r="F871" s="85" t="n">
        <v>172</v>
      </c>
      <c r="G871" s="120" t="n">
        <v>0.0125</v>
      </c>
      <c r="H871" s="120" t="n">
        <v>0.0125</v>
      </c>
      <c r="I871" s="95" t="n">
        <v>3.5</v>
      </c>
      <c r="J871" s="95" t="n">
        <v>62.5</v>
      </c>
      <c r="K871" s="95" t="n">
        <v>0.955</v>
      </c>
      <c r="L871" s="85" t="n">
        <v>0</v>
      </c>
    </row>
    <row r="872">
      <c r="A872" s="84" t="inlineStr">
        <is>
          <t>Fonction publique territoriale et hospitalière</t>
        </is>
      </c>
      <c r="B872" s="7" t="inlineStr">
        <is>
          <t>actif</t>
        </is>
      </c>
      <c r="C872" s="88" t="n">
        <v>2007</v>
      </c>
      <c r="D872" s="95" t="n">
        <v>59</v>
      </c>
      <c r="E872" s="95" t="n">
        <v>62</v>
      </c>
      <c r="F872" s="85" t="n">
        <v>172</v>
      </c>
      <c r="G872" s="120" t="n">
        <v>0.0125</v>
      </c>
      <c r="H872" s="120" t="n">
        <v>0.0125</v>
      </c>
      <c r="I872" s="95" t="n">
        <v>3.5</v>
      </c>
      <c r="J872" s="95" t="n">
        <v>62.5</v>
      </c>
      <c r="K872" s="95" t="n">
        <v>0.955</v>
      </c>
      <c r="L872" s="85" t="n">
        <v>0</v>
      </c>
    </row>
    <row r="873">
      <c r="A873" s="84" t="inlineStr">
        <is>
          <t>Fonction publique territoriale et hospitalière</t>
        </is>
      </c>
      <c r="B873" s="7" t="inlineStr">
        <is>
          <t>actif</t>
        </is>
      </c>
      <c r="C873" s="88" t="n">
        <v>2008</v>
      </c>
      <c r="D873" s="95" t="n">
        <v>59</v>
      </c>
      <c r="E873" s="95" t="n">
        <v>62</v>
      </c>
      <c r="F873" s="85" t="n">
        <v>172</v>
      </c>
      <c r="G873" s="120" t="n">
        <v>0.0125</v>
      </c>
      <c r="H873" s="120" t="n">
        <v>0.0125</v>
      </c>
      <c r="I873" s="95" t="n">
        <v>3.5</v>
      </c>
      <c r="J873" s="95" t="n">
        <v>62.5</v>
      </c>
      <c r="K873" s="95" t="n">
        <v>0.955</v>
      </c>
      <c r="L873" s="85" t="n">
        <v>0</v>
      </c>
    </row>
    <row r="874">
      <c r="A874" s="84" t="inlineStr">
        <is>
          <t>Fonction publique territoriale et hospitalière</t>
        </is>
      </c>
      <c r="B874" s="7" t="inlineStr">
        <is>
          <t>actif</t>
        </is>
      </c>
      <c r="C874" s="88" t="n">
        <v>2009</v>
      </c>
      <c r="D874" s="95" t="n">
        <v>59</v>
      </c>
      <c r="E874" s="95" t="n">
        <v>62</v>
      </c>
      <c r="F874" s="85" t="n">
        <v>172</v>
      </c>
      <c r="G874" s="120" t="n">
        <v>0.0125</v>
      </c>
      <c r="H874" s="120" t="n">
        <v>0.0125</v>
      </c>
      <c r="I874" s="95" t="n">
        <v>3.5</v>
      </c>
      <c r="J874" s="95" t="n">
        <v>62.5</v>
      </c>
      <c r="K874" s="95" t="n">
        <v>0.955</v>
      </c>
      <c r="L874" s="85" t="n">
        <v>0</v>
      </c>
    </row>
    <row r="875">
      <c r="A875" s="84" t="inlineStr">
        <is>
          <t>Fonction publique territoriale et hospitalière</t>
        </is>
      </c>
      <c r="B875" s="7" t="inlineStr">
        <is>
          <t>actif</t>
        </is>
      </c>
      <c r="C875" s="88" t="n">
        <v>2010</v>
      </c>
      <c r="D875" s="95" t="n">
        <v>59</v>
      </c>
      <c r="E875" s="95" t="n">
        <v>62</v>
      </c>
      <c r="F875" s="85" t="n">
        <v>172</v>
      </c>
      <c r="G875" s="120" t="n">
        <v>0.0125</v>
      </c>
      <c r="H875" s="120" t="n">
        <v>0.0125</v>
      </c>
      <c r="I875" s="95" t="n">
        <v>3.5</v>
      </c>
      <c r="J875" s="95" t="n">
        <v>62.5</v>
      </c>
      <c r="K875" s="95" t="n">
        <v>0.955</v>
      </c>
      <c r="L875" s="85" t="n">
        <v>0</v>
      </c>
    </row>
    <row r="876">
      <c r="A876" s="84" t="inlineStr">
        <is>
          <t>Fonction publique territoriale et hospitalière</t>
        </is>
      </c>
      <c r="B876" s="7" t="inlineStr">
        <is>
          <t>actif</t>
        </is>
      </c>
      <c r="C876" s="88" t="n">
        <v>2011</v>
      </c>
      <c r="D876" s="95" t="n">
        <v>59</v>
      </c>
      <c r="E876" s="95" t="n">
        <v>62</v>
      </c>
      <c r="F876" s="85" t="n">
        <v>172</v>
      </c>
      <c r="G876" s="120" t="n">
        <v>0.0125</v>
      </c>
      <c r="H876" s="120" t="n">
        <v>0.0125</v>
      </c>
      <c r="I876" s="95" t="n">
        <v>3.5</v>
      </c>
      <c r="J876" s="95" t="n">
        <v>62.5</v>
      </c>
      <c r="K876" s="95" t="n">
        <v>0.955</v>
      </c>
      <c r="L876" s="85" t="n">
        <v>0</v>
      </c>
    </row>
    <row r="877">
      <c r="A877" s="84" t="inlineStr">
        <is>
          <t>Fonction publique territoriale et hospitalière</t>
        </is>
      </c>
      <c r="B877" s="7" t="inlineStr">
        <is>
          <t>actif</t>
        </is>
      </c>
      <c r="C877" s="88" t="n">
        <v>2012</v>
      </c>
      <c r="D877" s="95" t="n">
        <v>59</v>
      </c>
      <c r="E877" s="95" t="n">
        <v>62</v>
      </c>
      <c r="F877" s="85" t="n">
        <v>172</v>
      </c>
      <c r="G877" s="120" t="n">
        <v>0.0125</v>
      </c>
      <c r="H877" s="120" t="n">
        <v>0.0125</v>
      </c>
      <c r="I877" s="95" t="n">
        <v>3.5</v>
      </c>
      <c r="J877" s="95" t="n">
        <v>62.5</v>
      </c>
      <c r="K877" s="95" t="n">
        <v>0.955</v>
      </c>
      <c r="L877" s="85" t="n">
        <v>0</v>
      </c>
    </row>
    <row r="878">
      <c r="A878" s="84" t="inlineStr">
        <is>
          <t>Fonction publique territoriale et hospitalière</t>
        </is>
      </c>
      <c r="B878" s="7" t="inlineStr">
        <is>
          <t>actif</t>
        </is>
      </c>
      <c r="C878" s="88" t="n">
        <v>2013</v>
      </c>
      <c r="D878" s="95" t="n">
        <v>59</v>
      </c>
      <c r="E878" s="95" t="n">
        <v>62</v>
      </c>
      <c r="F878" s="85" t="n">
        <v>172</v>
      </c>
      <c r="G878" s="120" t="n">
        <v>0.0125</v>
      </c>
      <c r="H878" s="120" t="n">
        <v>0.0125</v>
      </c>
      <c r="I878" s="95" t="n">
        <v>3.5</v>
      </c>
      <c r="J878" s="95" t="n">
        <v>62.5</v>
      </c>
      <c r="K878" s="95" t="n">
        <v>0.955</v>
      </c>
      <c r="L878" s="85" t="n">
        <v>0</v>
      </c>
    </row>
    <row r="879">
      <c r="A879" s="84" t="inlineStr">
        <is>
          <t>Fonction publique territoriale et hospitalière</t>
        </is>
      </c>
      <c r="B879" s="7" t="inlineStr">
        <is>
          <t>actif</t>
        </is>
      </c>
      <c r="C879" s="88" t="n">
        <v>2014</v>
      </c>
      <c r="D879" s="95" t="n">
        <v>59</v>
      </c>
      <c r="E879" s="95" t="n">
        <v>62</v>
      </c>
      <c r="F879" s="85" t="n">
        <v>172</v>
      </c>
      <c r="G879" s="120" t="n">
        <v>0.0125</v>
      </c>
      <c r="H879" s="120" t="n">
        <v>0.0125</v>
      </c>
      <c r="I879" s="95" t="n">
        <v>3.5</v>
      </c>
      <c r="J879" s="95" t="n">
        <v>62.5</v>
      </c>
      <c r="K879" s="95" t="n">
        <v>0.955</v>
      </c>
      <c r="L879" s="85" t="n">
        <v>0</v>
      </c>
    </row>
    <row r="880">
      <c r="A880" s="84" t="inlineStr">
        <is>
          <t>Fonction publique territoriale et hospitalière</t>
        </is>
      </c>
      <c r="B880" s="7" t="inlineStr">
        <is>
          <t>actif</t>
        </is>
      </c>
      <c r="C880" s="88" t="n">
        <v>2015</v>
      </c>
      <c r="D880" s="95" t="n">
        <v>59</v>
      </c>
      <c r="E880" s="95" t="n">
        <v>62</v>
      </c>
      <c r="F880" s="85" t="n">
        <v>172</v>
      </c>
      <c r="G880" s="120" t="n">
        <v>0.0125</v>
      </c>
      <c r="H880" s="120" t="n">
        <v>0.0125</v>
      </c>
      <c r="I880" s="95" t="n">
        <v>3.5</v>
      </c>
      <c r="J880" s="95" t="n">
        <v>62.5</v>
      </c>
      <c r="K880" s="95" t="n">
        <v>0.955</v>
      </c>
      <c r="L880" s="85" t="n">
        <v>0</v>
      </c>
    </row>
    <row r="881">
      <c r="A881" s="84" t="inlineStr">
        <is>
          <t>Fonction publique territoriale et hospitalière</t>
        </is>
      </c>
      <c r="B881" s="7" t="inlineStr">
        <is>
          <t>actif</t>
        </is>
      </c>
      <c r="C881" s="88" t="n">
        <v>2016</v>
      </c>
      <c r="D881" s="95" t="n">
        <v>59</v>
      </c>
      <c r="E881" s="95" t="n">
        <v>62</v>
      </c>
      <c r="F881" s="85" t="n">
        <v>172</v>
      </c>
      <c r="G881" s="120" t="n">
        <v>0.0125</v>
      </c>
      <c r="H881" s="120" t="n">
        <v>0.0125</v>
      </c>
      <c r="I881" s="95" t="n">
        <v>3.5</v>
      </c>
      <c r="J881" s="95" t="n">
        <v>62.5</v>
      </c>
      <c r="K881" s="95" t="n">
        <v>0.955</v>
      </c>
      <c r="L881" s="85" t="n">
        <v>0</v>
      </c>
    </row>
    <row r="882">
      <c r="A882" s="84" t="inlineStr">
        <is>
          <t>Fonction publique territoriale et hospitalière</t>
        </is>
      </c>
      <c r="B882" s="7" t="inlineStr">
        <is>
          <t>actif</t>
        </is>
      </c>
      <c r="C882" s="88" t="n">
        <v>2017</v>
      </c>
      <c r="D882" s="95" t="n">
        <v>59</v>
      </c>
      <c r="E882" s="95" t="n">
        <v>62</v>
      </c>
      <c r="F882" s="85" t="n">
        <v>172</v>
      </c>
      <c r="G882" s="120" t="n">
        <v>0.0125</v>
      </c>
      <c r="H882" s="120" t="n">
        <v>0.0125</v>
      </c>
      <c r="I882" s="95" t="n">
        <v>3.5</v>
      </c>
      <c r="J882" s="95" t="n">
        <v>62.5</v>
      </c>
      <c r="K882" s="95" t="n">
        <v>0.955</v>
      </c>
      <c r="L882" s="85" t="n">
        <v>0</v>
      </c>
    </row>
    <row r="883">
      <c r="A883" s="84" t="inlineStr">
        <is>
          <t>Fonction publique territoriale et hospitalière</t>
        </is>
      </c>
      <c r="B883" s="7" t="inlineStr">
        <is>
          <t>actif</t>
        </is>
      </c>
      <c r="C883" s="88" t="n">
        <v>2018</v>
      </c>
      <c r="D883" s="95" t="n">
        <v>59</v>
      </c>
      <c r="E883" s="95" t="n">
        <v>62</v>
      </c>
      <c r="F883" s="85" t="n">
        <v>172</v>
      </c>
      <c r="G883" s="120" t="n">
        <v>0.0125</v>
      </c>
      <c r="H883" s="120" t="n">
        <v>0.0125</v>
      </c>
      <c r="I883" s="95" t="n">
        <v>3.5</v>
      </c>
      <c r="J883" s="95" t="n">
        <v>62.5</v>
      </c>
      <c r="K883" s="95" t="n">
        <v>0.955</v>
      </c>
      <c r="L883" s="85" t="n">
        <v>0</v>
      </c>
    </row>
    <row r="884">
      <c r="A884" s="84" t="inlineStr">
        <is>
          <t>Fonction publique territoriale et hospitalière</t>
        </is>
      </c>
      <c r="B884" s="7" t="inlineStr">
        <is>
          <t>actif</t>
        </is>
      </c>
      <c r="C884" s="88" t="n">
        <v>2019</v>
      </c>
      <c r="D884" s="95" t="n">
        <v>59</v>
      </c>
      <c r="E884" s="95" t="n">
        <v>62</v>
      </c>
      <c r="F884" s="85" t="n">
        <v>172</v>
      </c>
      <c r="G884" s="120" t="n">
        <v>0.0125</v>
      </c>
      <c r="H884" s="120" t="n">
        <v>0.0125</v>
      </c>
      <c r="I884" s="95" t="n">
        <v>3.5</v>
      </c>
      <c r="J884" s="95" t="n">
        <v>62.5</v>
      </c>
      <c r="K884" s="95" t="n">
        <v>0.955</v>
      </c>
      <c r="L884" s="85" t="n">
        <v>0</v>
      </c>
    </row>
    <row r="885">
      <c r="A885" s="84" t="inlineStr">
        <is>
          <t>Fonction publique territoriale et hospitalière</t>
        </is>
      </c>
      <c r="B885" s="7" t="inlineStr">
        <is>
          <t>actif</t>
        </is>
      </c>
      <c r="C885" s="88" t="n">
        <v>2020</v>
      </c>
      <c r="D885" s="95" t="n">
        <v>59</v>
      </c>
      <c r="E885" s="95" t="n">
        <v>62</v>
      </c>
      <c r="F885" s="85" t="n">
        <v>172</v>
      </c>
      <c r="G885" s="120" t="n">
        <v>0.0125</v>
      </c>
      <c r="H885" s="120" t="n">
        <v>0.0125</v>
      </c>
      <c r="I885" s="95" t="n">
        <v>3.5</v>
      </c>
      <c r="J885" s="95" t="n">
        <v>62.5</v>
      </c>
      <c r="K885" s="95" t="n">
        <v>0.955</v>
      </c>
      <c r="L885" s="85" t="n">
        <v>0</v>
      </c>
    </row>
    <row r="886">
      <c r="A886" s="84" t="inlineStr">
        <is>
          <t>Fonction publique territoriale et hospitalière</t>
        </is>
      </c>
      <c r="B886" s="7" t="inlineStr">
        <is>
          <t>actif</t>
        </is>
      </c>
      <c r="C886" s="88" t="n">
        <v>2021</v>
      </c>
      <c r="D886" s="95" t="n">
        <v>59</v>
      </c>
      <c r="E886" s="95" t="n">
        <v>62</v>
      </c>
      <c r="F886" s="85" t="n">
        <v>172</v>
      </c>
      <c r="G886" s="120" t="n">
        <v>0.0125</v>
      </c>
      <c r="H886" s="120" t="n">
        <v>0.0125</v>
      </c>
      <c r="I886" s="95" t="n">
        <v>3.5</v>
      </c>
      <c r="J886" s="95" t="n">
        <v>62.5</v>
      </c>
      <c r="K886" s="95" t="n">
        <v>0.955</v>
      </c>
      <c r="L886" s="85" t="n">
        <v>0</v>
      </c>
    </row>
    <row r="887">
      <c r="A887" s="84" t="inlineStr">
        <is>
          <t>Fonction publique territoriale et hospitalière</t>
        </is>
      </c>
      <c r="B887" s="7" t="inlineStr">
        <is>
          <t>actif</t>
        </is>
      </c>
      <c r="C887" s="88" t="n">
        <v>2022</v>
      </c>
      <c r="D887" s="95" t="n">
        <v>59</v>
      </c>
      <c r="E887" s="95" t="n">
        <v>62</v>
      </c>
      <c r="F887" s="85" t="n">
        <v>172</v>
      </c>
      <c r="G887" s="120" t="n">
        <v>0.0125</v>
      </c>
      <c r="H887" s="120" t="n">
        <v>0.0125</v>
      </c>
      <c r="I887" s="95" t="n">
        <v>3.5</v>
      </c>
      <c r="J887" s="95" t="n">
        <v>62.5</v>
      </c>
      <c r="K887" s="95" t="n">
        <v>0.955</v>
      </c>
      <c r="L887" s="85" t="n">
        <v>0</v>
      </c>
    </row>
    <row r="888">
      <c r="A888" s="84" t="inlineStr">
        <is>
          <t>Fonction publique territoriale et hospitalière</t>
        </is>
      </c>
      <c r="B888" s="7" t="inlineStr">
        <is>
          <t>actif</t>
        </is>
      </c>
      <c r="C888" s="88" t="n">
        <v>2023</v>
      </c>
      <c r="D888" s="95" t="n">
        <v>59</v>
      </c>
      <c r="E888" s="95" t="n">
        <v>62</v>
      </c>
      <c r="F888" s="85" t="n">
        <v>172</v>
      </c>
      <c r="G888" s="120" t="n">
        <v>0.0125</v>
      </c>
      <c r="H888" s="120" t="n">
        <v>0.0125</v>
      </c>
      <c r="I888" s="95" t="n">
        <v>3.5</v>
      </c>
      <c r="J888" s="95" t="n">
        <v>62.5</v>
      </c>
      <c r="K888" s="95" t="n">
        <v>0.955</v>
      </c>
      <c r="L888" s="85" t="n">
        <v>0</v>
      </c>
    </row>
    <row r="889">
      <c r="A889" s="84" t="inlineStr">
        <is>
          <t>Fonction publique territoriale et hospitalière</t>
        </is>
      </c>
      <c r="B889" s="7" t="inlineStr">
        <is>
          <t>actif</t>
        </is>
      </c>
      <c r="C889" s="88" t="n">
        <v>2024</v>
      </c>
      <c r="D889" s="95" t="n">
        <v>59</v>
      </c>
      <c r="E889" s="95" t="n">
        <v>62</v>
      </c>
      <c r="F889" s="85" t="n">
        <v>172</v>
      </c>
      <c r="G889" s="120" t="n">
        <v>0.0125</v>
      </c>
      <c r="H889" s="120" t="n">
        <v>0.0125</v>
      </c>
      <c r="I889" s="95" t="n">
        <v>3.5</v>
      </c>
      <c r="J889" s="95" t="n">
        <v>62.5</v>
      </c>
      <c r="K889" s="95" t="n">
        <v>0.955</v>
      </c>
      <c r="L889" s="85" t="n">
        <v>0</v>
      </c>
    </row>
    <row r="890">
      <c r="A890" s="84" t="inlineStr">
        <is>
          <t>Fonction publique territoriale et hospitalière</t>
        </is>
      </c>
      <c r="B890" s="7" t="inlineStr">
        <is>
          <t>actif</t>
        </is>
      </c>
      <c r="C890" s="88" t="n">
        <v>2025</v>
      </c>
      <c r="D890" s="95" t="n">
        <v>59</v>
      </c>
      <c r="E890" s="95" t="n">
        <v>62</v>
      </c>
      <c r="F890" s="85" t="n">
        <v>172</v>
      </c>
      <c r="G890" s="120" t="n">
        <v>0.0125</v>
      </c>
      <c r="H890" s="120" t="n">
        <v>0.0125</v>
      </c>
      <c r="I890" s="95" t="n">
        <v>3.5</v>
      </c>
      <c r="J890" s="95" t="n">
        <v>62.5</v>
      </c>
      <c r="K890" s="95" t="n">
        <v>0.955</v>
      </c>
      <c r="L890" s="85" t="n">
        <v>0</v>
      </c>
    </row>
    <row r="891">
      <c r="A891" s="84" t="inlineStr">
        <is>
          <t>Fonction publique territoriale et hospitalière</t>
        </is>
      </c>
      <c r="B891" s="7" t="inlineStr">
        <is>
          <t>conduite ou super-actif</t>
        </is>
      </c>
      <c r="C891" s="88" t="n">
        <v>1915</v>
      </c>
      <c r="D891" s="95" t="n">
        <v>50</v>
      </c>
      <c r="E891" s="95" t="n">
        <v>55</v>
      </c>
      <c r="F891" s="85" t="n">
        <v>150</v>
      </c>
      <c r="G891" s="120" t="n">
        <v>0</v>
      </c>
      <c r="H891" s="120" t="n">
        <v>0</v>
      </c>
      <c r="I891" s="95" t="n">
        <v>0.5</v>
      </c>
      <c r="J891" s="95" t="n">
        <v>50.5</v>
      </c>
      <c r="K891" s="95" t="n">
        <v>0.955</v>
      </c>
      <c r="L891" s="85" t="n">
        <v>1</v>
      </c>
    </row>
    <row r="892">
      <c r="A892" s="84" t="inlineStr">
        <is>
          <t>Fonction publique territoriale et hospitalière</t>
        </is>
      </c>
      <c r="B892" s="7" t="inlineStr">
        <is>
          <t>conduite ou super-actif</t>
        </is>
      </c>
      <c r="C892" s="88" t="n">
        <v>1916</v>
      </c>
      <c r="D892" s="95" t="n">
        <v>50</v>
      </c>
      <c r="E892" s="95" t="n">
        <v>55</v>
      </c>
      <c r="F892" s="85" t="n">
        <v>150</v>
      </c>
      <c r="G892" s="120" t="n">
        <v>0</v>
      </c>
      <c r="H892" s="120" t="n">
        <v>0</v>
      </c>
      <c r="I892" s="95" t="n">
        <v>0.5</v>
      </c>
      <c r="J892" s="95" t="n">
        <v>50.5</v>
      </c>
      <c r="K892" s="95" t="n">
        <v>0.955</v>
      </c>
      <c r="L892" s="85" t="n">
        <v>1</v>
      </c>
    </row>
    <row r="893">
      <c r="A893" s="84" t="inlineStr">
        <is>
          <t>Fonction publique territoriale et hospitalière</t>
        </is>
      </c>
      <c r="B893" s="7" t="inlineStr">
        <is>
          <t>conduite ou super-actif</t>
        </is>
      </c>
      <c r="C893" s="88" t="n">
        <v>1917</v>
      </c>
      <c r="D893" s="95" t="n">
        <v>50</v>
      </c>
      <c r="E893" s="95" t="n">
        <v>55</v>
      </c>
      <c r="F893" s="85" t="n">
        <v>150</v>
      </c>
      <c r="G893" s="120" t="n">
        <v>0</v>
      </c>
      <c r="H893" s="120" t="n">
        <v>0</v>
      </c>
      <c r="I893" s="95" t="n">
        <v>0.5</v>
      </c>
      <c r="J893" s="95" t="n">
        <v>50.5</v>
      </c>
      <c r="K893" s="95" t="n">
        <v>0.955</v>
      </c>
      <c r="L893" s="85" t="n">
        <v>1</v>
      </c>
    </row>
    <row r="894">
      <c r="A894" s="84" t="inlineStr">
        <is>
          <t>Fonction publique territoriale et hospitalière</t>
        </is>
      </c>
      <c r="B894" s="7" t="inlineStr">
        <is>
          <t>conduite ou super-actif</t>
        </is>
      </c>
      <c r="C894" s="88" t="n">
        <v>1918</v>
      </c>
      <c r="D894" s="95" t="n">
        <v>50</v>
      </c>
      <c r="E894" s="95" t="n">
        <v>55</v>
      </c>
      <c r="F894" s="85" t="n">
        <v>150</v>
      </c>
      <c r="G894" s="120" t="n">
        <v>0</v>
      </c>
      <c r="H894" s="120" t="n">
        <v>0</v>
      </c>
      <c r="I894" s="95" t="n">
        <v>0.5</v>
      </c>
      <c r="J894" s="95" t="n">
        <v>50.5</v>
      </c>
      <c r="K894" s="95" t="n">
        <v>0.955</v>
      </c>
      <c r="L894" s="85" t="n">
        <v>1</v>
      </c>
    </row>
    <row r="895">
      <c r="A895" s="84" t="inlineStr">
        <is>
          <t>Fonction publique territoriale et hospitalière</t>
        </is>
      </c>
      <c r="B895" s="7" t="inlineStr">
        <is>
          <t>conduite ou super-actif</t>
        </is>
      </c>
      <c r="C895" s="88" t="n">
        <v>1919</v>
      </c>
      <c r="D895" s="95" t="n">
        <v>50</v>
      </c>
      <c r="E895" s="95" t="n">
        <v>55</v>
      </c>
      <c r="F895" s="85" t="n">
        <v>150</v>
      </c>
      <c r="G895" s="120" t="n">
        <v>0</v>
      </c>
      <c r="H895" s="120" t="n">
        <v>0</v>
      </c>
      <c r="I895" s="95" t="n">
        <v>0.5</v>
      </c>
      <c r="J895" s="95" t="n">
        <v>50.5</v>
      </c>
      <c r="K895" s="95" t="n">
        <v>0.955</v>
      </c>
      <c r="L895" s="85" t="n">
        <v>1</v>
      </c>
    </row>
    <row r="896">
      <c r="A896" s="84" t="inlineStr">
        <is>
          <t>Fonction publique territoriale et hospitalière</t>
        </is>
      </c>
      <c r="B896" s="7" t="inlineStr">
        <is>
          <t>conduite ou super-actif</t>
        </is>
      </c>
      <c r="C896" s="88" t="n">
        <v>1920</v>
      </c>
      <c r="D896" s="95" t="n">
        <v>50</v>
      </c>
      <c r="E896" s="95" t="n">
        <v>55</v>
      </c>
      <c r="F896" s="85" t="n">
        <v>150</v>
      </c>
      <c r="G896" s="120" t="n">
        <v>0</v>
      </c>
      <c r="H896" s="120" t="n">
        <v>0</v>
      </c>
      <c r="I896" s="95" t="n">
        <v>0.5</v>
      </c>
      <c r="J896" s="95" t="n">
        <v>50.5</v>
      </c>
      <c r="K896" s="95" t="n">
        <v>0.955</v>
      </c>
      <c r="L896" s="85" t="n">
        <v>1</v>
      </c>
    </row>
    <row r="897">
      <c r="A897" s="84" t="inlineStr">
        <is>
          <t>Fonction publique territoriale et hospitalière</t>
        </is>
      </c>
      <c r="B897" s="7" t="inlineStr">
        <is>
          <t>conduite ou super-actif</t>
        </is>
      </c>
      <c r="C897" s="88" t="n">
        <v>1921</v>
      </c>
      <c r="D897" s="95" t="n">
        <v>50</v>
      </c>
      <c r="E897" s="95" t="n">
        <v>55</v>
      </c>
      <c r="F897" s="85" t="n">
        <v>150</v>
      </c>
      <c r="G897" s="120" t="n">
        <v>0</v>
      </c>
      <c r="H897" s="120" t="n">
        <v>0</v>
      </c>
      <c r="I897" s="95" t="n">
        <v>0.5</v>
      </c>
      <c r="J897" s="95" t="n">
        <v>50.5</v>
      </c>
      <c r="K897" s="95" t="n">
        <v>0.955</v>
      </c>
      <c r="L897" s="85" t="n">
        <v>1</v>
      </c>
    </row>
    <row r="898">
      <c r="A898" s="84" t="inlineStr">
        <is>
          <t>Fonction publique territoriale et hospitalière</t>
        </is>
      </c>
      <c r="B898" s="7" t="inlineStr">
        <is>
          <t>conduite ou super-actif</t>
        </is>
      </c>
      <c r="C898" s="88" t="n">
        <v>1922</v>
      </c>
      <c r="D898" s="95" t="n">
        <v>50</v>
      </c>
      <c r="E898" s="95" t="n">
        <v>55</v>
      </c>
      <c r="F898" s="85" t="n">
        <v>150</v>
      </c>
      <c r="G898" s="120" t="n">
        <v>0</v>
      </c>
      <c r="H898" s="120" t="n">
        <v>0</v>
      </c>
      <c r="I898" s="95" t="n">
        <v>0.5</v>
      </c>
      <c r="J898" s="95" t="n">
        <v>50.5</v>
      </c>
      <c r="K898" s="95" t="n">
        <v>0.955</v>
      </c>
      <c r="L898" s="85" t="n">
        <v>1</v>
      </c>
    </row>
    <row r="899">
      <c r="A899" s="84" t="inlineStr">
        <is>
          <t>Fonction publique territoriale et hospitalière</t>
        </is>
      </c>
      <c r="B899" s="7" t="inlineStr">
        <is>
          <t>conduite ou super-actif</t>
        </is>
      </c>
      <c r="C899" s="88" t="n">
        <v>1923</v>
      </c>
      <c r="D899" s="95" t="n">
        <v>50</v>
      </c>
      <c r="E899" s="95" t="n">
        <v>55</v>
      </c>
      <c r="F899" s="85" t="n">
        <v>150</v>
      </c>
      <c r="G899" s="120" t="n">
        <v>0</v>
      </c>
      <c r="H899" s="120" t="n">
        <v>0</v>
      </c>
      <c r="I899" s="95" t="n">
        <v>0.5</v>
      </c>
      <c r="J899" s="95" t="n">
        <v>50.5</v>
      </c>
      <c r="K899" s="95" t="n">
        <v>0.955</v>
      </c>
      <c r="L899" s="85" t="n">
        <v>1</v>
      </c>
    </row>
    <row r="900">
      <c r="A900" s="84" t="inlineStr">
        <is>
          <t>Fonction publique territoriale et hospitalière</t>
        </is>
      </c>
      <c r="B900" s="7" t="inlineStr">
        <is>
          <t>conduite ou super-actif</t>
        </is>
      </c>
      <c r="C900" s="88" t="n">
        <v>1924</v>
      </c>
      <c r="D900" s="95" t="n">
        <v>50</v>
      </c>
      <c r="E900" s="95" t="n">
        <v>55</v>
      </c>
      <c r="F900" s="85" t="n">
        <v>150</v>
      </c>
      <c r="G900" s="120" t="n">
        <v>0</v>
      </c>
      <c r="H900" s="120" t="n">
        <v>0</v>
      </c>
      <c r="I900" s="95" t="n">
        <v>0.5</v>
      </c>
      <c r="J900" s="95" t="n">
        <v>50.5</v>
      </c>
      <c r="K900" s="95" t="n">
        <v>0.955</v>
      </c>
      <c r="L900" s="85" t="n">
        <v>1</v>
      </c>
    </row>
    <row r="901">
      <c r="A901" s="84" t="inlineStr">
        <is>
          <t>Fonction publique territoriale et hospitalière</t>
        </is>
      </c>
      <c r="B901" s="7" t="inlineStr">
        <is>
          <t>conduite ou super-actif</t>
        </is>
      </c>
      <c r="C901" s="88" t="n">
        <v>1925</v>
      </c>
      <c r="D901" s="95" t="n">
        <v>50</v>
      </c>
      <c r="E901" s="95" t="n">
        <v>55</v>
      </c>
      <c r="F901" s="85" t="n">
        <v>150</v>
      </c>
      <c r="G901" s="120" t="n">
        <v>0</v>
      </c>
      <c r="H901" s="120" t="n">
        <v>0</v>
      </c>
      <c r="I901" s="95" t="n">
        <v>0.5</v>
      </c>
      <c r="J901" s="95" t="n">
        <v>50.5</v>
      </c>
      <c r="K901" s="95" t="n">
        <v>0.955</v>
      </c>
      <c r="L901" s="85" t="n">
        <v>1</v>
      </c>
    </row>
    <row r="902">
      <c r="A902" s="84" t="inlineStr">
        <is>
          <t>Fonction publique territoriale et hospitalière</t>
        </is>
      </c>
      <c r="B902" s="7" t="inlineStr">
        <is>
          <t>conduite ou super-actif</t>
        </is>
      </c>
      <c r="C902" s="88" t="n">
        <v>1926</v>
      </c>
      <c r="D902" s="95" t="n">
        <v>50</v>
      </c>
      <c r="E902" s="95" t="n">
        <v>55</v>
      </c>
      <c r="F902" s="85" t="n">
        <v>150</v>
      </c>
      <c r="G902" s="120" t="n">
        <v>0</v>
      </c>
      <c r="H902" s="120" t="n">
        <v>0</v>
      </c>
      <c r="I902" s="95" t="n">
        <v>0.5</v>
      </c>
      <c r="J902" s="95" t="n">
        <v>50.5</v>
      </c>
      <c r="K902" s="95" t="n">
        <v>0.955</v>
      </c>
      <c r="L902" s="85" t="n">
        <v>1</v>
      </c>
    </row>
    <row r="903">
      <c r="A903" s="84" t="inlineStr">
        <is>
          <t>Fonction publique territoriale et hospitalière</t>
        </is>
      </c>
      <c r="B903" s="7" t="inlineStr">
        <is>
          <t>conduite ou super-actif</t>
        </is>
      </c>
      <c r="C903" s="88" t="n">
        <v>1927</v>
      </c>
      <c r="D903" s="95" t="n">
        <v>50</v>
      </c>
      <c r="E903" s="95" t="n">
        <v>55</v>
      </c>
      <c r="F903" s="85" t="n">
        <v>150</v>
      </c>
      <c r="G903" s="120" t="n">
        <v>0</v>
      </c>
      <c r="H903" s="120" t="n">
        <v>0</v>
      </c>
      <c r="I903" s="95" t="n">
        <v>0.5</v>
      </c>
      <c r="J903" s="95" t="n">
        <v>50.5</v>
      </c>
      <c r="K903" s="95" t="n">
        <v>0.955</v>
      </c>
      <c r="L903" s="85" t="n">
        <v>1</v>
      </c>
    </row>
    <row r="904">
      <c r="A904" s="84" t="inlineStr">
        <is>
          <t>Fonction publique territoriale et hospitalière</t>
        </is>
      </c>
      <c r="B904" s="7" t="inlineStr">
        <is>
          <t>conduite ou super-actif</t>
        </is>
      </c>
      <c r="C904" s="88" t="n">
        <v>1928</v>
      </c>
      <c r="D904" s="95" t="n">
        <v>50</v>
      </c>
      <c r="E904" s="95" t="n">
        <v>55</v>
      </c>
      <c r="F904" s="85" t="n">
        <v>150</v>
      </c>
      <c r="G904" s="120" t="n">
        <v>0</v>
      </c>
      <c r="H904" s="120" t="n">
        <v>0</v>
      </c>
      <c r="I904" s="95" t="n">
        <v>0.5</v>
      </c>
      <c r="J904" s="95" t="n">
        <v>50.5</v>
      </c>
      <c r="K904" s="95" t="n">
        <v>0.955</v>
      </c>
      <c r="L904" s="85" t="n">
        <v>1</v>
      </c>
    </row>
    <row r="905">
      <c r="A905" s="84" t="inlineStr">
        <is>
          <t>Fonction publique territoriale et hospitalière</t>
        </is>
      </c>
      <c r="B905" s="7" t="inlineStr">
        <is>
          <t>conduite ou super-actif</t>
        </is>
      </c>
      <c r="C905" s="88" t="n">
        <v>1929</v>
      </c>
      <c r="D905" s="95" t="n">
        <v>50</v>
      </c>
      <c r="E905" s="95" t="n">
        <v>55</v>
      </c>
      <c r="F905" s="85" t="n">
        <v>150</v>
      </c>
      <c r="G905" s="120" t="n">
        <v>0</v>
      </c>
      <c r="H905" s="120" t="n">
        <v>0</v>
      </c>
      <c r="I905" s="95" t="n">
        <v>0.5</v>
      </c>
      <c r="J905" s="95" t="n">
        <v>50.5</v>
      </c>
      <c r="K905" s="95" t="n">
        <v>0.955</v>
      </c>
      <c r="L905" s="85" t="n">
        <v>1</v>
      </c>
    </row>
    <row r="906">
      <c r="A906" s="84" t="inlineStr">
        <is>
          <t>Fonction publique territoriale et hospitalière</t>
        </is>
      </c>
      <c r="B906" s="7" t="inlineStr">
        <is>
          <t>conduite ou super-actif</t>
        </is>
      </c>
      <c r="C906" s="88" t="n">
        <v>1930</v>
      </c>
      <c r="D906" s="95" t="n">
        <v>50</v>
      </c>
      <c r="E906" s="95" t="n">
        <v>55</v>
      </c>
      <c r="F906" s="85" t="n">
        <v>150</v>
      </c>
      <c r="G906" s="120" t="n">
        <v>0</v>
      </c>
      <c r="H906" s="120" t="n">
        <v>0</v>
      </c>
      <c r="I906" s="95" t="n">
        <v>0.5</v>
      </c>
      <c r="J906" s="95" t="n">
        <v>50.5</v>
      </c>
      <c r="K906" s="95" t="n">
        <v>0.955</v>
      </c>
      <c r="L906" s="85" t="n">
        <v>1</v>
      </c>
    </row>
    <row r="907">
      <c r="A907" s="84" t="inlineStr">
        <is>
          <t>Fonction publique territoriale et hospitalière</t>
        </is>
      </c>
      <c r="B907" s="7" t="inlineStr">
        <is>
          <t>conduite ou super-actif</t>
        </is>
      </c>
      <c r="C907" s="88" t="n">
        <v>1931</v>
      </c>
      <c r="D907" s="95" t="n">
        <v>50</v>
      </c>
      <c r="E907" s="95" t="n">
        <v>55</v>
      </c>
      <c r="F907" s="85" t="n">
        <v>150</v>
      </c>
      <c r="G907" s="120" t="n">
        <v>0</v>
      </c>
      <c r="H907" s="120" t="n">
        <v>0</v>
      </c>
      <c r="I907" s="95" t="n">
        <v>0.5</v>
      </c>
      <c r="J907" s="95" t="n">
        <v>50.5</v>
      </c>
      <c r="K907" s="95" t="n">
        <v>0.955</v>
      </c>
      <c r="L907" s="85" t="n">
        <v>1</v>
      </c>
    </row>
    <row r="908">
      <c r="A908" s="84" t="inlineStr">
        <is>
          <t>Fonction publique territoriale et hospitalière</t>
        </is>
      </c>
      <c r="B908" s="7" t="inlineStr">
        <is>
          <t>conduite ou super-actif</t>
        </is>
      </c>
      <c r="C908" s="88" t="n">
        <v>1932</v>
      </c>
      <c r="D908" s="95" t="n">
        <v>50</v>
      </c>
      <c r="E908" s="95" t="n">
        <v>55</v>
      </c>
      <c r="F908" s="85" t="n">
        <v>150</v>
      </c>
      <c r="G908" s="120" t="n">
        <v>0</v>
      </c>
      <c r="H908" s="120" t="n">
        <v>0</v>
      </c>
      <c r="I908" s="95" t="n">
        <v>0.5</v>
      </c>
      <c r="J908" s="95" t="n">
        <v>50.5</v>
      </c>
      <c r="K908" s="95" t="n">
        <v>0.955</v>
      </c>
      <c r="L908" s="85" t="n">
        <v>1</v>
      </c>
    </row>
    <row r="909">
      <c r="A909" s="84" t="inlineStr">
        <is>
          <t>Fonction publique territoriale et hospitalière</t>
        </is>
      </c>
      <c r="B909" s="7" t="inlineStr">
        <is>
          <t>conduite ou super-actif</t>
        </is>
      </c>
      <c r="C909" s="88" t="n">
        <v>1933</v>
      </c>
      <c r="D909" s="95" t="n">
        <v>50</v>
      </c>
      <c r="E909" s="95" t="n">
        <v>55</v>
      </c>
      <c r="F909" s="85" t="n">
        <v>150</v>
      </c>
      <c r="G909" s="120" t="n">
        <v>0</v>
      </c>
      <c r="H909" s="120" t="n">
        <v>0</v>
      </c>
      <c r="I909" s="95" t="n">
        <v>0.5</v>
      </c>
      <c r="J909" s="95" t="n">
        <v>50.5</v>
      </c>
      <c r="K909" s="95" t="n">
        <v>0.955</v>
      </c>
      <c r="L909" s="85" t="n">
        <v>1</v>
      </c>
    </row>
    <row r="910">
      <c r="A910" s="84" t="inlineStr">
        <is>
          <t>Fonction publique territoriale et hospitalière</t>
        </is>
      </c>
      <c r="B910" s="7" t="inlineStr">
        <is>
          <t>conduite ou super-actif</t>
        </is>
      </c>
      <c r="C910" s="88" t="n">
        <v>1934</v>
      </c>
      <c r="D910" s="95" t="n">
        <v>50</v>
      </c>
      <c r="E910" s="95" t="n">
        <v>55</v>
      </c>
      <c r="F910" s="85" t="n">
        <v>150</v>
      </c>
      <c r="G910" s="120" t="n">
        <v>0</v>
      </c>
      <c r="H910" s="120" t="n">
        <v>0</v>
      </c>
      <c r="I910" s="95" t="n">
        <v>0.5</v>
      </c>
      <c r="J910" s="95" t="n">
        <v>50.5</v>
      </c>
      <c r="K910" s="95" t="n">
        <v>0.955</v>
      </c>
      <c r="L910" s="85" t="n">
        <v>1</v>
      </c>
    </row>
    <row r="911">
      <c r="A911" s="84" t="inlineStr">
        <is>
          <t>Fonction publique territoriale et hospitalière</t>
        </is>
      </c>
      <c r="B911" s="7" t="inlineStr">
        <is>
          <t>conduite ou super-actif</t>
        </is>
      </c>
      <c r="C911" s="88" t="n">
        <v>1935</v>
      </c>
      <c r="D911" s="95" t="n">
        <v>50</v>
      </c>
      <c r="E911" s="95" t="n">
        <v>55</v>
      </c>
      <c r="F911" s="85" t="n">
        <v>150</v>
      </c>
      <c r="G911" s="120" t="n">
        <v>0</v>
      </c>
      <c r="H911" s="120" t="n">
        <v>0</v>
      </c>
      <c r="I911" s="95" t="n">
        <v>0.5</v>
      </c>
      <c r="J911" s="95" t="n">
        <v>50.5</v>
      </c>
      <c r="K911" s="95" t="n">
        <v>0.955</v>
      </c>
      <c r="L911" s="85" t="n">
        <v>1</v>
      </c>
    </row>
    <row r="912">
      <c r="A912" s="84" t="inlineStr">
        <is>
          <t>Fonction publique territoriale et hospitalière</t>
        </is>
      </c>
      <c r="B912" s="7" t="inlineStr">
        <is>
          <t>conduite ou super-actif</t>
        </is>
      </c>
      <c r="C912" s="88" t="n">
        <v>1936</v>
      </c>
      <c r="D912" s="95" t="n">
        <v>50</v>
      </c>
      <c r="E912" s="95" t="n">
        <v>55</v>
      </c>
      <c r="F912" s="85" t="n">
        <v>150</v>
      </c>
      <c r="G912" s="120" t="n">
        <v>0</v>
      </c>
      <c r="H912" s="120" t="n">
        <v>0</v>
      </c>
      <c r="I912" s="95" t="n">
        <v>0.5</v>
      </c>
      <c r="J912" s="95" t="n">
        <v>50.5</v>
      </c>
      <c r="K912" s="95" t="n">
        <v>0.955</v>
      </c>
      <c r="L912" s="85" t="n">
        <v>1</v>
      </c>
    </row>
    <row r="913">
      <c r="A913" s="84" t="inlineStr">
        <is>
          <t>Fonction publique territoriale et hospitalière</t>
        </is>
      </c>
      <c r="B913" s="7" t="inlineStr">
        <is>
          <t>conduite ou super-actif</t>
        </is>
      </c>
      <c r="C913" s="88" t="n">
        <v>1937</v>
      </c>
      <c r="D913" s="95" t="n">
        <v>50</v>
      </c>
      <c r="E913" s="95" t="n">
        <v>55</v>
      </c>
      <c r="F913" s="85" t="n">
        <v>150</v>
      </c>
      <c r="G913" s="120" t="n">
        <v>0</v>
      </c>
      <c r="H913" s="120" t="n">
        <v>0</v>
      </c>
      <c r="I913" s="95" t="n">
        <v>0.5</v>
      </c>
      <c r="J913" s="95" t="n">
        <v>50.5</v>
      </c>
      <c r="K913" s="95" t="n">
        <v>0.955</v>
      </c>
      <c r="L913" s="85" t="n">
        <v>1</v>
      </c>
    </row>
    <row r="914">
      <c r="A914" s="84" t="inlineStr">
        <is>
          <t>Fonction publique territoriale et hospitalière</t>
        </is>
      </c>
      <c r="B914" s="7" t="inlineStr">
        <is>
          <t>conduite ou super-actif</t>
        </is>
      </c>
      <c r="C914" s="88" t="n">
        <v>1938</v>
      </c>
      <c r="D914" s="95" t="n">
        <v>50</v>
      </c>
      <c r="E914" s="95" t="n">
        <v>55</v>
      </c>
      <c r="F914" s="85" t="n">
        <v>150</v>
      </c>
      <c r="G914" s="120" t="n">
        <v>0</v>
      </c>
      <c r="H914" s="120" t="n">
        <v>0</v>
      </c>
      <c r="I914" s="95" t="n">
        <v>0.5</v>
      </c>
      <c r="J914" s="95" t="n">
        <v>50.5</v>
      </c>
      <c r="K914" s="95" t="n">
        <v>0.955</v>
      </c>
      <c r="L914" s="85" t="n">
        <v>1</v>
      </c>
    </row>
    <row r="915">
      <c r="A915" s="84" t="inlineStr">
        <is>
          <t>Fonction publique territoriale et hospitalière</t>
        </is>
      </c>
      <c r="B915" s="7" t="inlineStr">
        <is>
          <t>conduite ou super-actif</t>
        </is>
      </c>
      <c r="C915" s="88" t="n">
        <v>1939</v>
      </c>
      <c r="D915" s="95" t="n">
        <v>50</v>
      </c>
      <c r="E915" s="95" t="n">
        <v>55</v>
      </c>
      <c r="F915" s="85" t="n">
        <v>150</v>
      </c>
      <c r="G915" s="120" t="n">
        <v>0</v>
      </c>
      <c r="H915" s="120" t="n">
        <v>0</v>
      </c>
      <c r="I915" s="95" t="n">
        <v>0.5</v>
      </c>
      <c r="J915" s="95" t="n">
        <v>50.5</v>
      </c>
      <c r="K915" s="95" t="n">
        <v>0.955</v>
      </c>
      <c r="L915" s="85" t="n">
        <v>1</v>
      </c>
    </row>
    <row r="916">
      <c r="A916" s="84" t="inlineStr">
        <is>
          <t>Fonction publique territoriale et hospitalière</t>
        </is>
      </c>
      <c r="B916" s="7" t="inlineStr">
        <is>
          <t>conduite ou super-actif</t>
        </is>
      </c>
      <c r="C916" s="88" t="n">
        <v>1940</v>
      </c>
      <c r="D916" s="95" t="n">
        <v>50</v>
      </c>
      <c r="E916" s="95" t="n">
        <v>55</v>
      </c>
      <c r="F916" s="85" t="n">
        <v>150</v>
      </c>
      <c r="G916" s="120" t="n">
        <v>0</v>
      </c>
      <c r="H916" s="120" t="n">
        <v>0</v>
      </c>
      <c r="I916" s="95" t="n">
        <v>0.5</v>
      </c>
      <c r="J916" s="95" t="n">
        <v>50.5</v>
      </c>
      <c r="K916" s="95" t="n">
        <v>0.955</v>
      </c>
      <c r="L916" s="85" t="n">
        <v>1</v>
      </c>
    </row>
    <row r="917">
      <c r="A917" s="84" t="inlineStr">
        <is>
          <t>Fonction publique territoriale et hospitalière</t>
        </is>
      </c>
      <c r="B917" s="7" t="inlineStr">
        <is>
          <t>conduite ou super-actif</t>
        </is>
      </c>
      <c r="C917" s="88" t="n">
        <v>1941</v>
      </c>
      <c r="D917" s="95" t="n">
        <v>50</v>
      </c>
      <c r="E917" s="95" t="n">
        <v>55</v>
      </c>
      <c r="F917" s="85" t="n">
        <v>150</v>
      </c>
      <c r="G917" s="120" t="n">
        <v>0</v>
      </c>
      <c r="H917" s="120" t="n">
        <v>0</v>
      </c>
      <c r="I917" s="95" t="n">
        <v>0.5</v>
      </c>
      <c r="J917" s="95" t="n">
        <v>50.5</v>
      </c>
      <c r="K917" s="95" t="n">
        <v>0.955</v>
      </c>
      <c r="L917" s="85" t="n">
        <v>1</v>
      </c>
    </row>
    <row r="918">
      <c r="A918" s="84" t="inlineStr">
        <is>
          <t>Fonction publique territoriale et hospitalière</t>
        </is>
      </c>
      <c r="B918" s="7" t="inlineStr">
        <is>
          <t>conduite ou super-actif</t>
        </is>
      </c>
      <c r="C918" s="88" t="n">
        <v>1942</v>
      </c>
      <c r="D918" s="95" t="n">
        <v>50</v>
      </c>
      <c r="E918" s="95" t="n">
        <v>55</v>
      </c>
      <c r="F918" s="85" t="n">
        <v>150</v>
      </c>
      <c r="G918" s="120" t="n">
        <v>0</v>
      </c>
      <c r="H918" s="120" t="n">
        <v>0</v>
      </c>
      <c r="I918" s="95" t="n">
        <v>0.5</v>
      </c>
      <c r="J918" s="95" t="n">
        <v>50.5</v>
      </c>
      <c r="K918" s="95" t="n">
        <v>0.955</v>
      </c>
      <c r="L918" s="85" t="n">
        <v>1</v>
      </c>
    </row>
    <row r="919">
      <c r="A919" s="84" t="inlineStr">
        <is>
          <t>Fonction publique territoriale et hospitalière</t>
        </is>
      </c>
      <c r="B919" s="7" t="inlineStr">
        <is>
          <t>conduite ou super-actif</t>
        </is>
      </c>
      <c r="C919" s="88" t="n">
        <v>1943</v>
      </c>
      <c r="D919" s="95" t="n">
        <v>50</v>
      </c>
      <c r="E919" s="95" t="n">
        <v>55</v>
      </c>
      <c r="F919" s="85" t="n">
        <v>150</v>
      </c>
      <c r="G919" s="120" t="n">
        <v>0</v>
      </c>
      <c r="H919" s="120" t="n">
        <v>0</v>
      </c>
      <c r="I919" s="95" t="n">
        <v>0.5</v>
      </c>
      <c r="J919" s="95" t="n">
        <v>50.5</v>
      </c>
      <c r="K919" s="95" t="n">
        <v>0.955</v>
      </c>
      <c r="L919" s="85" t="n">
        <v>1</v>
      </c>
    </row>
    <row r="920">
      <c r="A920" s="84" t="inlineStr">
        <is>
          <t>Fonction publique territoriale et hospitalière</t>
        </is>
      </c>
      <c r="B920" s="7" t="inlineStr">
        <is>
          <t>conduite ou super-actif</t>
        </is>
      </c>
      <c r="C920" s="88" t="n">
        <v>1944</v>
      </c>
      <c r="D920" s="95" t="n">
        <v>50</v>
      </c>
      <c r="E920" s="95" t="n">
        <v>55</v>
      </c>
      <c r="F920" s="85" t="n">
        <v>150</v>
      </c>
      <c r="G920" s="120" t="n">
        <v>0</v>
      </c>
      <c r="H920" s="120" t="n">
        <v>0</v>
      </c>
      <c r="I920" s="95" t="n">
        <v>0.5</v>
      </c>
      <c r="J920" s="95" t="n">
        <v>50.5</v>
      </c>
      <c r="K920" s="95" t="n">
        <v>0.955</v>
      </c>
      <c r="L920" s="85" t="n">
        <v>1</v>
      </c>
    </row>
    <row r="921">
      <c r="A921" s="84" t="inlineStr">
        <is>
          <t>Fonction publique territoriale et hospitalière</t>
        </is>
      </c>
      <c r="B921" s="7" t="inlineStr">
        <is>
          <t>conduite ou super-actif</t>
        </is>
      </c>
      <c r="C921" s="88" t="n">
        <v>1945</v>
      </c>
      <c r="D921" s="95" t="n">
        <v>50</v>
      </c>
      <c r="E921" s="95" t="n">
        <v>55</v>
      </c>
      <c r="F921" s="85" t="n">
        <v>150</v>
      </c>
      <c r="G921" s="120" t="n">
        <v>0</v>
      </c>
      <c r="H921" s="120" t="n">
        <v>0</v>
      </c>
      <c r="I921" s="95" t="n">
        <v>0.5</v>
      </c>
      <c r="J921" s="95" t="n">
        <v>50.5</v>
      </c>
      <c r="K921" s="95" t="n">
        <v>0.955</v>
      </c>
      <c r="L921" s="85" t="n">
        <v>1</v>
      </c>
    </row>
    <row r="922">
      <c r="A922" s="84" t="inlineStr">
        <is>
          <t>Fonction publique territoriale et hospitalière</t>
        </is>
      </c>
      <c r="B922" s="7" t="inlineStr">
        <is>
          <t>conduite ou super-actif</t>
        </is>
      </c>
      <c r="C922" s="88" t="n">
        <v>1946</v>
      </c>
      <c r="D922" s="95" t="n">
        <v>50</v>
      </c>
      <c r="E922" s="95" t="n">
        <v>55</v>
      </c>
      <c r="F922" s="85" t="n">
        <v>150</v>
      </c>
      <c r="G922" s="120" t="n">
        <v>0</v>
      </c>
      <c r="H922" s="120" t="n">
        <v>0</v>
      </c>
      <c r="I922" s="95" t="n">
        <v>0.6</v>
      </c>
      <c r="J922" s="95" t="n">
        <v>50.6</v>
      </c>
      <c r="K922" s="95" t="n">
        <v>0.955</v>
      </c>
      <c r="L922" s="85" t="n">
        <v>1</v>
      </c>
    </row>
    <row r="923">
      <c r="A923" s="84" t="inlineStr">
        <is>
          <t>Fonction publique territoriale et hospitalière</t>
        </is>
      </c>
      <c r="B923" s="7" t="inlineStr">
        <is>
          <t>conduite ou super-actif</t>
        </is>
      </c>
      <c r="C923" s="88" t="n">
        <v>1947</v>
      </c>
      <c r="D923" s="95" t="n">
        <v>50</v>
      </c>
      <c r="E923" s="95" t="n">
        <v>55</v>
      </c>
      <c r="F923" s="85" t="n">
        <v>150</v>
      </c>
      <c r="G923" s="120" t="n">
        <v>0</v>
      </c>
      <c r="H923" s="120" t="n">
        <v>0</v>
      </c>
      <c r="I923" s="95" t="n">
        <v>0.7</v>
      </c>
      <c r="J923" s="95" t="n">
        <v>50.7</v>
      </c>
      <c r="K923" s="95" t="n">
        <v>0.955</v>
      </c>
      <c r="L923" s="85" t="n">
        <v>1</v>
      </c>
    </row>
    <row r="924">
      <c r="A924" s="84" t="inlineStr">
        <is>
          <t>Fonction publique territoriale et hospitalière</t>
        </is>
      </c>
      <c r="B924" s="7" t="inlineStr">
        <is>
          <t>conduite ou super-actif</t>
        </is>
      </c>
      <c r="C924" s="88" t="n">
        <v>1948</v>
      </c>
      <c r="D924" s="95" t="n">
        <v>50</v>
      </c>
      <c r="E924" s="95" t="n">
        <v>55</v>
      </c>
      <c r="F924" s="85" t="n">
        <v>150</v>
      </c>
      <c r="G924" s="120" t="n">
        <v>0</v>
      </c>
      <c r="H924" s="120" t="n">
        <v>0</v>
      </c>
      <c r="I924" s="95" t="n">
        <v>0.8</v>
      </c>
      <c r="J924" s="95" t="n">
        <v>50.8</v>
      </c>
      <c r="K924" s="95" t="n">
        <v>0.955</v>
      </c>
      <c r="L924" s="85" t="n">
        <v>1</v>
      </c>
    </row>
    <row r="925">
      <c r="A925" s="84" t="inlineStr">
        <is>
          <t>Fonction publique territoriale et hospitalière</t>
        </is>
      </c>
      <c r="B925" s="7" t="inlineStr">
        <is>
          <t>conduite ou super-actif</t>
        </is>
      </c>
      <c r="C925" s="88" t="n">
        <v>1949</v>
      </c>
      <c r="D925" s="95" t="n">
        <v>50</v>
      </c>
      <c r="E925" s="95" t="n">
        <v>55</v>
      </c>
      <c r="F925" s="85" t="n">
        <v>150</v>
      </c>
      <c r="G925" s="120" t="n">
        <v>0</v>
      </c>
      <c r="H925" s="120" t="n">
        <v>0.0075</v>
      </c>
      <c r="I925" s="95" t="n">
        <v>0.9</v>
      </c>
      <c r="J925" s="95" t="n">
        <v>50.9</v>
      </c>
      <c r="K925" s="95" t="n">
        <v>0.955</v>
      </c>
      <c r="L925" s="85" t="n">
        <v>1</v>
      </c>
    </row>
    <row r="926">
      <c r="A926" s="84" t="inlineStr">
        <is>
          <t>Fonction publique territoriale et hospitalière</t>
        </is>
      </c>
      <c r="B926" s="7" t="inlineStr">
        <is>
          <t>conduite ou super-actif</t>
        </is>
      </c>
      <c r="C926" s="88" t="n">
        <v>1950</v>
      </c>
      <c r="D926" s="95" t="n">
        <v>50</v>
      </c>
      <c r="E926" s="95" t="n">
        <v>55</v>
      </c>
      <c r="F926" s="85" t="n">
        <v>150</v>
      </c>
      <c r="G926" s="120" t="n">
        <v>0</v>
      </c>
      <c r="H926" s="120" t="n">
        <v>0.0075</v>
      </c>
      <c r="I926" s="95" t="n">
        <v>1</v>
      </c>
      <c r="J926" s="95" t="n">
        <v>51</v>
      </c>
      <c r="K926" s="95" t="n">
        <v>0.955</v>
      </c>
      <c r="L926" s="85" t="n">
        <v>1</v>
      </c>
    </row>
    <row r="927">
      <c r="A927" s="84" t="inlineStr">
        <is>
          <t>Fonction publique territoriale et hospitalière</t>
        </is>
      </c>
      <c r="B927" s="7" t="inlineStr">
        <is>
          <t>conduite ou super-actif</t>
        </is>
      </c>
      <c r="C927" s="88" t="n">
        <v>1951</v>
      </c>
      <c r="D927" s="95" t="n">
        <v>50</v>
      </c>
      <c r="E927" s="95" t="n">
        <v>51</v>
      </c>
      <c r="F927" s="85" t="n">
        <v>150</v>
      </c>
      <c r="G927" s="120" t="n">
        <v>0.00125</v>
      </c>
      <c r="H927" s="120" t="n">
        <v>0.0075</v>
      </c>
      <c r="I927" s="95" t="n">
        <v>1.1</v>
      </c>
      <c r="J927" s="95" t="n">
        <v>51.1</v>
      </c>
      <c r="K927" s="95" t="n">
        <v>0.955</v>
      </c>
      <c r="L927" s="85" t="n">
        <v>1</v>
      </c>
    </row>
    <row r="928">
      <c r="A928" s="84" t="inlineStr">
        <is>
          <t>Fonction publique territoriale et hospitalière</t>
        </is>
      </c>
      <c r="B928" s="7" t="inlineStr">
        <is>
          <t>conduite ou super-actif</t>
        </is>
      </c>
      <c r="C928" s="88" t="n">
        <v>1952</v>
      </c>
      <c r="D928" s="95" t="n">
        <v>50</v>
      </c>
      <c r="E928" s="95" t="n">
        <v>51.5</v>
      </c>
      <c r="F928" s="85" t="n">
        <v>150</v>
      </c>
      <c r="G928" s="120" t="n">
        <v>0.0025</v>
      </c>
      <c r="H928" s="120" t="n">
        <v>0.0075</v>
      </c>
      <c r="I928" s="95" t="n">
        <v>1.2</v>
      </c>
      <c r="J928" s="95" t="n">
        <v>51.2</v>
      </c>
      <c r="K928" s="95" t="n">
        <v>0.955</v>
      </c>
      <c r="L928" s="85" t="n">
        <v>1</v>
      </c>
    </row>
    <row r="929">
      <c r="A929" s="84" t="inlineStr">
        <is>
          <t>Fonction publique territoriale et hospitalière</t>
        </is>
      </c>
      <c r="B929" s="7" t="inlineStr">
        <is>
          <t>conduite ou super-actif</t>
        </is>
      </c>
      <c r="C929" s="88" t="n">
        <v>1953</v>
      </c>
      <c r="D929" s="95" t="n">
        <v>50</v>
      </c>
      <c r="E929" s="95" t="n">
        <v>52</v>
      </c>
      <c r="F929" s="85" t="n">
        <v>150</v>
      </c>
      <c r="G929" s="120" t="n">
        <v>0.00375</v>
      </c>
      <c r="H929" s="120" t="n">
        <v>0.0075</v>
      </c>
      <c r="I929" s="95" t="n">
        <v>1.3</v>
      </c>
      <c r="J929" s="95" t="n">
        <v>51.3</v>
      </c>
      <c r="K929" s="95" t="n">
        <v>0.955</v>
      </c>
      <c r="L929" s="85" t="n">
        <v>1</v>
      </c>
    </row>
    <row r="930">
      <c r="A930" s="84" t="inlineStr">
        <is>
          <t>Fonction publique territoriale et hospitalière</t>
        </is>
      </c>
      <c r="B930" s="7" t="inlineStr">
        <is>
          <t>conduite ou super-actif</t>
        </is>
      </c>
      <c r="C930" s="88" t="n">
        <v>1954</v>
      </c>
      <c r="D930" s="95" t="n">
        <v>50</v>
      </c>
      <c r="E930" s="95" t="n">
        <v>52.25</v>
      </c>
      <c r="F930" s="85" t="n">
        <v>150</v>
      </c>
      <c r="G930" s="120" t="n">
        <v>0.005</v>
      </c>
      <c r="H930" s="120" t="n">
        <v>0.0125</v>
      </c>
      <c r="I930" s="95" t="n">
        <v>1.4</v>
      </c>
      <c r="J930" s="95" t="n">
        <v>51.4</v>
      </c>
      <c r="K930" s="95" t="n">
        <v>0.955</v>
      </c>
      <c r="L930" s="85" t="n">
        <v>1</v>
      </c>
    </row>
    <row r="931">
      <c r="A931" s="84" t="inlineStr">
        <is>
          <t>Fonction publique territoriale et hospitalière</t>
        </is>
      </c>
      <c r="B931" s="7" t="inlineStr">
        <is>
          <t>conduite ou super-actif</t>
        </is>
      </c>
      <c r="C931" s="88" t="n">
        <v>1955</v>
      </c>
      <c r="D931" s="95" t="n">
        <v>50</v>
      </c>
      <c r="E931" s="95" t="n">
        <v>52.5</v>
      </c>
      <c r="F931" s="85" t="n">
        <v>150</v>
      </c>
      <c r="G931" s="120" t="n">
        <v>0.00625</v>
      </c>
      <c r="H931" s="120" t="n">
        <v>0.0125</v>
      </c>
      <c r="I931" s="95" t="n">
        <v>1.5</v>
      </c>
      <c r="J931" s="95" t="n">
        <v>51.5</v>
      </c>
      <c r="K931" s="95" t="n">
        <v>0.955</v>
      </c>
      <c r="L931" s="85" t="n">
        <v>1</v>
      </c>
    </row>
    <row r="932">
      <c r="A932" s="84" t="inlineStr">
        <is>
          <t>Fonction publique territoriale et hospitalière</t>
        </is>
      </c>
      <c r="B932" s="7" t="inlineStr">
        <is>
          <t>conduite ou super-actif</t>
        </is>
      </c>
      <c r="C932" s="88" t="n">
        <v>1956</v>
      </c>
      <c r="D932" s="95" t="n">
        <v>50</v>
      </c>
      <c r="E932" s="95" t="n">
        <v>53</v>
      </c>
      <c r="F932" s="85" t="n">
        <v>150</v>
      </c>
      <c r="G932" s="120" t="n">
        <v>0.0075</v>
      </c>
      <c r="H932" s="120" t="n">
        <v>0.0125</v>
      </c>
      <c r="I932" s="95" t="n">
        <v>1.6</v>
      </c>
      <c r="J932" s="95" t="n">
        <v>51.6</v>
      </c>
      <c r="K932" s="95" t="n">
        <v>0.955</v>
      </c>
      <c r="L932" s="85" t="n">
        <v>1</v>
      </c>
    </row>
    <row r="933">
      <c r="A933" s="84" t="inlineStr">
        <is>
          <t>Fonction publique territoriale et hospitalière</t>
        </is>
      </c>
      <c r="B933" s="7" t="inlineStr">
        <is>
          <t>conduite ou super-actif</t>
        </is>
      </c>
      <c r="C933" s="88" t="n">
        <v>1957</v>
      </c>
      <c r="D933" s="95" t="n">
        <v>50</v>
      </c>
      <c r="E933" s="95" t="n">
        <v>53.9167</v>
      </c>
      <c r="F933" s="85" t="n">
        <v>150</v>
      </c>
      <c r="G933" s="120" t="n">
        <v>0.01</v>
      </c>
      <c r="H933" s="120" t="n">
        <v>0.0125</v>
      </c>
      <c r="I933" s="95" t="n">
        <v>1.7</v>
      </c>
      <c r="J933" s="95" t="n">
        <v>51.7</v>
      </c>
      <c r="K933" s="95" t="n">
        <v>0.955</v>
      </c>
      <c r="L933" s="85" t="n">
        <v>1</v>
      </c>
    </row>
    <row r="934">
      <c r="A934" s="84" t="inlineStr">
        <is>
          <t>Fonction publique territoriale et hospitalière</t>
        </is>
      </c>
      <c r="B934" s="7" t="inlineStr">
        <is>
          <t>conduite ou super-actif</t>
        </is>
      </c>
      <c r="C934" s="88" t="n">
        <v>1958</v>
      </c>
      <c r="D934" s="95" t="n">
        <v>50</v>
      </c>
      <c r="E934" s="95" t="n">
        <v>54.6667</v>
      </c>
      <c r="F934" s="85" t="n">
        <v>150</v>
      </c>
      <c r="G934" s="120" t="n">
        <v>0.01125</v>
      </c>
      <c r="H934" s="120" t="n">
        <v>0.0125</v>
      </c>
      <c r="I934" s="95" t="n">
        <v>1.8</v>
      </c>
      <c r="J934" s="95" t="n">
        <v>51.8</v>
      </c>
      <c r="K934" s="95" t="n">
        <v>0.955</v>
      </c>
      <c r="L934" s="85" t="n">
        <v>1</v>
      </c>
    </row>
    <row r="935">
      <c r="A935" s="84" t="inlineStr">
        <is>
          <t>Fonction publique territoriale et hospitalière</t>
        </is>
      </c>
      <c r="B935" s="7" t="inlineStr">
        <is>
          <t>conduite ou super-actif</t>
        </is>
      </c>
      <c r="C935" s="88" t="n">
        <v>1959</v>
      </c>
      <c r="D935" s="95" t="n">
        <v>50</v>
      </c>
      <c r="E935" s="95" t="n">
        <v>55.5</v>
      </c>
      <c r="F935" s="85" t="n">
        <v>150</v>
      </c>
      <c r="G935" s="120" t="n">
        <v>0.0125</v>
      </c>
      <c r="H935" s="120" t="n">
        <v>0.0125</v>
      </c>
      <c r="I935" s="95" t="n">
        <v>1.9</v>
      </c>
      <c r="J935" s="95" t="n">
        <v>51.9</v>
      </c>
      <c r="K935" s="95" t="n">
        <v>0.955</v>
      </c>
      <c r="L935" s="85" t="n">
        <v>1</v>
      </c>
    </row>
    <row r="936">
      <c r="A936" s="84" t="inlineStr">
        <is>
          <t>Fonction publique territoriale et hospitalière</t>
        </is>
      </c>
      <c r="B936" s="7" t="inlineStr">
        <is>
          <t>conduite ou super-actif</t>
        </is>
      </c>
      <c r="C936" s="88" t="n">
        <v>1960</v>
      </c>
      <c r="D936" s="95" t="n">
        <v>50</v>
      </c>
      <c r="E936" s="95" t="n">
        <v>56.25</v>
      </c>
      <c r="F936" s="85" t="n">
        <v>150</v>
      </c>
      <c r="G936" s="120" t="n">
        <v>0.0125</v>
      </c>
      <c r="H936" s="120" t="n">
        <v>0.0125</v>
      </c>
      <c r="I936" s="95" t="n">
        <v>2</v>
      </c>
      <c r="J936" s="95" t="n">
        <v>52</v>
      </c>
      <c r="K936" s="95" t="n">
        <v>0.955</v>
      </c>
      <c r="L936" s="85" t="n">
        <v>1</v>
      </c>
    </row>
    <row r="937">
      <c r="A937" s="84" t="inlineStr">
        <is>
          <t>Fonction publique territoriale et hospitalière</t>
        </is>
      </c>
      <c r="B937" s="7" t="inlineStr">
        <is>
          <t>conduite ou super-actif</t>
        </is>
      </c>
      <c r="C937" s="88" t="n">
        <v>1961</v>
      </c>
      <c r="D937" s="95" t="n">
        <v>50.1667</v>
      </c>
      <c r="E937" s="95" t="n">
        <v>56.5</v>
      </c>
      <c r="F937" s="85" t="n">
        <v>167</v>
      </c>
      <c r="G937" s="120" t="n">
        <v>0.0125</v>
      </c>
      <c r="H937" s="120" t="n">
        <v>0.0125</v>
      </c>
      <c r="I937" s="95" t="n">
        <v>2</v>
      </c>
      <c r="J937" s="95" t="n">
        <v>52.17</v>
      </c>
      <c r="K937" s="95" t="n">
        <v>0.955</v>
      </c>
      <c r="L937" s="85" t="n">
        <v>1</v>
      </c>
    </row>
    <row r="938">
      <c r="A938" s="84" t="inlineStr">
        <is>
          <t>Fonction publique territoriale et hospitalière</t>
        </is>
      </c>
      <c r="B938" s="7" t="inlineStr">
        <is>
          <t>conduite ou super-actif</t>
        </is>
      </c>
      <c r="C938" s="88" t="n">
        <v>1962</v>
      </c>
      <c r="D938" s="95" t="n">
        <v>50.75</v>
      </c>
      <c r="E938" s="95" t="n">
        <v>56.75</v>
      </c>
      <c r="F938" s="85" t="n">
        <v>167</v>
      </c>
      <c r="G938" s="120" t="n">
        <v>0.0125</v>
      </c>
      <c r="H938" s="120" t="n">
        <v>0.0125</v>
      </c>
      <c r="I938" s="95" t="n">
        <v>2</v>
      </c>
      <c r="J938" s="95" t="n">
        <v>52.75</v>
      </c>
      <c r="K938" s="95" t="n">
        <v>0.955</v>
      </c>
      <c r="L938" s="85" t="n">
        <v>1</v>
      </c>
    </row>
    <row r="939">
      <c r="A939" s="84" t="inlineStr">
        <is>
          <t>Fonction publique territoriale et hospitalière</t>
        </is>
      </c>
      <c r="B939" s="7" t="inlineStr">
        <is>
          <t>conduite ou super-actif</t>
        </is>
      </c>
      <c r="C939" s="88" t="n">
        <v>1963</v>
      </c>
      <c r="D939" s="95" t="n">
        <v>51.1667</v>
      </c>
      <c r="E939" s="95" t="n">
        <v>57</v>
      </c>
      <c r="F939" s="85" t="n">
        <v>167</v>
      </c>
      <c r="G939" s="120" t="n">
        <v>0.0125</v>
      </c>
      <c r="H939" s="120" t="n">
        <v>0.0125</v>
      </c>
      <c r="I939" s="95" t="n">
        <v>2</v>
      </c>
      <c r="J939" s="95" t="n">
        <v>53.17</v>
      </c>
      <c r="K939" s="95" t="n">
        <v>0.955</v>
      </c>
      <c r="L939" s="85" t="n">
        <v>1</v>
      </c>
    </row>
    <row r="940">
      <c r="A940" s="84" t="inlineStr">
        <is>
          <t>Fonction publique territoriale et hospitalière</t>
        </is>
      </c>
      <c r="B940" s="7" t="inlineStr">
        <is>
          <t>conduite ou super-actif</t>
        </is>
      </c>
      <c r="C940" s="88" t="n">
        <v>1964</v>
      </c>
      <c r="D940" s="95" t="n">
        <v>51.5833</v>
      </c>
      <c r="E940" s="95" t="n">
        <v>57</v>
      </c>
      <c r="F940" s="85" t="n">
        <v>168</v>
      </c>
      <c r="G940" s="120" t="n">
        <v>0.0125</v>
      </c>
      <c r="H940" s="120" t="n">
        <v>0.0125</v>
      </c>
      <c r="I940" s="95" t="n">
        <v>2</v>
      </c>
      <c r="J940" s="95" t="n">
        <v>53.58</v>
      </c>
      <c r="K940" s="95" t="n">
        <v>0.955</v>
      </c>
      <c r="L940" s="85" t="n">
        <v>1</v>
      </c>
    </row>
    <row r="941">
      <c r="A941" s="84" t="inlineStr">
        <is>
          <t>Fonction publique territoriale et hospitalière</t>
        </is>
      </c>
      <c r="B941" s="7" t="inlineStr">
        <is>
          <t>conduite ou super-actif</t>
        </is>
      </c>
      <c r="C941" s="88" t="n">
        <v>1965</v>
      </c>
      <c r="D941" s="95" t="n">
        <v>52</v>
      </c>
      <c r="E941" s="95" t="n">
        <v>57</v>
      </c>
      <c r="F941" s="85" t="n">
        <v>168</v>
      </c>
      <c r="G941" s="120" t="n">
        <v>0.0125</v>
      </c>
      <c r="H941" s="120" t="n">
        <v>0.0125</v>
      </c>
      <c r="I941" s="95" t="n">
        <v>2</v>
      </c>
      <c r="J941" s="95" t="n">
        <v>54</v>
      </c>
      <c r="K941" s="95" t="n">
        <v>0.955</v>
      </c>
      <c r="L941" s="85" t="n">
        <v>1</v>
      </c>
    </row>
    <row r="942">
      <c r="A942" s="84" t="inlineStr">
        <is>
          <t>Fonction publique territoriale et hospitalière</t>
        </is>
      </c>
      <c r="B942" s="7" t="inlineStr">
        <is>
          <t>conduite ou super-actif</t>
        </is>
      </c>
      <c r="C942" s="88" t="n">
        <v>1966</v>
      </c>
      <c r="D942" s="95" t="n">
        <v>52</v>
      </c>
      <c r="E942" s="95" t="n">
        <v>57</v>
      </c>
      <c r="F942" s="85" t="n">
        <v>168</v>
      </c>
      <c r="G942" s="120" t="n">
        <v>0.0125</v>
      </c>
      <c r="H942" s="120" t="n">
        <v>0.0125</v>
      </c>
      <c r="I942" s="95" t="n">
        <v>2</v>
      </c>
      <c r="J942" s="95" t="n">
        <v>54</v>
      </c>
      <c r="K942" s="95" t="n">
        <v>0.955</v>
      </c>
      <c r="L942" s="85" t="n">
        <v>1</v>
      </c>
    </row>
    <row r="943">
      <c r="A943" s="84" t="inlineStr">
        <is>
          <t>Fonction publique territoriale et hospitalière</t>
        </is>
      </c>
      <c r="B943" s="7" t="inlineStr">
        <is>
          <t>conduite ou super-actif</t>
        </is>
      </c>
      <c r="C943" s="88" t="n">
        <v>1967</v>
      </c>
      <c r="D943" s="95" t="n">
        <v>52</v>
      </c>
      <c r="E943" s="95" t="n">
        <v>57</v>
      </c>
      <c r="F943" s="85" t="n">
        <v>169</v>
      </c>
      <c r="G943" s="120" t="n">
        <v>0.0125</v>
      </c>
      <c r="H943" s="120" t="n">
        <v>0.0125</v>
      </c>
      <c r="I943" s="95" t="n">
        <v>2</v>
      </c>
      <c r="J943" s="95" t="n">
        <v>54</v>
      </c>
      <c r="K943" s="95" t="n">
        <v>0.955</v>
      </c>
      <c r="L943" s="85" t="n">
        <v>1</v>
      </c>
    </row>
    <row r="944">
      <c r="A944" s="84" t="inlineStr">
        <is>
          <t>Fonction publique territoriale et hospitalière</t>
        </is>
      </c>
      <c r="B944" s="7" t="inlineStr">
        <is>
          <t>conduite ou super-actif</t>
        </is>
      </c>
      <c r="C944" s="88" t="n">
        <v>1968</v>
      </c>
      <c r="D944" s="95" t="n">
        <v>52</v>
      </c>
      <c r="E944" s="95" t="n">
        <v>57</v>
      </c>
      <c r="F944" s="85" t="n">
        <v>170</v>
      </c>
      <c r="G944" s="120" t="n">
        <v>0.0125</v>
      </c>
      <c r="H944" s="120" t="n">
        <v>0.0125</v>
      </c>
      <c r="I944" s="95" t="n">
        <v>2</v>
      </c>
      <c r="J944" s="95" t="n">
        <v>54</v>
      </c>
      <c r="K944" s="95" t="n">
        <v>0.955</v>
      </c>
      <c r="L944" s="85" t="n">
        <v>1</v>
      </c>
    </row>
    <row r="945">
      <c r="A945" s="84" t="inlineStr">
        <is>
          <t>Fonction publique territoriale et hospitalière</t>
        </is>
      </c>
      <c r="B945" s="7" t="inlineStr">
        <is>
          <t>conduite ou super-actif</t>
        </is>
      </c>
      <c r="C945" s="88" t="n">
        <v>1969</v>
      </c>
      <c r="D945" s="95" t="n">
        <v>52</v>
      </c>
      <c r="E945" s="95" t="n">
        <v>57</v>
      </c>
      <c r="F945" s="85" t="n">
        <v>170</v>
      </c>
      <c r="G945" s="120" t="n">
        <v>0.0125</v>
      </c>
      <c r="H945" s="120" t="n">
        <v>0.0125</v>
      </c>
      <c r="I945" s="95" t="n">
        <v>2</v>
      </c>
      <c r="J945" s="95" t="n">
        <v>54</v>
      </c>
      <c r="K945" s="95" t="n">
        <v>0.955</v>
      </c>
      <c r="L945" s="85" t="n">
        <v>1</v>
      </c>
    </row>
    <row r="946">
      <c r="A946" s="84" t="inlineStr">
        <is>
          <t>Fonction publique territoriale et hospitalière</t>
        </is>
      </c>
      <c r="B946" s="7" t="inlineStr">
        <is>
          <t>conduite ou super-actif</t>
        </is>
      </c>
      <c r="C946" s="88" t="n">
        <v>1970</v>
      </c>
      <c r="D946" s="95" t="n">
        <v>52</v>
      </c>
      <c r="E946" s="95" t="n">
        <v>57</v>
      </c>
      <c r="F946" s="85" t="n">
        <v>171</v>
      </c>
      <c r="G946" s="120" t="n">
        <v>0.0125</v>
      </c>
      <c r="H946" s="120" t="n">
        <v>0.0125</v>
      </c>
      <c r="I946" s="95" t="n">
        <v>2</v>
      </c>
      <c r="J946" s="95" t="n">
        <v>54</v>
      </c>
      <c r="K946" s="95" t="n">
        <v>0.955</v>
      </c>
      <c r="L946" s="85" t="n">
        <v>1</v>
      </c>
    </row>
    <row r="947">
      <c r="A947" s="84" t="inlineStr">
        <is>
          <t>Fonction publique territoriale et hospitalière</t>
        </is>
      </c>
      <c r="B947" s="7" t="inlineStr">
        <is>
          <t>conduite ou super-actif</t>
        </is>
      </c>
      <c r="C947" s="88" t="n">
        <v>1971</v>
      </c>
      <c r="D947" s="95" t="n">
        <v>52</v>
      </c>
      <c r="E947" s="95" t="n">
        <v>57</v>
      </c>
      <c r="F947" s="85" t="n">
        <v>172</v>
      </c>
      <c r="G947" s="120" t="n">
        <v>0.0125</v>
      </c>
      <c r="H947" s="120" t="n">
        <v>0.0125</v>
      </c>
      <c r="I947" s="95" t="n">
        <v>2</v>
      </c>
      <c r="J947" s="95" t="n">
        <v>54</v>
      </c>
      <c r="K947" s="95" t="n">
        <v>0.955</v>
      </c>
      <c r="L947" s="85" t="n">
        <v>1</v>
      </c>
    </row>
    <row r="948">
      <c r="A948" s="84" t="inlineStr">
        <is>
          <t>Fonction publique territoriale et hospitalière</t>
        </is>
      </c>
      <c r="B948" s="7" t="inlineStr">
        <is>
          <t>conduite ou super-actif</t>
        </is>
      </c>
      <c r="C948" s="88" t="n">
        <v>1972</v>
      </c>
      <c r="D948" s="95" t="n">
        <v>52.5</v>
      </c>
      <c r="E948" s="95" t="n">
        <v>57</v>
      </c>
      <c r="F948" s="85" t="n">
        <v>172</v>
      </c>
      <c r="G948" s="120" t="n">
        <v>0.0125</v>
      </c>
      <c r="H948" s="120" t="n">
        <v>0.0125</v>
      </c>
      <c r="I948" s="95" t="n">
        <v>2</v>
      </c>
      <c r="J948" s="95" t="n">
        <v>54.5</v>
      </c>
      <c r="K948" s="95" t="n">
        <v>0.955</v>
      </c>
      <c r="L948" s="85" t="n">
        <v>1</v>
      </c>
    </row>
    <row r="949">
      <c r="A949" s="84" t="inlineStr">
        <is>
          <t>Fonction publique territoriale et hospitalière</t>
        </is>
      </c>
      <c r="B949" s="7" t="inlineStr">
        <is>
          <t>conduite ou super-actif</t>
        </is>
      </c>
      <c r="C949" s="88" t="n">
        <v>1973</v>
      </c>
      <c r="D949" s="95" t="n">
        <v>52.75</v>
      </c>
      <c r="E949" s="95" t="n">
        <v>57</v>
      </c>
      <c r="F949" s="85" t="n">
        <v>170</v>
      </c>
      <c r="G949" s="120" t="n">
        <v>0.0125</v>
      </c>
      <c r="H949" s="120" t="n">
        <v>0.0125</v>
      </c>
      <c r="I949" s="95" t="n">
        <v>2</v>
      </c>
      <c r="J949" s="95" t="n">
        <v>54.75</v>
      </c>
      <c r="K949" s="95" t="n">
        <v>0.955</v>
      </c>
      <c r="L949" s="85" t="n">
        <v>1</v>
      </c>
    </row>
    <row r="950">
      <c r="A950" s="84" t="inlineStr">
        <is>
          <t>Fonction publique territoriale et hospitalière</t>
        </is>
      </c>
      <c r="B950" s="7" t="inlineStr">
        <is>
          <t>conduite ou super-actif</t>
        </is>
      </c>
      <c r="C950" s="88" t="n">
        <v>1974</v>
      </c>
      <c r="D950" s="95" t="n">
        <v>52.75</v>
      </c>
      <c r="E950" s="95" t="n">
        <v>57</v>
      </c>
      <c r="F950" s="85" t="n">
        <v>170</v>
      </c>
      <c r="G950" s="120" t="n">
        <v>0.0125</v>
      </c>
      <c r="H950" s="120" t="n">
        <v>0.0125</v>
      </c>
      <c r="I950" s="95" t="n">
        <v>2</v>
      </c>
      <c r="J950" s="95" t="n">
        <v>54.75</v>
      </c>
      <c r="K950" s="95" t="n">
        <v>0.955</v>
      </c>
      <c r="L950" s="85" t="n">
        <v>1</v>
      </c>
    </row>
    <row r="951">
      <c r="A951" s="84" t="inlineStr">
        <is>
          <t>Fonction publique territoriale et hospitalière</t>
        </is>
      </c>
      <c r="B951" s="7" t="inlineStr">
        <is>
          <t>conduite ou super-actif</t>
        </is>
      </c>
      <c r="C951" s="88" t="n">
        <v>1975</v>
      </c>
      <c r="D951" s="95" t="n">
        <v>52.9167</v>
      </c>
      <c r="E951" s="95" t="n">
        <v>57</v>
      </c>
      <c r="F951" s="85" t="n">
        <v>172</v>
      </c>
      <c r="G951" s="120" t="n">
        <v>0.0125</v>
      </c>
      <c r="H951" s="120" t="n">
        <v>0.0125</v>
      </c>
      <c r="I951" s="95" t="n">
        <v>2</v>
      </c>
      <c r="J951" s="95" t="n">
        <v>54.92</v>
      </c>
      <c r="K951" s="95" t="n">
        <v>0.955</v>
      </c>
      <c r="L951" s="85" t="n">
        <v>1</v>
      </c>
    </row>
    <row r="952">
      <c r="A952" s="84" t="inlineStr">
        <is>
          <t>Fonction publique territoriale et hospitalière</t>
        </is>
      </c>
      <c r="B952" s="7" t="inlineStr">
        <is>
          <t>conduite ou super-actif</t>
        </is>
      </c>
      <c r="C952" s="88" t="n">
        <v>1976</v>
      </c>
      <c r="D952" s="95" t="n">
        <v>53.25</v>
      </c>
      <c r="E952" s="95" t="n">
        <v>57</v>
      </c>
      <c r="F952" s="85" t="n">
        <v>172</v>
      </c>
      <c r="G952" s="120" t="n">
        <v>0.0125</v>
      </c>
      <c r="H952" s="120" t="n">
        <v>0.0125</v>
      </c>
      <c r="I952" s="95" t="n">
        <v>2</v>
      </c>
      <c r="J952" s="95" t="n">
        <v>55.25</v>
      </c>
      <c r="K952" s="95" t="n">
        <v>0.955</v>
      </c>
      <c r="L952" s="85" t="n">
        <v>1</v>
      </c>
    </row>
    <row r="953">
      <c r="A953" s="84" t="inlineStr">
        <is>
          <t>Fonction publique territoriale et hospitalière</t>
        </is>
      </c>
      <c r="B953" s="7" t="inlineStr">
        <is>
          <t>conduite ou super-actif</t>
        </is>
      </c>
      <c r="C953" s="88" t="n">
        <v>1977</v>
      </c>
      <c r="D953" s="95" t="n">
        <v>53.5</v>
      </c>
      <c r="E953" s="95" t="n">
        <v>57</v>
      </c>
      <c r="F953" s="85" t="n">
        <v>172</v>
      </c>
      <c r="G953" s="120" t="n">
        <v>0.0125</v>
      </c>
      <c r="H953" s="120" t="n">
        <v>0.0125</v>
      </c>
      <c r="I953" s="95" t="n">
        <v>2</v>
      </c>
      <c r="J953" s="95" t="n">
        <v>55.5</v>
      </c>
      <c r="K953" s="95" t="n">
        <v>0.955</v>
      </c>
      <c r="L953" s="85" t="n">
        <v>1</v>
      </c>
    </row>
    <row r="954">
      <c r="A954" s="84" t="inlineStr">
        <is>
          <t>Fonction publique territoriale et hospitalière</t>
        </is>
      </c>
      <c r="B954" s="7" t="inlineStr">
        <is>
          <t>conduite ou super-actif</t>
        </is>
      </c>
      <c r="C954" s="88" t="n">
        <v>1978</v>
      </c>
      <c r="D954" s="95" t="n">
        <v>53.75</v>
      </c>
      <c r="E954" s="95" t="n">
        <v>57</v>
      </c>
      <c r="F954" s="85" t="n">
        <v>172</v>
      </c>
      <c r="G954" s="120" t="n">
        <v>0.0125</v>
      </c>
      <c r="H954" s="120" t="n">
        <v>0.0125</v>
      </c>
      <c r="I954" s="95" t="n">
        <v>2</v>
      </c>
      <c r="J954" s="95" t="n">
        <v>55.75</v>
      </c>
      <c r="K954" s="95" t="n">
        <v>0.955</v>
      </c>
      <c r="L954" s="85" t="n">
        <v>1</v>
      </c>
    </row>
    <row r="955">
      <c r="A955" s="84" t="inlineStr">
        <is>
          <t>Fonction publique territoriale et hospitalière</t>
        </is>
      </c>
      <c r="B955" s="7" t="inlineStr">
        <is>
          <t>conduite ou super-actif</t>
        </is>
      </c>
      <c r="C955" s="88" t="n">
        <v>1979</v>
      </c>
      <c r="D955" s="95" t="n">
        <v>54</v>
      </c>
      <c r="E955" s="95" t="n">
        <v>57</v>
      </c>
      <c r="F955" s="85" t="n">
        <v>172</v>
      </c>
      <c r="G955" s="120" t="n">
        <v>0.0125</v>
      </c>
      <c r="H955" s="120" t="n">
        <v>0.0125</v>
      </c>
      <c r="I955" s="95" t="n">
        <v>2</v>
      </c>
      <c r="J955" s="95" t="n">
        <v>56</v>
      </c>
      <c r="K955" s="95" t="n">
        <v>0.955</v>
      </c>
      <c r="L955" s="85" t="n">
        <v>1</v>
      </c>
    </row>
    <row r="956">
      <c r="A956" s="84" t="inlineStr">
        <is>
          <t>Fonction publique territoriale et hospitalière</t>
        </is>
      </c>
      <c r="B956" s="7" t="inlineStr">
        <is>
          <t>conduite ou super-actif</t>
        </is>
      </c>
      <c r="C956" s="88" t="n">
        <v>1980</v>
      </c>
      <c r="D956" s="95" t="n">
        <v>54</v>
      </c>
      <c r="E956" s="95" t="n">
        <v>57</v>
      </c>
      <c r="F956" s="85" t="n">
        <v>172</v>
      </c>
      <c r="G956" s="120" t="n">
        <v>0.0125</v>
      </c>
      <c r="H956" s="120" t="n">
        <v>0.0125</v>
      </c>
      <c r="I956" s="95" t="n">
        <v>2</v>
      </c>
      <c r="J956" s="95" t="n">
        <v>56</v>
      </c>
      <c r="K956" s="95" t="n">
        <v>0.955</v>
      </c>
      <c r="L956" s="85" t="n">
        <v>1</v>
      </c>
    </row>
    <row r="957">
      <c r="A957" s="84" t="inlineStr">
        <is>
          <t>Fonction publique territoriale et hospitalière</t>
        </is>
      </c>
      <c r="B957" s="7" t="inlineStr">
        <is>
          <t>conduite ou super-actif</t>
        </is>
      </c>
      <c r="C957" s="88" t="n">
        <v>1981</v>
      </c>
      <c r="D957" s="95" t="n">
        <v>54</v>
      </c>
      <c r="E957" s="95" t="n">
        <v>57</v>
      </c>
      <c r="F957" s="85" t="n">
        <v>172</v>
      </c>
      <c r="G957" s="120" t="n">
        <v>0.0125</v>
      </c>
      <c r="H957" s="120" t="n">
        <v>0.0125</v>
      </c>
      <c r="I957" s="95" t="n">
        <v>2</v>
      </c>
      <c r="J957" s="95" t="n">
        <v>56</v>
      </c>
      <c r="K957" s="95" t="n">
        <v>0.955</v>
      </c>
      <c r="L957" s="85" t="n">
        <v>1</v>
      </c>
    </row>
    <row r="958">
      <c r="A958" s="84" t="inlineStr">
        <is>
          <t>Fonction publique territoriale et hospitalière</t>
        </is>
      </c>
      <c r="B958" s="7" t="inlineStr">
        <is>
          <t>conduite ou super-actif</t>
        </is>
      </c>
      <c r="C958" s="88" t="n">
        <v>1982</v>
      </c>
      <c r="D958" s="95" t="n">
        <v>54</v>
      </c>
      <c r="E958" s="95" t="n">
        <v>57</v>
      </c>
      <c r="F958" s="85" t="n">
        <v>172</v>
      </c>
      <c r="G958" s="120" t="n">
        <v>0.0125</v>
      </c>
      <c r="H958" s="120" t="n">
        <v>0.0125</v>
      </c>
      <c r="I958" s="95" t="n">
        <v>2</v>
      </c>
      <c r="J958" s="95" t="n">
        <v>56</v>
      </c>
      <c r="K958" s="95" t="n">
        <v>0.955</v>
      </c>
      <c r="L958" s="85" t="n">
        <v>1</v>
      </c>
    </row>
    <row r="959">
      <c r="A959" s="84" t="inlineStr">
        <is>
          <t>Fonction publique territoriale et hospitalière</t>
        </is>
      </c>
      <c r="B959" s="7" t="inlineStr">
        <is>
          <t>conduite ou super-actif</t>
        </is>
      </c>
      <c r="C959" s="88" t="n">
        <v>1983</v>
      </c>
      <c r="D959" s="95" t="n">
        <v>54</v>
      </c>
      <c r="E959" s="95" t="n">
        <v>57</v>
      </c>
      <c r="F959" s="85" t="n">
        <v>172</v>
      </c>
      <c r="G959" s="120" t="n">
        <v>0.0125</v>
      </c>
      <c r="H959" s="120" t="n">
        <v>0.0125</v>
      </c>
      <c r="I959" s="95" t="n">
        <v>2</v>
      </c>
      <c r="J959" s="95" t="n">
        <v>56</v>
      </c>
      <c r="K959" s="95" t="n">
        <v>0.955</v>
      </c>
      <c r="L959" s="85" t="n">
        <v>1</v>
      </c>
    </row>
    <row r="960">
      <c r="A960" s="84" t="inlineStr">
        <is>
          <t>Fonction publique territoriale et hospitalière</t>
        </is>
      </c>
      <c r="B960" s="7" t="inlineStr">
        <is>
          <t>conduite ou super-actif</t>
        </is>
      </c>
      <c r="C960" s="88" t="n">
        <v>1984</v>
      </c>
      <c r="D960" s="95" t="n">
        <v>54</v>
      </c>
      <c r="E960" s="95" t="n">
        <v>57</v>
      </c>
      <c r="F960" s="85" t="n">
        <v>172</v>
      </c>
      <c r="G960" s="120" t="n">
        <v>0.0125</v>
      </c>
      <c r="H960" s="120" t="n">
        <v>0.0125</v>
      </c>
      <c r="I960" s="95" t="n">
        <v>2</v>
      </c>
      <c r="J960" s="95" t="n">
        <v>56</v>
      </c>
      <c r="K960" s="95" t="n">
        <v>0.955</v>
      </c>
      <c r="L960" s="85" t="n">
        <v>1</v>
      </c>
    </row>
    <row r="961">
      <c r="A961" s="84" t="inlineStr">
        <is>
          <t>Fonction publique territoriale et hospitalière</t>
        </is>
      </c>
      <c r="B961" s="7" t="inlineStr">
        <is>
          <t>conduite ou super-actif</t>
        </is>
      </c>
      <c r="C961" s="88" t="n">
        <v>1985</v>
      </c>
      <c r="D961" s="95" t="n">
        <v>54</v>
      </c>
      <c r="E961" s="95" t="n">
        <v>57</v>
      </c>
      <c r="F961" s="85" t="n">
        <v>172</v>
      </c>
      <c r="G961" s="120" t="n">
        <v>0.0125</v>
      </c>
      <c r="H961" s="120" t="n">
        <v>0.0125</v>
      </c>
      <c r="I961" s="95" t="n">
        <v>2</v>
      </c>
      <c r="J961" s="95" t="n">
        <v>56</v>
      </c>
      <c r="K961" s="95" t="n">
        <v>0.955</v>
      </c>
      <c r="L961" s="85" t="n">
        <v>1</v>
      </c>
    </row>
    <row r="962">
      <c r="A962" s="84" t="inlineStr">
        <is>
          <t>Fonction publique territoriale et hospitalière</t>
        </is>
      </c>
      <c r="B962" s="7" t="inlineStr">
        <is>
          <t>conduite ou super-actif</t>
        </is>
      </c>
      <c r="C962" s="88" t="n">
        <v>1986</v>
      </c>
      <c r="D962" s="95" t="n">
        <v>54</v>
      </c>
      <c r="E962" s="95" t="n">
        <v>57</v>
      </c>
      <c r="F962" s="85" t="n">
        <v>172</v>
      </c>
      <c r="G962" s="120" t="n">
        <v>0.0125</v>
      </c>
      <c r="H962" s="120" t="n">
        <v>0.0125</v>
      </c>
      <c r="I962" s="95" t="n">
        <v>2</v>
      </c>
      <c r="J962" s="95" t="n">
        <v>56</v>
      </c>
      <c r="K962" s="95" t="n">
        <v>0.955</v>
      </c>
      <c r="L962" s="85" t="n">
        <v>1</v>
      </c>
    </row>
    <row r="963">
      <c r="A963" s="84" t="inlineStr">
        <is>
          <t>Fonction publique territoriale et hospitalière</t>
        </is>
      </c>
      <c r="B963" s="7" t="inlineStr">
        <is>
          <t>conduite ou super-actif</t>
        </is>
      </c>
      <c r="C963" s="88" t="n">
        <v>1987</v>
      </c>
      <c r="D963" s="95" t="n">
        <v>54</v>
      </c>
      <c r="E963" s="95" t="n">
        <v>57</v>
      </c>
      <c r="F963" s="85" t="n">
        <v>172</v>
      </c>
      <c r="G963" s="120" t="n">
        <v>0.0125</v>
      </c>
      <c r="H963" s="120" t="n">
        <v>0.0125</v>
      </c>
      <c r="I963" s="95" t="n">
        <v>2</v>
      </c>
      <c r="J963" s="95" t="n">
        <v>56</v>
      </c>
      <c r="K963" s="95" t="n">
        <v>0.955</v>
      </c>
      <c r="L963" s="85" t="n">
        <v>1</v>
      </c>
    </row>
    <row r="964">
      <c r="A964" s="84" t="inlineStr">
        <is>
          <t>Fonction publique territoriale et hospitalière</t>
        </is>
      </c>
      <c r="B964" s="7" t="inlineStr">
        <is>
          <t>conduite ou super-actif</t>
        </is>
      </c>
      <c r="C964" s="88" t="n">
        <v>1988</v>
      </c>
      <c r="D964" s="95" t="n">
        <v>54</v>
      </c>
      <c r="E964" s="95" t="n">
        <v>57</v>
      </c>
      <c r="F964" s="85" t="n">
        <v>172</v>
      </c>
      <c r="G964" s="120" t="n">
        <v>0.0125</v>
      </c>
      <c r="H964" s="120" t="n">
        <v>0.0125</v>
      </c>
      <c r="I964" s="95" t="n">
        <v>2</v>
      </c>
      <c r="J964" s="95" t="n">
        <v>56</v>
      </c>
      <c r="K964" s="95" t="n">
        <v>0.955</v>
      </c>
      <c r="L964" s="85" t="n">
        <v>1</v>
      </c>
    </row>
    <row r="965">
      <c r="A965" s="84" t="inlineStr">
        <is>
          <t>Fonction publique territoriale et hospitalière</t>
        </is>
      </c>
      <c r="B965" s="7" t="inlineStr">
        <is>
          <t>conduite ou super-actif</t>
        </is>
      </c>
      <c r="C965" s="88" t="n">
        <v>1989</v>
      </c>
      <c r="D965" s="95" t="n">
        <v>54</v>
      </c>
      <c r="E965" s="95" t="n">
        <v>57</v>
      </c>
      <c r="F965" s="85" t="n">
        <v>172</v>
      </c>
      <c r="G965" s="120" t="n">
        <v>0.0125</v>
      </c>
      <c r="H965" s="120" t="n">
        <v>0.0125</v>
      </c>
      <c r="I965" s="95" t="n">
        <v>2</v>
      </c>
      <c r="J965" s="95" t="n">
        <v>56</v>
      </c>
      <c r="K965" s="95" t="n">
        <v>0.955</v>
      </c>
      <c r="L965" s="85" t="n">
        <v>1</v>
      </c>
    </row>
    <row r="966">
      <c r="A966" s="84" t="inlineStr">
        <is>
          <t>Fonction publique territoriale et hospitalière</t>
        </is>
      </c>
      <c r="B966" s="7" t="inlineStr">
        <is>
          <t>conduite ou super-actif</t>
        </is>
      </c>
      <c r="C966" s="88" t="n">
        <v>1990</v>
      </c>
      <c r="D966" s="95" t="n">
        <v>54</v>
      </c>
      <c r="E966" s="95" t="n">
        <v>57</v>
      </c>
      <c r="F966" s="85" t="n">
        <v>172</v>
      </c>
      <c r="G966" s="120" t="n">
        <v>0.0125</v>
      </c>
      <c r="H966" s="120" t="n">
        <v>0.0125</v>
      </c>
      <c r="I966" s="95" t="n">
        <v>2</v>
      </c>
      <c r="J966" s="95" t="n">
        <v>56</v>
      </c>
      <c r="K966" s="95" t="n">
        <v>0.955</v>
      </c>
      <c r="L966" s="85" t="n">
        <v>1</v>
      </c>
    </row>
    <row r="967">
      <c r="A967" s="84" t="inlineStr">
        <is>
          <t>Fonction publique territoriale et hospitalière</t>
        </is>
      </c>
      <c r="B967" s="7" t="inlineStr">
        <is>
          <t>conduite ou super-actif</t>
        </is>
      </c>
      <c r="C967" s="88" t="n">
        <v>1991</v>
      </c>
      <c r="D967" s="95" t="n">
        <v>54</v>
      </c>
      <c r="E967" s="95" t="n">
        <v>57</v>
      </c>
      <c r="F967" s="85" t="n">
        <v>172</v>
      </c>
      <c r="G967" s="120" t="n">
        <v>0.0125</v>
      </c>
      <c r="H967" s="120" t="n">
        <v>0.0125</v>
      </c>
      <c r="I967" s="95" t="n">
        <v>2</v>
      </c>
      <c r="J967" s="95" t="n">
        <v>56</v>
      </c>
      <c r="K967" s="95" t="n">
        <v>0.955</v>
      </c>
      <c r="L967" s="85" t="n">
        <v>1</v>
      </c>
    </row>
    <row r="968">
      <c r="A968" s="84" t="inlineStr">
        <is>
          <t>Fonction publique territoriale et hospitalière</t>
        </is>
      </c>
      <c r="B968" s="7" t="inlineStr">
        <is>
          <t>conduite ou super-actif</t>
        </is>
      </c>
      <c r="C968" s="88" t="n">
        <v>1992</v>
      </c>
      <c r="D968" s="95" t="n">
        <v>54</v>
      </c>
      <c r="E968" s="95" t="n">
        <v>57</v>
      </c>
      <c r="F968" s="85" t="n">
        <v>172</v>
      </c>
      <c r="G968" s="120" t="n">
        <v>0.0125</v>
      </c>
      <c r="H968" s="120" t="n">
        <v>0.0125</v>
      </c>
      <c r="I968" s="95" t="n">
        <v>2</v>
      </c>
      <c r="J968" s="95" t="n">
        <v>56</v>
      </c>
      <c r="K968" s="95" t="n">
        <v>0.955</v>
      </c>
      <c r="L968" s="85" t="n">
        <v>1</v>
      </c>
    </row>
    <row r="969">
      <c r="A969" s="84" t="inlineStr">
        <is>
          <t>Fonction publique territoriale et hospitalière</t>
        </is>
      </c>
      <c r="B969" s="7" t="inlineStr">
        <is>
          <t>conduite ou super-actif</t>
        </is>
      </c>
      <c r="C969" s="88" t="n">
        <v>1993</v>
      </c>
      <c r="D969" s="95" t="n">
        <v>54</v>
      </c>
      <c r="E969" s="95" t="n">
        <v>57</v>
      </c>
      <c r="F969" s="85" t="n">
        <v>172</v>
      </c>
      <c r="G969" s="120" t="n">
        <v>0.0125</v>
      </c>
      <c r="H969" s="120" t="n">
        <v>0.0125</v>
      </c>
      <c r="I969" s="95" t="n">
        <v>2</v>
      </c>
      <c r="J969" s="95" t="n">
        <v>56</v>
      </c>
      <c r="K969" s="95" t="n">
        <v>0.955</v>
      </c>
      <c r="L969" s="85" t="n">
        <v>1</v>
      </c>
    </row>
    <row r="970">
      <c r="A970" s="84" t="inlineStr">
        <is>
          <t>Fonction publique territoriale et hospitalière</t>
        </is>
      </c>
      <c r="B970" s="7" t="inlineStr">
        <is>
          <t>conduite ou super-actif</t>
        </is>
      </c>
      <c r="C970" s="88" t="n">
        <v>1994</v>
      </c>
      <c r="D970" s="95" t="n">
        <v>54</v>
      </c>
      <c r="E970" s="95" t="n">
        <v>57</v>
      </c>
      <c r="F970" s="85" t="n">
        <v>172</v>
      </c>
      <c r="G970" s="120" t="n">
        <v>0.0125</v>
      </c>
      <c r="H970" s="120" t="n">
        <v>0.0125</v>
      </c>
      <c r="I970" s="95" t="n">
        <v>2</v>
      </c>
      <c r="J970" s="95" t="n">
        <v>56</v>
      </c>
      <c r="K970" s="95" t="n">
        <v>0.955</v>
      </c>
      <c r="L970" s="85" t="n">
        <v>1</v>
      </c>
    </row>
    <row r="971">
      <c r="A971" s="84" t="inlineStr">
        <is>
          <t>Fonction publique territoriale et hospitalière</t>
        </is>
      </c>
      <c r="B971" s="7" t="inlineStr">
        <is>
          <t>conduite ou super-actif</t>
        </is>
      </c>
      <c r="C971" s="88" t="n">
        <v>1995</v>
      </c>
      <c r="D971" s="95" t="n">
        <v>54</v>
      </c>
      <c r="E971" s="95" t="n">
        <v>57</v>
      </c>
      <c r="F971" s="85" t="n">
        <v>172</v>
      </c>
      <c r="G971" s="120" t="n">
        <v>0.0125</v>
      </c>
      <c r="H971" s="120" t="n">
        <v>0.0125</v>
      </c>
      <c r="I971" s="95" t="n">
        <v>2</v>
      </c>
      <c r="J971" s="95" t="n">
        <v>56</v>
      </c>
      <c r="K971" s="95" t="n">
        <v>0.955</v>
      </c>
      <c r="L971" s="85" t="n">
        <v>1</v>
      </c>
    </row>
    <row r="972">
      <c r="A972" s="84" t="inlineStr">
        <is>
          <t>Fonction publique territoriale et hospitalière</t>
        </is>
      </c>
      <c r="B972" s="7" t="inlineStr">
        <is>
          <t>conduite ou super-actif</t>
        </is>
      </c>
      <c r="C972" s="88" t="n">
        <v>1996</v>
      </c>
      <c r="D972" s="95" t="n">
        <v>54</v>
      </c>
      <c r="E972" s="95" t="n">
        <v>57</v>
      </c>
      <c r="F972" s="85" t="n">
        <v>172</v>
      </c>
      <c r="G972" s="120" t="n">
        <v>0.0125</v>
      </c>
      <c r="H972" s="120" t="n">
        <v>0.0125</v>
      </c>
      <c r="I972" s="95" t="n">
        <v>2</v>
      </c>
      <c r="J972" s="95" t="n">
        <v>56</v>
      </c>
      <c r="K972" s="95" t="n">
        <v>0.955</v>
      </c>
      <c r="L972" s="85" t="n">
        <v>1</v>
      </c>
    </row>
    <row r="973">
      <c r="A973" s="84" t="inlineStr">
        <is>
          <t>Fonction publique territoriale et hospitalière</t>
        </is>
      </c>
      <c r="B973" s="7" t="inlineStr">
        <is>
          <t>conduite ou super-actif</t>
        </is>
      </c>
      <c r="C973" s="88" t="n">
        <v>1997</v>
      </c>
      <c r="D973" s="95" t="n">
        <v>54</v>
      </c>
      <c r="E973" s="95" t="n">
        <v>57</v>
      </c>
      <c r="F973" s="85" t="n">
        <v>172</v>
      </c>
      <c r="G973" s="120" t="n">
        <v>0.0125</v>
      </c>
      <c r="H973" s="120" t="n">
        <v>0.0125</v>
      </c>
      <c r="I973" s="95" t="n">
        <v>2</v>
      </c>
      <c r="J973" s="95" t="n">
        <v>56</v>
      </c>
      <c r="K973" s="95" t="n">
        <v>0.955</v>
      </c>
      <c r="L973" s="85" t="n">
        <v>1</v>
      </c>
    </row>
    <row r="974">
      <c r="A974" s="84" t="inlineStr">
        <is>
          <t>Fonction publique territoriale et hospitalière</t>
        </is>
      </c>
      <c r="B974" s="7" t="inlineStr">
        <is>
          <t>conduite ou super-actif</t>
        </is>
      </c>
      <c r="C974" s="88" t="n">
        <v>1998</v>
      </c>
      <c r="D974" s="95" t="n">
        <v>54</v>
      </c>
      <c r="E974" s="95" t="n">
        <v>57</v>
      </c>
      <c r="F974" s="85" t="n">
        <v>172</v>
      </c>
      <c r="G974" s="120" t="n">
        <v>0.0125</v>
      </c>
      <c r="H974" s="120" t="n">
        <v>0.0125</v>
      </c>
      <c r="I974" s="95" t="n">
        <v>2</v>
      </c>
      <c r="J974" s="95" t="n">
        <v>56</v>
      </c>
      <c r="K974" s="95" t="n">
        <v>0.955</v>
      </c>
      <c r="L974" s="85" t="n">
        <v>1</v>
      </c>
    </row>
    <row r="975">
      <c r="A975" s="84" t="inlineStr">
        <is>
          <t>Fonction publique territoriale et hospitalière</t>
        </is>
      </c>
      <c r="B975" s="7" t="inlineStr">
        <is>
          <t>conduite ou super-actif</t>
        </is>
      </c>
      <c r="C975" s="88" t="n">
        <v>1999</v>
      </c>
      <c r="D975" s="95" t="n">
        <v>54</v>
      </c>
      <c r="E975" s="95" t="n">
        <v>57</v>
      </c>
      <c r="F975" s="85" t="n">
        <v>172</v>
      </c>
      <c r="G975" s="120" t="n">
        <v>0.0125</v>
      </c>
      <c r="H975" s="120" t="n">
        <v>0.0125</v>
      </c>
      <c r="I975" s="95" t="n">
        <v>2</v>
      </c>
      <c r="J975" s="95" t="n">
        <v>56</v>
      </c>
      <c r="K975" s="95" t="n">
        <v>0.955</v>
      </c>
      <c r="L975" s="85" t="n">
        <v>1</v>
      </c>
    </row>
    <row r="976">
      <c r="A976" s="84" t="inlineStr">
        <is>
          <t>Fonction publique territoriale et hospitalière</t>
        </is>
      </c>
      <c r="B976" s="7" t="inlineStr">
        <is>
          <t>conduite ou super-actif</t>
        </is>
      </c>
      <c r="C976" s="88" t="n">
        <v>2000</v>
      </c>
      <c r="D976" s="95" t="n">
        <v>54</v>
      </c>
      <c r="E976" s="95" t="n">
        <v>57</v>
      </c>
      <c r="F976" s="85" t="n">
        <v>172</v>
      </c>
      <c r="G976" s="120" t="n">
        <v>0.0125</v>
      </c>
      <c r="H976" s="120" t="n">
        <v>0.0125</v>
      </c>
      <c r="I976" s="95" t="n">
        <v>2</v>
      </c>
      <c r="J976" s="95" t="n">
        <v>56</v>
      </c>
      <c r="K976" s="95" t="n">
        <v>0.955</v>
      </c>
      <c r="L976" s="85" t="n">
        <v>1</v>
      </c>
    </row>
    <row r="977">
      <c r="A977" s="84" t="inlineStr">
        <is>
          <t>Fonction publique territoriale et hospitalière</t>
        </is>
      </c>
      <c r="B977" s="7" t="inlineStr">
        <is>
          <t>conduite ou super-actif</t>
        </is>
      </c>
      <c r="C977" s="88" t="n">
        <v>2001</v>
      </c>
      <c r="D977" s="95" t="n">
        <v>54</v>
      </c>
      <c r="E977" s="95" t="n">
        <v>57</v>
      </c>
      <c r="F977" s="85" t="n">
        <v>172</v>
      </c>
      <c r="G977" s="120" t="n">
        <v>0.0125</v>
      </c>
      <c r="H977" s="120" t="n">
        <v>0.0125</v>
      </c>
      <c r="I977" s="95" t="n">
        <v>2</v>
      </c>
      <c r="J977" s="95" t="n">
        <v>56</v>
      </c>
      <c r="K977" s="95" t="n">
        <v>0.955</v>
      </c>
      <c r="L977" s="85" t="n">
        <v>1</v>
      </c>
    </row>
    <row r="978">
      <c r="A978" s="84" t="inlineStr">
        <is>
          <t>Fonction publique territoriale et hospitalière</t>
        </is>
      </c>
      <c r="B978" s="7" t="inlineStr">
        <is>
          <t>conduite ou super-actif</t>
        </is>
      </c>
      <c r="C978" s="88" t="n">
        <v>2002</v>
      </c>
      <c r="D978" s="95" t="n">
        <v>54</v>
      </c>
      <c r="E978" s="95" t="n">
        <v>57</v>
      </c>
      <c r="F978" s="85" t="n">
        <v>172</v>
      </c>
      <c r="G978" s="120" t="n">
        <v>0.0125</v>
      </c>
      <c r="H978" s="120" t="n">
        <v>0.0125</v>
      </c>
      <c r="I978" s="95" t="n">
        <v>2</v>
      </c>
      <c r="J978" s="95" t="n">
        <v>56</v>
      </c>
      <c r="K978" s="95" t="n">
        <v>0.955</v>
      </c>
      <c r="L978" s="85" t="n">
        <v>1</v>
      </c>
    </row>
    <row r="979">
      <c r="A979" s="84" t="inlineStr">
        <is>
          <t>Fonction publique territoriale et hospitalière</t>
        </is>
      </c>
      <c r="B979" s="7" t="inlineStr">
        <is>
          <t>conduite ou super-actif</t>
        </is>
      </c>
      <c r="C979" s="88" t="n">
        <v>2003</v>
      </c>
      <c r="D979" s="95" t="n">
        <v>54</v>
      </c>
      <c r="E979" s="95" t="n">
        <v>57</v>
      </c>
      <c r="F979" s="85" t="n">
        <v>172</v>
      </c>
      <c r="G979" s="120" t="n">
        <v>0.0125</v>
      </c>
      <c r="H979" s="120" t="n">
        <v>0.0125</v>
      </c>
      <c r="I979" s="95" t="n">
        <v>2</v>
      </c>
      <c r="J979" s="95" t="n">
        <v>56</v>
      </c>
      <c r="K979" s="95" t="n">
        <v>0.955</v>
      </c>
      <c r="L979" s="85" t="n">
        <v>1</v>
      </c>
    </row>
    <row r="980">
      <c r="A980" s="84" t="inlineStr">
        <is>
          <t>Fonction publique territoriale et hospitalière</t>
        </is>
      </c>
      <c r="B980" s="7" t="inlineStr">
        <is>
          <t>conduite ou super-actif</t>
        </is>
      </c>
      <c r="C980" s="88" t="n">
        <v>2004</v>
      </c>
      <c r="D980" s="95" t="n">
        <v>54</v>
      </c>
      <c r="E980" s="95" t="n">
        <v>57</v>
      </c>
      <c r="F980" s="85" t="n">
        <v>172</v>
      </c>
      <c r="G980" s="120" t="n">
        <v>0.0125</v>
      </c>
      <c r="H980" s="120" t="n">
        <v>0.0125</v>
      </c>
      <c r="I980" s="95" t="n">
        <v>2</v>
      </c>
      <c r="J980" s="95" t="n">
        <v>56</v>
      </c>
      <c r="K980" s="95" t="n">
        <v>0.955</v>
      </c>
      <c r="L980" s="85" t="n">
        <v>1</v>
      </c>
    </row>
    <row r="981">
      <c r="A981" s="84" t="inlineStr">
        <is>
          <t>Fonction publique territoriale et hospitalière</t>
        </is>
      </c>
      <c r="B981" s="7" t="inlineStr">
        <is>
          <t>conduite ou super-actif</t>
        </is>
      </c>
      <c r="C981" s="88" t="n">
        <v>2005</v>
      </c>
      <c r="D981" s="95" t="n">
        <v>54</v>
      </c>
      <c r="E981" s="95" t="n">
        <v>57</v>
      </c>
      <c r="F981" s="85" t="n">
        <v>172</v>
      </c>
      <c r="G981" s="120" t="n">
        <v>0.0125</v>
      </c>
      <c r="H981" s="120" t="n">
        <v>0.0125</v>
      </c>
      <c r="I981" s="95" t="n">
        <v>2</v>
      </c>
      <c r="J981" s="95" t="n">
        <v>56</v>
      </c>
      <c r="K981" s="95" t="n">
        <v>0.955</v>
      </c>
      <c r="L981" s="85" t="n">
        <v>1</v>
      </c>
    </row>
    <row r="982">
      <c r="A982" s="84" t="inlineStr">
        <is>
          <t>Fonction publique territoriale et hospitalière</t>
        </is>
      </c>
      <c r="B982" s="7" t="inlineStr">
        <is>
          <t>conduite ou super-actif</t>
        </is>
      </c>
      <c r="C982" s="88" t="n">
        <v>2006</v>
      </c>
      <c r="D982" s="95" t="n">
        <v>54</v>
      </c>
      <c r="E982" s="95" t="n">
        <v>57</v>
      </c>
      <c r="F982" s="85" t="n">
        <v>172</v>
      </c>
      <c r="G982" s="120" t="n">
        <v>0.0125</v>
      </c>
      <c r="H982" s="120" t="n">
        <v>0.0125</v>
      </c>
      <c r="I982" s="95" t="n">
        <v>2</v>
      </c>
      <c r="J982" s="95" t="n">
        <v>56</v>
      </c>
      <c r="K982" s="95" t="n">
        <v>0.955</v>
      </c>
      <c r="L982" s="85" t="n">
        <v>1</v>
      </c>
    </row>
    <row r="983">
      <c r="A983" s="84" t="inlineStr">
        <is>
          <t>Fonction publique territoriale et hospitalière</t>
        </is>
      </c>
      <c r="B983" s="7" t="inlineStr">
        <is>
          <t>conduite ou super-actif</t>
        </is>
      </c>
      <c r="C983" s="88" t="n">
        <v>2007</v>
      </c>
      <c r="D983" s="95" t="n">
        <v>54</v>
      </c>
      <c r="E983" s="95" t="n">
        <v>57</v>
      </c>
      <c r="F983" s="85" t="n">
        <v>172</v>
      </c>
      <c r="G983" s="120" t="n">
        <v>0.0125</v>
      </c>
      <c r="H983" s="120" t="n">
        <v>0.0125</v>
      </c>
      <c r="I983" s="95" t="n">
        <v>2</v>
      </c>
      <c r="J983" s="95" t="n">
        <v>56</v>
      </c>
      <c r="K983" s="95" t="n">
        <v>0.955</v>
      </c>
      <c r="L983" s="85" t="n">
        <v>1</v>
      </c>
    </row>
    <row r="984">
      <c r="A984" s="84" t="inlineStr">
        <is>
          <t>Fonction publique territoriale et hospitalière</t>
        </is>
      </c>
      <c r="B984" s="7" t="inlineStr">
        <is>
          <t>conduite ou super-actif</t>
        </is>
      </c>
      <c r="C984" s="88" t="n">
        <v>2008</v>
      </c>
      <c r="D984" s="95" t="n">
        <v>54</v>
      </c>
      <c r="E984" s="95" t="n">
        <v>57</v>
      </c>
      <c r="F984" s="85" t="n">
        <v>172</v>
      </c>
      <c r="G984" s="120" t="n">
        <v>0.0125</v>
      </c>
      <c r="H984" s="120" t="n">
        <v>0.0125</v>
      </c>
      <c r="I984" s="95" t="n">
        <v>2</v>
      </c>
      <c r="J984" s="95" t="n">
        <v>56</v>
      </c>
      <c r="K984" s="95" t="n">
        <v>0.955</v>
      </c>
      <c r="L984" s="85" t="n">
        <v>1</v>
      </c>
    </row>
    <row r="985">
      <c r="A985" s="84" t="inlineStr">
        <is>
          <t>Fonction publique territoriale et hospitalière</t>
        </is>
      </c>
      <c r="B985" s="7" t="inlineStr">
        <is>
          <t>conduite ou super-actif</t>
        </is>
      </c>
      <c r="C985" s="88" t="n">
        <v>2009</v>
      </c>
      <c r="D985" s="95" t="n">
        <v>54</v>
      </c>
      <c r="E985" s="95" t="n">
        <v>57</v>
      </c>
      <c r="F985" s="85" t="n">
        <v>172</v>
      </c>
      <c r="G985" s="120" t="n">
        <v>0.0125</v>
      </c>
      <c r="H985" s="120" t="n">
        <v>0.0125</v>
      </c>
      <c r="I985" s="95" t="n">
        <v>2</v>
      </c>
      <c r="J985" s="95" t="n">
        <v>56</v>
      </c>
      <c r="K985" s="95" t="n">
        <v>0.955</v>
      </c>
      <c r="L985" s="85" t="n">
        <v>1</v>
      </c>
    </row>
    <row r="986">
      <c r="A986" s="84" t="inlineStr">
        <is>
          <t>Fonction publique territoriale et hospitalière</t>
        </is>
      </c>
      <c r="B986" s="7" t="inlineStr">
        <is>
          <t>conduite ou super-actif</t>
        </is>
      </c>
      <c r="C986" s="88" t="n">
        <v>2010</v>
      </c>
      <c r="D986" s="95" t="n">
        <v>54</v>
      </c>
      <c r="E986" s="95" t="n">
        <v>57</v>
      </c>
      <c r="F986" s="85" t="n">
        <v>172</v>
      </c>
      <c r="G986" s="120" t="n">
        <v>0.0125</v>
      </c>
      <c r="H986" s="120" t="n">
        <v>0.0125</v>
      </c>
      <c r="I986" s="95" t="n">
        <v>2</v>
      </c>
      <c r="J986" s="95" t="n">
        <v>56</v>
      </c>
      <c r="K986" s="95" t="n">
        <v>0.955</v>
      </c>
      <c r="L986" s="85" t="n">
        <v>1</v>
      </c>
    </row>
    <row r="987">
      <c r="A987" s="84" t="inlineStr">
        <is>
          <t>Fonction publique territoriale et hospitalière</t>
        </is>
      </c>
      <c r="B987" s="7" t="inlineStr">
        <is>
          <t>conduite ou super-actif</t>
        </is>
      </c>
      <c r="C987" s="88" t="n">
        <v>2011</v>
      </c>
      <c r="D987" s="95" t="n">
        <v>54</v>
      </c>
      <c r="E987" s="95" t="n">
        <v>57</v>
      </c>
      <c r="F987" s="85" t="n">
        <v>172</v>
      </c>
      <c r="G987" s="120" t="n">
        <v>0.0125</v>
      </c>
      <c r="H987" s="120" t="n">
        <v>0.0125</v>
      </c>
      <c r="I987" s="95" t="n">
        <v>2</v>
      </c>
      <c r="J987" s="95" t="n">
        <v>56</v>
      </c>
      <c r="K987" s="95" t="n">
        <v>0.955</v>
      </c>
      <c r="L987" s="85" t="n">
        <v>1</v>
      </c>
    </row>
    <row r="988">
      <c r="A988" s="84" t="inlineStr">
        <is>
          <t>Fonction publique territoriale et hospitalière</t>
        </is>
      </c>
      <c r="B988" s="7" t="inlineStr">
        <is>
          <t>conduite ou super-actif</t>
        </is>
      </c>
      <c r="C988" s="88" t="n">
        <v>2012</v>
      </c>
      <c r="D988" s="95" t="n">
        <v>54</v>
      </c>
      <c r="E988" s="95" t="n">
        <v>57</v>
      </c>
      <c r="F988" s="85" t="n">
        <v>172</v>
      </c>
      <c r="G988" s="120" t="n">
        <v>0.0125</v>
      </c>
      <c r="H988" s="120" t="n">
        <v>0.0125</v>
      </c>
      <c r="I988" s="95" t="n">
        <v>2</v>
      </c>
      <c r="J988" s="95" t="n">
        <v>56</v>
      </c>
      <c r="K988" s="95" t="n">
        <v>0.955</v>
      </c>
      <c r="L988" s="85" t="n">
        <v>1</v>
      </c>
    </row>
    <row r="989">
      <c r="A989" s="84" t="inlineStr">
        <is>
          <t>Fonction publique territoriale et hospitalière</t>
        </is>
      </c>
      <c r="B989" s="7" t="inlineStr">
        <is>
          <t>conduite ou super-actif</t>
        </is>
      </c>
      <c r="C989" s="88" t="n">
        <v>2013</v>
      </c>
      <c r="D989" s="95" t="n">
        <v>54</v>
      </c>
      <c r="E989" s="95" t="n">
        <v>57</v>
      </c>
      <c r="F989" s="85" t="n">
        <v>172</v>
      </c>
      <c r="G989" s="120" t="n">
        <v>0.0125</v>
      </c>
      <c r="H989" s="120" t="n">
        <v>0.0125</v>
      </c>
      <c r="I989" s="95" t="n">
        <v>2</v>
      </c>
      <c r="J989" s="95" t="n">
        <v>56</v>
      </c>
      <c r="K989" s="95" t="n">
        <v>0.955</v>
      </c>
      <c r="L989" s="85" t="n">
        <v>1</v>
      </c>
    </row>
    <row r="990">
      <c r="A990" s="84" t="inlineStr">
        <is>
          <t>Fonction publique territoriale et hospitalière</t>
        </is>
      </c>
      <c r="B990" s="7" t="inlineStr">
        <is>
          <t>conduite ou super-actif</t>
        </is>
      </c>
      <c r="C990" s="88" t="n">
        <v>2014</v>
      </c>
      <c r="D990" s="95" t="n">
        <v>54</v>
      </c>
      <c r="E990" s="95" t="n">
        <v>57</v>
      </c>
      <c r="F990" s="85" t="n">
        <v>172</v>
      </c>
      <c r="G990" s="120" t="n">
        <v>0.0125</v>
      </c>
      <c r="H990" s="120" t="n">
        <v>0.0125</v>
      </c>
      <c r="I990" s="95" t="n">
        <v>2</v>
      </c>
      <c r="J990" s="95" t="n">
        <v>56</v>
      </c>
      <c r="K990" s="95" t="n">
        <v>0.955</v>
      </c>
      <c r="L990" s="85" t="n">
        <v>1</v>
      </c>
    </row>
    <row r="991">
      <c r="A991" s="84" t="inlineStr">
        <is>
          <t>Fonction publique territoriale et hospitalière</t>
        </is>
      </c>
      <c r="B991" s="7" t="inlineStr">
        <is>
          <t>conduite ou super-actif</t>
        </is>
      </c>
      <c r="C991" s="88" t="n">
        <v>2015</v>
      </c>
      <c r="D991" s="95" t="n">
        <v>54</v>
      </c>
      <c r="E991" s="95" t="n">
        <v>57</v>
      </c>
      <c r="F991" s="85" t="n">
        <v>172</v>
      </c>
      <c r="G991" s="120" t="n">
        <v>0.0125</v>
      </c>
      <c r="H991" s="120" t="n">
        <v>0.0125</v>
      </c>
      <c r="I991" s="95" t="n">
        <v>2</v>
      </c>
      <c r="J991" s="95" t="n">
        <v>56</v>
      </c>
      <c r="K991" s="95" t="n">
        <v>0.955</v>
      </c>
      <c r="L991" s="85" t="n">
        <v>1</v>
      </c>
    </row>
    <row r="992">
      <c r="A992" s="84" t="inlineStr">
        <is>
          <t>Fonction publique territoriale et hospitalière</t>
        </is>
      </c>
      <c r="B992" s="7" t="inlineStr">
        <is>
          <t>conduite ou super-actif</t>
        </is>
      </c>
      <c r="C992" s="88" t="n">
        <v>2016</v>
      </c>
      <c r="D992" s="95" t="n">
        <v>54</v>
      </c>
      <c r="E992" s="95" t="n">
        <v>57</v>
      </c>
      <c r="F992" s="85" t="n">
        <v>172</v>
      </c>
      <c r="G992" s="120" t="n">
        <v>0.0125</v>
      </c>
      <c r="H992" s="120" t="n">
        <v>0.0125</v>
      </c>
      <c r="I992" s="95" t="n">
        <v>2</v>
      </c>
      <c r="J992" s="95" t="n">
        <v>56</v>
      </c>
      <c r="K992" s="95" t="n">
        <v>0.955</v>
      </c>
      <c r="L992" s="85" t="n">
        <v>1</v>
      </c>
    </row>
    <row r="993">
      <c r="A993" s="84" t="inlineStr">
        <is>
          <t>Fonction publique territoriale et hospitalière</t>
        </is>
      </c>
      <c r="B993" s="7" t="inlineStr">
        <is>
          <t>conduite ou super-actif</t>
        </is>
      </c>
      <c r="C993" s="88" t="n">
        <v>2017</v>
      </c>
      <c r="D993" s="95" t="n">
        <v>54</v>
      </c>
      <c r="E993" s="95" t="n">
        <v>57</v>
      </c>
      <c r="F993" s="85" t="n">
        <v>172</v>
      </c>
      <c r="G993" s="120" t="n">
        <v>0.0125</v>
      </c>
      <c r="H993" s="120" t="n">
        <v>0.0125</v>
      </c>
      <c r="I993" s="95" t="n">
        <v>2</v>
      </c>
      <c r="J993" s="95" t="n">
        <v>56</v>
      </c>
      <c r="K993" s="95" t="n">
        <v>0.955</v>
      </c>
      <c r="L993" s="85" t="n">
        <v>1</v>
      </c>
    </row>
    <row r="994">
      <c r="A994" s="84" t="inlineStr">
        <is>
          <t>Fonction publique territoriale et hospitalière</t>
        </is>
      </c>
      <c r="B994" s="7" t="inlineStr">
        <is>
          <t>conduite ou super-actif</t>
        </is>
      </c>
      <c r="C994" s="88" t="n">
        <v>2018</v>
      </c>
      <c r="D994" s="95" t="n">
        <v>54</v>
      </c>
      <c r="E994" s="95" t="n">
        <v>57</v>
      </c>
      <c r="F994" s="85" t="n">
        <v>172</v>
      </c>
      <c r="G994" s="120" t="n">
        <v>0.0125</v>
      </c>
      <c r="H994" s="120" t="n">
        <v>0.0125</v>
      </c>
      <c r="I994" s="95" t="n">
        <v>2</v>
      </c>
      <c r="J994" s="95" t="n">
        <v>56</v>
      </c>
      <c r="K994" s="95" t="n">
        <v>0.955</v>
      </c>
      <c r="L994" s="85" t="n">
        <v>1</v>
      </c>
    </row>
    <row r="995">
      <c r="A995" s="84" t="inlineStr">
        <is>
          <t>Fonction publique territoriale et hospitalière</t>
        </is>
      </c>
      <c r="B995" s="7" t="inlineStr">
        <is>
          <t>conduite ou super-actif</t>
        </is>
      </c>
      <c r="C995" s="88" t="n">
        <v>2019</v>
      </c>
      <c r="D995" s="95" t="n">
        <v>54</v>
      </c>
      <c r="E995" s="95" t="n">
        <v>57</v>
      </c>
      <c r="F995" s="85" t="n">
        <v>172</v>
      </c>
      <c r="G995" s="120" t="n">
        <v>0.0125</v>
      </c>
      <c r="H995" s="120" t="n">
        <v>0.0125</v>
      </c>
      <c r="I995" s="95" t="n">
        <v>2</v>
      </c>
      <c r="J995" s="95" t="n">
        <v>56</v>
      </c>
      <c r="K995" s="95" t="n">
        <v>0.955</v>
      </c>
      <c r="L995" s="85" t="n">
        <v>1</v>
      </c>
    </row>
    <row r="996">
      <c r="A996" s="84" t="inlineStr">
        <is>
          <t>Fonction publique territoriale et hospitalière</t>
        </is>
      </c>
      <c r="B996" s="7" t="inlineStr">
        <is>
          <t>conduite ou super-actif</t>
        </is>
      </c>
      <c r="C996" s="88" t="n">
        <v>2020</v>
      </c>
      <c r="D996" s="95" t="n">
        <v>54</v>
      </c>
      <c r="E996" s="95" t="n">
        <v>57</v>
      </c>
      <c r="F996" s="85" t="n">
        <v>172</v>
      </c>
      <c r="G996" s="120" t="n">
        <v>0.0125</v>
      </c>
      <c r="H996" s="120" t="n">
        <v>0.0125</v>
      </c>
      <c r="I996" s="95" t="n">
        <v>2</v>
      </c>
      <c r="J996" s="95" t="n">
        <v>56</v>
      </c>
      <c r="K996" s="95" t="n">
        <v>0.955</v>
      </c>
      <c r="L996" s="85" t="n">
        <v>1</v>
      </c>
    </row>
    <row r="997">
      <c r="A997" s="84" t="inlineStr">
        <is>
          <t>Fonction publique territoriale et hospitalière</t>
        </is>
      </c>
      <c r="B997" s="7" t="inlineStr">
        <is>
          <t>conduite ou super-actif</t>
        </is>
      </c>
      <c r="C997" s="88" t="n">
        <v>2021</v>
      </c>
      <c r="D997" s="95" t="n">
        <v>54</v>
      </c>
      <c r="E997" s="95" t="n">
        <v>57</v>
      </c>
      <c r="F997" s="85" t="n">
        <v>172</v>
      </c>
      <c r="G997" s="120" t="n">
        <v>0.0125</v>
      </c>
      <c r="H997" s="120" t="n">
        <v>0.0125</v>
      </c>
      <c r="I997" s="95" t="n">
        <v>2</v>
      </c>
      <c r="J997" s="95" t="n">
        <v>56</v>
      </c>
      <c r="K997" s="95" t="n">
        <v>0.955</v>
      </c>
      <c r="L997" s="85" t="n">
        <v>1</v>
      </c>
    </row>
    <row r="998">
      <c r="A998" s="84" t="inlineStr">
        <is>
          <t>Fonction publique territoriale et hospitalière</t>
        </is>
      </c>
      <c r="B998" s="7" t="inlineStr">
        <is>
          <t>conduite ou super-actif</t>
        </is>
      </c>
      <c r="C998" s="88" t="n">
        <v>2022</v>
      </c>
      <c r="D998" s="95" t="n">
        <v>54</v>
      </c>
      <c r="E998" s="95" t="n">
        <v>57</v>
      </c>
      <c r="F998" s="85" t="n">
        <v>172</v>
      </c>
      <c r="G998" s="120" t="n">
        <v>0.0125</v>
      </c>
      <c r="H998" s="120" t="n">
        <v>0.0125</v>
      </c>
      <c r="I998" s="95" t="n">
        <v>2</v>
      </c>
      <c r="J998" s="95" t="n">
        <v>56</v>
      </c>
      <c r="K998" s="95" t="n">
        <v>0.955</v>
      </c>
      <c r="L998" s="85" t="n">
        <v>1</v>
      </c>
    </row>
    <row r="999">
      <c r="A999" s="84" t="inlineStr">
        <is>
          <t>Fonction publique territoriale et hospitalière</t>
        </is>
      </c>
      <c r="B999" s="7" t="inlineStr">
        <is>
          <t>conduite ou super-actif</t>
        </is>
      </c>
      <c r="C999" s="88" t="n">
        <v>2023</v>
      </c>
      <c r="D999" s="95" t="n">
        <v>54</v>
      </c>
      <c r="E999" s="95" t="n">
        <v>57</v>
      </c>
      <c r="F999" s="85" t="n">
        <v>172</v>
      </c>
      <c r="G999" s="120" t="n">
        <v>0.0125</v>
      </c>
      <c r="H999" s="120" t="n">
        <v>0.0125</v>
      </c>
      <c r="I999" s="95" t="n">
        <v>2</v>
      </c>
      <c r="J999" s="95" t="n">
        <v>56</v>
      </c>
      <c r="K999" s="95" t="n">
        <v>0.955</v>
      </c>
      <c r="L999" s="85" t="n">
        <v>1</v>
      </c>
    </row>
    <row r="1000">
      <c r="A1000" s="84" t="inlineStr">
        <is>
          <t>Fonction publique territoriale et hospitalière</t>
        </is>
      </c>
      <c r="B1000" s="7" t="inlineStr">
        <is>
          <t>conduite ou super-actif</t>
        </is>
      </c>
      <c r="C1000" s="88" t="n">
        <v>2024</v>
      </c>
      <c r="D1000" s="95" t="n">
        <v>54</v>
      </c>
      <c r="E1000" s="95" t="n">
        <v>57</v>
      </c>
      <c r="F1000" s="85" t="n">
        <v>172</v>
      </c>
      <c r="G1000" s="120" t="n">
        <v>0.0125</v>
      </c>
      <c r="H1000" s="120" t="n">
        <v>0.0125</v>
      </c>
      <c r="I1000" s="95" t="n">
        <v>2</v>
      </c>
      <c r="J1000" s="95" t="n">
        <v>56</v>
      </c>
      <c r="K1000" s="95" t="n">
        <v>0.955</v>
      </c>
      <c r="L1000" s="85" t="n">
        <v>1</v>
      </c>
    </row>
    <row r="1001">
      <c r="A1001" s="84" t="inlineStr">
        <is>
          <t>Fonction publique territoriale et hospitalière</t>
        </is>
      </c>
      <c r="B1001" s="7" t="inlineStr">
        <is>
          <t>conduite ou super-actif</t>
        </is>
      </c>
      <c r="C1001" s="88" t="n">
        <v>2025</v>
      </c>
      <c r="D1001" s="95" t="n">
        <v>54</v>
      </c>
      <c r="E1001" s="95" t="n">
        <v>57</v>
      </c>
      <c r="F1001" s="85" t="n">
        <v>172</v>
      </c>
      <c r="G1001" s="120" t="n">
        <v>0.0125</v>
      </c>
      <c r="H1001" s="120" t="n">
        <v>0.0125</v>
      </c>
      <c r="I1001" s="95" t="n">
        <v>2</v>
      </c>
      <c r="J1001" s="95" t="n">
        <v>56</v>
      </c>
      <c r="K1001" s="95" t="n">
        <v>0.955</v>
      </c>
      <c r="L1001" s="85" t="n">
        <v>1</v>
      </c>
    </row>
    <row r="1002">
      <c r="A1002" s="84" t="inlineStr">
        <is>
          <t>SNCF</t>
        </is>
      </c>
      <c r="B1002" s="7" t="inlineStr">
        <is>
          <t>sédentaire</t>
        </is>
      </c>
      <c r="C1002" s="88" t="n">
        <v>1915</v>
      </c>
      <c r="D1002" s="95" t="n">
        <v>55</v>
      </c>
      <c r="E1002" s="95" t="n">
        <v>55</v>
      </c>
      <c r="F1002" s="85" t="n">
        <v>150</v>
      </c>
      <c r="G1002" s="120" t="n">
        <v>0</v>
      </c>
      <c r="H1002" s="120" t="n">
        <v>0</v>
      </c>
      <c r="I1002" s="95" t="n">
        <v>0.3</v>
      </c>
      <c r="J1002" s="95" t="n">
        <v>55.3</v>
      </c>
      <c r="K1002" s="95" t="n">
        <v>0.955</v>
      </c>
      <c r="L1002" s="85" t="n">
        <v>0</v>
      </c>
    </row>
    <row r="1003">
      <c r="A1003" s="84" t="inlineStr">
        <is>
          <t>SNCF</t>
        </is>
      </c>
      <c r="B1003" s="7" t="inlineStr">
        <is>
          <t>sédentaire</t>
        </is>
      </c>
      <c r="C1003" s="88" t="n">
        <v>1916</v>
      </c>
      <c r="D1003" s="95" t="n">
        <v>55</v>
      </c>
      <c r="E1003" s="95" t="n">
        <v>55</v>
      </c>
      <c r="F1003" s="85" t="n">
        <v>150</v>
      </c>
      <c r="G1003" s="120" t="n">
        <v>0</v>
      </c>
      <c r="H1003" s="120" t="n">
        <v>0</v>
      </c>
      <c r="I1003" s="95" t="n">
        <v>0.3</v>
      </c>
      <c r="J1003" s="95" t="n">
        <v>55.3</v>
      </c>
      <c r="K1003" s="95" t="n">
        <v>0.955</v>
      </c>
      <c r="L1003" s="85" t="n">
        <v>0</v>
      </c>
    </row>
    <row r="1004">
      <c r="A1004" s="84" t="inlineStr">
        <is>
          <t>SNCF</t>
        </is>
      </c>
      <c r="B1004" s="7" t="inlineStr">
        <is>
          <t>sédentaire</t>
        </is>
      </c>
      <c r="C1004" s="88" t="n">
        <v>1917</v>
      </c>
      <c r="D1004" s="95" t="n">
        <v>55</v>
      </c>
      <c r="E1004" s="95" t="n">
        <v>55</v>
      </c>
      <c r="F1004" s="85" t="n">
        <v>150</v>
      </c>
      <c r="G1004" s="120" t="n">
        <v>0</v>
      </c>
      <c r="H1004" s="120" t="n">
        <v>0</v>
      </c>
      <c r="I1004" s="95" t="n">
        <v>0.3</v>
      </c>
      <c r="J1004" s="95" t="n">
        <v>55.3</v>
      </c>
      <c r="K1004" s="95" t="n">
        <v>0.955</v>
      </c>
      <c r="L1004" s="85" t="n">
        <v>0</v>
      </c>
    </row>
    <row r="1005">
      <c r="A1005" s="84" t="inlineStr">
        <is>
          <t>SNCF</t>
        </is>
      </c>
      <c r="B1005" s="7" t="inlineStr">
        <is>
          <t>sédentaire</t>
        </is>
      </c>
      <c r="C1005" s="88" t="n">
        <v>1918</v>
      </c>
      <c r="D1005" s="95" t="n">
        <v>55</v>
      </c>
      <c r="E1005" s="95" t="n">
        <v>55</v>
      </c>
      <c r="F1005" s="85" t="n">
        <v>150</v>
      </c>
      <c r="G1005" s="120" t="n">
        <v>0</v>
      </c>
      <c r="H1005" s="120" t="n">
        <v>0</v>
      </c>
      <c r="I1005" s="95" t="n">
        <v>0.3</v>
      </c>
      <c r="J1005" s="95" t="n">
        <v>55.3</v>
      </c>
      <c r="K1005" s="95" t="n">
        <v>0.955</v>
      </c>
      <c r="L1005" s="85" t="n">
        <v>0</v>
      </c>
    </row>
    <row r="1006">
      <c r="A1006" s="84" t="inlineStr">
        <is>
          <t>SNCF</t>
        </is>
      </c>
      <c r="B1006" s="7" t="inlineStr">
        <is>
          <t>sédentaire</t>
        </is>
      </c>
      <c r="C1006" s="88" t="n">
        <v>1919</v>
      </c>
      <c r="D1006" s="95" t="n">
        <v>55</v>
      </c>
      <c r="E1006" s="95" t="n">
        <v>55</v>
      </c>
      <c r="F1006" s="85" t="n">
        <v>150</v>
      </c>
      <c r="G1006" s="120" t="n">
        <v>0</v>
      </c>
      <c r="H1006" s="120" t="n">
        <v>0</v>
      </c>
      <c r="I1006" s="95" t="n">
        <v>0.3</v>
      </c>
      <c r="J1006" s="95" t="n">
        <v>55.3</v>
      </c>
      <c r="K1006" s="95" t="n">
        <v>0.955</v>
      </c>
      <c r="L1006" s="85" t="n">
        <v>0</v>
      </c>
    </row>
    <row r="1007">
      <c r="A1007" s="84" t="inlineStr">
        <is>
          <t>SNCF</t>
        </is>
      </c>
      <c r="B1007" s="7" t="inlineStr">
        <is>
          <t>sédentaire</t>
        </is>
      </c>
      <c r="C1007" s="88" t="n">
        <v>1920</v>
      </c>
      <c r="D1007" s="95" t="n">
        <v>55</v>
      </c>
      <c r="E1007" s="95" t="n">
        <v>55</v>
      </c>
      <c r="F1007" s="85" t="n">
        <v>150</v>
      </c>
      <c r="G1007" s="120" t="n">
        <v>0</v>
      </c>
      <c r="H1007" s="120" t="n">
        <v>0</v>
      </c>
      <c r="I1007" s="95" t="n">
        <v>0.3</v>
      </c>
      <c r="J1007" s="95" t="n">
        <v>55.3</v>
      </c>
      <c r="K1007" s="95" t="n">
        <v>0.955</v>
      </c>
      <c r="L1007" s="85" t="n">
        <v>0</v>
      </c>
    </row>
    <row r="1008">
      <c r="A1008" s="84" t="inlineStr">
        <is>
          <t>SNCF</t>
        </is>
      </c>
      <c r="B1008" s="7" t="inlineStr">
        <is>
          <t>sédentaire</t>
        </is>
      </c>
      <c r="C1008" s="88" t="n">
        <v>1921</v>
      </c>
      <c r="D1008" s="95" t="n">
        <v>55</v>
      </c>
      <c r="E1008" s="95" t="n">
        <v>55</v>
      </c>
      <c r="F1008" s="85" t="n">
        <v>150</v>
      </c>
      <c r="G1008" s="120" t="n">
        <v>0</v>
      </c>
      <c r="H1008" s="120" t="n">
        <v>0</v>
      </c>
      <c r="I1008" s="95" t="n">
        <v>0.3</v>
      </c>
      <c r="J1008" s="95" t="n">
        <v>55.3</v>
      </c>
      <c r="K1008" s="95" t="n">
        <v>0.955</v>
      </c>
      <c r="L1008" s="85" t="n">
        <v>0</v>
      </c>
    </row>
    <row r="1009">
      <c r="A1009" s="84" t="inlineStr">
        <is>
          <t>SNCF</t>
        </is>
      </c>
      <c r="B1009" s="7" t="inlineStr">
        <is>
          <t>sédentaire</t>
        </is>
      </c>
      <c r="C1009" s="88" t="n">
        <v>1922</v>
      </c>
      <c r="D1009" s="95" t="n">
        <v>55</v>
      </c>
      <c r="E1009" s="95" t="n">
        <v>55</v>
      </c>
      <c r="F1009" s="85" t="n">
        <v>150</v>
      </c>
      <c r="G1009" s="120" t="n">
        <v>0</v>
      </c>
      <c r="H1009" s="120" t="n">
        <v>0</v>
      </c>
      <c r="I1009" s="95" t="n">
        <v>0.3</v>
      </c>
      <c r="J1009" s="95" t="n">
        <v>55.3</v>
      </c>
      <c r="K1009" s="95" t="n">
        <v>0.955</v>
      </c>
      <c r="L1009" s="85" t="n">
        <v>0</v>
      </c>
    </row>
    <row r="1010">
      <c r="A1010" s="84" t="inlineStr">
        <is>
          <t>SNCF</t>
        </is>
      </c>
      <c r="B1010" s="7" t="inlineStr">
        <is>
          <t>sédentaire</t>
        </is>
      </c>
      <c r="C1010" s="88" t="n">
        <v>1923</v>
      </c>
      <c r="D1010" s="95" t="n">
        <v>55</v>
      </c>
      <c r="E1010" s="95" t="n">
        <v>55</v>
      </c>
      <c r="F1010" s="85" t="n">
        <v>150</v>
      </c>
      <c r="G1010" s="120" t="n">
        <v>0</v>
      </c>
      <c r="H1010" s="120" t="n">
        <v>0</v>
      </c>
      <c r="I1010" s="95" t="n">
        <v>0.3</v>
      </c>
      <c r="J1010" s="95" t="n">
        <v>55.3</v>
      </c>
      <c r="K1010" s="95" t="n">
        <v>0.955</v>
      </c>
      <c r="L1010" s="85" t="n">
        <v>0</v>
      </c>
    </row>
    <row r="1011">
      <c r="A1011" s="84" t="inlineStr">
        <is>
          <t>SNCF</t>
        </is>
      </c>
      <c r="B1011" s="7" t="inlineStr">
        <is>
          <t>sédentaire</t>
        </is>
      </c>
      <c r="C1011" s="88" t="n">
        <v>1924</v>
      </c>
      <c r="D1011" s="95" t="n">
        <v>55</v>
      </c>
      <c r="E1011" s="95" t="n">
        <v>55</v>
      </c>
      <c r="F1011" s="85" t="n">
        <v>150</v>
      </c>
      <c r="G1011" s="120" t="n">
        <v>0</v>
      </c>
      <c r="H1011" s="120" t="n">
        <v>0</v>
      </c>
      <c r="I1011" s="95" t="n">
        <v>0.3</v>
      </c>
      <c r="J1011" s="95" t="n">
        <v>55.3</v>
      </c>
      <c r="K1011" s="95" t="n">
        <v>0.955</v>
      </c>
      <c r="L1011" s="85" t="n">
        <v>0</v>
      </c>
    </row>
    <row r="1012">
      <c r="A1012" s="84" t="inlineStr">
        <is>
          <t>SNCF</t>
        </is>
      </c>
      <c r="B1012" s="7" t="inlineStr">
        <is>
          <t>sédentaire</t>
        </is>
      </c>
      <c r="C1012" s="88" t="n">
        <v>1925</v>
      </c>
      <c r="D1012" s="95" t="n">
        <v>55</v>
      </c>
      <c r="E1012" s="95" t="n">
        <v>55</v>
      </c>
      <c r="F1012" s="85" t="n">
        <v>150</v>
      </c>
      <c r="G1012" s="120" t="n">
        <v>0</v>
      </c>
      <c r="H1012" s="120" t="n">
        <v>0</v>
      </c>
      <c r="I1012" s="95" t="n">
        <v>0.3</v>
      </c>
      <c r="J1012" s="95" t="n">
        <v>55.3</v>
      </c>
      <c r="K1012" s="95" t="n">
        <v>0.955</v>
      </c>
      <c r="L1012" s="85" t="n">
        <v>0</v>
      </c>
    </row>
    <row r="1013">
      <c r="A1013" s="84" t="inlineStr">
        <is>
          <t>SNCF</t>
        </is>
      </c>
      <c r="B1013" s="7" t="inlineStr">
        <is>
          <t>sédentaire</t>
        </is>
      </c>
      <c r="C1013" s="88" t="n">
        <v>1926</v>
      </c>
      <c r="D1013" s="95" t="n">
        <v>55</v>
      </c>
      <c r="E1013" s="95" t="n">
        <v>55</v>
      </c>
      <c r="F1013" s="85" t="n">
        <v>150</v>
      </c>
      <c r="G1013" s="120" t="n">
        <v>0</v>
      </c>
      <c r="H1013" s="120" t="n">
        <v>0</v>
      </c>
      <c r="I1013" s="95" t="n">
        <v>0.3</v>
      </c>
      <c r="J1013" s="95" t="n">
        <v>55.3</v>
      </c>
      <c r="K1013" s="95" t="n">
        <v>0.955</v>
      </c>
      <c r="L1013" s="85" t="n">
        <v>0</v>
      </c>
    </row>
    <row r="1014">
      <c r="A1014" s="84" t="inlineStr">
        <is>
          <t>SNCF</t>
        </is>
      </c>
      <c r="B1014" s="7" t="inlineStr">
        <is>
          <t>sédentaire</t>
        </is>
      </c>
      <c r="C1014" s="88" t="n">
        <v>1927</v>
      </c>
      <c r="D1014" s="95" t="n">
        <v>55</v>
      </c>
      <c r="E1014" s="95" t="n">
        <v>55</v>
      </c>
      <c r="F1014" s="85" t="n">
        <v>150</v>
      </c>
      <c r="G1014" s="120" t="n">
        <v>0</v>
      </c>
      <c r="H1014" s="120" t="n">
        <v>0</v>
      </c>
      <c r="I1014" s="95" t="n">
        <v>0.3</v>
      </c>
      <c r="J1014" s="95" t="n">
        <v>55.3</v>
      </c>
      <c r="K1014" s="95" t="n">
        <v>0.955</v>
      </c>
      <c r="L1014" s="85" t="n">
        <v>0</v>
      </c>
    </row>
    <row r="1015">
      <c r="A1015" s="84" t="inlineStr">
        <is>
          <t>SNCF</t>
        </is>
      </c>
      <c r="B1015" s="7" t="inlineStr">
        <is>
          <t>sédentaire</t>
        </is>
      </c>
      <c r="C1015" s="88" t="n">
        <v>1928</v>
      </c>
      <c r="D1015" s="95" t="n">
        <v>55</v>
      </c>
      <c r="E1015" s="95" t="n">
        <v>55</v>
      </c>
      <c r="F1015" s="85" t="n">
        <v>150</v>
      </c>
      <c r="G1015" s="120" t="n">
        <v>0</v>
      </c>
      <c r="H1015" s="120" t="n">
        <v>0</v>
      </c>
      <c r="I1015" s="95" t="n">
        <v>0.3</v>
      </c>
      <c r="J1015" s="95" t="n">
        <v>55.3</v>
      </c>
      <c r="K1015" s="95" t="n">
        <v>0.955</v>
      </c>
      <c r="L1015" s="85" t="n">
        <v>0</v>
      </c>
    </row>
    <row r="1016">
      <c r="A1016" s="84" t="inlineStr">
        <is>
          <t>SNCF</t>
        </is>
      </c>
      <c r="B1016" s="7" t="inlineStr">
        <is>
          <t>sédentaire</t>
        </is>
      </c>
      <c r="C1016" s="88" t="n">
        <v>1929</v>
      </c>
      <c r="D1016" s="95" t="n">
        <v>55</v>
      </c>
      <c r="E1016" s="95" t="n">
        <v>55</v>
      </c>
      <c r="F1016" s="85" t="n">
        <v>150</v>
      </c>
      <c r="G1016" s="120" t="n">
        <v>0</v>
      </c>
      <c r="H1016" s="120" t="n">
        <v>0</v>
      </c>
      <c r="I1016" s="95" t="n">
        <v>0.3</v>
      </c>
      <c r="J1016" s="95" t="n">
        <v>55.3</v>
      </c>
      <c r="K1016" s="95" t="n">
        <v>0.955</v>
      </c>
      <c r="L1016" s="85" t="n">
        <v>0</v>
      </c>
    </row>
    <row r="1017">
      <c r="A1017" s="84" t="inlineStr">
        <is>
          <t>SNCF</t>
        </is>
      </c>
      <c r="B1017" s="7" t="inlineStr">
        <is>
          <t>sédentaire</t>
        </is>
      </c>
      <c r="C1017" s="88" t="n">
        <v>1930</v>
      </c>
      <c r="D1017" s="95" t="n">
        <v>55</v>
      </c>
      <c r="E1017" s="95" t="n">
        <v>55</v>
      </c>
      <c r="F1017" s="85" t="n">
        <v>150</v>
      </c>
      <c r="G1017" s="120" t="n">
        <v>0</v>
      </c>
      <c r="H1017" s="120" t="n">
        <v>0</v>
      </c>
      <c r="I1017" s="95" t="n">
        <v>0.3</v>
      </c>
      <c r="J1017" s="95" t="n">
        <v>55.3</v>
      </c>
      <c r="K1017" s="95" t="n">
        <v>0.955</v>
      </c>
      <c r="L1017" s="85" t="n">
        <v>0</v>
      </c>
    </row>
    <row r="1018">
      <c r="A1018" s="84" t="inlineStr">
        <is>
          <t>SNCF</t>
        </is>
      </c>
      <c r="B1018" s="7" t="inlineStr">
        <is>
          <t>sédentaire</t>
        </is>
      </c>
      <c r="C1018" s="88" t="n">
        <v>1931</v>
      </c>
      <c r="D1018" s="95" t="n">
        <v>55</v>
      </c>
      <c r="E1018" s="95" t="n">
        <v>55</v>
      </c>
      <c r="F1018" s="85" t="n">
        <v>150</v>
      </c>
      <c r="G1018" s="120" t="n">
        <v>0</v>
      </c>
      <c r="H1018" s="120" t="n">
        <v>0</v>
      </c>
      <c r="I1018" s="95" t="n">
        <v>0.3</v>
      </c>
      <c r="J1018" s="95" t="n">
        <v>55.3</v>
      </c>
      <c r="K1018" s="95" t="n">
        <v>0.955</v>
      </c>
      <c r="L1018" s="85" t="n">
        <v>0</v>
      </c>
    </row>
    <row r="1019">
      <c r="A1019" s="84" t="inlineStr">
        <is>
          <t>SNCF</t>
        </is>
      </c>
      <c r="B1019" s="7" t="inlineStr">
        <is>
          <t>sédentaire</t>
        </is>
      </c>
      <c r="C1019" s="88" t="n">
        <v>1932</v>
      </c>
      <c r="D1019" s="95" t="n">
        <v>55</v>
      </c>
      <c r="E1019" s="95" t="n">
        <v>55</v>
      </c>
      <c r="F1019" s="85" t="n">
        <v>150</v>
      </c>
      <c r="G1019" s="120" t="n">
        <v>0</v>
      </c>
      <c r="H1019" s="120" t="n">
        <v>0</v>
      </c>
      <c r="I1019" s="95" t="n">
        <v>0.3</v>
      </c>
      <c r="J1019" s="95" t="n">
        <v>55.3</v>
      </c>
      <c r="K1019" s="95" t="n">
        <v>0.955</v>
      </c>
      <c r="L1019" s="85" t="n">
        <v>0</v>
      </c>
    </row>
    <row r="1020">
      <c r="A1020" s="84" t="inlineStr">
        <is>
          <t>SNCF</t>
        </is>
      </c>
      <c r="B1020" s="7" t="inlineStr">
        <is>
          <t>sédentaire</t>
        </is>
      </c>
      <c r="C1020" s="88" t="n">
        <v>1933</v>
      </c>
      <c r="D1020" s="95" t="n">
        <v>55</v>
      </c>
      <c r="E1020" s="95" t="n">
        <v>55</v>
      </c>
      <c r="F1020" s="85" t="n">
        <v>150</v>
      </c>
      <c r="G1020" s="120" t="n">
        <v>0</v>
      </c>
      <c r="H1020" s="120" t="n">
        <v>0</v>
      </c>
      <c r="I1020" s="95" t="n">
        <v>0.3</v>
      </c>
      <c r="J1020" s="95" t="n">
        <v>55.3</v>
      </c>
      <c r="K1020" s="95" t="n">
        <v>0.955</v>
      </c>
      <c r="L1020" s="85" t="n">
        <v>0</v>
      </c>
    </row>
    <row r="1021">
      <c r="A1021" s="84" t="inlineStr">
        <is>
          <t>SNCF</t>
        </is>
      </c>
      <c r="B1021" s="7" t="inlineStr">
        <is>
          <t>sédentaire</t>
        </is>
      </c>
      <c r="C1021" s="88" t="n">
        <v>1934</v>
      </c>
      <c r="D1021" s="95" t="n">
        <v>55</v>
      </c>
      <c r="E1021" s="95" t="n">
        <v>55</v>
      </c>
      <c r="F1021" s="85" t="n">
        <v>150</v>
      </c>
      <c r="G1021" s="120" t="n">
        <v>0</v>
      </c>
      <c r="H1021" s="120" t="n">
        <v>0</v>
      </c>
      <c r="I1021" s="95" t="n">
        <v>0.3</v>
      </c>
      <c r="J1021" s="95" t="n">
        <v>55.3</v>
      </c>
      <c r="K1021" s="95" t="n">
        <v>0.955</v>
      </c>
      <c r="L1021" s="85" t="n">
        <v>0</v>
      </c>
    </row>
    <row r="1022">
      <c r="A1022" s="84" t="inlineStr">
        <is>
          <t>SNCF</t>
        </is>
      </c>
      <c r="B1022" s="7" t="inlineStr">
        <is>
          <t>sédentaire</t>
        </is>
      </c>
      <c r="C1022" s="88" t="n">
        <v>1935</v>
      </c>
      <c r="D1022" s="95" t="n">
        <v>55</v>
      </c>
      <c r="E1022" s="95" t="n">
        <v>55</v>
      </c>
      <c r="F1022" s="85" t="n">
        <v>150</v>
      </c>
      <c r="G1022" s="120" t="n">
        <v>0</v>
      </c>
      <c r="H1022" s="120" t="n">
        <v>0</v>
      </c>
      <c r="I1022" s="95" t="n">
        <v>0.3</v>
      </c>
      <c r="J1022" s="95" t="n">
        <v>55.3</v>
      </c>
      <c r="K1022" s="95" t="n">
        <v>0.955</v>
      </c>
      <c r="L1022" s="85" t="n">
        <v>0</v>
      </c>
    </row>
    <row r="1023">
      <c r="A1023" s="84" t="inlineStr">
        <is>
          <t>SNCF</t>
        </is>
      </c>
      <c r="B1023" s="7" t="inlineStr">
        <is>
          <t>sédentaire</t>
        </is>
      </c>
      <c r="C1023" s="88" t="n">
        <v>1936</v>
      </c>
      <c r="D1023" s="95" t="n">
        <v>55</v>
      </c>
      <c r="E1023" s="95" t="n">
        <v>55</v>
      </c>
      <c r="F1023" s="85" t="n">
        <v>150</v>
      </c>
      <c r="G1023" s="120" t="n">
        <v>0</v>
      </c>
      <c r="H1023" s="120" t="n">
        <v>0</v>
      </c>
      <c r="I1023" s="95" t="n">
        <v>0.3</v>
      </c>
      <c r="J1023" s="95" t="n">
        <v>55.3</v>
      </c>
      <c r="K1023" s="95" t="n">
        <v>0.955</v>
      </c>
      <c r="L1023" s="85" t="n">
        <v>0</v>
      </c>
    </row>
    <row r="1024">
      <c r="A1024" s="84" t="inlineStr">
        <is>
          <t>SNCF</t>
        </is>
      </c>
      <c r="B1024" s="7" t="inlineStr">
        <is>
          <t>sédentaire</t>
        </is>
      </c>
      <c r="C1024" s="88" t="n">
        <v>1937</v>
      </c>
      <c r="D1024" s="95" t="n">
        <v>55</v>
      </c>
      <c r="E1024" s="95" t="n">
        <v>55</v>
      </c>
      <c r="F1024" s="85" t="n">
        <v>150</v>
      </c>
      <c r="G1024" s="120" t="n">
        <v>0</v>
      </c>
      <c r="H1024" s="120" t="n">
        <v>0</v>
      </c>
      <c r="I1024" s="95" t="n">
        <v>0.3</v>
      </c>
      <c r="J1024" s="95" t="n">
        <v>55.3</v>
      </c>
      <c r="K1024" s="95" t="n">
        <v>0.955</v>
      </c>
      <c r="L1024" s="85" t="n">
        <v>0</v>
      </c>
    </row>
    <row r="1025">
      <c r="A1025" s="84" t="inlineStr">
        <is>
          <t>SNCF</t>
        </is>
      </c>
      <c r="B1025" s="7" t="inlineStr">
        <is>
          <t>sédentaire</t>
        </is>
      </c>
      <c r="C1025" s="88" t="n">
        <v>1938</v>
      </c>
      <c r="D1025" s="95" t="n">
        <v>55</v>
      </c>
      <c r="E1025" s="95" t="n">
        <v>55</v>
      </c>
      <c r="F1025" s="85" t="n">
        <v>150</v>
      </c>
      <c r="G1025" s="120" t="n">
        <v>0</v>
      </c>
      <c r="H1025" s="120" t="n">
        <v>0</v>
      </c>
      <c r="I1025" s="95" t="n">
        <v>0.3</v>
      </c>
      <c r="J1025" s="95" t="n">
        <v>55.3</v>
      </c>
      <c r="K1025" s="95" t="n">
        <v>0.955</v>
      </c>
      <c r="L1025" s="85" t="n">
        <v>0</v>
      </c>
    </row>
    <row r="1026">
      <c r="A1026" s="84" t="inlineStr">
        <is>
          <t>SNCF</t>
        </is>
      </c>
      <c r="B1026" s="7" t="inlineStr">
        <is>
          <t>sédentaire</t>
        </is>
      </c>
      <c r="C1026" s="88" t="n">
        <v>1939</v>
      </c>
      <c r="D1026" s="95" t="n">
        <v>55</v>
      </c>
      <c r="E1026" s="95" t="n">
        <v>55</v>
      </c>
      <c r="F1026" s="85" t="n">
        <v>150</v>
      </c>
      <c r="G1026" s="120" t="n">
        <v>0</v>
      </c>
      <c r="H1026" s="120" t="n">
        <v>0</v>
      </c>
      <c r="I1026" s="95" t="n">
        <v>0.3</v>
      </c>
      <c r="J1026" s="95" t="n">
        <v>55.3</v>
      </c>
      <c r="K1026" s="95" t="n">
        <v>0.955</v>
      </c>
      <c r="L1026" s="85" t="n">
        <v>0</v>
      </c>
    </row>
    <row r="1027">
      <c r="A1027" s="84" t="inlineStr">
        <is>
          <t>SNCF</t>
        </is>
      </c>
      <c r="B1027" s="7" t="inlineStr">
        <is>
          <t>sédentaire</t>
        </is>
      </c>
      <c r="C1027" s="88" t="n">
        <v>1940</v>
      </c>
      <c r="D1027" s="95" t="n">
        <v>55</v>
      </c>
      <c r="E1027" s="95" t="n">
        <v>55</v>
      </c>
      <c r="F1027" s="85" t="n">
        <v>150</v>
      </c>
      <c r="G1027" s="120" t="n">
        <v>0</v>
      </c>
      <c r="H1027" s="120" t="n">
        <v>0</v>
      </c>
      <c r="I1027" s="95" t="n">
        <v>0.3</v>
      </c>
      <c r="J1027" s="95" t="n">
        <v>55.3</v>
      </c>
      <c r="K1027" s="95" t="n">
        <v>0.955</v>
      </c>
      <c r="L1027" s="85" t="n">
        <v>0</v>
      </c>
    </row>
    <row r="1028">
      <c r="A1028" s="84" t="inlineStr">
        <is>
          <t>SNCF</t>
        </is>
      </c>
      <c r="B1028" s="7" t="inlineStr">
        <is>
          <t>sédentaire</t>
        </is>
      </c>
      <c r="C1028" s="88" t="n">
        <v>1941</v>
      </c>
      <c r="D1028" s="95" t="n">
        <v>55</v>
      </c>
      <c r="E1028" s="95" t="n">
        <v>55</v>
      </c>
      <c r="F1028" s="85" t="n">
        <v>150</v>
      </c>
      <c r="G1028" s="120" t="n">
        <v>0</v>
      </c>
      <c r="H1028" s="120" t="n">
        <v>0</v>
      </c>
      <c r="I1028" s="95" t="n">
        <v>0.3</v>
      </c>
      <c r="J1028" s="95" t="n">
        <v>55.3</v>
      </c>
      <c r="K1028" s="95" t="n">
        <v>0.955</v>
      </c>
      <c r="L1028" s="85" t="n">
        <v>0</v>
      </c>
    </row>
    <row r="1029">
      <c r="A1029" s="84" t="inlineStr">
        <is>
          <t>SNCF</t>
        </is>
      </c>
      <c r="B1029" s="7" t="inlineStr">
        <is>
          <t>sédentaire</t>
        </is>
      </c>
      <c r="C1029" s="88" t="n">
        <v>1942</v>
      </c>
      <c r="D1029" s="95" t="n">
        <v>55</v>
      </c>
      <c r="E1029" s="95" t="n">
        <v>55</v>
      </c>
      <c r="F1029" s="85" t="n">
        <v>150</v>
      </c>
      <c r="G1029" s="120" t="n">
        <v>0</v>
      </c>
      <c r="H1029" s="120" t="n">
        <v>0</v>
      </c>
      <c r="I1029" s="95" t="n">
        <v>0.3</v>
      </c>
      <c r="J1029" s="95" t="n">
        <v>55.3</v>
      </c>
      <c r="K1029" s="95" t="n">
        <v>0.955</v>
      </c>
      <c r="L1029" s="85" t="n">
        <v>0</v>
      </c>
    </row>
    <row r="1030">
      <c r="A1030" s="84" t="inlineStr">
        <is>
          <t>SNCF</t>
        </is>
      </c>
      <c r="B1030" s="7" t="inlineStr">
        <is>
          <t>sédentaire</t>
        </is>
      </c>
      <c r="C1030" s="88" t="n">
        <v>1943</v>
      </c>
      <c r="D1030" s="95" t="n">
        <v>55</v>
      </c>
      <c r="E1030" s="95" t="n">
        <v>55</v>
      </c>
      <c r="F1030" s="85" t="n">
        <v>150</v>
      </c>
      <c r="G1030" s="120" t="n">
        <v>0</v>
      </c>
      <c r="H1030" s="120" t="n">
        <v>0</v>
      </c>
      <c r="I1030" s="95" t="n">
        <v>0.3</v>
      </c>
      <c r="J1030" s="95" t="n">
        <v>55.3</v>
      </c>
      <c r="K1030" s="95" t="n">
        <v>0.955</v>
      </c>
      <c r="L1030" s="85" t="n">
        <v>0</v>
      </c>
    </row>
    <row r="1031">
      <c r="A1031" s="84" t="inlineStr">
        <is>
          <t>SNCF</t>
        </is>
      </c>
      <c r="B1031" s="7" t="inlineStr">
        <is>
          <t>sédentaire</t>
        </is>
      </c>
      <c r="C1031" s="88" t="n">
        <v>1944</v>
      </c>
      <c r="D1031" s="95" t="n">
        <v>55</v>
      </c>
      <c r="E1031" s="95" t="n">
        <v>55</v>
      </c>
      <c r="F1031" s="85" t="n">
        <v>150</v>
      </c>
      <c r="G1031" s="120" t="n">
        <v>0</v>
      </c>
      <c r="H1031" s="120" t="n">
        <v>0</v>
      </c>
      <c r="I1031" s="95" t="n">
        <v>0.3</v>
      </c>
      <c r="J1031" s="95" t="n">
        <v>55.3</v>
      </c>
      <c r="K1031" s="95" t="n">
        <v>0.955</v>
      </c>
      <c r="L1031" s="85" t="n">
        <v>0</v>
      </c>
    </row>
    <row r="1032">
      <c r="A1032" s="84" t="inlineStr">
        <is>
          <t>SNCF</t>
        </is>
      </c>
      <c r="B1032" s="7" t="inlineStr">
        <is>
          <t>sédentaire</t>
        </is>
      </c>
      <c r="C1032" s="88" t="n">
        <v>1945</v>
      </c>
      <c r="D1032" s="95" t="n">
        <v>55</v>
      </c>
      <c r="E1032" s="95" t="n">
        <v>55</v>
      </c>
      <c r="F1032" s="85" t="n">
        <v>150</v>
      </c>
      <c r="G1032" s="120" t="n">
        <v>0</v>
      </c>
      <c r="H1032" s="120" t="n">
        <v>0</v>
      </c>
      <c r="I1032" s="95" t="n">
        <v>0.3</v>
      </c>
      <c r="J1032" s="95" t="n">
        <v>55.3</v>
      </c>
      <c r="K1032" s="95" t="n">
        <v>0.955</v>
      </c>
      <c r="L1032" s="85" t="n">
        <v>0</v>
      </c>
    </row>
    <row r="1033">
      <c r="A1033" s="84" t="inlineStr">
        <is>
          <t>SNCF</t>
        </is>
      </c>
      <c r="B1033" s="7" t="inlineStr">
        <is>
          <t>sédentaire</t>
        </is>
      </c>
      <c r="C1033" s="88" t="n">
        <v>1946</v>
      </c>
      <c r="D1033" s="95" t="n">
        <v>55</v>
      </c>
      <c r="E1033" s="95" t="n">
        <v>55</v>
      </c>
      <c r="F1033" s="85" t="n">
        <v>150</v>
      </c>
      <c r="G1033" s="120" t="n">
        <v>0</v>
      </c>
      <c r="H1033" s="120" t="n">
        <v>0</v>
      </c>
      <c r="I1033" s="95" t="n">
        <v>0.55</v>
      </c>
      <c r="J1033" s="95" t="n">
        <v>55.55</v>
      </c>
      <c r="K1033" s="95" t="n">
        <v>0.955</v>
      </c>
      <c r="L1033" s="85" t="n">
        <v>0</v>
      </c>
    </row>
    <row r="1034">
      <c r="A1034" s="84" t="inlineStr">
        <is>
          <t>SNCF</t>
        </is>
      </c>
      <c r="B1034" s="7" t="inlineStr">
        <is>
          <t>sédentaire</t>
        </is>
      </c>
      <c r="C1034" s="88" t="n">
        <v>1947</v>
      </c>
      <c r="D1034" s="95" t="n">
        <v>55</v>
      </c>
      <c r="E1034" s="95" t="n">
        <v>55</v>
      </c>
      <c r="F1034" s="85" t="n">
        <v>150</v>
      </c>
      <c r="G1034" s="120" t="n">
        <v>0</v>
      </c>
      <c r="H1034" s="120" t="n">
        <v>0</v>
      </c>
      <c r="I1034" s="95" t="n">
        <v>0.79</v>
      </c>
      <c r="J1034" s="95" t="n">
        <v>55.79</v>
      </c>
      <c r="K1034" s="95" t="n">
        <v>0.955</v>
      </c>
      <c r="L1034" s="85" t="n">
        <v>0</v>
      </c>
    </row>
    <row r="1035">
      <c r="A1035" s="84" t="inlineStr">
        <is>
          <t>SNCF</t>
        </is>
      </c>
      <c r="B1035" s="7" t="inlineStr">
        <is>
          <t>sédentaire</t>
        </is>
      </c>
      <c r="C1035" s="88" t="n">
        <v>1948</v>
      </c>
      <c r="D1035" s="95" t="n">
        <v>55</v>
      </c>
      <c r="E1035" s="95" t="n">
        <v>55</v>
      </c>
      <c r="F1035" s="85" t="n">
        <v>150</v>
      </c>
      <c r="G1035" s="120" t="n">
        <v>0</v>
      </c>
      <c r="H1035" s="120" t="n">
        <v>0</v>
      </c>
      <c r="I1035" s="95" t="n">
        <v>1.04</v>
      </c>
      <c r="J1035" s="95" t="n">
        <v>56.04</v>
      </c>
      <c r="K1035" s="95" t="n">
        <v>0.955</v>
      </c>
      <c r="L1035" s="85" t="n">
        <v>0</v>
      </c>
    </row>
    <row r="1036">
      <c r="A1036" s="84" t="inlineStr">
        <is>
          <t>SNCF</t>
        </is>
      </c>
      <c r="B1036" s="7" t="inlineStr">
        <is>
          <t>sédentaire</t>
        </is>
      </c>
      <c r="C1036" s="88" t="n">
        <v>1949</v>
      </c>
      <c r="D1036" s="95" t="n">
        <v>55</v>
      </c>
      <c r="E1036" s="95" t="n">
        <v>55</v>
      </c>
      <c r="F1036" s="85" t="n">
        <v>150</v>
      </c>
      <c r="G1036" s="120" t="n">
        <v>0</v>
      </c>
      <c r="H1036" s="120" t="n">
        <v>0</v>
      </c>
      <c r="I1036" s="95" t="n">
        <v>1.29</v>
      </c>
      <c r="J1036" s="95" t="n">
        <v>56.29</v>
      </c>
      <c r="K1036" s="95" t="n">
        <v>0.955</v>
      </c>
      <c r="L1036" s="85" t="n">
        <v>0</v>
      </c>
    </row>
    <row r="1037">
      <c r="A1037" s="84" t="inlineStr">
        <is>
          <t>SNCF</t>
        </is>
      </c>
      <c r="B1037" s="7" t="inlineStr">
        <is>
          <t>sédentaire</t>
        </is>
      </c>
      <c r="C1037" s="88" t="n">
        <v>1950</v>
      </c>
      <c r="D1037" s="95" t="n">
        <v>55</v>
      </c>
      <c r="E1037" s="95" t="n">
        <v>55</v>
      </c>
      <c r="F1037" s="85" t="n">
        <v>150</v>
      </c>
      <c r="G1037" s="120" t="n">
        <v>0</v>
      </c>
      <c r="H1037" s="120" t="n">
        <v>0</v>
      </c>
      <c r="I1037" s="95" t="n">
        <v>1.53</v>
      </c>
      <c r="J1037" s="95" t="n">
        <v>56.53</v>
      </c>
      <c r="K1037" s="95" t="n">
        <v>0.955</v>
      </c>
      <c r="L1037" s="85" t="n">
        <v>0</v>
      </c>
    </row>
    <row r="1038">
      <c r="A1038" s="84" t="inlineStr">
        <is>
          <t>SNCF</t>
        </is>
      </c>
      <c r="B1038" s="7" t="inlineStr">
        <is>
          <t>sédentaire</t>
        </is>
      </c>
      <c r="C1038" s="88" t="n">
        <v>1951</v>
      </c>
      <c r="D1038" s="95" t="n">
        <v>55</v>
      </c>
      <c r="E1038" s="95" t="n">
        <v>55</v>
      </c>
      <c r="F1038" s="85" t="n">
        <v>150</v>
      </c>
      <c r="G1038" s="120" t="n">
        <v>0</v>
      </c>
      <c r="H1038" s="120" t="n">
        <v>0</v>
      </c>
      <c r="I1038" s="95" t="n">
        <v>1.78</v>
      </c>
      <c r="J1038" s="95" t="n">
        <v>56.78</v>
      </c>
      <c r="K1038" s="95" t="n">
        <v>0.955</v>
      </c>
      <c r="L1038" s="85" t="n">
        <v>0</v>
      </c>
    </row>
    <row r="1039">
      <c r="A1039" s="84" t="inlineStr">
        <is>
          <t>SNCF</t>
        </is>
      </c>
      <c r="B1039" s="7" t="inlineStr">
        <is>
          <t>sédentaire</t>
        </is>
      </c>
      <c r="C1039" s="88" t="n">
        <v>1952</v>
      </c>
      <c r="D1039" s="95" t="n">
        <v>55</v>
      </c>
      <c r="E1039" s="95" t="n">
        <v>55</v>
      </c>
      <c r="F1039" s="85" t="n">
        <v>150</v>
      </c>
      <c r="G1039" s="120" t="n">
        <v>0</v>
      </c>
      <c r="H1039" s="120" t="n">
        <v>0</v>
      </c>
      <c r="I1039" s="95" t="n">
        <v>2.03</v>
      </c>
      <c r="J1039" s="95" t="n">
        <v>57</v>
      </c>
      <c r="K1039" s="95" t="n">
        <v>0.955</v>
      </c>
      <c r="L1039" s="85" t="n">
        <v>0</v>
      </c>
    </row>
    <row r="1040">
      <c r="A1040" s="84" t="inlineStr">
        <is>
          <t>SNCF</t>
        </is>
      </c>
      <c r="B1040" s="7" t="inlineStr">
        <is>
          <t>sédentaire</t>
        </is>
      </c>
      <c r="C1040" s="88" t="n">
        <v>1953</v>
      </c>
      <c r="D1040" s="95" t="n">
        <v>55</v>
      </c>
      <c r="E1040" s="95" t="n">
        <v>55</v>
      </c>
      <c r="F1040" s="85" t="n">
        <v>151</v>
      </c>
      <c r="G1040" s="120" t="n">
        <v>0</v>
      </c>
      <c r="H1040" s="120" t="n">
        <v>0.0075</v>
      </c>
      <c r="I1040" s="95" t="n">
        <v>2.27</v>
      </c>
      <c r="J1040" s="95" t="n">
        <v>57</v>
      </c>
      <c r="K1040" s="95" t="n">
        <v>0.955</v>
      </c>
      <c r="L1040" s="85" t="n">
        <v>0</v>
      </c>
    </row>
    <row r="1041">
      <c r="A1041" s="84" t="inlineStr">
        <is>
          <t>SNCF</t>
        </is>
      </c>
      <c r="B1041" s="7" t="inlineStr">
        <is>
          <t>sédentaire</t>
        </is>
      </c>
      <c r="C1041" s="88" t="n">
        <v>1954</v>
      </c>
      <c r="D1041" s="95" t="n">
        <v>55</v>
      </c>
      <c r="E1041" s="95" t="n">
        <v>55</v>
      </c>
      <c r="F1041" s="85" t="n">
        <v>153</v>
      </c>
      <c r="G1041" s="120" t="n">
        <v>0</v>
      </c>
      <c r="H1041" s="120" t="n">
        <v>0.0125</v>
      </c>
      <c r="I1041" s="95" t="n">
        <v>2.52</v>
      </c>
      <c r="J1041" s="95" t="n">
        <v>57</v>
      </c>
      <c r="K1041" s="95" t="n">
        <v>0.955</v>
      </c>
      <c r="L1041" s="85" t="n">
        <v>0</v>
      </c>
    </row>
    <row r="1042">
      <c r="A1042" s="84" t="inlineStr">
        <is>
          <t>SNCF</t>
        </is>
      </c>
      <c r="B1042" s="7" t="inlineStr">
        <is>
          <t>sédentaire</t>
        </is>
      </c>
      <c r="C1042" s="88" t="n">
        <v>1955</v>
      </c>
      <c r="D1042" s="95" t="n">
        <v>55</v>
      </c>
      <c r="E1042" s="95" t="n">
        <v>56</v>
      </c>
      <c r="F1042" s="85" t="n">
        <v>155</v>
      </c>
      <c r="G1042" s="120" t="n">
        <v>0.00125</v>
      </c>
      <c r="H1042" s="120" t="n">
        <v>0.0125</v>
      </c>
      <c r="I1042" s="95" t="n">
        <v>2.77</v>
      </c>
      <c r="J1042" s="95" t="n">
        <v>57.77</v>
      </c>
      <c r="K1042" s="95" t="n">
        <v>0.955</v>
      </c>
      <c r="L1042" s="85" t="n">
        <v>0</v>
      </c>
    </row>
    <row r="1043">
      <c r="A1043" s="84" t="inlineStr">
        <is>
          <t>SNCF</t>
        </is>
      </c>
      <c r="B1043" s="7" t="inlineStr">
        <is>
          <t>sédentaire</t>
        </is>
      </c>
      <c r="C1043" s="88" t="n">
        <v>1956</v>
      </c>
      <c r="D1043" s="95" t="n">
        <v>55</v>
      </c>
      <c r="E1043" s="95" t="n">
        <v>56</v>
      </c>
      <c r="F1043" s="85" t="n">
        <v>157</v>
      </c>
      <c r="G1043" s="120" t="n">
        <v>0.0025</v>
      </c>
      <c r="H1043" s="120" t="n">
        <v>0.0125</v>
      </c>
      <c r="I1043" s="95" t="n">
        <v>3.01</v>
      </c>
      <c r="J1043" s="95" t="n">
        <v>58</v>
      </c>
      <c r="K1043" s="95" t="n">
        <v>0.955</v>
      </c>
      <c r="L1043" s="85" t="n">
        <v>0</v>
      </c>
    </row>
    <row r="1044">
      <c r="A1044" s="84" t="inlineStr">
        <is>
          <t>SNCF</t>
        </is>
      </c>
      <c r="B1044" s="7" t="inlineStr">
        <is>
          <t>sédentaire</t>
        </is>
      </c>
      <c r="C1044" s="88" t="n">
        <v>1957</v>
      </c>
      <c r="D1044" s="95" t="n">
        <v>55</v>
      </c>
      <c r="E1044" s="95" t="n">
        <v>56.5</v>
      </c>
      <c r="F1044" s="85" t="n">
        <v>159</v>
      </c>
      <c r="G1044" s="120" t="n">
        <v>0.00375</v>
      </c>
      <c r="H1044" s="120" t="n">
        <v>0.0125</v>
      </c>
      <c r="I1044" s="95" t="n">
        <v>3.26</v>
      </c>
      <c r="J1044" s="95" t="n">
        <v>58.26</v>
      </c>
      <c r="K1044" s="95" t="n">
        <v>0.955</v>
      </c>
      <c r="L1044" s="85" t="n">
        <v>0</v>
      </c>
    </row>
    <row r="1045">
      <c r="A1045" s="84" t="inlineStr">
        <is>
          <t>SNCF</t>
        </is>
      </c>
      <c r="B1045" s="7" t="inlineStr">
        <is>
          <t>sédentaire</t>
        </is>
      </c>
      <c r="C1045" s="88" t="n">
        <v>1958</v>
      </c>
      <c r="D1045" s="95" t="n">
        <v>55</v>
      </c>
      <c r="E1045" s="95" t="n">
        <v>57</v>
      </c>
      <c r="F1045" s="85" t="n">
        <v>161</v>
      </c>
      <c r="G1045" s="120" t="n">
        <v>0.005</v>
      </c>
      <c r="H1045" s="120" t="n">
        <v>0.0125</v>
      </c>
      <c r="I1045" s="95" t="n">
        <v>3.51</v>
      </c>
      <c r="J1045" s="95" t="n">
        <v>58.51</v>
      </c>
      <c r="K1045" s="95" t="n">
        <v>0.955</v>
      </c>
      <c r="L1045" s="85" t="n">
        <v>0</v>
      </c>
    </row>
    <row r="1046">
      <c r="A1046" s="84" t="inlineStr">
        <is>
          <t>SNCF</t>
        </is>
      </c>
      <c r="B1046" s="7" t="inlineStr">
        <is>
          <t>sédentaire</t>
        </is>
      </c>
      <c r="C1046" s="88" t="n">
        <v>1959</v>
      </c>
      <c r="D1046" s="95" t="n">
        <v>55</v>
      </c>
      <c r="E1046" s="95" t="n">
        <v>57.25</v>
      </c>
      <c r="F1046" s="85" t="n">
        <v>162</v>
      </c>
      <c r="G1046" s="120" t="n">
        <v>0.00625</v>
      </c>
      <c r="H1046" s="120" t="n">
        <v>0.0125</v>
      </c>
      <c r="I1046" s="95" t="n">
        <v>3.75</v>
      </c>
      <c r="J1046" s="95" t="n">
        <v>58.75</v>
      </c>
      <c r="K1046" s="95" t="n">
        <v>0.955</v>
      </c>
      <c r="L1046" s="85" t="n">
        <v>0</v>
      </c>
    </row>
    <row r="1047">
      <c r="A1047" s="84" t="inlineStr">
        <is>
          <t>SNCF</t>
        </is>
      </c>
      <c r="B1047" s="7" t="inlineStr">
        <is>
          <t>sédentaire</t>
        </is>
      </c>
      <c r="C1047" s="88" t="n">
        <v>1960</v>
      </c>
      <c r="D1047" s="95" t="n">
        <v>55</v>
      </c>
      <c r="E1047" s="95" t="n">
        <v>57.5</v>
      </c>
      <c r="F1047" s="85" t="n">
        <v>163</v>
      </c>
      <c r="G1047" s="120" t="n">
        <v>0.0075</v>
      </c>
      <c r="H1047" s="120" t="n">
        <v>0.0125</v>
      </c>
      <c r="I1047" s="95" t="n">
        <v>4</v>
      </c>
      <c r="J1047" s="95" t="n">
        <v>59</v>
      </c>
      <c r="K1047" s="95" t="n">
        <v>0.955</v>
      </c>
      <c r="L1047" s="85" t="n">
        <v>0</v>
      </c>
    </row>
    <row r="1048">
      <c r="A1048" s="84" t="inlineStr">
        <is>
          <t>SNCF</t>
        </is>
      </c>
      <c r="B1048" s="7" t="inlineStr">
        <is>
          <t>sédentaire</t>
        </is>
      </c>
      <c r="C1048" s="88" t="n">
        <v>1961</v>
      </c>
      <c r="D1048" s="95" t="n">
        <v>55</v>
      </c>
      <c r="E1048" s="95" t="n">
        <v>57.75</v>
      </c>
      <c r="F1048" s="85" t="n">
        <v>164</v>
      </c>
      <c r="G1048" s="120" t="n">
        <v>0.008750000000000001</v>
      </c>
      <c r="H1048" s="120" t="n">
        <v>0.0125</v>
      </c>
      <c r="I1048" s="95" t="n">
        <v>4</v>
      </c>
      <c r="J1048" s="95" t="n">
        <v>59</v>
      </c>
      <c r="K1048" s="95" t="n">
        <v>0.955</v>
      </c>
      <c r="L1048" s="85" t="n">
        <v>0</v>
      </c>
    </row>
    <row r="1049">
      <c r="A1049" s="84" t="inlineStr">
        <is>
          <t>SNCF</t>
        </is>
      </c>
      <c r="B1049" s="7" t="inlineStr">
        <is>
          <t>sédentaire</t>
        </is>
      </c>
      <c r="C1049" s="88" t="n">
        <v>1962</v>
      </c>
      <c r="D1049" s="95" t="n">
        <v>55.3333</v>
      </c>
      <c r="E1049" s="95" t="n">
        <v>58.33</v>
      </c>
      <c r="F1049" s="85" t="n">
        <v>165</v>
      </c>
      <c r="G1049" s="120" t="n">
        <v>0.01</v>
      </c>
      <c r="H1049" s="120" t="n">
        <v>0.0125</v>
      </c>
      <c r="I1049" s="95" t="n">
        <v>4</v>
      </c>
      <c r="J1049" s="95" t="n">
        <v>59.33</v>
      </c>
      <c r="K1049" s="95" t="n">
        <v>0.955</v>
      </c>
      <c r="L1049" s="85" t="n">
        <v>0</v>
      </c>
    </row>
    <row r="1050">
      <c r="A1050" s="84" t="inlineStr">
        <is>
          <t>SNCF</t>
        </is>
      </c>
      <c r="B1050" s="7" t="inlineStr">
        <is>
          <t>sédentaire</t>
        </is>
      </c>
      <c r="C1050" s="88" t="n">
        <v>1963</v>
      </c>
      <c r="D1050" s="95" t="n">
        <v>55.6667</v>
      </c>
      <c r="E1050" s="95" t="n">
        <v>59.17</v>
      </c>
      <c r="F1050" s="85" t="n">
        <v>166</v>
      </c>
      <c r="G1050" s="120" t="n">
        <v>0.01125</v>
      </c>
      <c r="H1050" s="120" t="n">
        <v>0.0125</v>
      </c>
      <c r="I1050" s="95" t="n">
        <v>4</v>
      </c>
      <c r="J1050" s="95" t="n">
        <v>59.67</v>
      </c>
      <c r="K1050" s="95" t="n">
        <v>0.955</v>
      </c>
      <c r="L1050" s="85" t="n">
        <v>0</v>
      </c>
    </row>
    <row r="1051">
      <c r="A1051" s="84" t="inlineStr">
        <is>
          <t>SNCF</t>
        </is>
      </c>
      <c r="B1051" s="7" t="inlineStr">
        <is>
          <t>sédentaire</t>
        </is>
      </c>
      <c r="C1051" s="88" t="n">
        <v>1964</v>
      </c>
      <c r="D1051" s="95" t="n">
        <v>56</v>
      </c>
      <c r="E1051" s="95" t="n">
        <v>59.75</v>
      </c>
      <c r="F1051" s="85" t="n">
        <v>167</v>
      </c>
      <c r="G1051" s="120" t="n">
        <v>0.0125</v>
      </c>
      <c r="H1051" s="120" t="n">
        <v>0.0125</v>
      </c>
      <c r="I1051" s="95" t="n">
        <v>4</v>
      </c>
      <c r="J1051" s="95" t="n">
        <v>60</v>
      </c>
      <c r="K1051" s="95" t="n">
        <v>0.955</v>
      </c>
      <c r="L1051" s="85" t="n">
        <v>0</v>
      </c>
    </row>
    <row r="1052">
      <c r="A1052" s="84" t="inlineStr">
        <is>
          <t>SNCF</t>
        </is>
      </c>
      <c r="B1052" s="7" t="inlineStr">
        <is>
          <t>sédentaire</t>
        </is>
      </c>
      <c r="C1052" s="88" t="n">
        <v>1965</v>
      </c>
      <c r="D1052" s="95" t="n">
        <v>56.3333</v>
      </c>
      <c r="E1052" s="95" t="n">
        <v>60.31</v>
      </c>
      <c r="F1052" s="85" t="n">
        <v>167</v>
      </c>
      <c r="G1052" s="120" t="n">
        <v>0.0125</v>
      </c>
      <c r="H1052" s="120" t="n">
        <v>0.0125</v>
      </c>
      <c r="I1052" s="95" t="n">
        <v>4</v>
      </c>
      <c r="J1052" s="95" t="n">
        <v>60.33</v>
      </c>
      <c r="K1052" s="95" t="n">
        <v>0.955</v>
      </c>
      <c r="L1052" s="85" t="n">
        <v>0</v>
      </c>
    </row>
    <row r="1053">
      <c r="A1053" s="84" t="inlineStr">
        <is>
          <t>SNCF</t>
        </is>
      </c>
      <c r="B1053" s="7" t="inlineStr">
        <is>
          <t>sédentaire</t>
        </is>
      </c>
      <c r="C1053" s="88" t="n">
        <v>1966</v>
      </c>
      <c r="D1053" s="95" t="n">
        <v>56.6667</v>
      </c>
      <c r="E1053" s="95" t="n">
        <v>60.86</v>
      </c>
      <c r="F1053" s="85" t="n">
        <v>168</v>
      </c>
      <c r="G1053" s="120" t="n">
        <v>0.0125</v>
      </c>
      <c r="H1053" s="120" t="n">
        <v>0.0125</v>
      </c>
      <c r="I1053" s="95" t="n">
        <v>4</v>
      </c>
      <c r="J1053" s="95" t="n">
        <v>60.67</v>
      </c>
      <c r="K1053" s="95" t="n">
        <v>0.955</v>
      </c>
      <c r="L1053" s="85" t="n">
        <v>0</v>
      </c>
    </row>
    <row r="1054">
      <c r="A1054" s="84" t="inlineStr">
        <is>
          <t>SNCF</t>
        </is>
      </c>
      <c r="B1054" s="7" t="inlineStr">
        <is>
          <t>sédentaire</t>
        </is>
      </c>
      <c r="C1054" s="88" t="n">
        <v>1967</v>
      </c>
      <c r="D1054" s="95" t="n">
        <v>57</v>
      </c>
      <c r="E1054" s="95" t="n">
        <v>61.42</v>
      </c>
      <c r="F1054" s="85" t="n">
        <v>168</v>
      </c>
      <c r="G1054" s="120" t="n">
        <v>0.0125</v>
      </c>
      <c r="H1054" s="120" t="n">
        <v>0.0125</v>
      </c>
      <c r="I1054" s="95" t="n">
        <v>4</v>
      </c>
      <c r="J1054" s="95" t="n">
        <v>61</v>
      </c>
      <c r="K1054" s="95" t="n">
        <v>0.955</v>
      </c>
      <c r="L1054" s="85" t="n">
        <v>0</v>
      </c>
    </row>
    <row r="1055">
      <c r="A1055" s="84" t="inlineStr">
        <is>
          <t>SNCF</t>
        </is>
      </c>
      <c r="B1055" s="7" t="inlineStr">
        <is>
          <t>sédentaire</t>
        </is>
      </c>
      <c r="C1055" s="88" t="n">
        <v>1968</v>
      </c>
      <c r="D1055" s="95" t="n">
        <v>57.25</v>
      </c>
      <c r="E1055" s="95" t="n">
        <v>61.88</v>
      </c>
      <c r="F1055" s="85" t="n">
        <v>169</v>
      </c>
      <c r="G1055" s="120" t="n">
        <v>0.0125</v>
      </c>
      <c r="H1055" s="120" t="n">
        <v>0.0125</v>
      </c>
      <c r="I1055" s="95" t="n">
        <v>4</v>
      </c>
      <c r="J1055" s="95" t="n">
        <v>61.25</v>
      </c>
      <c r="K1055" s="95" t="n">
        <v>0.955</v>
      </c>
      <c r="L1055" s="85" t="n">
        <v>0</v>
      </c>
    </row>
    <row r="1056">
      <c r="A1056" s="84" t="inlineStr">
        <is>
          <t>SNCF</t>
        </is>
      </c>
      <c r="B1056" s="7" t="inlineStr">
        <is>
          <t>sédentaire</t>
        </is>
      </c>
      <c r="C1056" s="88" t="n">
        <v>1969</v>
      </c>
      <c r="D1056" s="95" t="n">
        <v>57.5</v>
      </c>
      <c r="E1056" s="95" t="n">
        <v>62</v>
      </c>
      <c r="F1056" s="85" t="n">
        <v>170</v>
      </c>
      <c r="G1056" s="120" t="n">
        <v>0.0125</v>
      </c>
      <c r="H1056" s="120" t="n">
        <v>0.0125</v>
      </c>
      <c r="I1056" s="95" t="n">
        <v>4</v>
      </c>
      <c r="J1056" s="95" t="n">
        <v>61.5</v>
      </c>
      <c r="K1056" s="95" t="n">
        <v>0.955</v>
      </c>
      <c r="L1056" s="85" t="n">
        <v>0</v>
      </c>
    </row>
    <row r="1057">
      <c r="A1057" s="84" t="inlineStr">
        <is>
          <t>SNCF</t>
        </is>
      </c>
      <c r="B1057" s="7" t="inlineStr">
        <is>
          <t>sédentaire</t>
        </is>
      </c>
      <c r="C1057" s="88" t="n">
        <v>1970</v>
      </c>
      <c r="D1057" s="95" t="n">
        <v>57.75</v>
      </c>
      <c r="E1057" s="95" t="n">
        <v>62</v>
      </c>
      <c r="F1057" s="85" t="n">
        <v>170</v>
      </c>
      <c r="G1057" s="120" t="n">
        <v>0.0125</v>
      </c>
      <c r="H1057" s="120" t="n">
        <v>0.0125</v>
      </c>
      <c r="I1057" s="95" t="n">
        <v>4</v>
      </c>
      <c r="J1057" s="95" t="n">
        <v>61.75</v>
      </c>
      <c r="K1057" s="95" t="n">
        <v>0.955</v>
      </c>
      <c r="L1057" s="85" t="n">
        <v>0</v>
      </c>
    </row>
    <row r="1058">
      <c r="A1058" s="84" t="inlineStr">
        <is>
          <t>SNCF</t>
        </is>
      </c>
      <c r="B1058" s="7" t="inlineStr">
        <is>
          <t>sédentaire</t>
        </is>
      </c>
      <c r="C1058" s="88" t="n">
        <v>1971</v>
      </c>
      <c r="D1058" s="95" t="n">
        <v>58</v>
      </c>
      <c r="E1058" s="95" t="n">
        <v>62</v>
      </c>
      <c r="F1058" s="85" t="n">
        <v>171</v>
      </c>
      <c r="G1058" s="120" t="n">
        <v>0.0125</v>
      </c>
      <c r="H1058" s="120" t="n">
        <v>0.0125</v>
      </c>
      <c r="I1058" s="95" t="n">
        <v>4</v>
      </c>
      <c r="J1058" s="95" t="n">
        <v>62</v>
      </c>
      <c r="K1058" s="95" t="n">
        <v>0.955</v>
      </c>
      <c r="L1058" s="85" t="n">
        <v>0</v>
      </c>
    </row>
    <row r="1059">
      <c r="A1059" s="84" t="inlineStr">
        <is>
          <t>SNCF</t>
        </is>
      </c>
      <c r="B1059" s="7" t="inlineStr">
        <is>
          <t>sédentaire</t>
        </is>
      </c>
      <c r="C1059" s="88" t="n">
        <v>1972</v>
      </c>
      <c r="D1059" s="95" t="n">
        <v>58.25</v>
      </c>
      <c r="E1059" s="95" t="n">
        <v>62</v>
      </c>
      <c r="F1059" s="85" t="n">
        <v>171</v>
      </c>
      <c r="G1059" s="120" t="n">
        <v>0.0125</v>
      </c>
      <c r="H1059" s="120" t="n">
        <v>0.0125</v>
      </c>
      <c r="I1059" s="95" t="n">
        <v>4</v>
      </c>
      <c r="J1059" s="95" t="n">
        <v>62.25</v>
      </c>
      <c r="K1059" s="95" t="n">
        <v>0.955</v>
      </c>
      <c r="L1059" s="85" t="n">
        <v>0</v>
      </c>
    </row>
    <row r="1060">
      <c r="A1060" s="84" t="inlineStr">
        <is>
          <t>SNCF</t>
        </is>
      </c>
      <c r="B1060" s="7" t="inlineStr">
        <is>
          <t>sédentaire</t>
        </is>
      </c>
      <c r="C1060" s="88" t="n">
        <v>1973</v>
      </c>
      <c r="D1060" s="95" t="n">
        <v>58.5</v>
      </c>
      <c r="E1060" s="95" t="n">
        <v>62</v>
      </c>
      <c r="F1060" s="85" t="n">
        <v>172</v>
      </c>
      <c r="G1060" s="120" t="n">
        <v>0.0125</v>
      </c>
      <c r="H1060" s="120" t="n">
        <v>0.0125</v>
      </c>
      <c r="I1060" s="95" t="n">
        <v>4</v>
      </c>
      <c r="J1060" s="95" t="n">
        <v>62.5</v>
      </c>
      <c r="K1060" s="95" t="n">
        <v>0.955</v>
      </c>
      <c r="L1060" s="85" t="n">
        <v>0</v>
      </c>
    </row>
    <row r="1061">
      <c r="A1061" s="84" t="inlineStr">
        <is>
          <t>SNCF</t>
        </is>
      </c>
      <c r="B1061" s="7" t="inlineStr">
        <is>
          <t>sédentaire</t>
        </is>
      </c>
      <c r="C1061" s="88" t="n">
        <v>1974</v>
      </c>
      <c r="D1061" s="95" t="n">
        <v>58.75</v>
      </c>
      <c r="E1061" s="95" t="n">
        <v>62</v>
      </c>
      <c r="F1061" s="85" t="n">
        <v>172</v>
      </c>
      <c r="G1061" s="120" t="n">
        <v>0.0125</v>
      </c>
      <c r="H1061" s="120" t="n">
        <v>0.0125</v>
      </c>
      <c r="I1061" s="95" t="n">
        <v>4</v>
      </c>
      <c r="J1061" s="95" t="n">
        <v>62.75</v>
      </c>
      <c r="K1061" s="95" t="n">
        <v>0.955</v>
      </c>
      <c r="L1061" s="85" t="n">
        <v>0</v>
      </c>
    </row>
    <row r="1062">
      <c r="A1062" s="84" t="inlineStr">
        <is>
          <t>SNCF</t>
        </is>
      </c>
      <c r="B1062" s="7" t="inlineStr">
        <is>
          <t>sédentaire</t>
        </is>
      </c>
      <c r="C1062" s="88" t="n">
        <v>1975</v>
      </c>
      <c r="D1062" s="95" t="n">
        <v>59</v>
      </c>
      <c r="E1062" s="95" t="n">
        <v>62</v>
      </c>
      <c r="F1062" s="85" t="n">
        <v>172</v>
      </c>
      <c r="G1062" s="120" t="n">
        <v>0.0125</v>
      </c>
      <c r="H1062" s="120" t="n">
        <v>0.0125</v>
      </c>
      <c r="I1062" s="95" t="n">
        <v>4</v>
      </c>
      <c r="J1062" s="95" t="n">
        <v>63</v>
      </c>
      <c r="K1062" s="95" t="n">
        <v>0.955</v>
      </c>
      <c r="L1062" s="85" t="n">
        <v>0</v>
      </c>
    </row>
    <row r="1063">
      <c r="A1063" s="84" t="inlineStr">
        <is>
          <t>SNCF</t>
        </is>
      </c>
      <c r="B1063" s="7" t="inlineStr">
        <is>
          <t>sédentaire</t>
        </is>
      </c>
      <c r="C1063" s="88" t="n">
        <v>1976</v>
      </c>
      <c r="D1063" s="95" t="n">
        <v>59</v>
      </c>
      <c r="E1063" s="95" t="n">
        <v>62</v>
      </c>
      <c r="F1063" s="85" t="n">
        <v>172</v>
      </c>
      <c r="G1063" s="120" t="n">
        <v>0.0125</v>
      </c>
      <c r="H1063" s="120" t="n">
        <v>0.0125</v>
      </c>
      <c r="I1063" s="95" t="n">
        <v>4</v>
      </c>
      <c r="J1063" s="95" t="n">
        <v>63</v>
      </c>
      <c r="K1063" s="95" t="n">
        <v>0.955</v>
      </c>
      <c r="L1063" s="85" t="n">
        <v>0</v>
      </c>
    </row>
    <row r="1064">
      <c r="A1064" s="84" t="inlineStr">
        <is>
          <t>SNCF</t>
        </is>
      </c>
      <c r="B1064" s="7" t="inlineStr">
        <is>
          <t>sédentaire</t>
        </is>
      </c>
      <c r="C1064" s="88" t="n">
        <v>1977</v>
      </c>
      <c r="D1064" s="95" t="n">
        <v>59</v>
      </c>
      <c r="E1064" s="95" t="n">
        <v>62</v>
      </c>
      <c r="F1064" s="85" t="n">
        <v>172</v>
      </c>
      <c r="G1064" s="120" t="n">
        <v>0.0125</v>
      </c>
      <c r="H1064" s="120" t="n">
        <v>0.0125</v>
      </c>
      <c r="I1064" s="95" t="n">
        <v>4</v>
      </c>
      <c r="J1064" s="95" t="n">
        <v>63</v>
      </c>
      <c r="K1064" s="95" t="n">
        <v>0.955</v>
      </c>
      <c r="L1064" s="85" t="n">
        <v>0</v>
      </c>
    </row>
    <row r="1065">
      <c r="A1065" s="84" t="inlineStr">
        <is>
          <t>SNCF</t>
        </is>
      </c>
      <c r="B1065" s="7" t="inlineStr">
        <is>
          <t>sédentaire</t>
        </is>
      </c>
      <c r="C1065" s="88" t="n">
        <v>1978</v>
      </c>
      <c r="D1065" s="95" t="n">
        <v>59</v>
      </c>
      <c r="E1065" s="95" t="n">
        <v>62</v>
      </c>
      <c r="F1065" s="85" t="n">
        <v>172</v>
      </c>
      <c r="G1065" s="120" t="n">
        <v>0.0125</v>
      </c>
      <c r="H1065" s="120" t="n">
        <v>0.0125</v>
      </c>
      <c r="I1065" s="95" t="n">
        <v>4</v>
      </c>
      <c r="J1065" s="95" t="n">
        <v>63</v>
      </c>
      <c r="K1065" s="95" t="n">
        <v>0.955</v>
      </c>
      <c r="L1065" s="85" t="n">
        <v>0</v>
      </c>
    </row>
    <row r="1066">
      <c r="A1066" s="84" t="inlineStr">
        <is>
          <t>SNCF</t>
        </is>
      </c>
      <c r="B1066" s="7" t="inlineStr">
        <is>
          <t>sédentaire</t>
        </is>
      </c>
      <c r="C1066" s="88" t="n">
        <v>1979</v>
      </c>
      <c r="D1066" s="95" t="n">
        <v>59</v>
      </c>
      <c r="E1066" s="95" t="n">
        <v>62</v>
      </c>
      <c r="F1066" s="85" t="n">
        <v>172</v>
      </c>
      <c r="G1066" s="120" t="n">
        <v>0.0125</v>
      </c>
      <c r="H1066" s="120" t="n">
        <v>0.0125</v>
      </c>
      <c r="I1066" s="95" t="n">
        <v>4</v>
      </c>
      <c r="J1066" s="95" t="n">
        <v>63</v>
      </c>
      <c r="K1066" s="95" t="n">
        <v>0.955</v>
      </c>
      <c r="L1066" s="85" t="n">
        <v>0</v>
      </c>
    </row>
    <row r="1067">
      <c r="A1067" s="84" t="inlineStr">
        <is>
          <t>SNCF</t>
        </is>
      </c>
      <c r="B1067" s="7" t="inlineStr">
        <is>
          <t>sédentaire</t>
        </is>
      </c>
      <c r="C1067" s="88" t="n">
        <v>1980</v>
      </c>
      <c r="D1067" s="95" t="n">
        <v>59</v>
      </c>
      <c r="E1067" s="95" t="n">
        <v>62</v>
      </c>
      <c r="F1067" s="85" t="n">
        <v>172</v>
      </c>
      <c r="G1067" s="120" t="n">
        <v>0.0125</v>
      </c>
      <c r="H1067" s="120" t="n">
        <v>0.0125</v>
      </c>
      <c r="I1067" s="95" t="n">
        <v>4</v>
      </c>
      <c r="J1067" s="95" t="n">
        <v>63</v>
      </c>
      <c r="K1067" s="95" t="n">
        <v>0.955</v>
      </c>
      <c r="L1067" s="85" t="n">
        <v>0</v>
      </c>
    </row>
    <row r="1068">
      <c r="A1068" s="84" t="inlineStr">
        <is>
          <t>SNCF</t>
        </is>
      </c>
      <c r="B1068" s="7" t="inlineStr">
        <is>
          <t>sédentaire</t>
        </is>
      </c>
      <c r="C1068" s="88" t="n">
        <v>1981</v>
      </c>
      <c r="D1068" s="95" t="n">
        <v>59</v>
      </c>
      <c r="E1068" s="95" t="n">
        <v>62</v>
      </c>
      <c r="F1068" s="85" t="n">
        <v>172</v>
      </c>
      <c r="G1068" s="120" t="n">
        <v>0.0125</v>
      </c>
      <c r="H1068" s="120" t="n">
        <v>0.0125</v>
      </c>
      <c r="I1068" s="95" t="n">
        <v>4</v>
      </c>
      <c r="J1068" s="95" t="n">
        <v>63</v>
      </c>
      <c r="K1068" s="95" t="n">
        <v>0.955</v>
      </c>
      <c r="L1068" s="85" t="n">
        <v>0</v>
      </c>
    </row>
    <row r="1069">
      <c r="A1069" s="84" t="inlineStr">
        <is>
          <t>SNCF</t>
        </is>
      </c>
      <c r="B1069" s="7" t="inlineStr">
        <is>
          <t>sédentaire</t>
        </is>
      </c>
      <c r="C1069" s="88" t="n">
        <v>1982</v>
      </c>
      <c r="D1069" s="95" t="n">
        <v>59</v>
      </c>
      <c r="E1069" s="95" t="n">
        <v>62</v>
      </c>
      <c r="F1069" s="85" t="n">
        <v>172</v>
      </c>
      <c r="G1069" s="120" t="n">
        <v>0.0125</v>
      </c>
      <c r="H1069" s="120" t="n">
        <v>0.0125</v>
      </c>
      <c r="I1069" s="95" t="n">
        <v>4</v>
      </c>
      <c r="J1069" s="95" t="n">
        <v>63</v>
      </c>
      <c r="K1069" s="95" t="n">
        <v>0.955</v>
      </c>
      <c r="L1069" s="85" t="n">
        <v>0</v>
      </c>
    </row>
    <row r="1070">
      <c r="A1070" s="84" t="inlineStr">
        <is>
          <t>SNCF</t>
        </is>
      </c>
      <c r="B1070" s="7" t="inlineStr">
        <is>
          <t>sédentaire</t>
        </is>
      </c>
      <c r="C1070" s="88" t="n">
        <v>1983</v>
      </c>
      <c r="D1070" s="95" t="n">
        <v>59</v>
      </c>
      <c r="E1070" s="95" t="n">
        <v>62</v>
      </c>
      <c r="F1070" s="85" t="n">
        <v>172</v>
      </c>
      <c r="G1070" s="120" t="n">
        <v>0.0125</v>
      </c>
      <c r="H1070" s="120" t="n">
        <v>0.0125</v>
      </c>
      <c r="I1070" s="95" t="n">
        <v>4</v>
      </c>
      <c r="J1070" s="95" t="n">
        <v>63</v>
      </c>
      <c r="K1070" s="95" t="n">
        <v>0.955</v>
      </c>
      <c r="L1070" s="85" t="n">
        <v>0</v>
      </c>
    </row>
    <row r="1071">
      <c r="A1071" s="84" t="inlineStr">
        <is>
          <t>SNCF</t>
        </is>
      </c>
      <c r="B1071" s="7" t="inlineStr">
        <is>
          <t>sédentaire</t>
        </is>
      </c>
      <c r="C1071" s="88" t="n">
        <v>1984</v>
      </c>
      <c r="D1071" s="95" t="n">
        <v>59</v>
      </c>
      <c r="E1071" s="95" t="n">
        <v>62</v>
      </c>
      <c r="F1071" s="85" t="n">
        <v>172</v>
      </c>
      <c r="G1071" s="120" t="n">
        <v>0.0125</v>
      </c>
      <c r="H1071" s="120" t="n">
        <v>0.0125</v>
      </c>
      <c r="I1071" s="95" t="n">
        <v>4</v>
      </c>
      <c r="J1071" s="95" t="n">
        <v>63</v>
      </c>
      <c r="K1071" s="95" t="n">
        <v>0.955</v>
      </c>
      <c r="L1071" s="85" t="n">
        <v>0</v>
      </c>
    </row>
    <row r="1072">
      <c r="A1072" s="84" t="inlineStr">
        <is>
          <t>SNCF</t>
        </is>
      </c>
      <c r="B1072" s="7" t="inlineStr">
        <is>
          <t>sédentaire</t>
        </is>
      </c>
      <c r="C1072" s="88" t="n">
        <v>1985</v>
      </c>
      <c r="D1072" s="95" t="n">
        <v>59</v>
      </c>
      <c r="E1072" s="95" t="n">
        <v>62</v>
      </c>
      <c r="F1072" s="85" t="n">
        <v>172</v>
      </c>
      <c r="G1072" s="120" t="n">
        <v>0.0125</v>
      </c>
      <c r="H1072" s="120" t="n">
        <v>0.0125</v>
      </c>
      <c r="I1072" s="95" t="n">
        <v>4</v>
      </c>
      <c r="J1072" s="95" t="n">
        <v>63</v>
      </c>
      <c r="K1072" s="95" t="n">
        <v>0.955</v>
      </c>
      <c r="L1072" s="85" t="n">
        <v>0</v>
      </c>
    </row>
    <row r="1073">
      <c r="A1073" s="84" t="inlineStr">
        <is>
          <t>SNCF</t>
        </is>
      </c>
      <c r="B1073" s="7" t="inlineStr">
        <is>
          <t>sédentaire</t>
        </is>
      </c>
      <c r="C1073" s="88" t="n">
        <v>1986</v>
      </c>
      <c r="D1073" s="95" t="n">
        <v>59</v>
      </c>
      <c r="E1073" s="95" t="n">
        <v>62</v>
      </c>
      <c r="F1073" s="85" t="n">
        <v>172</v>
      </c>
      <c r="G1073" s="120" t="n">
        <v>0.0125</v>
      </c>
      <c r="H1073" s="120" t="n">
        <v>0.0125</v>
      </c>
      <c r="I1073" s="95" t="n">
        <v>4</v>
      </c>
      <c r="J1073" s="95" t="n">
        <v>63</v>
      </c>
      <c r="K1073" s="95" t="n">
        <v>0.955</v>
      </c>
      <c r="L1073" s="85" t="n">
        <v>0</v>
      </c>
    </row>
    <row r="1074">
      <c r="A1074" s="84" t="inlineStr">
        <is>
          <t>SNCF</t>
        </is>
      </c>
      <c r="B1074" s="7" t="inlineStr">
        <is>
          <t>sédentaire</t>
        </is>
      </c>
      <c r="C1074" s="88" t="n">
        <v>1987</v>
      </c>
      <c r="D1074" s="95" t="n">
        <v>59</v>
      </c>
      <c r="E1074" s="95" t="n">
        <v>62</v>
      </c>
      <c r="F1074" s="85" t="n">
        <v>172</v>
      </c>
      <c r="G1074" s="120" t="n">
        <v>0.0125</v>
      </c>
      <c r="H1074" s="120" t="n">
        <v>0.0125</v>
      </c>
      <c r="I1074" s="95" t="n">
        <v>4</v>
      </c>
      <c r="J1074" s="95" t="n">
        <v>63</v>
      </c>
      <c r="K1074" s="95" t="n">
        <v>0.955</v>
      </c>
      <c r="L1074" s="85" t="n">
        <v>0</v>
      </c>
    </row>
    <row r="1075">
      <c r="A1075" s="84" t="inlineStr">
        <is>
          <t>SNCF</t>
        </is>
      </c>
      <c r="B1075" s="7" t="inlineStr">
        <is>
          <t>sédentaire</t>
        </is>
      </c>
      <c r="C1075" s="88" t="n">
        <v>1988</v>
      </c>
      <c r="D1075" s="95" t="n">
        <v>59</v>
      </c>
      <c r="E1075" s="95" t="n">
        <v>62</v>
      </c>
      <c r="F1075" s="85" t="n">
        <v>172</v>
      </c>
      <c r="G1075" s="120" t="n">
        <v>0.0125</v>
      </c>
      <c r="H1075" s="120" t="n">
        <v>0.0125</v>
      </c>
      <c r="I1075" s="95" t="n">
        <v>4</v>
      </c>
      <c r="J1075" s="95" t="n">
        <v>63</v>
      </c>
      <c r="K1075" s="95" t="n">
        <v>0.955</v>
      </c>
      <c r="L1075" s="85" t="n">
        <v>0</v>
      </c>
    </row>
    <row r="1076">
      <c r="A1076" s="84" t="inlineStr">
        <is>
          <t>SNCF</t>
        </is>
      </c>
      <c r="B1076" s="7" t="inlineStr">
        <is>
          <t>sédentaire</t>
        </is>
      </c>
      <c r="C1076" s="88" t="n">
        <v>1989</v>
      </c>
      <c r="D1076" s="95" t="n">
        <v>59</v>
      </c>
      <c r="E1076" s="95" t="n">
        <v>62</v>
      </c>
      <c r="F1076" s="85" t="n">
        <v>172</v>
      </c>
      <c r="G1076" s="120" t="n">
        <v>0.0125</v>
      </c>
      <c r="H1076" s="120" t="n">
        <v>0.0125</v>
      </c>
      <c r="I1076" s="95" t="n">
        <v>4</v>
      </c>
      <c r="J1076" s="95" t="n">
        <v>63</v>
      </c>
      <c r="K1076" s="95" t="n">
        <v>0.955</v>
      </c>
      <c r="L1076" s="85" t="n">
        <v>0</v>
      </c>
    </row>
    <row r="1077">
      <c r="A1077" s="84" t="inlineStr">
        <is>
          <t>SNCF</t>
        </is>
      </c>
      <c r="B1077" s="7" t="inlineStr">
        <is>
          <t>sédentaire</t>
        </is>
      </c>
      <c r="C1077" s="88" t="n">
        <v>1990</v>
      </c>
      <c r="D1077" s="95" t="n">
        <v>59</v>
      </c>
      <c r="E1077" s="95" t="n">
        <v>62</v>
      </c>
      <c r="F1077" s="85" t="n">
        <v>172</v>
      </c>
      <c r="G1077" s="120" t="n">
        <v>0.0125</v>
      </c>
      <c r="H1077" s="120" t="n">
        <v>0.0125</v>
      </c>
      <c r="I1077" s="95" t="n">
        <v>4</v>
      </c>
      <c r="J1077" s="95" t="n">
        <v>63</v>
      </c>
      <c r="K1077" s="95" t="n">
        <v>0.955</v>
      </c>
      <c r="L1077" s="85" t="n">
        <v>0</v>
      </c>
    </row>
    <row r="1078">
      <c r="A1078" s="84" t="inlineStr">
        <is>
          <t>SNCF</t>
        </is>
      </c>
      <c r="B1078" s="7" t="inlineStr">
        <is>
          <t>sédentaire</t>
        </is>
      </c>
      <c r="C1078" s="88" t="n">
        <v>1991</v>
      </c>
      <c r="D1078" s="95" t="n">
        <v>59</v>
      </c>
      <c r="E1078" s="95" t="n">
        <v>62</v>
      </c>
      <c r="F1078" s="85" t="n">
        <v>172</v>
      </c>
      <c r="G1078" s="120" t="n">
        <v>0.0125</v>
      </c>
      <c r="H1078" s="120" t="n">
        <v>0.0125</v>
      </c>
      <c r="I1078" s="95" t="n">
        <v>4</v>
      </c>
      <c r="J1078" s="95" t="n">
        <v>63</v>
      </c>
      <c r="K1078" s="95" t="n">
        <v>0.955</v>
      </c>
      <c r="L1078" s="85" t="n">
        <v>0</v>
      </c>
    </row>
    <row r="1079">
      <c r="A1079" s="84" t="inlineStr">
        <is>
          <t>SNCF</t>
        </is>
      </c>
      <c r="B1079" s="7" t="inlineStr">
        <is>
          <t>sédentaire</t>
        </is>
      </c>
      <c r="C1079" s="88" t="n">
        <v>1992</v>
      </c>
      <c r="D1079" s="95" t="n">
        <v>59</v>
      </c>
      <c r="E1079" s="95" t="n">
        <v>62</v>
      </c>
      <c r="F1079" s="85" t="n">
        <v>172</v>
      </c>
      <c r="G1079" s="120" t="n">
        <v>0.0125</v>
      </c>
      <c r="H1079" s="120" t="n">
        <v>0.0125</v>
      </c>
      <c r="I1079" s="95" t="n">
        <v>4</v>
      </c>
      <c r="J1079" s="95" t="n">
        <v>63</v>
      </c>
      <c r="K1079" s="95" t="n">
        <v>0.955</v>
      </c>
      <c r="L1079" s="85" t="n">
        <v>0</v>
      </c>
    </row>
    <row r="1080">
      <c r="A1080" s="84" t="inlineStr">
        <is>
          <t>SNCF</t>
        </is>
      </c>
      <c r="B1080" s="7" t="inlineStr">
        <is>
          <t>sédentaire</t>
        </is>
      </c>
      <c r="C1080" s="88" t="n">
        <v>1993</v>
      </c>
      <c r="D1080" s="95" t="n">
        <v>59</v>
      </c>
      <c r="E1080" s="95" t="n">
        <v>62</v>
      </c>
      <c r="F1080" s="85" t="n">
        <v>172</v>
      </c>
      <c r="G1080" s="120" t="n">
        <v>0.0125</v>
      </c>
      <c r="H1080" s="120" t="n">
        <v>0.0125</v>
      </c>
      <c r="I1080" s="95" t="n">
        <v>4</v>
      </c>
      <c r="J1080" s="95" t="n">
        <v>63</v>
      </c>
      <c r="K1080" s="95" t="n">
        <v>0.955</v>
      </c>
      <c r="L1080" s="85" t="n">
        <v>0</v>
      </c>
    </row>
    <row r="1081">
      <c r="A1081" s="84" t="inlineStr">
        <is>
          <t>SNCF</t>
        </is>
      </c>
      <c r="B1081" s="7" t="inlineStr">
        <is>
          <t>sédentaire</t>
        </is>
      </c>
      <c r="C1081" s="88" t="n">
        <v>1994</v>
      </c>
      <c r="D1081" s="95" t="n">
        <v>59</v>
      </c>
      <c r="E1081" s="95" t="n">
        <v>62</v>
      </c>
      <c r="F1081" s="85" t="n">
        <v>172</v>
      </c>
      <c r="G1081" s="120" t="n">
        <v>0.0125</v>
      </c>
      <c r="H1081" s="120" t="n">
        <v>0.0125</v>
      </c>
      <c r="I1081" s="95" t="n">
        <v>4</v>
      </c>
      <c r="J1081" s="95" t="n">
        <v>63</v>
      </c>
      <c r="K1081" s="95" t="n">
        <v>0.955</v>
      </c>
      <c r="L1081" s="85" t="n">
        <v>0</v>
      </c>
    </row>
    <row r="1082">
      <c r="A1082" s="84" t="inlineStr">
        <is>
          <t>SNCF</t>
        </is>
      </c>
      <c r="B1082" s="7" t="inlineStr">
        <is>
          <t>sédentaire</t>
        </is>
      </c>
      <c r="C1082" s="88" t="n">
        <v>1995</v>
      </c>
      <c r="D1082" s="95" t="n">
        <v>59</v>
      </c>
      <c r="E1082" s="95" t="n">
        <v>62</v>
      </c>
      <c r="F1082" s="85" t="n">
        <v>172</v>
      </c>
      <c r="G1082" s="120" t="n">
        <v>0.0125</v>
      </c>
      <c r="H1082" s="120" t="n">
        <v>0.0125</v>
      </c>
      <c r="I1082" s="95" t="n">
        <v>4</v>
      </c>
      <c r="J1082" s="95" t="n">
        <v>63</v>
      </c>
      <c r="K1082" s="95" t="n">
        <v>0.955</v>
      </c>
      <c r="L1082" s="85" t="n">
        <v>0</v>
      </c>
    </row>
    <row r="1083">
      <c r="A1083" s="84" t="inlineStr">
        <is>
          <t>SNCF</t>
        </is>
      </c>
      <c r="B1083" s="7" t="inlineStr">
        <is>
          <t>sédentaire</t>
        </is>
      </c>
      <c r="C1083" s="88" t="n">
        <v>1996</v>
      </c>
      <c r="D1083" s="95" t="n">
        <v>59</v>
      </c>
      <c r="E1083" s="95" t="n">
        <v>62</v>
      </c>
      <c r="F1083" s="85" t="n">
        <v>172</v>
      </c>
      <c r="G1083" s="120" t="n">
        <v>0.0125</v>
      </c>
      <c r="H1083" s="120" t="n">
        <v>0.0125</v>
      </c>
      <c r="I1083" s="95" t="n">
        <v>4</v>
      </c>
      <c r="J1083" s="95" t="n">
        <v>63</v>
      </c>
      <c r="K1083" s="95" t="n">
        <v>0.955</v>
      </c>
      <c r="L1083" s="85" t="n">
        <v>0</v>
      </c>
    </row>
    <row r="1084">
      <c r="A1084" s="84" t="inlineStr">
        <is>
          <t>SNCF</t>
        </is>
      </c>
      <c r="B1084" s="7" t="inlineStr">
        <is>
          <t>sédentaire</t>
        </is>
      </c>
      <c r="C1084" s="88" t="n">
        <v>1997</v>
      </c>
      <c r="D1084" s="95" t="n">
        <v>59</v>
      </c>
      <c r="E1084" s="95" t="n">
        <v>62</v>
      </c>
      <c r="F1084" s="85" t="n">
        <v>172</v>
      </c>
      <c r="G1084" s="120" t="n">
        <v>0.0125</v>
      </c>
      <c r="H1084" s="120" t="n">
        <v>0.0125</v>
      </c>
      <c r="I1084" s="95" t="n">
        <v>4</v>
      </c>
      <c r="J1084" s="95" t="n">
        <v>63</v>
      </c>
      <c r="K1084" s="95" t="n">
        <v>0.955</v>
      </c>
      <c r="L1084" s="85" t="n">
        <v>0</v>
      </c>
    </row>
    <row r="1085">
      <c r="A1085" s="84" t="inlineStr">
        <is>
          <t>SNCF</t>
        </is>
      </c>
      <c r="B1085" s="7" t="inlineStr">
        <is>
          <t>sédentaire</t>
        </is>
      </c>
      <c r="C1085" s="88" t="n">
        <v>1998</v>
      </c>
      <c r="D1085" s="95" t="n">
        <v>59</v>
      </c>
      <c r="E1085" s="95" t="n">
        <v>62</v>
      </c>
      <c r="F1085" s="85" t="n">
        <v>172</v>
      </c>
      <c r="G1085" s="120" t="n">
        <v>0.0125</v>
      </c>
      <c r="H1085" s="120" t="n">
        <v>0.0125</v>
      </c>
      <c r="I1085" s="95" t="n">
        <v>4</v>
      </c>
      <c r="J1085" s="95" t="n">
        <v>63</v>
      </c>
      <c r="K1085" s="95" t="n">
        <v>0.955</v>
      </c>
      <c r="L1085" s="85" t="n">
        <v>0</v>
      </c>
    </row>
    <row r="1086">
      <c r="A1086" s="84" t="inlineStr">
        <is>
          <t>SNCF</t>
        </is>
      </c>
      <c r="B1086" s="7" t="inlineStr">
        <is>
          <t>sédentaire</t>
        </is>
      </c>
      <c r="C1086" s="88" t="n">
        <v>1999</v>
      </c>
      <c r="D1086" s="95" t="n">
        <v>59</v>
      </c>
      <c r="E1086" s="95" t="n">
        <v>62</v>
      </c>
      <c r="F1086" s="85" t="n">
        <v>172</v>
      </c>
      <c r="G1086" s="120" t="n">
        <v>0.0125</v>
      </c>
      <c r="H1086" s="120" t="n">
        <v>0.0125</v>
      </c>
      <c r="I1086" s="95" t="n">
        <v>4</v>
      </c>
      <c r="J1086" s="95" t="n">
        <v>63</v>
      </c>
      <c r="K1086" s="95" t="n">
        <v>0.955</v>
      </c>
      <c r="L1086" s="85" t="n">
        <v>0</v>
      </c>
    </row>
    <row r="1087">
      <c r="A1087" s="84" t="inlineStr">
        <is>
          <t>SNCF</t>
        </is>
      </c>
      <c r="B1087" s="7" t="inlineStr">
        <is>
          <t>sédentaire</t>
        </is>
      </c>
      <c r="C1087" s="88" t="n">
        <v>2000</v>
      </c>
      <c r="D1087" s="95" t="n">
        <v>59</v>
      </c>
      <c r="E1087" s="95" t="n">
        <v>62</v>
      </c>
      <c r="F1087" s="85" t="n">
        <v>172</v>
      </c>
      <c r="G1087" s="120" t="n">
        <v>0.0125</v>
      </c>
      <c r="H1087" s="120" t="n">
        <v>0.0125</v>
      </c>
      <c r="I1087" s="95" t="n">
        <v>4</v>
      </c>
      <c r="J1087" s="95" t="n">
        <v>63</v>
      </c>
      <c r="K1087" s="95" t="n">
        <v>0.955</v>
      </c>
      <c r="L1087" s="85" t="n">
        <v>0</v>
      </c>
    </row>
    <row r="1088">
      <c r="A1088" s="84" t="inlineStr">
        <is>
          <t>SNCF</t>
        </is>
      </c>
      <c r="B1088" s="7" t="inlineStr">
        <is>
          <t>sédentaire</t>
        </is>
      </c>
      <c r="C1088" s="88" t="n">
        <v>2001</v>
      </c>
      <c r="D1088" s="95" t="n">
        <v>59</v>
      </c>
      <c r="E1088" s="95" t="n">
        <v>62</v>
      </c>
      <c r="F1088" s="85" t="n">
        <v>172</v>
      </c>
      <c r="G1088" s="120" t="n">
        <v>0.0125</v>
      </c>
      <c r="H1088" s="120" t="n">
        <v>0.0125</v>
      </c>
      <c r="I1088" s="95" t="n">
        <v>4</v>
      </c>
      <c r="J1088" s="95" t="n">
        <v>63</v>
      </c>
      <c r="K1088" s="95" t="n">
        <v>0.955</v>
      </c>
      <c r="L1088" s="85" t="n">
        <v>0</v>
      </c>
    </row>
    <row r="1089">
      <c r="A1089" s="84" t="inlineStr">
        <is>
          <t>SNCF</t>
        </is>
      </c>
      <c r="B1089" s="7" t="inlineStr">
        <is>
          <t>sédentaire</t>
        </is>
      </c>
      <c r="C1089" s="88" t="n">
        <v>2002</v>
      </c>
      <c r="D1089" s="95" t="n">
        <v>59</v>
      </c>
      <c r="E1089" s="95" t="n">
        <v>62</v>
      </c>
      <c r="F1089" s="85" t="n">
        <v>172</v>
      </c>
      <c r="G1089" s="120" t="n">
        <v>0.0125</v>
      </c>
      <c r="H1089" s="120" t="n">
        <v>0.0125</v>
      </c>
      <c r="I1089" s="95" t="n">
        <v>4</v>
      </c>
      <c r="J1089" s="95" t="n">
        <v>63</v>
      </c>
      <c r="K1089" s="95" t="n">
        <v>0.955</v>
      </c>
      <c r="L1089" s="85" t="n">
        <v>0</v>
      </c>
    </row>
    <row r="1090">
      <c r="A1090" s="84" t="inlineStr">
        <is>
          <t>SNCF</t>
        </is>
      </c>
      <c r="B1090" s="7" t="inlineStr">
        <is>
          <t>sédentaire</t>
        </is>
      </c>
      <c r="C1090" s="88" t="n">
        <v>2003</v>
      </c>
      <c r="D1090" s="95" t="n">
        <v>59</v>
      </c>
      <c r="E1090" s="95" t="n">
        <v>62</v>
      </c>
      <c r="F1090" s="85" t="n">
        <v>172</v>
      </c>
      <c r="G1090" s="120" t="n">
        <v>0.0125</v>
      </c>
      <c r="H1090" s="120" t="n">
        <v>0.0125</v>
      </c>
      <c r="I1090" s="95" t="n">
        <v>4</v>
      </c>
      <c r="J1090" s="95" t="n">
        <v>63</v>
      </c>
      <c r="K1090" s="95" t="n">
        <v>0.955</v>
      </c>
      <c r="L1090" s="85" t="n">
        <v>0</v>
      </c>
    </row>
    <row r="1091">
      <c r="A1091" s="84" t="inlineStr">
        <is>
          <t>SNCF</t>
        </is>
      </c>
      <c r="B1091" s="7" t="inlineStr">
        <is>
          <t>sédentaire</t>
        </is>
      </c>
      <c r="C1091" s="88" t="n">
        <v>2004</v>
      </c>
      <c r="D1091" s="95" t="n">
        <v>59</v>
      </c>
      <c r="E1091" s="95" t="n">
        <v>62</v>
      </c>
      <c r="F1091" s="85" t="n">
        <v>172</v>
      </c>
      <c r="G1091" s="120" t="n">
        <v>0.0125</v>
      </c>
      <c r="H1091" s="120" t="n">
        <v>0.0125</v>
      </c>
      <c r="I1091" s="95" t="n">
        <v>4</v>
      </c>
      <c r="J1091" s="95" t="n">
        <v>63</v>
      </c>
      <c r="K1091" s="95" t="n">
        <v>0.955</v>
      </c>
      <c r="L1091" s="85" t="n">
        <v>0</v>
      </c>
    </row>
    <row r="1092">
      <c r="A1092" s="84" t="inlineStr">
        <is>
          <t>SNCF</t>
        </is>
      </c>
      <c r="B1092" s="7" t="inlineStr">
        <is>
          <t>sédentaire</t>
        </is>
      </c>
      <c r="C1092" s="88" t="n">
        <v>2005</v>
      </c>
      <c r="D1092" s="95" t="n">
        <v>59</v>
      </c>
      <c r="E1092" s="95" t="n">
        <v>62</v>
      </c>
      <c r="F1092" s="85" t="n">
        <v>172</v>
      </c>
      <c r="G1092" s="120" t="n">
        <v>0.0125</v>
      </c>
      <c r="H1092" s="120" t="n">
        <v>0.0125</v>
      </c>
      <c r="I1092" s="95" t="n">
        <v>4</v>
      </c>
      <c r="J1092" s="95" t="n">
        <v>63</v>
      </c>
      <c r="K1092" s="95" t="n">
        <v>0.955</v>
      </c>
      <c r="L1092" s="85" t="n">
        <v>0</v>
      </c>
    </row>
    <row r="1093">
      <c r="A1093" s="84" t="inlineStr">
        <is>
          <t>SNCF</t>
        </is>
      </c>
      <c r="B1093" s="7" t="inlineStr">
        <is>
          <t>sédentaire</t>
        </is>
      </c>
      <c r="C1093" s="88" t="n">
        <v>2006</v>
      </c>
      <c r="D1093" s="95" t="n">
        <v>59</v>
      </c>
      <c r="E1093" s="95" t="n">
        <v>62</v>
      </c>
      <c r="F1093" s="85" t="n">
        <v>172</v>
      </c>
      <c r="G1093" s="120" t="n">
        <v>0.0125</v>
      </c>
      <c r="H1093" s="120" t="n">
        <v>0.0125</v>
      </c>
      <c r="I1093" s="95" t="n">
        <v>4</v>
      </c>
      <c r="J1093" s="95" t="n">
        <v>63</v>
      </c>
      <c r="K1093" s="95" t="n">
        <v>0.955</v>
      </c>
      <c r="L1093" s="85" t="n">
        <v>0</v>
      </c>
    </row>
    <row r="1094">
      <c r="A1094" s="84" t="inlineStr">
        <is>
          <t>SNCF</t>
        </is>
      </c>
      <c r="B1094" s="7" t="inlineStr">
        <is>
          <t>sédentaire</t>
        </is>
      </c>
      <c r="C1094" s="88" t="n">
        <v>2007</v>
      </c>
      <c r="D1094" s="95" t="n">
        <v>59</v>
      </c>
      <c r="E1094" s="95" t="n">
        <v>62</v>
      </c>
      <c r="F1094" s="85" t="n">
        <v>172</v>
      </c>
      <c r="G1094" s="120" t="n">
        <v>0.0125</v>
      </c>
      <c r="H1094" s="120" t="n">
        <v>0.0125</v>
      </c>
      <c r="I1094" s="95" t="n">
        <v>4</v>
      </c>
      <c r="J1094" s="95" t="n">
        <v>63</v>
      </c>
      <c r="K1094" s="95" t="n">
        <v>0.955</v>
      </c>
      <c r="L1094" s="85" t="n">
        <v>0</v>
      </c>
    </row>
    <row r="1095">
      <c r="A1095" s="84" t="inlineStr">
        <is>
          <t>SNCF</t>
        </is>
      </c>
      <c r="B1095" s="7" t="inlineStr">
        <is>
          <t>sédentaire</t>
        </is>
      </c>
      <c r="C1095" s="88" t="n">
        <v>2008</v>
      </c>
      <c r="D1095" s="95" t="n">
        <v>59</v>
      </c>
      <c r="E1095" s="95" t="n">
        <v>62</v>
      </c>
      <c r="F1095" s="85" t="n">
        <v>172</v>
      </c>
      <c r="G1095" s="120" t="n">
        <v>0.0125</v>
      </c>
      <c r="H1095" s="120" t="n">
        <v>0.0125</v>
      </c>
      <c r="I1095" s="95" t="n">
        <v>4</v>
      </c>
      <c r="J1095" s="95" t="n">
        <v>63</v>
      </c>
      <c r="K1095" s="95" t="n">
        <v>0.955</v>
      </c>
      <c r="L1095" s="85" t="n">
        <v>0</v>
      </c>
    </row>
    <row r="1096">
      <c r="A1096" s="84" t="inlineStr">
        <is>
          <t>SNCF</t>
        </is>
      </c>
      <c r="B1096" s="7" t="inlineStr">
        <is>
          <t>sédentaire</t>
        </is>
      </c>
      <c r="C1096" s="88" t="n">
        <v>2009</v>
      </c>
      <c r="D1096" s="95" t="n">
        <v>59</v>
      </c>
      <c r="E1096" s="95" t="n">
        <v>62</v>
      </c>
      <c r="F1096" s="85" t="n">
        <v>172</v>
      </c>
      <c r="G1096" s="120" t="n">
        <v>0.0125</v>
      </c>
      <c r="H1096" s="120" t="n">
        <v>0.0125</v>
      </c>
      <c r="I1096" s="95" t="n">
        <v>4</v>
      </c>
      <c r="J1096" s="95" t="n">
        <v>63</v>
      </c>
      <c r="K1096" s="95" t="n">
        <v>0.955</v>
      </c>
      <c r="L1096" s="85" t="n">
        <v>0</v>
      </c>
    </row>
    <row r="1097">
      <c r="A1097" s="84" t="inlineStr">
        <is>
          <t>SNCF</t>
        </is>
      </c>
      <c r="B1097" s="7" t="inlineStr">
        <is>
          <t>sédentaire</t>
        </is>
      </c>
      <c r="C1097" s="88" t="n">
        <v>2010</v>
      </c>
      <c r="D1097" s="95" t="n">
        <v>59</v>
      </c>
      <c r="E1097" s="95" t="n">
        <v>62</v>
      </c>
      <c r="F1097" s="85" t="n">
        <v>172</v>
      </c>
      <c r="G1097" s="120" t="n">
        <v>0.0125</v>
      </c>
      <c r="H1097" s="120" t="n">
        <v>0.0125</v>
      </c>
      <c r="I1097" s="95" t="n">
        <v>4</v>
      </c>
      <c r="J1097" s="95" t="n">
        <v>63</v>
      </c>
      <c r="K1097" s="95" t="n">
        <v>0.955</v>
      </c>
      <c r="L1097" s="85" t="n">
        <v>0</v>
      </c>
    </row>
    <row r="1098">
      <c r="A1098" s="84" t="inlineStr">
        <is>
          <t>SNCF</t>
        </is>
      </c>
      <c r="B1098" s="7" t="inlineStr">
        <is>
          <t>sédentaire</t>
        </is>
      </c>
      <c r="C1098" s="88" t="n">
        <v>2011</v>
      </c>
      <c r="D1098" s="95" t="n">
        <v>59</v>
      </c>
      <c r="E1098" s="95" t="n">
        <v>62</v>
      </c>
      <c r="F1098" s="85" t="n">
        <v>172</v>
      </c>
      <c r="G1098" s="120" t="n">
        <v>0.0125</v>
      </c>
      <c r="H1098" s="120" t="n">
        <v>0.0125</v>
      </c>
      <c r="I1098" s="95" t="n">
        <v>4</v>
      </c>
      <c r="J1098" s="95" t="n">
        <v>63</v>
      </c>
      <c r="K1098" s="95" t="n">
        <v>0.955</v>
      </c>
      <c r="L1098" s="85" t="n">
        <v>0</v>
      </c>
    </row>
    <row r="1099">
      <c r="A1099" s="84" t="inlineStr">
        <is>
          <t>SNCF</t>
        </is>
      </c>
      <c r="B1099" s="7" t="inlineStr">
        <is>
          <t>sédentaire</t>
        </is>
      </c>
      <c r="C1099" s="88" t="n">
        <v>2012</v>
      </c>
      <c r="D1099" s="95" t="n">
        <v>59</v>
      </c>
      <c r="E1099" s="95" t="n">
        <v>62</v>
      </c>
      <c r="F1099" s="85" t="n">
        <v>172</v>
      </c>
      <c r="G1099" s="120" t="n">
        <v>0.0125</v>
      </c>
      <c r="H1099" s="120" t="n">
        <v>0.0125</v>
      </c>
      <c r="I1099" s="95" t="n">
        <v>4</v>
      </c>
      <c r="J1099" s="95" t="n">
        <v>63</v>
      </c>
      <c r="K1099" s="95" t="n">
        <v>0.955</v>
      </c>
      <c r="L1099" s="85" t="n">
        <v>0</v>
      </c>
    </row>
    <row r="1100">
      <c r="A1100" s="84" t="inlineStr">
        <is>
          <t>SNCF</t>
        </is>
      </c>
      <c r="B1100" s="7" t="inlineStr">
        <is>
          <t>sédentaire</t>
        </is>
      </c>
      <c r="C1100" s="88" t="n">
        <v>2013</v>
      </c>
      <c r="D1100" s="95" t="n">
        <v>59</v>
      </c>
      <c r="E1100" s="95" t="n">
        <v>62</v>
      </c>
      <c r="F1100" s="85" t="n">
        <v>172</v>
      </c>
      <c r="G1100" s="120" t="n">
        <v>0.0125</v>
      </c>
      <c r="H1100" s="120" t="n">
        <v>0.0125</v>
      </c>
      <c r="I1100" s="95" t="n">
        <v>4</v>
      </c>
      <c r="J1100" s="95" t="n">
        <v>63</v>
      </c>
      <c r="K1100" s="95" t="n">
        <v>0.955</v>
      </c>
      <c r="L1100" s="85" t="n">
        <v>0</v>
      </c>
    </row>
    <row r="1101">
      <c r="A1101" s="84" t="inlineStr">
        <is>
          <t>SNCF</t>
        </is>
      </c>
      <c r="B1101" s="7" t="inlineStr">
        <is>
          <t>sédentaire</t>
        </is>
      </c>
      <c r="C1101" s="88" t="n">
        <v>2014</v>
      </c>
      <c r="D1101" s="95" t="n">
        <v>59</v>
      </c>
      <c r="E1101" s="95" t="n">
        <v>62</v>
      </c>
      <c r="F1101" s="85" t="n">
        <v>172</v>
      </c>
      <c r="G1101" s="120" t="n">
        <v>0.0125</v>
      </c>
      <c r="H1101" s="120" t="n">
        <v>0.0125</v>
      </c>
      <c r="I1101" s="95" t="n">
        <v>4</v>
      </c>
      <c r="J1101" s="95" t="n">
        <v>63</v>
      </c>
      <c r="K1101" s="95" t="n">
        <v>0.955</v>
      </c>
      <c r="L1101" s="85" t="n">
        <v>0</v>
      </c>
    </row>
    <row r="1102">
      <c r="A1102" s="84" t="inlineStr">
        <is>
          <t>SNCF</t>
        </is>
      </c>
      <c r="B1102" s="7" t="inlineStr">
        <is>
          <t>sédentaire</t>
        </is>
      </c>
      <c r="C1102" s="88" t="n">
        <v>2015</v>
      </c>
      <c r="D1102" s="95" t="n">
        <v>59</v>
      </c>
      <c r="E1102" s="95" t="n">
        <v>62</v>
      </c>
      <c r="F1102" s="85" t="n">
        <v>172</v>
      </c>
      <c r="G1102" s="120" t="n">
        <v>0.0125</v>
      </c>
      <c r="H1102" s="120" t="n">
        <v>0.0125</v>
      </c>
      <c r="I1102" s="95" t="n">
        <v>4</v>
      </c>
      <c r="J1102" s="95" t="n">
        <v>63</v>
      </c>
      <c r="K1102" s="95" t="n">
        <v>0.955</v>
      </c>
      <c r="L1102" s="85" t="n">
        <v>0</v>
      </c>
    </row>
    <row r="1103">
      <c r="A1103" s="84" t="inlineStr">
        <is>
          <t>SNCF</t>
        </is>
      </c>
      <c r="B1103" s="7" t="inlineStr">
        <is>
          <t>sédentaire</t>
        </is>
      </c>
      <c r="C1103" s="88" t="n">
        <v>2016</v>
      </c>
      <c r="D1103" s="95" t="n">
        <v>59</v>
      </c>
      <c r="E1103" s="95" t="n">
        <v>62</v>
      </c>
      <c r="F1103" s="85" t="n">
        <v>172</v>
      </c>
      <c r="G1103" s="120" t="n">
        <v>0.0125</v>
      </c>
      <c r="H1103" s="120" t="n">
        <v>0.0125</v>
      </c>
      <c r="I1103" s="95" t="n">
        <v>4</v>
      </c>
      <c r="J1103" s="95" t="n">
        <v>63</v>
      </c>
      <c r="K1103" s="95" t="n">
        <v>0.955</v>
      </c>
      <c r="L1103" s="85" t="n">
        <v>0</v>
      </c>
    </row>
    <row r="1104">
      <c r="A1104" s="84" t="inlineStr">
        <is>
          <t>SNCF</t>
        </is>
      </c>
      <c r="B1104" s="7" t="inlineStr">
        <is>
          <t>sédentaire</t>
        </is>
      </c>
      <c r="C1104" s="88" t="n">
        <v>2017</v>
      </c>
      <c r="D1104" s="95" t="n">
        <v>59</v>
      </c>
      <c r="E1104" s="95" t="n">
        <v>62</v>
      </c>
      <c r="F1104" s="85" t="n">
        <v>172</v>
      </c>
      <c r="G1104" s="120" t="n">
        <v>0.0125</v>
      </c>
      <c r="H1104" s="120" t="n">
        <v>0.0125</v>
      </c>
      <c r="I1104" s="95" t="n">
        <v>4</v>
      </c>
      <c r="J1104" s="95" t="n">
        <v>63</v>
      </c>
      <c r="K1104" s="95" t="n">
        <v>0.955</v>
      </c>
      <c r="L1104" s="85" t="n">
        <v>0</v>
      </c>
    </row>
    <row r="1105">
      <c r="A1105" s="84" t="inlineStr">
        <is>
          <t>SNCF</t>
        </is>
      </c>
      <c r="B1105" s="7" t="inlineStr">
        <is>
          <t>sédentaire</t>
        </is>
      </c>
      <c r="C1105" s="88" t="n">
        <v>2018</v>
      </c>
      <c r="D1105" s="95" t="n">
        <v>59</v>
      </c>
      <c r="E1105" s="95" t="n">
        <v>62</v>
      </c>
      <c r="F1105" s="85" t="n">
        <v>172</v>
      </c>
      <c r="G1105" s="120" t="n">
        <v>0.0125</v>
      </c>
      <c r="H1105" s="120" t="n">
        <v>0.0125</v>
      </c>
      <c r="I1105" s="95" t="n">
        <v>4</v>
      </c>
      <c r="J1105" s="95" t="n">
        <v>63</v>
      </c>
      <c r="K1105" s="95" t="n">
        <v>0.955</v>
      </c>
      <c r="L1105" s="85" t="n">
        <v>0</v>
      </c>
    </row>
    <row r="1106">
      <c r="A1106" s="84" t="inlineStr">
        <is>
          <t>SNCF</t>
        </is>
      </c>
      <c r="B1106" s="7" t="inlineStr">
        <is>
          <t>sédentaire</t>
        </is>
      </c>
      <c r="C1106" s="88" t="n">
        <v>2019</v>
      </c>
      <c r="D1106" s="95" t="n">
        <v>59</v>
      </c>
      <c r="E1106" s="95" t="n">
        <v>62</v>
      </c>
      <c r="F1106" s="85" t="n">
        <v>172</v>
      </c>
      <c r="G1106" s="120" t="n">
        <v>0.0125</v>
      </c>
      <c r="H1106" s="120" t="n">
        <v>0.0125</v>
      </c>
      <c r="I1106" s="95" t="n">
        <v>4</v>
      </c>
      <c r="J1106" s="95" t="n">
        <v>63</v>
      </c>
      <c r="K1106" s="95" t="n">
        <v>0.955</v>
      </c>
      <c r="L1106" s="85" t="n">
        <v>0</v>
      </c>
    </row>
    <row r="1107">
      <c r="A1107" s="84" t="inlineStr">
        <is>
          <t>SNCF</t>
        </is>
      </c>
      <c r="B1107" s="7" t="inlineStr">
        <is>
          <t>sédentaire</t>
        </is>
      </c>
      <c r="C1107" s="88" t="n">
        <v>2020</v>
      </c>
      <c r="D1107" s="95" t="n">
        <v>59</v>
      </c>
      <c r="E1107" s="95" t="n">
        <v>62</v>
      </c>
      <c r="F1107" s="85" t="n">
        <v>172</v>
      </c>
      <c r="G1107" s="120" t="n">
        <v>0.0125</v>
      </c>
      <c r="H1107" s="120" t="n">
        <v>0.0125</v>
      </c>
      <c r="I1107" s="95" t="n">
        <v>4</v>
      </c>
      <c r="J1107" s="95" t="n">
        <v>63</v>
      </c>
      <c r="K1107" s="95" t="n">
        <v>0.955</v>
      </c>
      <c r="L1107" s="85" t="n">
        <v>0</v>
      </c>
    </row>
    <row r="1108">
      <c r="A1108" s="84" t="inlineStr">
        <is>
          <t>SNCF</t>
        </is>
      </c>
      <c r="B1108" s="7" t="inlineStr">
        <is>
          <t>sédentaire</t>
        </is>
      </c>
      <c r="C1108" s="88" t="n">
        <v>2021</v>
      </c>
      <c r="D1108" s="95" t="n">
        <v>59</v>
      </c>
      <c r="E1108" s="95" t="n">
        <v>62</v>
      </c>
      <c r="F1108" s="85" t="n">
        <v>172</v>
      </c>
      <c r="G1108" s="120" t="n">
        <v>0.0125</v>
      </c>
      <c r="H1108" s="120" t="n">
        <v>0.0125</v>
      </c>
      <c r="I1108" s="95" t="n">
        <v>4</v>
      </c>
      <c r="J1108" s="95" t="n">
        <v>63</v>
      </c>
      <c r="K1108" s="95" t="n">
        <v>0.955</v>
      </c>
      <c r="L1108" s="85" t="n">
        <v>0</v>
      </c>
    </row>
    <row r="1109">
      <c r="A1109" s="84" t="inlineStr">
        <is>
          <t>SNCF</t>
        </is>
      </c>
      <c r="B1109" s="7" t="inlineStr">
        <is>
          <t>sédentaire</t>
        </is>
      </c>
      <c r="C1109" s="88" t="n">
        <v>2022</v>
      </c>
      <c r="D1109" s="95" t="n">
        <v>59</v>
      </c>
      <c r="E1109" s="95" t="n">
        <v>62</v>
      </c>
      <c r="F1109" s="85" t="n">
        <v>172</v>
      </c>
      <c r="G1109" s="120" t="n">
        <v>0.0125</v>
      </c>
      <c r="H1109" s="120" t="n">
        <v>0.0125</v>
      </c>
      <c r="I1109" s="95" t="n">
        <v>4</v>
      </c>
      <c r="J1109" s="95" t="n">
        <v>63</v>
      </c>
      <c r="K1109" s="95" t="n">
        <v>0.955</v>
      </c>
      <c r="L1109" s="85" t="n">
        <v>0</v>
      </c>
    </row>
    <row r="1110">
      <c r="A1110" s="84" t="inlineStr">
        <is>
          <t>SNCF</t>
        </is>
      </c>
      <c r="B1110" s="7" t="inlineStr">
        <is>
          <t>sédentaire</t>
        </is>
      </c>
      <c r="C1110" s="88" t="n">
        <v>2023</v>
      </c>
      <c r="D1110" s="95" t="n">
        <v>59</v>
      </c>
      <c r="E1110" s="95" t="n">
        <v>62</v>
      </c>
      <c r="F1110" s="85" t="n">
        <v>172</v>
      </c>
      <c r="G1110" s="120" t="n">
        <v>0.0125</v>
      </c>
      <c r="H1110" s="120" t="n">
        <v>0.0125</v>
      </c>
      <c r="I1110" s="95" t="n">
        <v>4</v>
      </c>
      <c r="J1110" s="95" t="n">
        <v>63</v>
      </c>
      <c r="K1110" s="95" t="n">
        <v>0.955</v>
      </c>
      <c r="L1110" s="85" t="n">
        <v>0</v>
      </c>
    </row>
    <row r="1111">
      <c r="A1111" s="84" t="inlineStr">
        <is>
          <t>SNCF</t>
        </is>
      </c>
      <c r="B1111" s="7" t="inlineStr">
        <is>
          <t>sédentaire</t>
        </is>
      </c>
      <c r="C1111" s="88" t="n">
        <v>2024</v>
      </c>
      <c r="D1111" s="95" t="n">
        <v>59</v>
      </c>
      <c r="E1111" s="95" t="n">
        <v>62</v>
      </c>
      <c r="F1111" s="85" t="n">
        <v>172</v>
      </c>
      <c r="G1111" s="120" t="n">
        <v>0.0125</v>
      </c>
      <c r="H1111" s="120" t="n">
        <v>0.0125</v>
      </c>
      <c r="I1111" s="95" t="n">
        <v>4</v>
      </c>
      <c r="J1111" s="95" t="n">
        <v>63</v>
      </c>
      <c r="K1111" s="95" t="n">
        <v>0.955</v>
      </c>
      <c r="L1111" s="85" t="n">
        <v>0</v>
      </c>
    </row>
    <row r="1112">
      <c r="A1112" s="84" t="inlineStr">
        <is>
          <t>SNCF</t>
        </is>
      </c>
      <c r="B1112" s="7" t="inlineStr">
        <is>
          <t>sédentaire</t>
        </is>
      </c>
      <c r="C1112" s="88" t="n">
        <v>2025</v>
      </c>
      <c r="D1112" s="95" t="n">
        <v>59</v>
      </c>
      <c r="E1112" s="95" t="n">
        <v>62</v>
      </c>
      <c r="F1112" s="85" t="n">
        <v>172</v>
      </c>
      <c r="G1112" s="120" t="n">
        <v>0.0125</v>
      </c>
      <c r="H1112" s="120" t="n">
        <v>0.0125</v>
      </c>
      <c r="I1112" s="95" t="n">
        <v>4</v>
      </c>
      <c r="J1112" s="95" t="n">
        <v>63</v>
      </c>
      <c r="K1112" s="95" t="n">
        <v>0.955</v>
      </c>
      <c r="L1112" s="85" t="n">
        <v>0</v>
      </c>
    </row>
    <row r="1113">
      <c r="A1113" s="84" t="inlineStr">
        <is>
          <t>SNCF</t>
        </is>
      </c>
      <c r="B1113" s="7" t="inlineStr">
        <is>
          <t>actif</t>
        </is>
      </c>
      <c r="C1113" s="88" t="n">
        <v>1915</v>
      </c>
      <c r="D1113" s="95" t="n">
        <v>55</v>
      </c>
      <c r="E1113" s="95" t="n">
        <v>55</v>
      </c>
      <c r="F1113" s="85" t="n">
        <v>150</v>
      </c>
      <c r="G1113" s="120" t="n">
        <v>0</v>
      </c>
      <c r="H1113" s="120" t="n">
        <v>0</v>
      </c>
      <c r="I1113" s="95" t="n">
        <v>0.3</v>
      </c>
      <c r="J1113" s="95" t="n">
        <v>55.3</v>
      </c>
      <c r="K1113" s="95" t="n">
        <v>0.955</v>
      </c>
      <c r="L1113" s="85" t="n">
        <v>0</v>
      </c>
    </row>
    <row r="1114">
      <c r="A1114" s="84" t="inlineStr">
        <is>
          <t>SNCF</t>
        </is>
      </c>
      <c r="B1114" s="7" t="inlineStr">
        <is>
          <t>actif</t>
        </is>
      </c>
      <c r="C1114" s="88" t="n">
        <v>1916</v>
      </c>
      <c r="D1114" s="95" t="n">
        <v>55</v>
      </c>
      <c r="E1114" s="95" t="n">
        <v>55</v>
      </c>
      <c r="F1114" s="85" t="n">
        <v>150</v>
      </c>
      <c r="G1114" s="120" t="n">
        <v>0</v>
      </c>
      <c r="H1114" s="120" t="n">
        <v>0</v>
      </c>
      <c r="I1114" s="95" t="n">
        <v>0.3</v>
      </c>
      <c r="J1114" s="95" t="n">
        <v>55.3</v>
      </c>
      <c r="K1114" s="95" t="n">
        <v>0.955</v>
      </c>
      <c r="L1114" s="85" t="n">
        <v>0</v>
      </c>
    </row>
    <row r="1115">
      <c r="A1115" s="84" t="inlineStr">
        <is>
          <t>SNCF</t>
        </is>
      </c>
      <c r="B1115" s="7" t="inlineStr">
        <is>
          <t>actif</t>
        </is>
      </c>
      <c r="C1115" s="88" t="n">
        <v>1917</v>
      </c>
      <c r="D1115" s="95" t="n">
        <v>55</v>
      </c>
      <c r="E1115" s="95" t="n">
        <v>55</v>
      </c>
      <c r="F1115" s="85" t="n">
        <v>150</v>
      </c>
      <c r="G1115" s="120" t="n">
        <v>0</v>
      </c>
      <c r="H1115" s="120" t="n">
        <v>0</v>
      </c>
      <c r="I1115" s="95" t="n">
        <v>0.3</v>
      </c>
      <c r="J1115" s="95" t="n">
        <v>55.3</v>
      </c>
      <c r="K1115" s="95" t="n">
        <v>0.955</v>
      </c>
      <c r="L1115" s="85" t="n">
        <v>0</v>
      </c>
    </row>
    <row r="1116">
      <c r="A1116" s="84" t="inlineStr">
        <is>
          <t>SNCF</t>
        </is>
      </c>
      <c r="B1116" s="7" t="inlineStr">
        <is>
          <t>actif</t>
        </is>
      </c>
      <c r="C1116" s="88" t="n">
        <v>1918</v>
      </c>
      <c r="D1116" s="95" t="n">
        <v>55</v>
      </c>
      <c r="E1116" s="95" t="n">
        <v>55</v>
      </c>
      <c r="F1116" s="85" t="n">
        <v>150</v>
      </c>
      <c r="G1116" s="120" t="n">
        <v>0</v>
      </c>
      <c r="H1116" s="120" t="n">
        <v>0</v>
      </c>
      <c r="I1116" s="95" t="n">
        <v>0.3</v>
      </c>
      <c r="J1116" s="95" t="n">
        <v>55.3</v>
      </c>
      <c r="K1116" s="95" t="n">
        <v>0.955</v>
      </c>
      <c r="L1116" s="85" t="n">
        <v>0</v>
      </c>
    </row>
    <row r="1117">
      <c r="A1117" s="84" t="inlineStr">
        <is>
          <t>SNCF</t>
        </is>
      </c>
      <c r="B1117" s="7" t="inlineStr">
        <is>
          <t>actif</t>
        </is>
      </c>
      <c r="C1117" s="88" t="n">
        <v>1919</v>
      </c>
      <c r="D1117" s="95" t="n">
        <v>55</v>
      </c>
      <c r="E1117" s="95" t="n">
        <v>55</v>
      </c>
      <c r="F1117" s="85" t="n">
        <v>150</v>
      </c>
      <c r="G1117" s="120" t="n">
        <v>0</v>
      </c>
      <c r="H1117" s="120" t="n">
        <v>0</v>
      </c>
      <c r="I1117" s="95" t="n">
        <v>0.3</v>
      </c>
      <c r="J1117" s="95" t="n">
        <v>55.3</v>
      </c>
      <c r="K1117" s="95" t="n">
        <v>0.955</v>
      </c>
      <c r="L1117" s="85" t="n">
        <v>0</v>
      </c>
    </row>
    <row r="1118">
      <c r="A1118" s="84" t="inlineStr">
        <is>
          <t>SNCF</t>
        </is>
      </c>
      <c r="B1118" s="7" t="inlineStr">
        <is>
          <t>actif</t>
        </is>
      </c>
      <c r="C1118" s="88" t="n">
        <v>1920</v>
      </c>
      <c r="D1118" s="95" t="n">
        <v>55</v>
      </c>
      <c r="E1118" s="95" t="n">
        <v>55</v>
      </c>
      <c r="F1118" s="85" t="n">
        <v>150</v>
      </c>
      <c r="G1118" s="120" t="n">
        <v>0</v>
      </c>
      <c r="H1118" s="120" t="n">
        <v>0</v>
      </c>
      <c r="I1118" s="95" t="n">
        <v>0.3</v>
      </c>
      <c r="J1118" s="95" t="n">
        <v>55.3</v>
      </c>
      <c r="K1118" s="95" t="n">
        <v>0.955</v>
      </c>
      <c r="L1118" s="85" t="n">
        <v>0</v>
      </c>
    </row>
    <row r="1119">
      <c r="A1119" s="84" t="inlineStr">
        <is>
          <t>SNCF</t>
        </is>
      </c>
      <c r="B1119" s="7" t="inlineStr">
        <is>
          <t>actif</t>
        </is>
      </c>
      <c r="C1119" s="88" t="n">
        <v>1921</v>
      </c>
      <c r="D1119" s="95" t="n">
        <v>55</v>
      </c>
      <c r="E1119" s="95" t="n">
        <v>55</v>
      </c>
      <c r="F1119" s="85" t="n">
        <v>150</v>
      </c>
      <c r="G1119" s="120" t="n">
        <v>0</v>
      </c>
      <c r="H1119" s="120" t="n">
        <v>0</v>
      </c>
      <c r="I1119" s="95" t="n">
        <v>0.3</v>
      </c>
      <c r="J1119" s="95" t="n">
        <v>55.3</v>
      </c>
      <c r="K1119" s="95" t="n">
        <v>0.955</v>
      </c>
      <c r="L1119" s="85" t="n">
        <v>0</v>
      </c>
    </row>
    <row r="1120">
      <c r="A1120" s="84" t="inlineStr">
        <is>
          <t>SNCF</t>
        </is>
      </c>
      <c r="B1120" s="7" t="inlineStr">
        <is>
          <t>actif</t>
        </is>
      </c>
      <c r="C1120" s="88" t="n">
        <v>1922</v>
      </c>
      <c r="D1120" s="95" t="n">
        <v>55</v>
      </c>
      <c r="E1120" s="95" t="n">
        <v>55</v>
      </c>
      <c r="F1120" s="85" t="n">
        <v>150</v>
      </c>
      <c r="G1120" s="120" t="n">
        <v>0</v>
      </c>
      <c r="H1120" s="120" t="n">
        <v>0</v>
      </c>
      <c r="I1120" s="95" t="n">
        <v>0.3</v>
      </c>
      <c r="J1120" s="95" t="n">
        <v>55.3</v>
      </c>
      <c r="K1120" s="95" t="n">
        <v>0.955</v>
      </c>
      <c r="L1120" s="85" t="n">
        <v>0</v>
      </c>
    </row>
    <row r="1121">
      <c r="A1121" s="84" t="inlineStr">
        <is>
          <t>SNCF</t>
        </is>
      </c>
      <c r="B1121" s="7" t="inlineStr">
        <is>
          <t>actif</t>
        </is>
      </c>
      <c r="C1121" s="88" t="n">
        <v>1923</v>
      </c>
      <c r="D1121" s="95" t="n">
        <v>55</v>
      </c>
      <c r="E1121" s="95" t="n">
        <v>55</v>
      </c>
      <c r="F1121" s="85" t="n">
        <v>150</v>
      </c>
      <c r="G1121" s="120" t="n">
        <v>0</v>
      </c>
      <c r="H1121" s="120" t="n">
        <v>0</v>
      </c>
      <c r="I1121" s="95" t="n">
        <v>0.3</v>
      </c>
      <c r="J1121" s="95" t="n">
        <v>55.3</v>
      </c>
      <c r="K1121" s="95" t="n">
        <v>0.955</v>
      </c>
      <c r="L1121" s="85" t="n">
        <v>0</v>
      </c>
    </row>
    <row r="1122">
      <c r="A1122" s="84" t="inlineStr">
        <is>
          <t>SNCF</t>
        </is>
      </c>
      <c r="B1122" s="7" t="inlineStr">
        <is>
          <t>actif</t>
        </is>
      </c>
      <c r="C1122" s="88" t="n">
        <v>1924</v>
      </c>
      <c r="D1122" s="95" t="n">
        <v>55</v>
      </c>
      <c r="E1122" s="95" t="n">
        <v>55</v>
      </c>
      <c r="F1122" s="85" t="n">
        <v>150</v>
      </c>
      <c r="G1122" s="120" t="n">
        <v>0</v>
      </c>
      <c r="H1122" s="120" t="n">
        <v>0</v>
      </c>
      <c r="I1122" s="95" t="n">
        <v>0.3</v>
      </c>
      <c r="J1122" s="95" t="n">
        <v>55.3</v>
      </c>
      <c r="K1122" s="95" t="n">
        <v>0.955</v>
      </c>
      <c r="L1122" s="85" t="n">
        <v>0</v>
      </c>
    </row>
    <row r="1123">
      <c r="A1123" s="84" t="inlineStr">
        <is>
          <t>SNCF</t>
        </is>
      </c>
      <c r="B1123" s="7" t="inlineStr">
        <is>
          <t>actif</t>
        </is>
      </c>
      <c r="C1123" s="88" t="n">
        <v>1925</v>
      </c>
      <c r="D1123" s="95" t="n">
        <v>55</v>
      </c>
      <c r="E1123" s="95" t="n">
        <v>55</v>
      </c>
      <c r="F1123" s="85" t="n">
        <v>150</v>
      </c>
      <c r="G1123" s="120" t="n">
        <v>0</v>
      </c>
      <c r="H1123" s="120" t="n">
        <v>0</v>
      </c>
      <c r="I1123" s="95" t="n">
        <v>0.3</v>
      </c>
      <c r="J1123" s="95" t="n">
        <v>55.3</v>
      </c>
      <c r="K1123" s="95" t="n">
        <v>0.955</v>
      </c>
      <c r="L1123" s="85" t="n">
        <v>0</v>
      </c>
    </row>
    <row r="1124">
      <c r="A1124" s="84" t="inlineStr">
        <is>
          <t>SNCF</t>
        </is>
      </c>
      <c r="B1124" s="7" t="inlineStr">
        <is>
          <t>actif</t>
        </is>
      </c>
      <c r="C1124" s="88" t="n">
        <v>1926</v>
      </c>
      <c r="D1124" s="95" t="n">
        <v>55</v>
      </c>
      <c r="E1124" s="95" t="n">
        <v>55</v>
      </c>
      <c r="F1124" s="85" t="n">
        <v>150</v>
      </c>
      <c r="G1124" s="120" t="n">
        <v>0</v>
      </c>
      <c r="H1124" s="120" t="n">
        <v>0</v>
      </c>
      <c r="I1124" s="95" t="n">
        <v>0.3</v>
      </c>
      <c r="J1124" s="95" t="n">
        <v>55.3</v>
      </c>
      <c r="K1124" s="95" t="n">
        <v>0.955</v>
      </c>
      <c r="L1124" s="85" t="n">
        <v>0</v>
      </c>
    </row>
    <row r="1125">
      <c r="A1125" s="84" t="inlineStr">
        <is>
          <t>SNCF</t>
        </is>
      </c>
      <c r="B1125" s="7" t="inlineStr">
        <is>
          <t>actif</t>
        </is>
      </c>
      <c r="C1125" s="88" t="n">
        <v>1927</v>
      </c>
      <c r="D1125" s="95" t="n">
        <v>55</v>
      </c>
      <c r="E1125" s="95" t="n">
        <v>55</v>
      </c>
      <c r="F1125" s="85" t="n">
        <v>150</v>
      </c>
      <c r="G1125" s="120" t="n">
        <v>0</v>
      </c>
      <c r="H1125" s="120" t="n">
        <v>0</v>
      </c>
      <c r="I1125" s="95" t="n">
        <v>0.3</v>
      </c>
      <c r="J1125" s="95" t="n">
        <v>55.3</v>
      </c>
      <c r="K1125" s="95" t="n">
        <v>0.955</v>
      </c>
      <c r="L1125" s="85" t="n">
        <v>0</v>
      </c>
    </row>
    <row r="1126">
      <c r="A1126" s="84" t="inlineStr">
        <is>
          <t>SNCF</t>
        </is>
      </c>
      <c r="B1126" s="7" t="inlineStr">
        <is>
          <t>actif</t>
        </is>
      </c>
      <c r="C1126" s="88" t="n">
        <v>1928</v>
      </c>
      <c r="D1126" s="95" t="n">
        <v>55</v>
      </c>
      <c r="E1126" s="95" t="n">
        <v>55</v>
      </c>
      <c r="F1126" s="85" t="n">
        <v>150</v>
      </c>
      <c r="G1126" s="120" t="n">
        <v>0</v>
      </c>
      <c r="H1126" s="120" t="n">
        <v>0</v>
      </c>
      <c r="I1126" s="95" t="n">
        <v>0.3</v>
      </c>
      <c r="J1126" s="95" t="n">
        <v>55.3</v>
      </c>
      <c r="K1126" s="95" t="n">
        <v>0.955</v>
      </c>
      <c r="L1126" s="85" t="n">
        <v>0</v>
      </c>
    </row>
    <row r="1127">
      <c r="A1127" s="84" t="inlineStr">
        <is>
          <t>SNCF</t>
        </is>
      </c>
      <c r="B1127" s="7" t="inlineStr">
        <is>
          <t>actif</t>
        </is>
      </c>
      <c r="C1127" s="88" t="n">
        <v>1929</v>
      </c>
      <c r="D1127" s="95" t="n">
        <v>55</v>
      </c>
      <c r="E1127" s="95" t="n">
        <v>55</v>
      </c>
      <c r="F1127" s="85" t="n">
        <v>150</v>
      </c>
      <c r="G1127" s="120" t="n">
        <v>0</v>
      </c>
      <c r="H1127" s="120" t="n">
        <v>0</v>
      </c>
      <c r="I1127" s="95" t="n">
        <v>0.3</v>
      </c>
      <c r="J1127" s="95" t="n">
        <v>55.3</v>
      </c>
      <c r="K1127" s="95" t="n">
        <v>0.955</v>
      </c>
      <c r="L1127" s="85" t="n">
        <v>0</v>
      </c>
    </row>
    <row r="1128">
      <c r="A1128" s="84" t="inlineStr">
        <is>
          <t>SNCF</t>
        </is>
      </c>
      <c r="B1128" s="7" t="inlineStr">
        <is>
          <t>actif</t>
        </is>
      </c>
      <c r="C1128" s="88" t="n">
        <v>1930</v>
      </c>
      <c r="D1128" s="95" t="n">
        <v>55</v>
      </c>
      <c r="E1128" s="95" t="n">
        <v>55</v>
      </c>
      <c r="F1128" s="85" t="n">
        <v>150</v>
      </c>
      <c r="G1128" s="120" t="n">
        <v>0</v>
      </c>
      <c r="H1128" s="120" t="n">
        <v>0</v>
      </c>
      <c r="I1128" s="95" t="n">
        <v>0.3</v>
      </c>
      <c r="J1128" s="95" t="n">
        <v>55.3</v>
      </c>
      <c r="K1128" s="95" t="n">
        <v>0.955</v>
      </c>
      <c r="L1128" s="85" t="n">
        <v>0</v>
      </c>
    </row>
    <row r="1129">
      <c r="A1129" s="84" t="inlineStr">
        <is>
          <t>SNCF</t>
        </is>
      </c>
      <c r="B1129" s="7" t="inlineStr">
        <is>
          <t>actif</t>
        </is>
      </c>
      <c r="C1129" s="88" t="n">
        <v>1931</v>
      </c>
      <c r="D1129" s="95" t="n">
        <v>55</v>
      </c>
      <c r="E1129" s="95" t="n">
        <v>55</v>
      </c>
      <c r="F1129" s="85" t="n">
        <v>150</v>
      </c>
      <c r="G1129" s="120" t="n">
        <v>0</v>
      </c>
      <c r="H1129" s="120" t="n">
        <v>0</v>
      </c>
      <c r="I1129" s="95" t="n">
        <v>0.3</v>
      </c>
      <c r="J1129" s="95" t="n">
        <v>55.3</v>
      </c>
      <c r="K1129" s="95" t="n">
        <v>0.955</v>
      </c>
      <c r="L1129" s="85" t="n">
        <v>0</v>
      </c>
    </row>
    <row r="1130">
      <c r="A1130" s="84" t="inlineStr">
        <is>
          <t>SNCF</t>
        </is>
      </c>
      <c r="B1130" s="7" t="inlineStr">
        <is>
          <t>actif</t>
        </is>
      </c>
      <c r="C1130" s="88" t="n">
        <v>1932</v>
      </c>
      <c r="D1130" s="95" t="n">
        <v>55</v>
      </c>
      <c r="E1130" s="95" t="n">
        <v>55</v>
      </c>
      <c r="F1130" s="85" t="n">
        <v>150</v>
      </c>
      <c r="G1130" s="120" t="n">
        <v>0</v>
      </c>
      <c r="H1130" s="120" t="n">
        <v>0</v>
      </c>
      <c r="I1130" s="95" t="n">
        <v>0.3</v>
      </c>
      <c r="J1130" s="95" t="n">
        <v>55.3</v>
      </c>
      <c r="K1130" s="95" t="n">
        <v>0.955</v>
      </c>
      <c r="L1130" s="85" t="n">
        <v>0</v>
      </c>
    </row>
    <row r="1131">
      <c r="A1131" s="84" t="inlineStr">
        <is>
          <t>SNCF</t>
        </is>
      </c>
      <c r="B1131" s="7" t="inlineStr">
        <is>
          <t>actif</t>
        </is>
      </c>
      <c r="C1131" s="88" t="n">
        <v>1933</v>
      </c>
      <c r="D1131" s="95" t="n">
        <v>55</v>
      </c>
      <c r="E1131" s="95" t="n">
        <v>55</v>
      </c>
      <c r="F1131" s="85" t="n">
        <v>150</v>
      </c>
      <c r="G1131" s="120" t="n">
        <v>0</v>
      </c>
      <c r="H1131" s="120" t="n">
        <v>0</v>
      </c>
      <c r="I1131" s="95" t="n">
        <v>0.3</v>
      </c>
      <c r="J1131" s="95" t="n">
        <v>55.3</v>
      </c>
      <c r="K1131" s="95" t="n">
        <v>0.955</v>
      </c>
      <c r="L1131" s="85" t="n">
        <v>0</v>
      </c>
    </row>
    <row r="1132">
      <c r="A1132" s="84" t="inlineStr">
        <is>
          <t>SNCF</t>
        </is>
      </c>
      <c r="B1132" s="7" t="inlineStr">
        <is>
          <t>actif</t>
        </is>
      </c>
      <c r="C1132" s="88" t="n">
        <v>1934</v>
      </c>
      <c r="D1132" s="95" t="n">
        <v>55</v>
      </c>
      <c r="E1132" s="95" t="n">
        <v>55</v>
      </c>
      <c r="F1132" s="85" t="n">
        <v>150</v>
      </c>
      <c r="G1132" s="120" t="n">
        <v>0</v>
      </c>
      <c r="H1132" s="120" t="n">
        <v>0</v>
      </c>
      <c r="I1132" s="95" t="n">
        <v>0.3</v>
      </c>
      <c r="J1132" s="95" t="n">
        <v>55.3</v>
      </c>
      <c r="K1132" s="95" t="n">
        <v>0.955</v>
      </c>
      <c r="L1132" s="85" t="n">
        <v>0</v>
      </c>
    </row>
    <row r="1133">
      <c r="A1133" s="84" t="inlineStr">
        <is>
          <t>SNCF</t>
        </is>
      </c>
      <c r="B1133" s="7" t="inlineStr">
        <is>
          <t>actif</t>
        </is>
      </c>
      <c r="C1133" s="88" t="n">
        <v>1935</v>
      </c>
      <c r="D1133" s="95" t="n">
        <v>55</v>
      </c>
      <c r="E1133" s="95" t="n">
        <v>55</v>
      </c>
      <c r="F1133" s="85" t="n">
        <v>150</v>
      </c>
      <c r="G1133" s="120" t="n">
        <v>0</v>
      </c>
      <c r="H1133" s="120" t="n">
        <v>0</v>
      </c>
      <c r="I1133" s="95" t="n">
        <v>0.3</v>
      </c>
      <c r="J1133" s="95" t="n">
        <v>55.3</v>
      </c>
      <c r="K1133" s="95" t="n">
        <v>0.955</v>
      </c>
      <c r="L1133" s="85" t="n">
        <v>0</v>
      </c>
    </row>
    <row r="1134">
      <c r="A1134" s="84" t="inlineStr">
        <is>
          <t>SNCF</t>
        </is>
      </c>
      <c r="B1134" s="7" t="inlineStr">
        <is>
          <t>actif</t>
        </is>
      </c>
      <c r="C1134" s="88" t="n">
        <v>1936</v>
      </c>
      <c r="D1134" s="95" t="n">
        <v>55</v>
      </c>
      <c r="E1134" s="95" t="n">
        <v>55</v>
      </c>
      <c r="F1134" s="85" t="n">
        <v>150</v>
      </c>
      <c r="G1134" s="120" t="n">
        <v>0</v>
      </c>
      <c r="H1134" s="120" t="n">
        <v>0</v>
      </c>
      <c r="I1134" s="95" t="n">
        <v>0.3</v>
      </c>
      <c r="J1134" s="95" t="n">
        <v>55.3</v>
      </c>
      <c r="K1134" s="95" t="n">
        <v>0.955</v>
      </c>
      <c r="L1134" s="85" t="n">
        <v>0</v>
      </c>
    </row>
    <row r="1135">
      <c r="A1135" s="84" t="inlineStr">
        <is>
          <t>SNCF</t>
        </is>
      </c>
      <c r="B1135" s="7" t="inlineStr">
        <is>
          <t>actif</t>
        </is>
      </c>
      <c r="C1135" s="88" t="n">
        <v>1937</v>
      </c>
      <c r="D1135" s="95" t="n">
        <v>55</v>
      </c>
      <c r="E1135" s="95" t="n">
        <v>55</v>
      </c>
      <c r="F1135" s="85" t="n">
        <v>150</v>
      </c>
      <c r="G1135" s="120" t="n">
        <v>0</v>
      </c>
      <c r="H1135" s="120" t="n">
        <v>0</v>
      </c>
      <c r="I1135" s="95" t="n">
        <v>0.3</v>
      </c>
      <c r="J1135" s="95" t="n">
        <v>55.3</v>
      </c>
      <c r="K1135" s="95" t="n">
        <v>0.955</v>
      </c>
      <c r="L1135" s="85" t="n">
        <v>0</v>
      </c>
    </row>
    <row r="1136">
      <c r="A1136" s="84" t="inlineStr">
        <is>
          <t>SNCF</t>
        </is>
      </c>
      <c r="B1136" s="7" t="inlineStr">
        <is>
          <t>actif</t>
        </is>
      </c>
      <c r="C1136" s="88" t="n">
        <v>1938</v>
      </c>
      <c r="D1136" s="95" t="n">
        <v>55</v>
      </c>
      <c r="E1136" s="95" t="n">
        <v>55</v>
      </c>
      <c r="F1136" s="85" t="n">
        <v>150</v>
      </c>
      <c r="G1136" s="120" t="n">
        <v>0</v>
      </c>
      <c r="H1136" s="120" t="n">
        <v>0</v>
      </c>
      <c r="I1136" s="95" t="n">
        <v>0.3</v>
      </c>
      <c r="J1136" s="95" t="n">
        <v>55.3</v>
      </c>
      <c r="K1136" s="95" t="n">
        <v>0.955</v>
      </c>
      <c r="L1136" s="85" t="n">
        <v>0</v>
      </c>
    </row>
    <row r="1137">
      <c r="A1137" s="84" t="inlineStr">
        <is>
          <t>SNCF</t>
        </is>
      </c>
      <c r="B1137" s="7" t="inlineStr">
        <is>
          <t>actif</t>
        </is>
      </c>
      <c r="C1137" s="88" t="n">
        <v>1939</v>
      </c>
      <c r="D1137" s="95" t="n">
        <v>55</v>
      </c>
      <c r="E1137" s="95" t="n">
        <v>55</v>
      </c>
      <c r="F1137" s="85" t="n">
        <v>150</v>
      </c>
      <c r="G1137" s="120" t="n">
        <v>0</v>
      </c>
      <c r="H1137" s="120" t="n">
        <v>0</v>
      </c>
      <c r="I1137" s="95" t="n">
        <v>0.3</v>
      </c>
      <c r="J1137" s="95" t="n">
        <v>55.3</v>
      </c>
      <c r="K1137" s="95" t="n">
        <v>0.955</v>
      </c>
      <c r="L1137" s="85" t="n">
        <v>0</v>
      </c>
    </row>
    <row r="1138">
      <c r="A1138" s="84" t="inlineStr">
        <is>
          <t>SNCF</t>
        </is>
      </c>
      <c r="B1138" s="7" t="inlineStr">
        <is>
          <t>actif</t>
        </is>
      </c>
      <c r="C1138" s="88" t="n">
        <v>1940</v>
      </c>
      <c r="D1138" s="95" t="n">
        <v>55</v>
      </c>
      <c r="E1138" s="95" t="n">
        <v>55</v>
      </c>
      <c r="F1138" s="85" t="n">
        <v>150</v>
      </c>
      <c r="G1138" s="120" t="n">
        <v>0</v>
      </c>
      <c r="H1138" s="120" t="n">
        <v>0</v>
      </c>
      <c r="I1138" s="95" t="n">
        <v>0.3</v>
      </c>
      <c r="J1138" s="95" t="n">
        <v>55.3</v>
      </c>
      <c r="K1138" s="95" t="n">
        <v>0.955</v>
      </c>
      <c r="L1138" s="85" t="n">
        <v>0</v>
      </c>
    </row>
    <row r="1139">
      <c r="A1139" s="84" t="inlineStr">
        <is>
          <t>SNCF</t>
        </is>
      </c>
      <c r="B1139" s="7" t="inlineStr">
        <is>
          <t>actif</t>
        </is>
      </c>
      <c r="C1139" s="88" t="n">
        <v>1941</v>
      </c>
      <c r="D1139" s="95" t="n">
        <v>55</v>
      </c>
      <c r="E1139" s="95" t="n">
        <v>55</v>
      </c>
      <c r="F1139" s="85" t="n">
        <v>150</v>
      </c>
      <c r="G1139" s="120" t="n">
        <v>0</v>
      </c>
      <c r="H1139" s="120" t="n">
        <v>0</v>
      </c>
      <c r="I1139" s="95" t="n">
        <v>0.3</v>
      </c>
      <c r="J1139" s="95" t="n">
        <v>55.3</v>
      </c>
      <c r="K1139" s="95" t="n">
        <v>0.955</v>
      </c>
      <c r="L1139" s="85" t="n">
        <v>0</v>
      </c>
    </row>
    <row r="1140">
      <c r="A1140" s="84" t="inlineStr">
        <is>
          <t>SNCF</t>
        </is>
      </c>
      <c r="B1140" s="7" t="inlineStr">
        <is>
          <t>actif</t>
        </is>
      </c>
      <c r="C1140" s="88" t="n">
        <v>1942</v>
      </c>
      <c r="D1140" s="95" t="n">
        <v>55</v>
      </c>
      <c r="E1140" s="95" t="n">
        <v>55</v>
      </c>
      <c r="F1140" s="85" t="n">
        <v>150</v>
      </c>
      <c r="G1140" s="120" t="n">
        <v>0</v>
      </c>
      <c r="H1140" s="120" t="n">
        <v>0</v>
      </c>
      <c r="I1140" s="95" t="n">
        <v>0.3</v>
      </c>
      <c r="J1140" s="95" t="n">
        <v>55.3</v>
      </c>
      <c r="K1140" s="95" t="n">
        <v>0.955</v>
      </c>
      <c r="L1140" s="85" t="n">
        <v>0</v>
      </c>
    </row>
    <row r="1141">
      <c r="A1141" s="84" t="inlineStr">
        <is>
          <t>SNCF</t>
        </is>
      </c>
      <c r="B1141" s="7" t="inlineStr">
        <is>
          <t>actif</t>
        </is>
      </c>
      <c r="C1141" s="88" t="n">
        <v>1943</v>
      </c>
      <c r="D1141" s="95" t="n">
        <v>55</v>
      </c>
      <c r="E1141" s="95" t="n">
        <v>55</v>
      </c>
      <c r="F1141" s="85" t="n">
        <v>150</v>
      </c>
      <c r="G1141" s="120" t="n">
        <v>0</v>
      </c>
      <c r="H1141" s="120" t="n">
        <v>0</v>
      </c>
      <c r="I1141" s="95" t="n">
        <v>0.3</v>
      </c>
      <c r="J1141" s="95" t="n">
        <v>55.3</v>
      </c>
      <c r="K1141" s="95" t="n">
        <v>0.955</v>
      </c>
      <c r="L1141" s="85" t="n">
        <v>0</v>
      </c>
    </row>
    <row r="1142">
      <c r="A1142" s="84" t="inlineStr">
        <is>
          <t>SNCF</t>
        </is>
      </c>
      <c r="B1142" s="7" t="inlineStr">
        <is>
          <t>actif</t>
        </is>
      </c>
      <c r="C1142" s="88" t="n">
        <v>1944</v>
      </c>
      <c r="D1142" s="95" t="n">
        <v>55</v>
      </c>
      <c r="E1142" s="95" t="n">
        <v>55</v>
      </c>
      <c r="F1142" s="85" t="n">
        <v>150</v>
      </c>
      <c r="G1142" s="120" t="n">
        <v>0</v>
      </c>
      <c r="H1142" s="120" t="n">
        <v>0</v>
      </c>
      <c r="I1142" s="95" t="n">
        <v>0.3</v>
      </c>
      <c r="J1142" s="95" t="n">
        <v>55.3</v>
      </c>
      <c r="K1142" s="95" t="n">
        <v>0.955</v>
      </c>
      <c r="L1142" s="85" t="n">
        <v>0</v>
      </c>
    </row>
    <row r="1143">
      <c r="A1143" s="84" t="inlineStr">
        <is>
          <t>SNCF</t>
        </is>
      </c>
      <c r="B1143" s="7" t="inlineStr">
        <is>
          <t>actif</t>
        </is>
      </c>
      <c r="C1143" s="88" t="n">
        <v>1945</v>
      </c>
      <c r="D1143" s="95" t="n">
        <v>55</v>
      </c>
      <c r="E1143" s="95" t="n">
        <v>55</v>
      </c>
      <c r="F1143" s="85" t="n">
        <v>150</v>
      </c>
      <c r="G1143" s="120" t="n">
        <v>0</v>
      </c>
      <c r="H1143" s="120" t="n">
        <v>0</v>
      </c>
      <c r="I1143" s="95" t="n">
        <v>0.3</v>
      </c>
      <c r="J1143" s="95" t="n">
        <v>55.3</v>
      </c>
      <c r="K1143" s="95" t="n">
        <v>0.955</v>
      </c>
      <c r="L1143" s="85" t="n">
        <v>0</v>
      </c>
    </row>
    <row r="1144">
      <c r="A1144" s="84" t="inlineStr">
        <is>
          <t>SNCF</t>
        </is>
      </c>
      <c r="B1144" s="7" t="inlineStr">
        <is>
          <t>actif</t>
        </is>
      </c>
      <c r="C1144" s="88" t="n">
        <v>1946</v>
      </c>
      <c r="D1144" s="95" t="n">
        <v>55</v>
      </c>
      <c r="E1144" s="95" t="n">
        <v>55</v>
      </c>
      <c r="F1144" s="85" t="n">
        <v>150</v>
      </c>
      <c r="G1144" s="120" t="n">
        <v>0</v>
      </c>
      <c r="H1144" s="120" t="n">
        <v>0</v>
      </c>
      <c r="I1144" s="95" t="n">
        <v>0.55</v>
      </c>
      <c r="J1144" s="95" t="n">
        <v>55.55</v>
      </c>
      <c r="K1144" s="95" t="n">
        <v>0.955</v>
      </c>
      <c r="L1144" s="85" t="n">
        <v>0</v>
      </c>
    </row>
    <row r="1145">
      <c r="A1145" s="84" t="inlineStr">
        <is>
          <t>SNCF</t>
        </is>
      </c>
      <c r="B1145" s="7" t="inlineStr">
        <is>
          <t>actif</t>
        </is>
      </c>
      <c r="C1145" s="88" t="n">
        <v>1947</v>
      </c>
      <c r="D1145" s="95" t="n">
        <v>55</v>
      </c>
      <c r="E1145" s="95" t="n">
        <v>55</v>
      </c>
      <c r="F1145" s="85" t="n">
        <v>150</v>
      </c>
      <c r="G1145" s="120" t="n">
        <v>0</v>
      </c>
      <c r="H1145" s="120" t="n">
        <v>0</v>
      </c>
      <c r="I1145" s="95" t="n">
        <v>0.79</v>
      </c>
      <c r="J1145" s="95" t="n">
        <v>55.79</v>
      </c>
      <c r="K1145" s="95" t="n">
        <v>0.955</v>
      </c>
      <c r="L1145" s="85" t="n">
        <v>0</v>
      </c>
    </row>
    <row r="1146">
      <c r="A1146" s="84" t="inlineStr">
        <is>
          <t>SNCF</t>
        </is>
      </c>
      <c r="B1146" s="7" t="inlineStr">
        <is>
          <t>actif</t>
        </is>
      </c>
      <c r="C1146" s="88" t="n">
        <v>1948</v>
      </c>
      <c r="D1146" s="95" t="n">
        <v>55</v>
      </c>
      <c r="E1146" s="95" t="n">
        <v>55</v>
      </c>
      <c r="F1146" s="85" t="n">
        <v>150</v>
      </c>
      <c r="G1146" s="120" t="n">
        <v>0</v>
      </c>
      <c r="H1146" s="120" t="n">
        <v>0</v>
      </c>
      <c r="I1146" s="95" t="n">
        <v>1.04</v>
      </c>
      <c r="J1146" s="95" t="n">
        <v>56.04</v>
      </c>
      <c r="K1146" s="95" t="n">
        <v>0.955</v>
      </c>
      <c r="L1146" s="85" t="n">
        <v>0</v>
      </c>
    </row>
    <row r="1147">
      <c r="A1147" s="84" t="inlineStr">
        <is>
          <t>SNCF</t>
        </is>
      </c>
      <c r="B1147" s="7" t="inlineStr">
        <is>
          <t>actif</t>
        </is>
      </c>
      <c r="C1147" s="88" t="n">
        <v>1949</v>
      </c>
      <c r="D1147" s="95" t="n">
        <v>55</v>
      </c>
      <c r="E1147" s="95" t="n">
        <v>55</v>
      </c>
      <c r="F1147" s="85" t="n">
        <v>150</v>
      </c>
      <c r="G1147" s="120" t="n">
        <v>0</v>
      </c>
      <c r="H1147" s="120" t="n">
        <v>0</v>
      </c>
      <c r="I1147" s="95" t="n">
        <v>1.29</v>
      </c>
      <c r="J1147" s="95" t="n">
        <v>56.29</v>
      </c>
      <c r="K1147" s="95" t="n">
        <v>0.955</v>
      </c>
      <c r="L1147" s="85" t="n">
        <v>0</v>
      </c>
    </row>
    <row r="1148">
      <c r="A1148" s="84" t="inlineStr">
        <is>
          <t>SNCF</t>
        </is>
      </c>
      <c r="B1148" s="7" t="inlineStr">
        <is>
          <t>actif</t>
        </is>
      </c>
      <c r="C1148" s="88" t="n">
        <v>1950</v>
      </c>
      <c r="D1148" s="95" t="n">
        <v>55</v>
      </c>
      <c r="E1148" s="95" t="n">
        <v>55</v>
      </c>
      <c r="F1148" s="85" t="n">
        <v>150</v>
      </c>
      <c r="G1148" s="120" t="n">
        <v>0</v>
      </c>
      <c r="H1148" s="120" t="n">
        <v>0</v>
      </c>
      <c r="I1148" s="95" t="n">
        <v>1.53</v>
      </c>
      <c r="J1148" s="95" t="n">
        <v>56.53</v>
      </c>
      <c r="K1148" s="95" t="n">
        <v>0.955</v>
      </c>
      <c r="L1148" s="85" t="n">
        <v>0</v>
      </c>
    </row>
    <row r="1149">
      <c r="A1149" s="84" t="inlineStr">
        <is>
          <t>SNCF</t>
        </is>
      </c>
      <c r="B1149" s="7" t="inlineStr">
        <is>
          <t>actif</t>
        </is>
      </c>
      <c r="C1149" s="88" t="n">
        <v>1951</v>
      </c>
      <c r="D1149" s="95" t="n">
        <v>55</v>
      </c>
      <c r="E1149" s="95" t="n">
        <v>55</v>
      </c>
      <c r="F1149" s="85" t="n">
        <v>150</v>
      </c>
      <c r="G1149" s="120" t="n">
        <v>0</v>
      </c>
      <c r="H1149" s="120" t="n">
        <v>0</v>
      </c>
      <c r="I1149" s="95" t="n">
        <v>1.78</v>
      </c>
      <c r="J1149" s="95" t="n">
        <v>56.78</v>
      </c>
      <c r="K1149" s="95" t="n">
        <v>0.955</v>
      </c>
      <c r="L1149" s="85" t="n">
        <v>0</v>
      </c>
    </row>
    <row r="1150">
      <c r="A1150" s="84" t="inlineStr">
        <is>
          <t>SNCF</t>
        </is>
      </c>
      <c r="B1150" s="7" t="inlineStr">
        <is>
          <t>actif</t>
        </is>
      </c>
      <c r="C1150" s="88" t="n">
        <v>1952</v>
      </c>
      <c r="D1150" s="95" t="n">
        <v>55</v>
      </c>
      <c r="E1150" s="95" t="n">
        <v>55</v>
      </c>
      <c r="F1150" s="85" t="n">
        <v>150</v>
      </c>
      <c r="G1150" s="120" t="n">
        <v>0</v>
      </c>
      <c r="H1150" s="120" t="n">
        <v>0</v>
      </c>
      <c r="I1150" s="95" t="n">
        <v>2.03</v>
      </c>
      <c r="J1150" s="95" t="n">
        <v>57</v>
      </c>
      <c r="K1150" s="95" t="n">
        <v>0.955</v>
      </c>
      <c r="L1150" s="85" t="n">
        <v>0</v>
      </c>
    </row>
    <row r="1151">
      <c r="A1151" s="84" t="inlineStr">
        <is>
          <t>SNCF</t>
        </is>
      </c>
      <c r="B1151" s="7" t="inlineStr">
        <is>
          <t>actif</t>
        </is>
      </c>
      <c r="C1151" s="88" t="n">
        <v>1953</v>
      </c>
      <c r="D1151" s="95" t="n">
        <v>55</v>
      </c>
      <c r="E1151" s="95" t="n">
        <v>55</v>
      </c>
      <c r="F1151" s="85" t="n">
        <v>151</v>
      </c>
      <c r="G1151" s="120" t="n">
        <v>0</v>
      </c>
      <c r="H1151" s="120" t="n">
        <v>0.0075</v>
      </c>
      <c r="I1151" s="95" t="n">
        <v>2.27</v>
      </c>
      <c r="J1151" s="95" t="n">
        <v>57</v>
      </c>
      <c r="K1151" s="95" t="n">
        <v>0.955</v>
      </c>
      <c r="L1151" s="85" t="n">
        <v>0</v>
      </c>
    </row>
    <row r="1152">
      <c r="A1152" s="84" t="inlineStr">
        <is>
          <t>SNCF</t>
        </is>
      </c>
      <c r="B1152" s="7" t="inlineStr">
        <is>
          <t>actif</t>
        </is>
      </c>
      <c r="C1152" s="88" t="n">
        <v>1954</v>
      </c>
      <c r="D1152" s="95" t="n">
        <v>55</v>
      </c>
      <c r="E1152" s="95" t="n">
        <v>55</v>
      </c>
      <c r="F1152" s="85" t="n">
        <v>153</v>
      </c>
      <c r="G1152" s="120" t="n">
        <v>0</v>
      </c>
      <c r="H1152" s="120" t="n">
        <v>0.0125</v>
      </c>
      <c r="I1152" s="95" t="n">
        <v>2.52</v>
      </c>
      <c r="J1152" s="95" t="n">
        <v>57</v>
      </c>
      <c r="K1152" s="95" t="n">
        <v>0.955</v>
      </c>
      <c r="L1152" s="85" t="n">
        <v>0</v>
      </c>
    </row>
    <row r="1153">
      <c r="A1153" s="84" t="inlineStr">
        <is>
          <t>SNCF</t>
        </is>
      </c>
      <c r="B1153" s="7" t="inlineStr">
        <is>
          <t>actif</t>
        </is>
      </c>
      <c r="C1153" s="88" t="n">
        <v>1955</v>
      </c>
      <c r="D1153" s="95" t="n">
        <v>55</v>
      </c>
      <c r="E1153" s="95" t="n">
        <v>56</v>
      </c>
      <c r="F1153" s="85" t="n">
        <v>155</v>
      </c>
      <c r="G1153" s="120" t="n">
        <v>0.00125</v>
      </c>
      <c r="H1153" s="120" t="n">
        <v>0.0125</v>
      </c>
      <c r="I1153" s="95" t="n">
        <v>2.77</v>
      </c>
      <c r="J1153" s="95" t="n">
        <v>57.77</v>
      </c>
      <c r="K1153" s="95" t="n">
        <v>0.955</v>
      </c>
      <c r="L1153" s="85" t="n">
        <v>0</v>
      </c>
    </row>
    <row r="1154">
      <c r="A1154" s="84" t="inlineStr">
        <is>
          <t>SNCF</t>
        </is>
      </c>
      <c r="B1154" s="7" t="inlineStr">
        <is>
          <t>actif</t>
        </is>
      </c>
      <c r="C1154" s="88" t="n">
        <v>1956</v>
      </c>
      <c r="D1154" s="95" t="n">
        <v>55</v>
      </c>
      <c r="E1154" s="95" t="n">
        <v>56</v>
      </c>
      <c r="F1154" s="85" t="n">
        <v>157</v>
      </c>
      <c r="G1154" s="120" t="n">
        <v>0.0025</v>
      </c>
      <c r="H1154" s="120" t="n">
        <v>0.0125</v>
      </c>
      <c r="I1154" s="95" t="n">
        <v>3.01</v>
      </c>
      <c r="J1154" s="95" t="n">
        <v>58</v>
      </c>
      <c r="K1154" s="95" t="n">
        <v>0.955</v>
      </c>
      <c r="L1154" s="85" t="n">
        <v>0</v>
      </c>
    </row>
    <row r="1155">
      <c r="A1155" s="84" t="inlineStr">
        <is>
          <t>SNCF</t>
        </is>
      </c>
      <c r="B1155" s="7" t="inlineStr">
        <is>
          <t>actif</t>
        </is>
      </c>
      <c r="C1155" s="88" t="n">
        <v>1957</v>
      </c>
      <c r="D1155" s="95" t="n">
        <v>55</v>
      </c>
      <c r="E1155" s="95" t="n">
        <v>56.5</v>
      </c>
      <c r="F1155" s="85" t="n">
        <v>159</v>
      </c>
      <c r="G1155" s="120" t="n">
        <v>0.00375</v>
      </c>
      <c r="H1155" s="120" t="n">
        <v>0.0125</v>
      </c>
      <c r="I1155" s="95" t="n">
        <v>3.26</v>
      </c>
      <c r="J1155" s="95" t="n">
        <v>58.26</v>
      </c>
      <c r="K1155" s="95" t="n">
        <v>0.955</v>
      </c>
      <c r="L1155" s="85" t="n">
        <v>0</v>
      </c>
    </row>
    <row r="1156">
      <c r="A1156" s="84" t="inlineStr">
        <is>
          <t>SNCF</t>
        </is>
      </c>
      <c r="B1156" s="7" t="inlineStr">
        <is>
          <t>actif</t>
        </is>
      </c>
      <c r="C1156" s="88" t="n">
        <v>1958</v>
      </c>
      <c r="D1156" s="95" t="n">
        <v>55</v>
      </c>
      <c r="E1156" s="95" t="n">
        <v>57</v>
      </c>
      <c r="F1156" s="85" t="n">
        <v>161</v>
      </c>
      <c r="G1156" s="120" t="n">
        <v>0.005</v>
      </c>
      <c r="H1156" s="120" t="n">
        <v>0.0125</v>
      </c>
      <c r="I1156" s="95" t="n">
        <v>3.51</v>
      </c>
      <c r="J1156" s="95" t="n">
        <v>58.51</v>
      </c>
      <c r="K1156" s="95" t="n">
        <v>0.955</v>
      </c>
      <c r="L1156" s="85" t="n">
        <v>0</v>
      </c>
    </row>
    <row r="1157">
      <c r="A1157" s="84" t="inlineStr">
        <is>
          <t>SNCF</t>
        </is>
      </c>
      <c r="B1157" s="7" t="inlineStr">
        <is>
          <t>actif</t>
        </is>
      </c>
      <c r="C1157" s="88" t="n">
        <v>1959</v>
      </c>
      <c r="D1157" s="95" t="n">
        <v>55</v>
      </c>
      <c r="E1157" s="95" t="n">
        <v>57.25</v>
      </c>
      <c r="F1157" s="85" t="n">
        <v>162</v>
      </c>
      <c r="G1157" s="120" t="n">
        <v>0.00625</v>
      </c>
      <c r="H1157" s="120" t="n">
        <v>0.0125</v>
      </c>
      <c r="I1157" s="95" t="n">
        <v>3.75</v>
      </c>
      <c r="J1157" s="95" t="n">
        <v>58.75</v>
      </c>
      <c r="K1157" s="95" t="n">
        <v>0.955</v>
      </c>
      <c r="L1157" s="85" t="n">
        <v>0</v>
      </c>
    </row>
    <row r="1158">
      <c r="A1158" s="84" t="inlineStr">
        <is>
          <t>SNCF</t>
        </is>
      </c>
      <c r="B1158" s="7" t="inlineStr">
        <is>
          <t>actif</t>
        </is>
      </c>
      <c r="C1158" s="88" t="n">
        <v>1960</v>
      </c>
      <c r="D1158" s="95" t="n">
        <v>55</v>
      </c>
      <c r="E1158" s="95" t="n">
        <v>57.5</v>
      </c>
      <c r="F1158" s="85" t="n">
        <v>163</v>
      </c>
      <c r="G1158" s="120" t="n">
        <v>0.0075</v>
      </c>
      <c r="H1158" s="120" t="n">
        <v>0.0125</v>
      </c>
      <c r="I1158" s="95" t="n">
        <v>4</v>
      </c>
      <c r="J1158" s="95" t="n">
        <v>59</v>
      </c>
      <c r="K1158" s="95" t="n">
        <v>0.955</v>
      </c>
      <c r="L1158" s="85" t="n">
        <v>0</v>
      </c>
    </row>
    <row r="1159">
      <c r="A1159" s="84" t="inlineStr">
        <is>
          <t>SNCF</t>
        </is>
      </c>
      <c r="B1159" s="7" t="inlineStr">
        <is>
          <t>actif</t>
        </is>
      </c>
      <c r="C1159" s="88" t="n">
        <v>1961</v>
      </c>
      <c r="D1159" s="95" t="n">
        <v>55</v>
      </c>
      <c r="E1159" s="95" t="n">
        <v>57.75</v>
      </c>
      <c r="F1159" s="85" t="n">
        <v>164</v>
      </c>
      <c r="G1159" s="120" t="n">
        <v>0.008750000000000001</v>
      </c>
      <c r="H1159" s="120" t="n">
        <v>0.0125</v>
      </c>
      <c r="I1159" s="95" t="n">
        <v>4</v>
      </c>
      <c r="J1159" s="95" t="n">
        <v>59</v>
      </c>
      <c r="K1159" s="95" t="n">
        <v>0.955</v>
      </c>
      <c r="L1159" s="85" t="n">
        <v>0</v>
      </c>
    </row>
    <row r="1160">
      <c r="A1160" s="84" t="inlineStr">
        <is>
          <t>SNCF</t>
        </is>
      </c>
      <c r="B1160" s="7" t="inlineStr">
        <is>
          <t>actif</t>
        </is>
      </c>
      <c r="C1160" s="88" t="n">
        <v>1962</v>
      </c>
      <c r="D1160" s="95" t="n">
        <v>55.3333</v>
      </c>
      <c r="E1160" s="95" t="n">
        <v>58.33</v>
      </c>
      <c r="F1160" s="85" t="n">
        <v>165</v>
      </c>
      <c r="G1160" s="120" t="n">
        <v>0.01</v>
      </c>
      <c r="H1160" s="120" t="n">
        <v>0.0125</v>
      </c>
      <c r="I1160" s="95" t="n">
        <v>4</v>
      </c>
      <c r="J1160" s="95" t="n">
        <v>59.33</v>
      </c>
      <c r="K1160" s="95" t="n">
        <v>0.955</v>
      </c>
      <c r="L1160" s="85" t="n">
        <v>0</v>
      </c>
    </row>
    <row r="1161">
      <c r="A1161" s="84" t="inlineStr">
        <is>
          <t>SNCF</t>
        </is>
      </c>
      <c r="B1161" s="7" t="inlineStr">
        <is>
          <t>actif</t>
        </is>
      </c>
      <c r="C1161" s="88" t="n">
        <v>1963</v>
      </c>
      <c r="D1161" s="95" t="n">
        <v>55.6667</v>
      </c>
      <c r="E1161" s="95" t="n">
        <v>59.17</v>
      </c>
      <c r="F1161" s="85" t="n">
        <v>166</v>
      </c>
      <c r="G1161" s="120" t="n">
        <v>0.01125</v>
      </c>
      <c r="H1161" s="120" t="n">
        <v>0.0125</v>
      </c>
      <c r="I1161" s="95" t="n">
        <v>4</v>
      </c>
      <c r="J1161" s="95" t="n">
        <v>59.67</v>
      </c>
      <c r="K1161" s="95" t="n">
        <v>0.955</v>
      </c>
      <c r="L1161" s="85" t="n">
        <v>0</v>
      </c>
    </row>
    <row r="1162">
      <c r="A1162" s="84" t="inlineStr">
        <is>
          <t>SNCF</t>
        </is>
      </c>
      <c r="B1162" s="7" t="inlineStr">
        <is>
          <t>actif</t>
        </is>
      </c>
      <c r="C1162" s="88" t="n">
        <v>1964</v>
      </c>
      <c r="D1162" s="95" t="n">
        <v>56</v>
      </c>
      <c r="E1162" s="95" t="n">
        <v>59.75</v>
      </c>
      <c r="F1162" s="85" t="n">
        <v>167</v>
      </c>
      <c r="G1162" s="120" t="n">
        <v>0.0125</v>
      </c>
      <c r="H1162" s="120" t="n">
        <v>0.0125</v>
      </c>
      <c r="I1162" s="95" t="n">
        <v>4</v>
      </c>
      <c r="J1162" s="95" t="n">
        <v>60</v>
      </c>
      <c r="K1162" s="95" t="n">
        <v>0.955</v>
      </c>
      <c r="L1162" s="85" t="n">
        <v>0</v>
      </c>
    </row>
    <row r="1163">
      <c r="A1163" s="84" t="inlineStr">
        <is>
          <t>SNCF</t>
        </is>
      </c>
      <c r="B1163" s="7" t="inlineStr">
        <is>
          <t>actif</t>
        </is>
      </c>
      <c r="C1163" s="88" t="n">
        <v>1965</v>
      </c>
      <c r="D1163" s="95" t="n">
        <v>56.3333</v>
      </c>
      <c r="E1163" s="95" t="n">
        <v>60.31</v>
      </c>
      <c r="F1163" s="85" t="n">
        <v>167</v>
      </c>
      <c r="G1163" s="120" t="n">
        <v>0.0125</v>
      </c>
      <c r="H1163" s="120" t="n">
        <v>0.0125</v>
      </c>
      <c r="I1163" s="95" t="n">
        <v>4</v>
      </c>
      <c r="J1163" s="95" t="n">
        <v>60.33</v>
      </c>
      <c r="K1163" s="95" t="n">
        <v>0.955</v>
      </c>
      <c r="L1163" s="85" t="n">
        <v>0</v>
      </c>
    </row>
    <row r="1164">
      <c r="A1164" s="84" t="inlineStr">
        <is>
          <t>SNCF</t>
        </is>
      </c>
      <c r="B1164" s="7" t="inlineStr">
        <is>
          <t>actif</t>
        </is>
      </c>
      <c r="C1164" s="88" t="n">
        <v>1966</v>
      </c>
      <c r="D1164" s="95" t="n">
        <v>56.6667</v>
      </c>
      <c r="E1164" s="95" t="n">
        <v>60.86</v>
      </c>
      <c r="F1164" s="85" t="n">
        <v>168</v>
      </c>
      <c r="G1164" s="120" t="n">
        <v>0.0125</v>
      </c>
      <c r="H1164" s="120" t="n">
        <v>0.0125</v>
      </c>
      <c r="I1164" s="95" t="n">
        <v>4</v>
      </c>
      <c r="J1164" s="95" t="n">
        <v>60.67</v>
      </c>
      <c r="K1164" s="95" t="n">
        <v>0.955</v>
      </c>
      <c r="L1164" s="85" t="n">
        <v>0</v>
      </c>
    </row>
    <row r="1165">
      <c r="A1165" s="84" t="inlineStr">
        <is>
          <t>SNCF</t>
        </is>
      </c>
      <c r="B1165" s="7" t="inlineStr">
        <is>
          <t>actif</t>
        </is>
      </c>
      <c r="C1165" s="88" t="n">
        <v>1967</v>
      </c>
      <c r="D1165" s="95" t="n">
        <v>57</v>
      </c>
      <c r="E1165" s="95" t="n">
        <v>61.42</v>
      </c>
      <c r="F1165" s="85" t="n">
        <v>168</v>
      </c>
      <c r="G1165" s="120" t="n">
        <v>0.0125</v>
      </c>
      <c r="H1165" s="120" t="n">
        <v>0.0125</v>
      </c>
      <c r="I1165" s="95" t="n">
        <v>4</v>
      </c>
      <c r="J1165" s="95" t="n">
        <v>61</v>
      </c>
      <c r="K1165" s="95" t="n">
        <v>0.955</v>
      </c>
      <c r="L1165" s="85" t="n">
        <v>0</v>
      </c>
    </row>
    <row r="1166">
      <c r="A1166" s="84" t="inlineStr">
        <is>
          <t>SNCF</t>
        </is>
      </c>
      <c r="B1166" s="7" t="inlineStr">
        <is>
          <t>actif</t>
        </is>
      </c>
      <c r="C1166" s="88" t="n">
        <v>1968</v>
      </c>
      <c r="D1166" s="95" t="n">
        <v>57.25</v>
      </c>
      <c r="E1166" s="95" t="n">
        <v>61.88</v>
      </c>
      <c r="F1166" s="85" t="n">
        <v>169</v>
      </c>
      <c r="G1166" s="120" t="n">
        <v>0.0125</v>
      </c>
      <c r="H1166" s="120" t="n">
        <v>0.0125</v>
      </c>
      <c r="I1166" s="95" t="n">
        <v>4</v>
      </c>
      <c r="J1166" s="95" t="n">
        <v>61.25</v>
      </c>
      <c r="K1166" s="95" t="n">
        <v>0.955</v>
      </c>
      <c r="L1166" s="85" t="n">
        <v>0</v>
      </c>
    </row>
    <row r="1167">
      <c r="A1167" s="84" t="inlineStr">
        <is>
          <t>SNCF</t>
        </is>
      </c>
      <c r="B1167" s="7" t="inlineStr">
        <is>
          <t>actif</t>
        </is>
      </c>
      <c r="C1167" s="88" t="n">
        <v>1969</v>
      </c>
      <c r="D1167" s="95" t="n">
        <v>57.5</v>
      </c>
      <c r="E1167" s="95" t="n">
        <v>62</v>
      </c>
      <c r="F1167" s="85" t="n">
        <v>170</v>
      </c>
      <c r="G1167" s="120" t="n">
        <v>0.0125</v>
      </c>
      <c r="H1167" s="120" t="n">
        <v>0.0125</v>
      </c>
      <c r="I1167" s="95" t="n">
        <v>4</v>
      </c>
      <c r="J1167" s="95" t="n">
        <v>61.5</v>
      </c>
      <c r="K1167" s="95" t="n">
        <v>0.955</v>
      </c>
      <c r="L1167" s="85" t="n">
        <v>0</v>
      </c>
    </row>
    <row r="1168">
      <c r="A1168" s="84" t="inlineStr">
        <is>
          <t>SNCF</t>
        </is>
      </c>
      <c r="B1168" s="7" t="inlineStr">
        <is>
          <t>actif</t>
        </is>
      </c>
      <c r="C1168" s="88" t="n">
        <v>1970</v>
      </c>
      <c r="D1168" s="95" t="n">
        <v>57.75</v>
      </c>
      <c r="E1168" s="95" t="n">
        <v>62</v>
      </c>
      <c r="F1168" s="85" t="n">
        <v>170</v>
      </c>
      <c r="G1168" s="120" t="n">
        <v>0.0125</v>
      </c>
      <c r="H1168" s="120" t="n">
        <v>0.0125</v>
      </c>
      <c r="I1168" s="95" t="n">
        <v>4</v>
      </c>
      <c r="J1168" s="95" t="n">
        <v>61.75</v>
      </c>
      <c r="K1168" s="95" t="n">
        <v>0.955</v>
      </c>
      <c r="L1168" s="85" t="n">
        <v>0</v>
      </c>
    </row>
    <row r="1169">
      <c r="A1169" s="84" t="inlineStr">
        <is>
          <t>SNCF</t>
        </is>
      </c>
      <c r="B1169" s="7" t="inlineStr">
        <is>
          <t>actif</t>
        </is>
      </c>
      <c r="C1169" s="88" t="n">
        <v>1971</v>
      </c>
      <c r="D1169" s="95" t="n">
        <v>58</v>
      </c>
      <c r="E1169" s="95" t="n">
        <v>62</v>
      </c>
      <c r="F1169" s="85" t="n">
        <v>171</v>
      </c>
      <c r="G1169" s="120" t="n">
        <v>0.0125</v>
      </c>
      <c r="H1169" s="120" t="n">
        <v>0.0125</v>
      </c>
      <c r="I1169" s="95" t="n">
        <v>4</v>
      </c>
      <c r="J1169" s="95" t="n">
        <v>62</v>
      </c>
      <c r="K1169" s="95" t="n">
        <v>0.955</v>
      </c>
      <c r="L1169" s="85" t="n">
        <v>0</v>
      </c>
    </row>
    <row r="1170">
      <c r="A1170" s="84" t="inlineStr">
        <is>
          <t>SNCF</t>
        </is>
      </c>
      <c r="B1170" s="7" t="inlineStr">
        <is>
          <t>actif</t>
        </is>
      </c>
      <c r="C1170" s="88" t="n">
        <v>1972</v>
      </c>
      <c r="D1170" s="95" t="n">
        <v>58.25</v>
      </c>
      <c r="E1170" s="95" t="n">
        <v>62</v>
      </c>
      <c r="F1170" s="85" t="n">
        <v>171</v>
      </c>
      <c r="G1170" s="120" t="n">
        <v>0.0125</v>
      </c>
      <c r="H1170" s="120" t="n">
        <v>0.0125</v>
      </c>
      <c r="I1170" s="95" t="n">
        <v>4</v>
      </c>
      <c r="J1170" s="95" t="n">
        <v>62.25</v>
      </c>
      <c r="K1170" s="95" t="n">
        <v>0.955</v>
      </c>
      <c r="L1170" s="85" t="n">
        <v>0</v>
      </c>
    </row>
    <row r="1171">
      <c r="A1171" s="84" t="inlineStr">
        <is>
          <t>SNCF</t>
        </is>
      </c>
      <c r="B1171" s="7" t="inlineStr">
        <is>
          <t>actif</t>
        </is>
      </c>
      <c r="C1171" s="88" t="n">
        <v>1973</v>
      </c>
      <c r="D1171" s="95" t="n">
        <v>58.5</v>
      </c>
      <c r="E1171" s="95" t="n">
        <v>62</v>
      </c>
      <c r="F1171" s="85" t="n">
        <v>172</v>
      </c>
      <c r="G1171" s="120" t="n">
        <v>0.0125</v>
      </c>
      <c r="H1171" s="120" t="n">
        <v>0.0125</v>
      </c>
      <c r="I1171" s="95" t="n">
        <v>4</v>
      </c>
      <c r="J1171" s="95" t="n">
        <v>62.5</v>
      </c>
      <c r="K1171" s="95" t="n">
        <v>0.955</v>
      </c>
      <c r="L1171" s="85" t="n">
        <v>0</v>
      </c>
    </row>
    <row r="1172">
      <c r="A1172" s="84" t="inlineStr">
        <is>
          <t>SNCF</t>
        </is>
      </c>
      <c r="B1172" s="7" t="inlineStr">
        <is>
          <t>actif</t>
        </is>
      </c>
      <c r="C1172" s="88" t="n">
        <v>1974</v>
      </c>
      <c r="D1172" s="95" t="n">
        <v>58.75</v>
      </c>
      <c r="E1172" s="95" t="n">
        <v>62</v>
      </c>
      <c r="F1172" s="85" t="n">
        <v>172</v>
      </c>
      <c r="G1172" s="120" t="n">
        <v>0.0125</v>
      </c>
      <c r="H1172" s="120" t="n">
        <v>0.0125</v>
      </c>
      <c r="I1172" s="95" t="n">
        <v>4</v>
      </c>
      <c r="J1172" s="95" t="n">
        <v>62.75</v>
      </c>
      <c r="K1172" s="95" t="n">
        <v>0.955</v>
      </c>
      <c r="L1172" s="85" t="n">
        <v>0</v>
      </c>
    </row>
    <row r="1173">
      <c r="A1173" s="84" t="inlineStr">
        <is>
          <t>SNCF</t>
        </is>
      </c>
      <c r="B1173" s="7" t="inlineStr">
        <is>
          <t>actif</t>
        </is>
      </c>
      <c r="C1173" s="88" t="n">
        <v>1975</v>
      </c>
      <c r="D1173" s="95" t="n">
        <v>59</v>
      </c>
      <c r="E1173" s="95" t="n">
        <v>62</v>
      </c>
      <c r="F1173" s="85" t="n">
        <v>172</v>
      </c>
      <c r="G1173" s="120" t="n">
        <v>0.0125</v>
      </c>
      <c r="H1173" s="120" t="n">
        <v>0.0125</v>
      </c>
      <c r="I1173" s="95" t="n">
        <v>4</v>
      </c>
      <c r="J1173" s="95" t="n">
        <v>63</v>
      </c>
      <c r="K1173" s="95" t="n">
        <v>0.955</v>
      </c>
      <c r="L1173" s="85" t="n">
        <v>0</v>
      </c>
    </row>
    <row r="1174">
      <c r="A1174" s="84" t="inlineStr">
        <is>
          <t>SNCF</t>
        </is>
      </c>
      <c r="B1174" s="7" t="inlineStr">
        <is>
          <t>actif</t>
        </is>
      </c>
      <c r="C1174" s="88" t="n">
        <v>1976</v>
      </c>
      <c r="D1174" s="95" t="n">
        <v>59</v>
      </c>
      <c r="E1174" s="95" t="n">
        <v>62</v>
      </c>
      <c r="F1174" s="85" t="n">
        <v>172</v>
      </c>
      <c r="G1174" s="120" t="n">
        <v>0.0125</v>
      </c>
      <c r="H1174" s="120" t="n">
        <v>0.0125</v>
      </c>
      <c r="I1174" s="95" t="n">
        <v>4</v>
      </c>
      <c r="J1174" s="95" t="n">
        <v>63</v>
      </c>
      <c r="K1174" s="95" t="n">
        <v>0.955</v>
      </c>
      <c r="L1174" s="85" t="n">
        <v>0</v>
      </c>
    </row>
    <row r="1175">
      <c r="A1175" s="84" t="inlineStr">
        <is>
          <t>SNCF</t>
        </is>
      </c>
      <c r="B1175" s="7" t="inlineStr">
        <is>
          <t>actif</t>
        </is>
      </c>
      <c r="C1175" s="88" t="n">
        <v>1977</v>
      </c>
      <c r="D1175" s="95" t="n">
        <v>59</v>
      </c>
      <c r="E1175" s="95" t="n">
        <v>62</v>
      </c>
      <c r="F1175" s="85" t="n">
        <v>172</v>
      </c>
      <c r="G1175" s="120" t="n">
        <v>0.0125</v>
      </c>
      <c r="H1175" s="120" t="n">
        <v>0.0125</v>
      </c>
      <c r="I1175" s="95" t="n">
        <v>4</v>
      </c>
      <c r="J1175" s="95" t="n">
        <v>63</v>
      </c>
      <c r="K1175" s="95" t="n">
        <v>0.955</v>
      </c>
      <c r="L1175" s="85" t="n">
        <v>0</v>
      </c>
    </row>
    <row r="1176">
      <c r="A1176" s="84" t="inlineStr">
        <is>
          <t>SNCF</t>
        </is>
      </c>
      <c r="B1176" s="7" t="inlineStr">
        <is>
          <t>actif</t>
        </is>
      </c>
      <c r="C1176" s="88" t="n">
        <v>1978</v>
      </c>
      <c r="D1176" s="95" t="n">
        <v>59</v>
      </c>
      <c r="E1176" s="95" t="n">
        <v>62</v>
      </c>
      <c r="F1176" s="85" t="n">
        <v>172</v>
      </c>
      <c r="G1176" s="120" t="n">
        <v>0.0125</v>
      </c>
      <c r="H1176" s="120" t="n">
        <v>0.0125</v>
      </c>
      <c r="I1176" s="95" t="n">
        <v>4</v>
      </c>
      <c r="J1176" s="95" t="n">
        <v>63</v>
      </c>
      <c r="K1176" s="95" t="n">
        <v>0.955</v>
      </c>
      <c r="L1176" s="85" t="n">
        <v>0</v>
      </c>
    </row>
    <row r="1177">
      <c r="A1177" s="84" t="inlineStr">
        <is>
          <t>SNCF</t>
        </is>
      </c>
      <c r="B1177" s="7" t="inlineStr">
        <is>
          <t>actif</t>
        </is>
      </c>
      <c r="C1177" s="88" t="n">
        <v>1979</v>
      </c>
      <c r="D1177" s="95" t="n">
        <v>59</v>
      </c>
      <c r="E1177" s="95" t="n">
        <v>62</v>
      </c>
      <c r="F1177" s="85" t="n">
        <v>172</v>
      </c>
      <c r="G1177" s="120" t="n">
        <v>0.0125</v>
      </c>
      <c r="H1177" s="120" t="n">
        <v>0.0125</v>
      </c>
      <c r="I1177" s="95" t="n">
        <v>4</v>
      </c>
      <c r="J1177" s="95" t="n">
        <v>63</v>
      </c>
      <c r="K1177" s="95" t="n">
        <v>0.955</v>
      </c>
      <c r="L1177" s="85" t="n">
        <v>0</v>
      </c>
    </row>
    <row r="1178">
      <c r="A1178" s="84" t="inlineStr">
        <is>
          <t>SNCF</t>
        </is>
      </c>
      <c r="B1178" s="7" t="inlineStr">
        <is>
          <t>actif</t>
        </is>
      </c>
      <c r="C1178" s="88" t="n">
        <v>1980</v>
      </c>
      <c r="D1178" s="95" t="n">
        <v>59</v>
      </c>
      <c r="E1178" s="95" t="n">
        <v>62</v>
      </c>
      <c r="F1178" s="85" t="n">
        <v>172</v>
      </c>
      <c r="G1178" s="120" t="n">
        <v>0.0125</v>
      </c>
      <c r="H1178" s="120" t="n">
        <v>0.0125</v>
      </c>
      <c r="I1178" s="95" t="n">
        <v>4</v>
      </c>
      <c r="J1178" s="95" t="n">
        <v>63</v>
      </c>
      <c r="K1178" s="95" t="n">
        <v>0.955</v>
      </c>
      <c r="L1178" s="85" t="n">
        <v>0</v>
      </c>
    </row>
    <row r="1179">
      <c r="A1179" s="84" t="inlineStr">
        <is>
          <t>SNCF</t>
        </is>
      </c>
      <c r="B1179" s="7" t="inlineStr">
        <is>
          <t>actif</t>
        </is>
      </c>
      <c r="C1179" s="88" t="n">
        <v>1981</v>
      </c>
      <c r="D1179" s="95" t="n">
        <v>59</v>
      </c>
      <c r="E1179" s="95" t="n">
        <v>62</v>
      </c>
      <c r="F1179" s="85" t="n">
        <v>172</v>
      </c>
      <c r="G1179" s="120" t="n">
        <v>0.0125</v>
      </c>
      <c r="H1179" s="120" t="n">
        <v>0.0125</v>
      </c>
      <c r="I1179" s="95" t="n">
        <v>4</v>
      </c>
      <c r="J1179" s="95" t="n">
        <v>63</v>
      </c>
      <c r="K1179" s="95" t="n">
        <v>0.955</v>
      </c>
      <c r="L1179" s="85" t="n">
        <v>0</v>
      </c>
    </row>
    <row r="1180">
      <c r="A1180" s="84" t="inlineStr">
        <is>
          <t>SNCF</t>
        </is>
      </c>
      <c r="B1180" s="7" t="inlineStr">
        <is>
          <t>actif</t>
        </is>
      </c>
      <c r="C1180" s="88" t="n">
        <v>1982</v>
      </c>
      <c r="D1180" s="95" t="n">
        <v>59</v>
      </c>
      <c r="E1180" s="95" t="n">
        <v>62</v>
      </c>
      <c r="F1180" s="85" t="n">
        <v>172</v>
      </c>
      <c r="G1180" s="120" t="n">
        <v>0.0125</v>
      </c>
      <c r="H1180" s="120" t="n">
        <v>0.0125</v>
      </c>
      <c r="I1180" s="95" t="n">
        <v>4</v>
      </c>
      <c r="J1180" s="95" t="n">
        <v>63</v>
      </c>
      <c r="K1180" s="95" t="n">
        <v>0.955</v>
      </c>
      <c r="L1180" s="85" t="n">
        <v>0</v>
      </c>
    </row>
    <row r="1181">
      <c r="A1181" s="84" t="inlineStr">
        <is>
          <t>SNCF</t>
        </is>
      </c>
      <c r="B1181" s="7" t="inlineStr">
        <is>
          <t>actif</t>
        </is>
      </c>
      <c r="C1181" s="88" t="n">
        <v>1983</v>
      </c>
      <c r="D1181" s="95" t="n">
        <v>59</v>
      </c>
      <c r="E1181" s="95" t="n">
        <v>62</v>
      </c>
      <c r="F1181" s="85" t="n">
        <v>172</v>
      </c>
      <c r="G1181" s="120" t="n">
        <v>0.0125</v>
      </c>
      <c r="H1181" s="120" t="n">
        <v>0.0125</v>
      </c>
      <c r="I1181" s="95" t="n">
        <v>4</v>
      </c>
      <c r="J1181" s="95" t="n">
        <v>63</v>
      </c>
      <c r="K1181" s="95" t="n">
        <v>0.955</v>
      </c>
      <c r="L1181" s="85" t="n">
        <v>0</v>
      </c>
    </row>
    <row r="1182">
      <c r="A1182" s="84" t="inlineStr">
        <is>
          <t>SNCF</t>
        </is>
      </c>
      <c r="B1182" s="7" t="inlineStr">
        <is>
          <t>actif</t>
        </is>
      </c>
      <c r="C1182" s="88" t="n">
        <v>1984</v>
      </c>
      <c r="D1182" s="95" t="n">
        <v>59</v>
      </c>
      <c r="E1182" s="95" t="n">
        <v>62</v>
      </c>
      <c r="F1182" s="85" t="n">
        <v>172</v>
      </c>
      <c r="G1182" s="120" t="n">
        <v>0.0125</v>
      </c>
      <c r="H1182" s="120" t="n">
        <v>0.0125</v>
      </c>
      <c r="I1182" s="95" t="n">
        <v>4</v>
      </c>
      <c r="J1182" s="95" t="n">
        <v>63</v>
      </c>
      <c r="K1182" s="95" t="n">
        <v>0.955</v>
      </c>
      <c r="L1182" s="85" t="n">
        <v>0</v>
      </c>
    </row>
    <row r="1183">
      <c r="A1183" s="84" t="inlineStr">
        <is>
          <t>SNCF</t>
        </is>
      </c>
      <c r="B1183" s="7" t="inlineStr">
        <is>
          <t>actif</t>
        </is>
      </c>
      <c r="C1183" s="88" t="n">
        <v>1985</v>
      </c>
      <c r="D1183" s="95" t="n">
        <v>59</v>
      </c>
      <c r="E1183" s="95" t="n">
        <v>62</v>
      </c>
      <c r="F1183" s="85" t="n">
        <v>172</v>
      </c>
      <c r="G1183" s="120" t="n">
        <v>0.0125</v>
      </c>
      <c r="H1183" s="120" t="n">
        <v>0.0125</v>
      </c>
      <c r="I1183" s="95" t="n">
        <v>4</v>
      </c>
      <c r="J1183" s="95" t="n">
        <v>63</v>
      </c>
      <c r="K1183" s="95" t="n">
        <v>0.955</v>
      </c>
      <c r="L1183" s="85" t="n">
        <v>0</v>
      </c>
    </row>
    <row r="1184">
      <c r="A1184" s="84" t="inlineStr">
        <is>
          <t>SNCF</t>
        </is>
      </c>
      <c r="B1184" s="7" t="inlineStr">
        <is>
          <t>actif</t>
        </is>
      </c>
      <c r="C1184" s="88" t="n">
        <v>1986</v>
      </c>
      <c r="D1184" s="95" t="n">
        <v>59</v>
      </c>
      <c r="E1184" s="95" t="n">
        <v>62</v>
      </c>
      <c r="F1184" s="85" t="n">
        <v>172</v>
      </c>
      <c r="G1184" s="120" t="n">
        <v>0.0125</v>
      </c>
      <c r="H1184" s="120" t="n">
        <v>0.0125</v>
      </c>
      <c r="I1184" s="95" t="n">
        <v>4</v>
      </c>
      <c r="J1184" s="95" t="n">
        <v>63</v>
      </c>
      <c r="K1184" s="95" t="n">
        <v>0.955</v>
      </c>
      <c r="L1184" s="85" t="n">
        <v>0</v>
      </c>
    </row>
    <row r="1185">
      <c r="A1185" s="84" t="inlineStr">
        <is>
          <t>SNCF</t>
        </is>
      </c>
      <c r="B1185" s="7" t="inlineStr">
        <is>
          <t>actif</t>
        </is>
      </c>
      <c r="C1185" s="88" t="n">
        <v>1987</v>
      </c>
      <c r="D1185" s="95" t="n">
        <v>59</v>
      </c>
      <c r="E1185" s="95" t="n">
        <v>62</v>
      </c>
      <c r="F1185" s="85" t="n">
        <v>172</v>
      </c>
      <c r="G1185" s="120" t="n">
        <v>0.0125</v>
      </c>
      <c r="H1185" s="120" t="n">
        <v>0.0125</v>
      </c>
      <c r="I1185" s="95" t="n">
        <v>4</v>
      </c>
      <c r="J1185" s="95" t="n">
        <v>63</v>
      </c>
      <c r="K1185" s="95" t="n">
        <v>0.955</v>
      </c>
      <c r="L1185" s="85" t="n">
        <v>0</v>
      </c>
    </row>
    <row r="1186">
      <c r="A1186" s="84" t="inlineStr">
        <is>
          <t>SNCF</t>
        </is>
      </c>
      <c r="B1186" s="7" t="inlineStr">
        <is>
          <t>actif</t>
        </is>
      </c>
      <c r="C1186" s="88" t="n">
        <v>1988</v>
      </c>
      <c r="D1186" s="95" t="n">
        <v>59</v>
      </c>
      <c r="E1186" s="95" t="n">
        <v>62</v>
      </c>
      <c r="F1186" s="85" t="n">
        <v>172</v>
      </c>
      <c r="G1186" s="120" t="n">
        <v>0.0125</v>
      </c>
      <c r="H1186" s="120" t="n">
        <v>0.0125</v>
      </c>
      <c r="I1186" s="95" t="n">
        <v>4</v>
      </c>
      <c r="J1186" s="95" t="n">
        <v>63</v>
      </c>
      <c r="K1186" s="95" t="n">
        <v>0.955</v>
      </c>
      <c r="L1186" s="85" t="n">
        <v>0</v>
      </c>
    </row>
    <row r="1187">
      <c r="A1187" s="84" t="inlineStr">
        <is>
          <t>SNCF</t>
        </is>
      </c>
      <c r="B1187" s="7" t="inlineStr">
        <is>
          <t>actif</t>
        </is>
      </c>
      <c r="C1187" s="88" t="n">
        <v>1989</v>
      </c>
      <c r="D1187" s="95" t="n">
        <v>59</v>
      </c>
      <c r="E1187" s="95" t="n">
        <v>62</v>
      </c>
      <c r="F1187" s="85" t="n">
        <v>172</v>
      </c>
      <c r="G1187" s="120" t="n">
        <v>0.0125</v>
      </c>
      <c r="H1187" s="120" t="n">
        <v>0.0125</v>
      </c>
      <c r="I1187" s="95" t="n">
        <v>4</v>
      </c>
      <c r="J1187" s="95" t="n">
        <v>63</v>
      </c>
      <c r="K1187" s="95" t="n">
        <v>0.955</v>
      </c>
      <c r="L1187" s="85" t="n">
        <v>0</v>
      </c>
    </row>
    <row r="1188">
      <c r="A1188" s="84" t="inlineStr">
        <is>
          <t>SNCF</t>
        </is>
      </c>
      <c r="B1188" s="7" t="inlineStr">
        <is>
          <t>actif</t>
        </is>
      </c>
      <c r="C1188" s="88" t="n">
        <v>1990</v>
      </c>
      <c r="D1188" s="95" t="n">
        <v>59</v>
      </c>
      <c r="E1188" s="95" t="n">
        <v>62</v>
      </c>
      <c r="F1188" s="85" t="n">
        <v>172</v>
      </c>
      <c r="G1188" s="120" t="n">
        <v>0.0125</v>
      </c>
      <c r="H1188" s="120" t="n">
        <v>0.0125</v>
      </c>
      <c r="I1188" s="95" t="n">
        <v>4</v>
      </c>
      <c r="J1188" s="95" t="n">
        <v>63</v>
      </c>
      <c r="K1188" s="95" t="n">
        <v>0.955</v>
      </c>
      <c r="L1188" s="85" t="n">
        <v>0</v>
      </c>
    </row>
    <row r="1189">
      <c r="A1189" s="84" t="inlineStr">
        <is>
          <t>SNCF</t>
        </is>
      </c>
      <c r="B1189" s="7" t="inlineStr">
        <is>
          <t>actif</t>
        </is>
      </c>
      <c r="C1189" s="88" t="n">
        <v>1991</v>
      </c>
      <c r="D1189" s="95" t="n">
        <v>59</v>
      </c>
      <c r="E1189" s="95" t="n">
        <v>62</v>
      </c>
      <c r="F1189" s="85" t="n">
        <v>172</v>
      </c>
      <c r="G1189" s="120" t="n">
        <v>0.0125</v>
      </c>
      <c r="H1189" s="120" t="n">
        <v>0.0125</v>
      </c>
      <c r="I1189" s="95" t="n">
        <v>4</v>
      </c>
      <c r="J1189" s="95" t="n">
        <v>63</v>
      </c>
      <c r="K1189" s="95" t="n">
        <v>0.955</v>
      </c>
      <c r="L1189" s="85" t="n">
        <v>0</v>
      </c>
    </row>
    <row r="1190">
      <c r="A1190" s="84" t="inlineStr">
        <is>
          <t>SNCF</t>
        </is>
      </c>
      <c r="B1190" s="7" t="inlineStr">
        <is>
          <t>actif</t>
        </is>
      </c>
      <c r="C1190" s="88" t="n">
        <v>1992</v>
      </c>
      <c r="D1190" s="95" t="n">
        <v>59</v>
      </c>
      <c r="E1190" s="95" t="n">
        <v>62</v>
      </c>
      <c r="F1190" s="85" t="n">
        <v>172</v>
      </c>
      <c r="G1190" s="120" t="n">
        <v>0.0125</v>
      </c>
      <c r="H1190" s="120" t="n">
        <v>0.0125</v>
      </c>
      <c r="I1190" s="95" t="n">
        <v>4</v>
      </c>
      <c r="J1190" s="95" t="n">
        <v>63</v>
      </c>
      <c r="K1190" s="95" t="n">
        <v>0.955</v>
      </c>
      <c r="L1190" s="85" t="n">
        <v>0</v>
      </c>
    </row>
    <row r="1191">
      <c r="A1191" s="84" t="inlineStr">
        <is>
          <t>SNCF</t>
        </is>
      </c>
      <c r="B1191" s="7" t="inlineStr">
        <is>
          <t>actif</t>
        </is>
      </c>
      <c r="C1191" s="88" t="n">
        <v>1993</v>
      </c>
      <c r="D1191" s="95" t="n">
        <v>59</v>
      </c>
      <c r="E1191" s="95" t="n">
        <v>62</v>
      </c>
      <c r="F1191" s="85" t="n">
        <v>172</v>
      </c>
      <c r="G1191" s="120" t="n">
        <v>0.0125</v>
      </c>
      <c r="H1191" s="120" t="n">
        <v>0.0125</v>
      </c>
      <c r="I1191" s="95" t="n">
        <v>4</v>
      </c>
      <c r="J1191" s="95" t="n">
        <v>63</v>
      </c>
      <c r="K1191" s="95" t="n">
        <v>0.955</v>
      </c>
      <c r="L1191" s="85" t="n">
        <v>0</v>
      </c>
    </row>
    <row r="1192">
      <c r="A1192" s="84" t="inlineStr">
        <is>
          <t>SNCF</t>
        </is>
      </c>
      <c r="B1192" s="7" t="inlineStr">
        <is>
          <t>actif</t>
        </is>
      </c>
      <c r="C1192" s="88" t="n">
        <v>1994</v>
      </c>
      <c r="D1192" s="95" t="n">
        <v>59</v>
      </c>
      <c r="E1192" s="95" t="n">
        <v>62</v>
      </c>
      <c r="F1192" s="85" t="n">
        <v>172</v>
      </c>
      <c r="G1192" s="120" t="n">
        <v>0.0125</v>
      </c>
      <c r="H1192" s="120" t="n">
        <v>0.0125</v>
      </c>
      <c r="I1192" s="95" t="n">
        <v>4</v>
      </c>
      <c r="J1192" s="95" t="n">
        <v>63</v>
      </c>
      <c r="K1192" s="95" t="n">
        <v>0.955</v>
      </c>
      <c r="L1192" s="85" t="n">
        <v>0</v>
      </c>
    </row>
    <row r="1193">
      <c r="A1193" s="84" t="inlineStr">
        <is>
          <t>SNCF</t>
        </is>
      </c>
      <c r="B1193" s="7" t="inlineStr">
        <is>
          <t>actif</t>
        </is>
      </c>
      <c r="C1193" s="88" t="n">
        <v>1995</v>
      </c>
      <c r="D1193" s="95" t="n">
        <v>59</v>
      </c>
      <c r="E1193" s="95" t="n">
        <v>62</v>
      </c>
      <c r="F1193" s="85" t="n">
        <v>172</v>
      </c>
      <c r="G1193" s="120" t="n">
        <v>0.0125</v>
      </c>
      <c r="H1193" s="120" t="n">
        <v>0.0125</v>
      </c>
      <c r="I1193" s="95" t="n">
        <v>4</v>
      </c>
      <c r="J1193" s="95" t="n">
        <v>63</v>
      </c>
      <c r="K1193" s="95" t="n">
        <v>0.955</v>
      </c>
      <c r="L1193" s="85" t="n">
        <v>0</v>
      </c>
    </row>
    <row r="1194">
      <c r="A1194" s="84" t="inlineStr">
        <is>
          <t>SNCF</t>
        </is>
      </c>
      <c r="B1194" s="7" t="inlineStr">
        <is>
          <t>actif</t>
        </is>
      </c>
      <c r="C1194" s="88" t="n">
        <v>1996</v>
      </c>
      <c r="D1194" s="95" t="n">
        <v>59</v>
      </c>
      <c r="E1194" s="95" t="n">
        <v>62</v>
      </c>
      <c r="F1194" s="85" t="n">
        <v>172</v>
      </c>
      <c r="G1194" s="120" t="n">
        <v>0.0125</v>
      </c>
      <c r="H1194" s="120" t="n">
        <v>0.0125</v>
      </c>
      <c r="I1194" s="95" t="n">
        <v>4</v>
      </c>
      <c r="J1194" s="95" t="n">
        <v>63</v>
      </c>
      <c r="K1194" s="95" t="n">
        <v>0.955</v>
      </c>
      <c r="L1194" s="85" t="n">
        <v>0</v>
      </c>
    </row>
    <row r="1195">
      <c r="A1195" s="84" t="inlineStr">
        <is>
          <t>SNCF</t>
        </is>
      </c>
      <c r="B1195" s="7" t="inlineStr">
        <is>
          <t>actif</t>
        </is>
      </c>
      <c r="C1195" s="88" t="n">
        <v>1997</v>
      </c>
      <c r="D1195" s="95" t="n">
        <v>59</v>
      </c>
      <c r="E1195" s="95" t="n">
        <v>62</v>
      </c>
      <c r="F1195" s="85" t="n">
        <v>172</v>
      </c>
      <c r="G1195" s="120" t="n">
        <v>0.0125</v>
      </c>
      <c r="H1195" s="120" t="n">
        <v>0.0125</v>
      </c>
      <c r="I1195" s="95" t="n">
        <v>4</v>
      </c>
      <c r="J1195" s="95" t="n">
        <v>63</v>
      </c>
      <c r="K1195" s="95" t="n">
        <v>0.955</v>
      </c>
      <c r="L1195" s="85" t="n">
        <v>0</v>
      </c>
    </row>
    <row r="1196">
      <c r="A1196" s="84" t="inlineStr">
        <is>
          <t>SNCF</t>
        </is>
      </c>
      <c r="B1196" s="7" t="inlineStr">
        <is>
          <t>actif</t>
        </is>
      </c>
      <c r="C1196" s="88" t="n">
        <v>1998</v>
      </c>
      <c r="D1196" s="95" t="n">
        <v>59</v>
      </c>
      <c r="E1196" s="95" t="n">
        <v>62</v>
      </c>
      <c r="F1196" s="85" t="n">
        <v>172</v>
      </c>
      <c r="G1196" s="120" t="n">
        <v>0.0125</v>
      </c>
      <c r="H1196" s="120" t="n">
        <v>0.0125</v>
      </c>
      <c r="I1196" s="95" t="n">
        <v>4</v>
      </c>
      <c r="J1196" s="95" t="n">
        <v>63</v>
      </c>
      <c r="K1196" s="95" t="n">
        <v>0.955</v>
      </c>
      <c r="L1196" s="85" t="n">
        <v>0</v>
      </c>
    </row>
    <row r="1197">
      <c r="A1197" s="84" t="inlineStr">
        <is>
          <t>SNCF</t>
        </is>
      </c>
      <c r="B1197" s="7" t="inlineStr">
        <is>
          <t>actif</t>
        </is>
      </c>
      <c r="C1197" s="88" t="n">
        <v>1999</v>
      </c>
      <c r="D1197" s="95" t="n">
        <v>59</v>
      </c>
      <c r="E1197" s="95" t="n">
        <v>62</v>
      </c>
      <c r="F1197" s="85" t="n">
        <v>172</v>
      </c>
      <c r="G1197" s="120" t="n">
        <v>0.0125</v>
      </c>
      <c r="H1197" s="120" t="n">
        <v>0.0125</v>
      </c>
      <c r="I1197" s="95" t="n">
        <v>4</v>
      </c>
      <c r="J1197" s="95" t="n">
        <v>63</v>
      </c>
      <c r="K1197" s="95" t="n">
        <v>0.955</v>
      </c>
      <c r="L1197" s="85" t="n">
        <v>0</v>
      </c>
    </row>
    <row r="1198">
      <c r="A1198" s="84" t="inlineStr">
        <is>
          <t>SNCF</t>
        </is>
      </c>
      <c r="B1198" s="7" t="inlineStr">
        <is>
          <t>actif</t>
        </is>
      </c>
      <c r="C1198" s="88" t="n">
        <v>2000</v>
      </c>
      <c r="D1198" s="95" t="n">
        <v>59</v>
      </c>
      <c r="E1198" s="95" t="n">
        <v>62</v>
      </c>
      <c r="F1198" s="85" t="n">
        <v>172</v>
      </c>
      <c r="G1198" s="120" t="n">
        <v>0.0125</v>
      </c>
      <c r="H1198" s="120" t="n">
        <v>0.0125</v>
      </c>
      <c r="I1198" s="95" t="n">
        <v>4</v>
      </c>
      <c r="J1198" s="95" t="n">
        <v>63</v>
      </c>
      <c r="K1198" s="95" t="n">
        <v>0.955</v>
      </c>
      <c r="L1198" s="85" t="n">
        <v>0</v>
      </c>
    </row>
    <row r="1199">
      <c r="A1199" s="84" t="inlineStr">
        <is>
          <t>SNCF</t>
        </is>
      </c>
      <c r="B1199" s="7" t="inlineStr">
        <is>
          <t>actif</t>
        </is>
      </c>
      <c r="C1199" s="88" t="n">
        <v>2001</v>
      </c>
      <c r="D1199" s="95" t="n">
        <v>59</v>
      </c>
      <c r="E1199" s="95" t="n">
        <v>62</v>
      </c>
      <c r="F1199" s="85" t="n">
        <v>172</v>
      </c>
      <c r="G1199" s="120" t="n">
        <v>0.0125</v>
      </c>
      <c r="H1199" s="120" t="n">
        <v>0.0125</v>
      </c>
      <c r="I1199" s="95" t="n">
        <v>4</v>
      </c>
      <c r="J1199" s="95" t="n">
        <v>63</v>
      </c>
      <c r="K1199" s="95" t="n">
        <v>0.955</v>
      </c>
      <c r="L1199" s="85" t="n">
        <v>0</v>
      </c>
    </row>
    <row r="1200">
      <c r="A1200" s="84" t="inlineStr">
        <is>
          <t>SNCF</t>
        </is>
      </c>
      <c r="B1200" s="7" t="inlineStr">
        <is>
          <t>actif</t>
        </is>
      </c>
      <c r="C1200" s="88" t="n">
        <v>2002</v>
      </c>
      <c r="D1200" s="95" t="n">
        <v>59</v>
      </c>
      <c r="E1200" s="95" t="n">
        <v>62</v>
      </c>
      <c r="F1200" s="85" t="n">
        <v>172</v>
      </c>
      <c r="G1200" s="120" t="n">
        <v>0.0125</v>
      </c>
      <c r="H1200" s="120" t="n">
        <v>0.0125</v>
      </c>
      <c r="I1200" s="95" t="n">
        <v>4</v>
      </c>
      <c r="J1200" s="95" t="n">
        <v>63</v>
      </c>
      <c r="K1200" s="95" t="n">
        <v>0.955</v>
      </c>
      <c r="L1200" s="85" t="n">
        <v>0</v>
      </c>
    </row>
    <row r="1201">
      <c r="A1201" s="84" t="inlineStr">
        <is>
          <t>SNCF</t>
        </is>
      </c>
      <c r="B1201" s="7" t="inlineStr">
        <is>
          <t>actif</t>
        </is>
      </c>
      <c r="C1201" s="88" t="n">
        <v>2003</v>
      </c>
      <c r="D1201" s="95" t="n">
        <v>59</v>
      </c>
      <c r="E1201" s="95" t="n">
        <v>62</v>
      </c>
      <c r="F1201" s="85" t="n">
        <v>172</v>
      </c>
      <c r="G1201" s="120" t="n">
        <v>0.0125</v>
      </c>
      <c r="H1201" s="120" t="n">
        <v>0.0125</v>
      </c>
      <c r="I1201" s="95" t="n">
        <v>4</v>
      </c>
      <c r="J1201" s="95" t="n">
        <v>63</v>
      </c>
      <c r="K1201" s="95" t="n">
        <v>0.955</v>
      </c>
      <c r="L1201" s="85" t="n">
        <v>0</v>
      </c>
    </row>
    <row r="1202">
      <c r="A1202" s="84" t="inlineStr">
        <is>
          <t>SNCF</t>
        </is>
      </c>
      <c r="B1202" s="7" t="inlineStr">
        <is>
          <t>actif</t>
        </is>
      </c>
      <c r="C1202" s="88" t="n">
        <v>2004</v>
      </c>
      <c r="D1202" s="95" t="n">
        <v>59</v>
      </c>
      <c r="E1202" s="95" t="n">
        <v>62</v>
      </c>
      <c r="F1202" s="85" t="n">
        <v>172</v>
      </c>
      <c r="G1202" s="120" t="n">
        <v>0.0125</v>
      </c>
      <c r="H1202" s="120" t="n">
        <v>0.0125</v>
      </c>
      <c r="I1202" s="95" t="n">
        <v>4</v>
      </c>
      <c r="J1202" s="95" t="n">
        <v>63</v>
      </c>
      <c r="K1202" s="95" t="n">
        <v>0.955</v>
      </c>
      <c r="L1202" s="85" t="n">
        <v>0</v>
      </c>
    </row>
    <row r="1203">
      <c r="A1203" s="84" t="inlineStr">
        <is>
          <t>SNCF</t>
        </is>
      </c>
      <c r="B1203" s="7" t="inlineStr">
        <is>
          <t>actif</t>
        </is>
      </c>
      <c r="C1203" s="88" t="n">
        <v>2005</v>
      </c>
      <c r="D1203" s="95" t="n">
        <v>59</v>
      </c>
      <c r="E1203" s="95" t="n">
        <v>62</v>
      </c>
      <c r="F1203" s="85" t="n">
        <v>172</v>
      </c>
      <c r="G1203" s="120" t="n">
        <v>0.0125</v>
      </c>
      <c r="H1203" s="120" t="n">
        <v>0.0125</v>
      </c>
      <c r="I1203" s="95" t="n">
        <v>4</v>
      </c>
      <c r="J1203" s="95" t="n">
        <v>63</v>
      </c>
      <c r="K1203" s="95" t="n">
        <v>0.955</v>
      </c>
      <c r="L1203" s="85" t="n">
        <v>0</v>
      </c>
    </row>
    <row r="1204">
      <c r="A1204" s="84" t="inlineStr">
        <is>
          <t>SNCF</t>
        </is>
      </c>
      <c r="B1204" s="7" t="inlineStr">
        <is>
          <t>actif</t>
        </is>
      </c>
      <c r="C1204" s="88" t="n">
        <v>2006</v>
      </c>
      <c r="D1204" s="95" t="n">
        <v>59</v>
      </c>
      <c r="E1204" s="95" t="n">
        <v>62</v>
      </c>
      <c r="F1204" s="85" t="n">
        <v>172</v>
      </c>
      <c r="G1204" s="120" t="n">
        <v>0.0125</v>
      </c>
      <c r="H1204" s="120" t="n">
        <v>0.0125</v>
      </c>
      <c r="I1204" s="95" t="n">
        <v>4</v>
      </c>
      <c r="J1204" s="95" t="n">
        <v>63</v>
      </c>
      <c r="K1204" s="95" t="n">
        <v>0.955</v>
      </c>
      <c r="L1204" s="85" t="n">
        <v>0</v>
      </c>
    </row>
    <row r="1205">
      <c r="A1205" s="84" t="inlineStr">
        <is>
          <t>SNCF</t>
        </is>
      </c>
      <c r="B1205" s="7" t="inlineStr">
        <is>
          <t>actif</t>
        </is>
      </c>
      <c r="C1205" s="88" t="n">
        <v>2007</v>
      </c>
      <c r="D1205" s="95" t="n">
        <v>59</v>
      </c>
      <c r="E1205" s="95" t="n">
        <v>62</v>
      </c>
      <c r="F1205" s="85" t="n">
        <v>172</v>
      </c>
      <c r="G1205" s="120" t="n">
        <v>0.0125</v>
      </c>
      <c r="H1205" s="120" t="n">
        <v>0.0125</v>
      </c>
      <c r="I1205" s="95" t="n">
        <v>4</v>
      </c>
      <c r="J1205" s="95" t="n">
        <v>63</v>
      </c>
      <c r="K1205" s="95" t="n">
        <v>0.955</v>
      </c>
      <c r="L1205" s="85" t="n">
        <v>0</v>
      </c>
    </row>
    <row r="1206">
      <c r="A1206" s="84" t="inlineStr">
        <is>
          <t>SNCF</t>
        </is>
      </c>
      <c r="B1206" s="7" t="inlineStr">
        <is>
          <t>actif</t>
        </is>
      </c>
      <c r="C1206" s="88" t="n">
        <v>2008</v>
      </c>
      <c r="D1206" s="95" t="n">
        <v>59</v>
      </c>
      <c r="E1206" s="95" t="n">
        <v>62</v>
      </c>
      <c r="F1206" s="85" t="n">
        <v>172</v>
      </c>
      <c r="G1206" s="120" t="n">
        <v>0.0125</v>
      </c>
      <c r="H1206" s="120" t="n">
        <v>0.0125</v>
      </c>
      <c r="I1206" s="95" t="n">
        <v>4</v>
      </c>
      <c r="J1206" s="95" t="n">
        <v>63</v>
      </c>
      <c r="K1206" s="95" t="n">
        <v>0.955</v>
      </c>
      <c r="L1206" s="85" t="n">
        <v>0</v>
      </c>
    </row>
    <row r="1207">
      <c r="A1207" s="84" t="inlineStr">
        <is>
          <t>SNCF</t>
        </is>
      </c>
      <c r="B1207" s="7" t="inlineStr">
        <is>
          <t>actif</t>
        </is>
      </c>
      <c r="C1207" s="88" t="n">
        <v>2009</v>
      </c>
      <c r="D1207" s="95" t="n">
        <v>59</v>
      </c>
      <c r="E1207" s="95" t="n">
        <v>62</v>
      </c>
      <c r="F1207" s="85" t="n">
        <v>172</v>
      </c>
      <c r="G1207" s="120" t="n">
        <v>0.0125</v>
      </c>
      <c r="H1207" s="120" t="n">
        <v>0.0125</v>
      </c>
      <c r="I1207" s="95" t="n">
        <v>4</v>
      </c>
      <c r="J1207" s="95" t="n">
        <v>63</v>
      </c>
      <c r="K1207" s="95" t="n">
        <v>0.955</v>
      </c>
      <c r="L1207" s="85" t="n">
        <v>0</v>
      </c>
    </row>
    <row r="1208">
      <c r="A1208" s="84" t="inlineStr">
        <is>
          <t>SNCF</t>
        </is>
      </c>
      <c r="B1208" s="7" t="inlineStr">
        <is>
          <t>actif</t>
        </is>
      </c>
      <c r="C1208" s="88" t="n">
        <v>2010</v>
      </c>
      <c r="D1208" s="95" t="n">
        <v>59</v>
      </c>
      <c r="E1208" s="95" t="n">
        <v>62</v>
      </c>
      <c r="F1208" s="85" t="n">
        <v>172</v>
      </c>
      <c r="G1208" s="120" t="n">
        <v>0.0125</v>
      </c>
      <c r="H1208" s="120" t="n">
        <v>0.0125</v>
      </c>
      <c r="I1208" s="95" t="n">
        <v>4</v>
      </c>
      <c r="J1208" s="95" t="n">
        <v>63</v>
      </c>
      <c r="K1208" s="95" t="n">
        <v>0.955</v>
      </c>
      <c r="L1208" s="85" t="n">
        <v>0</v>
      </c>
    </row>
    <row r="1209">
      <c r="A1209" s="84" t="inlineStr">
        <is>
          <t>SNCF</t>
        </is>
      </c>
      <c r="B1209" s="7" t="inlineStr">
        <is>
          <t>actif</t>
        </is>
      </c>
      <c r="C1209" s="88" t="n">
        <v>2011</v>
      </c>
      <c r="D1209" s="95" t="n">
        <v>59</v>
      </c>
      <c r="E1209" s="95" t="n">
        <v>62</v>
      </c>
      <c r="F1209" s="85" t="n">
        <v>172</v>
      </c>
      <c r="G1209" s="120" t="n">
        <v>0.0125</v>
      </c>
      <c r="H1209" s="120" t="n">
        <v>0.0125</v>
      </c>
      <c r="I1209" s="95" t="n">
        <v>4</v>
      </c>
      <c r="J1209" s="95" t="n">
        <v>63</v>
      </c>
      <c r="K1209" s="95" t="n">
        <v>0.955</v>
      </c>
      <c r="L1209" s="85" t="n">
        <v>0</v>
      </c>
    </row>
    <row r="1210">
      <c r="A1210" s="84" t="inlineStr">
        <is>
          <t>SNCF</t>
        </is>
      </c>
      <c r="B1210" s="7" t="inlineStr">
        <is>
          <t>actif</t>
        </is>
      </c>
      <c r="C1210" s="88" t="n">
        <v>2012</v>
      </c>
      <c r="D1210" s="95" t="n">
        <v>59</v>
      </c>
      <c r="E1210" s="95" t="n">
        <v>62</v>
      </c>
      <c r="F1210" s="85" t="n">
        <v>172</v>
      </c>
      <c r="G1210" s="120" t="n">
        <v>0.0125</v>
      </c>
      <c r="H1210" s="120" t="n">
        <v>0.0125</v>
      </c>
      <c r="I1210" s="95" t="n">
        <v>4</v>
      </c>
      <c r="J1210" s="95" t="n">
        <v>63</v>
      </c>
      <c r="K1210" s="95" t="n">
        <v>0.955</v>
      </c>
      <c r="L1210" s="85" t="n">
        <v>0</v>
      </c>
    </row>
    <row r="1211">
      <c r="A1211" s="84" t="inlineStr">
        <is>
          <t>SNCF</t>
        </is>
      </c>
      <c r="B1211" s="7" t="inlineStr">
        <is>
          <t>actif</t>
        </is>
      </c>
      <c r="C1211" s="88" t="n">
        <v>2013</v>
      </c>
      <c r="D1211" s="95" t="n">
        <v>59</v>
      </c>
      <c r="E1211" s="95" t="n">
        <v>62</v>
      </c>
      <c r="F1211" s="85" t="n">
        <v>172</v>
      </c>
      <c r="G1211" s="120" t="n">
        <v>0.0125</v>
      </c>
      <c r="H1211" s="120" t="n">
        <v>0.0125</v>
      </c>
      <c r="I1211" s="95" t="n">
        <v>4</v>
      </c>
      <c r="J1211" s="95" t="n">
        <v>63</v>
      </c>
      <c r="K1211" s="95" t="n">
        <v>0.955</v>
      </c>
      <c r="L1211" s="85" t="n">
        <v>0</v>
      </c>
    </row>
    <row r="1212">
      <c r="A1212" s="84" t="inlineStr">
        <is>
          <t>SNCF</t>
        </is>
      </c>
      <c r="B1212" s="7" t="inlineStr">
        <is>
          <t>actif</t>
        </is>
      </c>
      <c r="C1212" s="88" t="n">
        <v>2014</v>
      </c>
      <c r="D1212" s="95" t="n">
        <v>59</v>
      </c>
      <c r="E1212" s="95" t="n">
        <v>62</v>
      </c>
      <c r="F1212" s="85" t="n">
        <v>172</v>
      </c>
      <c r="G1212" s="120" t="n">
        <v>0.0125</v>
      </c>
      <c r="H1212" s="120" t="n">
        <v>0.0125</v>
      </c>
      <c r="I1212" s="95" t="n">
        <v>4</v>
      </c>
      <c r="J1212" s="95" t="n">
        <v>63</v>
      </c>
      <c r="K1212" s="95" t="n">
        <v>0.955</v>
      </c>
      <c r="L1212" s="85" t="n">
        <v>0</v>
      </c>
    </row>
    <row r="1213">
      <c r="A1213" s="84" t="inlineStr">
        <is>
          <t>SNCF</t>
        </is>
      </c>
      <c r="B1213" s="7" t="inlineStr">
        <is>
          <t>actif</t>
        </is>
      </c>
      <c r="C1213" s="88" t="n">
        <v>2015</v>
      </c>
      <c r="D1213" s="95" t="n">
        <v>59</v>
      </c>
      <c r="E1213" s="95" t="n">
        <v>62</v>
      </c>
      <c r="F1213" s="85" t="n">
        <v>172</v>
      </c>
      <c r="G1213" s="120" t="n">
        <v>0.0125</v>
      </c>
      <c r="H1213" s="120" t="n">
        <v>0.0125</v>
      </c>
      <c r="I1213" s="95" t="n">
        <v>4</v>
      </c>
      <c r="J1213" s="95" t="n">
        <v>63</v>
      </c>
      <c r="K1213" s="95" t="n">
        <v>0.955</v>
      </c>
      <c r="L1213" s="85" t="n">
        <v>0</v>
      </c>
    </row>
    <row r="1214">
      <c r="A1214" s="84" t="inlineStr">
        <is>
          <t>SNCF</t>
        </is>
      </c>
      <c r="B1214" s="7" t="inlineStr">
        <is>
          <t>actif</t>
        </is>
      </c>
      <c r="C1214" s="88" t="n">
        <v>2016</v>
      </c>
      <c r="D1214" s="95" t="n">
        <v>59</v>
      </c>
      <c r="E1214" s="95" t="n">
        <v>62</v>
      </c>
      <c r="F1214" s="85" t="n">
        <v>172</v>
      </c>
      <c r="G1214" s="120" t="n">
        <v>0.0125</v>
      </c>
      <c r="H1214" s="120" t="n">
        <v>0.0125</v>
      </c>
      <c r="I1214" s="95" t="n">
        <v>4</v>
      </c>
      <c r="J1214" s="95" t="n">
        <v>63</v>
      </c>
      <c r="K1214" s="95" t="n">
        <v>0.955</v>
      </c>
      <c r="L1214" s="85" t="n">
        <v>0</v>
      </c>
    </row>
    <row r="1215">
      <c r="A1215" s="84" t="inlineStr">
        <is>
          <t>SNCF</t>
        </is>
      </c>
      <c r="B1215" s="7" t="inlineStr">
        <is>
          <t>actif</t>
        </is>
      </c>
      <c r="C1215" s="88" t="n">
        <v>2017</v>
      </c>
      <c r="D1215" s="95" t="n">
        <v>59</v>
      </c>
      <c r="E1215" s="95" t="n">
        <v>62</v>
      </c>
      <c r="F1215" s="85" t="n">
        <v>172</v>
      </c>
      <c r="G1215" s="120" t="n">
        <v>0.0125</v>
      </c>
      <c r="H1215" s="120" t="n">
        <v>0.0125</v>
      </c>
      <c r="I1215" s="95" t="n">
        <v>4</v>
      </c>
      <c r="J1215" s="95" t="n">
        <v>63</v>
      </c>
      <c r="K1215" s="95" t="n">
        <v>0.955</v>
      </c>
      <c r="L1215" s="85" t="n">
        <v>0</v>
      </c>
    </row>
    <row r="1216">
      <c r="A1216" s="84" t="inlineStr">
        <is>
          <t>SNCF</t>
        </is>
      </c>
      <c r="B1216" s="7" t="inlineStr">
        <is>
          <t>actif</t>
        </is>
      </c>
      <c r="C1216" s="88" t="n">
        <v>2018</v>
      </c>
      <c r="D1216" s="95" t="n">
        <v>59</v>
      </c>
      <c r="E1216" s="95" t="n">
        <v>62</v>
      </c>
      <c r="F1216" s="85" t="n">
        <v>172</v>
      </c>
      <c r="G1216" s="120" t="n">
        <v>0.0125</v>
      </c>
      <c r="H1216" s="120" t="n">
        <v>0.0125</v>
      </c>
      <c r="I1216" s="95" t="n">
        <v>4</v>
      </c>
      <c r="J1216" s="95" t="n">
        <v>63</v>
      </c>
      <c r="K1216" s="95" t="n">
        <v>0.955</v>
      </c>
      <c r="L1216" s="85" t="n">
        <v>0</v>
      </c>
    </row>
    <row r="1217">
      <c r="A1217" s="84" t="inlineStr">
        <is>
          <t>SNCF</t>
        </is>
      </c>
      <c r="B1217" s="7" t="inlineStr">
        <is>
          <t>actif</t>
        </is>
      </c>
      <c r="C1217" s="88" t="n">
        <v>2019</v>
      </c>
      <c r="D1217" s="95" t="n">
        <v>59</v>
      </c>
      <c r="E1217" s="95" t="n">
        <v>62</v>
      </c>
      <c r="F1217" s="85" t="n">
        <v>172</v>
      </c>
      <c r="G1217" s="120" t="n">
        <v>0.0125</v>
      </c>
      <c r="H1217" s="120" t="n">
        <v>0.0125</v>
      </c>
      <c r="I1217" s="95" t="n">
        <v>4</v>
      </c>
      <c r="J1217" s="95" t="n">
        <v>63</v>
      </c>
      <c r="K1217" s="95" t="n">
        <v>0.955</v>
      </c>
      <c r="L1217" s="85" t="n">
        <v>0</v>
      </c>
    </row>
    <row r="1218">
      <c r="A1218" s="84" t="inlineStr">
        <is>
          <t>SNCF</t>
        </is>
      </c>
      <c r="B1218" s="7" t="inlineStr">
        <is>
          <t>actif</t>
        </is>
      </c>
      <c r="C1218" s="88" t="n">
        <v>2020</v>
      </c>
      <c r="D1218" s="95" t="n">
        <v>59</v>
      </c>
      <c r="E1218" s="95" t="n">
        <v>62</v>
      </c>
      <c r="F1218" s="85" t="n">
        <v>172</v>
      </c>
      <c r="G1218" s="120" t="n">
        <v>0.0125</v>
      </c>
      <c r="H1218" s="120" t="n">
        <v>0.0125</v>
      </c>
      <c r="I1218" s="95" t="n">
        <v>4</v>
      </c>
      <c r="J1218" s="95" t="n">
        <v>63</v>
      </c>
      <c r="K1218" s="95" t="n">
        <v>0.955</v>
      </c>
      <c r="L1218" s="85" t="n">
        <v>0</v>
      </c>
    </row>
    <row r="1219">
      <c r="A1219" s="84" t="inlineStr">
        <is>
          <t>SNCF</t>
        </is>
      </c>
      <c r="B1219" s="7" t="inlineStr">
        <is>
          <t>actif</t>
        </is>
      </c>
      <c r="C1219" s="88" t="n">
        <v>2021</v>
      </c>
      <c r="D1219" s="95" t="n">
        <v>59</v>
      </c>
      <c r="E1219" s="95" t="n">
        <v>62</v>
      </c>
      <c r="F1219" s="85" t="n">
        <v>172</v>
      </c>
      <c r="G1219" s="120" t="n">
        <v>0.0125</v>
      </c>
      <c r="H1219" s="120" t="n">
        <v>0.0125</v>
      </c>
      <c r="I1219" s="95" t="n">
        <v>4</v>
      </c>
      <c r="J1219" s="95" t="n">
        <v>63</v>
      </c>
      <c r="K1219" s="95" t="n">
        <v>0.955</v>
      </c>
      <c r="L1219" s="85" t="n">
        <v>0</v>
      </c>
    </row>
    <row r="1220">
      <c r="A1220" s="84" t="inlineStr">
        <is>
          <t>SNCF</t>
        </is>
      </c>
      <c r="B1220" s="7" t="inlineStr">
        <is>
          <t>actif</t>
        </is>
      </c>
      <c r="C1220" s="88" t="n">
        <v>2022</v>
      </c>
      <c r="D1220" s="95" t="n">
        <v>59</v>
      </c>
      <c r="E1220" s="95" t="n">
        <v>62</v>
      </c>
      <c r="F1220" s="85" t="n">
        <v>172</v>
      </c>
      <c r="G1220" s="120" t="n">
        <v>0.0125</v>
      </c>
      <c r="H1220" s="120" t="n">
        <v>0.0125</v>
      </c>
      <c r="I1220" s="95" t="n">
        <v>4</v>
      </c>
      <c r="J1220" s="95" t="n">
        <v>63</v>
      </c>
      <c r="K1220" s="95" t="n">
        <v>0.955</v>
      </c>
      <c r="L1220" s="85" t="n">
        <v>0</v>
      </c>
    </row>
    <row r="1221">
      <c r="A1221" s="84" t="inlineStr">
        <is>
          <t>SNCF</t>
        </is>
      </c>
      <c r="B1221" s="7" t="inlineStr">
        <is>
          <t>actif</t>
        </is>
      </c>
      <c r="C1221" s="88" t="n">
        <v>2023</v>
      </c>
      <c r="D1221" s="95" t="n">
        <v>59</v>
      </c>
      <c r="E1221" s="95" t="n">
        <v>62</v>
      </c>
      <c r="F1221" s="85" t="n">
        <v>172</v>
      </c>
      <c r="G1221" s="120" t="n">
        <v>0.0125</v>
      </c>
      <c r="H1221" s="120" t="n">
        <v>0.0125</v>
      </c>
      <c r="I1221" s="95" t="n">
        <v>4</v>
      </c>
      <c r="J1221" s="95" t="n">
        <v>63</v>
      </c>
      <c r="K1221" s="95" t="n">
        <v>0.955</v>
      </c>
      <c r="L1221" s="85" t="n">
        <v>0</v>
      </c>
    </row>
    <row r="1222">
      <c r="A1222" s="84" t="inlineStr">
        <is>
          <t>SNCF</t>
        </is>
      </c>
      <c r="B1222" s="7" t="inlineStr">
        <is>
          <t>actif</t>
        </is>
      </c>
      <c r="C1222" s="88" t="n">
        <v>2024</v>
      </c>
      <c r="D1222" s="95" t="n">
        <v>59</v>
      </c>
      <c r="E1222" s="95" t="n">
        <v>62</v>
      </c>
      <c r="F1222" s="85" t="n">
        <v>172</v>
      </c>
      <c r="G1222" s="120" t="n">
        <v>0.0125</v>
      </c>
      <c r="H1222" s="120" t="n">
        <v>0.0125</v>
      </c>
      <c r="I1222" s="95" t="n">
        <v>4</v>
      </c>
      <c r="J1222" s="95" t="n">
        <v>63</v>
      </c>
      <c r="K1222" s="95" t="n">
        <v>0.955</v>
      </c>
      <c r="L1222" s="85" t="n">
        <v>0</v>
      </c>
    </row>
    <row r="1223">
      <c r="A1223" s="84" t="inlineStr">
        <is>
          <t>SNCF</t>
        </is>
      </c>
      <c r="B1223" s="7" t="inlineStr">
        <is>
          <t>actif</t>
        </is>
      </c>
      <c r="C1223" s="88" t="n">
        <v>2025</v>
      </c>
      <c r="D1223" s="95" t="n">
        <v>59</v>
      </c>
      <c r="E1223" s="95" t="n">
        <v>62</v>
      </c>
      <c r="F1223" s="85" t="n">
        <v>172</v>
      </c>
      <c r="G1223" s="120" t="n">
        <v>0.0125</v>
      </c>
      <c r="H1223" s="120" t="n">
        <v>0.0125</v>
      </c>
      <c r="I1223" s="95" t="n">
        <v>4</v>
      </c>
      <c r="J1223" s="95" t="n">
        <v>63</v>
      </c>
      <c r="K1223" s="95" t="n">
        <v>0.955</v>
      </c>
      <c r="L1223" s="85" t="n">
        <v>0</v>
      </c>
    </row>
    <row r="1224">
      <c r="A1224" s="84" t="inlineStr">
        <is>
          <t>SNCF</t>
        </is>
      </c>
      <c r="B1224" s="7" t="inlineStr">
        <is>
          <t>conduite ou super-actif</t>
        </is>
      </c>
      <c r="C1224" s="88" t="n">
        <v>1915</v>
      </c>
      <c r="D1224" s="95" t="n">
        <v>50</v>
      </c>
      <c r="E1224" s="95" t="n">
        <v>50</v>
      </c>
      <c r="F1224" s="85" t="n">
        <v>150</v>
      </c>
      <c r="G1224" s="120" t="n">
        <v>0</v>
      </c>
      <c r="H1224" s="120" t="n">
        <v>0</v>
      </c>
      <c r="I1224" s="95" t="n">
        <v>0.4</v>
      </c>
      <c r="J1224" s="95" t="n">
        <v>50.4</v>
      </c>
      <c r="K1224" s="95" t="n">
        <v>0.931</v>
      </c>
      <c r="L1224" s="85" t="n">
        <v>1</v>
      </c>
    </row>
    <row r="1225">
      <c r="A1225" s="84" t="inlineStr">
        <is>
          <t>SNCF</t>
        </is>
      </c>
      <c r="B1225" s="7" t="inlineStr">
        <is>
          <t>conduite ou super-actif</t>
        </is>
      </c>
      <c r="C1225" s="88" t="n">
        <v>1916</v>
      </c>
      <c r="D1225" s="95" t="n">
        <v>50</v>
      </c>
      <c r="E1225" s="95" t="n">
        <v>50</v>
      </c>
      <c r="F1225" s="85" t="n">
        <v>150</v>
      </c>
      <c r="G1225" s="120" t="n">
        <v>0</v>
      </c>
      <c r="H1225" s="120" t="n">
        <v>0</v>
      </c>
      <c r="I1225" s="95" t="n">
        <v>0.4</v>
      </c>
      <c r="J1225" s="95" t="n">
        <v>50.4</v>
      </c>
      <c r="K1225" s="95" t="n">
        <v>0.931</v>
      </c>
      <c r="L1225" s="85" t="n">
        <v>1</v>
      </c>
    </row>
    <row r="1226">
      <c r="A1226" s="84" t="inlineStr">
        <is>
          <t>SNCF</t>
        </is>
      </c>
      <c r="B1226" s="7" t="inlineStr">
        <is>
          <t>conduite ou super-actif</t>
        </is>
      </c>
      <c r="C1226" s="88" t="n">
        <v>1917</v>
      </c>
      <c r="D1226" s="95" t="n">
        <v>50</v>
      </c>
      <c r="E1226" s="95" t="n">
        <v>50</v>
      </c>
      <c r="F1226" s="85" t="n">
        <v>150</v>
      </c>
      <c r="G1226" s="120" t="n">
        <v>0</v>
      </c>
      <c r="H1226" s="120" t="n">
        <v>0</v>
      </c>
      <c r="I1226" s="95" t="n">
        <v>0.4</v>
      </c>
      <c r="J1226" s="95" t="n">
        <v>50.4</v>
      </c>
      <c r="K1226" s="95" t="n">
        <v>0.931</v>
      </c>
      <c r="L1226" s="85" t="n">
        <v>1</v>
      </c>
    </row>
    <row r="1227">
      <c r="A1227" s="84" t="inlineStr">
        <is>
          <t>SNCF</t>
        </is>
      </c>
      <c r="B1227" s="7" t="inlineStr">
        <is>
          <t>conduite ou super-actif</t>
        </is>
      </c>
      <c r="C1227" s="88" t="n">
        <v>1918</v>
      </c>
      <c r="D1227" s="95" t="n">
        <v>50</v>
      </c>
      <c r="E1227" s="95" t="n">
        <v>50</v>
      </c>
      <c r="F1227" s="85" t="n">
        <v>150</v>
      </c>
      <c r="G1227" s="120" t="n">
        <v>0</v>
      </c>
      <c r="H1227" s="120" t="n">
        <v>0</v>
      </c>
      <c r="I1227" s="95" t="n">
        <v>0.4</v>
      </c>
      <c r="J1227" s="95" t="n">
        <v>50.4</v>
      </c>
      <c r="K1227" s="95" t="n">
        <v>0.931</v>
      </c>
      <c r="L1227" s="85" t="n">
        <v>1</v>
      </c>
    </row>
    <row r="1228">
      <c r="A1228" s="84" t="inlineStr">
        <is>
          <t>SNCF</t>
        </is>
      </c>
      <c r="B1228" s="7" t="inlineStr">
        <is>
          <t>conduite ou super-actif</t>
        </is>
      </c>
      <c r="C1228" s="88" t="n">
        <v>1919</v>
      </c>
      <c r="D1228" s="95" t="n">
        <v>50</v>
      </c>
      <c r="E1228" s="95" t="n">
        <v>50</v>
      </c>
      <c r="F1228" s="85" t="n">
        <v>150</v>
      </c>
      <c r="G1228" s="120" t="n">
        <v>0</v>
      </c>
      <c r="H1228" s="120" t="n">
        <v>0</v>
      </c>
      <c r="I1228" s="95" t="n">
        <v>0.4</v>
      </c>
      <c r="J1228" s="95" t="n">
        <v>50.4</v>
      </c>
      <c r="K1228" s="95" t="n">
        <v>0.931</v>
      </c>
      <c r="L1228" s="85" t="n">
        <v>1</v>
      </c>
    </row>
    <row r="1229">
      <c r="A1229" s="84" t="inlineStr">
        <is>
          <t>SNCF</t>
        </is>
      </c>
      <c r="B1229" s="7" t="inlineStr">
        <is>
          <t>conduite ou super-actif</t>
        </is>
      </c>
      <c r="C1229" s="88" t="n">
        <v>1920</v>
      </c>
      <c r="D1229" s="95" t="n">
        <v>50</v>
      </c>
      <c r="E1229" s="95" t="n">
        <v>50</v>
      </c>
      <c r="F1229" s="85" t="n">
        <v>150</v>
      </c>
      <c r="G1229" s="120" t="n">
        <v>0</v>
      </c>
      <c r="H1229" s="120" t="n">
        <v>0</v>
      </c>
      <c r="I1229" s="95" t="n">
        <v>0.4</v>
      </c>
      <c r="J1229" s="95" t="n">
        <v>50.4</v>
      </c>
      <c r="K1229" s="95" t="n">
        <v>0.931</v>
      </c>
      <c r="L1229" s="85" t="n">
        <v>1</v>
      </c>
    </row>
    <row r="1230">
      <c r="A1230" s="84" t="inlineStr">
        <is>
          <t>SNCF</t>
        </is>
      </c>
      <c r="B1230" s="7" t="inlineStr">
        <is>
          <t>conduite ou super-actif</t>
        </is>
      </c>
      <c r="C1230" s="88" t="n">
        <v>1921</v>
      </c>
      <c r="D1230" s="95" t="n">
        <v>50</v>
      </c>
      <c r="E1230" s="95" t="n">
        <v>50</v>
      </c>
      <c r="F1230" s="85" t="n">
        <v>150</v>
      </c>
      <c r="G1230" s="120" t="n">
        <v>0</v>
      </c>
      <c r="H1230" s="120" t="n">
        <v>0</v>
      </c>
      <c r="I1230" s="95" t="n">
        <v>0.4</v>
      </c>
      <c r="J1230" s="95" t="n">
        <v>50.4</v>
      </c>
      <c r="K1230" s="95" t="n">
        <v>0.931</v>
      </c>
      <c r="L1230" s="85" t="n">
        <v>1</v>
      </c>
    </row>
    <row r="1231">
      <c r="A1231" s="84" t="inlineStr">
        <is>
          <t>SNCF</t>
        </is>
      </c>
      <c r="B1231" s="7" t="inlineStr">
        <is>
          <t>conduite ou super-actif</t>
        </is>
      </c>
      <c r="C1231" s="88" t="n">
        <v>1922</v>
      </c>
      <c r="D1231" s="95" t="n">
        <v>50</v>
      </c>
      <c r="E1231" s="95" t="n">
        <v>50</v>
      </c>
      <c r="F1231" s="85" t="n">
        <v>150</v>
      </c>
      <c r="G1231" s="120" t="n">
        <v>0</v>
      </c>
      <c r="H1231" s="120" t="n">
        <v>0</v>
      </c>
      <c r="I1231" s="95" t="n">
        <v>0.4</v>
      </c>
      <c r="J1231" s="95" t="n">
        <v>50.4</v>
      </c>
      <c r="K1231" s="95" t="n">
        <v>0.931</v>
      </c>
      <c r="L1231" s="85" t="n">
        <v>1</v>
      </c>
    </row>
    <row r="1232">
      <c r="A1232" s="84" t="inlineStr">
        <is>
          <t>SNCF</t>
        </is>
      </c>
      <c r="B1232" s="7" t="inlineStr">
        <is>
          <t>conduite ou super-actif</t>
        </is>
      </c>
      <c r="C1232" s="88" t="n">
        <v>1923</v>
      </c>
      <c r="D1232" s="95" t="n">
        <v>50</v>
      </c>
      <c r="E1232" s="95" t="n">
        <v>50</v>
      </c>
      <c r="F1232" s="85" t="n">
        <v>150</v>
      </c>
      <c r="G1232" s="120" t="n">
        <v>0</v>
      </c>
      <c r="H1232" s="120" t="n">
        <v>0</v>
      </c>
      <c r="I1232" s="95" t="n">
        <v>0.4</v>
      </c>
      <c r="J1232" s="95" t="n">
        <v>50.4</v>
      </c>
      <c r="K1232" s="95" t="n">
        <v>0.931</v>
      </c>
      <c r="L1232" s="85" t="n">
        <v>1</v>
      </c>
    </row>
    <row r="1233">
      <c r="A1233" s="84" t="inlineStr">
        <is>
          <t>SNCF</t>
        </is>
      </c>
      <c r="B1233" s="7" t="inlineStr">
        <is>
          <t>conduite ou super-actif</t>
        </is>
      </c>
      <c r="C1233" s="88" t="n">
        <v>1924</v>
      </c>
      <c r="D1233" s="95" t="n">
        <v>50</v>
      </c>
      <c r="E1233" s="95" t="n">
        <v>50</v>
      </c>
      <c r="F1233" s="85" t="n">
        <v>150</v>
      </c>
      <c r="G1233" s="120" t="n">
        <v>0</v>
      </c>
      <c r="H1233" s="120" t="n">
        <v>0</v>
      </c>
      <c r="I1233" s="95" t="n">
        <v>0.4</v>
      </c>
      <c r="J1233" s="95" t="n">
        <v>50.4</v>
      </c>
      <c r="K1233" s="95" t="n">
        <v>0.931</v>
      </c>
      <c r="L1233" s="85" t="n">
        <v>1</v>
      </c>
    </row>
    <row r="1234">
      <c r="A1234" s="84" t="inlineStr">
        <is>
          <t>SNCF</t>
        </is>
      </c>
      <c r="B1234" s="7" t="inlineStr">
        <is>
          <t>conduite ou super-actif</t>
        </is>
      </c>
      <c r="C1234" s="88" t="n">
        <v>1925</v>
      </c>
      <c r="D1234" s="95" t="n">
        <v>50</v>
      </c>
      <c r="E1234" s="95" t="n">
        <v>50</v>
      </c>
      <c r="F1234" s="85" t="n">
        <v>150</v>
      </c>
      <c r="G1234" s="120" t="n">
        <v>0</v>
      </c>
      <c r="H1234" s="120" t="n">
        <v>0</v>
      </c>
      <c r="I1234" s="95" t="n">
        <v>0.4</v>
      </c>
      <c r="J1234" s="95" t="n">
        <v>50.4</v>
      </c>
      <c r="K1234" s="95" t="n">
        <v>0.931</v>
      </c>
      <c r="L1234" s="85" t="n">
        <v>1</v>
      </c>
    </row>
    <row r="1235">
      <c r="A1235" s="84" t="inlineStr">
        <is>
          <t>SNCF</t>
        </is>
      </c>
      <c r="B1235" s="7" t="inlineStr">
        <is>
          <t>conduite ou super-actif</t>
        </is>
      </c>
      <c r="C1235" s="88" t="n">
        <v>1926</v>
      </c>
      <c r="D1235" s="95" t="n">
        <v>50</v>
      </c>
      <c r="E1235" s="95" t="n">
        <v>50</v>
      </c>
      <c r="F1235" s="85" t="n">
        <v>150</v>
      </c>
      <c r="G1235" s="120" t="n">
        <v>0</v>
      </c>
      <c r="H1235" s="120" t="n">
        <v>0</v>
      </c>
      <c r="I1235" s="95" t="n">
        <v>0.4</v>
      </c>
      <c r="J1235" s="95" t="n">
        <v>50.4</v>
      </c>
      <c r="K1235" s="95" t="n">
        <v>0.931</v>
      </c>
      <c r="L1235" s="85" t="n">
        <v>1</v>
      </c>
    </row>
    <row r="1236">
      <c r="A1236" s="84" t="inlineStr">
        <is>
          <t>SNCF</t>
        </is>
      </c>
      <c r="B1236" s="7" t="inlineStr">
        <is>
          <t>conduite ou super-actif</t>
        </is>
      </c>
      <c r="C1236" s="88" t="n">
        <v>1927</v>
      </c>
      <c r="D1236" s="95" t="n">
        <v>50</v>
      </c>
      <c r="E1236" s="95" t="n">
        <v>50</v>
      </c>
      <c r="F1236" s="85" t="n">
        <v>150</v>
      </c>
      <c r="G1236" s="120" t="n">
        <v>0</v>
      </c>
      <c r="H1236" s="120" t="n">
        <v>0</v>
      </c>
      <c r="I1236" s="95" t="n">
        <v>0.4</v>
      </c>
      <c r="J1236" s="95" t="n">
        <v>50.4</v>
      </c>
      <c r="K1236" s="95" t="n">
        <v>0.931</v>
      </c>
      <c r="L1236" s="85" t="n">
        <v>1</v>
      </c>
    </row>
    <row r="1237">
      <c r="A1237" s="84" t="inlineStr">
        <is>
          <t>SNCF</t>
        </is>
      </c>
      <c r="B1237" s="7" t="inlineStr">
        <is>
          <t>conduite ou super-actif</t>
        </is>
      </c>
      <c r="C1237" s="88" t="n">
        <v>1928</v>
      </c>
      <c r="D1237" s="95" t="n">
        <v>50</v>
      </c>
      <c r="E1237" s="95" t="n">
        <v>50</v>
      </c>
      <c r="F1237" s="85" t="n">
        <v>150</v>
      </c>
      <c r="G1237" s="120" t="n">
        <v>0</v>
      </c>
      <c r="H1237" s="120" t="n">
        <v>0</v>
      </c>
      <c r="I1237" s="95" t="n">
        <v>0.4</v>
      </c>
      <c r="J1237" s="95" t="n">
        <v>50.4</v>
      </c>
      <c r="K1237" s="95" t="n">
        <v>0.931</v>
      </c>
      <c r="L1237" s="85" t="n">
        <v>1</v>
      </c>
    </row>
    <row r="1238">
      <c r="A1238" s="84" t="inlineStr">
        <is>
          <t>SNCF</t>
        </is>
      </c>
      <c r="B1238" s="7" t="inlineStr">
        <is>
          <t>conduite ou super-actif</t>
        </is>
      </c>
      <c r="C1238" s="88" t="n">
        <v>1929</v>
      </c>
      <c r="D1238" s="95" t="n">
        <v>50</v>
      </c>
      <c r="E1238" s="95" t="n">
        <v>50</v>
      </c>
      <c r="F1238" s="85" t="n">
        <v>150</v>
      </c>
      <c r="G1238" s="120" t="n">
        <v>0</v>
      </c>
      <c r="H1238" s="120" t="n">
        <v>0</v>
      </c>
      <c r="I1238" s="95" t="n">
        <v>0.4</v>
      </c>
      <c r="J1238" s="95" t="n">
        <v>50.4</v>
      </c>
      <c r="K1238" s="95" t="n">
        <v>0.931</v>
      </c>
      <c r="L1238" s="85" t="n">
        <v>1</v>
      </c>
    </row>
    <row r="1239">
      <c r="A1239" s="84" t="inlineStr">
        <is>
          <t>SNCF</t>
        </is>
      </c>
      <c r="B1239" s="7" t="inlineStr">
        <is>
          <t>conduite ou super-actif</t>
        </is>
      </c>
      <c r="C1239" s="88" t="n">
        <v>1930</v>
      </c>
      <c r="D1239" s="95" t="n">
        <v>50</v>
      </c>
      <c r="E1239" s="95" t="n">
        <v>50</v>
      </c>
      <c r="F1239" s="85" t="n">
        <v>150</v>
      </c>
      <c r="G1239" s="120" t="n">
        <v>0</v>
      </c>
      <c r="H1239" s="120" t="n">
        <v>0</v>
      </c>
      <c r="I1239" s="95" t="n">
        <v>0.4</v>
      </c>
      <c r="J1239" s="95" t="n">
        <v>50.4</v>
      </c>
      <c r="K1239" s="95" t="n">
        <v>0.931</v>
      </c>
      <c r="L1239" s="85" t="n">
        <v>1</v>
      </c>
    </row>
    <row r="1240">
      <c r="A1240" s="84" t="inlineStr">
        <is>
          <t>SNCF</t>
        </is>
      </c>
      <c r="B1240" s="7" t="inlineStr">
        <is>
          <t>conduite ou super-actif</t>
        </is>
      </c>
      <c r="C1240" s="88" t="n">
        <v>1931</v>
      </c>
      <c r="D1240" s="95" t="n">
        <v>50</v>
      </c>
      <c r="E1240" s="95" t="n">
        <v>50</v>
      </c>
      <c r="F1240" s="85" t="n">
        <v>150</v>
      </c>
      <c r="G1240" s="120" t="n">
        <v>0</v>
      </c>
      <c r="H1240" s="120" t="n">
        <v>0</v>
      </c>
      <c r="I1240" s="95" t="n">
        <v>0.4</v>
      </c>
      <c r="J1240" s="95" t="n">
        <v>50.4</v>
      </c>
      <c r="K1240" s="95" t="n">
        <v>0.931</v>
      </c>
      <c r="L1240" s="85" t="n">
        <v>1</v>
      </c>
    </row>
    <row r="1241">
      <c r="A1241" s="84" t="inlineStr">
        <is>
          <t>SNCF</t>
        </is>
      </c>
      <c r="B1241" s="7" t="inlineStr">
        <is>
          <t>conduite ou super-actif</t>
        </is>
      </c>
      <c r="C1241" s="88" t="n">
        <v>1932</v>
      </c>
      <c r="D1241" s="95" t="n">
        <v>50</v>
      </c>
      <c r="E1241" s="95" t="n">
        <v>50</v>
      </c>
      <c r="F1241" s="85" t="n">
        <v>150</v>
      </c>
      <c r="G1241" s="120" t="n">
        <v>0</v>
      </c>
      <c r="H1241" s="120" t="n">
        <v>0</v>
      </c>
      <c r="I1241" s="95" t="n">
        <v>0.4</v>
      </c>
      <c r="J1241" s="95" t="n">
        <v>50.4</v>
      </c>
      <c r="K1241" s="95" t="n">
        <v>0.931</v>
      </c>
      <c r="L1241" s="85" t="n">
        <v>1</v>
      </c>
    </row>
    <row r="1242">
      <c r="A1242" s="84" t="inlineStr">
        <is>
          <t>SNCF</t>
        </is>
      </c>
      <c r="B1242" s="7" t="inlineStr">
        <is>
          <t>conduite ou super-actif</t>
        </is>
      </c>
      <c r="C1242" s="88" t="n">
        <v>1933</v>
      </c>
      <c r="D1242" s="95" t="n">
        <v>50</v>
      </c>
      <c r="E1242" s="95" t="n">
        <v>50</v>
      </c>
      <c r="F1242" s="85" t="n">
        <v>150</v>
      </c>
      <c r="G1242" s="120" t="n">
        <v>0</v>
      </c>
      <c r="H1242" s="120" t="n">
        <v>0</v>
      </c>
      <c r="I1242" s="95" t="n">
        <v>0.4</v>
      </c>
      <c r="J1242" s="95" t="n">
        <v>50.4</v>
      </c>
      <c r="K1242" s="95" t="n">
        <v>0.931</v>
      </c>
      <c r="L1242" s="85" t="n">
        <v>1</v>
      </c>
    </row>
    <row r="1243">
      <c r="A1243" s="84" t="inlineStr">
        <is>
          <t>SNCF</t>
        </is>
      </c>
      <c r="B1243" s="7" t="inlineStr">
        <is>
          <t>conduite ou super-actif</t>
        </is>
      </c>
      <c r="C1243" s="88" t="n">
        <v>1934</v>
      </c>
      <c r="D1243" s="95" t="n">
        <v>50</v>
      </c>
      <c r="E1243" s="95" t="n">
        <v>50</v>
      </c>
      <c r="F1243" s="85" t="n">
        <v>150</v>
      </c>
      <c r="G1243" s="120" t="n">
        <v>0</v>
      </c>
      <c r="H1243" s="120" t="n">
        <v>0</v>
      </c>
      <c r="I1243" s="95" t="n">
        <v>0.4</v>
      </c>
      <c r="J1243" s="95" t="n">
        <v>50.4</v>
      </c>
      <c r="K1243" s="95" t="n">
        <v>0.931</v>
      </c>
      <c r="L1243" s="85" t="n">
        <v>1</v>
      </c>
    </row>
    <row r="1244">
      <c r="A1244" s="84" t="inlineStr">
        <is>
          <t>SNCF</t>
        </is>
      </c>
      <c r="B1244" s="7" t="inlineStr">
        <is>
          <t>conduite ou super-actif</t>
        </is>
      </c>
      <c r="C1244" s="88" t="n">
        <v>1935</v>
      </c>
      <c r="D1244" s="95" t="n">
        <v>50</v>
      </c>
      <c r="E1244" s="95" t="n">
        <v>50</v>
      </c>
      <c r="F1244" s="85" t="n">
        <v>150</v>
      </c>
      <c r="G1244" s="120" t="n">
        <v>0</v>
      </c>
      <c r="H1244" s="120" t="n">
        <v>0</v>
      </c>
      <c r="I1244" s="95" t="n">
        <v>0.4</v>
      </c>
      <c r="J1244" s="95" t="n">
        <v>50.4</v>
      </c>
      <c r="K1244" s="95" t="n">
        <v>0.931</v>
      </c>
      <c r="L1244" s="85" t="n">
        <v>1</v>
      </c>
    </row>
    <row r="1245">
      <c r="A1245" s="84" t="inlineStr">
        <is>
          <t>SNCF</t>
        </is>
      </c>
      <c r="B1245" s="7" t="inlineStr">
        <is>
          <t>conduite ou super-actif</t>
        </is>
      </c>
      <c r="C1245" s="88" t="n">
        <v>1936</v>
      </c>
      <c r="D1245" s="95" t="n">
        <v>50</v>
      </c>
      <c r="E1245" s="95" t="n">
        <v>50</v>
      </c>
      <c r="F1245" s="85" t="n">
        <v>150</v>
      </c>
      <c r="G1245" s="120" t="n">
        <v>0</v>
      </c>
      <c r="H1245" s="120" t="n">
        <v>0</v>
      </c>
      <c r="I1245" s="95" t="n">
        <v>0.4</v>
      </c>
      <c r="J1245" s="95" t="n">
        <v>50.4</v>
      </c>
      <c r="K1245" s="95" t="n">
        <v>0.931</v>
      </c>
      <c r="L1245" s="85" t="n">
        <v>1</v>
      </c>
    </row>
    <row r="1246">
      <c r="A1246" s="84" t="inlineStr">
        <is>
          <t>SNCF</t>
        </is>
      </c>
      <c r="B1246" s="7" t="inlineStr">
        <is>
          <t>conduite ou super-actif</t>
        </is>
      </c>
      <c r="C1246" s="88" t="n">
        <v>1937</v>
      </c>
      <c r="D1246" s="95" t="n">
        <v>50</v>
      </c>
      <c r="E1246" s="95" t="n">
        <v>50</v>
      </c>
      <c r="F1246" s="85" t="n">
        <v>150</v>
      </c>
      <c r="G1246" s="120" t="n">
        <v>0</v>
      </c>
      <c r="H1246" s="120" t="n">
        <v>0</v>
      </c>
      <c r="I1246" s="95" t="n">
        <v>0.4</v>
      </c>
      <c r="J1246" s="95" t="n">
        <v>50.4</v>
      </c>
      <c r="K1246" s="95" t="n">
        <v>0.931</v>
      </c>
      <c r="L1246" s="85" t="n">
        <v>1</v>
      </c>
    </row>
    <row r="1247">
      <c r="A1247" s="84" t="inlineStr">
        <is>
          <t>SNCF</t>
        </is>
      </c>
      <c r="B1247" s="7" t="inlineStr">
        <is>
          <t>conduite ou super-actif</t>
        </is>
      </c>
      <c r="C1247" s="88" t="n">
        <v>1938</v>
      </c>
      <c r="D1247" s="95" t="n">
        <v>50</v>
      </c>
      <c r="E1247" s="95" t="n">
        <v>50</v>
      </c>
      <c r="F1247" s="85" t="n">
        <v>150</v>
      </c>
      <c r="G1247" s="120" t="n">
        <v>0</v>
      </c>
      <c r="H1247" s="120" t="n">
        <v>0</v>
      </c>
      <c r="I1247" s="95" t="n">
        <v>0.4</v>
      </c>
      <c r="J1247" s="95" t="n">
        <v>50.4</v>
      </c>
      <c r="K1247" s="95" t="n">
        <v>0.931</v>
      </c>
      <c r="L1247" s="85" t="n">
        <v>1</v>
      </c>
    </row>
    <row r="1248">
      <c r="A1248" s="84" t="inlineStr">
        <is>
          <t>SNCF</t>
        </is>
      </c>
      <c r="B1248" s="7" t="inlineStr">
        <is>
          <t>conduite ou super-actif</t>
        </is>
      </c>
      <c r="C1248" s="88" t="n">
        <v>1939</v>
      </c>
      <c r="D1248" s="95" t="n">
        <v>50</v>
      </c>
      <c r="E1248" s="95" t="n">
        <v>50</v>
      </c>
      <c r="F1248" s="85" t="n">
        <v>150</v>
      </c>
      <c r="G1248" s="120" t="n">
        <v>0</v>
      </c>
      <c r="H1248" s="120" t="n">
        <v>0</v>
      </c>
      <c r="I1248" s="95" t="n">
        <v>0.4</v>
      </c>
      <c r="J1248" s="95" t="n">
        <v>50.4</v>
      </c>
      <c r="K1248" s="95" t="n">
        <v>0.931</v>
      </c>
      <c r="L1248" s="85" t="n">
        <v>1</v>
      </c>
    </row>
    <row r="1249">
      <c r="A1249" s="84" t="inlineStr">
        <is>
          <t>SNCF</t>
        </is>
      </c>
      <c r="B1249" s="7" t="inlineStr">
        <is>
          <t>conduite ou super-actif</t>
        </is>
      </c>
      <c r="C1249" s="88" t="n">
        <v>1940</v>
      </c>
      <c r="D1249" s="95" t="n">
        <v>50</v>
      </c>
      <c r="E1249" s="95" t="n">
        <v>50</v>
      </c>
      <c r="F1249" s="85" t="n">
        <v>150</v>
      </c>
      <c r="G1249" s="120" t="n">
        <v>0</v>
      </c>
      <c r="H1249" s="120" t="n">
        <v>0</v>
      </c>
      <c r="I1249" s="95" t="n">
        <v>0.4</v>
      </c>
      <c r="J1249" s="95" t="n">
        <v>50.4</v>
      </c>
      <c r="K1249" s="95" t="n">
        <v>0.931</v>
      </c>
      <c r="L1249" s="85" t="n">
        <v>1</v>
      </c>
    </row>
    <row r="1250">
      <c r="A1250" s="84" t="inlineStr">
        <is>
          <t>SNCF</t>
        </is>
      </c>
      <c r="B1250" s="7" t="inlineStr">
        <is>
          <t>conduite ou super-actif</t>
        </is>
      </c>
      <c r="C1250" s="88" t="n">
        <v>1941</v>
      </c>
      <c r="D1250" s="95" t="n">
        <v>50</v>
      </c>
      <c r="E1250" s="95" t="n">
        <v>50</v>
      </c>
      <c r="F1250" s="85" t="n">
        <v>150</v>
      </c>
      <c r="G1250" s="120" t="n">
        <v>0</v>
      </c>
      <c r="H1250" s="120" t="n">
        <v>0</v>
      </c>
      <c r="I1250" s="95" t="n">
        <v>0.4</v>
      </c>
      <c r="J1250" s="95" t="n">
        <v>50.4</v>
      </c>
      <c r="K1250" s="95" t="n">
        <v>0.931</v>
      </c>
      <c r="L1250" s="85" t="n">
        <v>1</v>
      </c>
    </row>
    <row r="1251">
      <c r="A1251" s="84" t="inlineStr">
        <is>
          <t>SNCF</t>
        </is>
      </c>
      <c r="B1251" s="7" t="inlineStr">
        <is>
          <t>conduite ou super-actif</t>
        </is>
      </c>
      <c r="C1251" s="88" t="n">
        <v>1942</v>
      </c>
      <c r="D1251" s="95" t="n">
        <v>50</v>
      </c>
      <c r="E1251" s="95" t="n">
        <v>50</v>
      </c>
      <c r="F1251" s="85" t="n">
        <v>150</v>
      </c>
      <c r="G1251" s="120" t="n">
        <v>0</v>
      </c>
      <c r="H1251" s="120" t="n">
        <v>0</v>
      </c>
      <c r="I1251" s="95" t="n">
        <v>0.4</v>
      </c>
      <c r="J1251" s="95" t="n">
        <v>50.4</v>
      </c>
      <c r="K1251" s="95" t="n">
        <v>0.931</v>
      </c>
      <c r="L1251" s="85" t="n">
        <v>1</v>
      </c>
    </row>
    <row r="1252">
      <c r="A1252" s="84" t="inlineStr">
        <is>
          <t>SNCF</t>
        </is>
      </c>
      <c r="B1252" s="7" t="inlineStr">
        <is>
          <t>conduite ou super-actif</t>
        </is>
      </c>
      <c r="C1252" s="88" t="n">
        <v>1943</v>
      </c>
      <c r="D1252" s="95" t="n">
        <v>50</v>
      </c>
      <c r="E1252" s="95" t="n">
        <v>50</v>
      </c>
      <c r="F1252" s="85" t="n">
        <v>150</v>
      </c>
      <c r="G1252" s="120" t="n">
        <v>0</v>
      </c>
      <c r="H1252" s="120" t="n">
        <v>0</v>
      </c>
      <c r="I1252" s="95" t="n">
        <v>0.4</v>
      </c>
      <c r="J1252" s="95" t="n">
        <v>50.4</v>
      </c>
      <c r="K1252" s="95" t="n">
        <v>0.931</v>
      </c>
      <c r="L1252" s="85" t="n">
        <v>1</v>
      </c>
    </row>
    <row r="1253">
      <c r="A1253" s="84" t="inlineStr">
        <is>
          <t>SNCF</t>
        </is>
      </c>
      <c r="B1253" s="7" t="inlineStr">
        <is>
          <t>conduite ou super-actif</t>
        </is>
      </c>
      <c r="C1253" s="88" t="n">
        <v>1944</v>
      </c>
      <c r="D1253" s="95" t="n">
        <v>50</v>
      </c>
      <c r="E1253" s="95" t="n">
        <v>50</v>
      </c>
      <c r="F1253" s="85" t="n">
        <v>150</v>
      </c>
      <c r="G1253" s="120" t="n">
        <v>0</v>
      </c>
      <c r="H1253" s="120" t="n">
        <v>0</v>
      </c>
      <c r="I1253" s="95" t="n">
        <v>0.4</v>
      </c>
      <c r="J1253" s="95" t="n">
        <v>50.4</v>
      </c>
      <c r="K1253" s="95" t="n">
        <v>0.931</v>
      </c>
      <c r="L1253" s="85" t="n">
        <v>1</v>
      </c>
    </row>
    <row r="1254">
      <c r="A1254" s="84" t="inlineStr">
        <is>
          <t>SNCF</t>
        </is>
      </c>
      <c r="B1254" s="7" t="inlineStr">
        <is>
          <t>conduite ou super-actif</t>
        </is>
      </c>
      <c r="C1254" s="88" t="n">
        <v>1945</v>
      </c>
      <c r="D1254" s="95" t="n">
        <v>50</v>
      </c>
      <c r="E1254" s="95" t="n">
        <v>50</v>
      </c>
      <c r="F1254" s="85" t="n">
        <v>150</v>
      </c>
      <c r="G1254" s="120" t="n">
        <v>0</v>
      </c>
      <c r="H1254" s="120" t="n">
        <v>0</v>
      </c>
      <c r="I1254" s="95" t="n">
        <v>0.4</v>
      </c>
      <c r="J1254" s="95" t="n">
        <v>50.4</v>
      </c>
      <c r="K1254" s="95" t="n">
        <v>0.931</v>
      </c>
      <c r="L1254" s="85" t="n">
        <v>1</v>
      </c>
    </row>
    <row r="1255">
      <c r="A1255" s="84" t="inlineStr">
        <is>
          <t>SNCF</t>
        </is>
      </c>
      <c r="B1255" s="7" t="inlineStr">
        <is>
          <t>conduite ou super-actif</t>
        </is>
      </c>
      <c r="C1255" s="88" t="n">
        <v>1946</v>
      </c>
      <c r="D1255" s="95" t="n">
        <v>50</v>
      </c>
      <c r="E1255" s="95" t="n">
        <v>50</v>
      </c>
      <c r="F1255" s="85" t="n">
        <v>150</v>
      </c>
      <c r="G1255" s="120" t="n">
        <v>0</v>
      </c>
      <c r="H1255" s="120" t="n">
        <v>0</v>
      </c>
      <c r="I1255" s="95" t="n">
        <v>0.61</v>
      </c>
      <c r="J1255" s="95" t="n">
        <v>50.61</v>
      </c>
      <c r="K1255" s="95" t="n">
        <v>0.931</v>
      </c>
      <c r="L1255" s="85" t="n">
        <v>1</v>
      </c>
    </row>
    <row r="1256">
      <c r="A1256" s="84" t="inlineStr">
        <is>
          <t>SNCF</t>
        </is>
      </c>
      <c r="B1256" s="7" t="inlineStr">
        <is>
          <t>conduite ou super-actif</t>
        </is>
      </c>
      <c r="C1256" s="88" t="n">
        <v>1947</v>
      </c>
      <c r="D1256" s="95" t="n">
        <v>50</v>
      </c>
      <c r="E1256" s="95" t="n">
        <v>50</v>
      </c>
      <c r="F1256" s="85" t="n">
        <v>150</v>
      </c>
      <c r="G1256" s="120" t="n">
        <v>0</v>
      </c>
      <c r="H1256" s="120" t="n">
        <v>0</v>
      </c>
      <c r="I1256" s="95" t="n">
        <v>0.8100000000000001</v>
      </c>
      <c r="J1256" s="95" t="n">
        <v>50.81</v>
      </c>
      <c r="K1256" s="95" t="n">
        <v>0.931</v>
      </c>
      <c r="L1256" s="85" t="n">
        <v>1</v>
      </c>
    </row>
    <row r="1257">
      <c r="A1257" s="84" t="inlineStr">
        <is>
          <t>SNCF</t>
        </is>
      </c>
      <c r="B1257" s="7" t="inlineStr">
        <is>
          <t>conduite ou super-actif</t>
        </is>
      </c>
      <c r="C1257" s="88" t="n">
        <v>1948</v>
      </c>
      <c r="D1257" s="95" t="n">
        <v>50</v>
      </c>
      <c r="E1257" s="95" t="n">
        <v>50</v>
      </c>
      <c r="F1257" s="85" t="n">
        <v>150</v>
      </c>
      <c r="G1257" s="120" t="n">
        <v>0</v>
      </c>
      <c r="H1257" s="120" t="n">
        <v>0</v>
      </c>
      <c r="I1257" s="95" t="n">
        <v>1.02</v>
      </c>
      <c r="J1257" s="95" t="n">
        <v>51.02</v>
      </c>
      <c r="K1257" s="95" t="n">
        <v>0.931</v>
      </c>
      <c r="L1257" s="85" t="n">
        <v>1</v>
      </c>
    </row>
    <row r="1258">
      <c r="A1258" s="84" t="inlineStr">
        <is>
          <t>SNCF</t>
        </is>
      </c>
      <c r="B1258" s="7" t="inlineStr">
        <is>
          <t>conduite ou super-actif</t>
        </is>
      </c>
      <c r="C1258" s="88" t="n">
        <v>1949</v>
      </c>
      <c r="D1258" s="95" t="n">
        <v>50</v>
      </c>
      <c r="E1258" s="95" t="n">
        <v>50</v>
      </c>
      <c r="F1258" s="85" t="n">
        <v>150</v>
      </c>
      <c r="G1258" s="120" t="n">
        <v>0</v>
      </c>
      <c r="H1258" s="120" t="n">
        <v>0</v>
      </c>
      <c r="I1258" s="95" t="n">
        <v>1.23</v>
      </c>
      <c r="J1258" s="95" t="n">
        <v>51.23</v>
      </c>
      <c r="K1258" s="95" t="n">
        <v>0.931</v>
      </c>
      <c r="L1258" s="85" t="n">
        <v>1</v>
      </c>
    </row>
    <row r="1259">
      <c r="A1259" s="84" t="inlineStr">
        <is>
          <t>SNCF</t>
        </is>
      </c>
      <c r="B1259" s="7" t="inlineStr">
        <is>
          <t>conduite ou super-actif</t>
        </is>
      </c>
      <c r="C1259" s="88" t="n">
        <v>1950</v>
      </c>
      <c r="D1259" s="95" t="n">
        <v>50</v>
      </c>
      <c r="E1259" s="95" t="n">
        <v>50</v>
      </c>
      <c r="F1259" s="85" t="n">
        <v>150</v>
      </c>
      <c r="G1259" s="120" t="n">
        <v>0</v>
      </c>
      <c r="H1259" s="120" t="n">
        <v>0</v>
      </c>
      <c r="I1259" s="95" t="n">
        <v>1.43</v>
      </c>
      <c r="J1259" s="95" t="n">
        <v>51.43</v>
      </c>
      <c r="K1259" s="95" t="n">
        <v>0.931</v>
      </c>
      <c r="L1259" s="85" t="n">
        <v>1</v>
      </c>
    </row>
    <row r="1260">
      <c r="A1260" s="84" t="inlineStr">
        <is>
          <t>SNCF</t>
        </is>
      </c>
      <c r="B1260" s="7" t="inlineStr">
        <is>
          <t>conduite ou super-actif</t>
        </is>
      </c>
      <c r="C1260" s="88" t="n">
        <v>1951</v>
      </c>
      <c r="D1260" s="95" t="n">
        <v>50</v>
      </c>
      <c r="E1260" s="95" t="n">
        <v>50</v>
      </c>
      <c r="F1260" s="85" t="n">
        <v>150</v>
      </c>
      <c r="G1260" s="120" t="n">
        <v>0</v>
      </c>
      <c r="H1260" s="120" t="n">
        <v>0</v>
      </c>
      <c r="I1260" s="95" t="n">
        <v>1.64</v>
      </c>
      <c r="J1260" s="95" t="n">
        <v>51.64</v>
      </c>
      <c r="K1260" s="95" t="n">
        <v>0.931</v>
      </c>
      <c r="L1260" s="85" t="n">
        <v>1</v>
      </c>
    </row>
    <row r="1261">
      <c r="A1261" s="84" t="inlineStr">
        <is>
          <t>SNCF</t>
        </is>
      </c>
      <c r="B1261" s="7" t="inlineStr">
        <is>
          <t>conduite ou super-actif</t>
        </is>
      </c>
      <c r="C1261" s="88" t="n">
        <v>1952</v>
      </c>
      <c r="D1261" s="95" t="n">
        <v>50</v>
      </c>
      <c r="E1261" s="95" t="n">
        <v>50</v>
      </c>
      <c r="F1261" s="85" t="n">
        <v>150</v>
      </c>
      <c r="G1261" s="120" t="n">
        <v>0</v>
      </c>
      <c r="H1261" s="120" t="n">
        <v>0</v>
      </c>
      <c r="I1261" s="95" t="n">
        <v>1.85</v>
      </c>
      <c r="J1261" s="95" t="n">
        <v>51.85</v>
      </c>
      <c r="K1261" s="95" t="n">
        <v>0.931</v>
      </c>
      <c r="L1261" s="85" t="n">
        <v>1</v>
      </c>
    </row>
    <row r="1262">
      <c r="A1262" s="84" t="inlineStr">
        <is>
          <t>SNCF</t>
        </is>
      </c>
      <c r="B1262" s="7" t="inlineStr">
        <is>
          <t>conduite ou super-actif</t>
        </is>
      </c>
      <c r="C1262" s="88" t="n">
        <v>1953</v>
      </c>
      <c r="D1262" s="95" t="n">
        <v>50</v>
      </c>
      <c r="E1262" s="95" t="n">
        <v>50</v>
      </c>
      <c r="F1262" s="85" t="n">
        <v>150</v>
      </c>
      <c r="G1262" s="120" t="n">
        <v>0</v>
      </c>
      <c r="H1262" s="120" t="n">
        <v>0</v>
      </c>
      <c r="I1262" s="95" t="n">
        <v>2.05</v>
      </c>
      <c r="J1262" s="95" t="n">
        <v>52</v>
      </c>
      <c r="K1262" s="95" t="n">
        <v>0.931</v>
      </c>
      <c r="L1262" s="85" t="n">
        <v>1</v>
      </c>
    </row>
    <row r="1263">
      <c r="A1263" s="84" t="inlineStr">
        <is>
          <t>SNCF</t>
        </is>
      </c>
      <c r="B1263" s="7" t="inlineStr">
        <is>
          <t>conduite ou super-actif</t>
        </is>
      </c>
      <c r="C1263" s="88" t="n">
        <v>1954</v>
      </c>
      <c r="D1263" s="95" t="n">
        <v>50</v>
      </c>
      <c r="E1263" s="95" t="n">
        <v>50</v>
      </c>
      <c r="F1263" s="85" t="n">
        <v>150</v>
      </c>
      <c r="G1263" s="120" t="n">
        <v>0</v>
      </c>
      <c r="H1263" s="120" t="n">
        <v>0</v>
      </c>
      <c r="I1263" s="95" t="n">
        <v>2.26</v>
      </c>
      <c r="J1263" s="95" t="n">
        <v>52</v>
      </c>
      <c r="K1263" s="95" t="n">
        <v>0.931</v>
      </c>
      <c r="L1263" s="85" t="n">
        <v>1</v>
      </c>
    </row>
    <row r="1264">
      <c r="A1264" s="84" t="inlineStr">
        <is>
          <t>SNCF</t>
        </is>
      </c>
      <c r="B1264" s="7" t="inlineStr">
        <is>
          <t>conduite ou super-actif</t>
        </is>
      </c>
      <c r="C1264" s="88" t="n">
        <v>1955</v>
      </c>
      <c r="D1264" s="95" t="n">
        <v>50</v>
      </c>
      <c r="E1264" s="95" t="n">
        <v>51</v>
      </c>
      <c r="F1264" s="85" t="n">
        <v>150</v>
      </c>
      <c r="G1264" s="120" t="n">
        <v>0</v>
      </c>
      <c r="H1264" s="120" t="n">
        <v>0</v>
      </c>
      <c r="I1264" s="95" t="n">
        <v>2.47</v>
      </c>
      <c r="J1264" s="95" t="n">
        <v>52.47</v>
      </c>
      <c r="K1264" s="95" t="n">
        <v>0.931</v>
      </c>
      <c r="L1264" s="85" t="n">
        <v>1</v>
      </c>
    </row>
    <row r="1265">
      <c r="A1265" s="84" t="inlineStr">
        <is>
          <t>SNCF</t>
        </is>
      </c>
      <c r="B1265" s="7" t="inlineStr">
        <is>
          <t>conduite ou super-actif</t>
        </is>
      </c>
      <c r="C1265" s="88" t="n">
        <v>1956</v>
      </c>
      <c r="D1265" s="95" t="n">
        <v>50</v>
      </c>
      <c r="E1265" s="95" t="n">
        <v>51</v>
      </c>
      <c r="F1265" s="85" t="n">
        <v>150</v>
      </c>
      <c r="G1265" s="120" t="n">
        <v>0</v>
      </c>
      <c r="H1265" s="120" t="n">
        <v>0</v>
      </c>
      <c r="I1265" s="95" t="n">
        <v>2.67</v>
      </c>
      <c r="J1265" s="95" t="n">
        <v>52.67</v>
      </c>
      <c r="K1265" s="95" t="n">
        <v>0.931</v>
      </c>
      <c r="L1265" s="85" t="n">
        <v>1</v>
      </c>
    </row>
    <row r="1266">
      <c r="A1266" s="84" t="inlineStr">
        <is>
          <t>SNCF</t>
        </is>
      </c>
      <c r="B1266" s="7" t="inlineStr">
        <is>
          <t>conduite ou super-actif</t>
        </is>
      </c>
      <c r="C1266" s="88" t="n">
        <v>1957</v>
      </c>
      <c r="D1266" s="95" t="n">
        <v>50</v>
      </c>
      <c r="E1266" s="95" t="n">
        <v>51.5</v>
      </c>
      <c r="F1266" s="85" t="n">
        <v>150</v>
      </c>
      <c r="G1266" s="120" t="n">
        <v>0</v>
      </c>
      <c r="H1266" s="120" t="n">
        <v>0</v>
      </c>
      <c r="I1266" s="95" t="n">
        <v>2.88</v>
      </c>
      <c r="J1266" s="95" t="n">
        <v>52.88</v>
      </c>
      <c r="K1266" s="95" t="n">
        <v>0.931</v>
      </c>
      <c r="L1266" s="85" t="n">
        <v>1</v>
      </c>
    </row>
    <row r="1267">
      <c r="A1267" s="84" t="inlineStr">
        <is>
          <t>SNCF</t>
        </is>
      </c>
      <c r="B1267" s="7" t="inlineStr">
        <is>
          <t>conduite ou super-actif</t>
        </is>
      </c>
      <c r="C1267" s="88" t="n">
        <v>1958</v>
      </c>
      <c r="D1267" s="95" t="n">
        <v>50</v>
      </c>
      <c r="E1267" s="95" t="n">
        <v>52</v>
      </c>
      <c r="F1267" s="85" t="n">
        <v>151</v>
      </c>
      <c r="G1267" s="120" t="n">
        <v>0</v>
      </c>
      <c r="H1267" s="120" t="n">
        <v>0.0075</v>
      </c>
      <c r="I1267" s="95" t="n">
        <v>3.09</v>
      </c>
      <c r="J1267" s="95" t="n">
        <v>53.09</v>
      </c>
      <c r="K1267" s="95" t="n">
        <v>0.931</v>
      </c>
      <c r="L1267" s="85" t="n">
        <v>1</v>
      </c>
    </row>
    <row r="1268">
      <c r="A1268" s="84" t="inlineStr">
        <is>
          <t>SNCF</t>
        </is>
      </c>
      <c r="B1268" s="7" t="inlineStr">
        <is>
          <t>conduite ou super-actif</t>
        </is>
      </c>
      <c r="C1268" s="88" t="n">
        <v>1959</v>
      </c>
      <c r="D1268" s="95" t="n">
        <v>50</v>
      </c>
      <c r="E1268" s="95" t="n">
        <v>52.25</v>
      </c>
      <c r="F1268" s="85" t="n">
        <v>153</v>
      </c>
      <c r="G1268" s="120" t="n">
        <v>0</v>
      </c>
      <c r="H1268" s="120" t="n">
        <v>0.0125</v>
      </c>
      <c r="I1268" s="95" t="n">
        <v>3.29</v>
      </c>
      <c r="J1268" s="95" t="n">
        <v>53.29</v>
      </c>
      <c r="K1268" s="95" t="n">
        <v>0.931</v>
      </c>
      <c r="L1268" s="85" t="n">
        <v>1</v>
      </c>
    </row>
    <row r="1269">
      <c r="A1269" s="84" t="inlineStr">
        <is>
          <t>SNCF</t>
        </is>
      </c>
      <c r="B1269" s="7" t="inlineStr">
        <is>
          <t>conduite ou super-actif</t>
        </is>
      </c>
      <c r="C1269" s="88" t="n">
        <v>1960</v>
      </c>
      <c r="D1269" s="95" t="n">
        <v>50</v>
      </c>
      <c r="E1269" s="95" t="n">
        <v>51</v>
      </c>
      <c r="F1269" s="85" t="n">
        <v>155</v>
      </c>
      <c r="G1269" s="120" t="n">
        <v>0.00125</v>
      </c>
      <c r="H1269" s="120" t="n">
        <v>0.0125</v>
      </c>
      <c r="I1269" s="95" t="n">
        <v>3.5</v>
      </c>
      <c r="J1269" s="95" t="n">
        <v>53</v>
      </c>
      <c r="K1269" s="95" t="n">
        <v>0.931</v>
      </c>
      <c r="L1269" s="85" t="n">
        <v>1</v>
      </c>
    </row>
    <row r="1270">
      <c r="A1270" s="84" t="inlineStr">
        <is>
          <t>SNCF</t>
        </is>
      </c>
      <c r="B1270" s="7" t="inlineStr">
        <is>
          <t>conduite ou super-actif</t>
        </is>
      </c>
      <c r="C1270" s="88" t="n">
        <v>1961</v>
      </c>
      <c r="D1270" s="95" t="n">
        <v>50</v>
      </c>
      <c r="E1270" s="95" t="n">
        <v>51</v>
      </c>
      <c r="F1270" s="85" t="n">
        <v>157</v>
      </c>
      <c r="G1270" s="120" t="n">
        <v>0.0025</v>
      </c>
      <c r="H1270" s="120" t="n">
        <v>0.0125</v>
      </c>
      <c r="I1270" s="95" t="n">
        <v>3.5</v>
      </c>
      <c r="J1270" s="95" t="n">
        <v>53</v>
      </c>
      <c r="K1270" s="95" t="n">
        <v>0.931</v>
      </c>
      <c r="L1270" s="85" t="n">
        <v>1</v>
      </c>
    </row>
    <row r="1271">
      <c r="A1271" s="84" t="inlineStr">
        <is>
          <t>SNCF</t>
        </is>
      </c>
      <c r="B1271" s="7" t="inlineStr">
        <is>
          <t>conduite ou super-actif</t>
        </is>
      </c>
      <c r="C1271" s="88" t="n">
        <v>1962</v>
      </c>
      <c r="D1271" s="95" t="n">
        <v>50</v>
      </c>
      <c r="E1271" s="95" t="n">
        <v>51.5</v>
      </c>
      <c r="F1271" s="85" t="n">
        <v>159</v>
      </c>
      <c r="G1271" s="120" t="n">
        <v>0.00375</v>
      </c>
      <c r="H1271" s="120" t="n">
        <v>0.0125</v>
      </c>
      <c r="I1271" s="95" t="n">
        <v>3.5</v>
      </c>
      <c r="J1271" s="95" t="n">
        <v>53.5</v>
      </c>
      <c r="K1271" s="95" t="n">
        <v>0.931</v>
      </c>
      <c r="L1271" s="85" t="n">
        <v>1</v>
      </c>
    </row>
    <row r="1272">
      <c r="A1272" s="84" t="inlineStr">
        <is>
          <t>SNCF</t>
        </is>
      </c>
      <c r="B1272" s="7" t="inlineStr">
        <is>
          <t>conduite ou super-actif</t>
        </is>
      </c>
      <c r="C1272" s="88" t="n">
        <v>1963</v>
      </c>
      <c r="D1272" s="95" t="n">
        <v>50</v>
      </c>
      <c r="E1272" s="95" t="n">
        <v>52</v>
      </c>
      <c r="F1272" s="85" t="n">
        <v>161</v>
      </c>
      <c r="G1272" s="120" t="n">
        <v>0.005</v>
      </c>
      <c r="H1272" s="120" t="n">
        <v>0.0125</v>
      </c>
      <c r="I1272" s="95" t="n">
        <v>3.5</v>
      </c>
      <c r="J1272" s="95" t="n">
        <v>53.5</v>
      </c>
      <c r="K1272" s="95" t="n">
        <v>0.931</v>
      </c>
      <c r="L1272" s="85" t="n">
        <v>1</v>
      </c>
    </row>
    <row r="1273">
      <c r="A1273" s="84" t="inlineStr">
        <is>
          <t>SNCF</t>
        </is>
      </c>
      <c r="B1273" s="7" t="inlineStr">
        <is>
          <t>conduite ou super-actif</t>
        </is>
      </c>
      <c r="C1273" s="88" t="n">
        <v>1964</v>
      </c>
      <c r="D1273" s="95" t="n">
        <v>50</v>
      </c>
      <c r="E1273" s="95" t="n">
        <v>52.25</v>
      </c>
      <c r="F1273" s="85" t="n">
        <v>162</v>
      </c>
      <c r="G1273" s="120" t="n">
        <v>0.00625</v>
      </c>
      <c r="H1273" s="120" t="n">
        <v>0.0125</v>
      </c>
      <c r="I1273" s="95" t="n">
        <v>3.5</v>
      </c>
      <c r="J1273" s="95" t="n">
        <v>53.5</v>
      </c>
      <c r="K1273" s="95" t="n">
        <v>0.931</v>
      </c>
      <c r="L1273" s="85" t="n">
        <v>1</v>
      </c>
    </row>
    <row r="1274">
      <c r="A1274" s="84" t="inlineStr">
        <is>
          <t>SNCF</t>
        </is>
      </c>
      <c r="B1274" s="7" t="inlineStr">
        <is>
          <t>conduite ou super-actif</t>
        </is>
      </c>
      <c r="C1274" s="88" t="n">
        <v>1965</v>
      </c>
      <c r="D1274" s="95" t="n">
        <v>50</v>
      </c>
      <c r="E1274" s="95" t="n">
        <v>52.5</v>
      </c>
      <c r="F1274" s="85" t="n">
        <v>163</v>
      </c>
      <c r="G1274" s="120" t="n">
        <v>0.0075</v>
      </c>
      <c r="H1274" s="120" t="n">
        <v>0.0125</v>
      </c>
      <c r="I1274" s="95" t="n">
        <v>3.5</v>
      </c>
      <c r="J1274" s="95" t="n">
        <v>53.5</v>
      </c>
      <c r="K1274" s="95" t="n">
        <v>0.931</v>
      </c>
      <c r="L1274" s="85" t="n">
        <v>1</v>
      </c>
    </row>
    <row r="1275">
      <c r="A1275" s="84" t="inlineStr">
        <is>
          <t>SNCF</t>
        </is>
      </c>
      <c r="B1275" s="7" t="inlineStr">
        <is>
          <t>conduite ou super-actif</t>
        </is>
      </c>
      <c r="C1275" s="88" t="n">
        <v>1966</v>
      </c>
      <c r="D1275" s="95" t="n">
        <v>50</v>
      </c>
      <c r="E1275" s="95" t="n">
        <v>52.75</v>
      </c>
      <c r="F1275" s="85" t="n">
        <v>164</v>
      </c>
      <c r="G1275" s="120" t="n">
        <v>0.008750000000000001</v>
      </c>
      <c r="H1275" s="120" t="n">
        <v>0.0125</v>
      </c>
      <c r="I1275" s="95" t="n">
        <v>3.5</v>
      </c>
      <c r="J1275" s="95" t="n">
        <v>53.5</v>
      </c>
      <c r="K1275" s="95" t="n">
        <v>0.931</v>
      </c>
      <c r="L1275" s="85" t="n">
        <v>1</v>
      </c>
    </row>
    <row r="1276">
      <c r="A1276" s="84" t="inlineStr">
        <is>
          <t>SNCF</t>
        </is>
      </c>
      <c r="B1276" s="7" t="inlineStr">
        <is>
          <t>conduite ou super-actif</t>
        </is>
      </c>
      <c r="C1276" s="88" t="n">
        <v>1967</v>
      </c>
      <c r="D1276" s="95" t="n">
        <v>50.3333</v>
      </c>
      <c r="E1276" s="95" t="n">
        <v>53.33</v>
      </c>
      <c r="F1276" s="85" t="n">
        <v>165</v>
      </c>
      <c r="G1276" s="120" t="n">
        <v>0.01</v>
      </c>
      <c r="H1276" s="120" t="n">
        <v>0.0125</v>
      </c>
      <c r="I1276" s="95" t="n">
        <v>3.5</v>
      </c>
      <c r="J1276" s="95" t="n">
        <v>53.83</v>
      </c>
      <c r="K1276" s="95" t="n">
        <v>0.931</v>
      </c>
      <c r="L1276" s="85" t="n">
        <v>1</v>
      </c>
    </row>
    <row r="1277">
      <c r="A1277" s="84" t="inlineStr">
        <is>
          <t>SNCF</t>
        </is>
      </c>
      <c r="B1277" s="7" t="inlineStr">
        <is>
          <t>conduite ou super-actif</t>
        </is>
      </c>
      <c r="C1277" s="88" t="n">
        <v>1968</v>
      </c>
      <c r="D1277" s="95" t="n">
        <v>50.6667</v>
      </c>
      <c r="E1277" s="95" t="n">
        <v>54.17</v>
      </c>
      <c r="F1277" s="85" t="n">
        <v>166</v>
      </c>
      <c r="G1277" s="120" t="n">
        <v>0.01125</v>
      </c>
      <c r="H1277" s="120" t="n">
        <v>0.0125</v>
      </c>
      <c r="I1277" s="95" t="n">
        <v>3.5</v>
      </c>
      <c r="J1277" s="95" t="n">
        <v>54.17</v>
      </c>
      <c r="K1277" s="95" t="n">
        <v>0.931</v>
      </c>
      <c r="L1277" s="85" t="n">
        <v>1</v>
      </c>
    </row>
    <row r="1278">
      <c r="A1278" s="84" t="inlineStr">
        <is>
          <t>SNCF</t>
        </is>
      </c>
      <c r="B1278" s="7" t="inlineStr">
        <is>
          <t>conduite ou super-actif</t>
        </is>
      </c>
      <c r="C1278" s="88" t="n">
        <v>1969</v>
      </c>
      <c r="D1278" s="95" t="n">
        <v>51</v>
      </c>
      <c r="E1278" s="95" t="n">
        <v>54.75</v>
      </c>
      <c r="F1278" s="85" t="n">
        <v>167</v>
      </c>
      <c r="G1278" s="120" t="n">
        <v>0.0125</v>
      </c>
      <c r="H1278" s="120" t="n">
        <v>0.0125</v>
      </c>
      <c r="I1278" s="95" t="n">
        <v>3.5</v>
      </c>
      <c r="J1278" s="95" t="n">
        <v>54.5</v>
      </c>
      <c r="K1278" s="95" t="n">
        <v>0.931</v>
      </c>
      <c r="L1278" s="85" t="n">
        <v>1</v>
      </c>
    </row>
    <row r="1279">
      <c r="A1279" s="84" t="inlineStr">
        <is>
          <t>SNCF</t>
        </is>
      </c>
      <c r="B1279" s="7" t="inlineStr">
        <is>
          <t>conduite ou super-actif</t>
        </is>
      </c>
      <c r="C1279" s="88" t="n">
        <v>1970</v>
      </c>
      <c r="D1279" s="95" t="n">
        <v>51.3333</v>
      </c>
      <c r="E1279" s="95" t="n">
        <v>55.31</v>
      </c>
      <c r="F1279" s="85" t="n">
        <v>167</v>
      </c>
      <c r="G1279" s="120" t="n">
        <v>0.0125</v>
      </c>
      <c r="H1279" s="120" t="n">
        <v>0.0125</v>
      </c>
      <c r="I1279" s="95" t="n">
        <v>3.5</v>
      </c>
      <c r="J1279" s="95" t="n">
        <v>54.83</v>
      </c>
      <c r="K1279" s="95" t="n">
        <v>0.931</v>
      </c>
      <c r="L1279" s="85" t="n">
        <v>1</v>
      </c>
    </row>
    <row r="1280">
      <c r="A1280" s="84" t="inlineStr">
        <is>
          <t>SNCF</t>
        </is>
      </c>
      <c r="B1280" s="7" t="inlineStr">
        <is>
          <t>conduite ou super-actif</t>
        </is>
      </c>
      <c r="C1280" s="88" t="n">
        <v>1971</v>
      </c>
      <c r="D1280" s="95" t="n">
        <v>51.6667</v>
      </c>
      <c r="E1280" s="95" t="n">
        <v>55.86</v>
      </c>
      <c r="F1280" s="85" t="n">
        <v>168</v>
      </c>
      <c r="G1280" s="120" t="n">
        <v>0.0125</v>
      </c>
      <c r="H1280" s="120" t="n">
        <v>0.0125</v>
      </c>
      <c r="I1280" s="95" t="n">
        <v>3.5</v>
      </c>
      <c r="J1280" s="95" t="n">
        <v>55.17</v>
      </c>
      <c r="K1280" s="95" t="n">
        <v>0.931</v>
      </c>
      <c r="L1280" s="85" t="n">
        <v>1</v>
      </c>
    </row>
    <row r="1281">
      <c r="A1281" s="84" t="inlineStr">
        <is>
          <t>SNCF</t>
        </is>
      </c>
      <c r="B1281" s="7" t="inlineStr">
        <is>
          <t>conduite ou super-actif</t>
        </is>
      </c>
      <c r="C1281" s="88" t="n">
        <v>1972</v>
      </c>
      <c r="D1281" s="95" t="n">
        <v>52</v>
      </c>
      <c r="E1281" s="95" t="n">
        <v>56.42</v>
      </c>
      <c r="F1281" s="85" t="n">
        <v>168</v>
      </c>
      <c r="G1281" s="120" t="n">
        <v>0.0125</v>
      </c>
      <c r="H1281" s="120" t="n">
        <v>0.0125</v>
      </c>
      <c r="I1281" s="95" t="n">
        <v>3.5</v>
      </c>
      <c r="J1281" s="95" t="n">
        <v>55.5</v>
      </c>
      <c r="K1281" s="95" t="n">
        <v>0.931</v>
      </c>
      <c r="L1281" s="85" t="n">
        <v>1</v>
      </c>
    </row>
    <row r="1282">
      <c r="A1282" s="84" t="inlineStr">
        <is>
          <t>SNCF</t>
        </is>
      </c>
      <c r="B1282" s="7" t="inlineStr">
        <is>
          <t>conduite ou super-actif</t>
        </is>
      </c>
      <c r="C1282" s="88" t="n">
        <v>1973</v>
      </c>
      <c r="D1282" s="95" t="n">
        <v>52.25</v>
      </c>
      <c r="E1282" s="95" t="n">
        <v>56.88</v>
      </c>
      <c r="F1282" s="85" t="n">
        <v>169</v>
      </c>
      <c r="G1282" s="120" t="n">
        <v>0.0125</v>
      </c>
      <c r="H1282" s="120" t="n">
        <v>0.0125</v>
      </c>
      <c r="I1282" s="95" t="n">
        <v>3.5</v>
      </c>
      <c r="J1282" s="95" t="n">
        <v>55.75</v>
      </c>
      <c r="K1282" s="95" t="n">
        <v>0.931</v>
      </c>
      <c r="L1282" s="85" t="n">
        <v>1</v>
      </c>
    </row>
    <row r="1283">
      <c r="A1283" s="84" t="inlineStr">
        <is>
          <t>SNCF</t>
        </is>
      </c>
      <c r="B1283" s="7" t="inlineStr">
        <is>
          <t>conduite ou super-actif</t>
        </is>
      </c>
      <c r="C1283" s="88" t="n">
        <v>1974</v>
      </c>
      <c r="D1283" s="95" t="n">
        <v>52.5</v>
      </c>
      <c r="E1283" s="95" t="n">
        <v>57</v>
      </c>
      <c r="F1283" s="85" t="n">
        <v>170</v>
      </c>
      <c r="G1283" s="120" t="n">
        <v>0.0125</v>
      </c>
      <c r="H1283" s="120" t="n">
        <v>0.0125</v>
      </c>
      <c r="I1283" s="95" t="n">
        <v>3.5</v>
      </c>
      <c r="J1283" s="95" t="n">
        <v>56</v>
      </c>
      <c r="K1283" s="95" t="n">
        <v>0.931</v>
      </c>
      <c r="L1283" s="85" t="n">
        <v>1</v>
      </c>
    </row>
    <row r="1284">
      <c r="A1284" s="84" t="inlineStr">
        <is>
          <t>SNCF</t>
        </is>
      </c>
      <c r="B1284" s="7" t="inlineStr">
        <is>
          <t>conduite ou super-actif</t>
        </is>
      </c>
      <c r="C1284" s="88" t="n">
        <v>1975</v>
      </c>
      <c r="D1284" s="95" t="n">
        <v>52.75</v>
      </c>
      <c r="E1284" s="95" t="n">
        <v>57</v>
      </c>
      <c r="F1284" s="85" t="n">
        <v>170</v>
      </c>
      <c r="G1284" s="120" t="n">
        <v>0.0125</v>
      </c>
      <c r="H1284" s="120" t="n">
        <v>0.0125</v>
      </c>
      <c r="I1284" s="95" t="n">
        <v>3.5</v>
      </c>
      <c r="J1284" s="95" t="n">
        <v>56.25</v>
      </c>
      <c r="K1284" s="95" t="n">
        <v>0.931</v>
      </c>
      <c r="L1284" s="85" t="n">
        <v>1</v>
      </c>
    </row>
    <row r="1285">
      <c r="A1285" s="84" t="inlineStr">
        <is>
          <t>SNCF</t>
        </is>
      </c>
      <c r="B1285" s="7" t="inlineStr">
        <is>
          <t>conduite ou super-actif</t>
        </is>
      </c>
      <c r="C1285" s="88" t="n">
        <v>1976</v>
      </c>
      <c r="D1285" s="95" t="n">
        <v>53</v>
      </c>
      <c r="E1285" s="95" t="n">
        <v>57</v>
      </c>
      <c r="F1285" s="85" t="n">
        <v>171</v>
      </c>
      <c r="G1285" s="120" t="n">
        <v>0.0125</v>
      </c>
      <c r="H1285" s="120" t="n">
        <v>0.0125</v>
      </c>
      <c r="I1285" s="95" t="n">
        <v>3.5</v>
      </c>
      <c r="J1285" s="95" t="n">
        <v>56.5</v>
      </c>
      <c r="K1285" s="95" t="n">
        <v>0.931</v>
      </c>
      <c r="L1285" s="85" t="n">
        <v>1</v>
      </c>
    </row>
    <row r="1286">
      <c r="A1286" s="84" t="inlineStr">
        <is>
          <t>SNCF</t>
        </is>
      </c>
      <c r="B1286" s="7" t="inlineStr">
        <is>
          <t>conduite ou super-actif</t>
        </is>
      </c>
      <c r="C1286" s="88" t="n">
        <v>1977</v>
      </c>
      <c r="D1286" s="95" t="n">
        <v>53.25</v>
      </c>
      <c r="E1286" s="95" t="n">
        <v>57</v>
      </c>
      <c r="F1286" s="85" t="n">
        <v>171</v>
      </c>
      <c r="G1286" s="120" t="n">
        <v>0.0125</v>
      </c>
      <c r="H1286" s="120" t="n">
        <v>0.0125</v>
      </c>
      <c r="I1286" s="95" t="n">
        <v>3.5</v>
      </c>
      <c r="J1286" s="95" t="n">
        <v>56.75</v>
      </c>
      <c r="K1286" s="95" t="n">
        <v>0.931</v>
      </c>
      <c r="L1286" s="85" t="n">
        <v>1</v>
      </c>
    </row>
    <row r="1287">
      <c r="A1287" s="84" t="inlineStr">
        <is>
          <t>SNCF</t>
        </is>
      </c>
      <c r="B1287" s="7" t="inlineStr">
        <is>
          <t>conduite ou super-actif</t>
        </is>
      </c>
      <c r="C1287" s="88" t="n">
        <v>1978</v>
      </c>
      <c r="D1287" s="95" t="n">
        <v>53.5</v>
      </c>
      <c r="E1287" s="95" t="n">
        <v>57</v>
      </c>
      <c r="F1287" s="85" t="n">
        <v>172</v>
      </c>
      <c r="G1287" s="120" t="n">
        <v>0.0125</v>
      </c>
      <c r="H1287" s="120" t="n">
        <v>0.0125</v>
      </c>
      <c r="I1287" s="95" t="n">
        <v>3.5</v>
      </c>
      <c r="J1287" s="95" t="n">
        <v>57</v>
      </c>
      <c r="K1287" s="95" t="n">
        <v>0.931</v>
      </c>
      <c r="L1287" s="85" t="n">
        <v>1</v>
      </c>
    </row>
    <row r="1288">
      <c r="A1288" s="84" t="inlineStr">
        <is>
          <t>SNCF</t>
        </is>
      </c>
      <c r="B1288" s="7" t="inlineStr">
        <is>
          <t>conduite ou super-actif</t>
        </is>
      </c>
      <c r="C1288" s="88" t="n">
        <v>1979</v>
      </c>
      <c r="D1288" s="95" t="n">
        <v>53.75</v>
      </c>
      <c r="E1288" s="95" t="n">
        <v>57</v>
      </c>
      <c r="F1288" s="85" t="n">
        <v>172</v>
      </c>
      <c r="G1288" s="120" t="n">
        <v>0.0125</v>
      </c>
      <c r="H1288" s="120" t="n">
        <v>0.0125</v>
      </c>
      <c r="I1288" s="95" t="n">
        <v>3.5</v>
      </c>
      <c r="J1288" s="95" t="n">
        <v>57.25</v>
      </c>
      <c r="K1288" s="95" t="n">
        <v>0.931</v>
      </c>
      <c r="L1288" s="85" t="n">
        <v>1</v>
      </c>
    </row>
    <row r="1289">
      <c r="A1289" s="84" t="inlineStr">
        <is>
          <t>SNCF</t>
        </is>
      </c>
      <c r="B1289" s="7" t="inlineStr">
        <is>
          <t>conduite ou super-actif</t>
        </is>
      </c>
      <c r="C1289" s="88" t="n">
        <v>1980</v>
      </c>
      <c r="D1289" s="95" t="n">
        <v>54</v>
      </c>
      <c r="E1289" s="95" t="n">
        <v>57</v>
      </c>
      <c r="F1289" s="85" t="n">
        <v>172</v>
      </c>
      <c r="G1289" s="120" t="n">
        <v>0.0125</v>
      </c>
      <c r="H1289" s="120" t="n">
        <v>0.0125</v>
      </c>
      <c r="I1289" s="95" t="n">
        <v>3.5</v>
      </c>
      <c r="J1289" s="95" t="n">
        <v>57.5</v>
      </c>
      <c r="K1289" s="95" t="n">
        <v>0.931</v>
      </c>
      <c r="L1289" s="85" t="n">
        <v>1</v>
      </c>
    </row>
    <row r="1290">
      <c r="A1290" s="84" t="inlineStr">
        <is>
          <t>SNCF</t>
        </is>
      </c>
      <c r="B1290" s="7" t="inlineStr">
        <is>
          <t>conduite ou super-actif</t>
        </is>
      </c>
      <c r="C1290" s="88" t="n">
        <v>1981</v>
      </c>
      <c r="D1290" s="95" t="n">
        <v>54</v>
      </c>
      <c r="E1290" s="95" t="n">
        <v>57</v>
      </c>
      <c r="F1290" s="85" t="n">
        <v>172</v>
      </c>
      <c r="G1290" s="120" t="n">
        <v>0.0125</v>
      </c>
      <c r="H1290" s="120" t="n">
        <v>0.0125</v>
      </c>
      <c r="I1290" s="95" t="n">
        <v>3.5</v>
      </c>
      <c r="J1290" s="95" t="n">
        <v>57.5</v>
      </c>
      <c r="K1290" s="95" t="n">
        <v>0.931</v>
      </c>
      <c r="L1290" s="85" t="n">
        <v>1</v>
      </c>
    </row>
    <row r="1291">
      <c r="A1291" s="84" t="inlineStr">
        <is>
          <t>SNCF</t>
        </is>
      </c>
      <c r="B1291" s="7" t="inlineStr">
        <is>
          <t>conduite ou super-actif</t>
        </is>
      </c>
      <c r="C1291" s="88" t="n">
        <v>1982</v>
      </c>
      <c r="D1291" s="95" t="n">
        <v>54</v>
      </c>
      <c r="E1291" s="95" t="n">
        <v>57</v>
      </c>
      <c r="F1291" s="85" t="n">
        <v>172</v>
      </c>
      <c r="G1291" s="120" t="n">
        <v>0.0125</v>
      </c>
      <c r="H1291" s="120" t="n">
        <v>0.0125</v>
      </c>
      <c r="I1291" s="95" t="n">
        <v>3.5</v>
      </c>
      <c r="J1291" s="95" t="n">
        <v>57.5</v>
      </c>
      <c r="K1291" s="95" t="n">
        <v>0.931</v>
      </c>
      <c r="L1291" s="85" t="n">
        <v>1</v>
      </c>
    </row>
    <row r="1292">
      <c r="A1292" s="84" t="inlineStr">
        <is>
          <t>SNCF</t>
        </is>
      </c>
      <c r="B1292" s="7" t="inlineStr">
        <is>
          <t>conduite ou super-actif</t>
        </is>
      </c>
      <c r="C1292" s="88" t="n">
        <v>1983</v>
      </c>
      <c r="D1292" s="95" t="n">
        <v>54</v>
      </c>
      <c r="E1292" s="95" t="n">
        <v>57</v>
      </c>
      <c r="F1292" s="85" t="n">
        <v>172</v>
      </c>
      <c r="G1292" s="120" t="n">
        <v>0.0125</v>
      </c>
      <c r="H1292" s="120" t="n">
        <v>0.0125</v>
      </c>
      <c r="I1292" s="95" t="n">
        <v>3.5</v>
      </c>
      <c r="J1292" s="95" t="n">
        <v>57.5</v>
      </c>
      <c r="K1292" s="95" t="n">
        <v>0.931</v>
      </c>
      <c r="L1292" s="85" t="n">
        <v>1</v>
      </c>
    </row>
    <row r="1293">
      <c r="A1293" s="84" t="inlineStr">
        <is>
          <t>SNCF</t>
        </is>
      </c>
      <c r="B1293" s="7" t="inlineStr">
        <is>
          <t>conduite ou super-actif</t>
        </is>
      </c>
      <c r="C1293" s="88" t="n">
        <v>1984</v>
      </c>
      <c r="D1293" s="95" t="n">
        <v>54</v>
      </c>
      <c r="E1293" s="95" t="n">
        <v>57</v>
      </c>
      <c r="F1293" s="85" t="n">
        <v>172</v>
      </c>
      <c r="G1293" s="120" t="n">
        <v>0.0125</v>
      </c>
      <c r="H1293" s="120" t="n">
        <v>0.0125</v>
      </c>
      <c r="I1293" s="95" t="n">
        <v>3.5</v>
      </c>
      <c r="J1293" s="95" t="n">
        <v>57.5</v>
      </c>
      <c r="K1293" s="95" t="n">
        <v>0.931</v>
      </c>
      <c r="L1293" s="85" t="n">
        <v>1</v>
      </c>
    </row>
    <row r="1294">
      <c r="A1294" s="84" t="inlineStr">
        <is>
          <t>SNCF</t>
        </is>
      </c>
      <c r="B1294" s="7" t="inlineStr">
        <is>
          <t>conduite ou super-actif</t>
        </is>
      </c>
      <c r="C1294" s="88" t="n">
        <v>1985</v>
      </c>
      <c r="D1294" s="95" t="n">
        <v>54</v>
      </c>
      <c r="E1294" s="95" t="n">
        <v>57</v>
      </c>
      <c r="F1294" s="85" t="n">
        <v>172</v>
      </c>
      <c r="G1294" s="120" t="n">
        <v>0.0125</v>
      </c>
      <c r="H1294" s="120" t="n">
        <v>0.0125</v>
      </c>
      <c r="I1294" s="95" t="n">
        <v>3.5</v>
      </c>
      <c r="J1294" s="95" t="n">
        <v>57.5</v>
      </c>
      <c r="K1294" s="95" t="n">
        <v>0.931</v>
      </c>
      <c r="L1294" s="85" t="n">
        <v>1</v>
      </c>
    </row>
    <row r="1295">
      <c r="A1295" s="84" t="inlineStr">
        <is>
          <t>SNCF</t>
        </is>
      </c>
      <c r="B1295" s="7" t="inlineStr">
        <is>
          <t>conduite ou super-actif</t>
        </is>
      </c>
      <c r="C1295" s="88" t="n">
        <v>1986</v>
      </c>
      <c r="D1295" s="95" t="n">
        <v>54</v>
      </c>
      <c r="E1295" s="95" t="n">
        <v>57</v>
      </c>
      <c r="F1295" s="85" t="n">
        <v>172</v>
      </c>
      <c r="G1295" s="120" t="n">
        <v>0.0125</v>
      </c>
      <c r="H1295" s="120" t="n">
        <v>0.0125</v>
      </c>
      <c r="I1295" s="95" t="n">
        <v>3.5</v>
      </c>
      <c r="J1295" s="95" t="n">
        <v>57.5</v>
      </c>
      <c r="K1295" s="95" t="n">
        <v>0.931</v>
      </c>
      <c r="L1295" s="85" t="n">
        <v>1</v>
      </c>
    </row>
    <row r="1296">
      <c r="A1296" s="84" t="inlineStr">
        <is>
          <t>SNCF</t>
        </is>
      </c>
      <c r="B1296" s="7" t="inlineStr">
        <is>
          <t>conduite ou super-actif</t>
        </is>
      </c>
      <c r="C1296" s="88" t="n">
        <v>1987</v>
      </c>
      <c r="D1296" s="95" t="n">
        <v>54</v>
      </c>
      <c r="E1296" s="95" t="n">
        <v>57</v>
      </c>
      <c r="F1296" s="85" t="n">
        <v>172</v>
      </c>
      <c r="G1296" s="120" t="n">
        <v>0.0125</v>
      </c>
      <c r="H1296" s="120" t="n">
        <v>0.0125</v>
      </c>
      <c r="I1296" s="95" t="n">
        <v>3.5</v>
      </c>
      <c r="J1296" s="95" t="n">
        <v>57.5</v>
      </c>
      <c r="K1296" s="95" t="n">
        <v>0.931</v>
      </c>
      <c r="L1296" s="85" t="n">
        <v>1</v>
      </c>
    </row>
    <row r="1297">
      <c r="A1297" s="84" t="inlineStr">
        <is>
          <t>SNCF</t>
        </is>
      </c>
      <c r="B1297" s="7" t="inlineStr">
        <is>
          <t>conduite ou super-actif</t>
        </is>
      </c>
      <c r="C1297" s="88" t="n">
        <v>1988</v>
      </c>
      <c r="D1297" s="95" t="n">
        <v>54</v>
      </c>
      <c r="E1297" s="95" t="n">
        <v>57</v>
      </c>
      <c r="F1297" s="85" t="n">
        <v>172</v>
      </c>
      <c r="G1297" s="120" t="n">
        <v>0.0125</v>
      </c>
      <c r="H1297" s="120" t="n">
        <v>0.0125</v>
      </c>
      <c r="I1297" s="95" t="n">
        <v>3.5</v>
      </c>
      <c r="J1297" s="95" t="n">
        <v>57.5</v>
      </c>
      <c r="K1297" s="95" t="n">
        <v>0.931</v>
      </c>
      <c r="L1297" s="85" t="n">
        <v>1</v>
      </c>
    </row>
    <row r="1298">
      <c r="A1298" s="84" t="inlineStr">
        <is>
          <t>SNCF</t>
        </is>
      </c>
      <c r="B1298" s="7" t="inlineStr">
        <is>
          <t>conduite ou super-actif</t>
        </is>
      </c>
      <c r="C1298" s="88" t="n">
        <v>1989</v>
      </c>
      <c r="D1298" s="95" t="n">
        <v>54</v>
      </c>
      <c r="E1298" s="95" t="n">
        <v>57</v>
      </c>
      <c r="F1298" s="85" t="n">
        <v>172</v>
      </c>
      <c r="G1298" s="120" t="n">
        <v>0.0125</v>
      </c>
      <c r="H1298" s="120" t="n">
        <v>0.0125</v>
      </c>
      <c r="I1298" s="95" t="n">
        <v>3.5</v>
      </c>
      <c r="J1298" s="95" t="n">
        <v>57.5</v>
      </c>
      <c r="K1298" s="95" t="n">
        <v>0.931</v>
      </c>
      <c r="L1298" s="85" t="n">
        <v>1</v>
      </c>
    </row>
    <row r="1299">
      <c r="A1299" s="84" t="inlineStr">
        <is>
          <t>SNCF</t>
        </is>
      </c>
      <c r="B1299" s="7" t="inlineStr">
        <is>
          <t>conduite ou super-actif</t>
        </is>
      </c>
      <c r="C1299" s="88" t="n">
        <v>1990</v>
      </c>
      <c r="D1299" s="95" t="n">
        <v>54</v>
      </c>
      <c r="E1299" s="95" t="n">
        <v>57</v>
      </c>
      <c r="F1299" s="85" t="n">
        <v>172</v>
      </c>
      <c r="G1299" s="120" t="n">
        <v>0.0125</v>
      </c>
      <c r="H1299" s="120" t="n">
        <v>0.0125</v>
      </c>
      <c r="I1299" s="95" t="n">
        <v>3.5</v>
      </c>
      <c r="J1299" s="95" t="n">
        <v>57.5</v>
      </c>
      <c r="K1299" s="95" t="n">
        <v>0.931</v>
      </c>
      <c r="L1299" s="85" t="n">
        <v>1</v>
      </c>
    </row>
    <row r="1300">
      <c r="A1300" s="84" t="inlineStr">
        <is>
          <t>SNCF</t>
        </is>
      </c>
      <c r="B1300" s="7" t="inlineStr">
        <is>
          <t>conduite ou super-actif</t>
        </is>
      </c>
      <c r="C1300" s="88" t="n">
        <v>1991</v>
      </c>
      <c r="D1300" s="95" t="n">
        <v>54</v>
      </c>
      <c r="E1300" s="95" t="n">
        <v>57</v>
      </c>
      <c r="F1300" s="85" t="n">
        <v>172</v>
      </c>
      <c r="G1300" s="120" t="n">
        <v>0.0125</v>
      </c>
      <c r="H1300" s="120" t="n">
        <v>0.0125</v>
      </c>
      <c r="I1300" s="95" t="n">
        <v>3.5</v>
      </c>
      <c r="J1300" s="95" t="n">
        <v>57.5</v>
      </c>
      <c r="K1300" s="95" t="n">
        <v>0.931</v>
      </c>
      <c r="L1300" s="85" t="n">
        <v>1</v>
      </c>
    </row>
    <row r="1301">
      <c r="A1301" s="84" t="inlineStr">
        <is>
          <t>SNCF</t>
        </is>
      </c>
      <c r="B1301" s="7" t="inlineStr">
        <is>
          <t>conduite ou super-actif</t>
        </is>
      </c>
      <c r="C1301" s="88" t="n">
        <v>1992</v>
      </c>
      <c r="D1301" s="95" t="n">
        <v>54</v>
      </c>
      <c r="E1301" s="95" t="n">
        <v>57</v>
      </c>
      <c r="F1301" s="85" t="n">
        <v>172</v>
      </c>
      <c r="G1301" s="120" t="n">
        <v>0.0125</v>
      </c>
      <c r="H1301" s="120" t="n">
        <v>0.0125</v>
      </c>
      <c r="I1301" s="95" t="n">
        <v>3.5</v>
      </c>
      <c r="J1301" s="95" t="n">
        <v>57.5</v>
      </c>
      <c r="K1301" s="95" t="n">
        <v>0.931</v>
      </c>
      <c r="L1301" s="85" t="n">
        <v>1</v>
      </c>
    </row>
    <row r="1302">
      <c r="A1302" s="84" t="inlineStr">
        <is>
          <t>SNCF</t>
        </is>
      </c>
      <c r="B1302" s="7" t="inlineStr">
        <is>
          <t>conduite ou super-actif</t>
        </is>
      </c>
      <c r="C1302" s="88" t="n">
        <v>1993</v>
      </c>
      <c r="D1302" s="95" t="n">
        <v>54</v>
      </c>
      <c r="E1302" s="95" t="n">
        <v>57</v>
      </c>
      <c r="F1302" s="85" t="n">
        <v>172</v>
      </c>
      <c r="G1302" s="120" t="n">
        <v>0.0125</v>
      </c>
      <c r="H1302" s="120" t="n">
        <v>0.0125</v>
      </c>
      <c r="I1302" s="95" t="n">
        <v>3.5</v>
      </c>
      <c r="J1302" s="95" t="n">
        <v>57.5</v>
      </c>
      <c r="K1302" s="95" t="n">
        <v>0.931</v>
      </c>
      <c r="L1302" s="85" t="n">
        <v>1</v>
      </c>
    </row>
    <row r="1303">
      <c r="A1303" s="84" t="inlineStr">
        <is>
          <t>SNCF</t>
        </is>
      </c>
      <c r="B1303" s="7" t="inlineStr">
        <is>
          <t>conduite ou super-actif</t>
        </is>
      </c>
      <c r="C1303" s="88" t="n">
        <v>1994</v>
      </c>
      <c r="D1303" s="95" t="n">
        <v>54</v>
      </c>
      <c r="E1303" s="95" t="n">
        <v>57</v>
      </c>
      <c r="F1303" s="85" t="n">
        <v>172</v>
      </c>
      <c r="G1303" s="120" t="n">
        <v>0.0125</v>
      </c>
      <c r="H1303" s="120" t="n">
        <v>0.0125</v>
      </c>
      <c r="I1303" s="95" t="n">
        <v>3.5</v>
      </c>
      <c r="J1303" s="95" t="n">
        <v>57.5</v>
      </c>
      <c r="K1303" s="95" t="n">
        <v>0.931</v>
      </c>
      <c r="L1303" s="85" t="n">
        <v>1</v>
      </c>
    </row>
    <row r="1304">
      <c r="A1304" s="84" t="inlineStr">
        <is>
          <t>SNCF</t>
        </is>
      </c>
      <c r="B1304" s="7" t="inlineStr">
        <is>
          <t>conduite ou super-actif</t>
        </is>
      </c>
      <c r="C1304" s="88" t="n">
        <v>1995</v>
      </c>
      <c r="D1304" s="95" t="n">
        <v>54</v>
      </c>
      <c r="E1304" s="95" t="n">
        <v>57</v>
      </c>
      <c r="F1304" s="85" t="n">
        <v>172</v>
      </c>
      <c r="G1304" s="120" t="n">
        <v>0.0125</v>
      </c>
      <c r="H1304" s="120" t="n">
        <v>0.0125</v>
      </c>
      <c r="I1304" s="95" t="n">
        <v>3.5</v>
      </c>
      <c r="J1304" s="95" t="n">
        <v>57.5</v>
      </c>
      <c r="K1304" s="95" t="n">
        <v>0.931</v>
      </c>
      <c r="L1304" s="85" t="n">
        <v>1</v>
      </c>
    </row>
    <row r="1305">
      <c r="A1305" s="84" t="inlineStr">
        <is>
          <t>SNCF</t>
        </is>
      </c>
      <c r="B1305" s="7" t="inlineStr">
        <is>
          <t>conduite ou super-actif</t>
        </is>
      </c>
      <c r="C1305" s="88" t="n">
        <v>1996</v>
      </c>
      <c r="D1305" s="95" t="n">
        <v>54</v>
      </c>
      <c r="E1305" s="95" t="n">
        <v>57</v>
      </c>
      <c r="F1305" s="85" t="n">
        <v>172</v>
      </c>
      <c r="G1305" s="120" t="n">
        <v>0.0125</v>
      </c>
      <c r="H1305" s="120" t="n">
        <v>0.0125</v>
      </c>
      <c r="I1305" s="95" t="n">
        <v>3.5</v>
      </c>
      <c r="J1305" s="95" t="n">
        <v>57.5</v>
      </c>
      <c r="K1305" s="95" t="n">
        <v>0.931</v>
      </c>
      <c r="L1305" s="85" t="n">
        <v>1</v>
      </c>
    </row>
    <row r="1306">
      <c r="A1306" s="84" t="inlineStr">
        <is>
          <t>SNCF</t>
        </is>
      </c>
      <c r="B1306" s="7" t="inlineStr">
        <is>
          <t>conduite ou super-actif</t>
        </is>
      </c>
      <c r="C1306" s="88" t="n">
        <v>1997</v>
      </c>
      <c r="D1306" s="95" t="n">
        <v>54</v>
      </c>
      <c r="E1306" s="95" t="n">
        <v>57</v>
      </c>
      <c r="F1306" s="85" t="n">
        <v>172</v>
      </c>
      <c r="G1306" s="120" t="n">
        <v>0.0125</v>
      </c>
      <c r="H1306" s="120" t="n">
        <v>0.0125</v>
      </c>
      <c r="I1306" s="95" t="n">
        <v>3.5</v>
      </c>
      <c r="J1306" s="95" t="n">
        <v>57.5</v>
      </c>
      <c r="K1306" s="95" t="n">
        <v>0.931</v>
      </c>
      <c r="L1306" s="85" t="n">
        <v>1</v>
      </c>
    </row>
    <row r="1307">
      <c r="A1307" s="84" t="inlineStr">
        <is>
          <t>SNCF</t>
        </is>
      </c>
      <c r="B1307" s="7" t="inlineStr">
        <is>
          <t>conduite ou super-actif</t>
        </is>
      </c>
      <c r="C1307" s="88" t="n">
        <v>1998</v>
      </c>
      <c r="D1307" s="95" t="n">
        <v>54</v>
      </c>
      <c r="E1307" s="95" t="n">
        <v>57</v>
      </c>
      <c r="F1307" s="85" t="n">
        <v>172</v>
      </c>
      <c r="G1307" s="120" t="n">
        <v>0.0125</v>
      </c>
      <c r="H1307" s="120" t="n">
        <v>0.0125</v>
      </c>
      <c r="I1307" s="95" t="n">
        <v>3.5</v>
      </c>
      <c r="J1307" s="95" t="n">
        <v>57.5</v>
      </c>
      <c r="K1307" s="95" t="n">
        <v>0.931</v>
      </c>
      <c r="L1307" s="85" t="n">
        <v>1</v>
      </c>
    </row>
    <row r="1308">
      <c r="A1308" s="84" t="inlineStr">
        <is>
          <t>SNCF</t>
        </is>
      </c>
      <c r="B1308" s="7" t="inlineStr">
        <is>
          <t>conduite ou super-actif</t>
        </is>
      </c>
      <c r="C1308" s="88" t="n">
        <v>1999</v>
      </c>
      <c r="D1308" s="95" t="n">
        <v>54</v>
      </c>
      <c r="E1308" s="95" t="n">
        <v>57</v>
      </c>
      <c r="F1308" s="85" t="n">
        <v>172</v>
      </c>
      <c r="G1308" s="120" t="n">
        <v>0.0125</v>
      </c>
      <c r="H1308" s="120" t="n">
        <v>0.0125</v>
      </c>
      <c r="I1308" s="95" t="n">
        <v>3.5</v>
      </c>
      <c r="J1308" s="95" t="n">
        <v>57.5</v>
      </c>
      <c r="K1308" s="95" t="n">
        <v>0.931</v>
      </c>
      <c r="L1308" s="85" t="n">
        <v>1</v>
      </c>
    </row>
    <row r="1309">
      <c r="A1309" s="84" t="inlineStr">
        <is>
          <t>SNCF</t>
        </is>
      </c>
      <c r="B1309" s="7" t="inlineStr">
        <is>
          <t>conduite ou super-actif</t>
        </is>
      </c>
      <c r="C1309" s="88" t="n">
        <v>2000</v>
      </c>
      <c r="D1309" s="95" t="n">
        <v>54</v>
      </c>
      <c r="E1309" s="95" t="n">
        <v>57</v>
      </c>
      <c r="F1309" s="85" t="n">
        <v>172</v>
      </c>
      <c r="G1309" s="120" t="n">
        <v>0.0125</v>
      </c>
      <c r="H1309" s="120" t="n">
        <v>0.0125</v>
      </c>
      <c r="I1309" s="95" t="n">
        <v>3.5</v>
      </c>
      <c r="J1309" s="95" t="n">
        <v>57.5</v>
      </c>
      <c r="K1309" s="95" t="n">
        <v>0.931</v>
      </c>
      <c r="L1309" s="85" t="n">
        <v>1</v>
      </c>
    </row>
    <row r="1310">
      <c r="A1310" s="84" t="inlineStr">
        <is>
          <t>SNCF</t>
        </is>
      </c>
      <c r="B1310" s="7" t="inlineStr">
        <is>
          <t>conduite ou super-actif</t>
        </is>
      </c>
      <c r="C1310" s="88" t="n">
        <v>2001</v>
      </c>
      <c r="D1310" s="95" t="n">
        <v>54</v>
      </c>
      <c r="E1310" s="95" t="n">
        <v>57</v>
      </c>
      <c r="F1310" s="85" t="n">
        <v>172</v>
      </c>
      <c r="G1310" s="120" t="n">
        <v>0.0125</v>
      </c>
      <c r="H1310" s="120" t="n">
        <v>0.0125</v>
      </c>
      <c r="I1310" s="95" t="n">
        <v>3.5</v>
      </c>
      <c r="J1310" s="95" t="n">
        <v>57.5</v>
      </c>
      <c r="K1310" s="95" t="n">
        <v>0.931</v>
      </c>
      <c r="L1310" s="85" t="n">
        <v>1</v>
      </c>
    </row>
    <row r="1311">
      <c r="A1311" s="84" t="inlineStr">
        <is>
          <t>SNCF</t>
        </is>
      </c>
      <c r="B1311" s="7" t="inlineStr">
        <is>
          <t>conduite ou super-actif</t>
        </is>
      </c>
      <c r="C1311" s="88" t="n">
        <v>2002</v>
      </c>
      <c r="D1311" s="95" t="n">
        <v>54</v>
      </c>
      <c r="E1311" s="95" t="n">
        <v>57</v>
      </c>
      <c r="F1311" s="85" t="n">
        <v>172</v>
      </c>
      <c r="G1311" s="120" t="n">
        <v>0.0125</v>
      </c>
      <c r="H1311" s="120" t="n">
        <v>0.0125</v>
      </c>
      <c r="I1311" s="95" t="n">
        <v>3.5</v>
      </c>
      <c r="J1311" s="95" t="n">
        <v>57.5</v>
      </c>
      <c r="K1311" s="95" t="n">
        <v>0.931</v>
      </c>
      <c r="L1311" s="85" t="n">
        <v>1</v>
      </c>
    </row>
    <row r="1312">
      <c r="A1312" s="84" t="inlineStr">
        <is>
          <t>SNCF</t>
        </is>
      </c>
      <c r="B1312" s="7" t="inlineStr">
        <is>
          <t>conduite ou super-actif</t>
        </is>
      </c>
      <c r="C1312" s="88" t="n">
        <v>2003</v>
      </c>
      <c r="D1312" s="95" t="n">
        <v>54</v>
      </c>
      <c r="E1312" s="95" t="n">
        <v>57</v>
      </c>
      <c r="F1312" s="85" t="n">
        <v>172</v>
      </c>
      <c r="G1312" s="120" t="n">
        <v>0.0125</v>
      </c>
      <c r="H1312" s="120" t="n">
        <v>0.0125</v>
      </c>
      <c r="I1312" s="95" t="n">
        <v>3.5</v>
      </c>
      <c r="J1312" s="95" t="n">
        <v>57.5</v>
      </c>
      <c r="K1312" s="95" t="n">
        <v>0.931</v>
      </c>
      <c r="L1312" s="85" t="n">
        <v>1</v>
      </c>
    </row>
    <row r="1313">
      <c r="A1313" s="84" t="inlineStr">
        <is>
          <t>SNCF</t>
        </is>
      </c>
      <c r="B1313" s="7" t="inlineStr">
        <is>
          <t>conduite ou super-actif</t>
        </is>
      </c>
      <c r="C1313" s="88" t="n">
        <v>2004</v>
      </c>
      <c r="D1313" s="95" t="n">
        <v>54</v>
      </c>
      <c r="E1313" s="95" t="n">
        <v>57</v>
      </c>
      <c r="F1313" s="85" t="n">
        <v>172</v>
      </c>
      <c r="G1313" s="120" t="n">
        <v>0.0125</v>
      </c>
      <c r="H1313" s="120" t="n">
        <v>0.0125</v>
      </c>
      <c r="I1313" s="95" t="n">
        <v>3.5</v>
      </c>
      <c r="J1313" s="95" t="n">
        <v>57.5</v>
      </c>
      <c r="K1313" s="95" t="n">
        <v>0.931</v>
      </c>
      <c r="L1313" s="85" t="n">
        <v>1</v>
      </c>
    </row>
    <row r="1314">
      <c r="A1314" s="84" t="inlineStr">
        <is>
          <t>SNCF</t>
        </is>
      </c>
      <c r="B1314" s="7" t="inlineStr">
        <is>
          <t>conduite ou super-actif</t>
        </is>
      </c>
      <c r="C1314" s="88" t="n">
        <v>2005</v>
      </c>
      <c r="D1314" s="95" t="n">
        <v>54</v>
      </c>
      <c r="E1314" s="95" t="n">
        <v>57</v>
      </c>
      <c r="F1314" s="85" t="n">
        <v>172</v>
      </c>
      <c r="G1314" s="120" t="n">
        <v>0.0125</v>
      </c>
      <c r="H1314" s="120" t="n">
        <v>0.0125</v>
      </c>
      <c r="I1314" s="95" t="n">
        <v>3.5</v>
      </c>
      <c r="J1314" s="95" t="n">
        <v>57.5</v>
      </c>
      <c r="K1314" s="95" t="n">
        <v>0.931</v>
      </c>
      <c r="L1314" s="85" t="n">
        <v>1</v>
      </c>
    </row>
    <row r="1315">
      <c r="A1315" s="84" t="inlineStr">
        <is>
          <t>SNCF</t>
        </is>
      </c>
      <c r="B1315" s="7" t="inlineStr">
        <is>
          <t>conduite ou super-actif</t>
        </is>
      </c>
      <c r="C1315" s="88" t="n">
        <v>2006</v>
      </c>
      <c r="D1315" s="95" t="n">
        <v>54</v>
      </c>
      <c r="E1315" s="95" t="n">
        <v>57</v>
      </c>
      <c r="F1315" s="85" t="n">
        <v>172</v>
      </c>
      <c r="G1315" s="120" t="n">
        <v>0.0125</v>
      </c>
      <c r="H1315" s="120" t="n">
        <v>0.0125</v>
      </c>
      <c r="I1315" s="95" t="n">
        <v>3.5</v>
      </c>
      <c r="J1315" s="95" t="n">
        <v>57.5</v>
      </c>
      <c r="K1315" s="95" t="n">
        <v>0.931</v>
      </c>
      <c r="L1315" s="85" t="n">
        <v>1</v>
      </c>
    </row>
    <row r="1316">
      <c r="A1316" s="84" t="inlineStr">
        <is>
          <t>SNCF</t>
        </is>
      </c>
      <c r="B1316" s="7" t="inlineStr">
        <is>
          <t>conduite ou super-actif</t>
        </is>
      </c>
      <c r="C1316" s="88" t="n">
        <v>2007</v>
      </c>
      <c r="D1316" s="95" t="n">
        <v>54</v>
      </c>
      <c r="E1316" s="95" t="n">
        <v>57</v>
      </c>
      <c r="F1316" s="85" t="n">
        <v>172</v>
      </c>
      <c r="G1316" s="120" t="n">
        <v>0.0125</v>
      </c>
      <c r="H1316" s="120" t="n">
        <v>0.0125</v>
      </c>
      <c r="I1316" s="95" t="n">
        <v>3.5</v>
      </c>
      <c r="J1316" s="95" t="n">
        <v>57.5</v>
      </c>
      <c r="K1316" s="95" t="n">
        <v>0.931</v>
      </c>
      <c r="L1316" s="85" t="n">
        <v>1</v>
      </c>
    </row>
    <row r="1317">
      <c r="A1317" s="84" t="inlineStr">
        <is>
          <t>SNCF</t>
        </is>
      </c>
      <c r="B1317" s="7" t="inlineStr">
        <is>
          <t>conduite ou super-actif</t>
        </is>
      </c>
      <c r="C1317" s="88" t="n">
        <v>2008</v>
      </c>
      <c r="D1317" s="95" t="n">
        <v>54</v>
      </c>
      <c r="E1317" s="95" t="n">
        <v>57</v>
      </c>
      <c r="F1317" s="85" t="n">
        <v>172</v>
      </c>
      <c r="G1317" s="120" t="n">
        <v>0.0125</v>
      </c>
      <c r="H1317" s="120" t="n">
        <v>0.0125</v>
      </c>
      <c r="I1317" s="95" t="n">
        <v>3.5</v>
      </c>
      <c r="J1317" s="95" t="n">
        <v>57.5</v>
      </c>
      <c r="K1317" s="95" t="n">
        <v>0.931</v>
      </c>
      <c r="L1317" s="85" t="n">
        <v>1</v>
      </c>
    </row>
    <row r="1318">
      <c r="A1318" s="84" t="inlineStr">
        <is>
          <t>SNCF</t>
        </is>
      </c>
      <c r="B1318" s="7" t="inlineStr">
        <is>
          <t>conduite ou super-actif</t>
        </is>
      </c>
      <c r="C1318" s="88" t="n">
        <v>2009</v>
      </c>
      <c r="D1318" s="95" t="n">
        <v>54</v>
      </c>
      <c r="E1318" s="95" t="n">
        <v>57</v>
      </c>
      <c r="F1318" s="85" t="n">
        <v>172</v>
      </c>
      <c r="G1318" s="120" t="n">
        <v>0.0125</v>
      </c>
      <c r="H1318" s="120" t="n">
        <v>0.0125</v>
      </c>
      <c r="I1318" s="95" t="n">
        <v>3.5</v>
      </c>
      <c r="J1318" s="95" t="n">
        <v>57.5</v>
      </c>
      <c r="K1318" s="95" t="n">
        <v>0.931</v>
      </c>
      <c r="L1318" s="85" t="n">
        <v>1</v>
      </c>
    </row>
    <row r="1319">
      <c r="A1319" s="84" t="inlineStr">
        <is>
          <t>SNCF</t>
        </is>
      </c>
      <c r="B1319" s="7" t="inlineStr">
        <is>
          <t>conduite ou super-actif</t>
        </is>
      </c>
      <c r="C1319" s="88" t="n">
        <v>2010</v>
      </c>
      <c r="D1319" s="95" t="n">
        <v>54</v>
      </c>
      <c r="E1319" s="95" t="n">
        <v>57</v>
      </c>
      <c r="F1319" s="85" t="n">
        <v>172</v>
      </c>
      <c r="G1319" s="120" t="n">
        <v>0.0125</v>
      </c>
      <c r="H1319" s="120" t="n">
        <v>0.0125</v>
      </c>
      <c r="I1319" s="95" t="n">
        <v>3.5</v>
      </c>
      <c r="J1319" s="95" t="n">
        <v>57.5</v>
      </c>
      <c r="K1319" s="95" t="n">
        <v>0.931</v>
      </c>
      <c r="L1319" s="85" t="n">
        <v>1</v>
      </c>
    </row>
    <row r="1320">
      <c r="A1320" s="84" t="inlineStr">
        <is>
          <t>SNCF</t>
        </is>
      </c>
      <c r="B1320" s="7" t="inlineStr">
        <is>
          <t>conduite ou super-actif</t>
        </is>
      </c>
      <c r="C1320" s="88" t="n">
        <v>2011</v>
      </c>
      <c r="D1320" s="95" t="n">
        <v>54</v>
      </c>
      <c r="E1320" s="95" t="n">
        <v>57</v>
      </c>
      <c r="F1320" s="85" t="n">
        <v>172</v>
      </c>
      <c r="G1320" s="120" t="n">
        <v>0.0125</v>
      </c>
      <c r="H1320" s="120" t="n">
        <v>0.0125</v>
      </c>
      <c r="I1320" s="95" t="n">
        <v>3.5</v>
      </c>
      <c r="J1320" s="95" t="n">
        <v>57.5</v>
      </c>
      <c r="K1320" s="95" t="n">
        <v>0.931</v>
      </c>
      <c r="L1320" s="85" t="n">
        <v>1</v>
      </c>
    </row>
    <row r="1321">
      <c r="A1321" s="84" t="inlineStr">
        <is>
          <t>SNCF</t>
        </is>
      </c>
      <c r="B1321" s="7" t="inlineStr">
        <is>
          <t>conduite ou super-actif</t>
        </is>
      </c>
      <c r="C1321" s="88" t="n">
        <v>2012</v>
      </c>
      <c r="D1321" s="95" t="n">
        <v>54</v>
      </c>
      <c r="E1321" s="95" t="n">
        <v>57</v>
      </c>
      <c r="F1321" s="85" t="n">
        <v>172</v>
      </c>
      <c r="G1321" s="120" t="n">
        <v>0.0125</v>
      </c>
      <c r="H1321" s="120" t="n">
        <v>0.0125</v>
      </c>
      <c r="I1321" s="95" t="n">
        <v>3.5</v>
      </c>
      <c r="J1321" s="95" t="n">
        <v>57.5</v>
      </c>
      <c r="K1321" s="95" t="n">
        <v>0.931</v>
      </c>
      <c r="L1321" s="85" t="n">
        <v>1</v>
      </c>
    </row>
    <row r="1322">
      <c r="A1322" s="84" t="inlineStr">
        <is>
          <t>SNCF</t>
        </is>
      </c>
      <c r="B1322" s="7" t="inlineStr">
        <is>
          <t>conduite ou super-actif</t>
        </is>
      </c>
      <c r="C1322" s="88" t="n">
        <v>2013</v>
      </c>
      <c r="D1322" s="95" t="n">
        <v>54</v>
      </c>
      <c r="E1322" s="95" t="n">
        <v>57</v>
      </c>
      <c r="F1322" s="85" t="n">
        <v>172</v>
      </c>
      <c r="G1322" s="120" t="n">
        <v>0.0125</v>
      </c>
      <c r="H1322" s="120" t="n">
        <v>0.0125</v>
      </c>
      <c r="I1322" s="95" t="n">
        <v>3.5</v>
      </c>
      <c r="J1322" s="95" t="n">
        <v>57.5</v>
      </c>
      <c r="K1322" s="95" t="n">
        <v>0.931</v>
      </c>
      <c r="L1322" s="85" t="n">
        <v>1</v>
      </c>
    </row>
    <row r="1323">
      <c r="A1323" s="84" t="inlineStr">
        <is>
          <t>SNCF</t>
        </is>
      </c>
      <c r="B1323" s="7" t="inlineStr">
        <is>
          <t>conduite ou super-actif</t>
        </is>
      </c>
      <c r="C1323" s="88" t="n">
        <v>2014</v>
      </c>
      <c r="D1323" s="95" t="n">
        <v>54</v>
      </c>
      <c r="E1323" s="95" t="n">
        <v>57</v>
      </c>
      <c r="F1323" s="85" t="n">
        <v>172</v>
      </c>
      <c r="G1323" s="120" t="n">
        <v>0.0125</v>
      </c>
      <c r="H1323" s="120" t="n">
        <v>0.0125</v>
      </c>
      <c r="I1323" s="95" t="n">
        <v>3.5</v>
      </c>
      <c r="J1323" s="95" t="n">
        <v>57.5</v>
      </c>
      <c r="K1323" s="95" t="n">
        <v>0.931</v>
      </c>
      <c r="L1323" s="85" t="n">
        <v>1</v>
      </c>
    </row>
    <row r="1324">
      <c r="A1324" s="84" t="inlineStr">
        <is>
          <t>SNCF</t>
        </is>
      </c>
      <c r="B1324" s="7" t="inlineStr">
        <is>
          <t>conduite ou super-actif</t>
        </is>
      </c>
      <c r="C1324" s="88" t="n">
        <v>2015</v>
      </c>
      <c r="D1324" s="95" t="n">
        <v>54</v>
      </c>
      <c r="E1324" s="95" t="n">
        <v>57</v>
      </c>
      <c r="F1324" s="85" t="n">
        <v>172</v>
      </c>
      <c r="G1324" s="120" t="n">
        <v>0.0125</v>
      </c>
      <c r="H1324" s="120" t="n">
        <v>0.0125</v>
      </c>
      <c r="I1324" s="95" t="n">
        <v>3.5</v>
      </c>
      <c r="J1324" s="95" t="n">
        <v>57.5</v>
      </c>
      <c r="K1324" s="95" t="n">
        <v>0.931</v>
      </c>
      <c r="L1324" s="85" t="n">
        <v>1</v>
      </c>
    </row>
    <row r="1325">
      <c r="A1325" s="84" t="inlineStr">
        <is>
          <t>SNCF</t>
        </is>
      </c>
      <c r="B1325" s="7" t="inlineStr">
        <is>
          <t>conduite ou super-actif</t>
        </is>
      </c>
      <c r="C1325" s="88" t="n">
        <v>2016</v>
      </c>
      <c r="D1325" s="95" t="n">
        <v>54</v>
      </c>
      <c r="E1325" s="95" t="n">
        <v>57</v>
      </c>
      <c r="F1325" s="85" t="n">
        <v>172</v>
      </c>
      <c r="G1325" s="120" t="n">
        <v>0.0125</v>
      </c>
      <c r="H1325" s="120" t="n">
        <v>0.0125</v>
      </c>
      <c r="I1325" s="95" t="n">
        <v>3.5</v>
      </c>
      <c r="J1325" s="95" t="n">
        <v>57.5</v>
      </c>
      <c r="K1325" s="95" t="n">
        <v>0.931</v>
      </c>
      <c r="L1325" s="85" t="n">
        <v>1</v>
      </c>
    </row>
    <row r="1326">
      <c r="A1326" s="84" t="inlineStr">
        <is>
          <t>SNCF</t>
        </is>
      </c>
      <c r="B1326" s="7" t="inlineStr">
        <is>
          <t>conduite ou super-actif</t>
        </is>
      </c>
      <c r="C1326" s="88" t="n">
        <v>2017</v>
      </c>
      <c r="D1326" s="95" t="n">
        <v>54</v>
      </c>
      <c r="E1326" s="95" t="n">
        <v>57</v>
      </c>
      <c r="F1326" s="85" t="n">
        <v>172</v>
      </c>
      <c r="G1326" s="120" t="n">
        <v>0.0125</v>
      </c>
      <c r="H1326" s="120" t="n">
        <v>0.0125</v>
      </c>
      <c r="I1326" s="95" t="n">
        <v>3.5</v>
      </c>
      <c r="J1326" s="95" t="n">
        <v>57.5</v>
      </c>
      <c r="K1326" s="95" t="n">
        <v>0.931</v>
      </c>
      <c r="L1326" s="85" t="n">
        <v>1</v>
      </c>
    </row>
    <row r="1327">
      <c r="A1327" s="84" t="inlineStr">
        <is>
          <t>SNCF</t>
        </is>
      </c>
      <c r="B1327" s="7" t="inlineStr">
        <is>
          <t>conduite ou super-actif</t>
        </is>
      </c>
      <c r="C1327" s="88" t="n">
        <v>2018</v>
      </c>
      <c r="D1327" s="95" t="n">
        <v>54</v>
      </c>
      <c r="E1327" s="95" t="n">
        <v>57</v>
      </c>
      <c r="F1327" s="85" t="n">
        <v>172</v>
      </c>
      <c r="G1327" s="120" t="n">
        <v>0.0125</v>
      </c>
      <c r="H1327" s="120" t="n">
        <v>0.0125</v>
      </c>
      <c r="I1327" s="95" t="n">
        <v>3.5</v>
      </c>
      <c r="J1327" s="95" t="n">
        <v>57.5</v>
      </c>
      <c r="K1327" s="95" t="n">
        <v>0.931</v>
      </c>
      <c r="L1327" s="85" t="n">
        <v>1</v>
      </c>
    </row>
    <row r="1328">
      <c r="A1328" s="84" t="inlineStr">
        <is>
          <t>SNCF</t>
        </is>
      </c>
      <c r="B1328" s="7" t="inlineStr">
        <is>
          <t>conduite ou super-actif</t>
        </is>
      </c>
      <c r="C1328" s="88" t="n">
        <v>2019</v>
      </c>
      <c r="D1328" s="95" t="n">
        <v>54</v>
      </c>
      <c r="E1328" s="95" t="n">
        <v>57</v>
      </c>
      <c r="F1328" s="85" t="n">
        <v>172</v>
      </c>
      <c r="G1328" s="120" t="n">
        <v>0.0125</v>
      </c>
      <c r="H1328" s="120" t="n">
        <v>0.0125</v>
      </c>
      <c r="I1328" s="95" t="n">
        <v>3.5</v>
      </c>
      <c r="J1328" s="95" t="n">
        <v>57.5</v>
      </c>
      <c r="K1328" s="95" t="n">
        <v>0.931</v>
      </c>
      <c r="L1328" s="85" t="n">
        <v>1</v>
      </c>
    </row>
    <row r="1329">
      <c r="A1329" s="84" t="inlineStr">
        <is>
          <t>SNCF</t>
        </is>
      </c>
      <c r="B1329" s="7" t="inlineStr">
        <is>
          <t>conduite ou super-actif</t>
        </is>
      </c>
      <c r="C1329" s="88" t="n">
        <v>2020</v>
      </c>
      <c r="D1329" s="95" t="n">
        <v>54</v>
      </c>
      <c r="E1329" s="95" t="n">
        <v>57</v>
      </c>
      <c r="F1329" s="85" t="n">
        <v>172</v>
      </c>
      <c r="G1329" s="120" t="n">
        <v>0.0125</v>
      </c>
      <c r="H1329" s="120" t="n">
        <v>0.0125</v>
      </c>
      <c r="I1329" s="95" t="n">
        <v>3.5</v>
      </c>
      <c r="J1329" s="95" t="n">
        <v>57.5</v>
      </c>
      <c r="K1329" s="95" t="n">
        <v>0.931</v>
      </c>
      <c r="L1329" s="85" t="n">
        <v>1</v>
      </c>
    </row>
    <row r="1330">
      <c r="A1330" s="84" t="inlineStr">
        <is>
          <t>SNCF</t>
        </is>
      </c>
      <c r="B1330" s="7" t="inlineStr">
        <is>
          <t>conduite ou super-actif</t>
        </is>
      </c>
      <c r="C1330" s="88" t="n">
        <v>2021</v>
      </c>
      <c r="D1330" s="95" t="n">
        <v>54</v>
      </c>
      <c r="E1330" s="95" t="n">
        <v>57</v>
      </c>
      <c r="F1330" s="85" t="n">
        <v>172</v>
      </c>
      <c r="G1330" s="120" t="n">
        <v>0.0125</v>
      </c>
      <c r="H1330" s="120" t="n">
        <v>0.0125</v>
      </c>
      <c r="I1330" s="95" t="n">
        <v>3.5</v>
      </c>
      <c r="J1330" s="95" t="n">
        <v>57.5</v>
      </c>
      <c r="K1330" s="95" t="n">
        <v>0.931</v>
      </c>
      <c r="L1330" s="85" t="n">
        <v>1</v>
      </c>
    </row>
    <row r="1331">
      <c r="A1331" s="84" t="inlineStr">
        <is>
          <t>SNCF</t>
        </is>
      </c>
      <c r="B1331" s="7" t="inlineStr">
        <is>
          <t>conduite ou super-actif</t>
        </is>
      </c>
      <c r="C1331" s="88" t="n">
        <v>2022</v>
      </c>
      <c r="D1331" s="95" t="n">
        <v>54</v>
      </c>
      <c r="E1331" s="95" t="n">
        <v>57</v>
      </c>
      <c r="F1331" s="85" t="n">
        <v>172</v>
      </c>
      <c r="G1331" s="120" t="n">
        <v>0.0125</v>
      </c>
      <c r="H1331" s="120" t="n">
        <v>0.0125</v>
      </c>
      <c r="I1331" s="95" t="n">
        <v>3.5</v>
      </c>
      <c r="J1331" s="95" t="n">
        <v>57.5</v>
      </c>
      <c r="K1331" s="95" t="n">
        <v>0.931</v>
      </c>
      <c r="L1331" s="85" t="n">
        <v>1</v>
      </c>
    </row>
    <row r="1332">
      <c r="A1332" s="84" t="inlineStr">
        <is>
          <t>SNCF</t>
        </is>
      </c>
      <c r="B1332" s="7" t="inlineStr">
        <is>
          <t>conduite ou super-actif</t>
        </is>
      </c>
      <c r="C1332" s="88" t="n">
        <v>2023</v>
      </c>
      <c r="D1332" s="95" t="n">
        <v>54</v>
      </c>
      <c r="E1332" s="95" t="n">
        <v>57</v>
      </c>
      <c r="F1332" s="85" t="n">
        <v>172</v>
      </c>
      <c r="G1332" s="120" t="n">
        <v>0.0125</v>
      </c>
      <c r="H1332" s="120" t="n">
        <v>0.0125</v>
      </c>
      <c r="I1332" s="95" t="n">
        <v>3.5</v>
      </c>
      <c r="J1332" s="95" t="n">
        <v>57.5</v>
      </c>
      <c r="K1332" s="95" t="n">
        <v>0.931</v>
      </c>
      <c r="L1332" s="85" t="n">
        <v>1</v>
      </c>
    </row>
    <row r="1333">
      <c r="A1333" s="84" t="inlineStr">
        <is>
          <t>SNCF</t>
        </is>
      </c>
      <c r="B1333" s="7" t="inlineStr">
        <is>
          <t>conduite ou super-actif</t>
        </is>
      </c>
      <c r="C1333" s="88" t="n">
        <v>2024</v>
      </c>
      <c r="D1333" s="95" t="n">
        <v>54</v>
      </c>
      <c r="E1333" s="95" t="n">
        <v>57</v>
      </c>
      <c r="F1333" s="85" t="n">
        <v>172</v>
      </c>
      <c r="G1333" s="120" t="n">
        <v>0.0125</v>
      </c>
      <c r="H1333" s="120" t="n">
        <v>0.0125</v>
      </c>
      <c r="I1333" s="95" t="n">
        <v>3.5</v>
      </c>
      <c r="J1333" s="95" t="n">
        <v>57.5</v>
      </c>
      <c r="K1333" s="95" t="n">
        <v>0.931</v>
      </c>
      <c r="L1333" s="85" t="n">
        <v>1</v>
      </c>
    </row>
    <row r="1334">
      <c r="A1334" s="84" t="inlineStr">
        <is>
          <t>SNCF</t>
        </is>
      </c>
      <c r="B1334" s="7" t="inlineStr">
        <is>
          <t>conduite ou super-actif</t>
        </is>
      </c>
      <c r="C1334" s="88" t="n">
        <v>2025</v>
      </c>
      <c r="D1334" s="95" t="n">
        <v>54</v>
      </c>
      <c r="E1334" s="95" t="n">
        <v>57</v>
      </c>
      <c r="F1334" s="85" t="n">
        <v>172</v>
      </c>
      <c r="G1334" s="120" t="n">
        <v>0.0125</v>
      </c>
      <c r="H1334" s="120" t="n">
        <v>0.0125</v>
      </c>
      <c r="I1334" s="95" t="n">
        <v>3.5</v>
      </c>
      <c r="J1334" s="95" t="n">
        <v>57.5</v>
      </c>
      <c r="K1334" s="95" t="n">
        <v>0.931</v>
      </c>
      <c r="L1334" s="85" t="n">
        <v>1</v>
      </c>
    </row>
    <row r="1335">
      <c r="A1335" s="84" t="inlineStr">
        <is>
          <t>RATP</t>
        </is>
      </c>
      <c r="B1335" s="7" t="inlineStr">
        <is>
          <t>sédentaire</t>
        </is>
      </c>
      <c r="C1335" s="88" t="n">
        <v>1915</v>
      </c>
      <c r="D1335" s="95" t="n">
        <v>60</v>
      </c>
      <c r="E1335" s="95" t="n">
        <v>60</v>
      </c>
      <c r="F1335" s="85" t="n">
        <v>150</v>
      </c>
      <c r="G1335" s="120" t="n">
        <v>0</v>
      </c>
      <c r="H1335" s="120" t="n">
        <v>0</v>
      </c>
      <c r="I1335" s="95" t="n">
        <v>0.8</v>
      </c>
      <c r="J1335" s="95" t="n">
        <v>60.8</v>
      </c>
      <c r="K1335" s="95" t="n">
        <v>0.9340000000000001</v>
      </c>
      <c r="L1335" s="85" t="n">
        <v>0</v>
      </c>
    </row>
    <row r="1336">
      <c r="A1336" s="84" t="inlineStr">
        <is>
          <t>RATP</t>
        </is>
      </c>
      <c r="B1336" s="7" t="inlineStr">
        <is>
          <t>sédentaire</t>
        </is>
      </c>
      <c r="C1336" s="88" t="n">
        <v>1916</v>
      </c>
      <c r="D1336" s="95" t="n">
        <v>60</v>
      </c>
      <c r="E1336" s="95" t="n">
        <v>60</v>
      </c>
      <c r="F1336" s="85" t="n">
        <v>150</v>
      </c>
      <c r="G1336" s="120" t="n">
        <v>0</v>
      </c>
      <c r="H1336" s="120" t="n">
        <v>0</v>
      </c>
      <c r="I1336" s="95" t="n">
        <v>0.8</v>
      </c>
      <c r="J1336" s="95" t="n">
        <v>60.8</v>
      </c>
      <c r="K1336" s="95" t="n">
        <v>0.9340000000000001</v>
      </c>
      <c r="L1336" s="85" t="n">
        <v>0</v>
      </c>
    </row>
    <row r="1337">
      <c r="A1337" s="84" t="inlineStr">
        <is>
          <t>RATP</t>
        </is>
      </c>
      <c r="B1337" s="7" t="inlineStr">
        <is>
          <t>sédentaire</t>
        </is>
      </c>
      <c r="C1337" s="88" t="n">
        <v>1917</v>
      </c>
      <c r="D1337" s="95" t="n">
        <v>60</v>
      </c>
      <c r="E1337" s="95" t="n">
        <v>60</v>
      </c>
      <c r="F1337" s="85" t="n">
        <v>150</v>
      </c>
      <c r="G1337" s="120" t="n">
        <v>0</v>
      </c>
      <c r="H1337" s="120" t="n">
        <v>0</v>
      </c>
      <c r="I1337" s="95" t="n">
        <v>0.8</v>
      </c>
      <c r="J1337" s="95" t="n">
        <v>60.8</v>
      </c>
      <c r="K1337" s="95" t="n">
        <v>0.9340000000000001</v>
      </c>
      <c r="L1337" s="85" t="n">
        <v>0</v>
      </c>
    </row>
    <row r="1338">
      <c r="A1338" s="84" t="inlineStr">
        <is>
          <t>RATP</t>
        </is>
      </c>
      <c r="B1338" s="7" t="inlineStr">
        <is>
          <t>sédentaire</t>
        </is>
      </c>
      <c r="C1338" s="88" t="n">
        <v>1918</v>
      </c>
      <c r="D1338" s="95" t="n">
        <v>60</v>
      </c>
      <c r="E1338" s="95" t="n">
        <v>60</v>
      </c>
      <c r="F1338" s="85" t="n">
        <v>150</v>
      </c>
      <c r="G1338" s="120" t="n">
        <v>0</v>
      </c>
      <c r="H1338" s="120" t="n">
        <v>0</v>
      </c>
      <c r="I1338" s="95" t="n">
        <v>0.8</v>
      </c>
      <c r="J1338" s="95" t="n">
        <v>60.8</v>
      </c>
      <c r="K1338" s="95" t="n">
        <v>0.9340000000000001</v>
      </c>
      <c r="L1338" s="85" t="n">
        <v>0</v>
      </c>
    </row>
    <row r="1339">
      <c r="A1339" s="84" t="inlineStr">
        <is>
          <t>RATP</t>
        </is>
      </c>
      <c r="B1339" s="7" t="inlineStr">
        <is>
          <t>sédentaire</t>
        </is>
      </c>
      <c r="C1339" s="88" t="n">
        <v>1919</v>
      </c>
      <c r="D1339" s="95" t="n">
        <v>60</v>
      </c>
      <c r="E1339" s="95" t="n">
        <v>60</v>
      </c>
      <c r="F1339" s="85" t="n">
        <v>150</v>
      </c>
      <c r="G1339" s="120" t="n">
        <v>0</v>
      </c>
      <c r="H1339" s="120" t="n">
        <v>0</v>
      </c>
      <c r="I1339" s="95" t="n">
        <v>0.8</v>
      </c>
      <c r="J1339" s="95" t="n">
        <v>60.8</v>
      </c>
      <c r="K1339" s="95" t="n">
        <v>0.9340000000000001</v>
      </c>
      <c r="L1339" s="85" t="n">
        <v>0</v>
      </c>
    </row>
    <row r="1340">
      <c r="A1340" s="84" t="inlineStr">
        <is>
          <t>RATP</t>
        </is>
      </c>
      <c r="B1340" s="7" t="inlineStr">
        <is>
          <t>sédentaire</t>
        </is>
      </c>
      <c r="C1340" s="88" t="n">
        <v>1920</v>
      </c>
      <c r="D1340" s="95" t="n">
        <v>60</v>
      </c>
      <c r="E1340" s="95" t="n">
        <v>60</v>
      </c>
      <c r="F1340" s="85" t="n">
        <v>150</v>
      </c>
      <c r="G1340" s="120" t="n">
        <v>0</v>
      </c>
      <c r="H1340" s="120" t="n">
        <v>0</v>
      </c>
      <c r="I1340" s="95" t="n">
        <v>0.8</v>
      </c>
      <c r="J1340" s="95" t="n">
        <v>60.8</v>
      </c>
      <c r="K1340" s="95" t="n">
        <v>0.9340000000000001</v>
      </c>
      <c r="L1340" s="85" t="n">
        <v>0</v>
      </c>
    </row>
    <row r="1341">
      <c r="A1341" s="84" t="inlineStr">
        <is>
          <t>RATP</t>
        </is>
      </c>
      <c r="B1341" s="7" t="inlineStr">
        <is>
          <t>sédentaire</t>
        </is>
      </c>
      <c r="C1341" s="88" t="n">
        <v>1921</v>
      </c>
      <c r="D1341" s="95" t="n">
        <v>60</v>
      </c>
      <c r="E1341" s="95" t="n">
        <v>60</v>
      </c>
      <c r="F1341" s="85" t="n">
        <v>150</v>
      </c>
      <c r="G1341" s="120" t="n">
        <v>0</v>
      </c>
      <c r="H1341" s="120" t="n">
        <v>0</v>
      </c>
      <c r="I1341" s="95" t="n">
        <v>0.8</v>
      </c>
      <c r="J1341" s="95" t="n">
        <v>60.8</v>
      </c>
      <c r="K1341" s="95" t="n">
        <v>0.9340000000000001</v>
      </c>
      <c r="L1341" s="85" t="n">
        <v>0</v>
      </c>
    </row>
    <row r="1342">
      <c r="A1342" s="84" t="inlineStr">
        <is>
          <t>RATP</t>
        </is>
      </c>
      <c r="B1342" s="7" t="inlineStr">
        <is>
          <t>sédentaire</t>
        </is>
      </c>
      <c r="C1342" s="88" t="n">
        <v>1922</v>
      </c>
      <c r="D1342" s="95" t="n">
        <v>60</v>
      </c>
      <c r="E1342" s="95" t="n">
        <v>60</v>
      </c>
      <c r="F1342" s="85" t="n">
        <v>150</v>
      </c>
      <c r="G1342" s="120" t="n">
        <v>0</v>
      </c>
      <c r="H1342" s="120" t="n">
        <v>0</v>
      </c>
      <c r="I1342" s="95" t="n">
        <v>0.8</v>
      </c>
      <c r="J1342" s="95" t="n">
        <v>60.8</v>
      </c>
      <c r="K1342" s="95" t="n">
        <v>0.9340000000000001</v>
      </c>
      <c r="L1342" s="85" t="n">
        <v>0</v>
      </c>
    </row>
    <row r="1343">
      <c r="A1343" s="84" t="inlineStr">
        <is>
          <t>RATP</t>
        </is>
      </c>
      <c r="B1343" s="7" t="inlineStr">
        <is>
          <t>sédentaire</t>
        </is>
      </c>
      <c r="C1343" s="88" t="n">
        <v>1923</v>
      </c>
      <c r="D1343" s="95" t="n">
        <v>60</v>
      </c>
      <c r="E1343" s="95" t="n">
        <v>60</v>
      </c>
      <c r="F1343" s="85" t="n">
        <v>150</v>
      </c>
      <c r="G1343" s="120" t="n">
        <v>0</v>
      </c>
      <c r="H1343" s="120" t="n">
        <v>0</v>
      </c>
      <c r="I1343" s="95" t="n">
        <v>0.8</v>
      </c>
      <c r="J1343" s="95" t="n">
        <v>60.8</v>
      </c>
      <c r="K1343" s="95" t="n">
        <v>0.9340000000000001</v>
      </c>
      <c r="L1343" s="85" t="n">
        <v>0</v>
      </c>
    </row>
    <row r="1344">
      <c r="A1344" s="84" t="inlineStr">
        <is>
          <t>RATP</t>
        </is>
      </c>
      <c r="B1344" s="7" t="inlineStr">
        <is>
          <t>sédentaire</t>
        </is>
      </c>
      <c r="C1344" s="88" t="n">
        <v>1924</v>
      </c>
      <c r="D1344" s="95" t="n">
        <v>60</v>
      </c>
      <c r="E1344" s="95" t="n">
        <v>60</v>
      </c>
      <c r="F1344" s="85" t="n">
        <v>150</v>
      </c>
      <c r="G1344" s="120" t="n">
        <v>0</v>
      </c>
      <c r="H1344" s="120" t="n">
        <v>0</v>
      </c>
      <c r="I1344" s="95" t="n">
        <v>0.8</v>
      </c>
      <c r="J1344" s="95" t="n">
        <v>60.8</v>
      </c>
      <c r="K1344" s="95" t="n">
        <v>0.9340000000000001</v>
      </c>
      <c r="L1344" s="85" t="n">
        <v>0</v>
      </c>
    </row>
    <row r="1345">
      <c r="A1345" s="84" t="inlineStr">
        <is>
          <t>RATP</t>
        </is>
      </c>
      <c r="B1345" s="7" t="inlineStr">
        <is>
          <t>sédentaire</t>
        </is>
      </c>
      <c r="C1345" s="88" t="n">
        <v>1925</v>
      </c>
      <c r="D1345" s="95" t="n">
        <v>60</v>
      </c>
      <c r="E1345" s="95" t="n">
        <v>60</v>
      </c>
      <c r="F1345" s="85" t="n">
        <v>150</v>
      </c>
      <c r="G1345" s="120" t="n">
        <v>0</v>
      </c>
      <c r="H1345" s="120" t="n">
        <v>0</v>
      </c>
      <c r="I1345" s="95" t="n">
        <v>0.8</v>
      </c>
      <c r="J1345" s="95" t="n">
        <v>60.8</v>
      </c>
      <c r="K1345" s="95" t="n">
        <v>0.9340000000000001</v>
      </c>
      <c r="L1345" s="85" t="n">
        <v>0</v>
      </c>
    </row>
    <row r="1346">
      <c r="A1346" s="84" t="inlineStr">
        <is>
          <t>RATP</t>
        </is>
      </c>
      <c r="B1346" s="7" t="inlineStr">
        <is>
          <t>sédentaire</t>
        </is>
      </c>
      <c r="C1346" s="88" t="n">
        <v>1926</v>
      </c>
      <c r="D1346" s="95" t="n">
        <v>60</v>
      </c>
      <c r="E1346" s="95" t="n">
        <v>60</v>
      </c>
      <c r="F1346" s="85" t="n">
        <v>150</v>
      </c>
      <c r="G1346" s="120" t="n">
        <v>0</v>
      </c>
      <c r="H1346" s="120" t="n">
        <v>0</v>
      </c>
      <c r="I1346" s="95" t="n">
        <v>0.8</v>
      </c>
      <c r="J1346" s="95" t="n">
        <v>60.8</v>
      </c>
      <c r="K1346" s="95" t="n">
        <v>0.9340000000000001</v>
      </c>
      <c r="L1346" s="85" t="n">
        <v>0</v>
      </c>
    </row>
    <row r="1347">
      <c r="A1347" s="84" t="inlineStr">
        <is>
          <t>RATP</t>
        </is>
      </c>
      <c r="B1347" s="7" t="inlineStr">
        <is>
          <t>sédentaire</t>
        </is>
      </c>
      <c r="C1347" s="88" t="n">
        <v>1927</v>
      </c>
      <c r="D1347" s="95" t="n">
        <v>60</v>
      </c>
      <c r="E1347" s="95" t="n">
        <v>60</v>
      </c>
      <c r="F1347" s="85" t="n">
        <v>150</v>
      </c>
      <c r="G1347" s="120" t="n">
        <v>0</v>
      </c>
      <c r="H1347" s="120" t="n">
        <v>0</v>
      </c>
      <c r="I1347" s="95" t="n">
        <v>0.8</v>
      </c>
      <c r="J1347" s="95" t="n">
        <v>60.8</v>
      </c>
      <c r="K1347" s="95" t="n">
        <v>0.9340000000000001</v>
      </c>
      <c r="L1347" s="85" t="n">
        <v>0</v>
      </c>
    </row>
    <row r="1348">
      <c r="A1348" s="84" t="inlineStr">
        <is>
          <t>RATP</t>
        </is>
      </c>
      <c r="B1348" s="7" t="inlineStr">
        <is>
          <t>sédentaire</t>
        </is>
      </c>
      <c r="C1348" s="88" t="n">
        <v>1928</v>
      </c>
      <c r="D1348" s="95" t="n">
        <v>60</v>
      </c>
      <c r="E1348" s="95" t="n">
        <v>60</v>
      </c>
      <c r="F1348" s="85" t="n">
        <v>150</v>
      </c>
      <c r="G1348" s="120" t="n">
        <v>0</v>
      </c>
      <c r="H1348" s="120" t="n">
        <v>0</v>
      </c>
      <c r="I1348" s="95" t="n">
        <v>0.8</v>
      </c>
      <c r="J1348" s="95" t="n">
        <v>60.8</v>
      </c>
      <c r="K1348" s="95" t="n">
        <v>0.9340000000000001</v>
      </c>
      <c r="L1348" s="85" t="n">
        <v>0</v>
      </c>
    </row>
    <row r="1349">
      <c r="A1349" s="84" t="inlineStr">
        <is>
          <t>RATP</t>
        </is>
      </c>
      <c r="B1349" s="7" t="inlineStr">
        <is>
          <t>sédentaire</t>
        </is>
      </c>
      <c r="C1349" s="88" t="n">
        <v>1929</v>
      </c>
      <c r="D1349" s="95" t="n">
        <v>60</v>
      </c>
      <c r="E1349" s="95" t="n">
        <v>60</v>
      </c>
      <c r="F1349" s="85" t="n">
        <v>150</v>
      </c>
      <c r="G1349" s="120" t="n">
        <v>0</v>
      </c>
      <c r="H1349" s="120" t="n">
        <v>0</v>
      </c>
      <c r="I1349" s="95" t="n">
        <v>0.8</v>
      </c>
      <c r="J1349" s="95" t="n">
        <v>60.8</v>
      </c>
      <c r="K1349" s="95" t="n">
        <v>0.9340000000000001</v>
      </c>
      <c r="L1349" s="85" t="n">
        <v>0</v>
      </c>
    </row>
    <row r="1350">
      <c r="A1350" s="84" t="inlineStr">
        <is>
          <t>RATP</t>
        </is>
      </c>
      <c r="B1350" s="7" t="inlineStr">
        <is>
          <t>sédentaire</t>
        </is>
      </c>
      <c r="C1350" s="88" t="n">
        <v>1930</v>
      </c>
      <c r="D1350" s="95" t="n">
        <v>60</v>
      </c>
      <c r="E1350" s="95" t="n">
        <v>60</v>
      </c>
      <c r="F1350" s="85" t="n">
        <v>150</v>
      </c>
      <c r="G1350" s="120" t="n">
        <v>0</v>
      </c>
      <c r="H1350" s="120" t="n">
        <v>0</v>
      </c>
      <c r="I1350" s="95" t="n">
        <v>0.8</v>
      </c>
      <c r="J1350" s="95" t="n">
        <v>60.8</v>
      </c>
      <c r="K1350" s="95" t="n">
        <v>0.9340000000000001</v>
      </c>
      <c r="L1350" s="85" t="n">
        <v>0</v>
      </c>
    </row>
    <row r="1351">
      <c r="A1351" s="84" t="inlineStr">
        <is>
          <t>RATP</t>
        </is>
      </c>
      <c r="B1351" s="7" t="inlineStr">
        <is>
          <t>sédentaire</t>
        </is>
      </c>
      <c r="C1351" s="88" t="n">
        <v>1931</v>
      </c>
      <c r="D1351" s="95" t="n">
        <v>60</v>
      </c>
      <c r="E1351" s="95" t="n">
        <v>60</v>
      </c>
      <c r="F1351" s="85" t="n">
        <v>150</v>
      </c>
      <c r="G1351" s="120" t="n">
        <v>0</v>
      </c>
      <c r="H1351" s="120" t="n">
        <v>0</v>
      </c>
      <c r="I1351" s="95" t="n">
        <v>0.8</v>
      </c>
      <c r="J1351" s="95" t="n">
        <v>60.8</v>
      </c>
      <c r="K1351" s="95" t="n">
        <v>0.9340000000000001</v>
      </c>
      <c r="L1351" s="85" t="n">
        <v>0</v>
      </c>
    </row>
    <row r="1352">
      <c r="A1352" s="84" t="inlineStr">
        <is>
          <t>RATP</t>
        </is>
      </c>
      <c r="B1352" s="7" t="inlineStr">
        <is>
          <t>sédentaire</t>
        </is>
      </c>
      <c r="C1352" s="88" t="n">
        <v>1932</v>
      </c>
      <c r="D1352" s="95" t="n">
        <v>60</v>
      </c>
      <c r="E1352" s="95" t="n">
        <v>60</v>
      </c>
      <c r="F1352" s="85" t="n">
        <v>150</v>
      </c>
      <c r="G1352" s="120" t="n">
        <v>0</v>
      </c>
      <c r="H1352" s="120" t="n">
        <v>0</v>
      </c>
      <c r="I1352" s="95" t="n">
        <v>0.8</v>
      </c>
      <c r="J1352" s="95" t="n">
        <v>60.8</v>
      </c>
      <c r="K1352" s="95" t="n">
        <v>0.9340000000000001</v>
      </c>
      <c r="L1352" s="85" t="n">
        <v>0</v>
      </c>
    </row>
    <row r="1353">
      <c r="A1353" s="84" t="inlineStr">
        <is>
          <t>RATP</t>
        </is>
      </c>
      <c r="B1353" s="7" t="inlineStr">
        <is>
          <t>sédentaire</t>
        </is>
      </c>
      <c r="C1353" s="88" t="n">
        <v>1933</v>
      </c>
      <c r="D1353" s="95" t="n">
        <v>60</v>
      </c>
      <c r="E1353" s="95" t="n">
        <v>60</v>
      </c>
      <c r="F1353" s="85" t="n">
        <v>150</v>
      </c>
      <c r="G1353" s="120" t="n">
        <v>0</v>
      </c>
      <c r="H1353" s="120" t="n">
        <v>0</v>
      </c>
      <c r="I1353" s="95" t="n">
        <v>0.8</v>
      </c>
      <c r="J1353" s="95" t="n">
        <v>60.8</v>
      </c>
      <c r="K1353" s="95" t="n">
        <v>0.9340000000000001</v>
      </c>
      <c r="L1353" s="85" t="n">
        <v>0</v>
      </c>
    </row>
    <row r="1354">
      <c r="A1354" s="84" t="inlineStr">
        <is>
          <t>RATP</t>
        </is>
      </c>
      <c r="B1354" s="7" t="inlineStr">
        <is>
          <t>sédentaire</t>
        </is>
      </c>
      <c r="C1354" s="88" t="n">
        <v>1934</v>
      </c>
      <c r="D1354" s="95" t="n">
        <v>60</v>
      </c>
      <c r="E1354" s="95" t="n">
        <v>60</v>
      </c>
      <c r="F1354" s="85" t="n">
        <v>150</v>
      </c>
      <c r="G1354" s="120" t="n">
        <v>0</v>
      </c>
      <c r="H1354" s="120" t="n">
        <v>0</v>
      </c>
      <c r="I1354" s="95" t="n">
        <v>0.8</v>
      </c>
      <c r="J1354" s="95" t="n">
        <v>60.8</v>
      </c>
      <c r="K1354" s="95" t="n">
        <v>0.9340000000000001</v>
      </c>
      <c r="L1354" s="85" t="n">
        <v>0</v>
      </c>
    </row>
    <row r="1355">
      <c r="A1355" s="84" t="inlineStr">
        <is>
          <t>RATP</t>
        </is>
      </c>
      <c r="B1355" s="7" t="inlineStr">
        <is>
          <t>sédentaire</t>
        </is>
      </c>
      <c r="C1355" s="88" t="n">
        <v>1935</v>
      </c>
      <c r="D1355" s="95" t="n">
        <v>60</v>
      </c>
      <c r="E1355" s="95" t="n">
        <v>60</v>
      </c>
      <c r="F1355" s="85" t="n">
        <v>150</v>
      </c>
      <c r="G1355" s="120" t="n">
        <v>0</v>
      </c>
      <c r="H1355" s="120" t="n">
        <v>0</v>
      </c>
      <c r="I1355" s="95" t="n">
        <v>0.8</v>
      </c>
      <c r="J1355" s="95" t="n">
        <v>60.8</v>
      </c>
      <c r="K1355" s="95" t="n">
        <v>0.9340000000000001</v>
      </c>
      <c r="L1355" s="85" t="n">
        <v>0</v>
      </c>
    </row>
    <row r="1356">
      <c r="A1356" s="84" t="inlineStr">
        <is>
          <t>RATP</t>
        </is>
      </c>
      <c r="B1356" s="7" t="inlineStr">
        <is>
          <t>sédentaire</t>
        </is>
      </c>
      <c r="C1356" s="88" t="n">
        <v>1936</v>
      </c>
      <c r="D1356" s="95" t="n">
        <v>60</v>
      </c>
      <c r="E1356" s="95" t="n">
        <v>60</v>
      </c>
      <c r="F1356" s="85" t="n">
        <v>150</v>
      </c>
      <c r="G1356" s="120" t="n">
        <v>0</v>
      </c>
      <c r="H1356" s="120" t="n">
        <v>0</v>
      </c>
      <c r="I1356" s="95" t="n">
        <v>0.8</v>
      </c>
      <c r="J1356" s="95" t="n">
        <v>60.8</v>
      </c>
      <c r="K1356" s="95" t="n">
        <v>0.9340000000000001</v>
      </c>
      <c r="L1356" s="85" t="n">
        <v>0</v>
      </c>
    </row>
    <row r="1357">
      <c r="A1357" s="84" t="inlineStr">
        <is>
          <t>RATP</t>
        </is>
      </c>
      <c r="B1357" s="7" t="inlineStr">
        <is>
          <t>sédentaire</t>
        </is>
      </c>
      <c r="C1357" s="88" t="n">
        <v>1937</v>
      </c>
      <c r="D1357" s="95" t="n">
        <v>60</v>
      </c>
      <c r="E1357" s="95" t="n">
        <v>60</v>
      </c>
      <c r="F1357" s="85" t="n">
        <v>150</v>
      </c>
      <c r="G1357" s="120" t="n">
        <v>0</v>
      </c>
      <c r="H1357" s="120" t="n">
        <v>0</v>
      </c>
      <c r="I1357" s="95" t="n">
        <v>0.8</v>
      </c>
      <c r="J1357" s="95" t="n">
        <v>60.8</v>
      </c>
      <c r="K1357" s="95" t="n">
        <v>0.9340000000000001</v>
      </c>
      <c r="L1357" s="85" t="n">
        <v>0</v>
      </c>
    </row>
    <row r="1358">
      <c r="A1358" s="84" t="inlineStr">
        <is>
          <t>RATP</t>
        </is>
      </c>
      <c r="B1358" s="7" t="inlineStr">
        <is>
          <t>sédentaire</t>
        </is>
      </c>
      <c r="C1358" s="88" t="n">
        <v>1938</v>
      </c>
      <c r="D1358" s="95" t="n">
        <v>60</v>
      </c>
      <c r="E1358" s="95" t="n">
        <v>60</v>
      </c>
      <c r="F1358" s="85" t="n">
        <v>150</v>
      </c>
      <c r="G1358" s="120" t="n">
        <v>0</v>
      </c>
      <c r="H1358" s="120" t="n">
        <v>0</v>
      </c>
      <c r="I1358" s="95" t="n">
        <v>0.8</v>
      </c>
      <c r="J1358" s="95" t="n">
        <v>60.8</v>
      </c>
      <c r="K1358" s="95" t="n">
        <v>0.9340000000000001</v>
      </c>
      <c r="L1358" s="85" t="n">
        <v>0</v>
      </c>
    </row>
    <row r="1359">
      <c r="A1359" s="84" t="inlineStr">
        <is>
          <t>RATP</t>
        </is>
      </c>
      <c r="B1359" s="7" t="inlineStr">
        <is>
          <t>sédentaire</t>
        </is>
      </c>
      <c r="C1359" s="88" t="n">
        <v>1939</v>
      </c>
      <c r="D1359" s="95" t="n">
        <v>60</v>
      </c>
      <c r="E1359" s="95" t="n">
        <v>60</v>
      </c>
      <c r="F1359" s="85" t="n">
        <v>150</v>
      </c>
      <c r="G1359" s="120" t="n">
        <v>0</v>
      </c>
      <c r="H1359" s="120" t="n">
        <v>0</v>
      </c>
      <c r="I1359" s="95" t="n">
        <v>0.8</v>
      </c>
      <c r="J1359" s="95" t="n">
        <v>60.8</v>
      </c>
      <c r="K1359" s="95" t="n">
        <v>0.9340000000000001</v>
      </c>
      <c r="L1359" s="85" t="n">
        <v>0</v>
      </c>
    </row>
    <row r="1360">
      <c r="A1360" s="84" t="inlineStr">
        <is>
          <t>RATP</t>
        </is>
      </c>
      <c r="B1360" s="7" t="inlineStr">
        <is>
          <t>sédentaire</t>
        </is>
      </c>
      <c r="C1360" s="88" t="n">
        <v>1940</v>
      </c>
      <c r="D1360" s="95" t="n">
        <v>60</v>
      </c>
      <c r="E1360" s="95" t="n">
        <v>60</v>
      </c>
      <c r="F1360" s="85" t="n">
        <v>150</v>
      </c>
      <c r="G1360" s="120" t="n">
        <v>0</v>
      </c>
      <c r="H1360" s="120" t="n">
        <v>0</v>
      </c>
      <c r="I1360" s="95" t="n">
        <v>0.8</v>
      </c>
      <c r="J1360" s="95" t="n">
        <v>60.8</v>
      </c>
      <c r="K1360" s="95" t="n">
        <v>0.9340000000000001</v>
      </c>
      <c r="L1360" s="85" t="n">
        <v>0</v>
      </c>
    </row>
    <row r="1361">
      <c r="A1361" s="84" t="inlineStr">
        <is>
          <t>RATP</t>
        </is>
      </c>
      <c r="B1361" s="7" t="inlineStr">
        <is>
          <t>sédentaire</t>
        </is>
      </c>
      <c r="C1361" s="88" t="n">
        <v>1941</v>
      </c>
      <c r="D1361" s="95" t="n">
        <v>60</v>
      </c>
      <c r="E1361" s="95" t="n">
        <v>60</v>
      </c>
      <c r="F1361" s="85" t="n">
        <v>150</v>
      </c>
      <c r="G1361" s="120" t="n">
        <v>0</v>
      </c>
      <c r="H1361" s="120" t="n">
        <v>0</v>
      </c>
      <c r="I1361" s="95" t="n">
        <v>0.8</v>
      </c>
      <c r="J1361" s="95" t="n">
        <v>60.8</v>
      </c>
      <c r="K1361" s="95" t="n">
        <v>0.9340000000000001</v>
      </c>
      <c r="L1361" s="85" t="n">
        <v>0</v>
      </c>
    </row>
    <row r="1362">
      <c r="A1362" s="84" t="inlineStr">
        <is>
          <t>RATP</t>
        </is>
      </c>
      <c r="B1362" s="7" t="inlineStr">
        <is>
          <t>sédentaire</t>
        </is>
      </c>
      <c r="C1362" s="88" t="n">
        <v>1942</v>
      </c>
      <c r="D1362" s="95" t="n">
        <v>60</v>
      </c>
      <c r="E1362" s="95" t="n">
        <v>60</v>
      </c>
      <c r="F1362" s="85" t="n">
        <v>150</v>
      </c>
      <c r="G1362" s="120" t="n">
        <v>0</v>
      </c>
      <c r="H1362" s="120" t="n">
        <v>0</v>
      </c>
      <c r="I1362" s="95" t="n">
        <v>0.8</v>
      </c>
      <c r="J1362" s="95" t="n">
        <v>60.8</v>
      </c>
      <c r="K1362" s="95" t="n">
        <v>0.9340000000000001</v>
      </c>
      <c r="L1362" s="85" t="n">
        <v>0</v>
      </c>
    </row>
    <row r="1363">
      <c r="A1363" s="84" t="inlineStr">
        <is>
          <t>RATP</t>
        </is>
      </c>
      <c r="B1363" s="7" t="inlineStr">
        <is>
          <t>sédentaire</t>
        </is>
      </c>
      <c r="C1363" s="88" t="n">
        <v>1943</v>
      </c>
      <c r="D1363" s="95" t="n">
        <v>60</v>
      </c>
      <c r="E1363" s="95" t="n">
        <v>60</v>
      </c>
      <c r="F1363" s="85" t="n">
        <v>150</v>
      </c>
      <c r="G1363" s="120" t="n">
        <v>0</v>
      </c>
      <c r="H1363" s="120" t="n">
        <v>0</v>
      </c>
      <c r="I1363" s="95" t="n">
        <v>0.8</v>
      </c>
      <c r="J1363" s="95" t="n">
        <v>60.8</v>
      </c>
      <c r="K1363" s="95" t="n">
        <v>0.9340000000000001</v>
      </c>
      <c r="L1363" s="85" t="n">
        <v>0</v>
      </c>
    </row>
    <row r="1364">
      <c r="A1364" s="84" t="inlineStr">
        <is>
          <t>RATP</t>
        </is>
      </c>
      <c r="B1364" s="7" t="inlineStr">
        <is>
          <t>sédentaire</t>
        </is>
      </c>
      <c r="C1364" s="88" t="n">
        <v>1944</v>
      </c>
      <c r="D1364" s="95" t="n">
        <v>60</v>
      </c>
      <c r="E1364" s="95" t="n">
        <v>60</v>
      </c>
      <c r="F1364" s="85" t="n">
        <v>150</v>
      </c>
      <c r="G1364" s="120" t="n">
        <v>0</v>
      </c>
      <c r="H1364" s="120" t="n">
        <v>0</v>
      </c>
      <c r="I1364" s="95" t="n">
        <v>0.8</v>
      </c>
      <c r="J1364" s="95" t="n">
        <v>60.8</v>
      </c>
      <c r="K1364" s="95" t="n">
        <v>0.9340000000000001</v>
      </c>
      <c r="L1364" s="85" t="n">
        <v>0</v>
      </c>
    </row>
    <row r="1365">
      <c r="A1365" s="84" t="inlineStr">
        <is>
          <t>RATP</t>
        </is>
      </c>
      <c r="B1365" s="7" t="inlineStr">
        <is>
          <t>sédentaire</t>
        </is>
      </c>
      <c r="C1365" s="88" t="n">
        <v>1945</v>
      </c>
      <c r="D1365" s="95" t="n">
        <v>60</v>
      </c>
      <c r="E1365" s="95" t="n">
        <v>60</v>
      </c>
      <c r="F1365" s="85" t="n">
        <v>150</v>
      </c>
      <c r="G1365" s="120" t="n">
        <v>0</v>
      </c>
      <c r="H1365" s="120" t="n">
        <v>0</v>
      </c>
      <c r="I1365" s="95" t="n">
        <v>0.8</v>
      </c>
      <c r="J1365" s="95" t="n">
        <v>60.8</v>
      </c>
      <c r="K1365" s="95" t="n">
        <v>0.9340000000000001</v>
      </c>
      <c r="L1365" s="85" t="n">
        <v>0</v>
      </c>
    </row>
    <row r="1366">
      <c r="A1366" s="84" t="inlineStr">
        <is>
          <t>RATP</t>
        </is>
      </c>
      <c r="B1366" s="7" t="inlineStr">
        <is>
          <t>sédentaire</t>
        </is>
      </c>
      <c r="C1366" s="88" t="n">
        <v>1946</v>
      </c>
      <c r="D1366" s="95" t="n">
        <v>60</v>
      </c>
      <c r="E1366" s="95" t="n">
        <v>60</v>
      </c>
      <c r="F1366" s="85" t="n">
        <v>150</v>
      </c>
      <c r="G1366" s="120" t="n">
        <v>0</v>
      </c>
      <c r="H1366" s="120" t="n">
        <v>0</v>
      </c>
      <c r="I1366" s="95" t="n">
        <v>0.91</v>
      </c>
      <c r="J1366" s="95" t="n">
        <v>60.91</v>
      </c>
      <c r="K1366" s="95" t="n">
        <v>0.9340000000000001</v>
      </c>
      <c r="L1366" s="85" t="n">
        <v>0</v>
      </c>
    </row>
    <row r="1367">
      <c r="A1367" s="84" t="inlineStr">
        <is>
          <t>RATP</t>
        </is>
      </c>
      <c r="B1367" s="7" t="inlineStr">
        <is>
          <t>sédentaire</t>
        </is>
      </c>
      <c r="C1367" s="88" t="n">
        <v>1947</v>
      </c>
      <c r="D1367" s="95" t="n">
        <v>60</v>
      </c>
      <c r="E1367" s="95" t="n">
        <v>60</v>
      </c>
      <c r="F1367" s="85" t="n">
        <v>150</v>
      </c>
      <c r="G1367" s="120" t="n">
        <v>0</v>
      </c>
      <c r="H1367" s="120" t="n">
        <v>0</v>
      </c>
      <c r="I1367" s="95" t="n">
        <v>1.03</v>
      </c>
      <c r="J1367" s="95" t="n">
        <v>61.03</v>
      </c>
      <c r="K1367" s="95" t="n">
        <v>0.9340000000000001</v>
      </c>
      <c r="L1367" s="85" t="n">
        <v>0</v>
      </c>
    </row>
    <row r="1368">
      <c r="A1368" s="84" t="inlineStr">
        <is>
          <t>RATP</t>
        </is>
      </c>
      <c r="B1368" s="7" t="inlineStr">
        <is>
          <t>sédentaire</t>
        </is>
      </c>
      <c r="C1368" s="88" t="n">
        <v>1948</v>
      </c>
      <c r="D1368" s="95" t="n">
        <v>60</v>
      </c>
      <c r="E1368" s="95" t="n">
        <v>60</v>
      </c>
      <c r="F1368" s="85" t="n">
        <v>151</v>
      </c>
      <c r="G1368" s="120" t="n">
        <v>0</v>
      </c>
      <c r="H1368" s="120" t="n">
        <v>0.0075</v>
      </c>
      <c r="I1368" s="95" t="n">
        <v>1.14</v>
      </c>
      <c r="J1368" s="95" t="n">
        <v>61.14</v>
      </c>
      <c r="K1368" s="95" t="n">
        <v>0.9340000000000001</v>
      </c>
      <c r="L1368" s="85" t="n">
        <v>0</v>
      </c>
    </row>
    <row r="1369">
      <c r="A1369" s="84" t="inlineStr">
        <is>
          <t>RATP</t>
        </is>
      </c>
      <c r="B1369" s="7" t="inlineStr">
        <is>
          <t>sédentaire</t>
        </is>
      </c>
      <c r="C1369" s="88" t="n">
        <v>1949</v>
      </c>
      <c r="D1369" s="95" t="n">
        <v>60</v>
      </c>
      <c r="E1369" s="95" t="n">
        <v>60</v>
      </c>
      <c r="F1369" s="85" t="n">
        <v>153</v>
      </c>
      <c r="G1369" s="120" t="n">
        <v>0</v>
      </c>
      <c r="H1369" s="120" t="n">
        <v>0.0125</v>
      </c>
      <c r="I1369" s="95" t="n">
        <v>1.25</v>
      </c>
      <c r="J1369" s="95" t="n">
        <v>61.25</v>
      </c>
      <c r="K1369" s="95" t="n">
        <v>0.9340000000000001</v>
      </c>
      <c r="L1369" s="85" t="n">
        <v>0</v>
      </c>
    </row>
    <row r="1370">
      <c r="A1370" s="84" t="inlineStr">
        <is>
          <t>RATP</t>
        </is>
      </c>
      <c r="B1370" s="7" t="inlineStr">
        <is>
          <t>sédentaire</t>
        </is>
      </c>
      <c r="C1370" s="88" t="n">
        <v>1950</v>
      </c>
      <c r="D1370" s="95" t="n">
        <v>60</v>
      </c>
      <c r="E1370" s="95" t="n">
        <v>61</v>
      </c>
      <c r="F1370" s="85" t="n">
        <v>155</v>
      </c>
      <c r="G1370" s="120" t="n">
        <v>0.00125</v>
      </c>
      <c r="H1370" s="120" t="n">
        <v>0.0125</v>
      </c>
      <c r="I1370" s="95" t="n">
        <v>1.37</v>
      </c>
      <c r="J1370" s="95" t="n">
        <v>61.37</v>
      </c>
      <c r="K1370" s="95" t="n">
        <v>0.9340000000000001</v>
      </c>
      <c r="L1370" s="85" t="n">
        <v>0</v>
      </c>
    </row>
    <row r="1371">
      <c r="A1371" s="84" t="inlineStr">
        <is>
          <t>RATP</t>
        </is>
      </c>
      <c r="B1371" s="7" t="inlineStr">
        <is>
          <t>sédentaire</t>
        </is>
      </c>
      <c r="C1371" s="88" t="n">
        <v>1951</v>
      </c>
      <c r="D1371" s="95" t="n">
        <v>60</v>
      </c>
      <c r="E1371" s="95" t="n">
        <v>61</v>
      </c>
      <c r="F1371" s="85" t="n">
        <v>157</v>
      </c>
      <c r="G1371" s="120" t="n">
        <v>0.0025</v>
      </c>
      <c r="H1371" s="120" t="n">
        <v>0.0125</v>
      </c>
      <c r="I1371" s="95" t="n">
        <v>1.48</v>
      </c>
      <c r="J1371" s="95" t="n">
        <v>61.48</v>
      </c>
      <c r="K1371" s="95" t="n">
        <v>0.9340000000000001</v>
      </c>
      <c r="L1371" s="85" t="n">
        <v>0</v>
      </c>
    </row>
    <row r="1372">
      <c r="A1372" s="84" t="inlineStr">
        <is>
          <t>RATP</t>
        </is>
      </c>
      <c r="B1372" s="7" t="inlineStr">
        <is>
          <t>sédentaire</t>
        </is>
      </c>
      <c r="C1372" s="88" t="n">
        <v>1952</v>
      </c>
      <c r="D1372" s="95" t="n">
        <v>60</v>
      </c>
      <c r="E1372" s="95" t="n">
        <v>61.5</v>
      </c>
      <c r="F1372" s="85" t="n">
        <v>159</v>
      </c>
      <c r="G1372" s="120" t="n">
        <v>0.00375</v>
      </c>
      <c r="H1372" s="120" t="n">
        <v>0.0125</v>
      </c>
      <c r="I1372" s="95" t="n">
        <v>1.59</v>
      </c>
      <c r="J1372" s="95" t="n">
        <v>61.59</v>
      </c>
      <c r="K1372" s="95" t="n">
        <v>0.9340000000000001</v>
      </c>
      <c r="L1372" s="85" t="n">
        <v>0</v>
      </c>
    </row>
    <row r="1373">
      <c r="A1373" s="84" t="inlineStr">
        <is>
          <t>RATP</t>
        </is>
      </c>
      <c r="B1373" s="7" t="inlineStr">
        <is>
          <t>sédentaire</t>
        </is>
      </c>
      <c r="C1373" s="88" t="n">
        <v>1953</v>
      </c>
      <c r="D1373" s="95" t="n">
        <v>60</v>
      </c>
      <c r="E1373" s="95" t="n">
        <v>62</v>
      </c>
      <c r="F1373" s="85" t="n">
        <v>161</v>
      </c>
      <c r="G1373" s="120" t="n">
        <v>0.005</v>
      </c>
      <c r="H1373" s="120" t="n">
        <v>0.0125</v>
      </c>
      <c r="I1373" s="95" t="n">
        <v>1.71</v>
      </c>
      <c r="J1373" s="95" t="n">
        <v>61.71</v>
      </c>
      <c r="K1373" s="95" t="n">
        <v>0.9340000000000001</v>
      </c>
      <c r="L1373" s="85" t="n">
        <v>0</v>
      </c>
    </row>
    <row r="1374">
      <c r="A1374" s="84" t="inlineStr">
        <is>
          <t>RATP</t>
        </is>
      </c>
      <c r="B1374" s="7" t="inlineStr">
        <is>
          <t>sédentaire</t>
        </is>
      </c>
      <c r="C1374" s="88" t="n">
        <v>1954</v>
      </c>
      <c r="D1374" s="95" t="n">
        <v>60</v>
      </c>
      <c r="E1374" s="95" t="n">
        <v>62.25</v>
      </c>
      <c r="F1374" s="85" t="n">
        <v>162</v>
      </c>
      <c r="G1374" s="120" t="n">
        <v>0.00625</v>
      </c>
      <c r="H1374" s="120" t="n">
        <v>0.0125</v>
      </c>
      <c r="I1374" s="95" t="n">
        <v>1.82</v>
      </c>
      <c r="J1374" s="95" t="n">
        <v>61.82</v>
      </c>
      <c r="K1374" s="95" t="n">
        <v>0.9340000000000001</v>
      </c>
      <c r="L1374" s="85" t="n">
        <v>0</v>
      </c>
    </row>
    <row r="1375">
      <c r="A1375" s="84" t="inlineStr">
        <is>
          <t>RATP</t>
        </is>
      </c>
      <c r="B1375" s="7" t="inlineStr">
        <is>
          <t>sédentaire</t>
        </is>
      </c>
      <c r="C1375" s="88" t="n">
        <v>1955</v>
      </c>
      <c r="D1375" s="95" t="n">
        <v>60</v>
      </c>
      <c r="E1375" s="95" t="n">
        <v>62.5</v>
      </c>
      <c r="F1375" s="85" t="n">
        <v>163</v>
      </c>
      <c r="G1375" s="120" t="n">
        <v>0.0075</v>
      </c>
      <c r="H1375" s="120" t="n">
        <v>0.0125</v>
      </c>
      <c r="I1375" s="95" t="n">
        <v>1.93</v>
      </c>
      <c r="J1375" s="95" t="n">
        <v>61.93</v>
      </c>
      <c r="K1375" s="95" t="n">
        <v>0.9340000000000001</v>
      </c>
      <c r="L1375" s="85" t="n">
        <v>0</v>
      </c>
    </row>
    <row r="1376">
      <c r="A1376" s="84" t="inlineStr">
        <is>
          <t>RATP</t>
        </is>
      </c>
      <c r="B1376" s="7" t="inlineStr">
        <is>
          <t>sédentaire</t>
        </is>
      </c>
      <c r="C1376" s="88" t="n">
        <v>1956</v>
      </c>
      <c r="D1376" s="95" t="n">
        <v>60</v>
      </c>
      <c r="E1376" s="95" t="n">
        <v>62.75</v>
      </c>
      <c r="F1376" s="85" t="n">
        <v>164</v>
      </c>
      <c r="G1376" s="120" t="n">
        <v>0.008750000000000001</v>
      </c>
      <c r="H1376" s="120" t="n">
        <v>0.0125</v>
      </c>
      <c r="I1376" s="95" t="n">
        <v>2.05</v>
      </c>
      <c r="J1376" s="95" t="n">
        <v>62.05</v>
      </c>
      <c r="K1376" s="95" t="n">
        <v>0.9340000000000001</v>
      </c>
      <c r="L1376" s="85" t="n">
        <v>0</v>
      </c>
    </row>
    <row r="1377">
      <c r="A1377" s="84" t="inlineStr">
        <is>
          <t>RATP</t>
        </is>
      </c>
      <c r="B1377" s="7" t="inlineStr">
        <is>
          <t>sédentaire</t>
        </is>
      </c>
      <c r="C1377" s="88" t="n">
        <v>1957</v>
      </c>
      <c r="D1377" s="95" t="n">
        <v>60.3333</v>
      </c>
      <c r="E1377" s="95" t="n">
        <v>63.33</v>
      </c>
      <c r="F1377" s="85" t="n">
        <v>165</v>
      </c>
      <c r="G1377" s="120" t="n">
        <v>0.01</v>
      </c>
      <c r="H1377" s="120" t="n">
        <v>0.0125</v>
      </c>
      <c r="I1377" s="95" t="n">
        <v>2.16</v>
      </c>
      <c r="J1377" s="95" t="n">
        <v>62.49</v>
      </c>
      <c r="K1377" s="95" t="n">
        <v>0.9340000000000001</v>
      </c>
      <c r="L1377" s="85" t="n">
        <v>0</v>
      </c>
    </row>
    <row r="1378">
      <c r="A1378" s="84" t="inlineStr">
        <is>
          <t>RATP</t>
        </is>
      </c>
      <c r="B1378" s="7" t="inlineStr">
        <is>
          <t>sédentaire</t>
        </is>
      </c>
      <c r="C1378" s="88" t="n">
        <v>1958</v>
      </c>
      <c r="D1378" s="95" t="n">
        <v>60.6667</v>
      </c>
      <c r="E1378" s="95" t="n">
        <v>64.17</v>
      </c>
      <c r="F1378" s="85" t="n">
        <v>166</v>
      </c>
      <c r="G1378" s="120" t="n">
        <v>0.01125</v>
      </c>
      <c r="H1378" s="120" t="n">
        <v>0.0125</v>
      </c>
      <c r="I1378" s="95" t="n">
        <v>2.27</v>
      </c>
      <c r="J1378" s="95" t="n">
        <v>62.94</v>
      </c>
      <c r="K1378" s="95" t="n">
        <v>0.9340000000000001</v>
      </c>
      <c r="L1378" s="85" t="n">
        <v>0</v>
      </c>
    </row>
    <row r="1379">
      <c r="A1379" s="84" t="inlineStr">
        <is>
          <t>RATP</t>
        </is>
      </c>
      <c r="B1379" s="7" t="inlineStr">
        <is>
          <t>sédentaire</t>
        </is>
      </c>
      <c r="C1379" s="88" t="n">
        <v>1959</v>
      </c>
      <c r="D1379" s="95" t="n">
        <v>61</v>
      </c>
      <c r="E1379" s="95" t="n">
        <v>64.75</v>
      </c>
      <c r="F1379" s="85" t="n">
        <v>167</v>
      </c>
      <c r="G1379" s="120" t="n">
        <v>0.0125</v>
      </c>
      <c r="H1379" s="120" t="n">
        <v>0.0125</v>
      </c>
      <c r="I1379" s="95" t="n">
        <v>2.39</v>
      </c>
      <c r="J1379" s="95" t="n">
        <v>63.39</v>
      </c>
      <c r="K1379" s="95" t="n">
        <v>0.9340000000000001</v>
      </c>
      <c r="L1379" s="85" t="n">
        <v>0</v>
      </c>
    </row>
    <row r="1380">
      <c r="A1380" s="84" t="inlineStr">
        <is>
          <t>RATP</t>
        </is>
      </c>
      <c r="B1380" s="7" t="inlineStr">
        <is>
          <t>sédentaire</t>
        </is>
      </c>
      <c r="C1380" s="88" t="n">
        <v>1960</v>
      </c>
      <c r="D1380" s="95" t="n">
        <v>61.3333</v>
      </c>
      <c r="E1380" s="95" t="n">
        <v>65.31</v>
      </c>
      <c r="F1380" s="85" t="n">
        <v>167</v>
      </c>
      <c r="G1380" s="120" t="n">
        <v>0.0125</v>
      </c>
      <c r="H1380" s="120" t="n">
        <v>0.0125</v>
      </c>
      <c r="I1380" s="95" t="n">
        <v>2.5</v>
      </c>
      <c r="J1380" s="95" t="n">
        <v>63.83</v>
      </c>
      <c r="K1380" s="95" t="n">
        <v>0.9340000000000001</v>
      </c>
      <c r="L1380" s="85" t="n">
        <v>0</v>
      </c>
    </row>
    <row r="1381">
      <c r="A1381" s="84" t="inlineStr">
        <is>
          <t>RATP</t>
        </is>
      </c>
      <c r="B1381" s="7" t="inlineStr">
        <is>
          <t>sédentaire</t>
        </is>
      </c>
      <c r="C1381" s="88" t="n">
        <v>1961</v>
      </c>
      <c r="D1381" s="95" t="n">
        <v>61.6667</v>
      </c>
      <c r="E1381" s="95" t="n">
        <v>65.86</v>
      </c>
      <c r="F1381" s="85" t="n">
        <v>168</v>
      </c>
      <c r="G1381" s="120" t="n">
        <v>0.0125</v>
      </c>
      <c r="H1381" s="120" t="n">
        <v>0.0125</v>
      </c>
      <c r="I1381" s="95" t="n">
        <v>2.5</v>
      </c>
      <c r="J1381" s="95" t="n">
        <v>64.17</v>
      </c>
      <c r="K1381" s="95" t="n">
        <v>0.9340000000000001</v>
      </c>
      <c r="L1381" s="85" t="n">
        <v>0</v>
      </c>
    </row>
    <row r="1382">
      <c r="A1382" s="84" t="inlineStr">
        <is>
          <t>RATP</t>
        </is>
      </c>
      <c r="B1382" s="7" t="inlineStr">
        <is>
          <t>sédentaire</t>
        </is>
      </c>
      <c r="C1382" s="88" t="n">
        <v>1962</v>
      </c>
      <c r="D1382" s="95" t="n">
        <v>62</v>
      </c>
      <c r="E1382" s="95" t="n">
        <v>66.42</v>
      </c>
      <c r="F1382" s="85" t="n">
        <v>168</v>
      </c>
      <c r="G1382" s="120" t="n">
        <v>0.0125</v>
      </c>
      <c r="H1382" s="120" t="n">
        <v>0.0125</v>
      </c>
      <c r="I1382" s="95" t="n">
        <v>2.5</v>
      </c>
      <c r="J1382" s="95" t="n">
        <v>64.5</v>
      </c>
      <c r="K1382" s="95" t="n">
        <v>0.9340000000000001</v>
      </c>
      <c r="L1382" s="85" t="n">
        <v>0</v>
      </c>
    </row>
    <row r="1383">
      <c r="A1383" s="84" t="inlineStr">
        <is>
          <t>RATP</t>
        </is>
      </c>
      <c r="B1383" s="7" t="inlineStr">
        <is>
          <t>sédentaire</t>
        </is>
      </c>
      <c r="C1383" s="88" t="n">
        <v>1963</v>
      </c>
      <c r="D1383" s="95" t="n">
        <v>62.25</v>
      </c>
      <c r="E1383" s="95" t="n">
        <v>66.88</v>
      </c>
      <c r="F1383" s="85" t="n">
        <v>169</v>
      </c>
      <c r="G1383" s="120" t="n">
        <v>0.0125</v>
      </c>
      <c r="H1383" s="120" t="n">
        <v>0.0125</v>
      </c>
      <c r="I1383" s="95" t="n">
        <v>2.5</v>
      </c>
      <c r="J1383" s="95" t="n">
        <v>64.75</v>
      </c>
      <c r="K1383" s="95" t="n">
        <v>0.9340000000000001</v>
      </c>
      <c r="L1383" s="85" t="n">
        <v>0</v>
      </c>
    </row>
    <row r="1384">
      <c r="A1384" s="84" t="inlineStr">
        <is>
          <t>RATP</t>
        </is>
      </c>
      <c r="B1384" s="7" t="inlineStr">
        <is>
          <t>sédentaire</t>
        </is>
      </c>
      <c r="C1384" s="88" t="n">
        <v>1964</v>
      </c>
      <c r="D1384" s="95" t="n">
        <v>62.5</v>
      </c>
      <c r="E1384" s="95" t="n">
        <v>67</v>
      </c>
      <c r="F1384" s="85" t="n">
        <v>170</v>
      </c>
      <c r="G1384" s="120" t="n">
        <v>0.0125</v>
      </c>
      <c r="H1384" s="120" t="n">
        <v>0.0125</v>
      </c>
      <c r="I1384" s="95" t="n">
        <v>2.5</v>
      </c>
      <c r="J1384" s="95" t="n">
        <v>65</v>
      </c>
      <c r="K1384" s="95" t="n">
        <v>0.9340000000000001</v>
      </c>
      <c r="L1384" s="85" t="n">
        <v>0</v>
      </c>
    </row>
    <row r="1385">
      <c r="A1385" s="84" t="inlineStr">
        <is>
          <t>RATP</t>
        </is>
      </c>
      <c r="B1385" s="7" t="inlineStr">
        <is>
          <t>sédentaire</t>
        </is>
      </c>
      <c r="C1385" s="88" t="n">
        <v>1965</v>
      </c>
      <c r="D1385" s="95" t="n">
        <v>62.75</v>
      </c>
      <c r="E1385" s="95" t="n">
        <v>67</v>
      </c>
      <c r="F1385" s="85" t="n">
        <v>170</v>
      </c>
      <c r="G1385" s="120" t="n">
        <v>0.0125</v>
      </c>
      <c r="H1385" s="120" t="n">
        <v>0.0125</v>
      </c>
      <c r="I1385" s="95" t="n">
        <v>2.5</v>
      </c>
      <c r="J1385" s="95" t="n">
        <v>65.25</v>
      </c>
      <c r="K1385" s="95" t="n">
        <v>0.9340000000000001</v>
      </c>
      <c r="L1385" s="85" t="n">
        <v>0</v>
      </c>
    </row>
    <row r="1386">
      <c r="A1386" s="84" t="inlineStr">
        <is>
          <t>RATP</t>
        </is>
      </c>
      <c r="B1386" s="7" t="inlineStr">
        <is>
          <t>sédentaire</t>
        </is>
      </c>
      <c r="C1386" s="88" t="n">
        <v>1966</v>
      </c>
      <c r="D1386" s="95" t="n">
        <v>63</v>
      </c>
      <c r="E1386" s="95" t="n">
        <v>67</v>
      </c>
      <c r="F1386" s="85" t="n">
        <v>171</v>
      </c>
      <c r="G1386" s="120" t="n">
        <v>0.0125</v>
      </c>
      <c r="H1386" s="120" t="n">
        <v>0.0125</v>
      </c>
      <c r="I1386" s="95" t="n">
        <v>2.5</v>
      </c>
      <c r="J1386" s="95" t="n">
        <v>65.5</v>
      </c>
      <c r="K1386" s="95" t="n">
        <v>0.9340000000000001</v>
      </c>
      <c r="L1386" s="85" t="n">
        <v>0</v>
      </c>
    </row>
    <row r="1387">
      <c r="A1387" s="84" t="inlineStr">
        <is>
          <t>RATP</t>
        </is>
      </c>
      <c r="B1387" s="7" t="inlineStr">
        <is>
          <t>sédentaire</t>
        </is>
      </c>
      <c r="C1387" s="88" t="n">
        <v>1967</v>
      </c>
      <c r="D1387" s="95" t="n">
        <v>63.25</v>
      </c>
      <c r="E1387" s="95" t="n">
        <v>67</v>
      </c>
      <c r="F1387" s="85" t="n">
        <v>171</v>
      </c>
      <c r="G1387" s="120" t="n">
        <v>0.0125</v>
      </c>
      <c r="H1387" s="120" t="n">
        <v>0.0125</v>
      </c>
      <c r="I1387" s="95" t="n">
        <v>2.5</v>
      </c>
      <c r="J1387" s="95" t="n">
        <v>65.75</v>
      </c>
      <c r="K1387" s="95" t="n">
        <v>0.9340000000000001</v>
      </c>
      <c r="L1387" s="85" t="n">
        <v>0</v>
      </c>
    </row>
    <row r="1388">
      <c r="A1388" s="84" t="inlineStr">
        <is>
          <t>RATP</t>
        </is>
      </c>
      <c r="B1388" s="7" t="inlineStr">
        <is>
          <t>sédentaire</t>
        </is>
      </c>
      <c r="C1388" s="88" t="n">
        <v>1968</v>
      </c>
      <c r="D1388" s="95" t="n">
        <v>63.5</v>
      </c>
      <c r="E1388" s="95" t="n">
        <v>67</v>
      </c>
      <c r="F1388" s="85" t="n">
        <v>172</v>
      </c>
      <c r="G1388" s="120" t="n">
        <v>0.0125</v>
      </c>
      <c r="H1388" s="120" t="n">
        <v>0.0125</v>
      </c>
      <c r="I1388" s="95" t="n">
        <v>2.5</v>
      </c>
      <c r="J1388" s="95" t="n">
        <v>66</v>
      </c>
      <c r="K1388" s="95" t="n">
        <v>0.9340000000000001</v>
      </c>
      <c r="L1388" s="85" t="n">
        <v>0</v>
      </c>
    </row>
    <row r="1389">
      <c r="A1389" s="84" t="inlineStr">
        <is>
          <t>RATP</t>
        </is>
      </c>
      <c r="B1389" s="7" t="inlineStr">
        <is>
          <t>sédentaire</t>
        </is>
      </c>
      <c r="C1389" s="88" t="n">
        <v>1969</v>
      </c>
      <c r="D1389" s="95" t="n">
        <v>63.75</v>
      </c>
      <c r="E1389" s="95" t="n">
        <v>67</v>
      </c>
      <c r="F1389" s="85" t="n">
        <v>172</v>
      </c>
      <c r="G1389" s="120" t="n">
        <v>0.0125</v>
      </c>
      <c r="H1389" s="120" t="n">
        <v>0.0125</v>
      </c>
      <c r="I1389" s="95" t="n">
        <v>2.5</v>
      </c>
      <c r="J1389" s="95" t="n">
        <v>66.25</v>
      </c>
      <c r="K1389" s="95" t="n">
        <v>0.9340000000000001</v>
      </c>
      <c r="L1389" s="85" t="n">
        <v>0</v>
      </c>
    </row>
    <row r="1390">
      <c r="A1390" s="84" t="inlineStr">
        <is>
          <t>RATP</t>
        </is>
      </c>
      <c r="B1390" s="7" t="inlineStr">
        <is>
          <t>sédentaire</t>
        </is>
      </c>
      <c r="C1390" s="88" t="n">
        <v>1970</v>
      </c>
      <c r="D1390" s="95" t="n">
        <v>64</v>
      </c>
      <c r="E1390" s="95" t="n">
        <v>67</v>
      </c>
      <c r="F1390" s="85" t="n">
        <v>172</v>
      </c>
      <c r="G1390" s="120" t="n">
        <v>0.0125</v>
      </c>
      <c r="H1390" s="120" t="n">
        <v>0.0125</v>
      </c>
      <c r="I1390" s="95" t="n">
        <v>2.5</v>
      </c>
      <c r="J1390" s="95" t="n">
        <v>66.5</v>
      </c>
      <c r="K1390" s="95" t="n">
        <v>0.9340000000000001</v>
      </c>
      <c r="L1390" s="85" t="n">
        <v>0</v>
      </c>
    </row>
    <row r="1391">
      <c r="A1391" s="84" t="inlineStr">
        <is>
          <t>RATP</t>
        </is>
      </c>
      <c r="B1391" s="7" t="inlineStr">
        <is>
          <t>sédentaire</t>
        </is>
      </c>
      <c r="C1391" s="88" t="n">
        <v>1971</v>
      </c>
      <c r="D1391" s="95" t="n">
        <v>64</v>
      </c>
      <c r="E1391" s="95" t="n">
        <v>67</v>
      </c>
      <c r="F1391" s="85" t="n">
        <v>172</v>
      </c>
      <c r="G1391" s="120" t="n">
        <v>0.0125</v>
      </c>
      <c r="H1391" s="120" t="n">
        <v>0.0125</v>
      </c>
      <c r="I1391" s="95" t="n">
        <v>2.5</v>
      </c>
      <c r="J1391" s="95" t="n">
        <v>66.5</v>
      </c>
      <c r="K1391" s="95" t="n">
        <v>0.9340000000000001</v>
      </c>
      <c r="L1391" s="85" t="n">
        <v>0</v>
      </c>
    </row>
    <row r="1392">
      <c r="A1392" s="84" t="inlineStr">
        <is>
          <t>RATP</t>
        </is>
      </c>
      <c r="B1392" s="7" t="inlineStr">
        <is>
          <t>sédentaire</t>
        </is>
      </c>
      <c r="C1392" s="88" t="n">
        <v>1972</v>
      </c>
      <c r="D1392" s="95" t="n">
        <v>64</v>
      </c>
      <c r="E1392" s="95" t="n">
        <v>67</v>
      </c>
      <c r="F1392" s="85" t="n">
        <v>172</v>
      </c>
      <c r="G1392" s="120" t="n">
        <v>0.0125</v>
      </c>
      <c r="H1392" s="120" t="n">
        <v>0.0125</v>
      </c>
      <c r="I1392" s="95" t="n">
        <v>2.5</v>
      </c>
      <c r="J1392" s="95" t="n">
        <v>66.5</v>
      </c>
      <c r="K1392" s="95" t="n">
        <v>0.9340000000000001</v>
      </c>
      <c r="L1392" s="85" t="n">
        <v>0</v>
      </c>
    </row>
    <row r="1393">
      <c r="A1393" s="84" t="inlineStr">
        <is>
          <t>RATP</t>
        </is>
      </c>
      <c r="B1393" s="7" t="inlineStr">
        <is>
          <t>sédentaire</t>
        </is>
      </c>
      <c r="C1393" s="88" t="n">
        <v>1973</v>
      </c>
      <c r="D1393" s="95" t="n">
        <v>64</v>
      </c>
      <c r="E1393" s="95" t="n">
        <v>67</v>
      </c>
      <c r="F1393" s="85" t="n">
        <v>172</v>
      </c>
      <c r="G1393" s="120" t="n">
        <v>0.0125</v>
      </c>
      <c r="H1393" s="120" t="n">
        <v>0.0125</v>
      </c>
      <c r="I1393" s="95" t="n">
        <v>2.5</v>
      </c>
      <c r="J1393" s="95" t="n">
        <v>66.5</v>
      </c>
      <c r="K1393" s="95" t="n">
        <v>0.9340000000000001</v>
      </c>
      <c r="L1393" s="85" t="n">
        <v>0</v>
      </c>
    </row>
    <row r="1394">
      <c r="A1394" s="84" t="inlineStr">
        <is>
          <t>RATP</t>
        </is>
      </c>
      <c r="B1394" s="7" t="inlineStr">
        <is>
          <t>sédentaire</t>
        </is>
      </c>
      <c r="C1394" s="88" t="n">
        <v>1974</v>
      </c>
      <c r="D1394" s="95" t="n">
        <v>64</v>
      </c>
      <c r="E1394" s="95" t="n">
        <v>67</v>
      </c>
      <c r="F1394" s="85" t="n">
        <v>172</v>
      </c>
      <c r="G1394" s="120" t="n">
        <v>0.0125</v>
      </c>
      <c r="H1394" s="120" t="n">
        <v>0.0125</v>
      </c>
      <c r="I1394" s="95" t="n">
        <v>2.5</v>
      </c>
      <c r="J1394" s="95" t="n">
        <v>66.5</v>
      </c>
      <c r="K1394" s="95" t="n">
        <v>0.9340000000000001</v>
      </c>
      <c r="L1394" s="85" t="n">
        <v>0</v>
      </c>
    </row>
    <row r="1395">
      <c r="A1395" s="84" t="inlineStr">
        <is>
          <t>RATP</t>
        </is>
      </c>
      <c r="B1395" s="7" t="inlineStr">
        <is>
          <t>sédentaire</t>
        </is>
      </c>
      <c r="C1395" s="88" t="n">
        <v>1975</v>
      </c>
      <c r="D1395" s="95" t="n">
        <v>64</v>
      </c>
      <c r="E1395" s="95" t="n">
        <v>67</v>
      </c>
      <c r="F1395" s="85" t="n">
        <v>172</v>
      </c>
      <c r="G1395" s="120" t="n">
        <v>0.0125</v>
      </c>
      <c r="H1395" s="120" t="n">
        <v>0.0125</v>
      </c>
      <c r="I1395" s="95" t="n">
        <v>2.5</v>
      </c>
      <c r="J1395" s="95" t="n">
        <v>66.5</v>
      </c>
      <c r="K1395" s="95" t="n">
        <v>0.9340000000000001</v>
      </c>
      <c r="L1395" s="85" t="n">
        <v>0</v>
      </c>
    </row>
    <row r="1396">
      <c r="A1396" s="84" t="inlineStr">
        <is>
          <t>RATP</t>
        </is>
      </c>
      <c r="B1396" s="7" t="inlineStr">
        <is>
          <t>sédentaire</t>
        </is>
      </c>
      <c r="C1396" s="88" t="n">
        <v>1976</v>
      </c>
      <c r="D1396" s="95" t="n">
        <v>64</v>
      </c>
      <c r="E1396" s="95" t="n">
        <v>67</v>
      </c>
      <c r="F1396" s="85" t="n">
        <v>172</v>
      </c>
      <c r="G1396" s="120" t="n">
        <v>0.0125</v>
      </c>
      <c r="H1396" s="120" t="n">
        <v>0.0125</v>
      </c>
      <c r="I1396" s="95" t="n">
        <v>2.5</v>
      </c>
      <c r="J1396" s="95" t="n">
        <v>66.5</v>
      </c>
      <c r="K1396" s="95" t="n">
        <v>0.9340000000000001</v>
      </c>
      <c r="L1396" s="85" t="n">
        <v>0</v>
      </c>
    </row>
    <row r="1397">
      <c r="A1397" s="84" t="inlineStr">
        <is>
          <t>RATP</t>
        </is>
      </c>
      <c r="B1397" s="7" t="inlineStr">
        <is>
          <t>sédentaire</t>
        </is>
      </c>
      <c r="C1397" s="88" t="n">
        <v>1977</v>
      </c>
      <c r="D1397" s="95" t="n">
        <v>64</v>
      </c>
      <c r="E1397" s="95" t="n">
        <v>67</v>
      </c>
      <c r="F1397" s="85" t="n">
        <v>172</v>
      </c>
      <c r="G1397" s="120" t="n">
        <v>0.0125</v>
      </c>
      <c r="H1397" s="120" t="n">
        <v>0.0125</v>
      </c>
      <c r="I1397" s="95" t="n">
        <v>2.5</v>
      </c>
      <c r="J1397" s="95" t="n">
        <v>66.5</v>
      </c>
      <c r="K1397" s="95" t="n">
        <v>0.9340000000000001</v>
      </c>
      <c r="L1397" s="85" t="n">
        <v>0</v>
      </c>
    </row>
    <row r="1398">
      <c r="A1398" s="84" t="inlineStr">
        <is>
          <t>RATP</t>
        </is>
      </c>
      <c r="B1398" s="7" t="inlineStr">
        <is>
          <t>sédentaire</t>
        </is>
      </c>
      <c r="C1398" s="88" t="n">
        <v>1978</v>
      </c>
      <c r="D1398" s="95" t="n">
        <v>64</v>
      </c>
      <c r="E1398" s="95" t="n">
        <v>67</v>
      </c>
      <c r="F1398" s="85" t="n">
        <v>172</v>
      </c>
      <c r="G1398" s="120" t="n">
        <v>0.0125</v>
      </c>
      <c r="H1398" s="120" t="n">
        <v>0.0125</v>
      </c>
      <c r="I1398" s="95" t="n">
        <v>2.5</v>
      </c>
      <c r="J1398" s="95" t="n">
        <v>66.5</v>
      </c>
      <c r="K1398" s="95" t="n">
        <v>0.9340000000000001</v>
      </c>
      <c r="L1398" s="85" t="n">
        <v>0</v>
      </c>
    </row>
    <row r="1399">
      <c r="A1399" s="84" t="inlineStr">
        <is>
          <t>RATP</t>
        </is>
      </c>
      <c r="B1399" s="7" t="inlineStr">
        <is>
          <t>sédentaire</t>
        </is>
      </c>
      <c r="C1399" s="88" t="n">
        <v>1979</v>
      </c>
      <c r="D1399" s="95" t="n">
        <v>64</v>
      </c>
      <c r="E1399" s="95" t="n">
        <v>67</v>
      </c>
      <c r="F1399" s="85" t="n">
        <v>172</v>
      </c>
      <c r="G1399" s="120" t="n">
        <v>0.0125</v>
      </c>
      <c r="H1399" s="120" t="n">
        <v>0.0125</v>
      </c>
      <c r="I1399" s="95" t="n">
        <v>2.5</v>
      </c>
      <c r="J1399" s="95" t="n">
        <v>66.5</v>
      </c>
      <c r="K1399" s="95" t="n">
        <v>0.9340000000000001</v>
      </c>
      <c r="L1399" s="85" t="n">
        <v>0</v>
      </c>
    </row>
    <row r="1400">
      <c r="A1400" s="84" t="inlineStr">
        <is>
          <t>RATP</t>
        </is>
      </c>
      <c r="B1400" s="7" t="inlineStr">
        <is>
          <t>sédentaire</t>
        </is>
      </c>
      <c r="C1400" s="88" t="n">
        <v>1980</v>
      </c>
      <c r="D1400" s="95" t="n">
        <v>64</v>
      </c>
      <c r="E1400" s="95" t="n">
        <v>67</v>
      </c>
      <c r="F1400" s="85" t="n">
        <v>172</v>
      </c>
      <c r="G1400" s="120" t="n">
        <v>0.0125</v>
      </c>
      <c r="H1400" s="120" t="n">
        <v>0.0125</v>
      </c>
      <c r="I1400" s="95" t="n">
        <v>2.5</v>
      </c>
      <c r="J1400" s="95" t="n">
        <v>66.5</v>
      </c>
      <c r="K1400" s="95" t="n">
        <v>0.9340000000000001</v>
      </c>
      <c r="L1400" s="85" t="n">
        <v>0</v>
      </c>
    </row>
    <row r="1401">
      <c r="A1401" s="84" t="inlineStr">
        <is>
          <t>RATP</t>
        </is>
      </c>
      <c r="B1401" s="7" t="inlineStr">
        <is>
          <t>sédentaire</t>
        </is>
      </c>
      <c r="C1401" s="88" t="n">
        <v>1981</v>
      </c>
      <c r="D1401" s="95" t="n">
        <v>64</v>
      </c>
      <c r="E1401" s="95" t="n">
        <v>67</v>
      </c>
      <c r="F1401" s="85" t="n">
        <v>172</v>
      </c>
      <c r="G1401" s="120" t="n">
        <v>0.0125</v>
      </c>
      <c r="H1401" s="120" t="n">
        <v>0.0125</v>
      </c>
      <c r="I1401" s="95" t="n">
        <v>2.5</v>
      </c>
      <c r="J1401" s="95" t="n">
        <v>66.5</v>
      </c>
      <c r="K1401" s="95" t="n">
        <v>0.9340000000000001</v>
      </c>
      <c r="L1401" s="85" t="n">
        <v>0</v>
      </c>
    </row>
    <row r="1402">
      <c r="A1402" s="84" t="inlineStr">
        <is>
          <t>RATP</t>
        </is>
      </c>
      <c r="B1402" s="7" t="inlineStr">
        <is>
          <t>sédentaire</t>
        </is>
      </c>
      <c r="C1402" s="88" t="n">
        <v>1982</v>
      </c>
      <c r="D1402" s="95" t="n">
        <v>64</v>
      </c>
      <c r="E1402" s="95" t="n">
        <v>67</v>
      </c>
      <c r="F1402" s="85" t="n">
        <v>172</v>
      </c>
      <c r="G1402" s="120" t="n">
        <v>0.0125</v>
      </c>
      <c r="H1402" s="120" t="n">
        <v>0.0125</v>
      </c>
      <c r="I1402" s="95" t="n">
        <v>2.5</v>
      </c>
      <c r="J1402" s="95" t="n">
        <v>66.5</v>
      </c>
      <c r="K1402" s="95" t="n">
        <v>0.9340000000000001</v>
      </c>
      <c r="L1402" s="85" t="n">
        <v>0</v>
      </c>
    </row>
    <row r="1403">
      <c r="A1403" s="84" t="inlineStr">
        <is>
          <t>RATP</t>
        </is>
      </c>
      <c r="B1403" s="7" t="inlineStr">
        <is>
          <t>sédentaire</t>
        </is>
      </c>
      <c r="C1403" s="88" t="n">
        <v>1983</v>
      </c>
      <c r="D1403" s="95" t="n">
        <v>64</v>
      </c>
      <c r="E1403" s="95" t="n">
        <v>67</v>
      </c>
      <c r="F1403" s="85" t="n">
        <v>172</v>
      </c>
      <c r="G1403" s="120" t="n">
        <v>0.0125</v>
      </c>
      <c r="H1403" s="120" t="n">
        <v>0.0125</v>
      </c>
      <c r="I1403" s="95" t="n">
        <v>2.5</v>
      </c>
      <c r="J1403" s="95" t="n">
        <v>66.5</v>
      </c>
      <c r="K1403" s="95" t="n">
        <v>0.9340000000000001</v>
      </c>
      <c r="L1403" s="85" t="n">
        <v>0</v>
      </c>
    </row>
    <row r="1404">
      <c r="A1404" s="84" t="inlineStr">
        <is>
          <t>RATP</t>
        </is>
      </c>
      <c r="B1404" s="7" t="inlineStr">
        <is>
          <t>sédentaire</t>
        </is>
      </c>
      <c r="C1404" s="88" t="n">
        <v>1984</v>
      </c>
      <c r="D1404" s="95" t="n">
        <v>64</v>
      </c>
      <c r="E1404" s="95" t="n">
        <v>67</v>
      </c>
      <c r="F1404" s="85" t="n">
        <v>172</v>
      </c>
      <c r="G1404" s="120" t="n">
        <v>0.0125</v>
      </c>
      <c r="H1404" s="120" t="n">
        <v>0.0125</v>
      </c>
      <c r="I1404" s="95" t="n">
        <v>2.5</v>
      </c>
      <c r="J1404" s="95" t="n">
        <v>66.5</v>
      </c>
      <c r="K1404" s="95" t="n">
        <v>0.9340000000000001</v>
      </c>
      <c r="L1404" s="85" t="n">
        <v>0</v>
      </c>
    </row>
    <row r="1405">
      <c r="A1405" s="84" t="inlineStr">
        <is>
          <t>RATP</t>
        </is>
      </c>
      <c r="B1405" s="7" t="inlineStr">
        <is>
          <t>sédentaire</t>
        </is>
      </c>
      <c r="C1405" s="88" t="n">
        <v>1985</v>
      </c>
      <c r="D1405" s="95" t="n">
        <v>64</v>
      </c>
      <c r="E1405" s="95" t="n">
        <v>67</v>
      </c>
      <c r="F1405" s="85" t="n">
        <v>172</v>
      </c>
      <c r="G1405" s="120" t="n">
        <v>0.0125</v>
      </c>
      <c r="H1405" s="120" t="n">
        <v>0.0125</v>
      </c>
      <c r="I1405" s="95" t="n">
        <v>2.5</v>
      </c>
      <c r="J1405" s="95" t="n">
        <v>66.5</v>
      </c>
      <c r="K1405" s="95" t="n">
        <v>0.9340000000000001</v>
      </c>
      <c r="L1405" s="85" t="n">
        <v>0</v>
      </c>
    </row>
    <row r="1406">
      <c r="A1406" s="84" t="inlineStr">
        <is>
          <t>RATP</t>
        </is>
      </c>
      <c r="B1406" s="7" t="inlineStr">
        <is>
          <t>sédentaire</t>
        </is>
      </c>
      <c r="C1406" s="88" t="n">
        <v>1986</v>
      </c>
      <c r="D1406" s="95" t="n">
        <v>64</v>
      </c>
      <c r="E1406" s="95" t="n">
        <v>67</v>
      </c>
      <c r="F1406" s="85" t="n">
        <v>172</v>
      </c>
      <c r="G1406" s="120" t="n">
        <v>0.0125</v>
      </c>
      <c r="H1406" s="120" t="n">
        <v>0.0125</v>
      </c>
      <c r="I1406" s="95" t="n">
        <v>2.5</v>
      </c>
      <c r="J1406" s="95" t="n">
        <v>66.5</v>
      </c>
      <c r="K1406" s="95" t="n">
        <v>0.9340000000000001</v>
      </c>
      <c r="L1406" s="85" t="n">
        <v>0</v>
      </c>
    </row>
    <row r="1407">
      <c r="A1407" s="84" t="inlineStr">
        <is>
          <t>RATP</t>
        </is>
      </c>
      <c r="B1407" s="7" t="inlineStr">
        <is>
          <t>sédentaire</t>
        </is>
      </c>
      <c r="C1407" s="88" t="n">
        <v>1987</v>
      </c>
      <c r="D1407" s="95" t="n">
        <v>64</v>
      </c>
      <c r="E1407" s="95" t="n">
        <v>67</v>
      </c>
      <c r="F1407" s="85" t="n">
        <v>172</v>
      </c>
      <c r="G1407" s="120" t="n">
        <v>0.0125</v>
      </c>
      <c r="H1407" s="120" t="n">
        <v>0.0125</v>
      </c>
      <c r="I1407" s="95" t="n">
        <v>2.5</v>
      </c>
      <c r="J1407" s="95" t="n">
        <v>66.5</v>
      </c>
      <c r="K1407" s="95" t="n">
        <v>0.9340000000000001</v>
      </c>
      <c r="L1407" s="85" t="n">
        <v>0</v>
      </c>
    </row>
    <row r="1408">
      <c r="A1408" s="84" t="inlineStr">
        <is>
          <t>RATP</t>
        </is>
      </c>
      <c r="B1408" s="7" t="inlineStr">
        <is>
          <t>sédentaire</t>
        </is>
      </c>
      <c r="C1408" s="88" t="n">
        <v>1988</v>
      </c>
      <c r="D1408" s="95" t="n">
        <v>64</v>
      </c>
      <c r="E1408" s="95" t="n">
        <v>67</v>
      </c>
      <c r="F1408" s="85" t="n">
        <v>172</v>
      </c>
      <c r="G1408" s="120" t="n">
        <v>0.0125</v>
      </c>
      <c r="H1408" s="120" t="n">
        <v>0.0125</v>
      </c>
      <c r="I1408" s="95" t="n">
        <v>2.5</v>
      </c>
      <c r="J1408" s="95" t="n">
        <v>66.5</v>
      </c>
      <c r="K1408" s="95" t="n">
        <v>0.9340000000000001</v>
      </c>
      <c r="L1408" s="85" t="n">
        <v>0</v>
      </c>
    </row>
    <row r="1409">
      <c r="A1409" s="84" t="inlineStr">
        <is>
          <t>RATP</t>
        </is>
      </c>
      <c r="B1409" s="7" t="inlineStr">
        <is>
          <t>sédentaire</t>
        </is>
      </c>
      <c r="C1409" s="88" t="n">
        <v>1989</v>
      </c>
      <c r="D1409" s="95" t="n">
        <v>64</v>
      </c>
      <c r="E1409" s="95" t="n">
        <v>67</v>
      </c>
      <c r="F1409" s="85" t="n">
        <v>172</v>
      </c>
      <c r="G1409" s="120" t="n">
        <v>0.0125</v>
      </c>
      <c r="H1409" s="120" t="n">
        <v>0.0125</v>
      </c>
      <c r="I1409" s="95" t="n">
        <v>2.5</v>
      </c>
      <c r="J1409" s="95" t="n">
        <v>66.5</v>
      </c>
      <c r="K1409" s="95" t="n">
        <v>0.9340000000000001</v>
      </c>
      <c r="L1409" s="85" t="n">
        <v>0</v>
      </c>
    </row>
    <row r="1410">
      <c r="A1410" s="84" t="inlineStr">
        <is>
          <t>RATP</t>
        </is>
      </c>
      <c r="B1410" s="7" t="inlineStr">
        <is>
          <t>sédentaire</t>
        </is>
      </c>
      <c r="C1410" s="88" t="n">
        <v>1990</v>
      </c>
      <c r="D1410" s="95" t="n">
        <v>64</v>
      </c>
      <c r="E1410" s="95" t="n">
        <v>67</v>
      </c>
      <c r="F1410" s="85" t="n">
        <v>172</v>
      </c>
      <c r="G1410" s="120" t="n">
        <v>0.0125</v>
      </c>
      <c r="H1410" s="120" t="n">
        <v>0.0125</v>
      </c>
      <c r="I1410" s="95" t="n">
        <v>2.5</v>
      </c>
      <c r="J1410" s="95" t="n">
        <v>66.5</v>
      </c>
      <c r="K1410" s="95" t="n">
        <v>0.9340000000000001</v>
      </c>
      <c r="L1410" s="85" t="n">
        <v>0</v>
      </c>
    </row>
    <row r="1411">
      <c r="A1411" s="84" t="inlineStr">
        <is>
          <t>RATP</t>
        </is>
      </c>
      <c r="B1411" s="7" t="inlineStr">
        <is>
          <t>sédentaire</t>
        </is>
      </c>
      <c r="C1411" s="88" t="n">
        <v>1991</v>
      </c>
      <c r="D1411" s="95" t="n">
        <v>64</v>
      </c>
      <c r="E1411" s="95" t="n">
        <v>67</v>
      </c>
      <c r="F1411" s="85" t="n">
        <v>172</v>
      </c>
      <c r="G1411" s="120" t="n">
        <v>0.0125</v>
      </c>
      <c r="H1411" s="120" t="n">
        <v>0.0125</v>
      </c>
      <c r="I1411" s="95" t="n">
        <v>2.5</v>
      </c>
      <c r="J1411" s="95" t="n">
        <v>66.5</v>
      </c>
      <c r="K1411" s="95" t="n">
        <v>0.9340000000000001</v>
      </c>
      <c r="L1411" s="85" t="n">
        <v>0</v>
      </c>
    </row>
    <row r="1412">
      <c r="A1412" s="84" t="inlineStr">
        <is>
          <t>RATP</t>
        </is>
      </c>
      <c r="B1412" s="7" t="inlineStr">
        <is>
          <t>sédentaire</t>
        </is>
      </c>
      <c r="C1412" s="88" t="n">
        <v>1992</v>
      </c>
      <c r="D1412" s="95" t="n">
        <v>64</v>
      </c>
      <c r="E1412" s="95" t="n">
        <v>67</v>
      </c>
      <c r="F1412" s="85" t="n">
        <v>172</v>
      </c>
      <c r="G1412" s="120" t="n">
        <v>0.0125</v>
      </c>
      <c r="H1412" s="120" t="n">
        <v>0.0125</v>
      </c>
      <c r="I1412" s="95" t="n">
        <v>2.5</v>
      </c>
      <c r="J1412" s="95" t="n">
        <v>66.5</v>
      </c>
      <c r="K1412" s="95" t="n">
        <v>0.9340000000000001</v>
      </c>
      <c r="L1412" s="85" t="n">
        <v>0</v>
      </c>
    </row>
    <row r="1413">
      <c r="A1413" s="84" t="inlineStr">
        <is>
          <t>RATP</t>
        </is>
      </c>
      <c r="B1413" s="7" t="inlineStr">
        <is>
          <t>sédentaire</t>
        </is>
      </c>
      <c r="C1413" s="88" t="n">
        <v>1993</v>
      </c>
      <c r="D1413" s="95" t="n">
        <v>64</v>
      </c>
      <c r="E1413" s="95" t="n">
        <v>67</v>
      </c>
      <c r="F1413" s="85" t="n">
        <v>172</v>
      </c>
      <c r="G1413" s="120" t="n">
        <v>0.0125</v>
      </c>
      <c r="H1413" s="120" t="n">
        <v>0.0125</v>
      </c>
      <c r="I1413" s="95" t="n">
        <v>2.5</v>
      </c>
      <c r="J1413" s="95" t="n">
        <v>66.5</v>
      </c>
      <c r="K1413" s="95" t="n">
        <v>0.9340000000000001</v>
      </c>
      <c r="L1413" s="85" t="n">
        <v>0</v>
      </c>
    </row>
    <row r="1414">
      <c r="A1414" s="84" t="inlineStr">
        <is>
          <t>RATP</t>
        </is>
      </c>
      <c r="B1414" s="7" t="inlineStr">
        <is>
          <t>sédentaire</t>
        </is>
      </c>
      <c r="C1414" s="88" t="n">
        <v>1994</v>
      </c>
      <c r="D1414" s="95" t="n">
        <v>64</v>
      </c>
      <c r="E1414" s="95" t="n">
        <v>67</v>
      </c>
      <c r="F1414" s="85" t="n">
        <v>172</v>
      </c>
      <c r="G1414" s="120" t="n">
        <v>0.0125</v>
      </c>
      <c r="H1414" s="120" t="n">
        <v>0.0125</v>
      </c>
      <c r="I1414" s="95" t="n">
        <v>2.5</v>
      </c>
      <c r="J1414" s="95" t="n">
        <v>66.5</v>
      </c>
      <c r="K1414" s="95" t="n">
        <v>0.9340000000000001</v>
      </c>
      <c r="L1414" s="85" t="n">
        <v>0</v>
      </c>
    </row>
    <row r="1415">
      <c r="A1415" s="84" t="inlineStr">
        <is>
          <t>RATP</t>
        </is>
      </c>
      <c r="B1415" s="7" t="inlineStr">
        <is>
          <t>sédentaire</t>
        </is>
      </c>
      <c r="C1415" s="88" t="n">
        <v>1995</v>
      </c>
      <c r="D1415" s="95" t="n">
        <v>64</v>
      </c>
      <c r="E1415" s="95" t="n">
        <v>67</v>
      </c>
      <c r="F1415" s="85" t="n">
        <v>172</v>
      </c>
      <c r="G1415" s="120" t="n">
        <v>0.0125</v>
      </c>
      <c r="H1415" s="120" t="n">
        <v>0.0125</v>
      </c>
      <c r="I1415" s="95" t="n">
        <v>2.5</v>
      </c>
      <c r="J1415" s="95" t="n">
        <v>66.5</v>
      </c>
      <c r="K1415" s="95" t="n">
        <v>0.9340000000000001</v>
      </c>
      <c r="L1415" s="85" t="n">
        <v>0</v>
      </c>
    </row>
    <row r="1416">
      <c r="A1416" s="84" t="inlineStr">
        <is>
          <t>RATP</t>
        </is>
      </c>
      <c r="B1416" s="7" t="inlineStr">
        <is>
          <t>sédentaire</t>
        </is>
      </c>
      <c r="C1416" s="88" t="n">
        <v>1996</v>
      </c>
      <c r="D1416" s="95" t="n">
        <v>64</v>
      </c>
      <c r="E1416" s="95" t="n">
        <v>67</v>
      </c>
      <c r="F1416" s="85" t="n">
        <v>172</v>
      </c>
      <c r="G1416" s="120" t="n">
        <v>0.0125</v>
      </c>
      <c r="H1416" s="120" t="n">
        <v>0.0125</v>
      </c>
      <c r="I1416" s="95" t="n">
        <v>2.5</v>
      </c>
      <c r="J1416" s="95" t="n">
        <v>66.5</v>
      </c>
      <c r="K1416" s="95" t="n">
        <v>0.9340000000000001</v>
      </c>
      <c r="L1416" s="85" t="n">
        <v>0</v>
      </c>
    </row>
    <row r="1417">
      <c r="A1417" s="84" t="inlineStr">
        <is>
          <t>RATP</t>
        </is>
      </c>
      <c r="B1417" s="7" t="inlineStr">
        <is>
          <t>sédentaire</t>
        </is>
      </c>
      <c r="C1417" s="88" t="n">
        <v>1997</v>
      </c>
      <c r="D1417" s="95" t="n">
        <v>64</v>
      </c>
      <c r="E1417" s="95" t="n">
        <v>67</v>
      </c>
      <c r="F1417" s="85" t="n">
        <v>172</v>
      </c>
      <c r="G1417" s="120" t="n">
        <v>0.0125</v>
      </c>
      <c r="H1417" s="120" t="n">
        <v>0.0125</v>
      </c>
      <c r="I1417" s="95" t="n">
        <v>2.5</v>
      </c>
      <c r="J1417" s="95" t="n">
        <v>66.5</v>
      </c>
      <c r="K1417" s="95" t="n">
        <v>0.9340000000000001</v>
      </c>
      <c r="L1417" s="85" t="n">
        <v>0</v>
      </c>
    </row>
    <row r="1418">
      <c r="A1418" s="84" t="inlineStr">
        <is>
          <t>RATP</t>
        </is>
      </c>
      <c r="B1418" s="7" t="inlineStr">
        <is>
          <t>sédentaire</t>
        </is>
      </c>
      <c r="C1418" s="88" t="n">
        <v>1998</v>
      </c>
      <c r="D1418" s="95" t="n">
        <v>64</v>
      </c>
      <c r="E1418" s="95" t="n">
        <v>67</v>
      </c>
      <c r="F1418" s="85" t="n">
        <v>172</v>
      </c>
      <c r="G1418" s="120" t="n">
        <v>0.0125</v>
      </c>
      <c r="H1418" s="120" t="n">
        <v>0.0125</v>
      </c>
      <c r="I1418" s="95" t="n">
        <v>2.5</v>
      </c>
      <c r="J1418" s="95" t="n">
        <v>66.5</v>
      </c>
      <c r="K1418" s="95" t="n">
        <v>0.9340000000000001</v>
      </c>
      <c r="L1418" s="85" t="n">
        <v>0</v>
      </c>
    </row>
    <row r="1419">
      <c r="A1419" s="84" t="inlineStr">
        <is>
          <t>RATP</t>
        </is>
      </c>
      <c r="B1419" s="7" t="inlineStr">
        <is>
          <t>sédentaire</t>
        </is>
      </c>
      <c r="C1419" s="88" t="n">
        <v>1999</v>
      </c>
      <c r="D1419" s="95" t="n">
        <v>64</v>
      </c>
      <c r="E1419" s="95" t="n">
        <v>67</v>
      </c>
      <c r="F1419" s="85" t="n">
        <v>172</v>
      </c>
      <c r="G1419" s="120" t="n">
        <v>0.0125</v>
      </c>
      <c r="H1419" s="120" t="n">
        <v>0.0125</v>
      </c>
      <c r="I1419" s="95" t="n">
        <v>2.5</v>
      </c>
      <c r="J1419" s="95" t="n">
        <v>66.5</v>
      </c>
      <c r="K1419" s="95" t="n">
        <v>0.9340000000000001</v>
      </c>
      <c r="L1419" s="85" t="n">
        <v>0</v>
      </c>
    </row>
    <row r="1420">
      <c r="A1420" s="84" t="inlineStr">
        <is>
          <t>RATP</t>
        </is>
      </c>
      <c r="B1420" s="7" t="inlineStr">
        <is>
          <t>sédentaire</t>
        </is>
      </c>
      <c r="C1420" s="88" t="n">
        <v>2000</v>
      </c>
      <c r="D1420" s="95" t="n">
        <v>64</v>
      </c>
      <c r="E1420" s="95" t="n">
        <v>67</v>
      </c>
      <c r="F1420" s="85" t="n">
        <v>172</v>
      </c>
      <c r="G1420" s="120" t="n">
        <v>0.0125</v>
      </c>
      <c r="H1420" s="120" t="n">
        <v>0.0125</v>
      </c>
      <c r="I1420" s="95" t="n">
        <v>2.5</v>
      </c>
      <c r="J1420" s="95" t="n">
        <v>66.5</v>
      </c>
      <c r="K1420" s="95" t="n">
        <v>0.9340000000000001</v>
      </c>
      <c r="L1420" s="85" t="n">
        <v>0</v>
      </c>
    </row>
    <row r="1421">
      <c r="A1421" s="84" t="inlineStr">
        <is>
          <t>RATP</t>
        </is>
      </c>
      <c r="B1421" s="7" t="inlineStr">
        <is>
          <t>sédentaire</t>
        </is>
      </c>
      <c r="C1421" s="88" t="n">
        <v>2001</v>
      </c>
      <c r="D1421" s="95" t="n">
        <v>64</v>
      </c>
      <c r="E1421" s="95" t="n">
        <v>67</v>
      </c>
      <c r="F1421" s="85" t="n">
        <v>172</v>
      </c>
      <c r="G1421" s="120" t="n">
        <v>0.0125</v>
      </c>
      <c r="H1421" s="120" t="n">
        <v>0.0125</v>
      </c>
      <c r="I1421" s="95" t="n">
        <v>2.5</v>
      </c>
      <c r="J1421" s="95" t="n">
        <v>66.5</v>
      </c>
      <c r="K1421" s="95" t="n">
        <v>0.9340000000000001</v>
      </c>
      <c r="L1421" s="85" t="n">
        <v>0</v>
      </c>
    </row>
    <row r="1422">
      <c r="A1422" s="84" t="inlineStr">
        <is>
          <t>RATP</t>
        </is>
      </c>
      <c r="B1422" s="7" t="inlineStr">
        <is>
          <t>sédentaire</t>
        </is>
      </c>
      <c r="C1422" s="88" t="n">
        <v>2002</v>
      </c>
      <c r="D1422" s="95" t="n">
        <v>64</v>
      </c>
      <c r="E1422" s="95" t="n">
        <v>67</v>
      </c>
      <c r="F1422" s="85" t="n">
        <v>172</v>
      </c>
      <c r="G1422" s="120" t="n">
        <v>0.0125</v>
      </c>
      <c r="H1422" s="120" t="n">
        <v>0.0125</v>
      </c>
      <c r="I1422" s="95" t="n">
        <v>2.5</v>
      </c>
      <c r="J1422" s="95" t="n">
        <v>66.5</v>
      </c>
      <c r="K1422" s="95" t="n">
        <v>0.9340000000000001</v>
      </c>
      <c r="L1422" s="85" t="n">
        <v>0</v>
      </c>
    </row>
    <row r="1423">
      <c r="A1423" s="84" t="inlineStr">
        <is>
          <t>RATP</t>
        </is>
      </c>
      <c r="B1423" s="7" t="inlineStr">
        <is>
          <t>sédentaire</t>
        </is>
      </c>
      <c r="C1423" s="88" t="n">
        <v>2003</v>
      </c>
      <c r="D1423" s="95" t="n">
        <v>64</v>
      </c>
      <c r="E1423" s="95" t="n">
        <v>67</v>
      </c>
      <c r="F1423" s="85" t="n">
        <v>172</v>
      </c>
      <c r="G1423" s="120" t="n">
        <v>0.0125</v>
      </c>
      <c r="H1423" s="120" t="n">
        <v>0.0125</v>
      </c>
      <c r="I1423" s="95" t="n">
        <v>2.5</v>
      </c>
      <c r="J1423" s="95" t="n">
        <v>66.5</v>
      </c>
      <c r="K1423" s="95" t="n">
        <v>0.9340000000000001</v>
      </c>
      <c r="L1423" s="85" t="n">
        <v>0</v>
      </c>
    </row>
    <row r="1424">
      <c r="A1424" s="84" t="inlineStr">
        <is>
          <t>RATP</t>
        </is>
      </c>
      <c r="B1424" s="7" t="inlineStr">
        <is>
          <t>sédentaire</t>
        </is>
      </c>
      <c r="C1424" s="88" t="n">
        <v>2004</v>
      </c>
      <c r="D1424" s="95" t="n">
        <v>64</v>
      </c>
      <c r="E1424" s="95" t="n">
        <v>67</v>
      </c>
      <c r="F1424" s="85" t="n">
        <v>172</v>
      </c>
      <c r="G1424" s="120" t="n">
        <v>0.0125</v>
      </c>
      <c r="H1424" s="120" t="n">
        <v>0.0125</v>
      </c>
      <c r="I1424" s="95" t="n">
        <v>2.5</v>
      </c>
      <c r="J1424" s="95" t="n">
        <v>66.5</v>
      </c>
      <c r="K1424" s="95" t="n">
        <v>0.9340000000000001</v>
      </c>
      <c r="L1424" s="85" t="n">
        <v>0</v>
      </c>
    </row>
    <row r="1425">
      <c r="A1425" s="84" t="inlineStr">
        <is>
          <t>RATP</t>
        </is>
      </c>
      <c r="B1425" s="7" t="inlineStr">
        <is>
          <t>sédentaire</t>
        </is>
      </c>
      <c r="C1425" s="88" t="n">
        <v>2005</v>
      </c>
      <c r="D1425" s="95" t="n">
        <v>64</v>
      </c>
      <c r="E1425" s="95" t="n">
        <v>67</v>
      </c>
      <c r="F1425" s="85" t="n">
        <v>172</v>
      </c>
      <c r="G1425" s="120" t="n">
        <v>0.0125</v>
      </c>
      <c r="H1425" s="120" t="n">
        <v>0.0125</v>
      </c>
      <c r="I1425" s="95" t="n">
        <v>2.5</v>
      </c>
      <c r="J1425" s="95" t="n">
        <v>66.5</v>
      </c>
      <c r="K1425" s="95" t="n">
        <v>0.9340000000000001</v>
      </c>
      <c r="L1425" s="85" t="n">
        <v>0</v>
      </c>
    </row>
    <row r="1426">
      <c r="A1426" s="84" t="inlineStr">
        <is>
          <t>RATP</t>
        </is>
      </c>
      <c r="B1426" s="7" t="inlineStr">
        <is>
          <t>sédentaire</t>
        </is>
      </c>
      <c r="C1426" s="88" t="n">
        <v>2006</v>
      </c>
      <c r="D1426" s="95" t="n">
        <v>64</v>
      </c>
      <c r="E1426" s="95" t="n">
        <v>67</v>
      </c>
      <c r="F1426" s="85" t="n">
        <v>172</v>
      </c>
      <c r="G1426" s="120" t="n">
        <v>0.0125</v>
      </c>
      <c r="H1426" s="120" t="n">
        <v>0.0125</v>
      </c>
      <c r="I1426" s="95" t="n">
        <v>2.5</v>
      </c>
      <c r="J1426" s="95" t="n">
        <v>66.5</v>
      </c>
      <c r="K1426" s="95" t="n">
        <v>0.9340000000000001</v>
      </c>
      <c r="L1426" s="85" t="n">
        <v>0</v>
      </c>
    </row>
    <row r="1427">
      <c r="A1427" s="84" t="inlineStr">
        <is>
          <t>RATP</t>
        </is>
      </c>
      <c r="B1427" s="7" t="inlineStr">
        <is>
          <t>sédentaire</t>
        </is>
      </c>
      <c r="C1427" s="88" t="n">
        <v>2007</v>
      </c>
      <c r="D1427" s="95" t="n">
        <v>64</v>
      </c>
      <c r="E1427" s="95" t="n">
        <v>67</v>
      </c>
      <c r="F1427" s="85" t="n">
        <v>172</v>
      </c>
      <c r="G1427" s="120" t="n">
        <v>0.0125</v>
      </c>
      <c r="H1427" s="120" t="n">
        <v>0.0125</v>
      </c>
      <c r="I1427" s="95" t="n">
        <v>2.5</v>
      </c>
      <c r="J1427" s="95" t="n">
        <v>66.5</v>
      </c>
      <c r="K1427" s="95" t="n">
        <v>0.9340000000000001</v>
      </c>
      <c r="L1427" s="85" t="n">
        <v>0</v>
      </c>
    </row>
    <row r="1428">
      <c r="A1428" s="84" t="inlineStr">
        <is>
          <t>RATP</t>
        </is>
      </c>
      <c r="B1428" s="7" t="inlineStr">
        <is>
          <t>sédentaire</t>
        </is>
      </c>
      <c r="C1428" s="88" t="n">
        <v>2008</v>
      </c>
      <c r="D1428" s="95" t="n">
        <v>64</v>
      </c>
      <c r="E1428" s="95" t="n">
        <v>67</v>
      </c>
      <c r="F1428" s="85" t="n">
        <v>172</v>
      </c>
      <c r="G1428" s="120" t="n">
        <v>0.0125</v>
      </c>
      <c r="H1428" s="120" t="n">
        <v>0.0125</v>
      </c>
      <c r="I1428" s="95" t="n">
        <v>2.5</v>
      </c>
      <c r="J1428" s="95" t="n">
        <v>66.5</v>
      </c>
      <c r="K1428" s="95" t="n">
        <v>0.9340000000000001</v>
      </c>
      <c r="L1428" s="85" t="n">
        <v>0</v>
      </c>
    </row>
    <row r="1429">
      <c r="A1429" s="84" t="inlineStr">
        <is>
          <t>RATP</t>
        </is>
      </c>
      <c r="B1429" s="7" t="inlineStr">
        <is>
          <t>sédentaire</t>
        </is>
      </c>
      <c r="C1429" s="88" t="n">
        <v>2009</v>
      </c>
      <c r="D1429" s="95" t="n">
        <v>64</v>
      </c>
      <c r="E1429" s="95" t="n">
        <v>67</v>
      </c>
      <c r="F1429" s="85" t="n">
        <v>172</v>
      </c>
      <c r="G1429" s="120" t="n">
        <v>0.0125</v>
      </c>
      <c r="H1429" s="120" t="n">
        <v>0.0125</v>
      </c>
      <c r="I1429" s="95" t="n">
        <v>2.5</v>
      </c>
      <c r="J1429" s="95" t="n">
        <v>66.5</v>
      </c>
      <c r="K1429" s="95" t="n">
        <v>0.9340000000000001</v>
      </c>
      <c r="L1429" s="85" t="n">
        <v>0</v>
      </c>
    </row>
    <row r="1430">
      <c r="A1430" s="84" t="inlineStr">
        <is>
          <t>RATP</t>
        </is>
      </c>
      <c r="B1430" s="7" t="inlineStr">
        <is>
          <t>sédentaire</t>
        </is>
      </c>
      <c r="C1430" s="88" t="n">
        <v>2010</v>
      </c>
      <c r="D1430" s="95" t="n">
        <v>64</v>
      </c>
      <c r="E1430" s="95" t="n">
        <v>67</v>
      </c>
      <c r="F1430" s="85" t="n">
        <v>172</v>
      </c>
      <c r="G1430" s="120" t="n">
        <v>0.0125</v>
      </c>
      <c r="H1430" s="120" t="n">
        <v>0.0125</v>
      </c>
      <c r="I1430" s="95" t="n">
        <v>2.5</v>
      </c>
      <c r="J1430" s="95" t="n">
        <v>66.5</v>
      </c>
      <c r="K1430" s="95" t="n">
        <v>0.9340000000000001</v>
      </c>
      <c r="L1430" s="85" t="n">
        <v>0</v>
      </c>
    </row>
    <row r="1431">
      <c r="A1431" s="84" t="inlineStr">
        <is>
          <t>RATP</t>
        </is>
      </c>
      <c r="B1431" s="7" t="inlineStr">
        <is>
          <t>sédentaire</t>
        </is>
      </c>
      <c r="C1431" s="88" t="n">
        <v>2011</v>
      </c>
      <c r="D1431" s="95" t="n">
        <v>64</v>
      </c>
      <c r="E1431" s="95" t="n">
        <v>67</v>
      </c>
      <c r="F1431" s="85" t="n">
        <v>172</v>
      </c>
      <c r="G1431" s="120" t="n">
        <v>0.0125</v>
      </c>
      <c r="H1431" s="120" t="n">
        <v>0.0125</v>
      </c>
      <c r="I1431" s="95" t="n">
        <v>2.5</v>
      </c>
      <c r="J1431" s="95" t="n">
        <v>66.5</v>
      </c>
      <c r="K1431" s="95" t="n">
        <v>0.9340000000000001</v>
      </c>
      <c r="L1431" s="85" t="n">
        <v>0</v>
      </c>
    </row>
    <row r="1432">
      <c r="A1432" s="84" t="inlineStr">
        <is>
          <t>RATP</t>
        </is>
      </c>
      <c r="B1432" s="7" t="inlineStr">
        <is>
          <t>sédentaire</t>
        </is>
      </c>
      <c r="C1432" s="88" t="n">
        <v>2012</v>
      </c>
      <c r="D1432" s="95" t="n">
        <v>64</v>
      </c>
      <c r="E1432" s="95" t="n">
        <v>67</v>
      </c>
      <c r="F1432" s="85" t="n">
        <v>172</v>
      </c>
      <c r="G1432" s="120" t="n">
        <v>0.0125</v>
      </c>
      <c r="H1432" s="120" t="n">
        <v>0.0125</v>
      </c>
      <c r="I1432" s="95" t="n">
        <v>2.5</v>
      </c>
      <c r="J1432" s="95" t="n">
        <v>66.5</v>
      </c>
      <c r="K1432" s="95" t="n">
        <v>0.9340000000000001</v>
      </c>
      <c r="L1432" s="85" t="n">
        <v>0</v>
      </c>
    </row>
    <row r="1433">
      <c r="A1433" s="84" t="inlineStr">
        <is>
          <t>RATP</t>
        </is>
      </c>
      <c r="B1433" s="7" t="inlineStr">
        <is>
          <t>sédentaire</t>
        </is>
      </c>
      <c r="C1433" s="88" t="n">
        <v>2013</v>
      </c>
      <c r="D1433" s="95" t="n">
        <v>64</v>
      </c>
      <c r="E1433" s="95" t="n">
        <v>67</v>
      </c>
      <c r="F1433" s="85" t="n">
        <v>172</v>
      </c>
      <c r="G1433" s="120" t="n">
        <v>0.0125</v>
      </c>
      <c r="H1433" s="120" t="n">
        <v>0.0125</v>
      </c>
      <c r="I1433" s="95" t="n">
        <v>2.5</v>
      </c>
      <c r="J1433" s="95" t="n">
        <v>66.5</v>
      </c>
      <c r="K1433" s="95" t="n">
        <v>0.9340000000000001</v>
      </c>
      <c r="L1433" s="85" t="n">
        <v>0</v>
      </c>
    </row>
    <row r="1434">
      <c r="A1434" s="84" t="inlineStr">
        <is>
          <t>RATP</t>
        </is>
      </c>
      <c r="B1434" s="7" t="inlineStr">
        <is>
          <t>sédentaire</t>
        </is>
      </c>
      <c r="C1434" s="88" t="n">
        <v>2014</v>
      </c>
      <c r="D1434" s="95" t="n">
        <v>64</v>
      </c>
      <c r="E1434" s="95" t="n">
        <v>67</v>
      </c>
      <c r="F1434" s="85" t="n">
        <v>172</v>
      </c>
      <c r="G1434" s="120" t="n">
        <v>0.0125</v>
      </c>
      <c r="H1434" s="120" t="n">
        <v>0.0125</v>
      </c>
      <c r="I1434" s="95" t="n">
        <v>2.5</v>
      </c>
      <c r="J1434" s="95" t="n">
        <v>66.5</v>
      </c>
      <c r="K1434" s="95" t="n">
        <v>0.9340000000000001</v>
      </c>
      <c r="L1434" s="85" t="n">
        <v>0</v>
      </c>
    </row>
    <row r="1435">
      <c r="A1435" s="84" t="inlineStr">
        <is>
          <t>RATP</t>
        </is>
      </c>
      <c r="B1435" s="7" t="inlineStr">
        <is>
          <t>sédentaire</t>
        </is>
      </c>
      <c r="C1435" s="88" t="n">
        <v>2015</v>
      </c>
      <c r="D1435" s="95" t="n">
        <v>64</v>
      </c>
      <c r="E1435" s="95" t="n">
        <v>67</v>
      </c>
      <c r="F1435" s="85" t="n">
        <v>172</v>
      </c>
      <c r="G1435" s="120" t="n">
        <v>0.0125</v>
      </c>
      <c r="H1435" s="120" t="n">
        <v>0.0125</v>
      </c>
      <c r="I1435" s="95" t="n">
        <v>2.5</v>
      </c>
      <c r="J1435" s="95" t="n">
        <v>66.5</v>
      </c>
      <c r="K1435" s="95" t="n">
        <v>0.9340000000000001</v>
      </c>
      <c r="L1435" s="85" t="n">
        <v>0</v>
      </c>
    </row>
    <row r="1436">
      <c r="A1436" s="84" t="inlineStr">
        <is>
          <t>RATP</t>
        </is>
      </c>
      <c r="B1436" s="7" t="inlineStr">
        <is>
          <t>sédentaire</t>
        </is>
      </c>
      <c r="C1436" s="88" t="n">
        <v>2016</v>
      </c>
      <c r="D1436" s="95" t="n">
        <v>64</v>
      </c>
      <c r="E1436" s="95" t="n">
        <v>67</v>
      </c>
      <c r="F1436" s="85" t="n">
        <v>172</v>
      </c>
      <c r="G1436" s="120" t="n">
        <v>0.0125</v>
      </c>
      <c r="H1436" s="120" t="n">
        <v>0.0125</v>
      </c>
      <c r="I1436" s="95" t="n">
        <v>2.5</v>
      </c>
      <c r="J1436" s="95" t="n">
        <v>66.5</v>
      </c>
      <c r="K1436" s="95" t="n">
        <v>0.9340000000000001</v>
      </c>
      <c r="L1436" s="85" t="n">
        <v>0</v>
      </c>
    </row>
    <row r="1437">
      <c r="A1437" s="84" t="inlineStr">
        <is>
          <t>RATP</t>
        </is>
      </c>
      <c r="B1437" s="7" t="inlineStr">
        <is>
          <t>sédentaire</t>
        </is>
      </c>
      <c r="C1437" s="88" t="n">
        <v>2017</v>
      </c>
      <c r="D1437" s="95" t="n">
        <v>64</v>
      </c>
      <c r="E1437" s="95" t="n">
        <v>67</v>
      </c>
      <c r="F1437" s="85" t="n">
        <v>172</v>
      </c>
      <c r="G1437" s="120" t="n">
        <v>0.0125</v>
      </c>
      <c r="H1437" s="120" t="n">
        <v>0.0125</v>
      </c>
      <c r="I1437" s="95" t="n">
        <v>2.5</v>
      </c>
      <c r="J1437" s="95" t="n">
        <v>66.5</v>
      </c>
      <c r="K1437" s="95" t="n">
        <v>0.9340000000000001</v>
      </c>
      <c r="L1437" s="85" t="n">
        <v>0</v>
      </c>
    </row>
    <row r="1438">
      <c r="A1438" s="84" t="inlineStr">
        <is>
          <t>RATP</t>
        </is>
      </c>
      <c r="B1438" s="7" t="inlineStr">
        <is>
          <t>sédentaire</t>
        </is>
      </c>
      <c r="C1438" s="88" t="n">
        <v>2018</v>
      </c>
      <c r="D1438" s="95" t="n">
        <v>64</v>
      </c>
      <c r="E1438" s="95" t="n">
        <v>67</v>
      </c>
      <c r="F1438" s="85" t="n">
        <v>172</v>
      </c>
      <c r="G1438" s="120" t="n">
        <v>0.0125</v>
      </c>
      <c r="H1438" s="120" t="n">
        <v>0.0125</v>
      </c>
      <c r="I1438" s="95" t="n">
        <v>2.5</v>
      </c>
      <c r="J1438" s="95" t="n">
        <v>66.5</v>
      </c>
      <c r="K1438" s="95" t="n">
        <v>0.9340000000000001</v>
      </c>
      <c r="L1438" s="85" t="n">
        <v>0</v>
      </c>
    </row>
    <row r="1439">
      <c r="A1439" s="84" t="inlineStr">
        <is>
          <t>RATP</t>
        </is>
      </c>
      <c r="B1439" s="7" t="inlineStr">
        <is>
          <t>sédentaire</t>
        </is>
      </c>
      <c r="C1439" s="88" t="n">
        <v>2019</v>
      </c>
      <c r="D1439" s="95" t="n">
        <v>64</v>
      </c>
      <c r="E1439" s="95" t="n">
        <v>67</v>
      </c>
      <c r="F1439" s="85" t="n">
        <v>172</v>
      </c>
      <c r="G1439" s="120" t="n">
        <v>0.0125</v>
      </c>
      <c r="H1439" s="120" t="n">
        <v>0.0125</v>
      </c>
      <c r="I1439" s="95" t="n">
        <v>2.5</v>
      </c>
      <c r="J1439" s="95" t="n">
        <v>66.5</v>
      </c>
      <c r="K1439" s="95" t="n">
        <v>0.9340000000000001</v>
      </c>
      <c r="L1439" s="85" t="n">
        <v>0</v>
      </c>
    </row>
    <row r="1440">
      <c r="A1440" s="84" t="inlineStr">
        <is>
          <t>RATP</t>
        </is>
      </c>
      <c r="B1440" s="7" t="inlineStr">
        <is>
          <t>sédentaire</t>
        </is>
      </c>
      <c r="C1440" s="88" t="n">
        <v>2020</v>
      </c>
      <c r="D1440" s="95" t="n">
        <v>64</v>
      </c>
      <c r="E1440" s="95" t="n">
        <v>67</v>
      </c>
      <c r="F1440" s="85" t="n">
        <v>172</v>
      </c>
      <c r="G1440" s="120" t="n">
        <v>0.0125</v>
      </c>
      <c r="H1440" s="120" t="n">
        <v>0.0125</v>
      </c>
      <c r="I1440" s="95" t="n">
        <v>2.5</v>
      </c>
      <c r="J1440" s="95" t="n">
        <v>66.5</v>
      </c>
      <c r="K1440" s="95" t="n">
        <v>0.9340000000000001</v>
      </c>
      <c r="L1440" s="85" t="n">
        <v>0</v>
      </c>
    </row>
    <row r="1441">
      <c r="A1441" s="84" t="inlineStr">
        <is>
          <t>RATP</t>
        </is>
      </c>
      <c r="B1441" s="7" t="inlineStr">
        <is>
          <t>sédentaire</t>
        </is>
      </c>
      <c r="C1441" s="88" t="n">
        <v>2021</v>
      </c>
      <c r="D1441" s="95" t="n">
        <v>64</v>
      </c>
      <c r="E1441" s="95" t="n">
        <v>67</v>
      </c>
      <c r="F1441" s="85" t="n">
        <v>172</v>
      </c>
      <c r="G1441" s="120" t="n">
        <v>0.0125</v>
      </c>
      <c r="H1441" s="120" t="n">
        <v>0.0125</v>
      </c>
      <c r="I1441" s="95" t="n">
        <v>2.5</v>
      </c>
      <c r="J1441" s="95" t="n">
        <v>66.5</v>
      </c>
      <c r="K1441" s="95" t="n">
        <v>0.9340000000000001</v>
      </c>
      <c r="L1441" s="85" t="n">
        <v>0</v>
      </c>
    </row>
    <row r="1442">
      <c r="A1442" s="84" t="inlineStr">
        <is>
          <t>RATP</t>
        </is>
      </c>
      <c r="B1442" s="7" t="inlineStr">
        <is>
          <t>sédentaire</t>
        </is>
      </c>
      <c r="C1442" s="88" t="n">
        <v>2022</v>
      </c>
      <c r="D1442" s="95" t="n">
        <v>64</v>
      </c>
      <c r="E1442" s="95" t="n">
        <v>67</v>
      </c>
      <c r="F1442" s="85" t="n">
        <v>172</v>
      </c>
      <c r="G1442" s="120" t="n">
        <v>0.0125</v>
      </c>
      <c r="H1442" s="120" t="n">
        <v>0.0125</v>
      </c>
      <c r="I1442" s="95" t="n">
        <v>2.5</v>
      </c>
      <c r="J1442" s="95" t="n">
        <v>66.5</v>
      </c>
      <c r="K1442" s="95" t="n">
        <v>0.9340000000000001</v>
      </c>
      <c r="L1442" s="85" t="n">
        <v>0</v>
      </c>
    </row>
    <row r="1443">
      <c r="A1443" s="84" t="inlineStr">
        <is>
          <t>RATP</t>
        </is>
      </c>
      <c r="B1443" s="7" t="inlineStr">
        <is>
          <t>sédentaire</t>
        </is>
      </c>
      <c r="C1443" s="88" t="n">
        <v>2023</v>
      </c>
      <c r="D1443" s="95" t="n">
        <v>64</v>
      </c>
      <c r="E1443" s="95" t="n">
        <v>67</v>
      </c>
      <c r="F1443" s="85" t="n">
        <v>172</v>
      </c>
      <c r="G1443" s="120" t="n">
        <v>0.0125</v>
      </c>
      <c r="H1443" s="120" t="n">
        <v>0.0125</v>
      </c>
      <c r="I1443" s="95" t="n">
        <v>2.5</v>
      </c>
      <c r="J1443" s="95" t="n">
        <v>66.5</v>
      </c>
      <c r="K1443" s="95" t="n">
        <v>0.9340000000000001</v>
      </c>
      <c r="L1443" s="85" t="n">
        <v>0</v>
      </c>
    </row>
    <row r="1444">
      <c r="A1444" s="84" t="inlineStr">
        <is>
          <t>RATP</t>
        </is>
      </c>
      <c r="B1444" s="7" t="inlineStr">
        <is>
          <t>sédentaire</t>
        </is>
      </c>
      <c r="C1444" s="88" t="n">
        <v>2024</v>
      </c>
      <c r="D1444" s="95" t="n">
        <v>64</v>
      </c>
      <c r="E1444" s="95" t="n">
        <v>67</v>
      </c>
      <c r="F1444" s="85" t="n">
        <v>172</v>
      </c>
      <c r="G1444" s="120" t="n">
        <v>0.0125</v>
      </c>
      <c r="H1444" s="120" t="n">
        <v>0.0125</v>
      </c>
      <c r="I1444" s="95" t="n">
        <v>2.5</v>
      </c>
      <c r="J1444" s="95" t="n">
        <v>66.5</v>
      </c>
      <c r="K1444" s="95" t="n">
        <v>0.9340000000000001</v>
      </c>
      <c r="L1444" s="85" t="n">
        <v>0</v>
      </c>
    </row>
    <row r="1445">
      <c r="A1445" s="84" t="inlineStr">
        <is>
          <t>RATP</t>
        </is>
      </c>
      <c r="B1445" s="7" t="inlineStr">
        <is>
          <t>sédentaire</t>
        </is>
      </c>
      <c r="C1445" s="88" t="n">
        <v>2025</v>
      </c>
      <c r="D1445" s="95" t="n">
        <v>64</v>
      </c>
      <c r="E1445" s="95" t="n">
        <v>67</v>
      </c>
      <c r="F1445" s="85" t="n">
        <v>172</v>
      </c>
      <c r="G1445" s="120" t="n">
        <v>0.0125</v>
      </c>
      <c r="H1445" s="120" t="n">
        <v>0.0125</v>
      </c>
      <c r="I1445" s="95" t="n">
        <v>2.5</v>
      </c>
      <c r="J1445" s="95" t="n">
        <v>66.5</v>
      </c>
      <c r="K1445" s="95" t="n">
        <v>0.9340000000000001</v>
      </c>
      <c r="L1445" s="85" t="n">
        <v>0</v>
      </c>
    </row>
    <row r="1446">
      <c r="A1446" s="84" t="inlineStr">
        <is>
          <t>RATP</t>
        </is>
      </c>
      <c r="B1446" s="7" t="inlineStr">
        <is>
          <t>actif</t>
        </is>
      </c>
      <c r="C1446" s="88" t="n">
        <v>1915</v>
      </c>
      <c r="D1446" s="95" t="n">
        <v>55</v>
      </c>
      <c r="E1446" s="95" t="n">
        <v>55</v>
      </c>
      <c r="F1446" s="85" t="n">
        <v>150</v>
      </c>
      <c r="G1446" s="120" t="n">
        <v>0</v>
      </c>
      <c r="H1446" s="120" t="n">
        <v>0</v>
      </c>
      <c r="I1446" s="95" t="n">
        <v>0.5</v>
      </c>
      <c r="J1446" s="95" t="n">
        <v>55.5</v>
      </c>
      <c r="K1446" s="95" t="n">
        <v>0.93</v>
      </c>
      <c r="L1446" s="85" t="n">
        <v>1</v>
      </c>
    </row>
    <row r="1447">
      <c r="A1447" s="84" t="inlineStr">
        <is>
          <t>RATP</t>
        </is>
      </c>
      <c r="B1447" s="7" t="inlineStr">
        <is>
          <t>actif</t>
        </is>
      </c>
      <c r="C1447" s="88" t="n">
        <v>1916</v>
      </c>
      <c r="D1447" s="95" t="n">
        <v>55</v>
      </c>
      <c r="E1447" s="95" t="n">
        <v>55</v>
      </c>
      <c r="F1447" s="85" t="n">
        <v>150</v>
      </c>
      <c r="G1447" s="120" t="n">
        <v>0</v>
      </c>
      <c r="H1447" s="120" t="n">
        <v>0</v>
      </c>
      <c r="I1447" s="95" t="n">
        <v>0.5</v>
      </c>
      <c r="J1447" s="95" t="n">
        <v>55.5</v>
      </c>
      <c r="K1447" s="95" t="n">
        <v>0.93</v>
      </c>
      <c r="L1447" s="85" t="n">
        <v>1</v>
      </c>
    </row>
    <row r="1448">
      <c r="A1448" s="84" t="inlineStr">
        <is>
          <t>RATP</t>
        </is>
      </c>
      <c r="B1448" s="7" t="inlineStr">
        <is>
          <t>actif</t>
        </is>
      </c>
      <c r="C1448" s="88" t="n">
        <v>1917</v>
      </c>
      <c r="D1448" s="95" t="n">
        <v>55</v>
      </c>
      <c r="E1448" s="95" t="n">
        <v>55</v>
      </c>
      <c r="F1448" s="85" t="n">
        <v>150</v>
      </c>
      <c r="G1448" s="120" t="n">
        <v>0</v>
      </c>
      <c r="H1448" s="120" t="n">
        <v>0</v>
      </c>
      <c r="I1448" s="95" t="n">
        <v>0.5</v>
      </c>
      <c r="J1448" s="95" t="n">
        <v>55.5</v>
      </c>
      <c r="K1448" s="95" t="n">
        <v>0.93</v>
      </c>
      <c r="L1448" s="85" t="n">
        <v>1</v>
      </c>
    </row>
    <row r="1449">
      <c r="A1449" s="84" t="inlineStr">
        <is>
          <t>RATP</t>
        </is>
      </c>
      <c r="B1449" s="7" t="inlineStr">
        <is>
          <t>actif</t>
        </is>
      </c>
      <c r="C1449" s="88" t="n">
        <v>1918</v>
      </c>
      <c r="D1449" s="95" t="n">
        <v>55</v>
      </c>
      <c r="E1449" s="95" t="n">
        <v>55</v>
      </c>
      <c r="F1449" s="85" t="n">
        <v>150</v>
      </c>
      <c r="G1449" s="120" t="n">
        <v>0</v>
      </c>
      <c r="H1449" s="120" t="n">
        <v>0</v>
      </c>
      <c r="I1449" s="95" t="n">
        <v>0.5</v>
      </c>
      <c r="J1449" s="95" t="n">
        <v>55.5</v>
      </c>
      <c r="K1449" s="95" t="n">
        <v>0.93</v>
      </c>
      <c r="L1449" s="85" t="n">
        <v>1</v>
      </c>
    </row>
    <row r="1450">
      <c r="A1450" s="84" t="inlineStr">
        <is>
          <t>RATP</t>
        </is>
      </c>
      <c r="B1450" s="7" t="inlineStr">
        <is>
          <t>actif</t>
        </is>
      </c>
      <c r="C1450" s="88" t="n">
        <v>1919</v>
      </c>
      <c r="D1450" s="95" t="n">
        <v>55</v>
      </c>
      <c r="E1450" s="95" t="n">
        <v>55</v>
      </c>
      <c r="F1450" s="85" t="n">
        <v>150</v>
      </c>
      <c r="G1450" s="120" t="n">
        <v>0</v>
      </c>
      <c r="H1450" s="120" t="n">
        <v>0</v>
      </c>
      <c r="I1450" s="95" t="n">
        <v>0.5</v>
      </c>
      <c r="J1450" s="95" t="n">
        <v>55.5</v>
      </c>
      <c r="K1450" s="95" t="n">
        <v>0.93</v>
      </c>
      <c r="L1450" s="85" t="n">
        <v>1</v>
      </c>
    </row>
    <row r="1451">
      <c r="A1451" s="84" t="inlineStr">
        <is>
          <t>RATP</t>
        </is>
      </c>
      <c r="B1451" s="7" t="inlineStr">
        <is>
          <t>actif</t>
        </is>
      </c>
      <c r="C1451" s="88" t="n">
        <v>1920</v>
      </c>
      <c r="D1451" s="95" t="n">
        <v>55</v>
      </c>
      <c r="E1451" s="95" t="n">
        <v>55</v>
      </c>
      <c r="F1451" s="85" t="n">
        <v>150</v>
      </c>
      <c r="G1451" s="120" t="n">
        <v>0</v>
      </c>
      <c r="H1451" s="120" t="n">
        <v>0</v>
      </c>
      <c r="I1451" s="95" t="n">
        <v>0.5</v>
      </c>
      <c r="J1451" s="95" t="n">
        <v>55.5</v>
      </c>
      <c r="K1451" s="95" t="n">
        <v>0.93</v>
      </c>
      <c r="L1451" s="85" t="n">
        <v>1</v>
      </c>
    </row>
    <row r="1452">
      <c r="A1452" s="84" t="inlineStr">
        <is>
          <t>RATP</t>
        </is>
      </c>
      <c r="B1452" s="7" t="inlineStr">
        <is>
          <t>actif</t>
        </is>
      </c>
      <c r="C1452" s="88" t="n">
        <v>1921</v>
      </c>
      <c r="D1452" s="95" t="n">
        <v>55</v>
      </c>
      <c r="E1452" s="95" t="n">
        <v>55</v>
      </c>
      <c r="F1452" s="85" t="n">
        <v>150</v>
      </c>
      <c r="G1452" s="120" t="n">
        <v>0</v>
      </c>
      <c r="H1452" s="120" t="n">
        <v>0</v>
      </c>
      <c r="I1452" s="95" t="n">
        <v>0.5</v>
      </c>
      <c r="J1452" s="95" t="n">
        <v>55.5</v>
      </c>
      <c r="K1452" s="95" t="n">
        <v>0.93</v>
      </c>
      <c r="L1452" s="85" t="n">
        <v>1</v>
      </c>
    </row>
    <row r="1453">
      <c r="A1453" s="84" t="inlineStr">
        <is>
          <t>RATP</t>
        </is>
      </c>
      <c r="B1453" s="7" t="inlineStr">
        <is>
          <t>actif</t>
        </is>
      </c>
      <c r="C1453" s="88" t="n">
        <v>1922</v>
      </c>
      <c r="D1453" s="95" t="n">
        <v>55</v>
      </c>
      <c r="E1453" s="95" t="n">
        <v>55</v>
      </c>
      <c r="F1453" s="85" t="n">
        <v>150</v>
      </c>
      <c r="G1453" s="120" t="n">
        <v>0</v>
      </c>
      <c r="H1453" s="120" t="n">
        <v>0</v>
      </c>
      <c r="I1453" s="95" t="n">
        <v>0.5</v>
      </c>
      <c r="J1453" s="95" t="n">
        <v>55.5</v>
      </c>
      <c r="K1453" s="95" t="n">
        <v>0.93</v>
      </c>
      <c r="L1453" s="85" t="n">
        <v>1</v>
      </c>
    </row>
    <row r="1454">
      <c r="A1454" s="84" t="inlineStr">
        <is>
          <t>RATP</t>
        </is>
      </c>
      <c r="B1454" s="7" t="inlineStr">
        <is>
          <t>actif</t>
        </is>
      </c>
      <c r="C1454" s="88" t="n">
        <v>1923</v>
      </c>
      <c r="D1454" s="95" t="n">
        <v>55</v>
      </c>
      <c r="E1454" s="95" t="n">
        <v>55</v>
      </c>
      <c r="F1454" s="85" t="n">
        <v>150</v>
      </c>
      <c r="G1454" s="120" t="n">
        <v>0</v>
      </c>
      <c r="H1454" s="120" t="n">
        <v>0</v>
      </c>
      <c r="I1454" s="95" t="n">
        <v>0.5</v>
      </c>
      <c r="J1454" s="95" t="n">
        <v>55.5</v>
      </c>
      <c r="K1454" s="95" t="n">
        <v>0.93</v>
      </c>
      <c r="L1454" s="85" t="n">
        <v>1</v>
      </c>
    </row>
    <row r="1455">
      <c r="A1455" s="84" t="inlineStr">
        <is>
          <t>RATP</t>
        </is>
      </c>
      <c r="B1455" s="7" t="inlineStr">
        <is>
          <t>actif</t>
        </is>
      </c>
      <c r="C1455" s="88" t="n">
        <v>1924</v>
      </c>
      <c r="D1455" s="95" t="n">
        <v>55</v>
      </c>
      <c r="E1455" s="95" t="n">
        <v>55</v>
      </c>
      <c r="F1455" s="85" t="n">
        <v>150</v>
      </c>
      <c r="G1455" s="120" t="n">
        <v>0</v>
      </c>
      <c r="H1455" s="120" t="n">
        <v>0</v>
      </c>
      <c r="I1455" s="95" t="n">
        <v>0.5</v>
      </c>
      <c r="J1455" s="95" t="n">
        <v>55.5</v>
      </c>
      <c r="K1455" s="95" t="n">
        <v>0.93</v>
      </c>
      <c r="L1455" s="85" t="n">
        <v>1</v>
      </c>
    </row>
    <row r="1456">
      <c r="A1456" s="84" t="inlineStr">
        <is>
          <t>RATP</t>
        </is>
      </c>
      <c r="B1456" s="7" t="inlineStr">
        <is>
          <t>actif</t>
        </is>
      </c>
      <c r="C1456" s="88" t="n">
        <v>1925</v>
      </c>
      <c r="D1456" s="95" t="n">
        <v>55</v>
      </c>
      <c r="E1456" s="95" t="n">
        <v>55</v>
      </c>
      <c r="F1456" s="85" t="n">
        <v>150</v>
      </c>
      <c r="G1456" s="120" t="n">
        <v>0</v>
      </c>
      <c r="H1456" s="120" t="n">
        <v>0</v>
      </c>
      <c r="I1456" s="95" t="n">
        <v>0.5</v>
      </c>
      <c r="J1456" s="95" t="n">
        <v>55.5</v>
      </c>
      <c r="K1456" s="95" t="n">
        <v>0.93</v>
      </c>
      <c r="L1456" s="85" t="n">
        <v>1</v>
      </c>
    </row>
    <row r="1457">
      <c r="A1457" s="84" t="inlineStr">
        <is>
          <t>RATP</t>
        </is>
      </c>
      <c r="B1457" s="7" t="inlineStr">
        <is>
          <t>actif</t>
        </is>
      </c>
      <c r="C1457" s="88" t="n">
        <v>1926</v>
      </c>
      <c r="D1457" s="95" t="n">
        <v>55</v>
      </c>
      <c r="E1457" s="95" t="n">
        <v>55</v>
      </c>
      <c r="F1457" s="85" t="n">
        <v>150</v>
      </c>
      <c r="G1457" s="120" t="n">
        <v>0</v>
      </c>
      <c r="H1457" s="120" t="n">
        <v>0</v>
      </c>
      <c r="I1457" s="95" t="n">
        <v>0.5</v>
      </c>
      <c r="J1457" s="95" t="n">
        <v>55.5</v>
      </c>
      <c r="K1457" s="95" t="n">
        <v>0.93</v>
      </c>
      <c r="L1457" s="85" t="n">
        <v>1</v>
      </c>
    </row>
    <row r="1458">
      <c r="A1458" s="84" t="inlineStr">
        <is>
          <t>RATP</t>
        </is>
      </c>
      <c r="B1458" s="7" t="inlineStr">
        <is>
          <t>actif</t>
        </is>
      </c>
      <c r="C1458" s="88" t="n">
        <v>1927</v>
      </c>
      <c r="D1458" s="95" t="n">
        <v>55</v>
      </c>
      <c r="E1458" s="95" t="n">
        <v>55</v>
      </c>
      <c r="F1458" s="85" t="n">
        <v>150</v>
      </c>
      <c r="G1458" s="120" t="n">
        <v>0</v>
      </c>
      <c r="H1458" s="120" t="n">
        <v>0</v>
      </c>
      <c r="I1458" s="95" t="n">
        <v>0.5</v>
      </c>
      <c r="J1458" s="95" t="n">
        <v>55.5</v>
      </c>
      <c r="K1458" s="95" t="n">
        <v>0.93</v>
      </c>
      <c r="L1458" s="85" t="n">
        <v>1</v>
      </c>
    </row>
    <row r="1459">
      <c r="A1459" s="84" t="inlineStr">
        <is>
          <t>RATP</t>
        </is>
      </c>
      <c r="B1459" s="7" t="inlineStr">
        <is>
          <t>actif</t>
        </is>
      </c>
      <c r="C1459" s="88" t="n">
        <v>1928</v>
      </c>
      <c r="D1459" s="95" t="n">
        <v>55</v>
      </c>
      <c r="E1459" s="95" t="n">
        <v>55</v>
      </c>
      <c r="F1459" s="85" t="n">
        <v>150</v>
      </c>
      <c r="G1459" s="120" t="n">
        <v>0</v>
      </c>
      <c r="H1459" s="120" t="n">
        <v>0</v>
      </c>
      <c r="I1459" s="95" t="n">
        <v>0.5</v>
      </c>
      <c r="J1459" s="95" t="n">
        <v>55.5</v>
      </c>
      <c r="K1459" s="95" t="n">
        <v>0.93</v>
      </c>
      <c r="L1459" s="85" t="n">
        <v>1</v>
      </c>
    </row>
    <row r="1460">
      <c r="A1460" s="84" t="inlineStr">
        <is>
          <t>RATP</t>
        </is>
      </c>
      <c r="B1460" s="7" t="inlineStr">
        <is>
          <t>actif</t>
        </is>
      </c>
      <c r="C1460" s="88" t="n">
        <v>1929</v>
      </c>
      <c r="D1460" s="95" t="n">
        <v>55</v>
      </c>
      <c r="E1460" s="95" t="n">
        <v>55</v>
      </c>
      <c r="F1460" s="85" t="n">
        <v>150</v>
      </c>
      <c r="G1460" s="120" t="n">
        <v>0</v>
      </c>
      <c r="H1460" s="120" t="n">
        <v>0</v>
      </c>
      <c r="I1460" s="95" t="n">
        <v>0.5</v>
      </c>
      <c r="J1460" s="95" t="n">
        <v>55.5</v>
      </c>
      <c r="K1460" s="95" t="n">
        <v>0.93</v>
      </c>
      <c r="L1460" s="85" t="n">
        <v>1</v>
      </c>
    </row>
    <row r="1461">
      <c r="A1461" s="84" t="inlineStr">
        <is>
          <t>RATP</t>
        </is>
      </c>
      <c r="B1461" s="7" t="inlineStr">
        <is>
          <t>actif</t>
        </is>
      </c>
      <c r="C1461" s="88" t="n">
        <v>1930</v>
      </c>
      <c r="D1461" s="95" t="n">
        <v>55</v>
      </c>
      <c r="E1461" s="95" t="n">
        <v>55</v>
      </c>
      <c r="F1461" s="85" t="n">
        <v>150</v>
      </c>
      <c r="G1461" s="120" t="n">
        <v>0</v>
      </c>
      <c r="H1461" s="120" t="n">
        <v>0</v>
      </c>
      <c r="I1461" s="95" t="n">
        <v>0.5</v>
      </c>
      <c r="J1461" s="95" t="n">
        <v>55.5</v>
      </c>
      <c r="K1461" s="95" t="n">
        <v>0.93</v>
      </c>
      <c r="L1461" s="85" t="n">
        <v>1</v>
      </c>
    </row>
    <row r="1462">
      <c r="A1462" s="84" t="inlineStr">
        <is>
          <t>RATP</t>
        </is>
      </c>
      <c r="B1462" s="7" t="inlineStr">
        <is>
          <t>actif</t>
        </is>
      </c>
      <c r="C1462" s="88" t="n">
        <v>1931</v>
      </c>
      <c r="D1462" s="95" t="n">
        <v>55</v>
      </c>
      <c r="E1462" s="95" t="n">
        <v>55</v>
      </c>
      <c r="F1462" s="85" t="n">
        <v>150</v>
      </c>
      <c r="G1462" s="120" t="n">
        <v>0</v>
      </c>
      <c r="H1462" s="120" t="n">
        <v>0</v>
      </c>
      <c r="I1462" s="95" t="n">
        <v>0.5</v>
      </c>
      <c r="J1462" s="95" t="n">
        <v>55.5</v>
      </c>
      <c r="K1462" s="95" t="n">
        <v>0.93</v>
      </c>
      <c r="L1462" s="85" t="n">
        <v>1</v>
      </c>
    </row>
    <row r="1463">
      <c r="A1463" s="84" t="inlineStr">
        <is>
          <t>RATP</t>
        </is>
      </c>
      <c r="B1463" s="7" t="inlineStr">
        <is>
          <t>actif</t>
        </is>
      </c>
      <c r="C1463" s="88" t="n">
        <v>1932</v>
      </c>
      <c r="D1463" s="95" t="n">
        <v>55</v>
      </c>
      <c r="E1463" s="95" t="n">
        <v>55</v>
      </c>
      <c r="F1463" s="85" t="n">
        <v>150</v>
      </c>
      <c r="G1463" s="120" t="n">
        <v>0</v>
      </c>
      <c r="H1463" s="120" t="n">
        <v>0</v>
      </c>
      <c r="I1463" s="95" t="n">
        <v>0.5</v>
      </c>
      <c r="J1463" s="95" t="n">
        <v>55.5</v>
      </c>
      <c r="K1463" s="95" t="n">
        <v>0.93</v>
      </c>
      <c r="L1463" s="85" t="n">
        <v>1</v>
      </c>
    </row>
    <row r="1464">
      <c r="A1464" s="84" t="inlineStr">
        <is>
          <t>RATP</t>
        </is>
      </c>
      <c r="B1464" s="7" t="inlineStr">
        <is>
          <t>actif</t>
        </is>
      </c>
      <c r="C1464" s="88" t="n">
        <v>1933</v>
      </c>
      <c r="D1464" s="95" t="n">
        <v>55</v>
      </c>
      <c r="E1464" s="95" t="n">
        <v>55</v>
      </c>
      <c r="F1464" s="85" t="n">
        <v>150</v>
      </c>
      <c r="G1464" s="120" t="n">
        <v>0</v>
      </c>
      <c r="H1464" s="120" t="n">
        <v>0</v>
      </c>
      <c r="I1464" s="95" t="n">
        <v>0.5</v>
      </c>
      <c r="J1464" s="95" t="n">
        <v>55.5</v>
      </c>
      <c r="K1464" s="95" t="n">
        <v>0.93</v>
      </c>
      <c r="L1464" s="85" t="n">
        <v>1</v>
      </c>
    </row>
    <row r="1465">
      <c r="A1465" s="84" t="inlineStr">
        <is>
          <t>RATP</t>
        </is>
      </c>
      <c r="B1465" s="7" t="inlineStr">
        <is>
          <t>actif</t>
        </is>
      </c>
      <c r="C1465" s="88" t="n">
        <v>1934</v>
      </c>
      <c r="D1465" s="95" t="n">
        <v>55</v>
      </c>
      <c r="E1465" s="95" t="n">
        <v>55</v>
      </c>
      <c r="F1465" s="85" t="n">
        <v>150</v>
      </c>
      <c r="G1465" s="120" t="n">
        <v>0</v>
      </c>
      <c r="H1465" s="120" t="n">
        <v>0</v>
      </c>
      <c r="I1465" s="95" t="n">
        <v>0.5</v>
      </c>
      <c r="J1465" s="95" t="n">
        <v>55.5</v>
      </c>
      <c r="K1465" s="95" t="n">
        <v>0.93</v>
      </c>
      <c r="L1465" s="85" t="n">
        <v>1</v>
      </c>
    </row>
    <row r="1466">
      <c r="A1466" s="84" t="inlineStr">
        <is>
          <t>RATP</t>
        </is>
      </c>
      <c r="B1466" s="7" t="inlineStr">
        <is>
          <t>actif</t>
        </is>
      </c>
      <c r="C1466" s="88" t="n">
        <v>1935</v>
      </c>
      <c r="D1466" s="95" t="n">
        <v>55</v>
      </c>
      <c r="E1466" s="95" t="n">
        <v>55</v>
      </c>
      <c r="F1466" s="85" t="n">
        <v>150</v>
      </c>
      <c r="G1466" s="120" t="n">
        <v>0</v>
      </c>
      <c r="H1466" s="120" t="n">
        <v>0</v>
      </c>
      <c r="I1466" s="95" t="n">
        <v>0.5</v>
      </c>
      <c r="J1466" s="95" t="n">
        <v>55.5</v>
      </c>
      <c r="K1466" s="95" t="n">
        <v>0.93</v>
      </c>
      <c r="L1466" s="85" t="n">
        <v>1</v>
      </c>
    </row>
    <row r="1467">
      <c r="A1467" s="84" t="inlineStr">
        <is>
          <t>RATP</t>
        </is>
      </c>
      <c r="B1467" s="7" t="inlineStr">
        <is>
          <t>actif</t>
        </is>
      </c>
      <c r="C1467" s="88" t="n">
        <v>1936</v>
      </c>
      <c r="D1467" s="95" t="n">
        <v>55</v>
      </c>
      <c r="E1467" s="95" t="n">
        <v>55</v>
      </c>
      <c r="F1467" s="85" t="n">
        <v>150</v>
      </c>
      <c r="G1467" s="120" t="n">
        <v>0</v>
      </c>
      <c r="H1467" s="120" t="n">
        <v>0</v>
      </c>
      <c r="I1467" s="95" t="n">
        <v>0.5</v>
      </c>
      <c r="J1467" s="95" t="n">
        <v>55.5</v>
      </c>
      <c r="K1467" s="95" t="n">
        <v>0.93</v>
      </c>
      <c r="L1467" s="85" t="n">
        <v>1</v>
      </c>
    </row>
    <row r="1468">
      <c r="A1468" s="84" t="inlineStr">
        <is>
          <t>RATP</t>
        </is>
      </c>
      <c r="B1468" s="7" t="inlineStr">
        <is>
          <t>actif</t>
        </is>
      </c>
      <c r="C1468" s="88" t="n">
        <v>1937</v>
      </c>
      <c r="D1468" s="95" t="n">
        <v>55</v>
      </c>
      <c r="E1468" s="95" t="n">
        <v>55</v>
      </c>
      <c r="F1468" s="85" t="n">
        <v>150</v>
      </c>
      <c r="G1468" s="120" t="n">
        <v>0</v>
      </c>
      <c r="H1468" s="120" t="n">
        <v>0</v>
      </c>
      <c r="I1468" s="95" t="n">
        <v>0.5</v>
      </c>
      <c r="J1468" s="95" t="n">
        <v>55.5</v>
      </c>
      <c r="K1468" s="95" t="n">
        <v>0.93</v>
      </c>
      <c r="L1468" s="85" t="n">
        <v>1</v>
      </c>
    </row>
    <row r="1469">
      <c r="A1469" s="84" t="inlineStr">
        <is>
          <t>RATP</t>
        </is>
      </c>
      <c r="B1469" s="7" t="inlineStr">
        <is>
          <t>actif</t>
        </is>
      </c>
      <c r="C1469" s="88" t="n">
        <v>1938</v>
      </c>
      <c r="D1469" s="95" t="n">
        <v>55</v>
      </c>
      <c r="E1469" s="95" t="n">
        <v>55</v>
      </c>
      <c r="F1469" s="85" t="n">
        <v>150</v>
      </c>
      <c r="G1469" s="120" t="n">
        <v>0</v>
      </c>
      <c r="H1469" s="120" t="n">
        <v>0</v>
      </c>
      <c r="I1469" s="95" t="n">
        <v>0.5</v>
      </c>
      <c r="J1469" s="95" t="n">
        <v>55.5</v>
      </c>
      <c r="K1469" s="95" t="n">
        <v>0.93</v>
      </c>
      <c r="L1469" s="85" t="n">
        <v>1</v>
      </c>
    </row>
    <row r="1470">
      <c r="A1470" s="84" t="inlineStr">
        <is>
          <t>RATP</t>
        </is>
      </c>
      <c r="B1470" s="7" t="inlineStr">
        <is>
          <t>actif</t>
        </is>
      </c>
      <c r="C1470" s="88" t="n">
        <v>1939</v>
      </c>
      <c r="D1470" s="95" t="n">
        <v>55</v>
      </c>
      <c r="E1470" s="95" t="n">
        <v>55</v>
      </c>
      <c r="F1470" s="85" t="n">
        <v>150</v>
      </c>
      <c r="G1470" s="120" t="n">
        <v>0</v>
      </c>
      <c r="H1470" s="120" t="n">
        <v>0</v>
      </c>
      <c r="I1470" s="95" t="n">
        <v>0.5</v>
      </c>
      <c r="J1470" s="95" t="n">
        <v>55.5</v>
      </c>
      <c r="K1470" s="95" t="n">
        <v>0.93</v>
      </c>
      <c r="L1470" s="85" t="n">
        <v>1</v>
      </c>
    </row>
    <row r="1471">
      <c r="A1471" s="84" t="inlineStr">
        <is>
          <t>RATP</t>
        </is>
      </c>
      <c r="B1471" s="7" t="inlineStr">
        <is>
          <t>actif</t>
        </is>
      </c>
      <c r="C1471" s="88" t="n">
        <v>1940</v>
      </c>
      <c r="D1471" s="95" t="n">
        <v>55</v>
      </c>
      <c r="E1471" s="95" t="n">
        <v>55</v>
      </c>
      <c r="F1471" s="85" t="n">
        <v>150</v>
      </c>
      <c r="G1471" s="120" t="n">
        <v>0</v>
      </c>
      <c r="H1471" s="120" t="n">
        <v>0</v>
      </c>
      <c r="I1471" s="95" t="n">
        <v>0.5</v>
      </c>
      <c r="J1471" s="95" t="n">
        <v>55.5</v>
      </c>
      <c r="K1471" s="95" t="n">
        <v>0.93</v>
      </c>
      <c r="L1471" s="85" t="n">
        <v>1</v>
      </c>
    </row>
    <row r="1472">
      <c r="A1472" s="84" t="inlineStr">
        <is>
          <t>RATP</t>
        </is>
      </c>
      <c r="B1472" s="7" t="inlineStr">
        <is>
          <t>actif</t>
        </is>
      </c>
      <c r="C1472" s="88" t="n">
        <v>1941</v>
      </c>
      <c r="D1472" s="95" t="n">
        <v>55</v>
      </c>
      <c r="E1472" s="95" t="n">
        <v>55</v>
      </c>
      <c r="F1472" s="85" t="n">
        <v>150</v>
      </c>
      <c r="G1472" s="120" t="n">
        <v>0</v>
      </c>
      <c r="H1472" s="120" t="n">
        <v>0</v>
      </c>
      <c r="I1472" s="95" t="n">
        <v>0.5</v>
      </c>
      <c r="J1472" s="95" t="n">
        <v>55.5</v>
      </c>
      <c r="K1472" s="95" t="n">
        <v>0.93</v>
      </c>
      <c r="L1472" s="85" t="n">
        <v>1</v>
      </c>
    </row>
    <row r="1473">
      <c r="A1473" s="84" t="inlineStr">
        <is>
          <t>RATP</t>
        </is>
      </c>
      <c r="B1473" s="7" t="inlineStr">
        <is>
          <t>actif</t>
        </is>
      </c>
      <c r="C1473" s="88" t="n">
        <v>1942</v>
      </c>
      <c r="D1473" s="95" t="n">
        <v>55</v>
      </c>
      <c r="E1473" s="95" t="n">
        <v>55</v>
      </c>
      <c r="F1473" s="85" t="n">
        <v>150</v>
      </c>
      <c r="G1473" s="120" t="n">
        <v>0</v>
      </c>
      <c r="H1473" s="120" t="n">
        <v>0</v>
      </c>
      <c r="I1473" s="95" t="n">
        <v>0.5</v>
      </c>
      <c r="J1473" s="95" t="n">
        <v>55.5</v>
      </c>
      <c r="K1473" s="95" t="n">
        <v>0.93</v>
      </c>
      <c r="L1473" s="85" t="n">
        <v>1</v>
      </c>
    </row>
    <row r="1474">
      <c r="A1474" s="84" t="inlineStr">
        <is>
          <t>RATP</t>
        </is>
      </c>
      <c r="B1474" s="7" t="inlineStr">
        <is>
          <t>actif</t>
        </is>
      </c>
      <c r="C1474" s="88" t="n">
        <v>1943</v>
      </c>
      <c r="D1474" s="95" t="n">
        <v>55</v>
      </c>
      <c r="E1474" s="95" t="n">
        <v>55</v>
      </c>
      <c r="F1474" s="85" t="n">
        <v>150</v>
      </c>
      <c r="G1474" s="120" t="n">
        <v>0</v>
      </c>
      <c r="H1474" s="120" t="n">
        <v>0</v>
      </c>
      <c r="I1474" s="95" t="n">
        <v>0.5</v>
      </c>
      <c r="J1474" s="95" t="n">
        <v>55.5</v>
      </c>
      <c r="K1474" s="95" t="n">
        <v>0.93</v>
      </c>
      <c r="L1474" s="85" t="n">
        <v>1</v>
      </c>
    </row>
    <row r="1475">
      <c r="A1475" s="84" t="inlineStr">
        <is>
          <t>RATP</t>
        </is>
      </c>
      <c r="B1475" s="7" t="inlineStr">
        <is>
          <t>actif</t>
        </is>
      </c>
      <c r="C1475" s="88" t="n">
        <v>1944</v>
      </c>
      <c r="D1475" s="95" t="n">
        <v>55</v>
      </c>
      <c r="E1475" s="95" t="n">
        <v>55</v>
      </c>
      <c r="F1475" s="85" t="n">
        <v>150</v>
      </c>
      <c r="G1475" s="120" t="n">
        <v>0</v>
      </c>
      <c r="H1475" s="120" t="n">
        <v>0</v>
      </c>
      <c r="I1475" s="95" t="n">
        <v>0.5</v>
      </c>
      <c r="J1475" s="95" t="n">
        <v>55.5</v>
      </c>
      <c r="K1475" s="95" t="n">
        <v>0.93</v>
      </c>
      <c r="L1475" s="85" t="n">
        <v>1</v>
      </c>
    </row>
    <row r="1476">
      <c r="A1476" s="84" t="inlineStr">
        <is>
          <t>RATP</t>
        </is>
      </c>
      <c r="B1476" s="7" t="inlineStr">
        <is>
          <t>actif</t>
        </is>
      </c>
      <c r="C1476" s="88" t="n">
        <v>1945</v>
      </c>
      <c r="D1476" s="95" t="n">
        <v>55</v>
      </c>
      <c r="E1476" s="95" t="n">
        <v>55</v>
      </c>
      <c r="F1476" s="85" t="n">
        <v>150</v>
      </c>
      <c r="G1476" s="120" t="n">
        <v>0</v>
      </c>
      <c r="H1476" s="120" t="n">
        <v>0</v>
      </c>
      <c r="I1476" s="95" t="n">
        <v>0.5</v>
      </c>
      <c r="J1476" s="95" t="n">
        <v>55.5</v>
      </c>
      <c r="K1476" s="95" t="n">
        <v>0.93</v>
      </c>
      <c r="L1476" s="85" t="n">
        <v>1</v>
      </c>
    </row>
    <row r="1477">
      <c r="A1477" s="84" t="inlineStr">
        <is>
          <t>RATP</t>
        </is>
      </c>
      <c r="B1477" s="7" t="inlineStr">
        <is>
          <t>actif</t>
        </is>
      </c>
      <c r="C1477" s="88" t="n">
        <v>1946</v>
      </c>
      <c r="D1477" s="95" t="n">
        <v>55</v>
      </c>
      <c r="E1477" s="95" t="n">
        <v>55</v>
      </c>
      <c r="F1477" s="85" t="n">
        <v>150</v>
      </c>
      <c r="G1477" s="120" t="n">
        <v>0</v>
      </c>
      <c r="H1477" s="120" t="n">
        <v>0</v>
      </c>
      <c r="I1477" s="95" t="n">
        <v>0.63</v>
      </c>
      <c r="J1477" s="95" t="n">
        <v>55.63</v>
      </c>
      <c r="K1477" s="95" t="n">
        <v>0.93</v>
      </c>
      <c r="L1477" s="85" t="n">
        <v>1</v>
      </c>
    </row>
    <row r="1478">
      <c r="A1478" s="84" t="inlineStr">
        <is>
          <t>RATP</t>
        </is>
      </c>
      <c r="B1478" s="7" t="inlineStr">
        <is>
          <t>actif</t>
        </is>
      </c>
      <c r="C1478" s="88" t="n">
        <v>1947</v>
      </c>
      <c r="D1478" s="95" t="n">
        <v>55</v>
      </c>
      <c r="E1478" s="95" t="n">
        <v>55</v>
      </c>
      <c r="F1478" s="85" t="n">
        <v>150</v>
      </c>
      <c r="G1478" s="120" t="n">
        <v>0</v>
      </c>
      <c r="H1478" s="120" t="n">
        <v>0</v>
      </c>
      <c r="I1478" s="95" t="n">
        <v>0.77</v>
      </c>
      <c r="J1478" s="95" t="n">
        <v>55.77</v>
      </c>
      <c r="K1478" s="95" t="n">
        <v>0.93</v>
      </c>
      <c r="L1478" s="85" t="n">
        <v>1</v>
      </c>
    </row>
    <row r="1479">
      <c r="A1479" s="84" t="inlineStr">
        <is>
          <t>RATP</t>
        </is>
      </c>
      <c r="B1479" s="7" t="inlineStr">
        <is>
          <t>actif</t>
        </is>
      </c>
      <c r="C1479" s="88" t="n">
        <v>1948</v>
      </c>
      <c r="D1479" s="95" t="n">
        <v>55</v>
      </c>
      <c r="E1479" s="95" t="n">
        <v>55</v>
      </c>
      <c r="F1479" s="85" t="n">
        <v>150</v>
      </c>
      <c r="G1479" s="120" t="n">
        <v>0</v>
      </c>
      <c r="H1479" s="120" t="n">
        <v>0</v>
      </c>
      <c r="I1479" s="95" t="n">
        <v>0.9</v>
      </c>
      <c r="J1479" s="95" t="n">
        <v>55.9</v>
      </c>
      <c r="K1479" s="95" t="n">
        <v>0.93</v>
      </c>
      <c r="L1479" s="85" t="n">
        <v>1</v>
      </c>
    </row>
    <row r="1480">
      <c r="A1480" s="84" t="inlineStr">
        <is>
          <t>RATP</t>
        </is>
      </c>
      <c r="B1480" s="7" t="inlineStr">
        <is>
          <t>actif</t>
        </is>
      </c>
      <c r="C1480" s="88" t="n">
        <v>1949</v>
      </c>
      <c r="D1480" s="95" t="n">
        <v>55</v>
      </c>
      <c r="E1480" s="95" t="n">
        <v>55</v>
      </c>
      <c r="F1480" s="85" t="n">
        <v>150</v>
      </c>
      <c r="G1480" s="120" t="n">
        <v>0</v>
      </c>
      <c r="H1480" s="120" t="n">
        <v>0</v>
      </c>
      <c r="I1480" s="95" t="n">
        <v>1.03</v>
      </c>
      <c r="J1480" s="95" t="n">
        <v>56.03</v>
      </c>
      <c r="K1480" s="95" t="n">
        <v>0.93</v>
      </c>
      <c r="L1480" s="85" t="n">
        <v>1</v>
      </c>
    </row>
    <row r="1481">
      <c r="A1481" s="84" t="inlineStr">
        <is>
          <t>RATP</t>
        </is>
      </c>
      <c r="B1481" s="7" t="inlineStr">
        <is>
          <t>actif</t>
        </is>
      </c>
      <c r="C1481" s="88" t="n">
        <v>1950</v>
      </c>
      <c r="D1481" s="95" t="n">
        <v>55</v>
      </c>
      <c r="E1481" s="95" t="n">
        <v>55</v>
      </c>
      <c r="F1481" s="85" t="n">
        <v>150</v>
      </c>
      <c r="G1481" s="120" t="n">
        <v>0</v>
      </c>
      <c r="H1481" s="120" t="n">
        <v>0</v>
      </c>
      <c r="I1481" s="95" t="n">
        <v>1.17</v>
      </c>
      <c r="J1481" s="95" t="n">
        <v>56.17</v>
      </c>
      <c r="K1481" s="95" t="n">
        <v>0.93</v>
      </c>
      <c r="L1481" s="85" t="n">
        <v>1</v>
      </c>
    </row>
    <row r="1482">
      <c r="A1482" s="84" t="inlineStr">
        <is>
          <t>RATP</t>
        </is>
      </c>
      <c r="B1482" s="7" t="inlineStr">
        <is>
          <t>actif</t>
        </is>
      </c>
      <c r="C1482" s="88" t="n">
        <v>1951</v>
      </c>
      <c r="D1482" s="95" t="n">
        <v>55</v>
      </c>
      <c r="E1482" s="95" t="n">
        <v>55</v>
      </c>
      <c r="F1482" s="85" t="n">
        <v>150</v>
      </c>
      <c r="G1482" s="120" t="n">
        <v>0</v>
      </c>
      <c r="H1482" s="120" t="n">
        <v>0</v>
      </c>
      <c r="I1482" s="95" t="n">
        <v>1.3</v>
      </c>
      <c r="J1482" s="95" t="n">
        <v>56.3</v>
      </c>
      <c r="K1482" s="95" t="n">
        <v>0.93</v>
      </c>
      <c r="L1482" s="85" t="n">
        <v>1</v>
      </c>
    </row>
    <row r="1483">
      <c r="A1483" s="84" t="inlineStr">
        <is>
          <t>RATP</t>
        </is>
      </c>
      <c r="B1483" s="7" t="inlineStr">
        <is>
          <t>actif</t>
        </is>
      </c>
      <c r="C1483" s="88" t="n">
        <v>1952</v>
      </c>
      <c r="D1483" s="95" t="n">
        <v>55</v>
      </c>
      <c r="E1483" s="95" t="n">
        <v>55</v>
      </c>
      <c r="F1483" s="85" t="n">
        <v>150</v>
      </c>
      <c r="G1483" s="120" t="n">
        <v>0</v>
      </c>
      <c r="H1483" s="120" t="n">
        <v>0</v>
      </c>
      <c r="I1483" s="95" t="n">
        <v>1.43</v>
      </c>
      <c r="J1483" s="95" t="n">
        <v>56.43</v>
      </c>
      <c r="K1483" s="95" t="n">
        <v>0.93</v>
      </c>
      <c r="L1483" s="85" t="n">
        <v>1</v>
      </c>
    </row>
    <row r="1484">
      <c r="A1484" s="84" t="inlineStr">
        <is>
          <t>RATP</t>
        </is>
      </c>
      <c r="B1484" s="7" t="inlineStr">
        <is>
          <t>actif</t>
        </is>
      </c>
      <c r="C1484" s="88" t="n">
        <v>1953</v>
      </c>
      <c r="D1484" s="95" t="n">
        <v>55</v>
      </c>
      <c r="E1484" s="95" t="n">
        <v>55</v>
      </c>
      <c r="F1484" s="85" t="n">
        <v>151</v>
      </c>
      <c r="G1484" s="120" t="n">
        <v>0</v>
      </c>
      <c r="H1484" s="120" t="n">
        <v>0.0075</v>
      </c>
      <c r="I1484" s="95" t="n">
        <v>1.57</v>
      </c>
      <c r="J1484" s="95" t="n">
        <v>56.57</v>
      </c>
      <c r="K1484" s="95" t="n">
        <v>0.93</v>
      </c>
      <c r="L1484" s="85" t="n">
        <v>1</v>
      </c>
    </row>
    <row r="1485">
      <c r="A1485" s="84" t="inlineStr">
        <is>
          <t>RATP</t>
        </is>
      </c>
      <c r="B1485" s="7" t="inlineStr">
        <is>
          <t>actif</t>
        </is>
      </c>
      <c r="C1485" s="88" t="n">
        <v>1954</v>
      </c>
      <c r="D1485" s="95" t="n">
        <v>55</v>
      </c>
      <c r="E1485" s="95" t="n">
        <v>55</v>
      </c>
      <c r="F1485" s="85" t="n">
        <v>153</v>
      </c>
      <c r="G1485" s="120" t="n">
        <v>0</v>
      </c>
      <c r="H1485" s="120" t="n">
        <v>0.0125</v>
      </c>
      <c r="I1485" s="95" t="n">
        <v>1.7</v>
      </c>
      <c r="J1485" s="95" t="n">
        <v>56.7</v>
      </c>
      <c r="K1485" s="95" t="n">
        <v>0.93</v>
      </c>
      <c r="L1485" s="85" t="n">
        <v>1</v>
      </c>
    </row>
    <row r="1486">
      <c r="A1486" s="84" t="inlineStr">
        <is>
          <t>RATP</t>
        </is>
      </c>
      <c r="B1486" s="7" t="inlineStr">
        <is>
          <t>actif</t>
        </is>
      </c>
      <c r="C1486" s="88" t="n">
        <v>1955</v>
      </c>
      <c r="D1486" s="95" t="n">
        <v>55</v>
      </c>
      <c r="E1486" s="95" t="n">
        <v>56</v>
      </c>
      <c r="F1486" s="85" t="n">
        <v>155</v>
      </c>
      <c r="G1486" s="120" t="n">
        <v>0.00125</v>
      </c>
      <c r="H1486" s="120" t="n">
        <v>0.0125</v>
      </c>
      <c r="I1486" s="95" t="n">
        <v>1.83</v>
      </c>
      <c r="J1486" s="95" t="n">
        <v>56.83</v>
      </c>
      <c r="K1486" s="95" t="n">
        <v>0.93</v>
      </c>
      <c r="L1486" s="85" t="n">
        <v>1</v>
      </c>
    </row>
    <row r="1487">
      <c r="A1487" s="84" t="inlineStr">
        <is>
          <t>RATP</t>
        </is>
      </c>
      <c r="B1487" s="7" t="inlineStr">
        <is>
          <t>actif</t>
        </is>
      </c>
      <c r="C1487" s="88" t="n">
        <v>1956</v>
      </c>
      <c r="D1487" s="95" t="n">
        <v>55</v>
      </c>
      <c r="E1487" s="95" t="n">
        <v>56</v>
      </c>
      <c r="F1487" s="85" t="n">
        <v>157</v>
      </c>
      <c r="G1487" s="120" t="n">
        <v>0.0025</v>
      </c>
      <c r="H1487" s="120" t="n">
        <v>0.0125</v>
      </c>
      <c r="I1487" s="95" t="n">
        <v>1.97</v>
      </c>
      <c r="J1487" s="95" t="n">
        <v>56.97</v>
      </c>
      <c r="K1487" s="95" t="n">
        <v>0.93</v>
      </c>
      <c r="L1487" s="85" t="n">
        <v>1</v>
      </c>
    </row>
    <row r="1488">
      <c r="A1488" s="84" t="inlineStr">
        <is>
          <t>RATP</t>
        </is>
      </c>
      <c r="B1488" s="7" t="inlineStr">
        <is>
          <t>actif</t>
        </is>
      </c>
      <c r="C1488" s="88" t="n">
        <v>1957</v>
      </c>
      <c r="D1488" s="95" t="n">
        <v>55</v>
      </c>
      <c r="E1488" s="95" t="n">
        <v>56.5</v>
      </c>
      <c r="F1488" s="85" t="n">
        <v>159</v>
      </c>
      <c r="G1488" s="120" t="n">
        <v>0.00375</v>
      </c>
      <c r="H1488" s="120" t="n">
        <v>0.0125</v>
      </c>
      <c r="I1488" s="95" t="n">
        <v>2.1</v>
      </c>
      <c r="J1488" s="95" t="n">
        <v>57.1</v>
      </c>
      <c r="K1488" s="95" t="n">
        <v>0.93</v>
      </c>
      <c r="L1488" s="85" t="n">
        <v>1</v>
      </c>
    </row>
    <row r="1489">
      <c r="A1489" s="84" t="inlineStr">
        <is>
          <t>RATP</t>
        </is>
      </c>
      <c r="B1489" s="7" t="inlineStr">
        <is>
          <t>actif</t>
        </is>
      </c>
      <c r="C1489" s="88" t="n">
        <v>1958</v>
      </c>
      <c r="D1489" s="95" t="n">
        <v>55</v>
      </c>
      <c r="E1489" s="95" t="n">
        <v>57</v>
      </c>
      <c r="F1489" s="85" t="n">
        <v>161</v>
      </c>
      <c r="G1489" s="120" t="n">
        <v>0.005</v>
      </c>
      <c r="H1489" s="120" t="n">
        <v>0.0125</v>
      </c>
      <c r="I1489" s="95" t="n">
        <v>2.23</v>
      </c>
      <c r="J1489" s="95" t="n">
        <v>57.23</v>
      </c>
      <c r="K1489" s="95" t="n">
        <v>0.93</v>
      </c>
      <c r="L1489" s="85" t="n">
        <v>1</v>
      </c>
    </row>
    <row r="1490">
      <c r="A1490" s="84" t="inlineStr">
        <is>
          <t>RATP</t>
        </is>
      </c>
      <c r="B1490" s="7" t="inlineStr">
        <is>
          <t>actif</t>
        </is>
      </c>
      <c r="C1490" s="88" t="n">
        <v>1959</v>
      </c>
      <c r="D1490" s="95" t="n">
        <v>55</v>
      </c>
      <c r="E1490" s="95" t="n">
        <v>57.25</v>
      </c>
      <c r="F1490" s="85" t="n">
        <v>162</v>
      </c>
      <c r="G1490" s="120" t="n">
        <v>0.00625</v>
      </c>
      <c r="H1490" s="120" t="n">
        <v>0.0125</v>
      </c>
      <c r="I1490" s="95" t="n">
        <v>2.37</v>
      </c>
      <c r="J1490" s="95" t="n">
        <v>57.37</v>
      </c>
      <c r="K1490" s="95" t="n">
        <v>0.93</v>
      </c>
      <c r="L1490" s="85" t="n">
        <v>1</v>
      </c>
    </row>
    <row r="1491">
      <c r="A1491" s="84" t="inlineStr">
        <is>
          <t>RATP</t>
        </is>
      </c>
      <c r="B1491" s="7" t="inlineStr">
        <is>
          <t>actif</t>
        </is>
      </c>
      <c r="C1491" s="88" t="n">
        <v>1960</v>
      </c>
      <c r="D1491" s="95" t="n">
        <v>55</v>
      </c>
      <c r="E1491" s="95" t="n">
        <v>57.5</v>
      </c>
      <c r="F1491" s="85" t="n">
        <v>163</v>
      </c>
      <c r="G1491" s="120" t="n">
        <v>0.0075</v>
      </c>
      <c r="H1491" s="120" t="n">
        <v>0.0125</v>
      </c>
      <c r="I1491" s="95" t="n">
        <v>2.5</v>
      </c>
      <c r="J1491" s="95" t="n">
        <v>57.5</v>
      </c>
      <c r="K1491" s="95" t="n">
        <v>0.93</v>
      </c>
      <c r="L1491" s="85" t="n">
        <v>1</v>
      </c>
    </row>
    <row r="1492">
      <c r="A1492" s="84" t="inlineStr">
        <is>
          <t>RATP</t>
        </is>
      </c>
      <c r="B1492" s="7" t="inlineStr">
        <is>
          <t>actif</t>
        </is>
      </c>
      <c r="C1492" s="88" t="n">
        <v>1961</v>
      </c>
      <c r="D1492" s="95" t="n">
        <v>55</v>
      </c>
      <c r="E1492" s="95" t="n">
        <v>57.75</v>
      </c>
      <c r="F1492" s="85" t="n">
        <v>164</v>
      </c>
      <c r="G1492" s="120" t="n">
        <v>0.008750000000000001</v>
      </c>
      <c r="H1492" s="120" t="n">
        <v>0.0125</v>
      </c>
      <c r="I1492" s="95" t="n">
        <v>2.5</v>
      </c>
      <c r="J1492" s="95" t="n">
        <v>57.5</v>
      </c>
      <c r="K1492" s="95" t="n">
        <v>0.93</v>
      </c>
      <c r="L1492" s="85" t="n">
        <v>1</v>
      </c>
    </row>
    <row r="1493">
      <c r="A1493" s="84" t="inlineStr">
        <is>
          <t>RATP</t>
        </is>
      </c>
      <c r="B1493" s="7" t="inlineStr">
        <is>
          <t>actif</t>
        </is>
      </c>
      <c r="C1493" s="88" t="n">
        <v>1962</v>
      </c>
      <c r="D1493" s="95" t="n">
        <v>55.3333</v>
      </c>
      <c r="E1493" s="95" t="n">
        <v>58.33</v>
      </c>
      <c r="F1493" s="85" t="n">
        <v>165</v>
      </c>
      <c r="G1493" s="120" t="n">
        <v>0.01</v>
      </c>
      <c r="H1493" s="120" t="n">
        <v>0.0125</v>
      </c>
      <c r="I1493" s="95" t="n">
        <v>2.5</v>
      </c>
      <c r="J1493" s="95" t="n">
        <v>57.83</v>
      </c>
      <c r="K1493" s="95" t="n">
        <v>0.93</v>
      </c>
      <c r="L1493" s="85" t="n">
        <v>1</v>
      </c>
    </row>
    <row r="1494">
      <c r="A1494" s="84" t="inlineStr">
        <is>
          <t>RATP</t>
        </is>
      </c>
      <c r="B1494" s="7" t="inlineStr">
        <is>
          <t>actif</t>
        </is>
      </c>
      <c r="C1494" s="88" t="n">
        <v>1963</v>
      </c>
      <c r="D1494" s="95" t="n">
        <v>55.6667</v>
      </c>
      <c r="E1494" s="95" t="n">
        <v>59.17</v>
      </c>
      <c r="F1494" s="85" t="n">
        <v>166</v>
      </c>
      <c r="G1494" s="120" t="n">
        <v>0.01125</v>
      </c>
      <c r="H1494" s="120" t="n">
        <v>0.0125</v>
      </c>
      <c r="I1494" s="95" t="n">
        <v>2.5</v>
      </c>
      <c r="J1494" s="95" t="n">
        <v>58.17</v>
      </c>
      <c r="K1494" s="95" t="n">
        <v>0.93</v>
      </c>
      <c r="L1494" s="85" t="n">
        <v>1</v>
      </c>
    </row>
    <row r="1495">
      <c r="A1495" s="84" t="inlineStr">
        <is>
          <t>RATP</t>
        </is>
      </c>
      <c r="B1495" s="7" t="inlineStr">
        <is>
          <t>actif</t>
        </is>
      </c>
      <c r="C1495" s="88" t="n">
        <v>1964</v>
      </c>
      <c r="D1495" s="95" t="n">
        <v>56</v>
      </c>
      <c r="E1495" s="95" t="n">
        <v>59.75</v>
      </c>
      <c r="F1495" s="85" t="n">
        <v>167</v>
      </c>
      <c r="G1495" s="120" t="n">
        <v>0.0125</v>
      </c>
      <c r="H1495" s="120" t="n">
        <v>0.0125</v>
      </c>
      <c r="I1495" s="95" t="n">
        <v>2.5</v>
      </c>
      <c r="J1495" s="95" t="n">
        <v>58.5</v>
      </c>
      <c r="K1495" s="95" t="n">
        <v>0.93</v>
      </c>
      <c r="L1495" s="85" t="n">
        <v>1</v>
      </c>
    </row>
    <row r="1496">
      <c r="A1496" s="84" t="inlineStr">
        <is>
          <t>RATP</t>
        </is>
      </c>
      <c r="B1496" s="7" t="inlineStr">
        <is>
          <t>actif</t>
        </is>
      </c>
      <c r="C1496" s="88" t="n">
        <v>1965</v>
      </c>
      <c r="D1496" s="95" t="n">
        <v>56.3333</v>
      </c>
      <c r="E1496" s="95" t="n">
        <v>60.31</v>
      </c>
      <c r="F1496" s="85" t="n">
        <v>167</v>
      </c>
      <c r="G1496" s="120" t="n">
        <v>0.0125</v>
      </c>
      <c r="H1496" s="120" t="n">
        <v>0.0125</v>
      </c>
      <c r="I1496" s="95" t="n">
        <v>2.5</v>
      </c>
      <c r="J1496" s="95" t="n">
        <v>58.83</v>
      </c>
      <c r="K1496" s="95" t="n">
        <v>0.93</v>
      </c>
      <c r="L1496" s="85" t="n">
        <v>1</v>
      </c>
    </row>
    <row r="1497">
      <c r="A1497" s="84" t="inlineStr">
        <is>
          <t>RATP</t>
        </is>
      </c>
      <c r="B1497" s="7" t="inlineStr">
        <is>
          <t>actif</t>
        </is>
      </c>
      <c r="C1497" s="88" t="n">
        <v>1966</v>
      </c>
      <c r="D1497" s="95" t="n">
        <v>56.6667</v>
      </c>
      <c r="E1497" s="95" t="n">
        <v>60.86</v>
      </c>
      <c r="F1497" s="85" t="n">
        <v>168</v>
      </c>
      <c r="G1497" s="120" t="n">
        <v>0.0125</v>
      </c>
      <c r="H1497" s="120" t="n">
        <v>0.0125</v>
      </c>
      <c r="I1497" s="95" t="n">
        <v>2.5</v>
      </c>
      <c r="J1497" s="95" t="n">
        <v>59.17</v>
      </c>
      <c r="K1497" s="95" t="n">
        <v>0.93</v>
      </c>
      <c r="L1497" s="85" t="n">
        <v>1</v>
      </c>
    </row>
    <row r="1498">
      <c r="A1498" s="84" t="inlineStr">
        <is>
          <t>RATP</t>
        </is>
      </c>
      <c r="B1498" s="7" t="inlineStr">
        <is>
          <t>actif</t>
        </is>
      </c>
      <c r="C1498" s="88" t="n">
        <v>1967</v>
      </c>
      <c r="D1498" s="95" t="n">
        <v>57</v>
      </c>
      <c r="E1498" s="95" t="n">
        <v>61.42</v>
      </c>
      <c r="F1498" s="85" t="n">
        <v>168</v>
      </c>
      <c r="G1498" s="120" t="n">
        <v>0.0125</v>
      </c>
      <c r="H1498" s="120" t="n">
        <v>0.0125</v>
      </c>
      <c r="I1498" s="95" t="n">
        <v>2.5</v>
      </c>
      <c r="J1498" s="95" t="n">
        <v>59.5</v>
      </c>
      <c r="K1498" s="95" t="n">
        <v>0.93</v>
      </c>
      <c r="L1498" s="85" t="n">
        <v>1</v>
      </c>
    </row>
    <row r="1499">
      <c r="A1499" s="84" t="inlineStr">
        <is>
          <t>RATP</t>
        </is>
      </c>
      <c r="B1499" s="7" t="inlineStr">
        <is>
          <t>actif</t>
        </is>
      </c>
      <c r="C1499" s="88" t="n">
        <v>1968</v>
      </c>
      <c r="D1499" s="95" t="n">
        <v>57.25</v>
      </c>
      <c r="E1499" s="95" t="n">
        <v>61.88</v>
      </c>
      <c r="F1499" s="85" t="n">
        <v>169</v>
      </c>
      <c r="G1499" s="120" t="n">
        <v>0.0125</v>
      </c>
      <c r="H1499" s="120" t="n">
        <v>0.0125</v>
      </c>
      <c r="I1499" s="95" t="n">
        <v>2.5</v>
      </c>
      <c r="J1499" s="95" t="n">
        <v>59.75</v>
      </c>
      <c r="K1499" s="95" t="n">
        <v>0.93</v>
      </c>
      <c r="L1499" s="85" t="n">
        <v>1</v>
      </c>
    </row>
    <row r="1500">
      <c r="A1500" s="84" t="inlineStr">
        <is>
          <t>RATP</t>
        </is>
      </c>
      <c r="B1500" s="7" t="inlineStr">
        <is>
          <t>actif</t>
        </is>
      </c>
      <c r="C1500" s="88" t="n">
        <v>1969</v>
      </c>
      <c r="D1500" s="95" t="n">
        <v>57.5</v>
      </c>
      <c r="E1500" s="95" t="n">
        <v>62</v>
      </c>
      <c r="F1500" s="85" t="n">
        <v>170</v>
      </c>
      <c r="G1500" s="120" t="n">
        <v>0.0125</v>
      </c>
      <c r="H1500" s="120" t="n">
        <v>0.0125</v>
      </c>
      <c r="I1500" s="95" t="n">
        <v>2.5</v>
      </c>
      <c r="J1500" s="95" t="n">
        <v>60</v>
      </c>
      <c r="K1500" s="95" t="n">
        <v>0.93</v>
      </c>
      <c r="L1500" s="85" t="n">
        <v>1</v>
      </c>
    </row>
    <row r="1501">
      <c r="A1501" s="84" t="inlineStr">
        <is>
          <t>RATP</t>
        </is>
      </c>
      <c r="B1501" s="7" t="inlineStr">
        <is>
          <t>actif</t>
        </is>
      </c>
      <c r="C1501" s="88" t="n">
        <v>1970</v>
      </c>
      <c r="D1501" s="95" t="n">
        <v>57.75</v>
      </c>
      <c r="E1501" s="95" t="n">
        <v>62</v>
      </c>
      <c r="F1501" s="85" t="n">
        <v>170</v>
      </c>
      <c r="G1501" s="120" t="n">
        <v>0.0125</v>
      </c>
      <c r="H1501" s="120" t="n">
        <v>0.0125</v>
      </c>
      <c r="I1501" s="95" t="n">
        <v>2.5</v>
      </c>
      <c r="J1501" s="95" t="n">
        <v>60.25</v>
      </c>
      <c r="K1501" s="95" t="n">
        <v>0.93</v>
      </c>
      <c r="L1501" s="85" t="n">
        <v>1</v>
      </c>
    </row>
    <row r="1502">
      <c r="A1502" s="84" t="inlineStr">
        <is>
          <t>RATP</t>
        </is>
      </c>
      <c r="B1502" s="7" t="inlineStr">
        <is>
          <t>actif</t>
        </is>
      </c>
      <c r="C1502" s="88" t="n">
        <v>1971</v>
      </c>
      <c r="D1502" s="95" t="n">
        <v>58</v>
      </c>
      <c r="E1502" s="95" t="n">
        <v>62</v>
      </c>
      <c r="F1502" s="85" t="n">
        <v>171</v>
      </c>
      <c r="G1502" s="120" t="n">
        <v>0.0125</v>
      </c>
      <c r="H1502" s="120" t="n">
        <v>0.0125</v>
      </c>
      <c r="I1502" s="95" t="n">
        <v>2.5</v>
      </c>
      <c r="J1502" s="95" t="n">
        <v>60.5</v>
      </c>
      <c r="K1502" s="95" t="n">
        <v>0.93</v>
      </c>
      <c r="L1502" s="85" t="n">
        <v>1</v>
      </c>
    </row>
    <row r="1503">
      <c r="A1503" s="84" t="inlineStr">
        <is>
          <t>RATP</t>
        </is>
      </c>
      <c r="B1503" s="7" t="inlineStr">
        <is>
          <t>actif</t>
        </is>
      </c>
      <c r="C1503" s="88" t="n">
        <v>1972</v>
      </c>
      <c r="D1503" s="95" t="n">
        <v>58.25</v>
      </c>
      <c r="E1503" s="95" t="n">
        <v>62</v>
      </c>
      <c r="F1503" s="85" t="n">
        <v>171</v>
      </c>
      <c r="G1503" s="120" t="n">
        <v>0.0125</v>
      </c>
      <c r="H1503" s="120" t="n">
        <v>0.0125</v>
      </c>
      <c r="I1503" s="95" t="n">
        <v>2.5</v>
      </c>
      <c r="J1503" s="95" t="n">
        <v>60.75</v>
      </c>
      <c r="K1503" s="95" t="n">
        <v>0.93</v>
      </c>
      <c r="L1503" s="85" t="n">
        <v>1</v>
      </c>
    </row>
    <row r="1504">
      <c r="A1504" s="84" t="inlineStr">
        <is>
          <t>RATP</t>
        </is>
      </c>
      <c r="B1504" s="7" t="inlineStr">
        <is>
          <t>actif</t>
        </is>
      </c>
      <c r="C1504" s="88" t="n">
        <v>1973</v>
      </c>
      <c r="D1504" s="95" t="n">
        <v>58.5</v>
      </c>
      <c r="E1504" s="95" t="n">
        <v>62</v>
      </c>
      <c r="F1504" s="85" t="n">
        <v>172</v>
      </c>
      <c r="G1504" s="120" t="n">
        <v>0.0125</v>
      </c>
      <c r="H1504" s="120" t="n">
        <v>0.0125</v>
      </c>
      <c r="I1504" s="95" t="n">
        <v>2.5</v>
      </c>
      <c r="J1504" s="95" t="n">
        <v>61</v>
      </c>
      <c r="K1504" s="95" t="n">
        <v>0.93</v>
      </c>
      <c r="L1504" s="85" t="n">
        <v>1</v>
      </c>
    </row>
    <row r="1505">
      <c r="A1505" s="84" t="inlineStr">
        <is>
          <t>RATP</t>
        </is>
      </c>
      <c r="B1505" s="7" t="inlineStr">
        <is>
          <t>actif</t>
        </is>
      </c>
      <c r="C1505" s="88" t="n">
        <v>1974</v>
      </c>
      <c r="D1505" s="95" t="n">
        <v>58.75</v>
      </c>
      <c r="E1505" s="95" t="n">
        <v>62</v>
      </c>
      <c r="F1505" s="85" t="n">
        <v>172</v>
      </c>
      <c r="G1505" s="120" t="n">
        <v>0.0125</v>
      </c>
      <c r="H1505" s="120" t="n">
        <v>0.0125</v>
      </c>
      <c r="I1505" s="95" t="n">
        <v>2.5</v>
      </c>
      <c r="J1505" s="95" t="n">
        <v>61.25</v>
      </c>
      <c r="K1505" s="95" t="n">
        <v>0.93</v>
      </c>
      <c r="L1505" s="85" t="n">
        <v>1</v>
      </c>
    </row>
    <row r="1506">
      <c r="A1506" s="84" t="inlineStr">
        <is>
          <t>RATP</t>
        </is>
      </c>
      <c r="B1506" s="7" t="inlineStr">
        <is>
          <t>actif</t>
        </is>
      </c>
      <c r="C1506" s="88" t="n">
        <v>1975</v>
      </c>
      <c r="D1506" s="95" t="n">
        <v>59</v>
      </c>
      <c r="E1506" s="95" t="n">
        <v>62</v>
      </c>
      <c r="F1506" s="85" t="n">
        <v>172</v>
      </c>
      <c r="G1506" s="120" t="n">
        <v>0.0125</v>
      </c>
      <c r="H1506" s="120" t="n">
        <v>0.0125</v>
      </c>
      <c r="I1506" s="95" t="n">
        <v>2.5</v>
      </c>
      <c r="J1506" s="95" t="n">
        <v>61.5</v>
      </c>
      <c r="K1506" s="95" t="n">
        <v>0.93</v>
      </c>
      <c r="L1506" s="85" t="n">
        <v>1</v>
      </c>
    </row>
    <row r="1507">
      <c r="A1507" s="84" t="inlineStr">
        <is>
          <t>RATP</t>
        </is>
      </c>
      <c r="B1507" s="7" t="inlineStr">
        <is>
          <t>actif</t>
        </is>
      </c>
      <c r="C1507" s="88" t="n">
        <v>1976</v>
      </c>
      <c r="D1507" s="95" t="n">
        <v>59</v>
      </c>
      <c r="E1507" s="95" t="n">
        <v>62</v>
      </c>
      <c r="F1507" s="85" t="n">
        <v>172</v>
      </c>
      <c r="G1507" s="120" t="n">
        <v>0.0125</v>
      </c>
      <c r="H1507" s="120" t="n">
        <v>0.0125</v>
      </c>
      <c r="I1507" s="95" t="n">
        <v>2.5</v>
      </c>
      <c r="J1507" s="95" t="n">
        <v>61.5</v>
      </c>
      <c r="K1507" s="95" t="n">
        <v>0.93</v>
      </c>
      <c r="L1507" s="85" t="n">
        <v>1</v>
      </c>
    </row>
    <row r="1508">
      <c r="A1508" s="84" t="inlineStr">
        <is>
          <t>RATP</t>
        </is>
      </c>
      <c r="B1508" s="7" t="inlineStr">
        <is>
          <t>actif</t>
        </is>
      </c>
      <c r="C1508" s="88" t="n">
        <v>1977</v>
      </c>
      <c r="D1508" s="95" t="n">
        <v>59</v>
      </c>
      <c r="E1508" s="95" t="n">
        <v>62</v>
      </c>
      <c r="F1508" s="85" t="n">
        <v>172</v>
      </c>
      <c r="G1508" s="120" t="n">
        <v>0.0125</v>
      </c>
      <c r="H1508" s="120" t="n">
        <v>0.0125</v>
      </c>
      <c r="I1508" s="95" t="n">
        <v>2.5</v>
      </c>
      <c r="J1508" s="95" t="n">
        <v>61.5</v>
      </c>
      <c r="K1508" s="95" t="n">
        <v>0.93</v>
      </c>
      <c r="L1508" s="85" t="n">
        <v>1</v>
      </c>
    </row>
    <row r="1509">
      <c r="A1509" s="84" t="inlineStr">
        <is>
          <t>RATP</t>
        </is>
      </c>
      <c r="B1509" s="7" t="inlineStr">
        <is>
          <t>actif</t>
        </is>
      </c>
      <c r="C1509" s="88" t="n">
        <v>1978</v>
      </c>
      <c r="D1509" s="95" t="n">
        <v>59</v>
      </c>
      <c r="E1509" s="95" t="n">
        <v>62</v>
      </c>
      <c r="F1509" s="85" t="n">
        <v>172</v>
      </c>
      <c r="G1509" s="120" t="n">
        <v>0.0125</v>
      </c>
      <c r="H1509" s="120" t="n">
        <v>0.0125</v>
      </c>
      <c r="I1509" s="95" t="n">
        <v>2.5</v>
      </c>
      <c r="J1509" s="95" t="n">
        <v>61.5</v>
      </c>
      <c r="K1509" s="95" t="n">
        <v>0.93</v>
      </c>
      <c r="L1509" s="85" t="n">
        <v>1</v>
      </c>
    </row>
    <row r="1510">
      <c r="A1510" s="84" t="inlineStr">
        <is>
          <t>RATP</t>
        </is>
      </c>
      <c r="B1510" s="7" t="inlineStr">
        <is>
          <t>actif</t>
        </is>
      </c>
      <c r="C1510" s="88" t="n">
        <v>1979</v>
      </c>
      <c r="D1510" s="95" t="n">
        <v>59</v>
      </c>
      <c r="E1510" s="95" t="n">
        <v>62</v>
      </c>
      <c r="F1510" s="85" t="n">
        <v>172</v>
      </c>
      <c r="G1510" s="120" t="n">
        <v>0.0125</v>
      </c>
      <c r="H1510" s="120" t="n">
        <v>0.0125</v>
      </c>
      <c r="I1510" s="95" t="n">
        <v>2.5</v>
      </c>
      <c r="J1510" s="95" t="n">
        <v>61.5</v>
      </c>
      <c r="K1510" s="95" t="n">
        <v>0.93</v>
      </c>
      <c r="L1510" s="85" t="n">
        <v>1</v>
      </c>
    </row>
    <row r="1511">
      <c r="A1511" s="84" t="inlineStr">
        <is>
          <t>RATP</t>
        </is>
      </c>
      <c r="B1511" s="7" t="inlineStr">
        <is>
          <t>actif</t>
        </is>
      </c>
      <c r="C1511" s="88" t="n">
        <v>1980</v>
      </c>
      <c r="D1511" s="95" t="n">
        <v>59</v>
      </c>
      <c r="E1511" s="95" t="n">
        <v>62</v>
      </c>
      <c r="F1511" s="85" t="n">
        <v>172</v>
      </c>
      <c r="G1511" s="120" t="n">
        <v>0.0125</v>
      </c>
      <c r="H1511" s="120" t="n">
        <v>0.0125</v>
      </c>
      <c r="I1511" s="95" t="n">
        <v>2.5</v>
      </c>
      <c r="J1511" s="95" t="n">
        <v>61.5</v>
      </c>
      <c r="K1511" s="95" t="n">
        <v>0.93</v>
      </c>
      <c r="L1511" s="85" t="n">
        <v>1</v>
      </c>
    </row>
    <row r="1512">
      <c r="A1512" s="84" t="inlineStr">
        <is>
          <t>RATP</t>
        </is>
      </c>
      <c r="B1512" s="7" t="inlineStr">
        <is>
          <t>actif</t>
        </is>
      </c>
      <c r="C1512" s="88" t="n">
        <v>1981</v>
      </c>
      <c r="D1512" s="95" t="n">
        <v>59</v>
      </c>
      <c r="E1512" s="95" t="n">
        <v>62</v>
      </c>
      <c r="F1512" s="85" t="n">
        <v>172</v>
      </c>
      <c r="G1512" s="120" t="n">
        <v>0.0125</v>
      </c>
      <c r="H1512" s="120" t="n">
        <v>0.0125</v>
      </c>
      <c r="I1512" s="95" t="n">
        <v>2.5</v>
      </c>
      <c r="J1512" s="95" t="n">
        <v>61.5</v>
      </c>
      <c r="K1512" s="95" t="n">
        <v>0.93</v>
      </c>
      <c r="L1512" s="85" t="n">
        <v>1</v>
      </c>
    </row>
    <row r="1513">
      <c r="A1513" s="84" t="inlineStr">
        <is>
          <t>RATP</t>
        </is>
      </c>
      <c r="B1513" s="7" t="inlineStr">
        <is>
          <t>actif</t>
        </is>
      </c>
      <c r="C1513" s="88" t="n">
        <v>1982</v>
      </c>
      <c r="D1513" s="95" t="n">
        <v>59</v>
      </c>
      <c r="E1513" s="95" t="n">
        <v>62</v>
      </c>
      <c r="F1513" s="85" t="n">
        <v>172</v>
      </c>
      <c r="G1513" s="120" t="n">
        <v>0.0125</v>
      </c>
      <c r="H1513" s="120" t="n">
        <v>0.0125</v>
      </c>
      <c r="I1513" s="95" t="n">
        <v>2.5</v>
      </c>
      <c r="J1513" s="95" t="n">
        <v>61.5</v>
      </c>
      <c r="K1513" s="95" t="n">
        <v>0.93</v>
      </c>
      <c r="L1513" s="85" t="n">
        <v>1</v>
      </c>
    </row>
    <row r="1514">
      <c r="A1514" s="84" t="inlineStr">
        <is>
          <t>RATP</t>
        </is>
      </c>
      <c r="B1514" s="7" t="inlineStr">
        <is>
          <t>actif</t>
        </is>
      </c>
      <c r="C1514" s="88" t="n">
        <v>1983</v>
      </c>
      <c r="D1514" s="95" t="n">
        <v>59</v>
      </c>
      <c r="E1514" s="95" t="n">
        <v>62</v>
      </c>
      <c r="F1514" s="85" t="n">
        <v>172</v>
      </c>
      <c r="G1514" s="120" t="n">
        <v>0.0125</v>
      </c>
      <c r="H1514" s="120" t="n">
        <v>0.0125</v>
      </c>
      <c r="I1514" s="95" t="n">
        <v>2.5</v>
      </c>
      <c r="J1514" s="95" t="n">
        <v>61.5</v>
      </c>
      <c r="K1514" s="95" t="n">
        <v>0.93</v>
      </c>
      <c r="L1514" s="85" t="n">
        <v>1</v>
      </c>
    </row>
    <row r="1515">
      <c r="A1515" s="84" t="inlineStr">
        <is>
          <t>RATP</t>
        </is>
      </c>
      <c r="B1515" s="7" t="inlineStr">
        <is>
          <t>actif</t>
        </is>
      </c>
      <c r="C1515" s="88" t="n">
        <v>1984</v>
      </c>
      <c r="D1515" s="95" t="n">
        <v>59</v>
      </c>
      <c r="E1515" s="95" t="n">
        <v>62</v>
      </c>
      <c r="F1515" s="85" t="n">
        <v>172</v>
      </c>
      <c r="G1515" s="120" t="n">
        <v>0.0125</v>
      </c>
      <c r="H1515" s="120" t="n">
        <v>0.0125</v>
      </c>
      <c r="I1515" s="95" t="n">
        <v>2.5</v>
      </c>
      <c r="J1515" s="95" t="n">
        <v>61.5</v>
      </c>
      <c r="K1515" s="95" t="n">
        <v>0.93</v>
      </c>
      <c r="L1515" s="85" t="n">
        <v>1</v>
      </c>
    </row>
    <row r="1516">
      <c r="A1516" s="84" t="inlineStr">
        <is>
          <t>RATP</t>
        </is>
      </c>
      <c r="B1516" s="7" t="inlineStr">
        <is>
          <t>actif</t>
        </is>
      </c>
      <c r="C1516" s="88" t="n">
        <v>1985</v>
      </c>
      <c r="D1516" s="95" t="n">
        <v>59</v>
      </c>
      <c r="E1516" s="95" t="n">
        <v>62</v>
      </c>
      <c r="F1516" s="85" t="n">
        <v>172</v>
      </c>
      <c r="G1516" s="120" t="n">
        <v>0.0125</v>
      </c>
      <c r="H1516" s="120" t="n">
        <v>0.0125</v>
      </c>
      <c r="I1516" s="95" t="n">
        <v>2.5</v>
      </c>
      <c r="J1516" s="95" t="n">
        <v>61.5</v>
      </c>
      <c r="K1516" s="95" t="n">
        <v>0.93</v>
      </c>
      <c r="L1516" s="85" t="n">
        <v>1</v>
      </c>
    </row>
    <row r="1517">
      <c r="A1517" s="84" t="inlineStr">
        <is>
          <t>RATP</t>
        </is>
      </c>
      <c r="B1517" s="7" t="inlineStr">
        <is>
          <t>actif</t>
        </is>
      </c>
      <c r="C1517" s="88" t="n">
        <v>1986</v>
      </c>
      <c r="D1517" s="95" t="n">
        <v>59</v>
      </c>
      <c r="E1517" s="95" t="n">
        <v>62</v>
      </c>
      <c r="F1517" s="85" t="n">
        <v>172</v>
      </c>
      <c r="G1517" s="120" t="n">
        <v>0.0125</v>
      </c>
      <c r="H1517" s="120" t="n">
        <v>0.0125</v>
      </c>
      <c r="I1517" s="95" t="n">
        <v>2.5</v>
      </c>
      <c r="J1517" s="95" t="n">
        <v>61.5</v>
      </c>
      <c r="K1517" s="95" t="n">
        <v>0.93</v>
      </c>
      <c r="L1517" s="85" t="n">
        <v>1</v>
      </c>
    </row>
    <row r="1518">
      <c r="A1518" s="84" t="inlineStr">
        <is>
          <t>RATP</t>
        </is>
      </c>
      <c r="B1518" s="7" t="inlineStr">
        <is>
          <t>actif</t>
        </is>
      </c>
      <c r="C1518" s="88" t="n">
        <v>1987</v>
      </c>
      <c r="D1518" s="95" t="n">
        <v>59</v>
      </c>
      <c r="E1518" s="95" t="n">
        <v>62</v>
      </c>
      <c r="F1518" s="85" t="n">
        <v>172</v>
      </c>
      <c r="G1518" s="120" t="n">
        <v>0.0125</v>
      </c>
      <c r="H1518" s="120" t="n">
        <v>0.0125</v>
      </c>
      <c r="I1518" s="95" t="n">
        <v>2.5</v>
      </c>
      <c r="J1518" s="95" t="n">
        <v>61.5</v>
      </c>
      <c r="K1518" s="95" t="n">
        <v>0.93</v>
      </c>
      <c r="L1518" s="85" t="n">
        <v>1</v>
      </c>
    </row>
    <row r="1519">
      <c r="A1519" s="84" t="inlineStr">
        <is>
          <t>RATP</t>
        </is>
      </c>
      <c r="B1519" s="7" t="inlineStr">
        <is>
          <t>actif</t>
        </is>
      </c>
      <c r="C1519" s="88" t="n">
        <v>1988</v>
      </c>
      <c r="D1519" s="95" t="n">
        <v>59</v>
      </c>
      <c r="E1519" s="95" t="n">
        <v>62</v>
      </c>
      <c r="F1519" s="85" t="n">
        <v>172</v>
      </c>
      <c r="G1519" s="120" t="n">
        <v>0.0125</v>
      </c>
      <c r="H1519" s="120" t="n">
        <v>0.0125</v>
      </c>
      <c r="I1519" s="95" t="n">
        <v>2.5</v>
      </c>
      <c r="J1519" s="95" t="n">
        <v>61.5</v>
      </c>
      <c r="K1519" s="95" t="n">
        <v>0.93</v>
      </c>
      <c r="L1519" s="85" t="n">
        <v>1</v>
      </c>
    </row>
    <row r="1520">
      <c r="A1520" s="84" t="inlineStr">
        <is>
          <t>RATP</t>
        </is>
      </c>
      <c r="B1520" s="7" t="inlineStr">
        <is>
          <t>actif</t>
        </is>
      </c>
      <c r="C1520" s="88" t="n">
        <v>1989</v>
      </c>
      <c r="D1520" s="95" t="n">
        <v>59</v>
      </c>
      <c r="E1520" s="95" t="n">
        <v>62</v>
      </c>
      <c r="F1520" s="85" t="n">
        <v>172</v>
      </c>
      <c r="G1520" s="120" t="n">
        <v>0.0125</v>
      </c>
      <c r="H1520" s="120" t="n">
        <v>0.0125</v>
      </c>
      <c r="I1520" s="95" t="n">
        <v>2.5</v>
      </c>
      <c r="J1520" s="95" t="n">
        <v>61.5</v>
      </c>
      <c r="K1520" s="95" t="n">
        <v>0.93</v>
      </c>
      <c r="L1520" s="85" t="n">
        <v>1</v>
      </c>
    </row>
    <row r="1521">
      <c r="A1521" s="84" t="inlineStr">
        <is>
          <t>RATP</t>
        </is>
      </c>
      <c r="B1521" s="7" t="inlineStr">
        <is>
          <t>actif</t>
        </is>
      </c>
      <c r="C1521" s="88" t="n">
        <v>1990</v>
      </c>
      <c r="D1521" s="95" t="n">
        <v>59</v>
      </c>
      <c r="E1521" s="95" t="n">
        <v>62</v>
      </c>
      <c r="F1521" s="85" t="n">
        <v>172</v>
      </c>
      <c r="G1521" s="120" t="n">
        <v>0.0125</v>
      </c>
      <c r="H1521" s="120" t="n">
        <v>0.0125</v>
      </c>
      <c r="I1521" s="95" t="n">
        <v>2.5</v>
      </c>
      <c r="J1521" s="95" t="n">
        <v>61.5</v>
      </c>
      <c r="K1521" s="95" t="n">
        <v>0.93</v>
      </c>
      <c r="L1521" s="85" t="n">
        <v>1</v>
      </c>
    </row>
    <row r="1522">
      <c r="A1522" s="84" t="inlineStr">
        <is>
          <t>RATP</t>
        </is>
      </c>
      <c r="B1522" s="7" t="inlineStr">
        <is>
          <t>actif</t>
        </is>
      </c>
      <c r="C1522" s="88" t="n">
        <v>1991</v>
      </c>
      <c r="D1522" s="95" t="n">
        <v>59</v>
      </c>
      <c r="E1522" s="95" t="n">
        <v>62</v>
      </c>
      <c r="F1522" s="85" t="n">
        <v>172</v>
      </c>
      <c r="G1522" s="120" t="n">
        <v>0.0125</v>
      </c>
      <c r="H1522" s="120" t="n">
        <v>0.0125</v>
      </c>
      <c r="I1522" s="95" t="n">
        <v>2.5</v>
      </c>
      <c r="J1522" s="95" t="n">
        <v>61.5</v>
      </c>
      <c r="K1522" s="95" t="n">
        <v>0.93</v>
      </c>
      <c r="L1522" s="85" t="n">
        <v>1</v>
      </c>
    </row>
    <row r="1523">
      <c r="A1523" s="84" t="inlineStr">
        <is>
          <t>RATP</t>
        </is>
      </c>
      <c r="B1523" s="7" t="inlineStr">
        <is>
          <t>actif</t>
        </is>
      </c>
      <c r="C1523" s="88" t="n">
        <v>1992</v>
      </c>
      <c r="D1523" s="95" t="n">
        <v>59</v>
      </c>
      <c r="E1523" s="95" t="n">
        <v>62</v>
      </c>
      <c r="F1523" s="85" t="n">
        <v>172</v>
      </c>
      <c r="G1523" s="120" t="n">
        <v>0.0125</v>
      </c>
      <c r="H1523" s="120" t="n">
        <v>0.0125</v>
      </c>
      <c r="I1523" s="95" t="n">
        <v>2.5</v>
      </c>
      <c r="J1523" s="95" t="n">
        <v>61.5</v>
      </c>
      <c r="K1523" s="95" t="n">
        <v>0.93</v>
      </c>
      <c r="L1523" s="85" t="n">
        <v>1</v>
      </c>
    </row>
    <row r="1524">
      <c r="A1524" s="84" t="inlineStr">
        <is>
          <t>RATP</t>
        </is>
      </c>
      <c r="B1524" s="7" t="inlineStr">
        <is>
          <t>actif</t>
        </is>
      </c>
      <c r="C1524" s="88" t="n">
        <v>1993</v>
      </c>
      <c r="D1524" s="95" t="n">
        <v>59</v>
      </c>
      <c r="E1524" s="95" t="n">
        <v>62</v>
      </c>
      <c r="F1524" s="85" t="n">
        <v>172</v>
      </c>
      <c r="G1524" s="120" t="n">
        <v>0.0125</v>
      </c>
      <c r="H1524" s="120" t="n">
        <v>0.0125</v>
      </c>
      <c r="I1524" s="95" t="n">
        <v>2.5</v>
      </c>
      <c r="J1524" s="95" t="n">
        <v>61.5</v>
      </c>
      <c r="K1524" s="95" t="n">
        <v>0.93</v>
      </c>
      <c r="L1524" s="85" t="n">
        <v>1</v>
      </c>
    </row>
    <row r="1525">
      <c r="A1525" s="84" t="inlineStr">
        <is>
          <t>RATP</t>
        </is>
      </c>
      <c r="B1525" s="7" t="inlineStr">
        <is>
          <t>actif</t>
        </is>
      </c>
      <c r="C1525" s="88" t="n">
        <v>1994</v>
      </c>
      <c r="D1525" s="95" t="n">
        <v>59</v>
      </c>
      <c r="E1525" s="95" t="n">
        <v>62</v>
      </c>
      <c r="F1525" s="85" t="n">
        <v>172</v>
      </c>
      <c r="G1525" s="120" t="n">
        <v>0.0125</v>
      </c>
      <c r="H1525" s="120" t="n">
        <v>0.0125</v>
      </c>
      <c r="I1525" s="95" t="n">
        <v>2.5</v>
      </c>
      <c r="J1525" s="95" t="n">
        <v>61.5</v>
      </c>
      <c r="K1525" s="95" t="n">
        <v>0.93</v>
      </c>
      <c r="L1525" s="85" t="n">
        <v>1</v>
      </c>
    </row>
    <row r="1526">
      <c r="A1526" s="84" t="inlineStr">
        <is>
          <t>RATP</t>
        </is>
      </c>
      <c r="B1526" s="7" t="inlineStr">
        <is>
          <t>actif</t>
        </is>
      </c>
      <c r="C1526" s="88" t="n">
        <v>1995</v>
      </c>
      <c r="D1526" s="95" t="n">
        <v>59</v>
      </c>
      <c r="E1526" s="95" t="n">
        <v>62</v>
      </c>
      <c r="F1526" s="85" t="n">
        <v>172</v>
      </c>
      <c r="G1526" s="120" t="n">
        <v>0.0125</v>
      </c>
      <c r="H1526" s="120" t="n">
        <v>0.0125</v>
      </c>
      <c r="I1526" s="95" t="n">
        <v>2.5</v>
      </c>
      <c r="J1526" s="95" t="n">
        <v>61.5</v>
      </c>
      <c r="K1526" s="95" t="n">
        <v>0.93</v>
      </c>
      <c r="L1526" s="85" t="n">
        <v>1</v>
      </c>
    </row>
    <row r="1527">
      <c r="A1527" s="84" t="inlineStr">
        <is>
          <t>RATP</t>
        </is>
      </c>
      <c r="B1527" s="7" t="inlineStr">
        <is>
          <t>actif</t>
        </is>
      </c>
      <c r="C1527" s="88" t="n">
        <v>1996</v>
      </c>
      <c r="D1527" s="95" t="n">
        <v>59</v>
      </c>
      <c r="E1527" s="95" t="n">
        <v>62</v>
      </c>
      <c r="F1527" s="85" t="n">
        <v>172</v>
      </c>
      <c r="G1527" s="120" t="n">
        <v>0.0125</v>
      </c>
      <c r="H1527" s="120" t="n">
        <v>0.0125</v>
      </c>
      <c r="I1527" s="95" t="n">
        <v>2.5</v>
      </c>
      <c r="J1527" s="95" t="n">
        <v>61.5</v>
      </c>
      <c r="K1527" s="95" t="n">
        <v>0.93</v>
      </c>
      <c r="L1527" s="85" t="n">
        <v>1</v>
      </c>
    </row>
    <row r="1528">
      <c r="A1528" s="84" t="inlineStr">
        <is>
          <t>RATP</t>
        </is>
      </c>
      <c r="B1528" s="7" t="inlineStr">
        <is>
          <t>actif</t>
        </is>
      </c>
      <c r="C1528" s="88" t="n">
        <v>1997</v>
      </c>
      <c r="D1528" s="95" t="n">
        <v>59</v>
      </c>
      <c r="E1528" s="95" t="n">
        <v>62</v>
      </c>
      <c r="F1528" s="85" t="n">
        <v>172</v>
      </c>
      <c r="G1528" s="120" t="n">
        <v>0.0125</v>
      </c>
      <c r="H1528" s="120" t="n">
        <v>0.0125</v>
      </c>
      <c r="I1528" s="95" t="n">
        <v>2.5</v>
      </c>
      <c r="J1528" s="95" t="n">
        <v>61.5</v>
      </c>
      <c r="K1528" s="95" t="n">
        <v>0.93</v>
      </c>
      <c r="L1528" s="85" t="n">
        <v>1</v>
      </c>
    </row>
    <row r="1529">
      <c r="A1529" s="84" t="inlineStr">
        <is>
          <t>RATP</t>
        </is>
      </c>
      <c r="B1529" s="7" t="inlineStr">
        <is>
          <t>actif</t>
        </is>
      </c>
      <c r="C1529" s="88" t="n">
        <v>1998</v>
      </c>
      <c r="D1529" s="95" t="n">
        <v>59</v>
      </c>
      <c r="E1529" s="95" t="n">
        <v>62</v>
      </c>
      <c r="F1529" s="85" t="n">
        <v>172</v>
      </c>
      <c r="G1529" s="120" t="n">
        <v>0.0125</v>
      </c>
      <c r="H1529" s="120" t="n">
        <v>0.0125</v>
      </c>
      <c r="I1529" s="95" t="n">
        <v>2.5</v>
      </c>
      <c r="J1529" s="95" t="n">
        <v>61.5</v>
      </c>
      <c r="K1529" s="95" t="n">
        <v>0.93</v>
      </c>
      <c r="L1529" s="85" t="n">
        <v>1</v>
      </c>
    </row>
    <row r="1530">
      <c r="A1530" s="84" t="inlineStr">
        <is>
          <t>RATP</t>
        </is>
      </c>
      <c r="B1530" s="7" t="inlineStr">
        <is>
          <t>actif</t>
        </is>
      </c>
      <c r="C1530" s="88" t="n">
        <v>1999</v>
      </c>
      <c r="D1530" s="95" t="n">
        <v>59</v>
      </c>
      <c r="E1530" s="95" t="n">
        <v>62</v>
      </c>
      <c r="F1530" s="85" t="n">
        <v>172</v>
      </c>
      <c r="G1530" s="120" t="n">
        <v>0.0125</v>
      </c>
      <c r="H1530" s="120" t="n">
        <v>0.0125</v>
      </c>
      <c r="I1530" s="95" t="n">
        <v>2.5</v>
      </c>
      <c r="J1530" s="95" t="n">
        <v>61.5</v>
      </c>
      <c r="K1530" s="95" t="n">
        <v>0.93</v>
      </c>
      <c r="L1530" s="85" t="n">
        <v>1</v>
      </c>
    </row>
    <row r="1531">
      <c r="A1531" s="84" t="inlineStr">
        <is>
          <t>RATP</t>
        </is>
      </c>
      <c r="B1531" s="7" t="inlineStr">
        <is>
          <t>actif</t>
        </is>
      </c>
      <c r="C1531" s="88" t="n">
        <v>2000</v>
      </c>
      <c r="D1531" s="95" t="n">
        <v>59</v>
      </c>
      <c r="E1531" s="95" t="n">
        <v>62</v>
      </c>
      <c r="F1531" s="85" t="n">
        <v>172</v>
      </c>
      <c r="G1531" s="120" t="n">
        <v>0.0125</v>
      </c>
      <c r="H1531" s="120" t="n">
        <v>0.0125</v>
      </c>
      <c r="I1531" s="95" t="n">
        <v>2.5</v>
      </c>
      <c r="J1531" s="95" t="n">
        <v>61.5</v>
      </c>
      <c r="K1531" s="95" t="n">
        <v>0.93</v>
      </c>
      <c r="L1531" s="85" t="n">
        <v>1</v>
      </c>
    </row>
    <row r="1532">
      <c r="A1532" s="84" t="inlineStr">
        <is>
          <t>RATP</t>
        </is>
      </c>
      <c r="B1532" s="7" t="inlineStr">
        <is>
          <t>actif</t>
        </is>
      </c>
      <c r="C1532" s="88" t="n">
        <v>2001</v>
      </c>
      <c r="D1532" s="95" t="n">
        <v>59</v>
      </c>
      <c r="E1532" s="95" t="n">
        <v>62</v>
      </c>
      <c r="F1532" s="85" t="n">
        <v>172</v>
      </c>
      <c r="G1532" s="120" t="n">
        <v>0.0125</v>
      </c>
      <c r="H1532" s="120" t="n">
        <v>0.0125</v>
      </c>
      <c r="I1532" s="95" t="n">
        <v>2.5</v>
      </c>
      <c r="J1532" s="95" t="n">
        <v>61.5</v>
      </c>
      <c r="K1532" s="95" t="n">
        <v>0.93</v>
      </c>
      <c r="L1532" s="85" t="n">
        <v>1</v>
      </c>
    </row>
    <row r="1533">
      <c r="A1533" s="84" t="inlineStr">
        <is>
          <t>RATP</t>
        </is>
      </c>
      <c r="B1533" s="7" t="inlineStr">
        <is>
          <t>actif</t>
        </is>
      </c>
      <c r="C1533" s="88" t="n">
        <v>2002</v>
      </c>
      <c r="D1533" s="95" t="n">
        <v>59</v>
      </c>
      <c r="E1533" s="95" t="n">
        <v>62</v>
      </c>
      <c r="F1533" s="85" t="n">
        <v>172</v>
      </c>
      <c r="G1533" s="120" t="n">
        <v>0.0125</v>
      </c>
      <c r="H1533" s="120" t="n">
        <v>0.0125</v>
      </c>
      <c r="I1533" s="95" t="n">
        <v>2.5</v>
      </c>
      <c r="J1533" s="95" t="n">
        <v>61.5</v>
      </c>
      <c r="K1533" s="95" t="n">
        <v>0.93</v>
      </c>
      <c r="L1533" s="85" t="n">
        <v>1</v>
      </c>
    </row>
    <row r="1534">
      <c r="A1534" s="84" t="inlineStr">
        <is>
          <t>RATP</t>
        </is>
      </c>
      <c r="B1534" s="7" t="inlineStr">
        <is>
          <t>actif</t>
        </is>
      </c>
      <c r="C1534" s="88" t="n">
        <v>2003</v>
      </c>
      <c r="D1534" s="95" t="n">
        <v>59</v>
      </c>
      <c r="E1534" s="95" t="n">
        <v>62</v>
      </c>
      <c r="F1534" s="85" t="n">
        <v>172</v>
      </c>
      <c r="G1534" s="120" t="n">
        <v>0.0125</v>
      </c>
      <c r="H1534" s="120" t="n">
        <v>0.0125</v>
      </c>
      <c r="I1534" s="95" t="n">
        <v>2.5</v>
      </c>
      <c r="J1534" s="95" t="n">
        <v>61.5</v>
      </c>
      <c r="K1534" s="95" t="n">
        <v>0.93</v>
      </c>
      <c r="L1534" s="85" t="n">
        <v>1</v>
      </c>
    </row>
    <row r="1535">
      <c r="A1535" s="84" t="inlineStr">
        <is>
          <t>RATP</t>
        </is>
      </c>
      <c r="B1535" s="7" t="inlineStr">
        <is>
          <t>actif</t>
        </is>
      </c>
      <c r="C1535" s="88" t="n">
        <v>2004</v>
      </c>
      <c r="D1535" s="95" t="n">
        <v>59</v>
      </c>
      <c r="E1535" s="95" t="n">
        <v>62</v>
      </c>
      <c r="F1535" s="85" t="n">
        <v>172</v>
      </c>
      <c r="G1535" s="120" t="n">
        <v>0.0125</v>
      </c>
      <c r="H1535" s="120" t="n">
        <v>0.0125</v>
      </c>
      <c r="I1535" s="95" t="n">
        <v>2.5</v>
      </c>
      <c r="J1535" s="95" t="n">
        <v>61.5</v>
      </c>
      <c r="K1535" s="95" t="n">
        <v>0.93</v>
      </c>
      <c r="L1535" s="85" t="n">
        <v>1</v>
      </c>
    </row>
    <row r="1536">
      <c r="A1536" s="84" t="inlineStr">
        <is>
          <t>RATP</t>
        </is>
      </c>
      <c r="B1536" s="7" t="inlineStr">
        <is>
          <t>actif</t>
        </is>
      </c>
      <c r="C1536" s="88" t="n">
        <v>2005</v>
      </c>
      <c r="D1536" s="95" t="n">
        <v>59</v>
      </c>
      <c r="E1536" s="95" t="n">
        <v>62</v>
      </c>
      <c r="F1536" s="85" t="n">
        <v>172</v>
      </c>
      <c r="G1536" s="120" t="n">
        <v>0.0125</v>
      </c>
      <c r="H1536" s="120" t="n">
        <v>0.0125</v>
      </c>
      <c r="I1536" s="95" t="n">
        <v>2.5</v>
      </c>
      <c r="J1536" s="95" t="n">
        <v>61.5</v>
      </c>
      <c r="K1536" s="95" t="n">
        <v>0.93</v>
      </c>
      <c r="L1536" s="85" t="n">
        <v>1</v>
      </c>
    </row>
    <row r="1537">
      <c r="A1537" s="84" t="inlineStr">
        <is>
          <t>RATP</t>
        </is>
      </c>
      <c r="B1537" s="7" t="inlineStr">
        <is>
          <t>actif</t>
        </is>
      </c>
      <c r="C1537" s="88" t="n">
        <v>2006</v>
      </c>
      <c r="D1537" s="95" t="n">
        <v>59</v>
      </c>
      <c r="E1537" s="95" t="n">
        <v>62</v>
      </c>
      <c r="F1537" s="85" t="n">
        <v>172</v>
      </c>
      <c r="G1537" s="120" t="n">
        <v>0.0125</v>
      </c>
      <c r="H1537" s="120" t="n">
        <v>0.0125</v>
      </c>
      <c r="I1537" s="95" t="n">
        <v>2.5</v>
      </c>
      <c r="J1537" s="95" t="n">
        <v>61.5</v>
      </c>
      <c r="K1537" s="95" t="n">
        <v>0.93</v>
      </c>
      <c r="L1537" s="85" t="n">
        <v>1</v>
      </c>
    </row>
    <row r="1538">
      <c r="A1538" s="84" t="inlineStr">
        <is>
          <t>RATP</t>
        </is>
      </c>
      <c r="B1538" s="7" t="inlineStr">
        <is>
          <t>actif</t>
        </is>
      </c>
      <c r="C1538" s="88" t="n">
        <v>2007</v>
      </c>
      <c r="D1538" s="95" t="n">
        <v>59</v>
      </c>
      <c r="E1538" s="95" t="n">
        <v>62</v>
      </c>
      <c r="F1538" s="85" t="n">
        <v>172</v>
      </c>
      <c r="G1538" s="120" t="n">
        <v>0.0125</v>
      </c>
      <c r="H1538" s="120" t="n">
        <v>0.0125</v>
      </c>
      <c r="I1538" s="95" t="n">
        <v>2.5</v>
      </c>
      <c r="J1538" s="95" t="n">
        <v>61.5</v>
      </c>
      <c r="K1538" s="95" t="n">
        <v>0.93</v>
      </c>
      <c r="L1538" s="85" t="n">
        <v>1</v>
      </c>
    </row>
    <row r="1539">
      <c r="A1539" s="84" t="inlineStr">
        <is>
          <t>RATP</t>
        </is>
      </c>
      <c r="B1539" s="7" t="inlineStr">
        <is>
          <t>actif</t>
        </is>
      </c>
      <c r="C1539" s="88" t="n">
        <v>2008</v>
      </c>
      <c r="D1539" s="95" t="n">
        <v>59</v>
      </c>
      <c r="E1539" s="95" t="n">
        <v>62</v>
      </c>
      <c r="F1539" s="85" t="n">
        <v>172</v>
      </c>
      <c r="G1539" s="120" t="n">
        <v>0.0125</v>
      </c>
      <c r="H1539" s="120" t="n">
        <v>0.0125</v>
      </c>
      <c r="I1539" s="95" t="n">
        <v>2.5</v>
      </c>
      <c r="J1539" s="95" t="n">
        <v>61.5</v>
      </c>
      <c r="K1539" s="95" t="n">
        <v>0.93</v>
      </c>
      <c r="L1539" s="85" t="n">
        <v>1</v>
      </c>
    </row>
    <row r="1540">
      <c r="A1540" s="84" t="inlineStr">
        <is>
          <t>RATP</t>
        </is>
      </c>
      <c r="B1540" s="7" t="inlineStr">
        <is>
          <t>actif</t>
        </is>
      </c>
      <c r="C1540" s="88" t="n">
        <v>2009</v>
      </c>
      <c r="D1540" s="95" t="n">
        <v>59</v>
      </c>
      <c r="E1540" s="95" t="n">
        <v>62</v>
      </c>
      <c r="F1540" s="85" t="n">
        <v>172</v>
      </c>
      <c r="G1540" s="120" t="n">
        <v>0.0125</v>
      </c>
      <c r="H1540" s="120" t="n">
        <v>0.0125</v>
      </c>
      <c r="I1540" s="95" t="n">
        <v>2.5</v>
      </c>
      <c r="J1540" s="95" t="n">
        <v>61.5</v>
      </c>
      <c r="K1540" s="95" t="n">
        <v>0.93</v>
      </c>
      <c r="L1540" s="85" t="n">
        <v>1</v>
      </c>
    </row>
    <row r="1541">
      <c r="A1541" s="84" t="inlineStr">
        <is>
          <t>RATP</t>
        </is>
      </c>
      <c r="B1541" s="7" t="inlineStr">
        <is>
          <t>actif</t>
        </is>
      </c>
      <c r="C1541" s="88" t="n">
        <v>2010</v>
      </c>
      <c r="D1541" s="95" t="n">
        <v>59</v>
      </c>
      <c r="E1541" s="95" t="n">
        <v>62</v>
      </c>
      <c r="F1541" s="85" t="n">
        <v>172</v>
      </c>
      <c r="G1541" s="120" t="n">
        <v>0.0125</v>
      </c>
      <c r="H1541" s="120" t="n">
        <v>0.0125</v>
      </c>
      <c r="I1541" s="95" t="n">
        <v>2.5</v>
      </c>
      <c r="J1541" s="95" t="n">
        <v>61.5</v>
      </c>
      <c r="K1541" s="95" t="n">
        <v>0.93</v>
      </c>
      <c r="L1541" s="85" t="n">
        <v>1</v>
      </c>
    </row>
    <row r="1542">
      <c r="A1542" s="84" t="inlineStr">
        <is>
          <t>RATP</t>
        </is>
      </c>
      <c r="B1542" s="7" t="inlineStr">
        <is>
          <t>actif</t>
        </is>
      </c>
      <c r="C1542" s="88" t="n">
        <v>2011</v>
      </c>
      <c r="D1542" s="95" t="n">
        <v>59</v>
      </c>
      <c r="E1542" s="95" t="n">
        <v>62</v>
      </c>
      <c r="F1542" s="85" t="n">
        <v>172</v>
      </c>
      <c r="G1542" s="120" t="n">
        <v>0.0125</v>
      </c>
      <c r="H1542" s="120" t="n">
        <v>0.0125</v>
      </c>
      <c r="I1542" s="95" t="n">
        <v>2.5</v>
      </c>
      <c r="J1542" s="95" t="n">
        <v>61.5</v>
      </c>
      <c r="K1542" s="95" t="n">
        <v>0.93</v>
      </c>
      <c r="L1542" s="85" t="n">
        <v>1</v>
      </c>
    </row>
    <row r="1543">
      <c r="A1543" s="84" t="inlineStr">
        <is>
          <t>RATP</t>
        </is>
      </c>
      <c r="B1543" s="7" t="inlineStr">
        <is>
          <t>actif</t>
        </is>
      </c>
      <c r="C1543" s="88" t="n">
        <v>2012</v>
      </c>
      <c r="D1543" s="95" t="n">
        <v>59</v>
      </c>
      <c r="E1543" s="95" t="n">
        <v>62</v>
      </c>
      <c r="F1543" s="85" t="n">
        <v>172</v>
      </c>
      <c r="G1543" s="120" t="n">
        <v>0.0125</v>
      </c>
      <c r="H1543" s="120" t="n">
        <v>0.0125</v>
      </c>
      <c r="I1543" s="95" t="n">
        <v>2.5</v>
      </c>
      <c r="J1543" s="95" t="n">
        <v>61.5</v>
      </c>
      <c r="K1543" s="95" t="n">
        <v>0.93</v>
      </c>
      <c r="L1543" s="85" t="n">
        <v>1</v>
      </c>
    </row>
    <row r="1544">
      <c r="A1544" s="84" t="inlineStr">
        <is>
          <t>RATP</t>
        </is>
      </c>
      <c r="B1544" s="7" t="inlineStr">
        <is>
          <t>actif</t>
        </is>
      </c>
      <c r="C1544" s="88" t="n">
        <v>2013</v>
      </c>
      <c r="D1544" s="95" t="n">
        <v>59</v>
      </c>
      <c r="E1544" s="95" t="n">
        <v>62</v>
      </c>
      <c r="F1544" s="85" t="n">
        <v>172</v>
      </c>
      <c r="G1544" s="120" t="n">
        <v>0.0125</v>
      </c>
      <c r="H1544" s="120" t="n">
        <v>0.0125</v>
      </c>
      <c r="I1544" s="95" t="n">
        <v>2.5</v>
      </c>
      <c r="J1544" s="95" t="n">
        <v>61.5</v>
      </c>
      <c r="K1544" s="95" t="n">
        <v>0.93</v>
      </c>
      <c r="L1544" s="85" t="n">
        <v>1</v>
      </c>
    </row>
    <row r="1545">
      <c r="A1545" s="84" t="inlineStr">
        <is>
          <t>RATP</t>
        </is>
      </c>
      <c r="B1545" s="7" t="inlineStr">
        <is>
          <t>actif</t>
        </is>
      </c>
      <c r="C1545" s="88" t="n">
        <v>2014</v>
      </c>
      <c r="D1545" s="95" t="n">
        <v>59</v>
      </c>
      <c r="E1545" s="95" t="n">
        <v>62</v>
      </c>
      <c r="F1545" s="85" t="n">
        <v>172</v>
      </c>
      <c r="G1545" s="120" t="n">
        <v>0.0125</v>
      </c>
      <c r="H1545" s="120" t="n">
        <v>0.0125</v>
      </c>
      <c r="I1545" s="95" t="n">
        <v>2.5</v>
      </c>
      <c r="J1545" s="95" t="n">
        <v>61.5</v>
      </c>
      <c r="K1545" s="95" t="n">
        <v>0.93</v>
      </c>
      <c r="L1545" s="85" t="n">
        <v>1</v>
      </c>
    </row>
    <row r="1546">
      <c r="A1546" s="84" t="inlineStr">
        <is>
          <t>RATP</t>
        </is>
      </c>
      <c r="B1546" s="7" t="inlineStr">
        <is>
          <t>actif</t>
        </is>
      </c>
      <c r="C1546" s="88" t="n">
        <v>2015</v>
      </c>
      <c r="D1546" s="95" t="n">
        <v>59</v>
      </c>
      <c r="E1546" s="95" t="n">
        <v>62</v>
      </c>
      <c r="F1546" s="85" t="n">
        <v>172</v>
      </c>
      <c r="G1546" s="120" t="n">
        <v>0.0125</v>
      </c>
      <c r="H1546" s="120" t="n">
        <v>0.0125</v>
      </c>
      <c r="I1546" s="95" t="n">
        <v>2.5</v>
      </c>
      <c r="J1546" s="95" t="n">
        <v>61.5</v>
      </c>
      <c r="K1546" s="95" t="n">
        <v>0.93</v>
      </c>
      <c r="L1546" s="85" t="n">
        <v>1</v>
      </c>
    </row>
    <row r="1547">
      <c r="A1547" s="84" t="inlineStr">
        <is>
          <t>RATP</t>
        </is>
      </c>
      <c r="B1547" s="7" t="inlineStr">
        <is>
          <t>actif</t>
        </is>
      </c>
      <c r="C1547" s="88" t="n">
        <v>2016</v>
      </c>
      <c r="D1547" s="95" t="n">
        <v>59</v>
      </c>
      <c r="E1547" s="95" t="n">
        <v>62</v>
      </c>
      <c r="F1547" s="85" t="n">
        <v>172</v>
      </c>
      <c r="G1547" s="120" t="n">
        <v>0.0125</v>
      </c>
      <c r="H1547" s="120" t="n">
        <v>0.0125</v>
      </c>
      <c r="I1547" s="95" t="n">
        <v>2.5</v>
      </c>
      <c r="J1547" s="95" t="n">
        <v>61.5</v>
      </c>
      <c r="K1547" s="95" t="n">
        <v>0.93</v>
      </c>
      <c r="L1547" s="85" t="n">
        <v>1</v>
      </c>
    </row>
    <row r="1548">
      <c r="A1548" s="84" t="inlineStr">
        <is>
          <t>RATP</t>
        </is>
      </c>
      <c r="B1548" s="7" t="inlineStr">
        <is>
          <t>actif</t>
        </is>
      </c>
      <c r="C1548" s="88" t="n">
        <v>2017</v>
      </c>
      <c r="D1548" s="95" t="n">
        <v>59</v>
      </c>
      <c r="E1548" s="95" t="n">
        <v>62</v>
      </c>
      <c r="F1548" s="85" t="n">
        <v>172</v>
      </c>
      <c r="G1548" s="120" t="n">
        <v>0.0125</v>
      </c>
      <c r="H1548" s="120" t="n">
        <v>0.0125</v>
      </c>
      <c r="I1548" s="95" t="n">
        <v>2.5</v>
      </c>
      <c r="J1548" s="95" t="n">
        <v>61.5</v>
      </c>
      <c r="K1548" s="95" t="n">
        <v>0.93</v>
      </c>
      <c r="L1548" s="85" t="n">
        <v>1</v>
      </c>
    </row>
    <row r="1549">
      <c r="A1549" s="84" t="inlineStr">
        <is>
          <t>RATP</t>
        </is>
      </c>
      <c r="B1549" s="7" t="inlineStr">
        <is>
          <t>actif</t>
        </is>
      </c>
      <c r="C1549" s="88" t="n">
        <v>2018</v>
      </c>
      <c r="D1549" s="95" t="n">
        <v>59</v>
      </c>
      <c r="E1549" s="95" t="n">
        <v>62</v>
      </c>
      <c r="F1549" s="85" t="n">
        <v>172</v>
      </c>
      <c r="G1549" s="120" t="n">
        <v>0.0125</v>
      </c>
      <c r="H1549" s="120" t="n">
        <v>0.0125</v>
      </c>
      <c r="I1549" s="95" t="n">
        <v>2.5</v>
      </c>
      <c r="J1549" s="95" t="n">
        <v>61.5</v>
      </c>
      <c r="K1549" s="95" t="n">
        <v>0.93</v>
      </c>
      <c r="L1549" s="85" t="n">
        <v>1</v>
      </c>
    </row>
    <row r="1550">
      <c r="A1550" s="84" t="inlineStr">
        <is>
          <t>RATP</t>
        </is>
      </c>
      <c r="B1550" s="7" t="inlineStr">
        <is>
          <t>actif</t>
        </is>
      </c>
      <c r="C1550" s="88" t="n">
        <v>2019</v>
      </c>
      <c r="D1550" s="95" t="n">
        <v>59</v>
      </c>
      <c r="E1550" s="95" t="n">
        <v>62</v>
      </c>
      <c r="F1550" s="85" t="n">
        <v>172</v>
      </c>
      <c r="G1550" s="120" t="n">
        <v>0.0125</v>
      </c>
      <c r="H1550" s="120" t="n">
        <v>0.0125</v>
      </c>
      <c r="I1550" s="95" t="n">
        <v>2.5</v>
      </c>
      <c r="J1550" s="95" t="n">
        <v>61.5</v>
      </c>
      <c r="K1550" s="95" t="n">
        <v>0.93</v>
      </c>
      <c r="L1550" s="85" t="n">
        <v>1</v>
      </c>
    </row>
    <row r="1551">
      <c r="A1551" s="84" t="inlineStr">
        <is>
          <t>RATP</t>
        </is>
      </c>
      <c r="B1551" s="7" t="inlineStr">
        <is>
          <t>actif</t>
        </is>
      </c>
      <c r="C1551" s="88" t="n">
        <v>2020</v>
      </c>
      <c r="D1551" s="95" t="n">
        <v>59</v>
      </c>
      <c r="E1551" s="95" t="n">
        <v>62</v>
      </c>
      <c r="F1551" s="85" t="n">
        <v>172</v>
      </c>
      <c r="G1551" s="120" t="n">
        <v>0.0125</v>
      </c>
      <c r="H1551" s="120" t="n">
        <v>0.0125</v>
      </c>
      <c r="I1551" s="95" t="n">
        <v>2.5</v>
      </c>
      <c r="J1551" s="95" t="n">
        <v>61.5</v>
      </c>
      <c r="K1551" s="95" t="n">
        <v>0.93</v>
      </c>
      <c r="L1551" s="85" t="n">
        <v>1</v>
      </c>
    </row>
    <row r="1552">
      <c r="A1552" s="84" t="inlineStr">
        <is>
          <t>RATP</t>
        </is>
      </c>
      <c r="B1552" s="7" t="inlineStr">
        <is>
          <t>actif</t>
        </is>
      </c>
      <c r="C1552" s="88" t="n">
        <v>2021</v>
      </c>
      <c r="D1552" s="95" t="n">
        <v>59</v>
      </c>
      <c r="E1552" s="95" t="n">
        <v>62</v>
      </c>
      <c r="F1552" s="85" t="n">
        <v>172</v>
      </c>
      <c r="G1552" s="120" t="n">
        <v>0.0125</v>
      </c>
      <c r="H1552" s="120" t="n">
        <v>0.0125</v>
      </c>
      <c r="I1552" s="95" t="n">
        <v>2.5</v>
      </c>
      <c r="J1552" s="95" t="n">
        <v>61.5</v>
      </c>
      <c r="K1552" s="95" t="n">
        <v>0.93</v>
      </c>
      <c r="L1552" s="85" t="n">
        <v>1</v>
      </c>
    </row>
    <row r="1553">
      <c r="A1553" s="84" t="inlineStr">
        <is>
          <t>RATP</t>
        </is>
      </c>
      <c r="B1553" s="7" t="inlineStr">
        <is>
          <t>actif</t>
        </is>
      </c>
      <c r="C1553" s="88" t="n">
        <v>2022</v>
      </c>
      <c r="D1553" s="95" t="n">
        <v>59</v>
      </c>
      <c r="E1553" s="95" t="n">
        <v>62</v>
      </c>
      <c r="F1553" s="85" t="n">
        <v>172</v>
      </c>
      <c r="G1553" s="120" t="n">
        <v>0.0125</v>
      </c>
      <c r="H1553" s="120" t="n">
        <v>0.0125</v>
      </c>
      <c r="I1553" s="95" t="n">
        <v>2.5</v>
      </c>
      <c r="J1553" s="95" t="n">
        <v>61.5</v>
      </c>
      <c r="K1553" s="95" t="n">
        <v>0.93</v>
      </c>
      <c r="L1553" s="85" t="n">
        <v>1</v>
      </c>
    </row>
    <row r="1554">
      <c r="A1554" s="84" t="inlineStr">
        <is>
          <t>RATP</t>
        </is>
      </c>
      <c r="B1554" s="7" t="inlineStr">
        <is>
          <t>actif</t>
        </is>
      </c>
      <c r="C1554" s="88" t="n">
        <v>2023</v>
      </c>
      <c r="D1554" s="95" t="n">
        <v>59</v>
      </c>
      <c r="E1554" s="95" t="n">
        <v>62</v>
      </c>
      <c r="F1554" s="85" t="n">
        <v>172</v>
      </c>
      <c r="G1554" s="120" t="n">
        <v>0.0125</v>
      </c>
      <c r="H1554" s="120" t="n">
        <v>0.0125</v>
      </c>
      <c r="I1554" s="95" t="n">
        <v>2.5</v>
      </c>
      <c r="J1554" s="95" t="n">
        <v>61.5</v>
      </c>
      <c r="K1554" s="95" t="n">
        <v>0.93</v>
      </c>
      <c r="L1554" s="85" t="n">
        <v>1</v>
      </c>
    </row>
    <row r="1555">
      <c r="A1555" s="84" t="inlineStr">
        <is>
          <t>RATP</t>
        </is>
      </c>
      <c r="B1555" s="7" t="inlineStr">
        <is>
          <t>actif</t>
        </is>
      </c>
      <c r="C1555" s="88" t="n">
        <v>2024</v>
      </c>
      <c r="D1555" s="95" t="n">
        <v>59</v>
      </c>
      <c r="E1555" s="95" t="n">
        <v>62</v>
      </c>
      <c r="F1555" s="85" t="n">
        <v>172</v>
      </c>
      <c r="G1555" s="120" t="n">
        <v>0.0125</v>
      </c>
      <c r="H1555" s="120" t="n">
        <v>0.0125</v>
      </c>
      <c r="I1555" s="95" t="n">
        <v>2.5</v>
      </c>
      <c r="J1555" s="95" t="n">
        <v>61.5</v>
      </c>
      <c r="K1555" s="95" t="n">
        <v>0.93</v>
      </c>
      <c r="L1555" s="85" t="n">
        <v>1</v>
      </c>
    </row>
    <row r="1556">
      <c r="A1556" s="84" t="inlineStr">
        <is>
          <t>RATP</t>
        </is>
      </c>
      <c r="B1556" s="7" t="inlineStr">
        <is>
          <t>actif</t>
        </is>
      </c>
      <c r="C1556" s="88" t="n">
        <v>2025</v>
      </c>
      <c r="D1556" s="95" t="n">
        <v>59</v>
      </c>
      <c r="E1556" s="95" t="n">
        <v>62</v>
      </c>
      <c r="F1556" s="85" t="n">
        <v>172</v>
      </c>
      <c r="G1556" s="120" t="n">
        <v>0.0125</v>
      </c>
      <c r="H1556" s="120" t="n">
        <v>0.0125</v>
      </c>
      <c r="I1556" s="95" t="n">
        <v>2.5</v>
      </c>
      <c r="J1556" s="95" t="n">
        <v>61.5</v>
      </c>
      <c r="K1556" s="95" t="n">
        <v>0.93</v>
      </c>
      <c r="L1556" s="85" t="n">
        <v>1</v>
      </c>
    </row>
    <row r="1557">
      <c r="A1557" s="84" t="inlineStr">
        <is>
          <t>RATP</t>
        </is>
      </c>
      <c r="B1557" s="7" t="inlineStr">
        <is>
          <t>conduite ou super-actif</t>
        </is>
      </c>
      <c r="C1557" s="88" t="n">
        <v>1915</v>
      </c>
      <c r="D1557" s="95" t="n">
        <v>50</v>
      </c>
      <c r="E1557" s="95" t="n">
        <v>50</v>
      </c>
      <c r="F1557" s="85" t="n">
        <v>150</v>
      </c>
      <c r="G1557" s="120" t="n">
        <v>0</v>
      </c>
      <c r="H1557" s="120" t="n">
        <v>0</v>
      </c>
      <c r="I1557" s="95" t="n">
        <v>0.5</v>
      </c>
      <c r="J1557" s="95" t="n">
        <v>50.5</v>
      </c>
      <c r="K1557" s="95" t="n">
        <v>0.87</v>
      </c>
      <c r="L1557" s="85" t="n">
        <v>1</v>
      </c>
    </row>
    <row r="1558">
      <c r="A1558" s="84" t="inlineStr">
        <is>
          <t>RATP</t>
        </is>
      </c>
      <c r="B1558" s="7" t="inlineStr">
        <is>
          <t>conduite ou super-actif</t>
        </is>
      </c>
      <c r="C1558" s="88" t="n">
        <v>1916</v>
      </c>
      <c r="D1558" s="95" t="n">
        <v>50</v>
      </c>
      <c r="E1558" s="95" t="n">
        <v>50</v>
      </c>
      <c r="F1558" s="85" t="n">
        <v>150</v>
      </c>
      <c r="G1558" s="120" t="n">
        <v>0</v>
      </c>
      <c r="H1558" s="120" t="n">
        <v>0</v>
      </c>
      <c r="I1558" s="95" t="n">
        <v>0.5</v>
      </c>
      <c r="J1558" s="95" t="n">
        <v>50.5</v>
      </c>
      <c r="K1558" s="95" t="n">
        <v>0.87</v>
      </c>
      <c r="L1558" s="85" t="n">
        <v>1</v>
      </c>
    </row>
    <row r="1559">
      <c r="A1559" s="84" t="inlineStr">
        <is>
          <t>RATP</t>
        </is>
      </c>
      <c r="B1559" s="7" t="inlineStr">
        <is>
          <t>conduite ou super-actif</t>
        </is>
      </c>
      <c r="C1559" s="88" t="n">
        <v>1917</v>
      </c>
      <c r="D1559" s="95" t="n">
        <v>50</v>
      </c>
      <c r="E1559" s="95" t="n">
        <v>50</v>
      </c>
      <c r="F1559" s="85" t="n">
        <v>150</v>
      </c>
      <c r="G1559" s="120" t="n">
        <v>0</v>
      </c>
      <c r="H1559" s="120" t="n">
        <v>0</v>
      </c>
      <c r="I1559" s="95" t="n">
        <v>0.5</v>
      </c>
      <c r="J1559" s="95" t="n">
        <v>50.5</v>
      </c>
      <c r="K1559" s="95" t="n">
        <v>0.87</v>
      </c>
      <c r="L1559" s="85" t="n">
        <v>1</v>
      </c>
    </row>
    <row r="1560">
      <c r="A1560" s="84" t="inlineStr">
        <is>
          <t>RATP</t>
        </is>
      </c>
      <c r="B1560" s="7" t="inlineStr">
        <is>
          <t>conduite ou super-actif</t>
        </is>
      </c>
      <c r="C1560" s="88" t="n">
        <v>1918</v>
      </c>
      <c r="D1560" s="95" t="n">
        <v>50</v>
      </c>
      <c r="E1560" s="95" t="n">
        <v>50</v>
      </c>
      <c r="F1560" s="85" t="n">
        <v>150</v>
      </c>
      <c r="G1560" s="120" t="n">
        <v>0</v>
      </c>
      <c r="H1560" s="120" t="n">
        <v>0</v>
      </c>
      <c r="I1560" s="95" t="n">
        <v>0.5</v>
      </c>
      <c r="J1560" s="95" t="n">
        <v>50.5</v>
      </c>
      <c r="K1560" s="95" t="n">
        <v>0.87</v>
      </c>
      <c r="L1560" s="85" t="n">
        <v>1</v>
      </c>
    </row>
    <row r="1561">
      <c r="A1561" s="84" t="inlineStr">
        <is>
          <t>RATP</t>
        </is>
      </c>
      <c r="B1561" s="7" t="inlineStr">
        <is>
          <t>conduite ou super-actif</t>
        </is>
      </c>
      <c r="C1561" s="88" t="n">
        <v>1919</v>
      </c>
      <c r="D1561" s="95" t="n">
        <v>50</v>
      </c>
      <c r="E1561" s="95" t="n">
        <v>50</v>
      </c>
      <c r="F1561" s="85" t="n">
        <v>150</v>
      </c>
      <c r="G1561" s="120" t="n">
        <v>0</v>
      </c>
      <c r="H1561" s="120" t="n">
        <v>0</v>
      </c>
      <c r="I1561" s="95" t="n">
        <v>0.5</v>
      </c>
      <c r="J1561" s="95" t="n">
        <v>50.5</v>
      </c>
      <c r="K1561" s="95" t="n">
        <v>0.87</v>
      </c>
      <c r="L1561" s="85" t="n">
        <v>1</v>
      </c>
    </row>
    <row r="1562">
      <c r="A1562" s="84" t="inlineStr">
        <is>
          <t>RATP</t>
        </is>
      </c>
      <c r="B1562" s="7" t="inlineStr">
        <is>
          <t>conduite ou super-actif</t>
        </is>
      </c>
      <c r="C1562" s="88" t="n">
        <v>1920</v>
      </c>
      <c r="D1562" s="95" t="n">
        <v>50</v>
      </c>
      <c r="E1562" s="95" t="n">
        <v>50</v>
      </c>
      <c r="F1562" s="85" t="n">
        <v>150</v>
      </c>
      <c r="G1562" s="120" t="n">
        <v>0</v>
      </c>
      <c r="H1562" s="120" t="n">
        <v>0</v>
      </c>
      <c r="I1562" s="95" t="n">
        <v>0.5</v>
      </c>
      <c r="J1562" s="95" t="n">
        <v>50.5</v>
      </c>
      <c r="K1562" s="95" t="n">
        <v>0.87</v>
      </c>
      <c r="L1562" s="85" t="n">
        <v>1</v>
      </c>
    </row>
    <row r="1563">
      <c r="A1563" s="84" t="inlineStr">
        <is>
          <t>RATP</t>
        </is>
      </c>
      <c r="B1563" s="7" t="inlineStr">
        <is>
          <t>conduite ou super-actif</t>
        </is>
      </c>
      <c r="C1563" s="88" t="n">
        <v>1921</v>
      </c>
      <c r="D1563" s="95" t="n">
        <v>50</v>
      </c>
      <c r="E1563" s="95" t="n">
        <v>50</v>
      </c>
      <c r="F1563" s="85" t="n">
        <v>150</v>
      </c>
      <c r="G1563" s="120" t="n">
        <v>0</v>
      </c>
      <c r="H1563" s="120" t="n">
        <v>0</v>
      </c>
      <c r="I1563" s="95" t="n">
        <v>0.5</v>
      </c>
      <c r="J1563" s="95" t="n">
        <v>50.5</v>
      </c>
      <c r="K1563" s="95" t="n">
        <v>0.87</v>
      </c>
      <c r="L1563" s="85" t="n">
        <v>1</v>
      </c>
    </row>
    <row r="1564">
      <c r="A1564" s="84" t="inlineStr">
        <is>
          <t>RATP</t>
        </is>
      </c>
      <c r="B1564" s="7" t="inlineStr">
        <is>
          <t>conduite ou super-actif</t>
        </is>
      </c>
      <c r="C1564" s="88" t="n">
        <v>1922</v>
      </c>
      <c r="D1564" s="95" t="n">
        <v>50</v>
      </c>
      <c r="E1564" s="95" t="n">
        <v>50</v>
      </c>
      <c r="F1564" s="85" t="n">
        <v>150</v>
      </c>
      <c r="G1564" s="120" t="n">
        <v>0</v>
      </c>
      <c r="H1564" s="120" t="n">
        <v>0</v>
      </c>
      <c r="I1564" s="95" t="n">
        <v>0.5</v>
      </c>
      <c r="J1564" s="95" t="n">
        <v>50.5</v>
      </c>
      <c r="K1564" s="95" t="n">
        <v>0.87</v>
      </c>
      <c r="L1564" s="85" t="n">
        <v>1</v>
      </c>
    </row>
    <row r="1565">
      <c r="A1565" s="84" t="inlineStr">
        <is>
          <t>RATP</t>
        </is>
      </c>
      <c r="B1565" s="7" t="inlineStr">
        <is>
          <t>conduite ou super-actif</t>
        </is>
      </c>
      <c r="C1565" s="88" t="n">
        <v>1923</v>
      </c>
      <c r="D1565" s="95" t="n">
        <v>50</v>
      </c>
      <c r="E1565" s="95" t="n">
        <v>50</v>
      </c>
      <c r="F1565" s="85" t="n">
        <v>150</v>
      </c>
      <c r="G1565" s="120" t="n">
        <v>0</v>
      </c>
      <c r="H1565" s="120" t="n">
        <v>0</v>
      </c>
      <c r="I1565" s="95" t="n">
        <v>0.5</v>
      </c>
      <c r="J1565" s="95" t="n">
        <v>50.5</v>
      </c>
      <c r="K1565" s="95" t="n">
        <v>0.87</v>
      </c>
      <c r="L1565" s="85" t="n">
        <v>1</v>
      </c>
    </row>
    <row r="1566">
      <c r="A1566" s="84" t="inlineStr">
        <is>
          <t>RATP</t>
        </is>
      </c>
      <c r="B1566" s="7" t="inlineStr">
        <is>
          <t>conduite ou super-actif</t>
        </is>
      </c>
      <c r="C1566" s="88" t="n">
        <v>1924</v>
      </c>
      <c r="D1566" s="95" t="n">
        <v>50</v>
      </c>
      <c r="E1566" s="95" t="n">
        <v>50</v>
      </c>
      <c r="F1566" s="85" t="n">
        <v>150</v>
      </c>
      <c r="G1566" s="120" t="n">
        <v>0</v>
      </c>
      <c r="H1566" s="120" t="n">
        <v>0</v>
      </c>
      <c r="I1566" s="95" t="n">
        <v>0.5</v>
      </c>
      <c r="J1566" s="95" t="n">
        <v>50.5</v>
      </c>
      <c r="K1566" s="95" t="n">
        <v>0.87</v>
      </c>
      <c r="L1566" s="85" t="n">
        <v>1</v>
      </c>
    </row>
    <row r="1567">
      <c r="A1567" s="84" t="inlineStr">
        <is>
          <t>RATP</t>
        </is>
      </c>
      <c r="B1567" s="7" t="inlineStr">
        <is>
          <t>conduite ou super-actif</t>
        </is>
      </c>
      <c r="C1567" s="88" t="n">
        <v>1925</v>
      </c>
      <c r="D1567" s="95" t="n">
        <v>50</v>
      </c>
      <c r="E1567" s="95" t="n">
        <v>50</v>
      </c>
      <c r="F1567" s="85" t="n">
        <v>150</v>
      </c>
      <c r="G1567" s="120" t="n">
        <v>0</v>
      </c>
      <c r="H1567" s="120" t="n">
        <v>0</v>
      </c>
      <c r="I1567" s="95" t="n">
        <v>0.5</v>
      </c>
      <c r="J1567" s="95" t="n">
        <v>50.5</v>
      </c>
      <c r="K1567" s="95" t="n">
        <v>0.87</v>
      </c>
      <c r="L1567" s="85" t="n">
        <v>1</v>
      </c>
    </row>
    <row r="1568">
      <c r="A1568" s="84" t="inlineStr">
        <is>
          <t>RATP</t>
        </is>
      </c>
      <c r="B1568" s="7" t="inlineStr">
        <is>
          <t>conduite ou super-actif</t>
        </is>
      </c>
      <c r="C1568" s="88" t="n">
        <v>1926</v>
      </c>
      <c r="D1568" s="95" t="n">
        <v>50</v>
      </c>
      <c r="E1568" s="95" t="n">
        <v>50</v>
      </c>
      <c r="F1568" s="85" t="n">
        <v>150</v>
      </c>
      <c r="G1568" s="120" t="n">
        <v>0</v>
      </c>
      <c r="H1568" s="120" t="n">
        <v>0</v>
      </c>
      <c r="I1568" s="95" t="n">
        <v>0.5</v>
      </c>
      <c r="J1568" s="95" t="n">
        <v>50.5</v>
      </c>
      <c r="K1568" s="95" t="n">
        <v>0.87</v>
      </c>
      <c r="L1568" s="85" t="n">
        <v>1</v>
      </c>
    </row>
    <row r="1569">
      <c r="A1569" s="84" t="inlineStr">
        <is>
          <t>RATP</t>
        </is>
      </c>
      <c r="B1569" s="7" t="inlineStr">
        <is>
          <t>conduite ou super-actif</t>
        </is>
      </c>
      <c r="C1569" s="88" t="n">
        <v>1927</v>
      </c>
      <c r="D1569" s="95" t="n">
        <v>50</v>
      </c>
      <c r="E1569" s="95" t="n">
        <v>50</v>
      </c>
      <c r="F1569" s="85" t="n">
        <v>150</v>
      </c>
      <c r="G1569" s="120" t="n">
        <v>0</v>
      </c>
      <c r="H1569" s="120" t="n">
        <v>0</v>
      </c>
      <c r="I1569" s="95" t="n">
        <v>0.5</v>
      </c>
      <c r="J1569" s="95" t="n">
        <v>50.5</v>
      </c>
      <c r="K1569" s="95" t="n">
        <v>0.87</v>
      </c>
      <c r="L1569" s="85" t="n">
        <v>1</v>
      </c>
    </row>
    <row r="1570">
      <c r="A1570" s="84" t="inlineStr">
        <is>
          <t>RATP</t>
        </is>
      </c>
      <c r="B1570" s="7" t="inlineStr">
        <is>
          <t>conduite ou super-actif</t>
        </is>
      </c>
      <c r="C1570" s="88" t="n">
        <v>1928</v>
      </c>
      <c r="D1570" s="95" t="n">
        <v>50</v>
      </c>
      <c r="E1570" s="95" t="n">
        <v>50</v>
      </c>
      <c r="F1570" s="85" t="n">
        <v>150</v>
      </c>
      <c r="G1570" s="120" t="n">
        <v>0</v>
      </c>
      <c r="H1570" s="120" t="n">
        <v>0</v>
      </c>
      <c r="I1570" s="95" t="n">
        <v>0.5</v>
      </c>
      <c r="J1570" s="95" t="n">
        <v>50.5</v>
      </c>
      <c r="K1570" s="95" t="n">
        <v>0.87</v>
      </c>
      <c r="L1570" s="85" t="n">
        <v>1</v>
      </c>
    </row>
    <row r="1571">
      <c r="A1571" s="84" t="inlineStr">
        <is>
          <t>RATP</t>
        </is>
      </c>
      <c r="B1571" s="7" t="inlineStr">
        <is>
          <t>conduite ou super-actif</t>
        </is>
      </c>
      <c r="C1571" s="88" t="n">
        <v>1929</v>
      </c>
      <c r="D1571" s="95" t="n">
        <v>50</v>
      </c>
      <c r="E1571" s="95" t="n">
        <v>50</v>
      </c>
      <c r="F1571" s="85" t="n">
        <v>150</v>
      </c>
      <c r="G1571" s="120" t="n">
        <v>0</v>
      </c>
      <c r="H1571" s="120" t="n">
        <v>0</v>
      </c>
      <c r="I1571" s="95" t="n">
        <v>0.5</v>
      </c>
      <c r="J1571" s="95" t="n">
        <v>50.5</v>
      </c>
      <c r="K1571" s="95" t="n">
        <v>0.87</v>
      </c>
      <c r="L1571" s="85" t="n">
        <v>1</v>
      </c>
    </row>
    <row r="1572">
      <c r="A1572" s="84" t="inlineStr">
        <is>
          <t>RATP</t>
        </is>
      </c>
      <c r="B1572" s="7" t="inlineStr">
        <is>
          <t>conduite ou super-actif</t>
        </is>
      </c>
      <c r="C1572" s="88" t="n">
        <v>1930</v>
      </c>
      <c r="D1572" s="95" t="n">
        <v>50</v>
      </c>
      <c r="E1572" s="95" t="n">
        <v>50</v>
      </c>
      <c r="F1572" s="85" t="n">
        <v>150</v>
      </c>
      <c r="G1572" s="120" t="n">
        <v>0</v>
      </c>
      <c r="H1572" s="120" t="n">
        <v>0</v>
      </c>
      <c r="I1572" s="95" t="n">
        <v>0.5</v>
      </c>
      <c r="J1572" s="95" t="n">
        <v>50.5</v>
      </c>
      <c r="K1572" s="95" t="n">
        <v>0.87</v>
      </c>
      <c r="L1572" s="85" t="n">
        <v>1</v>
      </c>
    </row>
    <row r="1573">
      <c r="A1573" s="84" t="inlineStr">
        <is>
          <t>RATP</t>
        </is>
      </c>
      <c r="B1573" s="7" t="inlineStr">
        <is>
          <t>conduite ou super-actif</t>
        </is>
      </c>
      <c r="C1573" s="88" t="n">
        <v>1931</v>
      </c>
      <c r="D1573" s="95" t="n">
        <v>50</v>
      </c>
      <c r="E1573" s="95" t="n">
        <v>50</v>
      </c>
      <c r="F1573" s="85" t="n">
        <v>150</v>
      </c>
      <c r="G1573" s="120" t="n">
        <v>0</v>
      </c>
      <c r="H1573" s="120" t="n">
        <v>0</v>
      </c>
      <c r="I1573" s="95" t="n">
        <v>0.5</v>
      </c>
      <c r="J1573" s="95" t="n">
        <v>50.5</v>
      </c>
      <c r="K1573" s="95" t="n">
        <v>0.87</v>
      </c>
      <c r="L1573" s="85" t="n">
        <v>1</v>
      </c>
    </row>
    <row r="1574">
      <c r="A1574" s="84" t="inlineStr">
        <is>
          <t>RATP</t>
        </is>
      </c>
      <c r="B1574" s="7" t="inlineStr">
        <is>
          <t>conduite ou super-actif</t>
        </is>
      </c>
      <c r="C1574" s="88" t="n">
        <v>1932</v>
      </c>
      <c r="D1574" s="95" t="n">
        <v>50</v>
      </c>
      <c r="E1574" s="95" t="n">
        <v>50</v>
      </c>
      <c r="F1574" s="85" t="n">
        <v>150</v>
      </c>
      <c r="G1574" s="120" t="n">
        <v>0</v>
      </c>
      <c r="H1574" s="120" t="n">
        <v>0</v>
      </c>
      <c r="I1574" s="95" t="n">
        <v>0.5</v>
      </c>
      <c r="J1574" s="95" t="n">
        <v>50.5</v>
      </c>
      <c r="K1574" s="95" t="n">
        <v>0.87</v>
      </c>
      <c r="L1574" s="85" t="n">
        <v>1</v>
      </c>
    </row>
    <row r="1575">
      <c r="A1575" s="84" t="inlineStr">
        <is>
          <t>RATP</t>
        </is>
      </c>
      <c r="B1575" s="7" t="inlineStr">
        <is>
          <t>conduite ou super-actif</t>
        </is>
      </c>
      <c r="C1575" s="88" t="n">
        <v>1933</v>
      </c>
      <c r="D1575" s="95" t="n">
        <v>50</v>
      </c>
      <c r="E1575" s="95" t="n">
        <v>50</v>
      </c>
      <c r="F1575" s="85" t="n">
        <v>150</v>
      </c>
      <c r="G1575" s="120" t="n">
        <v>0</v>
      </c>
      <c r="H1575" s="120" t="n">
        <v>0</v>
      </c>
      <c r="I1575" s="95" t="n">
        <v>0.5</v>
      </c>
      <c r="J1575" s="95" t="n">
        <v>50.5</v>
      </c>
      <c r="K1575" s="95" t="n">
        <v>0.87</v>
      </c>
      <c r="L1575" s="85" t="n">
        <v>1</v>
      </c>
    </row>
    <row r="1576">
      <c r="A1576" s="84" t="inlineStr">
        <is>
          <t>RATP</t>
        </is>
      </c>
      <c r="B1576" s="7" t="inlineStr">
        <is>
          <t>conduite ou super-actif</t>
        </is>
      </c>
      <c r="C1576" s="88" t="n">
        <v>1934</v>
      </c>
      <c r="D1576" s="95" t="n">
        <v>50</v>
      </c>
      <c r="E1576" s="95" t="n">
        <v>50</v>
      </c>
      <c r="F1576" s="85" t="n">
        <v>150</v>
      </c>
      <c r="G1576" s="120" t="n">
        <v>0</v>
      </c>
      <c r="H1576" s="120" t="n">
        <v>0</v>
      </c>
      <c r="I1576" s="95" t="n">
        <v>0.5</v>
      </c>
      <c r="J1576" s="95" t="n">
        <v>50.5</v>
      </c>
      <c r="K1576" s="95" t="n">
        <v>0.87</v>
      </c>
      <c r="L1576" s="85" t="n">
        <v>1</v>
      </c>
    </row>
    <row r="1577">
      <c r="A1577" s="84" t="inlineStr">
        <is>
          <t>RATP</t>
        </is>
      </c>
      <c r="B1577" s="7" t="inlineStr">
        <is>
          <t>conduite ou super-actif</t>
        </is>
      </c>
      <c r="C1577" s="88" t="n">
        <v>1935</v>
      </c>
      <c r="D1577" s="95" t="n">
        <v>50</v>
      </c>
      <c r="E1577" s="95" t="n">
        <v>50</v>
      </c>
      <c r="F1577" s="85" t="n">
        <v>150</v>
      </c>
      <c r="G1577" s="120" t="n">
        <v>0</v>
      </c>
      <c r="H1577" s="120" t="n">
        <v>0</v>
      </c>
      <c r="I1577" s="95" t="n">
        <v>0.5</v>
      </c>
      <c r="J1577" s="95" t="n">
        <v>50.5</v>
      </c>
      <c r="K1577" s="95" t="n">
        <v>0.87</v>
      </c>
      <c r="L1577" s="85" t="n">
        <v>1</v>
      </c>
    </row>
    <row r="1578">
      <c r="A1578" s="84" t="inlineStr">
        <is>
          <t>RATP</t>
        </is>
      </c>
      <c r="B1578" s="7" t="inlineStr">
        <is>
          <t>conduite ou super-actif</t>
        </is>
      </c>
      <c r="C1578" s="88" t="n">
        <v>1936</v>
      </c>
      <c r="D1578" s="95" t="n">
        <v>50</v>
      </c>
      <c r="E1578" s="95" t="n">
        <v>50</v>
      </c>
      <c r="F1578" s="85" t="n">
        <v>150</v>
      </c>
      <c r="G1578" s="120" t="n">
        <v>0</v>
      </c>
      <c r="H1578" s="120" t="n">
        <v>0</v>
      </c>
      <c r="I1578" s="95" t="n">
        <v>0.5</v>
      </c>
      <c r="J1578" s="95" t="n">
        <v>50.5</v>
      </c>
      <c r="K1578" s="95" t="n">
        <v>0.87</v>
      </c>
      <c r="L1578" s="85" t="n">
        <v>1</v>
      </c>
    </row>
    <row r="1579">
      <c r="A1579" s="84" t="inlineStr">
        <is>
          <t>RATP</t>
        </is>
      </c>
      <c r="B1579" s="7" t="inlineStr">
        <is>
          <t>conduite ou super-actif</t>
        </is>
      </c>
      <c r="C1579" s="88" t="n">
        <v>1937</v>
      </c>
      <c r="D1579" s="95" t="n">
        <v>50</v>
      </c>
      <c r="E1579" s="95" t="n">
        <v>50</v>
      </c>
      <c r="F1579" s="85" t="n">
        <v>150</v>
      </c>
      <c r="G1579" s="120" t="n">
        <v>0</v>
      </c>
      <c r="H1579" s="120" t="n">
        <v>0</v>
      </c>
      <c r="I1579" s="95" t="n">
        <v>0.5</v>
      </c>
      <c r="J1579" s="95" t="n">
        <v>50.5</v>
      </c>
      <c r="K1579" s="95" t="n">
        <v>0.87</v>
      </c>
      <c r="L1579" s="85" t="n">
        <v>1</v>
      </c>
    </row>
    <row r="1580">
      <c r="A1580" s="84" t="inlineStr">
        <is>
          <t>RATP</t>
        </is>
      </c>
      <c r="B1580" s="7" t="inlineStr">
        <is>
          <t>conduite ou super-actif</t>
        </is>
      </c>
      <c r="C1580" s="88" t="n">
        <v>1938</v>
      </c>
      <c r="D1580" s="95" t="n">
        <v>50</v>
      </c>
      <c r="E1580" s="95" t="n">
        <v>50</v>
      </c>
      <c r="F1580" s="85" t="n">
        <v>150</v>
      </c>
      <c r="G1580" s="120" t="n">
        <v>0</v>
      </c>
      <c r="H1580" s="120" t="n">
        <v>0</v>
      </c>
      <c r="I1580" s="95" t="n">
        <v>0.5</v>
      </c>
      <c r="J1580" s="95" t="n">
        <v>50.5</v>
      </c>
      <c r="K1580" s="95" t="n">
        <v>0.87</v>
      </c>
      <c r="L1580" s="85" t="n">
        <v>1</v>
      </c>
    </row>
    <row r="1581">
      <c r="A1581" s="84" t="inlineStr">
        <is>
          <t>RATP</t>
        </is>
      </c>
      <c r="B1581" s="7" t="inlineStr">
        <is>
          <t>conduite ou super-actif</t>
        </is>
      </c>
      <c r="C1581" s="88" t="n">
        <v>1939</v>
      </c>
      <c r="D1581" s="95" t="n">
        <v>50</v>
      </c>
      <c r="E1581" s="95" t="n">
        <v>50</v>
      </c>
      <c r="F1581" s="85" t="n">
        <v>150</v>
      </c>
      <c r="G1581" s="120" t="n">
        <v>0</v>
      </c>
      <c r="H1581" s="120" t="n">
        <v>0</v>
      </c>
      <c r="I1581" s="95" t="n">
        <v>0.5</v>
      </c>
      <c r="J1581" s="95" t="n">
        <v>50.5</v>
      </c>
      <c r="K1581" s="95" t="n">
        <v>0.87</v>
      </c>
      <c r="L1581" s="85" t="n">
        <v>1</v>
      </c>
    </row>
    <row r="1582">
      <c r="A1582" s="84" t="inlineStr">
        <is>
          <t>RATP</t>
        </is>
      </c>
      <c r="B1582" s="7" t="inlineStr">
        <is>
          <t>conduite ou super-actif</t>
        </is>
      </c>
      <c r="C1582" s="88" t="n">
        <v>1940</v>
      </c>
      <c r="D1582" s="95" t="n">
        <v>50</v>
      </c>
      <c r="E1582" s="95" t="n">
        <v>50</v>
      </c>
      <c r="F1582" s="85" t="n">
        <v>150</v>
      </c>
      <c r="G1582" s="120" t="n">
        <v>0</v>
      </c>
      <c r="H1582" s="120" t="n">
        <v>0</v>
      </c>
      <c r="I1582" s="95" t="n">
        <v>0.5</v>
      </c>
      <c r="J1582" s="95" t="n">
        <v>50.5</v>
      </c>
      <c r="K1582" s="95" t="n">
        <v>0.87</v>
      </c>
      <c r="L1582" s="85" t="n">
        <v>1</v>
      </c>
    </row>
    <row r="1583">
      <c r="A1583" s="84" t="inlineStr">
        <is>
          <t>RATP</t>
        </is>
      </c>
      <c r="B1583" s="7" t="inlineStr">
        <is>
          <t>conduite ou super-actif</t>
        </is>
      </c>
      <c r="C1583" s="88" t="n">
        <v>1941</v>
      </c>
      <c r="D1583" s="95" t="n">
        <v>50</v>
      </c>
      <c r="E1583" s="95" t="n">
        <v>50</v>
      </c>
      <c r="F1583" s="85" t="n">
        <v>150</v>
      </c>
      <c r="G1583" s="120" t="n">
        <v>0</v>
      </c>
      <c r="H1583" s="120" t="n">
        <v>0</v>
      </c>
      <c r="I1583" s="95" t="n">
        <v>0.5</v>
      </c>
      <c r="J1583" s="95" t="n">
        <v>50.5</v>
      </c>
      <c r="K1583" s="95" t="n">
        <v>0.87</v>
      </c>
      <c r="L1583" s="85" t="n">
        <v>1</v>
      </c>
    </row>
    <row r="1584">
      <c r="A1584" s="84" t="inlineStr">
        <is>
          <t>RATP</t>
        </is>
      </c>
      <c r="B1584" s="7" t="inlineStr">
        <is>
          <t>conduite ou super-actif</t>
        </is>
      </c>
      <c r="C1584" s="88" t="n">
        <v>1942</v>
      </c>
      <c r="D1584" s="95" t="n">
        <v>50</v>
      </c>
      <c r="E1584" s="95" t="n">
        <v>50</v>
      </c>
      <c r="F1584" s="85" t="n">
        <v>150</v>
      </c>
      <c r="G1584" s="120" t="n">
        <v>0</v>
      </c>
      <c r="H1584" s="120" t="n">
        <v>0</v>
      </c>
      <c r="I1584" s="95" t="n">
        <v>0.5</v>
      </c>
      <c r="J1584" s="95" t="n">
        <v>50.5</v>
      </c>
      <c r="K1584" s="95" t="n">
        <v>0.87</v>
      </c>
      <c r="L1584" s="85" t="n">
        <v>1</v>
      </c>
    </row>
    <row r="1585">
      <c r="A1585" s="84" t="inlineStr">
        <is>
          <t>RATP</t>
        </is>
      </c>
      <c r="B1585" s="7" t="inlineStr">
        <is>
          <t>conduite ou super-actif</t>
        </is>
      </c>
      <c r="C1585" s="88" t="n">
        <v>1943</v>
      </c>
      <c r="D1585" s="95" t="n">
        <v>50</v>
      </c>
      <c r="E1585" s="95" t="n">
        <v>50</v>
      </c>
      <c r="F1585" s="85" t="n">
        <v>150</v>
      </c>
      <c r="G1585" s="120" t="n">
        <v>0</v>
      </c>
      <c r="H1585" s="120" t="n">
        <v>0</v>
      </c>
      <c r="I1585" s="95" t="n">
        <v>0.5</v>
      </c>
      <c r="J1585" s="95" t="n">
        <v>50.5</v>
      </c>
      <c r="K1585" s="95" t="n">
        <v>0.87</v>
      </c>
      <c r="L1585" s="85" t="n">
        <v>1</v>
      </c>
    </row>
    <row r="1586">
      <c r="A1586" s="84" t="inlineStr">
        <is>
          <t>RATP</t>
        </is>
      </c>
      <c r="B1586" s="7" t="inlineStr">
        <is>
          <t>conduite ou super-actif</t>
        </is>
      </c>
      <c r="C1586" s="88" t="n">
        <v>1944</v>
      </c>
      <c r="D1586" s="95" t="n">
        <v>50</v>
      </c>
      <c r="E1586" s="95" t="n">
        <v>50</v>
      </c>
      <c r="F1586" s="85" t="n">
        <v>150</v>
      </c>
      <c r="G1586" s="120" t="n">
        <v>0</v>
      </c>
      <c r="H1586" s="120" t="n">
        <v>0</v>
      </c>
      <c r="I1586" s="95" t="n">
        <v>0.5</v>
      </c>
      <c r="J1586" s="95" t="n">
        <v>50.5</v>
      </c>
      <c r="K1586" s="95" t="n">
        <v>0.87</v>
      </c>
      <c r="L1586" s="85" t="n">
        <v>1</v>
      </c>
    </row>
    <row r="1587">
      <c r="A1587" s="84" t="inlineStr">
        <is>
          <t>RATP</t>
        </is>
      </c>
      <c r="B1587" s="7" t="inlineStr">
        <is>
          <t>conduite ou super-actif</t>
        </is>
      </c>
      <c r="C1587" s="88" t="n">
        <v>1945</v>
      </c>
      <c r="D1587" s="95" t="n">
        <v>50</v>
      </c>
      <c r="E1587" s="95" t="n">
        <v>50</v>
      </c>
      <c r="F1587" s="85" t="n">
        <v>150</v>
      </c>
      <c r="G1587" s="120" t="n">
        <v>0</v>
      </c>
      <c r="H1587" s="120" t="n">
        <v>0</v>
      </c>
      <c r="I1587" s="95" t="n">
        <v>0.5</v>
      </c>
      <c r="J1587" s="95" t="n">
        <v>50.5</v>
      </c>
      <c r="K1587" s="95" t="n">
        <v>0.87</v>
      </c>
      <c r="L1587" s="85" t="n">
        <v>1</v>
      </c>
    </row>
    <row r="1588">
      <c r="A1588" s="84" t="inlineStr">
        <is>
          <t>RATP</t>
        </is>
      </c>
      <c r="B1588" s="7" t="inlineStr">
        <is>
          <t>conduite ou super-actif</t>
        </is>
      </c>
      <c r="C1588" s="88" t="n">
        <v>1946</v>
      </c>
      <c r="D1588" s="95" t="n">
        <v>50</v>
      </c>
      <c r="E1588" s="95" t="n">
        <v>50</v>
      </c>
      <c r="F1588" s="85" t="n">
        <v>150</v>
      </c>
      <c r="G1588" s="120" t="n">
        <v>0</v>
      </c>
      <c r="H1588" s="120" t="n">
        <v>0</v>
      </c>
      <c r="I1588" s="95" t="n">
        <v>0.67</v>
      </c>
      <c r="J1588" s="95" t="n">
        <v>50.67</v>
      </c>
      <c r="K1588" s="95" t="n">
        <v>0.87</v>
      </c>
      <c r="L1588" s="85" t="n">
        <v>1</v>
      </c>
    </row>
    <row r="1589">
      <c r="A1589" s="84" t="inlineStr">
        <is>
          <t>RATP</t>
        </is>
      </c>
      <c r="B1589" s="7" t="inlineStr">
        <is>
          <t>conduite ou super-actif</t>
        </is>
      </c>
      <c r="C1589" s="88" t="n">
        <v>1947</v>
      </c>
      <c r="D1589" s="95" t="n">
        <v>50</v>
      </c>
      <c r="E1589" s="95" t="n">
        <v>50</v>
      </c>
      <c r="F1589" s="85" t="n">
        <v>150</v>
      </c>
      <c r="G1589" s="120" t="n">
        <v>0</v>
      </c>
      <c r="H1589" s="120" t="n">
        <v>0</v>
      </c>
      <c r="I1589" s="95" t="n">
        <v>0.83</v>
      </c>
      <c r="J1589" s="95" t="n">
        <v>50.83</v>
      </c>
      <c r="K1589" s="95" t="n">
        <v>0.87</v>
      </c>
      <c r="L1589" s="85" t="n">
        <v>1</v>
      </c>
    </row>
    <row r="1590">
      <c r="A1590" s="84" t="inlineStr">
        <is>
          <t>RATP</t>
        </is>
      </c>
      <c r="B1590" s="7" t="inlineStr">
        <is>
          <t>conduite ou super-actif</t>
        </is>
      </c>
      <c r="C1590" s="88" t="n">
        <v>1948</v>
      </c>
      <c r="D1590" s="95" t="n">
        <v>50</v>
      </c>
      <c r="E1590" s="95" t="n">
        <v>50</v>
      </c>
      <c r="F1590" s="85" t="n">
        <v>150</v>
      </c>
      <c r="G1590" s="120" t="n">
        <v>0</v>
      </c>
      <c r="H1590" s="120" t="n">
        <v>0</v>
      </c>
      <c r="I1590" s="95" t="n">
        <v>1</v>
      </c>
      <c r="J1590" s="95" t="n">
        <v>51</v>
      </c>
      <c r="K1590" s="95" t="n">
        <v>0.87</v>
      </c>
      <c r="L1590" s="85" t="n">
        <v>1</v>
      </c>
    </row>
    <row r="1591">
      <c r="A1591" s="84" t="inlineStr">
        <is>
          <t>RATP</t>
        </is>
      </c>
      <c r="B1591" s="7" t="inlineStr">
        <is>
          <t>conduite ou super-actif</t>
        </is>
      </c>
      <c r="C1591" s="88" t="n">
        <v>1949</v>
      </c>
      <c r="D1591" s="95" t="n">
        <v>50</v>
      </c>
      <c r="E1591" s="95" t="n">
        <v>50</v>
      </c>
      <c r="F1591" s="85" t="n">
        <v>150</v>
      </c>
      <c r="G1591" s="120" t="n">
        <v>0</v>
      </c>
      <c r="H1591" s="120" t="n">
        <v>0</v>
      </c>
      <c r="I1591" s="95" t="n">
        <v>1.17</v>
      </c>
      <c r="J1591" s="95" t="n">
        <v>51.17</v>
      </c>
      <c r="K1591" s="95" t="n">
        <v>0.87</v>
      </c>
      <c r="L1591" s="85" t="n">
        <v>1</v>
      </c>
    </row>
    <row r="1592">
      <c r="A1592" s="84" t="inlineStr">
        <is>
          <t>RATP</t>
        </is>
      </c>
      <c r="B1592" s="7" t="inlineStr">
        <is>
          <t>conduite ou super-actif</t>
        </is>
      </c>
      <c r="C1592" s="88" t="n">
        <v>1950</v>
      </c>
      <c r="D1592" s="95" t="n">
        <v>50</v>
      </c>
      <c r="E1592" s="95" t="n">
        <v>50</v>
      </c>
      <c r="F1592" s="85" t="n">
        <v>150</v>
      </c>
      <c r="G1592" s="120" t="n">
        <v>0</v>
      </c>
      <c r="H1592" s="120" t="n">
        <v>0</v>
      </c>
      <c r="I1592" s="95" t="n">
        <v>1.33</v>
      </c>
      <c r="J1592" s="95" t="n">
        <v>51.33</v>
      </c>
      <c r="K1592" s="95" t="n">
        <v>0.87</v>
      </c>
      <c r="L1592" s="85" t="n">
        <v>1</v>
      </c>
    </row>
    <row r="1593">
      <c r="A1593" s="84" t="inlineStr">
        <is>
          <t>RATP</t>
        </is>
      </c>
      <c r="B1593" s="7" t="inlineStr">
        <is>
          <t>conduite ou super-actif</t>
        </is>
      </c>
      <c r="C1593" s="88" t="n">
        <v>1951</v>
      </c>
      <c r="D1593" s="95" t="n">
        <v>50</v>
      </c>
      <c r="E1593" s="95" t="n">
        <v>50</v>
      </c>
      <c r="F1593" s="85" t="n">
        <v>150</v>
      </c>
      <c r="G1593" s="120" t="n">
        <v>0</v>
      </c>
      <c r="H1593" s="120" t="n">
        <v>0</v>
      </c>
      <c r="I1593" s="95" t="n">
        <v>1.5</v>
      </c>
      <c r="J1593" s="95" t="n">
        <v>51.5</v>
      </c>
      <c r="K1593" s="95" t="n">
        <v>0.87</v>
      </c>
      <c r="L1593" s="85" t="n">
        <v>1</v>
      </c>
    </row>
    <row r="1594">
      <c r="A1594" s="84" t="inlineStr">
        <is>
          <t>RATP</t>
        </is>
      </c>
      <c r="B1594" s="7" t="inlineStr">
        <is>
          <t>conduite ou super-actif</t>
        </is>
      </c>
      <c r="C1594" s="88" t="n">
        <v>1952</v>
      </c>
      <c r="D1594" s="95" t="n">
        <v>50</v>
      </c>
      <c r="E1594" s="95" t="n">
        <v>50</v>
      </c>
      <c r="F1594" s="85" t="n">
        <v>150</v>
      </c>
      <c r="G1594" s="120" t="n">
        <v>0</v>
      </c>
      <c r="H1594" s="120" t="n">
        <v>0</v>
      </c>
      <c r="I1594" s="95" t="n">
        <v>1.67</v>
      </c>
      <c r="J1594" s="95" t="n">
        <v>51.67</v>
      </c>
      <c r="K1594" s="95" t="n">
        <v>0.87</v>
      </c>
      <c r="L1594" s="85" t="n">
        <v>1</v>
      </c>
    </row>
    <row r="1595">
      <c r="A1595" s="84" t="inlineStr">
        <is>
          <t>RATP</t>
        </is>
      </c>
      <c r="B1595" s="7" t="inlineStr">
        <is>
          <t>conduite ou super-actif</t>
        </is>
      </c>
      <c r="C1595" s="88" t="n">
        <v>1953</v>
      </c>
      <c r="D1595" s="95" t="n">
        <v>50</v>
      </c>
      <c r="E1595" s="95" t="n">
        <v>50</v>
      </c>
      <c r="F1595" s="85" t="n">
        <v>150</v>
      </c>
      <c r="G1595" s="120" t="n">
        <v>0</v>
      </c>
      <c r="H1595" s="120" t="n">
        <v>0</v>
      </c>
      <c r="I1595" s="95" t="n">
        <v>1.83</v>
      </c>
      <c r="J1595" s="95" t="n">
        <v>51.83</v>
      </c>
      <c r="K1595" s="95" t="n">
        <v>0.87</v>
      </c>
      <c r="L1595" s="85" t="n">
        <v>1</v>
      </c>
    </row>
    <row r="1596">
      <c r="A1596" s="84" t="inlineStr">
        <is>
          <t>RATP</t>
        </is>
      </c>
      <c r="B1596" s="7" t="inlineStr">
        <is>
          <t>conduite ou super-actif</t>
        </is>
      </c>
      <c r="C1596" s="88" t="n">
        <v>1954</v>
      </c>
      <c r="D1596" s="95" t="n">
        <v>50</v>
      </c>
      <c r="E1596" s="95" t="n">
        <v>50</v>
      </c>
      <c r="F1596" s="85" t="n">
        <v>150</v>
      </c>
      <c r="G1596" s="120" t="n">
        <v>0</v>
      </c>
      <c r="H1596" s="120" t="n">
        <v>0</v>
      </c>
      <c r="I1596" s="95" t="n">
        <v>2</v>
      </c>
      <c r="J1596" s="95" t="n">
        <v>52</v>
      </c>
      <c r="K1596" s="95" t="n">
        <v>0.87</v>
      </c>
      <c r="L1596" s="85" t="n">
        <v>1</v>
      </c>
    </row>
    <row r="1597">
      <c r="A1597" s="84" t="inlineStr">
        <is>
          <t>RATP</t>
        </is>
      </c>
      <c r="B1597" s="7" t="inlineStr">
        <is>
          <t>conduite ou super-actif</t>
        </is>
      </c>
      <c r="C1597" s="88" t="n">
        <v>1955</v>
      </c>
      <c r="D1597" s="95" t="n">
        <v>50</v>
      </c>
      <c r="E1597" s="95" t="n">
        <v>51</v>
      </c>
      <c r="F1597" s="85" t="n">
        <v>150</v>
      </c>
      <c r="G1597" s="120" t="n">
        <v>0</v>
      </c>
      <c r="H1597" s="120" t="n">
        <v>0</v>
      </c>
      <c r="I1597" s="95" t="n">
        <v>2.17</v>
      </c>
      <c r="J1597" s="95" t="n">
        <v>52.17</v>
      </c>
      <c r="K1597" s="95" t="n">
        <v>0.87</v>
      </c>
      <c r="L1597" s="85" t="n">
        <v>1</v>
      </c>
    </row>
    <row r="1598">
      <c r="A1598" s="84" t="inlineStr">
        <is>
          <t>RATP</t>
        </is>
      </c>
      <c r="B1598" s="7" t="inlineStr">
        <is>
          <t>conduite ou super-actif</t>
        </is>
      </c>
      <c r="C1598" s="88" t="n">
        <v>1956</v>
      </c>
      <c r="D1598" s="95" t="n">
        <v>50</v>
      </c>
      <c r="E1598" s="95" t="n">
        <v>51</v>
      </c>
      <c r="F1598" s="85" t="n">
        <v>150</v>
      </c>
      <c r="G1598" s="120" t="n">
        <v>0</v>
      </c>
      <c r="H1598" s="120" t="n">
        <v>0</v>
      </c>
      <c r="I1598" s="95" t="n">
        <v>2.33</v>
      </c>
      <c r="J1598" s="95" t="n">
        <v>52.33</v>
      </c>
      <c r="K1598" s="95" t="n">
        <v>0.87</v>
      </c>
      <c r="L1598" s="85" t="n">
        <v>1</v>
      </c>
    </row>
    <row r="1599">
      <c r="A1599" s="84" t="inlineStr">
        <is>
          <t>RATP</t>
        </is>
      </c>
      <c r="B1599" s="7" t="inlineStr">
        <is>
          <t>conduite ou super-actif</t>
        </is>
      </c>
      <c r="C1599" s="88" t="n">
        <v>1957</v>
      </c>
      <c r="D1599" s="95" t="n">
        <v>50</v>
      </c>
      <c r="E1599" s="95" t="n">
        <v>51.5</v>
      </c>
      <c r="F1599" s="85" t="n">
        <v>150</v>
      </c>
      <c r="G1599" s="120" t="n">
        <v>0</v>
      </c>
      <c r="H1599" s="120" t="n">
        <v>0</v>
      </c>
      <c r="I1599" s="95" t="n">
        <v>2.5</v>
      </c>
      <c r="J1599" s="95" t="n">
        <v>52.5</v>
      </c>
      <c r="K1599" s="95" t="n">
        <v>0.87</v>
      </c>
      <c r="L1599" s="85" t="n">
        <v>1</v>
      </c>
    </row>
    <row r="1600">
      <c r="A1600" s="84" t="inlineStr">
        <is>
          <t>RATP</t>
        </is>
      </c>
      <c r="B1600" s="7" t="inlineStr">
        <is>
          <t>conduite ou super-actif</t>
        </is>
      </c>
      <c r="C1600" s="88" t="n">
        <v>1958</v>
      </c>
      <c r="D1600" s="95" t="n">
        <v>50</v>
      </c>
      <c r="E1600" s="95" t="n">
        <v>52</v>
      </c>
      <c r="F1600" s="85" t="n">
        <v>151</v>
      </c>
      <c r="G1600" s="120" t="n">
        <v>0</v>
      </c>
      <c r="H1600" s="120" t="n">
        <v>0.0075</v>
      </c>
      <c r="I1600" s="95" t="n">
        <v>2.67</v>
      </c>
      <c r="J1600" s="95" t="n">
        <v>52.67</v>
      </c>
      <c r="K1600" s="95" t="n">
        <v>0.87</v>
      </c>
      <c r="L1600" s="85" t="n">
        <v>1</v>
      </c>
    </row>
    <row r="1601">
      <c r="A1601" s="84" t="inlineStr">
        <is>
          <t>RATP</t>
        </is>
      </c>
      <c r="B1601" s="7" t="inlineStr">
        <is>
          <t>conduite ou super-actif</t>
        </is>
      </c>
      <c r="C1601" s="88" t="n">
        <v>1959</v>
      </c>
      <c r="D1601" s="95" t="n">
        <v>50</v>
      </c>
      <c r="E1601" s="95" t="n">
        <v>52.25</v>
      </c>
      <c r="F1601" s="85" t="n">
        <v>153</v>
      </c>
      <c r="G1601" s="120" t="n">
        <v>0</v>
      </c>
      <c r="H1601" s="120" t="n">
        <v>0.0125</v>
      </c>
      <c r="I1601" s="95" t="n">
        <v>2.83</v>
      </c>
      <c r="J1601" s="95" t="n">
        <v>52.83</v>
      </c>
      <c r="K1601" s="95" t="n">
        <v>0.87</v>
      </c>
      <c r="L1601" s="85" t="n">
        <v>1</v>
      </c>
    </row>
    <row r="1602">
      <c r="A1602" s="84" t="inlineStr">
        <is>
          <t>RATP</t>
        </is>
      </c>
      <c r="B1602" s="7" t="inlineStr">
        <is>
          <t>conduite ou super-actif</t>
        </is>
      </c>
      <c r="C1602" s="88" t="n">
        <v>1960</v>
      </c>
      <c r="D1602" s="95" t="n">
        <v>50</v>
      </c>
      <c r="E1602" s="95" t="n">
        <v>51</v>
      </c>
      <c r="F1602" s="85" t="n">
        <v>155</v>
      </c>
      <c r="G1602" s="120" t="n">
        <v>0.00125</v>
      </c>
      <c r="H1602" s="120" t="n">
        <v>0.0125</v>
      </c>
      <c r="I1602" s="95" t="n">
        <v>3</v>
      </c>
      <c r="J1602" s="95" t="n">
        <v>53</v>
      </c>
      <c r="K1602" s="95" t="n">
        <v>0.87</v>
      </c>
      <c r="L1602" s="85" t="n">
        <v>1</v>
      </c>
    </row>
    <row r="1603">
      <c r="A1603" s="84" t="inlineStr">
        <is>
          <t>RATP</t>
        </is>
      </c>
      <c r="B1603" s="7" t="inlineStr">
        <is>
          <t>conduite ou super-actif</t>
        </is>
      </c>
      <c r="C1603" s="88" t="n">
        <v>1961</v>
      </c>
      <c r="D1603" s="95" t="n">
        <v>50</v>
      </c>
      <c r="E1603" s="95" t="n">
        <v>51</v>
      </c>
      <c r="F1603" s="85" t="n">
        <v>157</v>
      </c>
      <c r="G1603" s="120" t="n">
        <v>0.0025</v>
      </c>
      <c r="H1603" s="120" t="n">
        <v>0.0125</v>
      </c>
      <c r="I1603" s="95" t="n">
        <v>3</v>
      </c>
      <c r="J1603" s="95" t="n">
        <v>53</v>
      </c>
      <c r="K1603" s="95" t="n">
        <v>0.87</v>
      </c>
      <c r="L1603" s="85" t="n">
        <v>1</v>
      </c>
    </row>
    <row r="1604">
      <c r="A1604" s="84" t="inlineStr">
        <is>
          <t>RATP</t>
        </is>
      </c>
      <c r="B1604" s="7" t="inlineStr">
        <is>
          <t>conduite ou super-actif</t>
        </is>
      </c>
      <c r="C1604" s="88" t="n">
        <v>1962</v>
      </c>
      <c r="D1604" s="95" t="n">
        <v>50</v>
      </c>
      <c r="E1604" s="95" t="n">
        <v>51.5</v>
      </c>
      <c r="F1604" s="85" t="n">
        <v>159</v>
      </c>
      <c r="G1604" s="120" t="n">
        <v>0.00375</v>
      </c>
      <c r="H1604" s="120" t="n">
        <v>0.0125</v>
      </c>
      <c r="I1604" s="95" t="n">
        <v>3</v>
      </c>
      <c r="J1604" s="95" t="n">
        <v>53</v>
      </c>
      <c r="K1604" s="95" t="n">
        <v>0.87</v>
      </c>
      <c r="L1604" s="85" t="n">
        <v>1</v>
      </c>
    </row>
    <row r="1605">
      <c r="A1605" s="84" t="inlineStr">
        <is>
          <t>RATP</t>
        </is>
      </c>
      <c r="B1605" s="7" t="inlineStr">
        <is>
          <t>conduite ou super-actif</t>
        </is>
      </c>
      <c r="C1605" s="88" t="n">
        <v>1963</v>
      </c>
      <c r="D1605" s="95" t="n">
        <v>50</v>
      </c>
      <c r="E1605" s="95" t="n">
        <v>52</v>
      </c>
      <c r="F1605" s="85" t="n">
        <v>161</v>
      </c>
      <c r="G1605" s="120" t="n">
        <v>0.005</v>
      </c>
      <c r="H1605" s="120" t="n">
        <v>0.0125</v>
      </c>
      <c r="I1605" s="95" t="n">
        <v>3</v>
      </c>
      <c r="J1605" s="95" t="n">
        <v>53</v>
      </c>
      <c r="K1605" s="95" t="n">
        <v>0.87</v>
      </c>
      <c r="L1605" s="85" t="n">
        <v>1</v>
      </c>
    </row>
    <row r="1606">
      <c r="A1606" s="84" t="inlineStr">
        <is>
          <t>RATP</t>
        </is>
      </c>
      <c r="B1606" s="7" t="inlineStr">
        <is>
          <t>conduite ou super-actif</t>
        </is>
      </c>
      <c r="C1606" s="88" t="n">
        <v>1964</v>
      </c>
      <c r="D1606" s="95" t="n">
        <v>50</v>
      </c>
      <c r="E1606" s="95" t="n">
        <v>52.25</v>
      </c>
      <c r="F1606" s="85" t="n">
        <v>162</v>
      </c>
      <c r="G1606" s="120" t="n">
        <v>0.00625</v>
      </c>
      <c r="H1606" s="120" t="n">
        <v>0.0125</v>
      </c>
      <c r="I1606" s="95" t="n">
        <v>3</v>
      </c>
      <c r="J1606" s="95" t="n">
        <v>53</v>
      </c>
      <c r="K1606" s="95" t="n">
        <v>0.87</v>
      </c>
      <c r="L1606" s="85" t="n">
        <v>1</v>
      </c>
    </row>
    <row r="1607">
      <c r="A1607" s="84" t="inlineStr">
        <is>
          <t>RATP</t>
        </is>
      </c>
      <c r="B1607" s="7" t="inlineStr">
        <is>
          <t>conduite ou super-actif</t>
        </is>
      </c>
      <c r="C1607" s="88" t="n">
        <v>1965</v>
      </c>
      <c r="D1607" s="95" t="n">
        <v>50</v>
      </c>
      <c r="E1607" s="95" t="n">
        <v>52.5</v>
      </c>
      <c r="F1607" s="85" t="n">
        <v>163</v>
      </c>
      <c r="G1607" s="120" t="n">
        <v>0.0075</v>
      </c>
      <c r="H1607" s="120" t="n">
        <v>0.0125</v>
      </c>
      <c r="I1607" s="95" t="n">
        <v>3</v>
      </c>
      <c r="J1607" s="95" t="n">
        <v>53</v>
      </c>
      <c r="K1607" s="95" t="n">
        <v>0.87</v>
      </c>
      <c r="L1607" s="85" t="n">
        <v>1</v>
      </c>
    </row>
    <row r="1608">
      <c r="A1608" s="84" t="inlineStr">
        <is>
          <t>RATP</t>
        </is>
      </c>
      <c r="B1608" s="7" t="inlineStr">
        <is>
          <t>conduite ou super-actif</t>
        </is>
      </c>
      <c r="C1608" s="88" t="n">
        <v>1966</v>
      </c>
      <c r="D1608" s="95" t="n">
        <v>50</v>
      </c>
      <c r="E1608" s="95" t="n">
        <v>52.75</v>
      </c>
      <c r="F1608" s="85" t="n">
        <v>164</v>
      </c>
      <c r="G1608" s="120" t="n">
        <v>0.008750000000000001</v>
      </c>
      <c r="H1608" s="120" t="n">
        <v>0.0125</v>
      </c>
      <c r="I1608" s="95" t="n">
        <v>3</v>
      </c>
      <c r="J1608" s="95" t="n">
        <v>53</v>
      </c>
      <c r="K1608" s="95" t="n">
        <v>0.87</v>
      </c>
      <c r="L1608" s="85" t="n">
        <v>1</v>
      </c>
    </row>
    <row r="1609">
      <c r="A1609" s="84" t="inlineStr">
        <is>
          <t>RATP</t>
        </is>
      </c>
      <c r="B1609" s="7" t="inlineStr">
        <is>
          <t>conduite ou super-actif</t>
        </is>
      </c>
      <c r="C1609" s="88" t="n">
        <v>1967</v>
      </c>
      <c r="D1609" s="95" t="n">
        <v>50.3333</v>
      </c>
      <c r="E1609" s="95" t="n">
        <v>53.33</v>
      </c>
      <c r="F1609" s="85" t="n">
        <v>165</v>
      </c>
      <c r="G1609" s="120" t="n">
        <v>0.01</v>
      </c>
      <c r="H1609" s="120" t="n">
        <v>0.0125</v>
      </c>
      <c r="I1609" s="95" t="n">
        <v>3</v>
      </c>
      <c r="J1609" s="95" t="n">
        <v>53.33</v>
      </c>
      <c r="K1609" s="95" t="n">
        <v>0.87</v>
      </c>
      <c r="L1609" s="85" t="n">
        <v>1</v>
      </c>
    </row>
    <row r="1610">
      <c r="A1610" s="84" t="inlineStr">
        <is>
          <t>RATP</t>
        </is>
      </c>
      <c r="B1610" s="7" t="inlineStr">
        <is>
          <t>conduite ou super-actif</t>
        </is>
      </c>
      <c r="C1610" s="88" t="n">
        <v>1968</v>
      </c>
      <c r="D1610" s="95" t="n">
        <v>50.6667</v>
      </c>
      <c r="E1610" s="95" t="n">
        <v>54.17</v>
      </c>
      <c r="F1610" s="85" t="n">
        <v>166</v>
      </c>
      <c r="G1610" s="120" t="n">
        <v>0.01125</v>
      </c>
      <c r="H1610" s="120" t="n">
        <v>0.0125</v>
      </c>
      <c r="I1610" s="95" t="n">
        <v>3</v>
      </c>
      <c r="J1610" s="95" t="n">
        <v>53.67</v>
      </c>
      <c r="K1610" s="95" t="n">
        <v>0.87</v>
      </c>
      <c r="L1610" s="85" t="n">
        <v>1</v>
      </c>
    </row>
    <row r="1611">
      <c r="A1611" s="84" t="inlineStr">
        <is>
          <t>RATP</t>
        </is>
      </c>
      <c r="B1611" s="7" t="inlineStr">
        <is>
          <t>conduite ou super-actif</t>
        </is>
      </c>
      <c r="C1611" s="88" t="n">
        <v>1969</v>
      </c>
      <c r="D1611" s="95" t="n">
        <v>51</v>
      </c>
      <c r="E1611" s="95" t="n">
        <v>54.75</v>
      </c>
      <c r="F1611" s="85" t="n">
        <v>167</v>
      </c>
      <c r="G1611" s="120" t="n">
        <v>0.0125</v>
      </c>
      <c r="H1611" s="120" t="n">
        <v>0.0125</v>
      </c>
      <c r="I1611" s="95" t="n">
        <v>3</v>
      </c>
      <c r="J1611" s="95" t="n">
        <v>54</v>
      </c>
      <c r="K1611" s="95" t="n">
        <v>0.87</v>
      </c>
      <c r="L1611" s="85" t="n">
        <v>1</v>
      </c>
    </row>
    <row r="1612">
      <c r="A1612" s="84" t="inlineStr">
        <is>
          <t>RATP</t>
        </is>
      </c>
      <c r="B1612" s="7" t="inlineStr">
        <is>
          <t>conduite ou super-actif</t>
        </is>
      </c>
      <c r="C1612" s="88" t="n">
        <v>1970</v>
      </c>
      <c r="D1612" s="95" t="n">
        <v>51.3333</v>
      </c>
      <c r="E1612" s="95" t="n">
        <v>55.31</v>
      </c>
      <c r="F1612" s="85" t="n">
        <v>167</v>
      </c>
      <c r="G1612" s="120" t="n">
        <v>0.0125</v>
      </c>
      <c r="H1612" s="120" t="n">
        <v>0.0125</v>
      </c>
      <c r="I1612" s="95" t="n">
        <v>3</v>
      </c>
      <c r="J1612" s="95" t="n">
        <v>54.33</v>
      </c>
      <c r="K1612" s="95" t="n">
        <v>0.87</v>
      </c>
      <c r="L1612" s="85" t="n">
        <v>1</v>
      </c>
    </row>
    <row r="1613">
      <c r="A1613" s="84" t="inlineStr">
        <is>
          <t>RATP</t>
        </is>
      </c>
      <c r="B1613" s="7" t="inlineStr">
        <is>
          <t>conduite ou super-actif</t>
        </is>
      </c>
      <c r="C1613" s="88" t="n">
        <v>1971</v>
      </c>
      <c r="D1613" s="95" t="n">
        <v>51.6667</v>
      </c>
      <c r="E1613" s="95" t="n">
        <v>55.86</v>
      </c>
      <c r="F1613" s="85" t="n">
        <v>168</v>
      </c>
      <c r="G1613" s="120" t="n">
        <v>0.0125</v>
      </c>
      <c r="H1613" s="120" t="n">
        <v>0.0125</v>
      </c>
      <c r="I1613" s="95" t="n">
        <v>3</v>
      </c>
      <c r="J1613" s="95" t="n">
        <v>54.67</v>
      </c>
      <c r="K1613" s="95" t="n">
        <v>0.87</v>
      </c>
      <c r="L1613" s="85" t="n">
        <v>1</v>
      </c>
    </row>
    <row r="1614">
      <c r="A1614" s="84" t="inlineStr">
        <is>
          <t>RATP</t>
        </is>
      </c>
      <c r="B1614" s="7" t="inlineStr">
        <is>
          <t>conduite ou super-actif</t>
        </is>
      </c>
      <c r="C1614" s="88" t="n">
        <v>1972</v>
      </c>
      <c r="D1614" s="95" t="n">
        <v>52</v>
      </c>
      <c r="E1614" s="95" t="n">
        <v>56.42</v>
      </c>
      <c r="F1614" s="85" t="n">
        <v>168</v>
      </c>
      <c r="G1614" s="120" t="n">
        <v>0.0125</v>
      </c>
      <c r="H1614" s="120" t="n">
        <v>0.0125</v>
      </c>
      <c r="I1614" s="95" t="n">
        <v>3</v>
      </c>
      <c r="J1614" s="95" t="n">
        <v>55</v>
      </c>
      <c r="K1614" s="95" t="n">
        <v>0.87</v>
      </c>
      <c r="L1614" s="85" t="n">
        <v>1</v>
      </c>
    </row>
    <row r="1615">
      <c r="A1615" s="84" t="inlineStr">
        <is>
          <t>RATP</t>
        </is>
      </c>
      <c r="B1615" s="7" t="inlineStr">
        <is>
          <t>conduite ou super-actif</t>
        </is>
      </c>
      <c r="C1615" s="88" t="n">
        <v>1973</v>
      </c>
      <c r="D1615" s="95" t="n">
        <v>52.25</v>
      </c>
      <c r="E1615" s="95" t="n">
        <v>56.88</v>
      </c>
      <c r="F1615" s="85" t="n">
        <v>169</v>
      </c>
      <c r="G1615" s="120" t="n">
        <v>0.0125</v>
      </c>
      <c r="H1615" s="120" t="n">
        <v>0.0125</v>
      </c>
      <c r="I1615" s="95" t="n">
        <v>3</v>
      </c>
      <c r="J1615" s="95" t="n">
        <v>55.25</v>
      </c>
      <c r="K1615" s="95" t="n">
        <v>0.87</v>
      </c>
      <c r="L1615" s="85" t="n">
        <v>1</v>
      </c>
    </row>
    <row r="1616">
      <c r="A1616" s="84" t="inlineStr">
        <is>
          <t>RATP</t>
        </is>
      </c>
      <c r="B1616" s="7" t="inlineStr">
        <is>
          <t>conduite ou super-actif</t>
        </is>
      </c>
      <c r="C1616" s="88" t="n">
        <v>1974</v>
      </c>
      <c r="D1616" s="95" t="n">
        <v>52.5</v>
      </c>
      <c r="E1616" s="95" t="n">
        <v>57</v>
      </c>
      <c r="F1616" s="85" t="n">
        <v>170</v>
      </c>
      <c r="G1616" s="120" t="n">
        <v>0.0125</v>
      </c>
      <c r="H1616" s="120" t="n">
        <v>0.0125</v>
      </c>
      <c r="I1616" s="95" t="n">
        <v>3</v>
      </c>
      <c r="J1616" s="95" t="n">
        <v>55.5</v>
      </c>
      <c r="K1616" s="95" t="n">
        <v>0.87</v>
      </c>
      <c r="L1616" s="85" t="n">
        <v>1</v>
      </c>
    </row>
    <row r="1617">
      <c r="A1617" s="84" t="inlineStr">
        <is>
          <t>RATP</t>
        </is>
      </c>
      <c r="B1617" s="7" t="inlineStr">
        <is>
          <t>conduite ou super-actif</t>
        </is>
      </c>
      <c r="C1617" s="88" t="n">
        <v>1975</v>
      </c>
      <c r="D1617" s="95" t="n">
        <v>52.75</v>
      </c>
      <c r="E1617" s="95" t="n">
        <v>57</v>
      </c>
      <c r="F1617" s="85" t="n">
        <v>170</v>
      </c>
      <c r="G1617" s="120" t="n">
        <v>0.0125</v>
      </c>
      <c r="H1617" s="120" t="n">
        <v>0.0125</v>
      </c>
      <c r="I1617" s="95" t="n">
        <v>3</v>
      </c>
      <c r="J1617" s="95" t="n">
        <v>55.75</v>
      </c>
      <c r="K1617" s="95" t="n">
        <v>0.87</v>
      </c>
      <c r="L1617" s="85" t="n">
        <v>1</v>
      </c>
    </row>
    <row r="1618">
      <c r="A1618" s="84" t="inlineStr">
        <is>
          <t>RATP</t>
        </is>
      </c>
      <c r="B1618" s="7" t="inlineStr">
        <is>
          <t>conduite ou super-actif</t>
        </is>
      </c>
      <c r="C1618" s="88" t="n">
        <v>1976</v>
      </c>
      <c r="D1618" s="95" t="n">
        <v>53</v>
      </c>
      <c r="E1618" s="95" t="n">
        <v>57</v>
      </c>
      <c r="F1618" s="85" t="n">
        <v>171</v>
      </c>
      <c r="G1618" s="120" t="n">
        <v>0.0125</v>
      </c>
      <c r="H1618" s="120" t="n">
        <v>0.0125</v>
      </c>
      <c r="I1618" s="95" t="n">
        <v>3</v>
      </c>
      <c r="J1618" s="95" t="n">
        <v>56</v>
      </c>
      <c r="K1618" s="95" t="n">
        <v>0.87</v>
      </c>
      <c r="L1618" s="85" t="n">
        <v>1</v>
      </c>
    </row>
    <row r="1619">
      <c r="A1619" s="84" t="inlineStr">
        <is>
          <t>RATP</t>
        </is>
      </c>
      <c r="B1619" s="7" t="inlineStr">
        <is>
          <t>conduite ou super-actif</t>
        </is>
      </c>
      <c r="C1619" s="88" t="n">
        <v>1977</v>
      </c>
      <c r="D1619" s="95" t="n">
        <v>53.25</v>
      </c>
      <c r="E1619" s="95" t="n">
        <v>57</v>
      </c>
      <c r="F1619" s="85" t="n">
        <v>171</v>
      </c>
      <c r="G1619" s="120" t="n">
        <v>0.0125</v>
      </c>
      <c r="H1619" s="120" t="n">
        <v>0.0125</v>
      </c>
      <c r="I1619" s="95" t="n">
        <v>3</v>
      </c>
      <c r="J1619" s="95" t="n">
        <v>56.25</v>
      </c>
      <c r="K1619" s="95" t="n">
        <v>0.87</v>
      </c>
      <c r="L1619" s="85" t="n">
        <v>1</v>
      </c>
    </row>
    <row r="1620">
      <c r="A1620" s="84" t="inlineStr">
        <is>
          <t>RATP</t>
        </is>
      </c>
      <c r="B1620" s="7" t="inlineStr">
        <is>
          <t>conduite ou super-actif</t>
        </is>
      </c>
      <c r="C1620" s="88" t="n">
        <v>1978</v>
      </c>
      <c r="D1620" s="95" t="n">
        <v>53.5</v>
      </c>
      <c r="E1620" s="95" t="n">
        <v>57</v>
      </c>
      <c r="F1620" s="85" t="n">
        <v>172</v>
      </c>
      <c r="G1620" s="120" t="n">
        <v>0.0125</v>
      </c>
      <c r="H1620" s="120" t="n">
        <v>0.0125</v>
      </c>
      <c r="I1620" s="95" t="n">
        <v>3</v>
      </c>
      <c r="J1620" s="95" t="n">
        <v>56.5</v>
      </c>
      <c r="K1620" s="95" t="n">
        <v>0.87</v>
      </c>
      <c r="L1620" s="85" t="n">
        <v>1</v>
      </c>
    </row>
    <row r="1621">
      <c r="A1621" s="84" t="inlineStr">
        <is>
          <t>RATP</t>
        </is>
      </c>
      <c r="B1621" s="7" t="inlineStr">
        <is>
          <t>conduite ou super-actif</t>
        </is>
      </c>
      <c r="C1621" s="88" t="n">
        <v>1979</v>
      </c>
      <c r="D1621" s="95" t="n">
        <v>53.75</v>
      </c>
      <c r="E1621" s="95" t="n">
        <v>57</v>
      </c>
      <c r="F1621" s="85" t="n">
        <v>172</v>
      </c>
      <c r="G1621" s="120" t="n">
        <v>0.0125</v>
      </c>
      <c r="H1621" s="120" t="n">
        <v>0.0125</v>
      </c>
      <c r="I1621" s="95" t="n">
        <v>3</v>
      </c>
      <c r="J1621" s="95" t="n">
        <v>56.75</v>
      </c>
      <c r="K1621" s="95" t="n">
        <v>0.87</v>
      </c>
      <c r="L1621" s="85" t="n">
        <v>1</v>
      </c>
    </row>
    <row r="1622">
      <c r="A1622" s="84" t="inlineStr">
        <is>
          <t>RATP</t>
        </is>
      </c>
      <c r="B1622" s="7" t="inlineStr">
        <is>
          <t>conduite ou super-actif</t>
        </is>
      </c>
      <c r="C1622" s="88" t="n">
        <v>1980</v>
      </c>
      <c r="D1622" s="95" t="n">
        <v>54</v>
      </c>
      <c r="E1622" s="95" t="n">
        <v>57</v>
      </c>
      <c r="F1622" s="85" t="n">
        <v>172</v>
      </c>
      <c r="G1622" s="120" t="n">
        <v>0.0125</v>
      </c>
      <c r="H1622" s="120" t="n">
        <v>0.0125</v>
      </c>
      <c r="I1622" s="95" t="n">
        <v>3</v>
      </c>
      <c r="J1622" s="95" t="n">
        <v>57</v>
      </c>
      <c r="K1622" s="95" t="n">
        <v>0.87</v>
      </c>
      <c r="L1622" s="85" t="n">
        <v>1</v>
      </c>
    </row>
    <row r="1623">
      <c r="A1623" s="84" t="inlineStr">
        <is>
          <t>RATP</t>
        </is>
      </c>
      <c r="B1623" s="7" t="inlineStr">
        <is>
          <t>conduite ou super-actif</t>
        </is>
      </c>
      <c r="C1623" s="88" t="n">
        <v>1981</v>
      </c>
      <c r="D1623" s="95" t="n">
        <v>54</v>
      </c>
      <c r="E1623" s="95" t="n">
        <v>57</v>
      </c>
      <c r="F1623" s="85" t="n">
        <v>172</v>
      </c>
      <c r="G1623" s="120" t="n">
        <v>0.0125</v>
      </c>
      <c r="H1623" s="120" t="n">
        <v>0.0125</v>
      </c>
      <c r="I1623" s="95" t="n">
        <v>3</v>
      </c>
      <c r="J1623" s="95" t="n">
        <v>57</v>
      </c>
      <c r="K1623" s="95" t="n">
        <v>0.87</v>
      </c>
      <c r="L1623" s="85" t="n">
        <v>1</v>
      </c>
    </row>
    <row r="1624">
      <c r="A1624" s="84" t="inlineStr">
        <is>
          <t>RATP</t>
        </is>
      </c>
      <c r="B1624" s="7" t="inlineStr">
        <is>
          <t>conduite ou super-actif</t>
        </is>
      </c>
      <c r="C1624" s="88" t="n">
        <v>1982</v>
      </c>
      <c r="D1624" s="95" t="n">
        <v>54</v>
      </c>
      <c r="E1624" s="95" t="n">
        <v>57</v>
      </c>
      <c r="F1624" s="85" t="n">
        <v>172</v>
      </c>
      <c r="G1624" s="120" t="n">
        <v>0.0125</v>
      </c>
      <c r="H1624" s="120" t="n">
        <v>0.0125</v>
      </c>
      <c r="I1624" s="95" t="n">
        <v>3</v>
      </c>
      <c r="J1624" s="95" t="n">
        <v>57</v>
      </c>
      <c r="K1624" s="95" t="n">
        <v>0.87</v>
      </c>
      <c r="L1624" s="85" t="n">
        <v>1</v>
      </c>
    </row>
    <row r="1625">
      <c r="A1625" s="84" t="inlineStr">
        <is>
          <t>RATP</t>
        </is>
      </c>
      <c r="B1625" s="7" t="inlineStr">
        <is>
          <t>conduite ou super-actif</t>
        </is>
      </c>
      <c r="C1625" s="88" t="n">
        <v>1983</v>
      </c>
      <c r="D1625" s="95" t="n">
        <v>54</v>
      </c>
      <c r="E1625" s="95" t="n">
        <v>57</v>
      </c>
      <c r="F1625" s="85" t="n">
        <v>172</v>
      </c>
      <c r="G1625" s="120" t="n">
        <v>0.0125</v>
      </c>
      <c r="H1625" s="120" t="n">
        <v>0.0125</v>
      </c>
      <c r="I1625" s="95" t="n">
        <v>3</v>
      </c>
      <c r="J1625" s="95" t="n">
        <v>57</v>
      </c>
      <c r="K1625" s="95" t="n">
        <v>0.87</v>
      </c>
      <c r="L1625" s="85" t="n">
        <v>1</v>
      </c>
    </row>
    <row r="1626">
      <c r="A1626" s="84" t="inlineStr">
        <is>
          <t>RATP</t>
        </is>
      </c>
      <c r="B1626" s="7" t="inlineStr">
        <is>
          <t>conduite ou super-actif</t>
        </is>
      </c>
      <c r="C1626" s="88" t="n">
        <v>1984</v>
      </c>
      <c r="D1626" s="95" t="n">
        <v>54</v>
      </c>
      <c r="E1626" s="95" t="n">
        <v>57</v>
      </c>
      <c r="F1626" s="85" t="n">
        <v>172</v>
      </c>
      <c r="G1626" s="120" t="n">
        <v>0.0125</v>
      </c>
      <c r="H1626" s="120" t="n">
        <v>0.0125</v>
      </c>
      <c r="I1626" s="95" t="n">
        <v>3</v>
      </c>
      <c r="J1626" s="95" t="n">
        <v>57</v>
      </c>
      <c r="K1626" s="95" t="n">
        <v>0.87</v>
      </c>
      <c r="L1626" s="85" t="n">
        <v>1</v>
      </c>
    </row>
    <row r="1627">
      <c r="A1627" s="84" t="inlineStr">
        <is>
          <t>RATP</t>
        </is>
      </c>
      <c r="B1627" s="7" t="inlineStr">
        <is>
          <t>conduite ou super-actif</t>
        </is>
      </c>
      <c r="C1627" s="88" t="n">
        <v>1985</v>
      </c>
      <c r="D1627" s="95" t="n">
        <v>54</v>
      </c>
      <c r="E1627" s="95" t="n">
        <v>57</v>
      </c>
      <c r="F1627" s="85" t="n">
        <v>172</v>
      </c>
      <c r="G1627" s="120" t="n">
        <v>0.0125</v>
      </c>
      <c r="H1627" s="120" t="n">
        <v>0.0125</v>
      </c>
      <c r="I1627" s="95" t="n">
        <v>3</v>
      </c>
      <c r="J1627" s="95" t="n">
        <v>57</v>
      </c>
      <c r="K1627" s="95" t="n">
        <v>0.87</v>
      </c>
      <c r="L1627" s="85" t="n">
        <v>1</v>
      </c>
    </row>
    <row r="1628">
      <c r="A1628" s="84" t="inlineStr">
        <is>
          <t>RATP</t>
        </is>
      </c>
      <c r="B1628" s="7" t="inlineStr">
        <is>
          <t>conduite ou super-actif</t>
        </is>
      </c>
      <c r="C1628" s="88" t="n">
        <v>1986</v>
      </c>
      <c r="D1628" s="95" t="n">
        <v>54</v>
      </c>
      <c r="E1628" s="95" t="n">
        <v>57</v>
      </c>
      <c r="F1628" s="85" t="n">
        <v>172</v>
      </c>
      <c r="G1628" s="120" t="n">
        <v>0.0125</v>
      </c>
      <c r="H1628" s="120" t="n">
        <v>0.0125</v>
      </c>
      <c r="I1628" s="95" t="n">
        <v>3</v>
      </c>
      <c r="J1628" s="95" t="n">
        <v>57</v>
      </c>
      <c r="K1628" s="95" t="n">
        <v>0.87</v>
      </c>
      <c r="L1628" s="85" t="n">
        <v>1</v>
      </c>
    </row>
    <row r="1629">
      <c r="A1629" s="84" t="inlineStr">
        <is>
          <t>RATP</t>
        </is>
      </c>
      <c r="B1629" s="7" t="inlineStr">
        <is>
          <t>conduite ou super-actif</t>
        </is>
      </c>
      <c r="C1629" s="88" t="n">
        <v>1987</v>
      </c>
      <c r="D1629" s="95" t="n">
        <v>54</v>
      </c>
      <c r="E1629" s="95" t="n">
        <v>57</v>
      </c>
      <c r="F1629" s="85" t="n">
        <v>172</v>
      </c>
      <c r="G1629" s="120" t="n">
        <v>0.0125</v>
      </c>
      <c r="H1629" s="120" t="n">
        <v>0.0125</v>
      </c>
      <c r="I1629" s="95" t="n">
        <v>3</v>
      </c>
      <c r="J1629" s="95" t="n">
        <v>57</v>
      </c>
      <c r="K1629" s="95" t="n">
        <v>0.87</v>
      </c>
      <c r="L1629" s="85" t="n">
        <v>1</v>
      </c>
    </row>
    <row r="1630">
      <c r="A1630" s="84" t="inlineStr">
        <is>
          <t>RATP</t>
        </is>
      </c>
      <c r="B1630" s="7" t="inlineStr">
        <is>
          <t>conduite ou super-actif</t>
        </is>
      </c>
      <c r="C1630" s="88" t="n">
        <v>1988</v>
      </c>
      <c r="D1630" s="95" t="n">
        <v>54</v>
      </c>
      <c r="E1630" s="95" t="n">
        <v>57</v>
      </c>
      <c r="F1630" s="85" t="n">
        <v>172</v>
      </c>
      <c r="G1630" s="120" t="n">
        <v>0.0125</v>
      </c>
      <c r="H1630" s="120" t="n">
        <v>0.0125</v>
      </c>
      <c r="I1630" s="95" t="n">
        <v>3</v>
      </c>
      <c r="J1630" s="95" t="n">
        <v>57</v>
      </c>
      <c r="K1630" s="95" t="n">
        <v>0.87</v>
      </c>
      <c r="L1630" s="85" t="n">
        <v>1</v>
      </c>
    </row>
    <row r="1631">
      <c r="A1631" s="84" t="inlineStr">
        <is>
          <t>RATP</t>
        </is>
      </c>
      <c r="B1631" s="7" t="inlineStr">
        <is>
          <t>conduite ou super-actif</t>
        </is>
      </c>
      <c r="C1631" s="88" t="n">
        <v>1989</v>
      </c>
      <c r="D1631" s="95" t="n">
        <v>54</v>
      </c>
      <c r="E1631" s="95" t="n">
        <v>57</v>
      </c>
      <c r="F1631" s="85" t="n">
        <v>172</v>
      </c>
      <c r="G1631" s="120" t="n">
        <v>0.0125</v>
      </c>
      <c r="H1631" s="120" t="n">
        <v>0.0125</v>
      </c>
      <c r="I1631" s="95" t="n">
        <v>3</v>
      </c>
      <c r="J1631" s="95" t="n">
        <v>57</v>
      </c>
      <c r="K1631" s="95" t="n">
        <v>0.87</v>
      </c>
      <c r="L1631" s="85" t="n">
        <v>1</v>
      </c>
    </row>
    <row r="1632">
      <c r="A1632" s="84" t="inlineStr">
        <is>
          <t>RATP</t>
        </is>
      </c>
      <c r="B1632" s="7" t="inlineStr">
        <is>
          <t>conduite ou super-actif</t>
        </is>
      </c>
      <c r="C1632" s="88" t="n">
        <v>1990</v>
      </c>
      <c r="D1632" s="95" t="n">
        <v>54</v>
      </c>
      <c r="E1632" s="95" t="n">
        <v>57</v>
      </c>
      <c r="F1632" s="85" t="n">
        <v>172</v>
      </c>
      <c r="G1632" s="120" t="n">
        <v>0.0125</v>
      </c>
      <c r="H1632" s="120" t="n">
        <v>0.0125</v>
      </c>
      <c r="I1632" s="95" t="n">
        <v>3</v>
      </c>
      <c r="J1632" s="95" t="n">
        <v>57</v>
      </c>
      <c r="K1632" s="95" t="n">
        <v>0.87</v>
      </c>
      <c r="L1632" s="85" t="n">
        <v>1</v>
      </c>
    </row>
    <row r="1633">
      <c r="A1633" s="84" t="inlineStr">
        <is>
          <t>RATP</t>
        </is>
      </c>
      <c r="B1633" s="7" t="inlineStr">
        <is>
          <t>conduite ou super-actif</t>
        </is>
      </c>
      <c r="C1633" s="88" t="n">
        <v>1991</v>
      </c>
      <c r="D1633" s="95" t="n">
        <v>54</v>
      </c>
      <c r="E1633" s="95" t="n">
        <v>57</v>
      </c>
      <c r="F1633" s="85" t="n">
        <v>172</v>
      </c>
      <c r="G1633" s="120" t="n">
        <v>0.0125</v>
      </c>
      <c r="H1633" s="120" t="n">
        <v>0.0125</v>
      </c>
      <c r="I1633" s="95" t="n">
        <v>3</v>
      </c>
      <c r="J1633" s="95" t="n">
        <v>57</v>
      </c>
      <c r="K1633" s="95" t="n">
        <v>0.87</v>
      </c>
      <c r="L1633" s="85" t="n">
        <v>1</v>
      </c>
    </row>
    <row r="1634">
      <c r="A1634" s="84" t="inlineStr">
        <is>
          <t>RATP</t>
        </is>
      </c>
      <c r="B1634" s="7" t="inlineStr">
        <is>
          <t>conduite ou super-actif</t>
        </is>
      </c>
      <c r="C1634" s="88" t="n">
        <v>1992</v>
      </c>
      <c r="D1634" s="95" t="n">
        <v>54</v>
      </c>
      <c r="E1634" s="95" t="n">
        <v>57</v>
      </c>
      <c r="F1634" s="85" t="n">
        <v>172</v>
      </c>
      <c r="G1634" s="120" t="n">
        <v>0.0125</v>
      </c>
      <c r="H1634" s="120" t="n">
        <v>0.0125</v>
      </c>
      <c r="I1634" s="95" t="n">
        <v>3</v>
      </c>
      <c r="J1634" s="95" t="n">
        <v>57</v>
      </c>
      <c r="K1634" s="95" t="n">
        <v>0.87</v>
      </c>
      <c r="L1634" s="85" t="n">
        <v>1</v>
      </c>
    </row>
    <row r="1635">
      <c r="A1635" s="84" t="inlineStr">
        <is>
          <t>RATP</t>
        </is>
      </c>
      <c r="B1635" s="7" t="inlineStr">
        <is>
          <t>conduite ou super-actif</t>
        </is>
      </c>
      <c r="C1635" s="88" t="n">
        <v>1993</v>
      </c>
      <c r="D1635" s="95" t="n">
        <v>54</v>
      </c>
      <c r="E1635" s="95" t="n">
        <v>57</v>
      </c>
      <c r="F1635" s="85" t="n">
        <v>172</v>
      </c>
      <c r="G1635" s="120" t="n">
        <v>0.0125</v>
      </c>
      <c r="H1635" s="120" t="n">
        <v>0.0125</v>
      </c>
      <c r="I1635" s="95" t="n">
        <v>3</v>
      </c>
      <c r="J1635" s="95" t="n">
        <v>57</v>
      </c>
      <c r="K1635" s="95" t="n">
        <v>0.87</v>
      </c>
      <c r="L1635" s="85" t="n">
        <v>1</v>
      </c>
    </row>
    <row r="1636">
      <c r="A1636" s="84" t="inlineStr">
        <is>
          <t>RATP</t>
        </is>
      </c>
      <c r="B1636" s="7" t="inlineStr">
        <is>
          <t>conduite ou super-actif</t>
        </is>
      </c>
      <c r="C1636" s="88" t="n">
        <v>1994</v>
      </c>
      <c r="D1636" s="95" t="n">
        <v>54</v>
      </c>
      <c r="E1636" s="95" t="n">
        <v>57</v>
      </c>
      <c r="F1636" s="85" t="n">
        <v>172</v>
      </c>
      <c r="G1636" s="120" t="n">
        <v>0.0125</v>
      </c>
      <c r="H1636" s="120" t="n">
        <v>0.0125</v>
      </c>
      <c r="I1636" s="95" t="n">
        <v>3</v>
      </c>
      <c r="J1636" s="95" t="n">
        <v>57</v>
      </c>
      <c r="K1636" s="95" t="n">
        <v>0.87</v>
      </c>
      <c r="L1636" s="85" t="n">
        <v>1</v>
      </c>
    </row>
    <row r="1637">
      <c r="A1637" s="84" t="inlineStr">
        <is>
          <t>RATP</t>
        </is>
      </c>
      <c r="B1637" s="7" t="inlineStr">
        <is>
          <t>conduite ou super-actif</t>
        </is>
      </c>
      <c r="C1637" s="88" t="n">
        <v>1995</v>
      </c>
      <c r="D1637" s="95" t="n">
        <v>54</v>
      </c>
      <c r="E1637" s="95" t="n">
        <v>57</v>
      </c>
      <c r="F1637" s="85" t="n">
        <v>172</v>
      </c>
      <c r="G1637" s="120" t="n">
        <v>0.0125</v>
      </c>
      <c r="H1637" s="120" t="n">
        <v>0.0125</v>
      </c>
      <c r="I1637" s="95" t="n">
        <v>3</v>
      </c>
      <c r="J1637" s="95" t="n">
        <v>57</v>
      </c>
      <c r="K1637" s="95" t="n">
        <v>0.87</v>
      </c>
      <c r="L1637" s="85" t="n">
        <v>1</v>
      </c>
    </row>
    <row r="1638">
      <c r="A1638" s="84" t="inlineStr">
        <is>
          <t>RATP</t>
        </is>
      </c>
      <c r="B1638" s="7" t="inlineStr">
        <is>
          <t>conduite ou super-actif</t>
        </is>
      </c>
      <c r="C1638" s="88" t="n">
        <v>1996</v>
      </c>
      <c r="D1638" s="95" t="n">
        <v>54</v>
      </c>
      <c r="E1638" s="95" t="n">
        <v>57</v>
      </c>
      <c r="F1638" s="85" t="n">
        <v>172</v>
      </c>
      <c r="G1638" s="120" t="n">
        <v>0.0125</v>
      </c>
      <c r="H1638" s="120" t="n">
        <v>0.0125</v>
      </c>
      <c r="I1638" s="95" t="n">
        <v>3</v>
      </c>
      <c r="J1638" s="95" t="n">
        <v>57</v>
      </c>
      <c r="K1638" s="95" t="n">
        <v>0.87</v>
      </c>
      <c r="L1638" s="85" t="n">
        <v>1</v>
      </c>
    </row>
    <row r="1639">
      <c r="A1639" s="84" t="inlineStr">
        <is>
          <t>RATP</t>
        </is>
      </c>
      <c r="B1639" s="7" t="inlineStr">
        <is>
          <t>conduite ou super-actif</t>
        </is>
      </c>
      <c r="C1639" s="88" t="n">
        <v>1997</v>
      </c>
      <c r="D1639" s="95" t="n">
        <v>54</v>
      </c>
      <c r="E1639" s="95" t="n">
        <v>57</v>
      </c>
      <c r="F1639" s="85" t="n">
        <v>172</v>
      </c>
      <c r="G1639" s="120" t="n">
        <v>0.0125</v>
      </c>
      <c r="H1639" s="120" t="n">
        <v>0.0125</v>
      </c>
      <c r="I1639" s="95" t="n">
        <v>3</v>
      </c>
      <c r="J1639" s="95" t="n">
        <v>57</v>
      </c>
      <c r="K1639" s="95" t="n">
        <v>0.87</v>
      </c>
      <c r="L1639" s="85" t="n">
        <v>1</v>
      </c>
    </row>
    <row r="1640">
      <c r="A1640" s="84" t="inlineStr">
        <is>
          <t>RATP</t>
        </is>
      </c>
      <c r="B1640" s="7" t="inlineStr">
        <is>
          <t>conduite ou super-actif</t>
        </is>
      </c>
      <c r="C1640" s="88" t="n">
        <v>1998</v>
      </c>
      <c r="D1640" s="95" t="n">
        <v>54</v>
      </c>
      <c r="E1640" s="95" t="n">
        <v>57</v>
      </c>
      <c r="F1640" s="85" t="n">
        <v>172</v>
      </c>
      <c r="G1640" s="120" t="n">
        <v>0.0125</v>
      </c>
      <c r="H1640" s="120" t="n">
        <v>0.0125</v>
      </c>
      <c r="I1640" s="95" t="n">
        <v>3</v>
      </c>
      <c r="J1640" s="95" t="n">
        <v>57</v>
      </c>
      <c r="K1640" s="95" t="n">
        <v>0.87</v>
      </c>
      <c r="L1640" s="85" t="n">
        <v>1</v>
      </c>
    </row>
    <row r="1641">
      <c r="A1641" s="84" t="inlineStr">
        <is>
          <t>RATP</t>
        </is>
      </c>
      <c r="B1641" s="7" t="inlineStr">
        <is>
          <t>conduite ou super-actif</t>
        </is>
      </c>
      <c r="C1641" s="88" t="n">
        <v>1999</v>
      </c>
      <c r="D1641" s="95" t="n">
        <v>54</v>
      </c>
      <c r="E1641" s="95" t="n">
        <v>57</v>
      </c>
      <c r="F1641" s="85" t="n">
        <v>172</v>
      </c>
      <c r="G1641" s="120" t="n">
        <v>0.0125</v>
      </c>
      <c r="H1641" s="120" t="n">
        <v>0.0125</v>
      </c>
      <c r="I1641" s="95" t="n">
        <v>3</v>
      </c>
      <c r="J1641" s="95" t="n">
        <v>57</v>
      </c>
      <c r="K1641" s="95" t="n">
        <v>0.87</v>
      </c>
      <c r="L1641" s="85" t="n">
        <v>1</v>
      </c>
    </row>
    <row r="1642">
      <c r="A1642" s="84" t="inlineStr">
        <is>
          <t>RATP</t>
        </is>
      </c>
      <c r="B1642" s="7" t="inlineStr">
        <is>
          <t>conduite ou super-actif</t>
        </is>
      </c>
      <c r="C1642" s="88" t="n">
        <v>2000</v>
      </c>
      <c r="D1642" s="95" t="n">
        <v>54</v>
      </c>
      <c r="E1642" s="95" t="n">
        <v>57</v>
      </c>
      <c r="F1642" s="85" t="n">
        <v>172</v>
      </c>
      <c r="G1642" s="120" t="n">
        <v>0.0125</v>
      </c>
      <c r="H1642" s="120" t="n">
        <v>0.0125</v>
      </c>
      <c r="I1642" s="95" t="n">
        <v>3</v>
      </c>
      <c r="J1642" s="95" t="n">
        <v>57</v>
      </c>
      <c r="K1642" s="95" t="n">
        <v>0.87</v>
      </c>
      <c r="L1642" s="85" t="n">
        <v>1</v>
      </c>
    </row>
    <row r="1643">
      <c r="A1643" s="84" t="inlineStr">
        <is>
          <t>RATP</t>
        </is>
      </c>
      <c r="B1643" s="7" t="inlineStr">
        <is>
          <t>conduite ou super-actif</t>
        </is>
      </c>
      <c r="C1643" s="88" t="n">
        <v>2001</v>
      </c>
      <c r="D1643" s="95" t="n">
        <v>54</v>
      </c>
      <c r="E1643" s="95" t="n">
        <v>57</v>
      </c>
      <c r="F1643" s="85" t="n">
        <v>172</v>
      </c>
      <c r="G1643" s="120" t="n">
        <v>0.0125</v>
      </c>
      <c r="H1643" s="120" t="n">
        <v>0.0125</v>
      </c>
      <c r="I1643" s="95" t="n">
        <v>3</v>
      </c>
      <c r="J1643" s="95" t="n">
        <v>57</v>
      </c>
      <c r="K1643" s="95" t="n">
        <v>0.87</v>
      </c>
      <c r="L1643" s="85" t="n">
        <v>1</v>
      </c>
    </row>
    <row r="1644">
      <c r="A1644" s="84" t="inlineStr">
        <is>
          <t>RATP</t>
        </is>
      </c>
      <c r="B1644" s="7" t="inlineStr">
        <is>
          <t>conduite ou super-actif</t>
        </is>
      </c>
      <c r="C1644" s="88" t="n">
        <v>2002</v>
      </c>
      <c r="D1644" s="95" t="n">
        <v>54</v>
      </c>
      <c r="E1644" s="95" t="n">
        <v>57</v>
      </c>
      <c r="F1644" s="85" t="n">
        <v>172</v>
      </c>
      <c r="G1644" s="120" t="n">
        <v>0.0125</v>
      </c>
      <c r="H1644" s="120" t="n">
        <v>0.0125</v>
      </c>
      <c r="I1644" s="95" t="n">
        <v>3</v>
      </c>
      <c r="J1644" s="95" t="n">
        <v>57</v>
      </c>
      <c r="K1644" s="95" t="n">
        <v>0.87</v>
      </c>
      <c r="L1644" s="85" t="n">
        <v>1</v>
      </c>
    </row>
    <row r="1645">
      <c r="A1645" s="84" t="inlineStr">
        <is>
          <t>RATP</t>
        </is>
      </c>
      <c r="B1645" s="7" t="inlineStr">
        <is>
          <t>conduite ou super-actif</t>
        </is>
      </c>
      <c r="C1645" s="88" t="n">
        <v>2003</v>
      </c>
      <c r="D1645" s="95" t="n">
        <v>54</v>
      </c>
      <c r="E1645" s="95" t="n">
        <v>57</v>
      </c>
      <c r="F1645" s="85" t="n">
        <v>172</v>
      </c>
      <c r="G1645" s="120" t="n">
        <v>0.0125</v>
      </c>
      <c r="H1645" s="120" t="n">
        <v>0.0125</v>
      </c>
      <c r="I1645" s="95" t="n">
        <v>3</v>
      </c>
      <c r="J1645" s="95" t="n">
        <v>57</v>
      </c>
      <c r="K1645" s="95" t="n">
        <v>0.87</v>
      </c>
      <c r="L1645" s="85" t="n">
        <v>1</v>
      </c>
    </row>
    <row r="1646">
      <c r="A1646" s="84" t="inlineStr">
        <is>
          <t>RATP</t>
        </is>
      </c>
      <c r="B1646" s="7" t="inlineStr">
        <is>
          <t>conduite ou super-actif</t>
        </is>
      </c>
      <c r="C1646" s="88" t="n">
        <v>2004</v>
      </c>
      <c r="D1646" s="95" t="n">
        <v>54</v>
      </c>
      <c r="E1646" s="95" t="n">
        <v>57</v>
      </c>
      <c r="F1646" s="85" t="n">
        <v>172</v>
      </c>
      <c r="G1646" s="120" t="n">
        <v>0.0125</v>
      </c>
      <c r="H1646" s="120" t="n">
        <v>0.0125</v>
      </c>
      <c r="I1646" s="95" t="n">
        <v>3</v>
      </c>
      <c r="J1646" s="95" t="n">
        <v>57</v>
      </c>
      <c r="K1646" s="95" t="n">
        <v>0.87</v>
      </c>
      <c r="L1646" s="85" t="n">
        <v>1</v>
      </c>
    </row>
    <row r="1647">
      <c r="A1647" s="84" t="inlineStr">
        <is>
          <t>RATP</t>
        </is>
      </c>
      <c r="B1647" s="7" t="inlineStr">
        <is>
          <t>conduite ou super-actif</t>
        </is>
      </c>
      <c r="C1647" s="88" t="n">
        <v>2005</v>
      </c>
      <c r="D1647" s="95" t="n">
        <v>54</v>
      </c>
      <c r="E1647" s="95" t="n">
        <v>57</v>
      </c>
      <c r="F1647" s="85" t="n">
        <v>172</v>
      </c>
      <c r="G1647" s="120" t="n">
        <v>0.0125</v>
      </c>
      <c r="H1647" s="120" t="n">
        <v>0.0125</v>
      </c>
      <c r="I1647" s="95" t="n">
        <v>3</v>
      </c>
      <c r="J1647" s="95" t="n">
        <v>57</v>
      </c>
      <c r="K1647" s="95" t="n">
        <v>0.87</v>
      </c>
      <c r="L1647" s="85" t="n">
        <v>1</v>
      </c>
    </row>
    <row r="1648">
      <c r="A1648" s="84" t="inlineStr">
        <is>
          <t>RATP</t>
        </is>
      </c>
      <c r="B1648" s="7" t="inlineStr">
        <is>
          <t>conduite ou super-actif</t>
        </is>
      </c>
      <c r="C1648" s="88" t="n">
        <v>2006</v>
      </c>
      <c r="D1648" s="95" t="n">
        <v>54</v>
      </c>
      <c r="E1648" s="95" t="n">
        <v>57</v>
      </c>
      <c r="F1648" s="85" t="n">
        <v>172</v>
      </c>
      <c r="G1648" s="120" t="n">
        <v>0.0125</v>
      </c>
      <c r="H1648" s="120" t="n">
        <v>0.0125</v>
      </c>
      <c r="I1648" s="95" t="n">
        <v>3</v>
      </c>
      <c r="J1648" s="95" t="n">
        <v>57</v>
      </c>
      <c r="K1648" s="95" t="n">
        <v>0.87</v>
      </c>
      <c r="L1648" s="85" t="n">
        <v>1</v>
      </c>
    </row>
    <row r="1649">
      <c r="A1649" s="84" t="inlineStr">
        <is>
          <t>RATP</t>
        </is>
      </c>
      <c r="B1649" s="7" t="inlineStr">
        <is>
          <t>conduite ou super-actif</t>
        </is>
      </c>
      <c r="C1649" s="88" t="n">
        <v>2007</v>
      </c>
      <c r="D1649" s="95" t="n">
        <v>54</v>
      </c>
      <c r="E1649" s="95" t="n">
        <v>57</v>
      </c>
      <c r="F1649" s="85" t="n">
        <v>172</v>
      </c>
      <c r="G1649" s="120" t="n">
        <v>0.0125</v>
      </c>
      <c r="H1649" s="120" t="n">
        <v>0.0125</v>
      </c>
      <c r="I1649" s="95" t="n">
        <v>3</v>
      </c>
      <c r="J1649" s="95" t="n">
        <v>57</v>
      </c>
      <c r="K1649" s="95" t="n">
        <v>0.87</v>
      </c>
      <c r="L1649" s="85" t="n">
        <v>1</v>
      </c>
    </row>
    <row r="1650">
      <c r="A1650" s="84" t="inlineStr">
        <is>
          <t>RATP</t>
        </is>
      </c>
      <c r="B1650" s="7" t="inlineStr">
        <is>
          <t>conduite ou super-actif</t>
        </is>
      </c>
      <c r="C1650" s="88" t="n">
        <v>2008</v>
      </c>
      <c r="D1650" s="95" t="n">
        <v>54</v>
      </c>
      <c r="E1650" s="95" t="n">
        <v>57</v>
      </c>
      <c r="F1650" s="85" t="n">
        <v>172</v>
      </c>
      <c r="G1650" s="120" t="n">
        <v>0.0125</v>
      </c>
      <c r="H1650" s="120" t="n">
        <v>0.0125</v>
      </c>
      <c r="I1650" s="95" t="n">
        <v>3</v>
      </c>
      <c r="J1650" s="95" t="n">
        <v>57</v>
      </c>
      <c r="K1650" s="95" t="n">
        <v>0.87</v>
      </c>
      <c r="L1650" s="85" t="n">
        <v>1</v>
      </c>
    </row>
    <row r="1651">
      <c r="A1651" s="84" t="inlineStr">
        <is>
          <t>RATP</t>
        </is>
      </c>
      <c r="B1651" s="7" t="inlineStr">
        <is>
          <t>conduite ou super-actif</t>
        </is>
      </c>
      <c r="C1651" s="88" t="n">
        <v>2009</v>
      </c>
      <c r="D1651" s="95" t="n">
        <v>54</v>
      </c>
      <c r="E1651" s="95" t="n">
        <v>57</v>
      </c>
      <c r="F1651" s="85" t="n">
        <v>172</v>
      </c>
      <c r="G1651" s="120" t="n">
        <v>0.0125</v>
      </c>
      <c r="H1651" s="120" t="n">
        <v>0.0125</v>
      </c>
      <c r="I1651" s="95" t="n">
        <v>3</v>
      </c>
      <c r="J1651" s="95" t="n">
        <v>57</v>
      </c>
      <c r="K1651" s="95" t="n">
        <v>0.87</v>
      </c>
      <c r="L1651" s="85" t="n">
        <v>1</v>
      </c>
    </row>
    <row r="1652">
      <c r="A1652" s="84" t="inlineStr">
        <is>
          <t>RATP</t>
        </is>
      </c>
      <c r="B1652" s="7" t="inlineStr">
        <is>
          <t>conduite ou super-actif</t>
        </is>
      </c>
      <c r="C1652" s="88" t="n">
        <v>2010</v>
      </c>
      <c r="D1652" s="95" t="n">
        <v>54</v>
      </c>
      <c r="E1652" s="95" t="n">
        <v>57</v>
      </c>
      <c r="F1652" s="85" t="n">
        <v>172</v>
      </c>
      <c r="G1652" s="120" t="n">
        <v>0.0125</v>
      </c>
      <c r="H1652" s="120" t="n">
        <v>0.0125</v>
      </c>
      <c r="I1652" s="95" t="n">
        <v>3</v>
      </c>
      <c r="J1652" s="95" t="n">
        <v>57</v>
      </c>
      <c r="K1652" s="95" t="n">
        <v>0.87</v>
      </c>
      <c r="L1652" s="85" t="n">
        <v>1</v>
      </c>
    </row>
    <row r="1653">
      <c r="A1653" s="84" t="inlineStr">
        <is>
          <t>RATP</t>
        </is>
      </c>
      <c r="B1653" s="7" t="inlineStr">
        <is>
          <t>conduite ou super-actif</t>
        </is>
      </c>
      <c r="C1653" s="88" t="n">
        <v>2011</v>
      </c>
      <c r="D1653" s="95" t="n">
        <v>54</v>
      </c>
      <c r="E1653" s="95" t="n">
        <v>57</v>
      </c>
      <c r="F1653" s="85" t="n">
        <v>172</v>
      </c>
      <c r="G1653" s="120" t="n">
        <v>0.0125</v>
      </c>
      <c r="H1653" s="120" t="n">
        <v>0.0125</v>
      </c>
      <c r="I1653" s="95" t="n">
        <v>3</v>
      </c>
      <c r="J1653" s="95" t="n">
        <v>57</v>
      </c>
      <c r="K1653" s="95" t="n">
        <v>0.87</v>
      </c>
      <c r="L1653" s="85" t="n">
        <v>1</v>
      </c>
    </row>
    <row r="1654">
      <c r="A1654" s="84" t="inlineStr">
        <is>
          <t>RATP</t>
        </is>
      </c>
      <c r="B1654" s="7" t="inlineStr">
        <is>
          <t>conduite ou super-actif</t>
        </is>
      </c>
      <c r="C1654" s="88" t="n">
        <v>2012</v>
      </c>
      <c r="D1654" s="95" t="n">
        <v>54</v>
      </c>
      <c r="E1654" s="95" t="n">
        <v>57</v>
      </c>
      <c r="F1654" s="85" t="n">
        <v>172</v>
      </c>
      <c r="G1654" s="120" t="n">
        <v>0.0125</v>
      </c>
      <c r="H1654" s="120" t="n">
        <v>0.0125</v>
      </c>
      <c r="I1654" s="95" t="n">
        <v>3</v>
      </c>
      <c r="J1654" s="95" t="n">
        <v>57</v>
      </c>
      <c r="K1654" s="95" t="n">
        <v>0.87</v>
      </c>
      <c r="L1654" s="85" t="n">
        <v>1</v>
      </c>
    </row>
    <row r="1655">
      <c r="A1655" s="84" t="inlineStr">
        <is>
          <t>RATP</t>
        </is>
      </c>
      <c r="B1655" s="7" t="inlineStr">
        <is>
          <t>conduite ou super-actif</t>
        </is>
      </c>
      <c r="C1655" s="88" t="n">
        <v>2013</v>
      </c>
      <c r="D1655" s="95" t="n">
        <v>54</v>
      </c>
      <c r="E1655" s="95" t="n">
        <v>57</v>
      </c>
      <c r="F1655" s="85" t="n">
        <v>172</v>
      </c>
      <c r="G1655" s="120" t="n">
        <v>0.0125</v>
      </c>
      <c r="H1655" s="120" t="n">
        <v>0.0125</v>
      </c>
      <c r="I1655" s="95" t="n">
        <v>3</v>
      </c>
      <c r="J1655" s="95" t="n">
        <v>57</v>
      </c>
      <c r="K1655" s="95" t="n">
        <v>0.87</v>
      </c>
      <c r="L1655" s="85" t="n">
        <v>1</v>
      </c>
    </row>
    <row r="1656">
      <c r="A1656" s="84" t="inlineStr">
        <is>
          <t>RATP</t>
        </is>
      </c>
      <c r="B1656" s="7" t="inlineStr">
        <is>
          <t>conduite ou super-actif</t>
        </is>
      </c>
      <c r="C1656" s="88" t="n">
        <v>2014</v>
      </c>
      <c r="D1656" s="95" t="n">
        <v>54</v>
      </c>
      <c r="E1656" s="95" t="n">
        <v>57</v>
      </c>
      <c r="F1656" s="85" t="n">
        <v>172</v>
      </c>
      <c r="G1656" s="120" t="n">
        <v>0.0125</v>
      </c>
      <c r="H1656" s="120" t="n">
        <v>0.0125</v>
      </c>
      <c r="I1656" s="95" t="n">
        <v>3</v>
      </c>
      <c r="J1656" s="95" t="n">
        <v>57</v>
      </c>
      <c r="K1656" s="95" t="n">
        <v>0.87</v>
      </c>
      <c r="L1656" s="85" t="n">
        <v>1</v>
      </c>
    </row>
    <row r="1657">
      <c r="A1657" s="84" t="inlineStr">
        <is>
          <t>RATP</t>
        </is>
      </c>
      <c r="B1657" s="7" t="inlineStr">
        <is>
          <t>conduite ou super-actif</t>
        </is>
      </c>
      <c r="C1657" s="88" t="n">
        <v>2015</v>
      </c>
      <c r="D1657" s="95" t="n">
        <v>54</v>
      </c>
      <c r="E1657" s="95" t="n">
        <v>57</v>
      </c>
      <c r="F1657" s="85" t="n">
        <v>172</v>
      </c>
      <c r="G1657" s="120" t="n">
        <v>0.0125</v>
      </c>
      <c r="H1657" s="120" t="n">
        <v>0.0125</v>
      </c>
      <c r="I1657" s="95" t="n">
        <v>3</v>
      </c>
      <c r="J1657" s="95" t="n">
        <v>57</v>
      </c>
      <c r="K1657" s="95" t="n">
        <v>0.87</v>
      </c>
      <c r="L1657" s="85" t="n">
        <v>1</v>
      </c>
    </row>
    <row r="1658">
      <c r="A1658" s="84" t="inlineStr">
        <is>
          <t>RATP</t>
        </is>
      </c>
      <c r="B1658" s="7" t="inlineStr">
        <is>
          <t>conduite ou super-actif</t>
        </is>
      </c>
      <c r="C1658" s="88" t="n">
        <v>2016</v>
      </c>
      <c r="D1658" s="95" t="n">
        <v>54</v>
      </c>
      <c r="E1658" s="95" t="n">
        <v>57</v>
      </c>
      <c r="F1658" s="85" t="n">
        <v>172</v>
      </c>
      <c r="G1658" s="120" t="n">
        <v>0.0125</v>
      </c>
      <c r="H1658" s="120" t="n">
        <v>0.0125</v>
      </c>
      <c r="I1658" s="95" t="n">
        <v>3</v>
      </c>
      <c r="J1658" s="95" t="n">
        <v>57</v>
      </c>
      <c r="K1658" s="95" t="n">
        <v>0.87</v>
      </c>
      <c r="L1658" s="85" t="n">
        <v>1</v>
      </c>
    </row>
    <row r="1659">
      <c r="A1659" s="84" t="inlineStr">
        <is>
          <t>RATP</t>
        </is>
      </c>
      <c r="B1659" s="7" t="inlineStr">
        <is>
          <t>conduite ou super-actif</t>
        </is>
      </c>
      <c r="C1659" s="88" t="n">
        <v>2017</v>
      </c>
      <c r="D1659" s="95" t="n">
        <v>54</v>
      </c>
      <c r="E1659" s="95" t="n">
        <v>57</v>
      </c>
      <c r="F1659" s="85" t="n">
        <v>172</v>
      </c>
      <c r="G1659" s="120" t="n">
        <v>0.0125</v>
      </c>
      <c r="H1659" s="120" t="n">
        <v>0.0125</v>
      </c>
      <c r="I1659" s="95" t="n">
        <v>3</v>
      </c>
      <c r="J1659" s="95" t="n">
        <v>57</v>
      </c>
      <c r="K1659" s="95" t="n">
        <v>0.87</v>
      </c>
      <c r="L1659" s="85" t="n">
        <v>1</v>
      </c>
    </row>
    <row r="1660">
      <c r="A1660" s="84" t="inlineStr">
        <is>
          <t>RATP</t>
        </is>
      </c>
      <c r="B1660" s="7" t="inlineStr">
        <is>
          <t>conduite ou super-actif</t>
        </is>
      </c>
      <c r="C1660" s="88" t="n">
        <v>2018</v>
      </c>
      <c r="D1660" s="95" t="n">
        <v>54</v>
      </c>
      <c r="E1660" s="95" t="n">
        <v>57</v>
      </c>
      <c r="F1660" s="85" t="n">
        <v>172</v>
      </c>
      <c r="G1660" s="120" t="n">
        <v>0.0125</v>
      </c>
      <c r="H1660" s="120" t="n">
        <v>0.0125</v>
      </c>
      <c r="I1660" s="95" t="n">
        <v>3</v>
      </c>
      <c r="J1660" s="95" t="n">
        <v>57</v>
      </c>
      <c r="K1660" s="95" t="n">
        <v>0.87</v>
      </c>
      <c r="L1660" s="85" t="n">
        <v>1</v>
      </c>
    </row>
    <row r="1661">
      <c r="A1661" s="84" t="inlineStr">
        <is>
          <t>RATP</t>
        </is>
      </c>
      <c r="B1661" s="7" t="inlineStr">
        <is>
          <t>conduite ou super-actif</t>
        </is>
      </c>
      <c r="C1661" s="88" t="n">
        <v>2019</v>
      </c>
      <c r="D1661" s="95" t="n">
        <v>54</v>
      </c>
      <c r="E1661" s="95" t="n">
        <v>57</v>
      </c>
      <c r="F1661" s="85" t="n">
        <v>172</v>
      </c>
      <c r="G1661" s="120" t="n">
        <v>0.0125</v>
      </c>
      <c r="H1661" s="120" t="n">
        <v>0.0125</v>
      </c>
      <c r="I1661" s="95" t="n">
        <v>3</v>
      </c>
      <c r="J1661" s="95" t="n">
        <v>57</v>
      </c>
      <c r="K1661" s="95" t="n">
        <v>0.87</v>
      </c>
      <c r="L1661" s="85" t="n">
        <v>1</v>
      </c>
    </row>
    <row r="1662">
      <c r="A1662" s="84" t="inlineStr">
        <is>
          <t>RATP</t>
        </is>
      </c>
      <c r="B1662" s="7" t="inlineStr">
        <is>
          <t>conduite ou super-actif</t>
        </is>
      </c>
      <c r="C1662" s="88" t="n">
        <v>2020</v>
      </c>
      <c r="D1662" s="95" t="n">
        <v>54</v>
      </c>
      <c r="E1662" s="95" t="n">
        <v>57</v>
      </c>
      <c r="F1662" s="85" t="n">
        <v>172</v>
      </c>
      <c r="G1662" s="120" t="n">
        <v>0.0125</v>
      </c>
      <c r="H1662" s="120" t="n">
        <v>0.0125</v>
      </c>
      <c r="I1662" s="95" t="n">
        <v>3</v>
      </c>
      <c r="J1662" s="95" t="n">
        <v>57</v>
      </c>
      <c r="K1662" s="95" t="n">
        <v>0.87</v>
      </c>
      <c r="L1662" s="85" t="n">
        <v>1</v>
      </c>
    </row>
    <row r="1663">
      <c r="A1663" s="84" t="inlineStr">
        <is>
          <t>RATP</t>
        </is>
      </c>
      <c r="B1663" s="7" t="inlineStr">
        <is>
          <t>conduite ou super-actif</t>
        </is>
      </c>
      <c r="C1663" s="88" t="n">
        <v>2021</v>
      </c>
      <c r="D1663" s="95" t="n">
        <v>54</v>
      </c>
      <c r="E1663" s="95" t="n">
        <v>57</v>
      </c>
      <c r="F1663" s="85" t="n">
        <v>172</v>
      </c>
      <c r="G1663" s="120" t="n">
        <v>0.0125</v>
      </c>
      <c r="H1663" s="120" t="n">
        <v>0.0125</v>
      </c>
      <c r="I1663" s="95" t="n">
        <v>3</v>
      </c>
      <c r="J1663" s="95" t="n">
        <v>57</v>
      </c>
      <c r="K1663" s="95" t="n">
        <v>0.87</v>
      </c>
      <c r="L1663" s="85" t="n">
        <v>1</v>
      </c>
    </row>
    <row r="1664">
      <c r="A1664" s="84" t="inlineStr">
        <is>
          <t>RATP</t>
        </is>
      </c>
      <c r="B1664" s="7" t="inlineStr">
        <is>
          <t>conduite ou super-actif</t>
        </is>
      </c>
      <c r="C1664" s="88" t="n">
        <v>2022</v>
      </c>
      <c r="D1664" s="95" t="n">
        <v>54</v>
      </c>
      <c r="E1664" s="95" t="n">
        <v>57</v>
      </c>
      <c r="F1664" s="85" t="n">
        <v>172</v>
      </c>
      <c r="G1664" s="120" t="n">
        <v>0.0125</v>
      </c>
      <c r="H1664" s="120" t="n">
        <v>0.0125</v>
      </c>
      <c r="I1664" s="95" t="n">
        <v>3</v>
      </c>
      <c r="J1664" s="95" t="n">
        <v>57</v>
      </c>
      <c r="K1664" s="95" t="n">
        <v>0.87</v>
      </c>
      <c r="L1664" s="85" t="n">
        <v>1</v>
      </c>
    </row>
    <row r="1665">
      <c r="A1665" s="84" t="inlineStr">
        <is>
          <t>RATP</t>
        </is>
      </c>
      <c r="B1665" s="7" t="inlineStr">
        <is>
          <t>conduite ou super-actif</t>
        </is>
      </c>
      <c r="C1665" s="88" t="n">
        <v>2023</v>
      </c>
      <c r="D1665" s="95" t="n">
        <v>54</v>
      </c>
      <c r="E1665" s="95" t="n">
        <v>57</v>
      </c>
      <c r="F1665" s="85" t="n">
        <v>172</v>
      </c>
      <c r="G1665" s="120" t="n">
        <v>0.0125</v>
      </c>
      <c r="H1665" s="120" t="n">
        <v>0.0125</v>
      </c>
      <c r="I1665" s="95" t="n">
        <v>3</v>
      </c>
      <c r="J1665" s="95" t="n">
        <v>57</v>
      </c>
      <c r="K1665" s="95" t="n">
        <v>0.87</v>
      </c>
      <c r="L1665" s="85" t="n">
        <v>1</v>
      </c>
    </row>
    <row r="1666">
      <c r="A1666" s="84" t="inlineStr">
        <is>
          <t>RATP</t>
        </is>
      </c>
      <c r="B1666" s="7" t="inlineStr">
        <is>
          <t>conduite ou super-actif</t>
        </is>
      </c>
      <c r="C1666" s="88" t="n">
        <v>2024</v>
      </c>
      <c r="D1666" s="95" t="n">
        <v>54</v>
      </c>
      <c r="E1666" s="95" t="n">
        <v>57</v>
      </c>
      <c r="F1666" s="85" t="n">
        <v>172</v>
      </c>
      <c r="G1666" s="120" t="n">
        <v>0.0125</v>
      </c>
      <c r="H1666" s="120" t="n">
        <v>0.0125</v>
      </c>
      <c r="I1666" s="95" t="n">
        <v>3</v>
      </c>
      <c r="J1666" s="95" t="n">
        <v>57</v>
      </c>
      <c r="K1666" s="95" t="n">
        <v>0.87</v>
      </c>
      <c r="L1666" s="85" t="n">
        <v>1</v>
      </c>
    </row>
    <row r="1667">
      <c r="A1667" s="84" t="inlineStr">
        <is>
          <t>RATP</t>
        </is>
      </c>
      <c r="B1667" s="7" t="inlineStr">
        <is>
          <t>conduite ou super-actif</t>
        </is>
      </c>
      <c r="C1667" s="88" t="n">
        <v>2025</v>
      </c>
      <c r="D1667" s="95" t="n">
        <v>54</v>
      </c>
      <c r="E1667" s="95" t="n">
        <v>57</v>
      </c>
      <c r="F1667" s="85" t="n">
        <v>172</v>
      </c>
      <c r="G1667" s="120" t="n">
        <v>0.0125</v>
      </c>
      <c r="H1667" s="120" t="n">
        <v>0.0125</v>
      </c>
      <c r="I1667" s="95" t="n">
        <v>3</v>
      </c>
      <c r="J1667" s="95" t="n">
        <v>57</v>
      </c>
      <c r="K1667" s="95" t="n">
        <v>0.87</v>
      </c>
      <c r="L1667" s="85" t="n">
        <v>1</v>
      </c>
    </row>
    <row r="1668">
      <c r="A1668" s="84" t="inlineStr">
        <is>
          <t>IEG</t>
        </is>
      </c>
      <c r="B1668" s="7" t="inlineStr">
        <is>
          <t>sédentaire</t>
        </is>
      </c>
      <c r="C1668" s="88" t="n">
        <v>1915</v>
      </c>
      <c r="D1668" s="95" t="n">
        <v>60</v>
      </c>
      <c r="E1668" s="95" t="n">
        <v>60</v>
      </c>
      <c r="F1668" s="85" t="n">
        <v>150</v>
      </c>
      <c r="G1668" s="120" t="n">
        <v>0</v>
      </c>
      <c r="H1668" s="120" t="n">
        <v>0</v>
      </c>
      <c r="I1668" s="95" t="n">
        <v>0.8</v>
      </c>
      <c r="J1668" s="95" t="n">
        <v>60.8</v>
      </c>
      <c r="K1668" s="95" t="n">
        <v>0.95</v>
      </c>
      <c r="L1668" s="85" t="n">
        <v>0</v>
      </c>
    </row>
    <row r="1669">
      <c r="A1669" s="84" t="inlineStr">
        <is>
          <t>IEG</t>
        </is>
      </c>
      <c r="B1669" s="7" t="inlineStr">
        <is>
          <t>sédentaire</t>
        </is>
      </c>
      <c r="C1669" s="88" t="n">
        <v>1916</v>
      </c>
      <c r="D1669" s="95" t="n">
        <v>60</v>
      </c>
      <c r="E1669" s="95" t="n">
        <v>60</v>
      </c>
      <c r="F1669" s="85" t="n">
        <v>150</v>
      </c>
      <c r="G1669" s="120" t="n">
        <v>0</v>
      </c>
      <c r="H1669" s="120" t="n">
        <v>0</v>
      </c>
      <c r="I1669" s="95" t="n">
        <v>0.8</v>
      </c>
      <c r="J1669" s="95" t="n">
        <v>60.8</v>
      </c>
      <c r="K1669" s="95" t="n">
        <v>0.95</v>
      </c>
      <c r="L1669" s="85" t="n">
        <v>0</v>
      </c>
    </row>
    <row r="1670">
      <c r="A1670" s="84" t="inlineStr">
        <is>
          <t>IEG</t>
        </is>
      </c>
      <c r="B1670" s="7" t="inlineStr">
        <is>
          <t>sédentaire</t>
        </is>
      </c>
      <c r="C1670" s="88" t="n">
        <v>1917</v>
      </c>
      <c r="D1670" s="95" t="n">
        <v>60</v>
      </c>
      <c r="E1670" s="95" t="n">
        <v>60</v>
      </c>
      <c r="F1670" s="85" t="n">
        <v>150</v>
      </c>
      <c r="G1670" s="120" t="n">
        <v>0</v>
      </c>
      <c r="H1670" s="120" t="n">
        <v>0</v>
      </c>
      <c r="I1670" s="95" t="n">
        <v>0.8</v>
      </c>
      <c r="J1670" s="95" t="n">
        <v>60.8</v>
      </c>
      <c r="K1670" s="95" t="n">
        <v>0.95</v>
      </c>
      <c r="L1670" s="85" t="n">
        <v>0</v>
      </c>
    </row>
    <row r="1671">
      <c r="A1671" s="84" t="inlineStr">
        <is>
          <t>IEG</t>
        </is>
      </c>
      <c r="B1671" s="7" t="inlineStr">
        <is>
          <t>sédentaire</t>
        </is>
      </c>
      <c r="C1671" s="88" t="n">
        <v>1918</v>
      </c>
      <c r="D1671" s="95" t="n">
        <v>60</v>
      </c>
      <c r="E1671" s="95" t="n">
        <v>60</v>
      </c>
      <c r="F1671" s="85" t="n">
        <v>150</v>
      </c>
      <c r="G1671" s="120" t="n">
        <v>0</v>
      </c>
      <c r="H1671" s="120" t="n">
        <v>0</v>
      </c>
      <c r="I1671" s="95" t="n">
        <v>0.8</v>
      </c>
      <c r="J1671" s="95" t="n">
        <v>60.8</v>
      </c>
      <c r="K1671" s="95" t="n">
        <v>0.95</v>
      </c>
      <c r="L1671" s="85" t="n">
        <v>0</v>
      </c>
    </row>
    <row r="1672">
      <c r="A1672" s="84" t="inlineStr">
        <is>
          <t>IEG</t>
        </is>
      </c>
      <c r="B1672" s="7" t="inlineStr">
        <is>
          <t>sédentaire</t>
        </is>
      </c>
      <c r="C1672" s="88" t="n">
        <v>1919</v>
      </c>
      <c r="D1672" s="95" t="n">
        <v>60</v>
      </c>
      <c r="E1672" s="95" t="n">
        <v>60</v>
      </c>
      <c r="F1672" s="85" t="n">
        <v>150</v>
      </c>
      <c r="G1672" s="120" t="n">
        <v>0</v>
      </c>
      <c r="H1672" s="120" t="n">
        <v>0</v>
      </c>
      <c r="I1672" s="95" t="n">
        <v>0.8</v>
      </c>
      <c r="J1672" s="95" t="n">
        <v>60.8</v>
      </c>
      <c r="K1672" s="95" t="n">
        <v>0.95</v>
      </c>
      <c r="L1672" s="85" t="n">
        <v>0</v>
      </c>
    </row>
    <row r="1673">
      <c r="A1673" s="84" t="inlineStr">
        <is>
          <t>IEG</t>
        </is>
      </c>
      <c r="B1673" s="7" t="inlineStr">
        <is>
          <t>sédentaire</t>
        </is>
      </c>
      <c r="C1673" s="88" t="n">
        <v>1920</v>
      </c>
      <c r="D1673" s="95" t="n">
        <v>60</v>
      </c>
      <c r="E1673" s="95" t="n">
        <v>60</v>
      </c>
      <c r="F1673" s="85" t="n">
        <v>150</v>
      </c>
      <c r="G1673" s="120" t="n">
        <v>0</v>
      </c>
      <c r="H1673" s="120" t="n">
        <v>0</v>
      </c>
      <c r="I1673" s="95" t="n">
        <v>0.8</v>
      </c>
      <c r="J1673" s="95" t="n">
        <v>60.8</v>
      </c>
      <c r="K1673" s="95" t="n">
        <v>0.95</v>
      </c>
      <c r="L1673" s="85" t="n">
        <v>0</v>
      </c>
    </row>
    <row r="1674">
      <c r="A1674" s="84" t="inlineStr">
        <is>
          <t>IEG</t>
        </is>
      </c>
      <c r="B1674" s="7" t="inlineStr">
        <is>
          <t>sédentaire</t>
        </is>
      </c>
      <c r="C1674" s="88" t="n">
        <v>1921</v>
      </c>
      <c r="D1674" s="95" t="n">
        <v>60</v>
      </c>
      <c r="E1674" s="95" t="n">
        <v>60</v>
      </c>
      <c r="F1674" s="85" t="n">
        <v>150</v>
      </c>
      <c r="G1674" s="120" t="n">
        <v>0</v>
      </c>
      <c r="H1674" s="120" t="n">
        <v>0</v>
      </c>
      <c r="I1674" s="95" t="n">
        <v>0.8</v>
      </c>
      <c r="J1674" s="95" t="n">
        <v>60.8</v>
      </c>
      <c r="K1674" s="95" t="n">
        <v>0.95</v>
      </c>
      <c r="L1674" s="85" t="n">
        <v>0</v>
      </c>
    </row>
    <row r="1675">
      <c r="A1675" s="84" t="inlineStr">
        <is>
          <t>IEG</t>
        </is>
      </c>
      <c r="B1675" s="7" t="inlineStr">
        <is>
          <t>sédentaire</t>
        </is>
      </c>
      <c r="C1675" s="88" t="n">
        <v>1922</v>
      </c>
      <c r="D1675" s="95" t="n">
        <v>60</v>
      </c>
      <c r="E1675" s="95" t="n">
        <v>60</v>
      </c>
      <c r="F1675" s="85" t="n">
        <v>150</v>
      </c>
      <c r="G1675" s="120" t="n">
        <v>0</v>
      </c>
      <c r="H1675" s="120" t="n">
        <v>0</v>
      </c>
      <c r="I1675" s="95" t="n">
        <v>0.8</v>
      </c>
      <c r="J1675" s="95" t="n">
        <v>60.8</v>
      </c>
      <c r="K1675" s="95" t="n">
        <v>0.95</v>
      </c>
      <c r="L1675" s="85" t="n">
        <v>0</v>
      </c>
    </row>
    <row r="1676">
      <c r="A1676" s="84" t="inlineStr">
        <is>
          <t>IEG</t>
        </is>
      </c>
      <c r="B1676" s="7" t="inlineStr">
        <is>
          <t>sédentaire</t>
        </is>
      </c>
      <c r="C1676" s="88" t="n">
        <v>1923</v>
      </c>
      <c r="D1676" s="95" t="n">
        <v>60</v>
      </c>
      <c r="E1676" s="95" t="n">
        <v>60</v>
      </c>
      <c r="F1676" s="85" t="n">
        <v>150</v>
      </c>
      <c r="G1676" s="120" t="n">
        <v>0</v>
      </c>
      <c r="H1676" s="120" t="n">
        <v>0</v>
      </c>
      <c r="I1676" s="95" t="n">
        <v>0.8</v>
      </c>
      <c r="J1676" s="95" t="n">
        <v>60.8</v>
      </c>
      <c r="K1676" s="95" t="n">
        <v>0.95</v>
      </c>
      <c r="L1676" s="85" t="n">
        <v>0</v>
      </c>
    </row>
    <row r="1677">
      <c r="A1677" s="84" t="inlineStr">
        <is>
          <t>IEG</t>
        </is>
      </c>
      <c r="B1677" s="7" t="inlineStr">
        <is>
          <t>sédentaire</t>
        </is>
      </c>
      <c r="C1677" s="88" t="n">
        <v>1924</v>
      </c>
      <c r="D1677" s="95" t="n">
        <v>60</v>
      </c>
      <c r="E1677" s="95" t="n">
        <v>60</v>
      </c>
      <c r="F1677" s="85" t="n">
        <v>150</v>
      </c>
      <c r="G1677" s="120" t="n">
        <v>0</v>
      </c>
      <c r="H1677" s="120" t="n">
        <v>0</v>
      </c>
      <c r="I1677" s="95" t="n">
        <v>0.8</v>
      </c>
      <c r="J1677" s="95" t="n">
        <v>60.8</v>
      </c>
      <c r="K1677" s="95" t="n">
        <v>0.95</v>
      </c>
      <c r="L1677" s="85" t="n">
        <v>0</v>
      </c>
    </row>
    <row r="1678">
      <c r="A1678" s="84" t="inlineStr">
        <is>
          <t>IEG</t>
        </is>
      </c>
      <c r="B1678" s="7" t="inlineStr">
        <is>
          <t>sédentaire</t>
        </is>
      </c>
      <c r="C1678" s="88" t="n">
        <v>1925</v>
      </c>
      <c r="D1678" s="95" t="n">
        <v>60</v>
      </c>
      <c r="E1678" s="95" t="n">
        <v>60</v>
      </c>
      <c r="F1678" s="85" t="n">
        <v>150</v>
      </c>
      <c r="G1678" s="120" t="n">
        <v>0</v>
      </c>
      <c r="H1678" s="120" t="n">
        <v>0</v>
      </c>
      <c r="I1678" s="95" t="n">
        <v>0.8</v>
      </c>
      <c r="J1678" s="95" t="n">
        <v>60.8</v>
      </c>
      <c r="K1678" s="95" t="n">
        <v>0.95</v>
      </c>
      <c r="L1678" s="85" t="n">
        <v>0</v>
      </c>
    </row>
    <row r="1679">
      <c r="A1679" s="84" t="inlineStr">
        <is>
          <t>IEG</t>
        </is>
      </c>
      <c r="B1679" s="7" t="inlineStr">
        <is>
          <t>sédentaire</t>
        </is>
      </c>
      <c r="C1679" s="88" t="n">
        <v>1926</v>
      </c>
      <c r="D1679" s="95" t="n">
        <v>60</v>
      </c>
      <c r="E1679" s="95" t="n">
        <v>60</v>
      </c>
      <c r="F1679" s="85" t="n">
        <v>150</v>
      </c>
      <c r="G1679" s="120" t="n">
        <v>0</v>
      </c>
      <c r="H1679" s="120" t="n">
        <v>0</v>
      </c>
      <c r="I1679" s="95" t="n">
        <v>0.8</v>
      </c>
      <c r="J1679" s="95" t="n">
        <v>60.8</v>
      </c>
      <c r="K1679" s="95" t="n">
        <v>0.95</v>
      </c>
      <c r="L1679" s="85" t="n">
        <v>0</v>
      </c>
    </row>
    <row r="1680">
      <c r="A1680" s="84" t="inlineStr">
        <is>
          <t>IEG</t>
        </is>
      </c>
      <c r="B1680" s="7" t="inlineStr">
        <is>
          <t>sédentaire</t>
        </is>
      </c>
      <c r="C1680" s="88" t="n">
        <v>1927</v>
      </c>
      <c r="D1680" s="95" t="n">
        <v>60</v>
      </c>
      <c r="E1680" s="95" t="n">
        <v>60</v>
      </c>
      <c r="F1680" s="85" t="n">
        <v>150</v>
      </c>
      <c r="G1680" s="120" t="n">
        <v>0</v>
      </c>
      <c r="H1680" s="120" t="n">
        <v>0</v>
      </c>
      <c r="I1680" s="95" t="n">
        <v>0.8</v>
      </c>
      <c r="J1680" s="95" t="n">
        <v>60.8</v>
      </c>
      <c r="K1680" s="95" t="n">
        <v>0.95</v>
      </c>
      <c r="L1680" s="85" t="n">
        <v>0</v>
      </c>
    </row>
    <row r="1681">
      <c r="A1681" s="84" t="inlineStr">
        <is>
          <t>IEG</t>
        </is>
      </c>
      <c r="B1681" s="7" t="inlineStr">
        <is>
          <t>sédentaire</t>
        </is>
      </c>
      <c r="C1681" s="88" t="n">
        <v>1928</v>
      </c>
      <c r="D1681" s="95" t="n">
        <v>60</v>
      </c>
      <c r="E1681" s="95" t="n">
        <v>60</v>
      </c>
      <c r="F1681" s="85" t="n">
        <v>150</v>
      </c>
      <c r="G1681" s="120" t="n">
        <v>0</v>
      </c>
      <c r="H1681" s="120" t="n">
        <v>0</v>
      </c>
      <c r="I1681" s="95" t="n">
        <v>0.8</v>
      </c>
      <c r="J1681" s="95" t="n">
        <v>60.8</v>
      </c>
      <c r="K1681" s="95" t="n">
        <v>0.95</v>
      </c>
      <c r="L1681" s="85" t="n">
        <v>0</v>
      </c>
    </row>
    <row r="1682">
      <c r="A1682" s="84" t="inlineStr">
        <is>
          <t>IEG</t>
        </is>
      </c>
      <c r="B1682" s="7" t="inlineStr">
        <is>
          <t>sédentaire</t>
        </is>
      </c>
      <c r="C1682" s="88" t="n">
        <v>1929</v>
      </c>
      <c r="D1682" s="95" t="n">
        <v>60</v>
      </c>
      <c r="E1682" s="95" t="n">
        <v>60</v>
      </c>
      <c r="F1682" s="85" t="n">
        <v>150</v>
      </c>
      <c r="G1682" s="120" t="n">
        <v>0</v>
      </c>
      <c r="H1682" s="120" t="n">
        <v>0</v>
      </c>
      <c r="I1682" s="95" t="n">
        <v>0.8</v>
      </c>
      <c r="J1682" s="95" t="n">
        <v>60.8</v>
      </c>
      <c r="K1682" s="95" t="n">
        <v>0.95</v>
      </c>
      <c r="L1682" s="85" t="n">
        <v>0</v>
      </c>
    </row>
    <row r="1683">
      <c r="A1683" s="84" t="inlineStr">
        <is>
          <t>IEG</t>
        </is>
      </c>
      <c r="B1683" s="7" t="inlineStr">
        <is>
          <t>sédentaire</t>
        </is>
      </c>
      <c r="C1683" s="88" t="n">
        <v>1930</v>
      </c>
      <c r="D1683" s="95" t="n">
        <v>60</v>
      </c>
      <c r="E1683" s="95" t="n">
        <v>60</v>
      </c>
      <c r="F1683" s="85" t="n">
        <v>150</v>
      </c>
      <c r="G1683" s="120" t="n">
        <v>0</v>
      </c>
      <c r="H1683" s="120" t="n">
        <v>0</v>
      </c>
      <c r="I1683" s="95" t="n">
        <v>0.8</v>
      </c>
      <c r="J1683" s="95" t="n">
        <v>60.8</v>
      </c>
      <c r="K1683" s="95" t="n">
        <v>0.95</v>
      </c>
      <c r="L1683" s="85" t="n">
        <v>0</v>
      </c>
    </row>
    <row r="1684">
      <c r="A1684" s="84" t="inlineStr">
        <is>
          <t>IEG</t>
        </is>
      </c>
      <c r="B1684" s="7" t="inlineStr">
        <is>
          <t>sédentaire</t>
        </is>
      </c>
      <c r="C1684" s="88" t="n">
        <v>1931</v>
      </c>
      <c r="D1684" s="95" t="n">
        <v>60</v>
      </c>
      <c r="E1684" s="95" t="n">
        <v>60</v>
      </c>
      <c r="F1684" s="85" t="n">
        <v>150</v>
      </c>
      <c r="G1684" s="120" t="n">
        <v>0</v>
      </c>
      <c r="H1684" s="120" t="n">
        <v>0</v>
      </c>
      <c r="I1684" s="95" t="n">
        <v>0.8</v>
      </c>
      <c r="J1684" s="95" t="n">
        <v>60.8</v>
      </c>
      <c r="K1684" s="95" t="n">
        <v>0.95</v>
      </c>
      <c r="L1684" s="85" t="n">
        <v>0</v>
      </c>
    </row>
    <row r="1685">
      <c r="A1685" s="84" t="inlineStr">
        <is>
          <t>IEG</t>
        </is>
      </c>
      <c r="B1685" s="7" t="inlineStr">
        <is>
          <t>sédentaire</t>
        </is>
      </c>
      <c r="C1685" s="88" t="n">
        <v>1932</v>
      </c>
      <c r="D1685" s="95" t="n">
        <v>60</v>
      </c>
      <c r="E1685" s="95" t="n">
        <v>60</v>
      </c>
      <c r="F1685" s="85" t="n">
        <v>150</v>
      </c>
      <c r="G1685" s="120" t="n">
        <v>0</v>
      </c>
      <c r="H1685" s="120" t="n">
        <v>0</v>
      </c>
      <c r="I1685" s="95" t="n">
        <v>0.8</v>
      </c>
      <c r="J1685" s="95" t="n">
        <v>60.8</v>
      </c>
      <c r="K1685" s="95" t="n">
        <v>0.95</v>
      </c>
      <c r="L1685" s="85" t="n">
        <v>0</v>
      </c>
    </row>
    <row r="1686">
      <c r="A1686" s="84" t="inlineStr">
        <is>
          <t>IEG</t>
        </is>
      </c>
      <c r="B1686" s="7" t="inlineStr">
        <is>
          <t>sédentaire</t>
        </is>
      </c>
      <c r="C1686" s="88" t="n">
        <v>1933</v>
      </c>
      <c r="D1686" s="95" t="n">
        <v>60</v>
      </c>
      <c r="E1686" s="95" t="n">
        <v>60</v>
      </c>
      <c r="F1686" s="85" t="n">
        <v>150</v>
      </c>
      <c r="G1686" s="120" t="n">
        <v>0</v>
      </c>
      <c r="H1686" s="120" t="n">
        <v>0</v>
      </c>
      <c r="I1686" s="95" t="n">
        <v>0.8</v>
      </c>
      <c r="J1686" s="95" t="n">
        <v>60.8</v>
      </c>
      <c r="K1686" s="95" t="n">
        <v>0.95</v>
      </c>
      <c r="L1686" s="85" t="n">
        <v>0</v>
      </c>
    </row>
    <row r="1687">
      <c r="A1687" s="84" t="inlineStr">
        <is>
          <t>IEG</t>
        </is>
      </c>
      <c r="B1687" s="7" t="inlineStr">
        <is>
          <t>sédentaire</t>
        </is>
      </c>
      <c r="C1687" s="88" t="n">
        <v>1934</v>
      </c>
      <c r="D1687" s="95" t="n">
        <v>60</v>
      </c>
      <c r="E1687" s="95" t="n">
        <v>60</v>
      </c>
      <c r="F1687" s="85" t="n">
        <v>150</v>
      </c>
      <c r="G1687" s="120" t="n">
        <v>0</v>
      </c>
      <c r="H1687" s="120" t="n">
        <v>0</v>
      </c>
      <c r="I1687" s="95" t="n">
        <v>0.8</v>
      </c>
      <c r="J1687" s="95" t="n">
        <v>60.8</v>
      </c>
      <c r="K1687" s="95" t="n">
        <v>0.95</v>
      </c>
      <c r="L1687" s="85" t="n">
        <v>0</v>
      </c>
    </row>
    <row r="1688">
      <c r="A1688" s="84" t="inlineStr">
        <is>
          <t>IEG</t>
        </is>
      </c>
      <c r="B1688" s="7" t="inlineStr">
        <is>
          <t>sédentaire</t>
        </is>
      </c>
      <c r="C1688" s="88" t="n">
        <v>1935</v>
      </c>
      <c r="D1688" s="95" t="n">
        <v>60</v>
      </c>
      <c r="E1688" s="95" t="n">
        <v>60</v>
      </c>
      <c r="F1688" s="85" t="n">
        <v>150</v>
      </c>
      <c r="G1688" s="120" t="n">
        <v>0</v>
      </c>
      <c r="H1688" s="120" t="n">
        <v>0</v>
      </c>
      <c r="I1688" s="95" t="n">
        <v>0.8</v>
      </c>
      <c r="J1688" s="95" t="n">
        <v>60.8</v>
      </c>
      <c r="K1688" s="95" t="n">
        <v>0.95</v>
      </c>
      <c r="L1688" s="85" t="n">
        <v>0</v>
      </c>
    </row>
    <row r="1689">
      <c r="A1689" s="84" t="inlineStr">
        <is>
          <t>IEG</t>
        </is>
      </c>
      <c r="B1689" s="7" t="inlineStr">
        <is>
          <t>sédentaire</t>
        </is>
      </c>
      <c r="C1689" s="88" t="n">
        <v>1936</v>
      </c>
      <c r="D1689" s="95" t="n">
        <v>60</v>
      </c>
      <c r="E1689" s="95" t="n">
        <v>60</v>
      </c>
      <c r="F1689" s="85" t="n">
        <v>150</v>
      </c>
      <c r="G1689" s="120" t="n">
        <v>0</v>
      </c>
      <c r="H1689" s="120" t="n">
        <v>0</v>
      </c>
      <c r="I1689" s="95" t="n">
        <v>0.8</v>
      </c>
      <c r="J1689" s="95" t="n">
        <v>60.8</v>
      </c>
      <c r="K1689" s="95" t="n">
        <v>0.95</v>
      </c>
      <c r="L1689" s="85" t="n">
        <v>0</v>
      </c>
    </row>
    <row r="1690">
      <c r="A1690" s="84" t="inlineStr">
        <is>
          <t>IEG</t>
        </is>
      </c>
      <c r="B1690" s="7" t="inlineStr">
        <is>
          <t>sédentaire</t>
        </is>
      </c>
      <c r="C1690" s="88" t="n">
        <v>1937</v>
      </c>
      <c r="D1690" s="95" t="n">
        <v>60</v>
      </c>
      <c r="E1690" s="95" t="n">
        <v>60</v>
      </c>
      <c r="F1690" s="85" t="n">
        <v>150</v>
      </c>
      <c r="G1690" s="120" t="n">
        <v>0</v>
      </c>
      <c r="H1690" s="120" t="n">
        <v>0</v>
      </c>
      <c r="I1690" s="95" t="n">
        <v>0.8</v>
      </c>
      <c r="J1690" s="95" t="n">
        <v>60.8</v>
      </c>
      <c r="K1690" s="95" t="n">
        <v>0.95</v>
      </c>
      <c r="L1690" s="85" t="n">
        <v>0</v>
      </c>
    </row>
    <row r="1691">
      <c r="A1691" s="84" t="inlineStr">
        <is>
          <t>IEG</t>
        </is>
      </c>
      <c r="B1691" s="7" t="inlineStr">
        <is>
          <t>sédentaire</t>
        </is>
      </c>
      <c r="C1691" s="88" t="n">
        <v>1938</v>
      </c>
      <c r="D1691" s="95" t="n">
        <v>60</v>
      </c>
      <c r="E1691" s="95" t="n">
        <v>60</v>
      </c>
      <c r="F1691" s="85" t="n">
        <v>150</v>
      </c>
      <c r="G1691" s="120" t="n">
        <v>0</v>
      </c>
      <c r="H1691" s="120" t="n">
        <v>0</v>
      </c>
      <c r="I1691" s="95" t="n">
        <v>0.8</v>
      </c>
      <c r="J1691" s="95" t="n">
        <v>60.8</v>
      </c>
      <c r="K1691" s="95" t="n">
        <v>0.95</v>
      </c>
      <c r="L1691" s="85" t="n">
        <v>0</v>
      </c>
    </row>
    <row r="1692">
      <c r="A1692" s="84" t="inlineStr">
        <is>
          <t>IEG</t>
        </is>
      </c>
      <c r="B1692" s="7" t="inlineStr">
        <is>
          <t>sédentaire</t>
        </is>
      </c>
      <c r="C1692" s="88" t="n">
        <v>1939</v>
      </c>
      <c r="D1692" s="95" t="n">
        <v>60</v>
      </c>
      <c r="E1692" s="95" t="n">
        <v>60</v>
      </c>
      <c r="F1692" s="85" t="n">
        <v>150</v>
      </c>
      <c r="G1692" s="120" t="n">
        <v>0</v>
      </c>
      <c r="H1692" s="120" t="n">
        <v>0</v>
      </c>
      <c r="I1692" s="95" t="n">
        <v>0.8</v>
      </c>
      <c r="J1692" s="95" t="n">
        <v>60.8</v>
      </c>
      <c r="K1692" s="95" t="n">
        <v>0.95</v>
      </c>
      <c r="L1692" s="85" t="n">
        <v>0</v>
      </c>
    </row>
    <row r="1693">
      <c r="A1693" s="84" t="inlineStr">
        <is>
          <t>IEG</t>
        </is>
      </c>
      <c r="B1693" s="7" t="inlineStr">
        <is>
          <t>sédentaire</t>
        </is>
      </c>
      <c r="C1693" s="88" t="n">
        <v>1940</v>
      </c>
      <c r="D1693" s="95" t="n">
        <v>60</v>
      </c>
      <c r="E1693" s="95" t="n">
        <v>60</v>
      </c>
      <c r="F1693" s="85" t="n">
        <v>150</v>
      </c>
      <c r="G1693" s="120" t="n">
        <v>0</v>
      </c>
      <c r="H1693" s="120" t="n">
        <v>0</v>
      </c>
      <c r="I1693" s="95" t="n">
        <v>0.8</v>
      </c>
      <c r="J1693" s="95" t="n">
        <v>60.8</v>
      </c>
      <c r="K1693" s="95" t="n">
        <v>0.95</v>
      </c>
      <c r="L1693" s="85" t="n">
        <v>0</v>
      </c>
    </row>
    <row r="1694">
      <c r="A1694" s="84" t="inlineStr">
        <is>
          <t>IEG</t>
        </is>
      </c>
      <c r="B1694" s="7" t="inlineStr">
        <is>
          <t>sédentaire</t>
        </is>
      </c>
      <c r="C1694" s="88" t="n">
        <v>1941</v>
      </c>
      <c r="D1694" s="95" t="n">
        <v>60</v>
      </c>
      <c r="E1694" s="95" t="n">
        <v>60</v>
      </c>
      <c r="F1694" s="85" t="n">
        <v>150</v>
      </c>
      <c r="G1694" s="120" t="n">
        <v>0</v>
      </c>
      <c r="H1694" s="120" t="n">
        <v>0</v>
      </c>
      <c r="I1694" s="95" t="n">
        <v>0.8</v>
      </c>
      <c r="J1694" s="95" t="n">
        <v>60.8</v>
      </c>
      <c r="K1694" s="95" t="n">
        <v>0.95</v>
      </c>
      <c r="L1694" s="85" t="n">
        <v>0</v>
      </c>
    </row>
    <row r="1695">
      <c r="A1695" s="84" t="inlineStr">
        <is>
          <t>IEG</t>
        </is>
      </c>
      <c r="B1695" s="7" t="inlineStr">
        <is>
          <t>sédentaire</t>
        </is>
      </c>
      <c r="C1695" s="88" t="n">
        <v>1942</v>
      </c>
      <c r="D1695" s="95" t="n">
        <v>60</v>
      </c>
      <c r="E1695" s="95" t="n">
        <v>60</v>
      </c>
      <c r="F1695" s="85" t="n">
        <v>150</v>
      </c>
      <c r="G1695" s="120" t="n">
        <v>0</v>
      </c>
      <c r="H1695" s="120" t="n">
        <v>0</v>
      </c>
      <c r="I1695" s="95" t="n">
        <v>0.8</v>
      </c>
      <c r="J1695" s="95" t="n">
        <v>60.8</v>
      </c>
      <c r="K1695" s="95" t="n">
        <v>0.95</v>
      </c>
      <c r="L1695" s="85" t="n">
        <v>0</v>
      </c>
    </row>
    <row r="1696">
      <c r="A1696" s="84" t="inlineStr">
        <is>
          <t>IEG</t>
        </is>
      </c>
      <c r="B1696" s="7" t="inlineStr">
        <is>
          <t>sédentaire</t>
        </is>
      </c>
      <c r="C1696" s="88" t="n">
        <v>1943</v>
      </c>
      <c r="D1696" s="95" t="n">
        <v>60</v>
      </c>
      <c r="E1696" s="95" t="n">
        <v>60</v>
      </c>
      <c r="F1696" s="85" t="n">
        <v>150</v>
      </c>
      <c r="G1696" s="120" t="n">
        <v>0</v>
      </c>
      <c r="H1696" s="120" t="n">
        <v>0</v>
      </c>
      <c r="I1696" s="95" t="n">
        <v>0.8</v>
      </c>
      <c r="J1696" s="95" t="n">
        <v>60.8</v>
      </c>
      <c r="K1696" s="95" t="n">
        <v>0.95</v>
      </c>
      <c r="L1696" s="85" t="n">
        <v>0</v>
      </c>
    </row>
    <row r="1697">
      <c r="A1697" s="84" t="inlineStr">
        <is>
          <t>IEG</t>
        </is>
      </c>
      <c r="B1697" s="7" t="inlineStr">
        <is>
          <t>sédentaire</t>
        </is>
      </c>
      <c r="C1697" s="88" t="n">
        <v>1944</v>
      </c>
      <c r="D1697" s="95" t="n">
        <v>60</v>
      </c>
      <c r="E1697" s="95" t="n">
        <v>60</v>
      </c>
      <c r="F1697" s="85" t="n">
        <v>150</v>
      </c>
      <c r="G1697" s="120" t="n">
        <v>0</v>
      </c>
      <c r="H1697" s="120" t="n">
        <v>0</v>
      </c>
      <c r="I1697" s="95" t="n">
        <v>0.8</v>
      </c>
      <c r="J1697" s="95" t="n">
        <v>60.8</v>
      </c>
      <c r="K1697" s="95" t="n">
        <v>0.95</v>
      </c>
      <c r="L1697" s="85" t="n">
        <v>0</v>
      </c>
    </row>
    <row r="1698">
      <c r="A1698" s="84" t="inlineStr">
        <is>
          <t>IEG</t>
        </is>
      </c>
      <c r="B1698" s="7" t="inlineStr">
        <is>
          <t>sédentaire</t>
        </is>
      </c>
      <c r="C1698" s="88" t="n">
        <v>1945</v>
      </c>
      <c r="D1698" s="95" t="n">
        <v>60</v>
      </c>
      <c r="E1698" s="95" t="n">
        <v>60</v>
      </c>
      <c r="F1698" s="85" t="n">
        <v>150</v>
      </c>
      <c r="G1698" s="120" t="n">
        <v>0</v>
      </c>
      <c r="H1698" s="120" t="n">
        <v>0</v>
      </c>
      <c r="I1698" s="95" t="n">
        <v>0.8</v>
      </c>
      <c r="J1698" s="95" t="n">
        <v>60.8</v>
      </c>
      <c r="K1698" s="95" t="n">
        <v>0.95</v>
      </c>
      <c r="L1698" s="85" t="n">
        <v>0</v>
      </c>
    </row>
    <row r="1699">
      <c r="A1699" s="84" t="inlineStr">
        <is>
          <t>IEG</t>
        </is>
      </c>
      <c r="B1699" s="7" t="inlineStr">
        <is>
          <t>sédentaire</t>
        </is>
      </c>
      <c r="C1699" s="88" t="n">
        <v>1946</v>
      </c>
      <c r="D1699" s="95" t="n">
        <v>60</v>
      </c>
      <c r="E1699" s="95" t="n">
        <v>60</v>
      </c>
      <c r="F1699" s="85" t="n">
        <v>150</v>
      </c>
      <c r="G1699" s="120" t="n">
        <v>0</v>
      </c>
      <c r="H1699" s="120" t="n">
        <v>0</v>
      </c>
      <c r="I1699" s="95" t="n">
        <v>0.91</v>
      </c>
      <c r="J1699" s="95" t="n">
        <v>60.91</v>
      </c>
      <c r="K1699" s="95" t="n">
        <v>0.95</v>
      </c>
      <c r="L1699" s="85" t="n">
        <v>0</v>
      </c>
    </row>
    <row r="1700">
      <c r="A1700" s="84" t="inlineStr">
        <is>
          <t>IEG</t>
        </is>
      </c>
      <c r="B1700" s="7" t="inlineStr">
        <is>
          <t>sédentaire</t>
        </is>
      </c>
      <c r="C1700" s="88" t="n">
        <v>1947</v>
      </c>
      <c r="D1700" s="95" t="n">
        <v>60</v>
      </c>
      <c r="E1700" s="95" t="n">
        <v>60</v>
      </c>
      <c r="F1700" s="85" t="n">
        <v>150</v>
      </c>
      <c r="G1700" s="120" t="n">
        <v>0</v>
      </c>
      <c r="H1700" s="120" t="n">
        <v>0</v>
      </c>
      <c r="I1700" s="95" t="n">
        <v>1.03</v>
      </c>
      <c r="J1700" s="95" t="n">
        <v>61.03</v>
      </c>
      <c r="K1700" s="95" t="n">
        <v>0.95</v>
      </c>
      <c r="L1700" s="85" t="n">
        <v>0</v>
      </c>
    </row>
    <row r="1701">
      <c r="A1701" s="84" t="inlineStr">
        <is>
          <t>IEG</t>
        </is>
      </c>
      <c r="B1701" s="7" t="inlineStr">
        <is>
          <t>sédentaire</t>
        </is>
      </c>
      <c r="C1701" s="88" t="n">
        <v>1948</v>
      </c>
      <c r="D1701" s="95" t="n">
        <v>60</v>
      </c>
      <c r="E1701" s="95" t="n">
        <v>60</v>
      </c>
      <c r="F1701" s="85" t="n">
        <v>151</v>
      </c>
      <c r="G1701" s="120" t="n">
        <v>0</v>
      </c>
      <c r="H1701" s="120" t="n">
        <v>0.0075</v>
      </c>
      <c r="I1701" s="95" t="n">
        <v>1.14</v>
      </c>
      <c r="J1701" s="95" t="n">
        <v>61.14</v>
      </c>
      <c r="K1701" s="95" t="n">
        <v>0.95</v>
      </c>
      <c r="L1701" s="85" t="n">
        <v>0</v>
      </c>
    </row>
    <row r="1702">
      <c r="A1702" s="84" t="inlineStr">
        <is>
          <t>IEG</t>
        </is>
      </c>
      <c r="B1702" s="7" t="inlineStr">
        <is>
          <t>sédentaire</t>
        </is>
      </c>
      <c r="C1702" s="88" t="n">
        <v>1949</v>
      </c>
      <c r="D1702" s="95" t="n">
        <v>60</v>
      </c>
      <c r="E1702" s="95" t="n">
        <v>60</v>
      </c>
      <c r="F1702" s="85" t="n">
        <v>153</v>
      </c>
      <c r="G1702" s="120" t="n">
        <v>0</v>
      </c>
      <c r="H1702" s="120" t="n">
        <v>0.0125</v>
      </c>
      <c r="I1702" s="95" t="n">
        <v>1.25</v>
      </c>
      <c r="J1702" s="95" t="n">
        <v>61.25</v>
      </c>
      <c r="K1702" s="95" t="n">
        <v>0.95</v>
      </c>
      <c r="L1702" s="85" t="n">
        <v>0</v>
      </c>
    </row>
    <row r="1703">
      <c r="A1703" s="84" t="inlineStr">
        <is>
          <t>IEG</t>
        </is>
      </c>
      <c r="B1703" s="7" t="inlineStr">
        <is>
          <t>sédentaire</t>
        </is>
      </c>
      <c r="C1703" s="88" t="n">
        <v>1950</v>
      </c>
      <c r="D1703" s="95" t="n">
        <v>60</v>
      </c>
      <c r="E1703" s="95" t="n">
        <v>61</v>
      </c>
      <c r="F1703" s="85" t="n">
        <v>155</v>
      </c>
      <c r="G1703" s="120" t="n">
        <v>0.00125</v>
      </c>
      <c r="H1703" s="120" t="n">
        <v>0.0125</v>
      </c>
      <c r="I1703" s="95" t="n">
        <v>1.37</v>
      </c>
      <c r="J1703" s="95" t="n">
        <v>61.37</v>
      </c>
      <c r="K1703" s="95" t="n">
        <v>0.95</v>
      </c>
      <c r="L1703" s="85" t="n">
        <v>0</v>
      </c>
    </row>
    <row r="1704">
      <c r="A1704" s="84" t="inlineStr">
        <is>
          <t>IEG</t>
        </is>
      </c>
      <c r="B1704" s="7" t="inlineStr">
        <is>
          <t>sédentaire</t>
        </is>
      </c>
      <c r="C1704" s="88" t="n">
        <v>1951</v>
      </c>
      <c r="D1704" s="95" t="n">
        <v>60</v>
      </c>
      <c r="E1704" s="95" t="n">
        <v>61</v>
      </c>
      <c r="F1704" s="85" t="n">
        <v>157</v>
      </c>
      <c r="G1704" s="120" t="n">
        <v>0.0025</v>
      </c>
      <c r="H1704" s="120" t="n">
        <v>0.0125</v>
      </c>
      <c r="I1704" s="95" t="n">
        <v>1.48</v>
      </c>
      <c r="J1704" s="95" t="n">
        <v>61.48</v>
      </c>
      <c r="K1704" s="95" t="n">
        <v>0.95</v>
      </c>
      <c r="L1704" s="85" t="n">
        <v>0</v>
      </c>
    </row>
    <row r="1705">
      <c r="A1705" s="84" t="inlineStr">
        <is>
          <t>IEG</t>
        </is>
      </c>
      <c r="B1705" s="7" t="inlineStr">
        <is>
          <t>sédentaire</t>
        </is>
      </c>
      <c r="C1705" s="88" t="n">
        <v>1952</v>
      </c>
      <c r="D1705" s="95" t="n">
        <v>60</v>
      </c>
      <c r="E1705" s="95" t="n">
        <v>61.5</v>
      </c>
      <c r="F1705" s="85" t="n">
        <v>159</v>
      </c>
      <c r="G1705" s="120" t="n">
        <v>0.00375</v>
      </c>
      <c r="H1705" s="120" t="n">
        <v>0.0125</v>
      </c>
      <c r="I1705" s="95" t="n">
        <v>1.59</v>
      </c>
      <c r="J1705" s="95" t="n">
        <v>61.59</v>
      </c>
      <c r="K1705" s="95" t="n">
        <v>0.95</v>
      </c>
      <c r="L1705" s="85" t="n">
        <v>0</v>
      </c>
    </row>
    <row r="1706">
      <c r="A1706" s="84" t="inlineStr">
        <is>
          <t>IEG</t>
        </is>
      </c>
      <c r="B1706" s="7" t="inlineStr">
        <is>
          <t>sédentaire</t>
        </is>
      </c>
      <c r="C1706" s="88" t="n">
        <v>1953</v>
      </c>
      <c r="D1706" s="95" t="n">
        <v>60</v>
      </c>
      <c r="E1706" s="95" t="n">
        <v>62</v>
      </c>
      <c r="F1706" s="85" t="n">
        <v>161</v>
      </c>
      <c r="G1706" s="120" t="n">
        <v>0.005</v>
      </c>
      <c r="H1706" s="120" t="n">
        <v>0.0125</v>
      </c>
      <c r="I1706" s="95" t="n">
        <v>1.71</v>
      </c>
      <c r="J1706" s="95" t="n">
        <v>61.71</v>
      </c>
      <c r="K1706" s="95" t="n">
        <v>0.95</v>
      </c>
      <c r="L1706" s="85" t="n">
        <v>0</v>
      </c>
    </row>
    <row r="1707">
      <c r="A1707" s="84" t="inlineStr">
        <is>
          <t>IEG</t>
        </is>
      </c>
      <c r="B1707" s="7" t="inlineStr">
        <is>
          <t>sédentaire</t>
        </is>
      </c>
      <c r="C1707" s="88" t="n">
        <v>1954</v>
      </c>
      <c r="D1707" s="95" t="n">
        <v>60</v>
      </c>
      <c r="E1707" s="95" t="n">
        <v>62.25</v>
      </c>
      <c r="F1707" s="85" t="n">
        <v>162</v>
      </c>
      <c r="G1707" s="120" t="n">
        <v>0.00625</v>
      </c>
      <c r="H1707" s="120" t="n">
        <v>0.0125</v>
      </c>
      <c r="I1707" s="95" t="n">
        <v>1.82</v>
      </c>
      <c r="J1707" s="95" t="n">
        <v>61.82</v>
      </c>
      <c r="K1707" s="95" t="n">
        <v>0.95</v>
      </c>
      <c r="L1707" s="85" t="n">
        <v>0</v>
      </c>
    </row>
    <row r="1708">
      <c r="A1708" s="84" t="inlineStr">
        <is>
          <t>IEG</t>
        </is>
      </c>
      <c r="B1708" s="7" t="inlineStr">
        <is>
          <t>sédentaire</t>
        </is>
      </c>
      <c r="C1708" s="88" t="n">
        <v>1955</v>
      </c>
      <c r="D1708" s="95" t="n">
        <v>60</v>
      </c>
      <c r="E1708" s="95" t="n">
        <v>62.5</v>
      </c>
      <c r="F1708" s="85" t="n">
        <v>163</v>
      </c>
      <c r="G1708" s="120" t="n">
        <v>0.0075</v>
      </c>
      <c r="H1708" s="120" t="n">
        <v>0.0125</v>
      </c>
      <c r="I1708" s="95" t="n">
        <v>1.93</v>
      </c>
      <c r="J1708" s="95" t="n">
        <v>61.93</v>
      </c>
      <c r="K1708" s="95" t="n">
        <v>0.95</v>
      </c>
      <c r="L1708" s="85" t="n">
        <v>0</v>
      </c>
    </row>
    <row r="1709">
      <c r="A1709" s="84" t="inlineStr">
        <is>
          <t>IEG</t>
        </is>
      </c>
      <c r="B1709" s="7" t="inlineStr">
        <is>
          <t>sédentaire</t>
        </is>
      </c>
      <c r="C1709" s="88" t="n">
        <v>1956</v>
      </c>
      <c r="D1709" s="95" t="n">
        <v>60</v>
      </c>
      <c r="E1709" s="95" t="n">
        <v>62.75</v>
      </c>
      <c r="F1709" s="85" t="n">
        <v>164</v>
      </c>
      <c r="G1709" s="120" t="n">
        <v>0.008750000000000001</v>
      </c>
      <c r="H1709" s="120" t="n">
        <v>0.0125</v>
      </c>
      <c r="I1709" s="95" t="n">
        <v>2.05</v>
      </c>
      <c r="J1709" s="95" t="n">
        <v>62.05</v>
      </c>
      <c r="K1709" s="95" t="n">
        <v>0.95</v>
      </c>
      <c r="L1709" s="85" t="n">
        <v>0</v>
      </c>
    </row>
    <row r="1710">
      <c r="A1710" s="84" t="inlineStr">
        <is>
          <t>IEG</t>
        </is>
      </c>
      <c r="B1710" s="7" t="inlineStr">
        <is>
          <t>sédentaire</t>
        </is>
      </c>
      <c r="C1710" s="88" t="n">
        <v>1957</v>
      </c>
      <c r="D1710" s="95" t="n">
        <v>60.3333</v>
      </c>
      <c r="E1710" s="95" t="n">
        <v>63.33</v>
      </c>
      <c r="F1710" s="85" t="n">
        <v>165</v>
      </c>
      <c r="G1710" s="120" t="n">
        <v>0.01</v>
      </c>
      <c r="H1710" s="120" t="n">
        <v>0.0125</v>
      </c>
      <c r="I1710" s="95" t="n">
        <v>2.16</v>
      </c>
      <c r="J1710" s="95" t="n">
        <v>62.49</v>
      </c>
      <c r="K1710" s="95" t="n">
        <v>0.95</v>
      </c>
      <c r="L1710" s="85" t="n">
        <v>0</v>
      </c>
    </row>
    <row r="1711">
      <c r="A1711" s="84" t="inlineStr">
        <is>
          <t>IEG</t>
        </is>
      </c>
      <c r="B1711" s="7" t="inlineStr">
        <is>
          <t>sédentaire</t>
        </is>
      </c>
      <c r="C1711" s="88" t="n">
        <v>1958</v>
      </c>
      <c r="D1711" s="95" t="n">
        <v>60.6667</v>
      </c>
      <c r="E1711" s="95" t="n">
        <v>64.17</v>
      </c>
      <c r="F1711" s="85" t="n">
        <v>166</v>
      </c>
      <c r="G1711" s="120" t="n">
        <v>0.01125</v>
      </c>
      <c r="H1711" s="120" t="n">
        <v>0.0125</v>
      </c>
      <c r="I1711" s="95" t="n">
        <v>2.27</v>
      </c>
      <c r="J1711" s="95" t="n">
        <v>62.94</v>
      </c>
      <c r="K1711" s="95" t="n">
        <v>0.95</v>
      </c>
      <c r="L1711" s="85" t="n">
        <v>0</v>
      </c>
    </row>
    <row r="1712">
      <c r="A1712" s="84" t="inlineStr">
        <is>
          <t>IEG</t>
        </is>
      </c>
      <c r="B1712" s="7" t="inlineStr">
        <is>
          <t>sédentaire</t>
        </is>
      </c>
      <c r="C1712" s="88" t="n">
        <v>1959</v>
      </c>
      <c r="D1712" s="95" t="n">
        <v>61</v>
      </c>
      <c r="E1712" s="95" t="n">
        <v>64.75</v>
      </c>
      <c r="F1712" s="85" t="n">
        <v>167</v>
      </c>
      <c r="G1712" s="120" t="n">
        <v>0.0125</v>
      </c>
      <c r="H1712" s="120" t="n">
        <v>0.0125</v>
      </c>
      <c r="I1712" s="95" t="n">
        <v>2.39</v>
      </c>
      <c r="J1712" s="95" t="n">
        <v>63.39</v>
      </c>
      <c r="K1712" s="95" t="n">
        <v>0.95</v>
      </c>
      <c r="L1712" s="85" t="n">
        <v>0</v>
      </c>
    </row>
    <row r="1713">
      <c r="A1713" s="84" t="inlineStr">
        <is>
          <t>IEG</t>
        </is>
      </c>
      <c r="B1713" s="7" t="inlineStr">
        <is>
          <t>sédentaire</t>
        </is>
      </c>
      <c r="C1713" s="88" t="n">
        <v>1960</v>
      </c>
      <c r="D1713" s="95" t="n">
        <v>61.3333</v>
      </c>
      <c r="E1713" s="95" t="n">
        <v>65.31</v>
      </c>
      <c r="F1713" s="85" t="n">
        <v>167</v>
      </c>
      <c r="G1713" s="120" t="n">
        <v>0.0125</v>
      </c>
      <c r="H1713" s="120" t="n">
        <v>0.0125</v>
      </c>
      <c r="I1713" s="95" t="n">
        <v>2.5</v>
      </c>
      <c r="J1713" s="95" t="n">
        <v>63.83</v>
      </c>
      <c r="K1713" s="95" t="n">
        <v>0.95</v>
      </c>
      <c r="L1713" s="85" t="n">
        <v>0</v>
      </c>
    </row>
    <row r="1714">
      <c r="A1714" s="84" t="inlineStr">
        <is>
          <t>IEG</t>
        </is>
      </c>
      <c r="B1714" s="7" t="inlineStr">
        <is>
          <t>sédentaire</t>
        </is>
      </c>
      <c r="C1714" s="88" t="n">
        <v>1961</v>
      </c>
      <c r="D1714" s="95" t="n">
        <v>61.6667</v>
      </c>
      <c r="E1714" s="95" t="n">
        <v>65.86</v>
      </c>
      <c r="F1714" s="85" t="n">
        <v>168</v>
      </c>
      <c r="G1714" s="120" t="n">
        <v>0.0125</v>
      </c>
      <c r="H1714" s="120" t="n">
        <v>0.0125</v>
      </c>
      <c r="I1714" s="95" t="n">
        <v>2.5</v>
      </c>
      <c r="J1714" s="95" t="n">
        <v>64.17</v>
      </c>
      <c r="K1714" s="95" t="n">
        <v>0.95</v>
      </c>
      <c r="L1714" s="85" t="n">
        <v>0</v>
      </c>
    </row>
    <row r="1715">
      <c r="A1715" s="84" t="inlineStr">
        <is>
          <t>IEG</t>
        </is>
      </c>
      <c r="B1715" s="7" t="inlineStr">
        <is>
          <t>sédentaire</t>
        </is>
      </c>
      <c r="C1715" s="88" t="n">
        <v>1962</v>
      </c>
      <c r="D1715" s="95" t="n">
        <v>62</v>
      </c>
      <c r="E1715" s="95" t="n">
        <v>66.42</v>
      </c>
      <c r="F1715" s="85" t="n">
        <v>168</v>
      </c>
      <c r="G1715" s="120" t="n">
        <v>0.0125</v>
      </c>
      <c r="H1715" s="120" t="n">
        <v>0.0125</v>
      </c>
      <c r="I1715" s="95" t="n">
        <v>2.5</v>
      </c>
      <c r="J1715" s="95" t="n">
        <v>64.5</v>
      </c>
      <c r="K1715" s="95" t="n">
        <v>0.95</v>
      </c>
      <c r="L1715" s="85" t="n">
        <v>0</v>
      </c>
    </row>
    <row r="1716">
      <c r="A1716" s="84" t="inlineStr">
        <is>
          <t>IEG</t>
        </is>
      </c>
      <c r="B1716" s="7" t="inlineStr">
        <is>
          <t>sédentaire</t>
        </is>
      </c>
      <c r="C1716" s="88" t="n">
        <v>1963</v>
      </c>
      <c r="D1716" s="95" t="n">
        <v>62.25</v>
      </c>
      <c r="E1716" s="95" t="n">
        <v>66.88</v>
      </c>
      <c r="F1716" s="85" t="n">
        <v>169</v>
      </c>
      <c r="G1716" s="120" t="n">
        <v>0.0125</v>
      </c>
      <c r="H1716" s="120" t="n">
        <v>0.0125</v>
      </c>
      <c r="I1716" s="95" t="n">
        <v>2.5</v>
      </c>
      <c r="J1716" s="95" t="n">
        <v>64.75</v>
      </c>
      <c r="K1716" s="95" t="n">
        <v>0.95</v>
      </c>
      <c r="L1716" s="85" t="n">
        <v>0</v>
      </c>
    </row>
    <row r="1717">
      <c r="A1717" s="84" t="inlineStr">
        <is>
          <t>IEG</t>
        </is>
      </c>
      <c r="B1717" s="7" t="inlineStr">
        <is>
          <t>sédentaire</t>
        </is>
      </c>
      <c r="C1717" s="88" t="n">
        <v>1964</v>
      </c>
      <c r="D1717" s="95" t="n">
        <v>62.5</v>
      </c>
      <c r="E1717" s="95" t="n">
        <v>67</v>
      </c>
      <c r="F1717" s="85" t="n">
        <v>170</v>
      </c>
      <c r="G1717" s="120" t="n">
        <v>0.0125</v>
      </c>
      <c r="H1717" s="120" t="n">
        <v>0.0125</v>
      </c>
      <c r="I1717" s="95" t="n">
        <v>2.5</v>
      </c>
      <c r="J1717" s="95" t="n">
        <v>65</v>
      </c>
      <c r="K1717" s="95" t="n">
        <v>0.95</v>
      </c>
      <c r="L1717" s="85" t="n">
        <v>0</v>
      </c>
    </row>
    <row r="1718">
      <c r="A1718" s="84" t="inlineStr">
        <is>
          <t>IEG</t>
        </is>
      </c>
      <c r="B1718" s="7" t="inlineStr">
        <is>
          <t>sédentaire</t>
        </is>
      </c>
      <c r="C1718" s="88" t="n">
        <v>1965</v>
      </c>
      <c r="D1718" s="95" t="n">
        <v>62.75</v>
      </c>
      <c r="E1718" s="95" t="n">
        <v>67</v>
      </c>
      <c r="F1718" s="85" t="n">
        <v>170</v>
      </c>
      <c r="G1718" s="120" t="n">
        <v>0.0125</v>
      </c>
      <c r="H1718" s="120" t="n">
        <v>0.0125</v>
      </c>
      <c r="I1718" s="95" t="n">
        <v>2.5</v>
      </c>
      <c r="J1718" s="95" t="n">
        <v>65.25</v>
      </c>
      <c r="K1718" s="95" t="n">
        <v>0.95</v>
      </c>
      <c r="L1718" s="85" t="n">
        <v>0</v>
      </c>
    </row>
    <row r="1719">
      <c r="A1719" s="84" t="inlineStr">
        <is>
          <t>IEG</t>
        </is>
      </c>
      <c r="B1719" s="7" t="inlineStr">
        <is>
          <t>sédentaire</t>
        </is>
      </c>
      <c r="C1719" s="88" t="n">
        <v>1966</v>
      </c>
      <c r="D1719" s="95" t="n">
        <v>63</v>
      </c>
      <c r="E1719" s="95" t="n">
        <v>67</v>
      </c>
      <c r="F1719" s="85" t="n">
        <v>171</v>
      </c>
      <c r="G1719" s="120" t="n">
        <v>0.0125</v>
      </c>
      <c r="H1719" s="120" t="n">
        <v>0.0125</v>
      </c>
      <c r="I1719" s="95" t="n">
        <v>2.5</v>
      </c>
      <c r="J1719" s="95" t="n">
        <v>65.5</v>
      </c>
      <c r="K1719" s="95" t="n">
        <v>0.95</v>
      </c>
      <c r="L1719" s="85" t="n">
        <v>0</v>
      </c>
    </row>
    <row r="1720">
      <c r="A1720" s="84" t="inlineStr">
        <is>
          <t>IEG</t>
        </is>
      </c>
      <c r="B1720" s="7" t="inlineStr">
        <is>
          <t>sédentaire</t>
        </is>
      </c>
      <c r="C1720" s="88" t="n">
        <v>1967</v>
      </c>
      <c r="D1720" s="95" t="n">
        <v>63.25</v>
      </c>
      <c r="E1720" s="95" t="n">
        <v>67</v>
      </c>
      <c r="F1720" s="85" t="n">
        <v>171</v>
      </c>
      <c r="G1720" s="120" t="n">
        <v>0.0125</v>
      </c>
      <c r="H1720" s="120" t="n">
        <v>0.0125</v>
      </c>
      <c r="I1720" s="95" t="n">
        <v>2.5</v>
      </c>
      <c r="J1720" s="95" t="n">
        <v>65.75</v>
      </c>
      <c r="K1720" s="95" t="n">
        <v>0.95</v>
      </c>
      <c r="L1720" s="85" t="n">
        <v>0</v>
      </c>
    </row>
    <row r="1721">
      <c r="A1721" s="84" t="inlineStr">
        <is>
          <t>IEG</t>
        </is>
      </c>
      <c r="B1721" s="7" t="inlineStr">
        <is>
          <t>sédentaire</t>
        </is>
      </c>
      <c r="C1721" s="88" t="n">
        <v>1968</v>
      </c>
      <c r="D1721" s="95" t="n">
        <v>63.5</v>
      </c>
      <c r="E1721" s="95" t="n">
        <v>67</v>
      </c>
      <c r="F1721" s="85" t="n">
        <v>172</v>
      </c>
      <c r="G1721" s="120" t="n">
        <v>0.0125</v>
      </c>
      <c r="H1721" s="120" t="n">
        <v>0.0125</v>
      </c>
      <c r="I1721" s="95" t="n">
        <v>2.5</v>
      </c>
      <c r="J1721" s="95" t="n">
        <v>66</v>
      </c>
      <c r="K1721" s="95" t="n">
        <v>0.95</v>
      </c>
      <c r="L1721" s="85" t="n">
        <v>0</v>
      </c>
    </row>
    <row r="1722">
      <c r="A1722" s="84" t="inlineStr">
        <is>
          <t>IEG</t>
        </is>
      </c>
      <c r="B1722" s="7" t="inlineStr">
        <is>
          <t>sédentaire</t>
        </is>
      </c>
      <c r="C1722" s="88" t="n">
        <v>1969</v>
      </c>
      <c r="D1722" s="95" t="n">
        <v>63.75</v>
      </c>
      <c r="E1722" s="95" t="n">
        <v>67</v>
      </c>
      <c r="F1722" s="85" t="n">
        <v>172</v>
      </c>
      <c r="G1722" s="120" t="n">
        <v>0.0125</v>
      </c>
      <c r="H1722" s="120" t="n">
        <v>0.0125</v>
      </c>
      <c r="I1722" s="95" t="n">
        <v>2.5</v>
      </c>
      <c r="J1722" s="95" t="n">
        <v>66.25</v>
      </c>
      <c r="K1722" s="95" t="n">
        <v>0.95</v>
      </c>
      <c r="L1722" s="85" t="n">
        <v>0</v>
      </c>
    </row>
    <row r="1723">
      <c r="A1723" s="84" t="inlineStr">
        <is>
          <t>IEG</t>
        </is>
      </c>
      <c r="B1723" s="7" t="inlineStr">
        <is>
          <t>sédentaire</t>
        </is>
      </c>
      <c r="C1723" s="88" t="n">
        <v>1970</v>
      </c>
      <c r="D1723" s="95" t="n">
        <v>64</v>
      </c>
      <c r="E1723" s="95" t="n">
        <v>67</v>
      </c>
      <c r="F1723" s="85" t="n">
        <v>172</v>
      </c>
      <c r="G1723" s="120" t="n">
        <v>0.0125</v>
      </c>
      <c r="H1723" s="120" t="n">
        <v>0.0125</v>
      </c>
      <c r="I1723" s="95" t="n">
        <v>2.5</v>
      </c>
      <c r="J1723" s="95" t="n">
        <v>66.5</v>
      </c>
      <c r="K1723" s="95" t="n">
        <v>0.95</v>
      </c>
      <c r="L1723" s="85" t="n">
        <v>0</v>
      </c>
    </row>
    <row r="1724">
      <c r="A1724" s="84" t="inlineStr">
        <is>
          <t>IEG</t>
        </is>
      </c>
      <c r="B1724" s="7" t="inlineStr">
        <is>
          <t>sédentaire</t>
        </is>
      </c>
      <c r="C1724" s="88" t="n">
        <v>1971</v>
      </c>
      <c r="D1724" s="95" t="n">
        <v>64</v>
      </c>
      <c r="E1724" s="95" t="n">
        <v>67</v>
      </c>
      <c r="F1724" s="85" t="n">
        <v>172</v>
      </c>
      <c r="G1724" s="120" t="n">
        <v>0.0125</v>
      </c>
      <c r="H1724" s="120" t="n">
        <v>0.0125</v>
      </c>
      <c r="I1724" s="95" t="n">
        <v>2.5</v>
      </c>
      <c r="J1724" s="95" t="n">
        <v>66.5</v>
      </c>
      <c r="K1724" s="95" t="n">
        <v>0.95</v>
      </c>
      <c r="L1724" s="85" t="n">
        <v>0</v>
      </c>
    </row>
    <row r="1725">
      <c r="A1725" s="84" t="inlineStr">
        <is>
          <t>IEG</t>
        </is>
      </c>
      <c r="B1725" s="7" t="inlineStr">
        <is>
          <t>sédentaire</t>
        </is>
      </c>
      <c r="C1725" s="88" t="n">
        <v>1972</v>
      </c>
      <c r="D1725" s="95" t="n">
        <v>64</v>
      </c>
      <c r="E1725" s="95" t="n">
        <v>67</v>
      </c>
      <c r="F1725" s="85" t="n">
        <v>172</v>
      </c>
      <c r="G1725" s="120" t="n">
        <v>0.0125</v>
      </c>
      <c r="H1725" s="120" t="n">
        <v>0.0125</v>
      </c>
      <c r="I1725" s="95" t="n">
        <v>2.5</v>
      </c>
      <c r="J1725" s="95" t="n">
        <v>66.5</v>
      </c>
      <c r="K1725" s="95" t="n">
        <v>0.95</v>
      </c>
      <c r="L1725" s="85" t="n">
        <v>0</v>
      </c>
    </row>
    <row r="1726">
      <c r="A1726" s="84" t="inlineStr">
        <is>
          <t>IEG</t>
        </is>
      </c>
      <c r="B1726" s="7" t="inlineStr">
        <is>
          <t>sédentaire</t>
        </is>
      </c>
      <c r="C1726" s="88" t="n">
        <v>1973</v>
      </c>
      <c r="D1726" s="95" t="n">
        <v>64</v>
      </c>
      <c r="E1726" s="95" t="n">
        <v>67</v>
      </c>
      <c r="F1726" s="85" t="n">
        <v>172</v>
      </c>
      <c r="G1726" s="120" t="n">
        <v>0.0125</v>
      </c>
      <c r="H1726" s="120" t="n">
        <v>0.0125</v>
      </c>
      <c r="I1726" s="95" t="n">
        <v>2.5</v>
      </c>
      <c r="J1726" s="95" t="n">
        <v>66.5</v>
      </c>
      <c r="K1726" s="95" t="n">
        <v>0.95</v>
      </c>
      <c r="L1726" s="85" t="n">
        <v>0</v>
      </c>
    </row>
    <row r="1727">
      <c r="A1727" s="84" t="inlineStr">
        <is>
          <t>IEG</t>
        </is>
      </c>
      <c r="B1727" s="7" t="inlineStr">
        <is>
          <t>sédentaire</t>
        </is>
      </c>
      <c r="C1727" s="88" t="n">
        <v>1974</v>
      </c>
      <c r="D1727" s="95" t="n">
        <v>64</v>
      </c>
      <c r="E1727" s="95" t="n">
        <v>67</v>
      </c>
      <c r="F1727" s="85" t="n">
        <v>172</v>
      </c>
      <c r="G1727" s="120" t="n">
        <v>0.0125</v>
      </c>
      <c r="H1727" s="120" t="n">
        <v>0.0125</v>
      </c>
      <c r="I1727" s="95" t="n">
        <v>2.5</v>
      </c>
      <c r="J1727" s="95" t="n">
        <v>66.5</v>
      </c>
      <c r="K1727" s="95" t="n">
        <v>0.95</v>
      </c>
      <c r="L1727" s="85" t="n">
        <v>0</v>
      </c>
    </row>
    <row r="1728">
      <c r="A1728" s="84" t="inlineStr">
        <is>
          <t>IEG</t>
        </is>
      </c>
      <c r="B1728" s="7" t="inlineStr">
        <is>
          <t>sédentaire</t>
        </is>
      </c>
      <c r="C1728" s="88" t="n">
        <v>1975</v>
      </c>
      <c r="D1728" s="95" t="n">
        <v>64</v>
      </c>
      <c r="E1728" s="95" t="n">
        <v>67</v>
      </c>
      <c r="F1728" s="85" t="n">
        <v>172</v>
      </c>
      <c r="G1728" s="120" t="n">
        <v>0.0125</v>
      </c>
      <c r="H1728" s="120" t="n">
        <v>0.0125</v>
      </c>
      <c r="I1728" s="95" t="n">
        <v>2.5</v>
      </c>
      <c r="J1728" s="95" t="n">
        <v>66.5</v>
      </c>
      <c r="K1728" s="95" t="n">
        <v>0.95</v>
      </c>
      <c r="L1728" s="85" t="n">
        <v>0</v>
      </c>
    </row>
    <row r="1729">
      <c r="A1729" s="84" t="inlineStr">
        <is>
          <t>IEG</t>
        </is>
      </c>
      <c r="B1729" s="7" t="inlineStr">
        <is>
          <t>sédentaire</t>
        </is>
      </c>
      <c r="C1729" s="88" t="n">
        <v>1976</v>
      </c>
      <c r="D1729" s="95" t="n">
        <v>64</v>
      </c>
      <c r="E1729" s="95" t="n">
        <v>67</v>
      </c>
      <c r="F1729" s="85" t="n">
        <v>172</v>
      </c>
      <c r="G1729" s="120" t="n">
        <v>0.0125</v>
      </c>
      <c r="H1729" s="120" t="n">
        <v>0.0125</v>
      </c>
      <c r="I1729" s="95" t="n">
        <v>2.5</v>
      </c>
      <c r="J1729" s="95" t="n">
        <v>66.5</v>
      </c>
      <c r="K1729" s="95" t="n">
        <v>0.95</v>
      </c>
      <c r="L1729" s="85" t="n">
        <v>0</v>
      </c>
    </row>
    <row r="1730">
      <c r="A1730" s="84" t="inlineStr">
        <is>
          <t>IEG</t>
        </is>
      </c>
      <c r="B1730" s="7" t="inlineStr">
        <is>
          <t>sédentaire</t>
        </is>
      </c>
      <c r="C1730" s="88" t="n">
        <v>1977</v>
      </c>
      <c r="D1730" s="95" t="n">
        <v>64</v>
      </c>
      <c r="E1730" s="95" t="n">
        <v>67</v>
      </c>
      <c r="F1730" s="85" t="n">
        <v>172</v>
      </c>
      <c r="G1730" s="120" t="n">
        <v>0.0125</v>
      </c>
      <c r="H1730" s="120" t="n">
        <v>0.0125</v>
      </c>
      <c r="I1730" s="95" t="n">
        <v>2.5</v>
      </c>
      <c r="J1730" s="95" t="n">
        <v>66.5</v>
      </c>
      <c r="K1730" s="95" t="n">
        <v>0.95</v>
      </c>
      <c r="L1730" s="85" t="n">
        <v>0</v>
      </c>
    </row>
    <row r="1731">
      <c r="A1731" s="84" t="inlineStr">
        <is>
          <t>IEG</t>
        </is>
      </c>
      <c r="B1731" s="7" t="inlineStr">
        <is>
          <t>sédentaire</t>
        </is>
      </c>
      <c r="C1731" s="88" t="n">
        <v>1978</v>
      </c>
      <c r="D1731" s="95" t="n">
        <v>64</v>
      </c>
      <c r="E1731" s="95" t="n">
        <v>67</v>
      </c>
      <c r="F1731" s="85" t="n">
        <v>172</v>
      </c>
      <c r="G1731" s="120" t="n">
        <v>0.0125</v>
      </c>
      <c r="H1731" s="120" t="n">
        <v>0.0125</v>
      </c>
      <c r="I1731" s="95" t="n">
        <v>2.5</v>
      </c>
      <c r="J1731" s="95" t="n">
        <v>66.5</v>
      </c>
      <c r="K1731" s="95" t="n">
        <v>0.95</v>
      </c>
      <c r="L1731" s="85" t="n">
        <v>0</v>
      </c>
    </row>
    <row r="1732">
      <c r="A1732" s="84" t="inlineStr">
        <is>
          <t>IEG</t>
        </is>
      </c>
      <c r="B1732" s="7" t="inlineStr">
        <is>
          <t>sédentaire</t>
        </is>
      </c>
      <c r="C1732" s="88" t="n">
        <v>1979</v>
      </c>
      <c r="D1732" s="95" t="n">
        <v>64</v>
      </c>
      <c r="E1732" s="95" t="n">
        <v>67</v>
      </c>
      <c r="F1732" s="85" t="n">
        <v>172</v>
      </c>
      <c r="G1732" s="120" t="n">
        <v>0.0125</v>
      </c>
      <c r="H1732" s="120" t="n">
        <v>0.0125</v>
      </c>
      <c r="I1732" s="95" t="n">
        <v>2.5</v>
      </c>
      <c r="J1732" s="95" t="n">
        <v>66.5</v>
      </c>
      <c r="K1732" s="95" t="n">
        <v>0.95</v>
      </c>
      <c r="L1732" s="85" t="n">
        <v>0</v>
      </c>
    </row>
    <row r="1733">
      <c r="A1733" s="84" t="inlineStr">
        <is>
          <t>IEG</t>
        </is>
      </c>
      <c r="B1733" s="7" t="inlineStr">
        <is>
          <t>sédentaire</t>
        </is>
      </c>
      <c r="C1733" s="88" t="n">
        <v>1980</v>
      </c>
      <c r="D1733" s="95" t="n">
        <v>64</v>
      </c>
      <c r="E1733" s="95" t="n">
        <v>67</v>
      </c>
      <c r="F1733" s="85" t="n">
        <v>172</v>
      </c>
      <c r="G1733" s="120" t="n">
        <v>0.0125</v>
      </c>
      <c r="H1733" s="120" t="n">
        <v>0.0125</v>
      </c>
      <c r="I1733" s="95" t="n">
        <v>2.5</v>
      </c>
      <c r="J1733" s="95" t="n">
        <v>66.5</v>
      </c>
      <c r="K1733" s="95" t="n">
        <v>0.95</v>
      </c>
      <c r="L1733" s="85" t="n">
        <v>0</v>
      </c>
    </row>
    <row r="1734">
      <c r="A1734" s="84" t="inlineStr">
        <is>
          <t>IEG</t>
        </is>
      </c>
      <c r="B1734" s="7" t="inlineStr">
        <is>
          <t>sédentaire</t>
        </is>
      </c>
      <c r="C1734" s="88" t="n">
        <v>1981</v>
      </c>
      <c r="D1734" s="95" t="n">
        <v>64</v>
      </c>
      <c r="E1734" s="95" t="n">
        <v>67</v>
      </c>
      <c r="F1734" s="85" t="n">
        <v>172</v>
      </c>
      <c r="G1734" s="120" t="n">
        <v>0.0125</v>
      </c>
      <c r="H1734" s="120" t="n">
        <v>0.0125</v>
      </c>
      <c r="I1734" s="95" t="n">
        <v>2.5</v>
      </c>
      <c r="J1734" s="95" t="n">
        <v>66.5</v>
      </c>
      <c r="K1734" s="95" t="n">
        <v>0.95</v>
      </c>
      <c r="L1734" s="85" t="n">
        <v>0</v>
      </c>
    </row>
    <row r="1735">
      <c r="A1735" s="84" t="inlineStr">
        <is>
          <t>IEG</t>
        </is>
      </c>
      <c r="B1735" s="7" t="inlineStr">
        <is>
          <t>sédentaire</t>
        </is>
      </c>
      <c r="C1735" s="88" t="n">
        <v>1982</v>
      </c>
      <c r="D1735" s="95" t="n">
        <v>64</v>
      </c>
      <c r="E1735" s="95" t="n">
        <v>67</v>
      </c>
      <c r="F1735" s="85" t="n">
        <v>172</v>
      </c>
      <c r="G1735" s="120" t="n">
        <v>0.0125</v>
      </c>
      <c r="H1735" s="120" t="n">
        <v>0.0125</v>
      </c>
      <c r="I1735" s="95" t="n">
        <v>2.5</v>
      </c>
      <c r="J1735" s="95" t="n">
        <v>66.5</v>
      </c>
      <c r="K1735" s="95" t="n">
        <v>0.95</v>
      </c>
      <c r="L1735" s="85" t="n">
        <v>0</v>
      </c>
    </row>
    <row r="1736">
      <c r="A1736" s="84" t="inlineStr">
        <is>
          <t>IEG</t>
        </is>
      </c>
      <c r="B1736" s="7" t="inlineStr">
        <is>
          <t>sédentaire</t>
        </is>
      </c>
      <c r="C1736" s="88" t="n">
        <v>1983</v>
      </c>
      <c r="D1736" s="95" t="n">
        <v>64</v>
      </c>
      <c r="E1736" s="95" t="n">
        <v>67</v>
      </c>
      <c r="F1736" s="85" t="n">
        <v>172</v>
      </c>
      <c r="G1736" s="120" t="n">
        <v>0.0125</v>
      </c>
      <c r="H1736" s="120" t="n">
        <v>0.0125</v>
      </c>
      <c r="I1736" s="95" t="n">
        <v>2.5</v>
      </c>
      <c r="J1736" s="95" t="n">
        <v>66.5</v>
      </c>
      <c r="K1736" s="95" t="n">
        <v>0.95</v>
      </c>
      <c r="L1736" s="85" t="n">
        <v>0</v>
      </c>
    </row>
    <row r="1737">
      <c r="A1737" s="84" t="inlineStr">
        <is>
          <t>IEG</t>
        </is>
      </c>
      <c r="B1737" s="7" t="inlineStr">
        <is>
          <t>sédentaire</t>
        </is>
      </c>
      <c r="C1737" s="88" t="n">
        <v>1984</v>
      </c>
      <c r="D1737" s="95" t="n">
        <v>64</v>
      </c>
      <c r="E1737" s="95" t="n">
        <v>67</v>
      </c>
      <c r="F1737" s="85" t="n">
        <v>172</v>
      </c>
      <c r="G1737" s="120" t="n">
        <v>0.0125</v>
      </c>
      <c r="H1737" s="120" t="n">
        <v>0.0125</v>
      </c>
      <c r="I1737" s="95" t="n">
        <v>2.5</v>
      </c>
      <c r="J1737" s="95" t="n">
        <v>66.5</v>
      </c>
      <c r="K1737" s="95" t="n">
        <v>0.95</v>
      </c>
      <c r="L1737" s="85" t="n">
        <v>0</v>
      </c>
    </row>
    <row r="1738">
      <c r="A1738" s="84" t="inlineStr">
        <is>
          <t>IEG</t>
        </is>
      </c>
      <c r="B1738" s="7" t="inlineStr">
        <is>
          <t>sédentaire</t>
        </is>
      </c>
      <c r="C1738" s="88" t="n">
        <v>1985</v>
      </c>
      <c r="D1738" s="95" t="n">
        <v>64</v>
      </c>
      <c r="E1738" s="95" t="n">
        <v>67</v>
      </c>
      <c r="F1738" s="85" t="n">
        <v>172</v>
      </c>
      <c r="G1738" s="120" t="n">
        <v>0.0125</v>
      </c>
      <c r="H1738" s="120" t="n">
        <v>0.0125</v>
      </c>
      <c r="I1738" s="95" t="n">
        <v>2.5</v>
      </c>
      <c r="J1738" s="95" t="n">
        <v>66.5</v>
      </c>
      <c r="K1738" s="95" t="n">
        <v>0.95</v>
      </c>
      <c r="L1738" s="85" t="n">
        <v>0</v>
      </c>
    </row>
    <row r="1739">
      <c r="A1739" s="84" t="inlineStr">
        <is>
          <t>IEG</t>
        </is>
      </c>
      <c r="B1739" s="7" t="inlineStr">
        <is>
          <t>sédentaire</t>
        </is>
      </c>
      <c r="C1739" s="88" t="n">
        <v>1986</v>
      </c>
      <c r="D1739" s="95" t="n">
        <v>64</v>
      </c>
      <c r="E1739" s="95" t="n">
        <v>67</v>
      </c>
      <c r="F1739" s="85" t="n">
        <v>172</v>
      </c>
      <c r="G1739" s="120" t="n">
        <v>0.0125</v>
      </c>
      <c r="H1739" s="120" t="n">
        <v>0.0125</v>
      </c>
      <c r="I1739" s="95" t="n">
        <v>2.5</v>
      </c>
      <c r="J1739" s="95" t="n">
        <v>66.5</v>
      </c>
      <c r="K1739" s="95" t="n">
        <v>0.95</v>
      </c>
      <c r="L1739" s="85" t="n">
        <v>0</v>
      </c>
    </row>
    <row r="1740">
      <c r="A1740" s="84" t="inlineStr">
        <is>
          <t>IEG</t>
        </is>
      </c>
      <c r="B1740" s="7" t="inlineStr">
        <is>
          <t>sédentaire</t>
        </is>
      </c>
      <c r="C1740" s="88" t="n">
        <v>1987</v>
      </c>
      <c r="D1740" s="95" t="n">
        <v>64</v>
      </c>
      <c r="E1740" s="95" t="n">
        <v>67</v>
      </c>
      <c r="F1740" s="85" t="n">
        <v>172</v>
      </c>
      <c r="G1740" s="120" t="n">
        <v>0.0125</v>
      </c>
      <c r="H1740" s="120" t="n">
        <v>0.0125</v>
      </c>
      <c r="I1740" s="95" t="n">
        <v>2.5</v>
      </c>
      <c r="J1740" s="95" t="n">
        <v>66.5</v>
      </c>
      <c r="K1740" s="95" t="n">
        <v>0.95</v>
      </c>
      <c r="L1740" s="85" t="n">
        <v>0</v>
      </c>
    </row>
    <row r="1741">
      <c r="A1741" s="84" t="inlineStr">
        <is>
          <t>IEG</t>
        </is>
      </c>
      <c r="B1741" s="7" t="inlineStr">
        <is>
          <t>sédentaire</t>
        </is>
      </c>
      <c r="C1741" s="88" t="n">
        <v>1988</v>
      </c>
      <c r="D1741" s="95" t="n">
        <v>64</v>
      </c>
      <c r="E1741" s="95" t="n">
        <v>67</v>
      </c>
      <c r="F1741" s="85" t="n">
        <v>172</v>
      </c>
      <c r="G1741" s="120" t="n">
        <v>0.0125</v>
      </c>
      <c r="H1741" s="120" t="n">
        <v>0.0125</v>
      </c>
      <c r="I1741" s="95" t="n">
        <v>2.5</v>
      </c>
      <c r="J1741" s="95" t="n">
        <v>66.5</v>
      </c>
      <c r="K1741" s="95" t="n">
        <v>0.95</v>
      </c>
      <c r="L1741" s="85" t="n">
        <v>0</v>
      </c>
    </row>
    <row r="1742">
      <c r="A1742" s="84" t="inlineStr">
        <is>
          <t>IEG</t>
        </is>
      </c>
      <c r="B1742" s="7" t="inlineStr">
        <is>
          <t>sédentaire</t>
        </is>
      </c>
      <c r="C1742" s="88" t="n">
        <v>1989</v>
      </c>
      <c r="D1742" s="95" t="n">
        <v>64</v>
      </c>
      <c r="E1742" s="95" t="n">
        <v>67</v>
      </c>
      <c r="F1742" s="85" t="n">
        <v>172</v>
      </c>
      <c r="G1742" s="120" t="n">
        <v>0.0125</v>
      </c>
      <c r="H1742" s="120" t="n">
        <v>0.0125</v>
      </c>
      <c r="I1742" s="95" t="n">
        <v>2.5</v>
      </c>
      <c r="J1742" s="95" t="n">
        <v>66.5</v>
      </c>
      <c r="K1742" s="95" t="n">
        <v>0.95</v>
      </c>
      <c r="L1742" s="85" t="n">
        <v>0</v>
      </c>
    </row>
    <row r="1743">
      <c r="A1743" s="84" t="inlineStr">
        <is>
          <t>IEG</t>
        </is>
      </c>
      <c r="B1743" s="7" t="inlineStr">
        <is>
          <t>sédentaire</t>
        </is>
      </c>
      <c r="C1743" s="88" t="n">
        <v>1990</v>
      </c>
      <c r="D1743" s="95" t="n">
        <v>64</v>
      </c>
      <c r="E1743" s="95" t="n">
        <v>67</v>
      </c>
      <c r="F1743" s="85" t="n">
        <v>172</v>
      </c>
      <c r="G1743" s="120" t="n">
        <v>0.0125</v>
      </c>
      <c r="H1743" s="120" t="n">
        <v>0.0125</v>
      </c>
      <c r="I1743" s="95" t="n">
        <v>2.5</v>
      </c>
      <c r="J1743" s="95" t="n">
        <v>66.5</v>
      </c>
      <c r="K1743" s="95" t="n">
        <v>0.95</v>
      </c>
      <c r="L1743" s="85" t="n">
        <v>0</v>
      </c>
    </row>
    <row r="1744">
      <c r="A1744" s="84" t="inlineStr">
        <is>
          <t>IEG</t>
        </is>
      </c>
      <c r="B1744" s="7" t="inlineStr">
        <is>
          <t>sédentaire</t>
        </is>
      </c>
      <c r="C1744" s="88" t="n">
        <v>1991</v>
      </c>
      <c r="D1744" s="95" t="n">
        <v>64</v>
      </c>
      <c r="E1744" s="95" t="n">
        <v>67</v>
      </c>
      <c r="F1744" s="85" t="n">
        <v>172</v>
      </c>
      <c r="G1744" s="120" t="n">
        <v>0.0125</v>
      </c>
      <c r="H1744" s="120" t="n">
        <v>0.0125</v>
      </c>
      <c r="I1744" s="95" t="n">
        <v>2.5</v>
      </c>
      <c r="J1744" s="95" t="n">
        <v>66.5</v>
      </c>
      <c r="K1744" s="95" t="n">
        <v>0.95</v>
      </c>
      <c r="L1744" s="85" t="n">
        <v>0</v>
      </c>
    </row>
    <row r="1745">
      <c r="A1745" s="84" t="inlineStr">
        <is>
          <t>IEG</t>
        </is>
      </c>
      <c r="B1745" s="7" t="inlineStr">
        <is>
          <t>sédentaire</t>
        </is>
      </c>
      <c r="C1745" s="88" t="n">
        <v>1992</v>
      </c>
      <c r="D1745" s="95" t="n">
        <v>64</v>
      </c>
      <c r="E1745" s="95" t="n">
        <v>67</v>
      </c>
      <c r="F1745" s="85" t="n">
        <v>172</v>
      </c>
      <c r="G1745" s="120" t="n">
        <v>0.0125</v>
      </c>
      <c r="H1745" s="120" t="n">
        <v>0.0125</v>
      </c>
      <c r="I1745" s="95" t="n">
        <v>2.5</v>
      </c>
      <c r="J1745" s="95" t="n">
        <v>66.5</v>
      </c>
      <c r="K1745" s="95" t="n">
        <v>0.95</v>
      </c>
      <c r="L1745" s="85" t="n">
        <v>0</v>
      </c>
    </row>
    <row r="1746">
      <c r="A1746" s="84" t="inlineStr">
        <is>
          <t>IEG</t>
        </is>
      </c>
      <c r="B1746" s="7" t="inlineStr">
        <is>
          <t>sédentaire</t>
        </is>
      </c>
      <c r="C1746" s="88" t="n">
        <v>1993</v>
      </c>
      <c r="D1746" s="95" t="n">
        <v>64</v>
      </c>
      <c r="E1746" s="95" t="n">
        <v>67</v>
      </c>
      <c r="F1746" s="85" t="n">
        <v>172</v>
      </c>
      <c r="G1746" s="120" t="n">
        <v>0.0125</v>
      </c>
      <c r="H1746" s="120" t="n">
        <v>0.0125</v>
      </c>
      <c r="I1746" s="95" t="n">
        <v>2.5</v>
      </c>
      <c r="J1746" s="95" t="n">
        <v>66.5</v>
      </c>
      <c r="K1746" s="95" t="n">
        <v>0.95</v>
      </c>
      <c r="L1746" s="85" t="n">
        <v>0</v>
      </c>
    </row>
    <row r="1747">
      <c r="A1747" s="84" t="inlineStr">
        <is>
          <t>IEG</t>
        </is>
      </c>
      <c r="B1747" s="7" t="inlineStr">
        <is>
          <t>sédentaire</t>
        </is>
      </c>
      <c r="C1747" s="88" t="n">
        <v>1994</v>
      </c>
      <c r="D1747" s="95" t="n">
        <v>64</v>
      </c>
      <c r="E1747" s="95" t="n">
        <v>67</v>
      </c>
      <c r="F1747" s="85" t="n">
        <v>172</v>
      </c>
      <c r="G1747" s="120" t="n">
        <v>0.0125</v>
      </c>
      <c r="H1747" s="120" t="n">
        <v>0.0125</v>
      </c>
      <c r="I1747" s="95" t="n">
        <v>2.5</v>
      </c>
      <c r="J1747" s="95" t="n">
        <v>66.5</v>
      </c>
      <c r="K1747" s="95" t="n">
        <v>0.95</v>
      </c>
      <c r="L1747" s="85" t="n">
        <v>0</v>
      </c>
    </row>
    <row r="1748">
      <c r="A1748" s="84" t="inlineStr">
        <is>
          <t>IEG</t>
        </is>
      </c>
      <c r="B1748" s="7" t="inlineStr">
        <is>
          <t>sédentaire</t>
        </is>
      </c>
      <c r="C1748" s="88" t="n">
        <v>1995</v>
      </c>
      <c r="D1748" s="95" t="n">
        <v>64</v>
      </c>
      <c r="E1748" s="95" t="n">
        <v>67</v>
      </c>
      <c r="F1748" s="85" t="n">
        <v>172</v>
      </c>
      <c r="G1748" s="120" t="n">
        <v>0.0125</v>
      </c>
      <c r="H1748" s="120" t="n">
        <v>0.0125</v>
      </c>
      <c r="I1748" s="95" t="n">
        <v>2.5</v>
      </c>
      <c r="J1748" s="95" t="n">
        <v>66.5</v>
      </c>
      <c r="K1748" s="95" t="n">
        <v>0.95</v>
      </c>
      <c r="L1748" s="85" t="n">
        <v>0</v>
      </c>
    </row>
    <row r="1749">
      <c r="A1749" s="84" t="inlineStr">
        <is>
          <t>IEG</t>
        </is>
      </c>
      <c r="B1749" s="7" t="inlineStr">
        <is>
          <t>sédentaire</t>
        </is>
      </c>
      <c r="C1749" s="88" t="n">
        <v>1996</v>
      </c>
      <c r="D1749" s="95" t="n">
        <v>64</v>
      </c>
      <c r="E1749" s="95" t="n">
        <v>67</v>
      </c>
      <c r="F1749" s="85" t="n">
        <v>172</v>
      </c>
      <c r="G1749" s="120" t="n">
        <v>0.0125</v>
      </c>
      <c r="H1749" s="120" t="n">
        <v>0.0125</v>
      </c>
      <c r="I1749" s="95" t="n">
        <v>2.5</v>
      </c>
      <c r="J1749" s="95" t="n">
        <v>66.5</v>
      </c>
      <c r="K1749" s="95" t="n">
        <v>0.95</v>
      </c>
      <c r="L1749" s="85" t="n">
        <v>0</v>
      </c>
    </row>
    <row r="1750">
      <c r="A1750" s="84" t="inlineStr">
        <is>
          <t>IEG</t>
        </is>
      </c>
      <c r="B1750" s="7" t="inlineStr">
        <is>
          <t>sédentaire</t>
        </is>
      </c>
      <c r="C1750" s="88" t="n">
        <v>1997</v>
      </c>
      <c r="D1750" s="95" t="n">
        <v>64</v>
      </c>
      <c r="E1750" s="95" t="n">
        <v>67</v>
      </c>
      <c r="F1750" s="85" t="n">
        <v>172</v>
      </c>
      <c r="G1750" s="120" t="n">
        <v>0.0125</v>
      </c>
      <c r="H1750" s="120" t="n">
        <v>0.0125</v>
      </c>
      <c r="I1750" s="95" t="n">
        <v>2.5</v>
      </c>
      <c r="J1750" s="95" t="n">
        <v>66.5</v>
      </c>
      <c r="K1750" s="95" t="n">
        <v>0.95</v>
      </c>
      <c r="L1750" s="85" t="n">
        <v>0</v>
      </c>
    </row>
    <row r="1751">
      <c r="A1751" s="84" t="inlineStr">
        <is>
          <t>IEG</t>
        </is>
      </c>
      <c r="B1751" s="7" t="inlineStr">
        <is>
          <t>sédentaire</t>
        </is>
      </c>
      <c r="C1751" s="88" t="n">
        <v>1998</v>
      </c>
      <c r="D1751" s="95" t="n">
        <v>64</v>
      </c>
      <c r="E1751" s="95" t="n">
        <v>67</v>
      </c>
      <c r="F1751" s="85" t="n">
        <v>172</v>
      </c>
      <c r="G1751" s="120" t="n">
        <v>0.0125</v>
      </c>
      <c r="H1751" s="120" t="n">
        <v>0.0125</v>
      </c>
      <c r="I1751" s="95" t="n">
        <v>2.5</v>
      </c>
      <c r="J1751" s="95" t="n">
        <v>66.5</v>
      </c>
      <c r="K1751" s="95" t="n">
        <v>0.95</v>
      </c>
      <c r="L1751" s="85" t="n">
        <v>0</v>
      </c>
    </row>
    <row r="1752">
      <c r="A1752" s="84" t="inlineStr">
        <is>
          <t>IEG</t>
        </is>
      </c>
      <c r="B1752" s="7" t="inlineStr">
        <is>
          <t>sédentaire</t>
        </is>
      </c>
      <c r="C1752" s="88" t="n">
        <v>1999</v>
      </c>
      <c r="D1752" s="95" t="n">
        <v>64</v>
      </c>
      <c r="E1752" s="95" t="n">
        <v>67</v>
      </c>
      <c r="F1752" s="85" t="n">
        <v>172</v>
      </c>
      <c r="G1752" s="120" t="n">
        <v>0.0125</v>
      </c>
      <c r="H1752" s="120" t="n">
        <v>0.0125</v>
      </c>
      <c r="I1752" s="95" t="n">
        <v>2.5</v>
      </c>
      <c r="J1752" s="95" t="n">
        <v>66.5</v>
      </c>
      <c r="K1752" s="95" t="n">
        <v>0.95</v>
      </c>
      <c r="L1752" s="85" t="n">
        <v>0</v>
      </c>
    </row>
    <row r="1753">
      <c r="A1753" s="84" t="inlineStr">
        <is>
          <t>IEG</t>
        </is>
      </c>
      <c r="B1753" s="7" t="inlineStr">
        <is>
          <t>sédentaire</t>
        </is>
      </c>
      <c r="C1753" s="88" t="n">
        <v>2000</v>
      </c>
      <c r="D1753" s="95" t="n">
        <v>64</v>
      </c>
      <c r="E1753" s="95" t="n">
        <v>67</v>
      </c>
      <c r="F1753" s="85" t="n">
        <v>172</v>
      </c>
      <c r="G1753" s="120" t="n">
        <v>0.0125</v>
      </c>
      <c r="H1753" s="120" t="n">
        <v>0.0125</v>
      </c>
      <c r="I1753" s="95" t="n">
        <v>2.5</v>
      </c>
      <c r="J1753" s="95" t="n">
        <v>66.5</v>
      </c>
      <c r="K1753" s="95" t="n">
        <v>0.95</v>
      </c>
      <c r="L1753" s="85" t="n">
        <v>0</v>
      </c>
    </row>
    <row r="1754">
      <c r="A1754" s="84" t="inlineStr">
        <is>
          <t>IEG</t>
        </is>
      </c>
      <c r="B1754" s="7" t="inlineStr">
        <is>
          <t>sédentaire</t>
        </is>
      </c>
      <c r="C1754" s="88" t="n">
        <v>2001</v>
      </c>
      <c r="D1754" s="95" t="n">
        <v>64</v>
      </c>
      <c r="E1754" s="95" t="n">
        <v>67</v>
      </c>
      <c r="F1754" s="85" t="n">
        <v>172</v>
      </c>
      <c r="G1754" s="120" t="n">
        <v>0.0125</v>
      </c>
      <c r="H1754" s="120" t="n">
        <v>0.0125</v>
      </c>
      <c r="I1754" s="95" t="n">
        <v>2.5</v>
      </c>
      <c r="J1754" s="95" t="n">
        <v>66.5</v>
      </c>
      <c r="K1754" s="95" t="n">
        <v>0.95</v>
      </c>
      <c r="L1754" s="85" t="n">
        <v>0</v>
      </c>
    </row>
    <row r="1755">
      <c r="A1755" s="84" t="inlineStr">
        <is>
          <t>IEG</t>
        </is>
      </c>
      <c r="B1755" s="7" t="inlineStr">
        <is>
          <t>sédentaire</t>
        </is>
      </c>
      <c r="C1755" s="88" t="n">
        <v>2002</v>
      </c>
      <c r="D1755" s="95" t="n">
        <v>64</v>
      </c>
      <c r="E1755" s="95" t="n">
        <v>67</v>
      </c>
      <c r="F1755" s="85" t="n">
        <v>172</v>
      </c>
      <c r="G1755" s="120" t="n">
        <v>0.0125</v>
      </c>
      <c r="H1755" s="120" t="n">
        <v>0.0125</v>
      </c>
      <c r="I1755" s="95" t="n">
        <v>2.5</v>
      </c>
      <c r="J1755" s="95" t="n">
        <v>66.5</v>
      </c>
      <c r="K1755" s="95" t="n">
        <v>0.95</v>
      </c>
      <c r="L1755" s="85" t="n">
        <v>0</v>
      </c>
    </row>
    <row r="1756">
      <c r="A1756" s="84" t="inlineStr">
        <is>
          <t>IEG</t>
        </is>
      </c>
      <c r="B1756" s="7" t="inlineStr">
        <is>
          <t>sédentaire</t>
        </is>
      </c>
      <c r="C1756" s="88" t="n">
        <v>2003</v>
      </c>
      <c r="D1756" s="95" t="n">
        <v>64</v>
      </c>
      <c r="E1756" s="95" t="n">
        <v>67</v>
      </c>
      <c r="F1756" s="85" t="n">
        <v>172</v>
      </c>
      <c r="G1756" s="120" t="n">
        <v>0.0125</v>
      </c>
      <c r="H1756" s="120" t="n">
        <v>0.0125</v>
      </c>
      <c r="I1756" s="95" t="n">
        <v>2.5</v>
      </c>
      <c r="J1756" s="95" t="n">
        <v>66.5</v>
      </c>
      <c r="K1756" s="95" t="n">
        <v>0.95</v>
      </c>
      <c r="L1756" s="85" t="n">
        <v>0</v>
      </c>
    </row>
    <row r="1757">
      <c r="A1757" s="84" t="inlineStr">
        <is>
          <t>IEG</t>
        </is>
      </c>
      <c r="B1757" s="7" t="inlineStr">
        <is>
          <t>sédentaire</t>
        </is>
      </c>
      <c r="C1757" s="88" t="n">
        <v>2004</v>
      </c>
      <c r="D1757" s="95" t="n">
        <v>64</v>
      </c>
      <c r="E1757" s="95" t="n">
        <v>67</v>
      </c>
      <c r="F1757" s="85" t="n">
        <v>172</v>
      </c>
      <c r="G1757" s="120" t="n">
        <v>0.0125</v>
      </c>
      <c r="H1757" s="120" t="n">
        <v>0.0125</v>
      </c>
      <c r="I1757" s="95" t="n">
        <v>2.5</v>
      </c>
      <c r="J1757" s="95" t="n">
        <v>66.5</v>
      </c>
      <c r="K1757" s="95" t="n">
        <v>0.95</v>
      </c>
      <c r="L1757" s="85" t="n">
        <v>0</v>
      </c>
    </row>
    <row r="1758">
      <c r="A1758" s="84" t="inlineStr">
        <is>
          <t>IEG</t>
        </is>
      </c>
      <c r="B1758" s="7" t="inlineStr">
        <is>
          <t>sédentaire</t>
        </is>
      </c>
      <c r="C1758" s="88" t="n">
        <v>2005</v>
      </c>
      <c r="D1758" s="95" t="n">
        <v>64</v>
      </c>
      <c r="E1758" s="95" t="n">
        <v>67</v>
      </c>
      <c r="F1758" s="85" t="n">
        <v>172</v>
      </c>
      <c r="G1758" s="120" t="n">
        <v>0.0125</v>
      </c>
      <c r="H1758" s="120" t="n">
        <v>0.0125</v>
      </c>
      <c r="I1758" s="95" t="n">
        <v>2.5</v>
      </c>
      <c r="J1758" s="95" t="n">
        <v>66.5</v>
      </c>
      <c r="K1758" s="95" t="n">
        <v>0.95</v>
      </c>
      <c r="L1758" s="85" t="n">
        <v>0</v>
      </c>
    </row>
    <row r="1759">
      <c r="A1759" s="84" t="inlineStr">
        <is>
          <t>IEG</t>
        </is>
      </c>
      <c r="B1759" s="7" t="inlineStr">
        <is>
          <t>sédentaire</t>
        </is>
      </c>
      <c r="C1759" s="88" t="n">
        <v>2006</v>
      </c>
      <c r="D1759" s="95" t="n">
        <v>64</v>
      </c>
      <c r="E1759" s="95" t="n">
        <v>67</v>
      </c>
      <c r="F1759" s="85" t="n">
        <v>172</v>
      </c>
      <c r="G1759" s="120" t="n">
        <v>0.0125</v>
      </c>
      <c r="H1759" s="120" t="n">
        <v>0.0125</v>
      </c>
      <c r="I1759" s="95" t="n">
        <v>2.5</v>
      </c>
      <c r="J1759" s="95" t="n">
        <v>66.5</v>
      </c>
      <c r="K1759" s="95" t="n">
        <v>0.95</v>
      </c>
      <c r="L1759" s="85" t="n">
        <v>0</v>
      </c>
    </row>
    <row r="1760">
      <c r="A1760" s="84" t="inlineStr">
        <is>
          <t>IEG</t>
        </is>
      </c>
      <c r="B1760" s="7" t="inlineStr">
        <is>
          <t>sédentaire</t>
        </is>
      </c>
      <c r="C1760" s="88" t="n">
        <v>2007</v>
      </c>
      <c r="D1760" s="95" t="n">
        <v>64</v>
      </c>
      <c r="E1760" s="95" t="n">
        <v>67</v>
      </c>
      <c r="F1760" s="85" t="n">
        <v>172</v>
      </c>
      <c r="G1760" s="120" t="n">
        <v>0.0125</v>
      </c>
      <c r="H1760" s="120" t="n">
        <v>0.0125</v>
      </c>
      <c r="I1760" s="95" t="n">
        <v>2.5</v>
      </c>
      <c r="J1760" s="95" t="n">
        <v>66.5</v>
      </c>
      <c r="K1760" s="95" t="n">
        <v>0.95</v>
      </c>
      <c r="L1760" s="85" t="n">
        <v>0</v>
      </c>
    </row>
    <row r="1761">
      <c r="A1761" s="84" t="inlineStr">
        <is>
          <t>IEG</t>
        </is>
      </c>
      <c r="B1761" s="7" t="inlineStr">
        <is>
          <t>sédentaire</t>
        </is>
      </c>
      <c r="C1761" s="88" t="n">
        <v>2008</v>
      </c>
      <c r="D1761" s="95" t="n">
        <v>64</v>
      </c>
      <c r="E1761" s="95" t="n">
        <v>67</v>
      </c>
      <c r="F1761" s="85" t="n">
        <v>172</v>
      </c>
      <c r="G1761" s="120" t="n">
        <v>0.0125</v>
      </c>
      <c r="H1761" s="120" t="n">
        <v>0.0125</v>
      </c>
      <c r="I1761" s="95" t="n">
        <v>2.5</v>
      </c>
      <c r="J1761" s="95" t="n">
        <v>66.5</v>
      </c>
      <c r="K1761" s="95" t="n">
        <v>0.95</v>
      </c>
      <c r="L1761" s="85" t="n">
        <v>0</v>
      </c>
    </row>
    <row r="1762">
      <c r="A1762" s="84" t="inlineStr">
        <is>
          <t>IEG</t>
        </is>
      </c>
      <c r="B1762" s="7" t="inlineStr">
        <is>
          <t>sédentaire</t>
        </is>
      </c>
      <c r="C1762" s="88" t="n">
        <v>2009</v>
      </c>
      <c r="D1762" s="95" t="n">
        <v>64</v>
      </c>
      <c r="E1762" s="95" t="n">
        <v>67</v>
      </c>
      <c r="F1762" s="85" t="n">
        <v>172</v>
      </c>
      <c r="G1762" s="120" t="n">
        <v>0.0125</v>
      </c>
      <c r="H1762" s="120" t="n">
        <v>0.0125</v>
      </c>
      <c r="I1762" s="95" t="n">
        <v>2.5</v>
      </c>
      <c r="J1762" s="95" t="n">
        <v>66.5</v>
      </c>
      <c r="K1762" s="95" t="n">
        <v>0.95</v>
      </c>
      <c r="L1762" s="85" t="n">
        <v>0</v>
      </c>
    </row>
    <row r="1763">
      <c r="A1763" s="84" t="inlineStr">
        <is>
          <t>IEG</t>
        </is>
      </c>
      <c r="B1763" s="7" t="inlineStr">
        <is>
          <t>sédentaire</t>
        </is>
      </c>
      <c r="C1763" s="88" t="n">
        <v>2010</v>
      </c>
      <c r="D1763" s="95" t="n">
        <v>64</v>
      </c>
      <c r="E1763" s="95" t="n">
        <v>67</v>
      </c>
      <c r="F1763" s="85" t="n">
        <v>172</v>
      </c>
      <c r="G1763" s="120" t="n">
        <v>0.0125</v>
      </c>
      <c r="H1763" s="120" t="n">
        <v>0.0125</v>
      </c>
      <c r="I1763" s="95" t="n">
        <v>2.5</v>
      </c>
      <c r="J1763" s="95" t="n">
        <v>66.5</v>
      </c>
      <c r="K1763" s="95" t="n">
        <v>0.95</v>
      </c>
      <c r="L1763" s="85" t="n">
        <v>0</v>
      </c>
    </row>
    <row r="1764">
      <c r="A1764" s="84" t="inlineStr">
        <is>
          <t>IEG</t>
        </is>
      </c>
      <c r="B1764" s="7" t="inlineStr">
        <is>
          <t>sédentaire</t>
        </is>
      </c>
      <c r="C1764" s="88" t="n">
        <v>2011</v>
      </c>
      <c r="D1764" s="95" t="n">
        <v>64</v>
      </c>
      <c r="E1764" s="95" t="n">
        <v>67</v>
      </c>
      <c r="F1764" s="85" t="n">
        <v>172</v>
      </c>
      <c r="G1764" s="120" t="n">
        <v>0.0125</v>
      </c>
      <c r="H1764" s="120" t="n">
        <v>0.0125</v>
      </c>
      <c r="I1764" s="95" t="n">
        <v>2.5</v>
      </c>
      <c r="J1764" s="95" t="n">
        <v>66.5</v>
      </c>
      <c r="K1764" s="95" t="n">
        <v>0.95</v>
      </c>
      <c r="L1764" s="85" t="n">
        <v>0</v>
      </c>
    </row>
    <row r="1765">
      <c r="A1765" s="84" t="inlineStr">
        <is>
          <t>IEG</t>
        </is>
      </c>
      <c r="B1765" s="7" t="inlineStr">
        <is>
          <t>sédentaire</t>
        </is>
      </c>
      <c r="C1765" s="88" t="n">
        <v>2012</v>
      </c>
      <c r="D1765" s="95" t="n">
        <v>64</v>
      </c>
      <c r="E1765" s="95" t="n">
        <v>67</v>
      </c>
      <c r="F1765" s="85" t="n">
        <v>172</v>
      </c>
      <c r="G1765" s="120" t="n">
        <v>0.0125</v>
      </c>
      <c r="H1765" s="120" t="n">
        <v>0.0125</v>
      </c>
      <c r="I1765" s="95" t="n">
        <v>2.5</v>
      </c>
      <c r="J1765" s="95" t="n">
        <v>66.5</v>
      </c>
      <c r="K1765" s="95" t="n">
        <v>0.95</v>
      </c>
      <c r="L1765" s="85" t="n">
        <v>0</v>
      </c>
    </row>
    <row r="1766">
      <c r="A1766" s="84" t="inlineStr">
        <is>
          <t>IEG</t>
        </is>
      </c>
      <c r="B1766" s="7" t="inlineStr">
        <is>
          <t>sédentaire</t>
        </is>
      </c>
      <c r="C1766" s="88" t="n">
        <v>2013</v>
      </c>
      <c r="D1766" s="95" t="n">
        <v>64</v>
      </c>
      <c r="E1766" s="95" t="n">
        <v>67</v>
      </c>
      <c r="F1766" s="85" t="n">
        <v>172</v>
      </c>
      <c r="G1766" s="120" t="n">
        <v>0.0125</v>
      </c>
      <c r="H1766" s="120" t="n">
        <v>0.0125</v>
      </c>
      <c r="I1766" s="95" t="n">
        <v>2.5</v>
      </c>
      <c r="J1766" s="95" t="n">
        <v>66.5</v>
      </c>
      <c r="K1766" s="95" t="n">
        <v>0.95</v>
      </c>
      <c r="L1766" s="85" t="n">
        <v>0</v>
      </c>
    </row>
    <row r="1767">
      <c r="A1767" s="84" t="inlineStr">
        <is>
          <t>IEG</t>
        </is>
      </c>
      <c r="B1767" s="7" t="inlineStr">
        <is>
          <t>sédentaire</t>
        </is>
      </c>
      <c r="C1767" s="88" t="n">
        <v>2014</v>
      </c>
      <c r="D1767" s="95" t="n">
        <v>64</v>
      </c>
      <c r="E1767" s="95" t="n">
        <v>67</v>
      </c>
      <c r="F1767" s="85" t="n">
        <v>172</v>
      </c>
      <c r="G1767" s="120" t="n">
        <v>0.0125</v>
      </c>
      <c r="H1767" s="120" t="n">
        <v>0.0125</v>
      </c>
      <c r="I1767" s="95" t="n">
        <v>2.5</v>
      </c>
      <c r="J1767" s="95" t="n">
        <v>66.5</v>
      </c>
      <c r="K1767" s="95" t="n">
        <v>0.95</v>
      </c>
      <c r="L1767" s="85" t="n">
        <v>0</v>
      </c>
    </row>
    <row r="1768">
      <c r="A1768" s="84" t="inlineStr">
        <is>
          <t>IEG</t>
        </is>
      </c>
      <c r="B1768" s="7" t="inlineStr">
        <is>
          <t>sédentaire</t>
        </is>
      </c>
      <c r="C1768" s="88" t="n">
        <v>2015</v>
      </c>
      <c r="D1768" s="95" t="n">
        <v>64</v>
      </c>
      <c r="E1768" s="95" t="n">
        <v>67</v>
      </c>
      <c r="F1768" s="85" t="n">
        <v>172</v>
      </c>
      <c r="G1768" s="120" t="n">
        <v>0.0125</v>
      </c>
      <c r="H1768" s="120" t="n">
        <v>0.0125</v>
      </c>
      <c r="I1768" s="95" t="n">
        <v>2.5</v>
      </c>
      <c r="J1768" s="95" t="n">
        <v>66.5</v>
      </c>
      <c r="K1768" s="95" t="n">
        <v>0.95</v>
      </c>
      <c r="L1768" s="85" t="n">
        <v>0</v>
      </c>
    </row>
    <row r="1769">
      <c r="A1769" s="84" t="inlineStr">
        <is>
          <t>IEG</t>
        </is>
      </c>
      <c r="B1769" s="7" t="inlineStr">
        <is>
          <t>sédentaire</t>
        </is>
      </c>
      <c r="C1769" s="88" t="n">
        <v>2016</v>
      </c>
      <c r="D1769" s="95" t="n">
        <v>64</v>
      </c>
      <c r="E1769" s="95" t="n">
        <v>67</v>
      </c>
      <c r="F1769" s="85" t="n">
        <v>172</v>
      </c>
      <c r="G1769" s="120" t="n">
        <v>0.0125</v>
      </c>
      <c r="H1769" s="120" t="n">
        <v>0.0125</v>
      </c>
      <c r="I1769" s="95" t="n">
        <v>2.5</v>
      </c>
      <c r="J1769" s="95" t="n">
        <v>66.5</v>
      </c>
      <c r="K1769" s="95" t="n">
        <v>0.95</v>
      </c>
      <c r="L1769" s="85" t="n">
        <v>0</v>
      </c>
    </row>
    <row r="1770">
      <c r="A1770" s="84" t="inlineStr">
        <is>
          <t>IEG</t>
        </is>
      </c>
      <c r="B1770" s="7" t="inlineStr">
        <is>
          <t>sédentaire</t>
        </is>
      </c>
      <c r="C1770" s="88" t="n">
        <v>2017</v>
      </c>
      <c r="D1770" s="95" t="n">
        <v>64</v>
      </c>
      <c r="E1770" s="95" t="n">
        <v>67</v>
      </c>
      <c r="F1770" s="85" t="n">
        <v>172</v>
      </c>
      <c r="G1770" s="120" t="n">
        <v>0.0125</v>
      </c>
      <c r="H1770" s="120" t="n">
        <v>0.0125</v>
      </c>
      <c r="I1770" s="95" t="n">
        <v>2.5</v>
      </c>
      <c r="J1770" s="95" t="n">
        <v>66.5</v>
      </c>
      <c r="K1770" s="95" t="n">
        <v>0.95</v>
      </c>
      <c r="L1770" s="85" t="n">
        <v>0</v>
      </c>
    </row>
    <row r="1771">
      <c r="A1771" s="84" t="inlineStr">
        <is>
          <t>IEG</t>
        </is>
      </c>
      <c r="B1771" s="7" t="inlineStr">
        <is>
          <t>sédentaire</t>
        </is>
      </c>
      <c r="C1771" s="88" t="n">
        <v>2018</v>
      </c>
      <c r="D1771" s="95" t="n">
        <v>64</v>
      </c>
      <c r="E1771" s="95" t="n">
        <v>67</v>
      </c>
      <c r="F1771" s="85" t="n">
        <v>172</v>
      </c>
      <c r="G1771" s="120" t="n">
        <v>0.0125</v>
      </c>
      <c r="H1771" s="120" t="n">
        <v>0.0125</v>
      </c>
      <c r="I1771" s="95" t="n">
        <v>2.5</v>
      </c>
      <c r="J1771" s="95" t="n">
        <v>66.5</v>
      </c>
      <c r="K1771" s="95" t="n">
        <v>0.95</v>
      </c>
      <c r="L1771" s="85" t="n">
        <v>0</v>
      </c>
    </row>
    <row r="1772">
      <c r="A1772" s="84" t="inlineStr">
        <is>
          <t>IEG</t>
        </is>
      </c>
      <c r="B1772" s="7" t="inlineStr">
        <is>
          <t>sédentaire</t>
        </is>
      </c>
      <c r="C1772" s="88" t="n">
        <v>2019</v>
      </c>
      <c r="D1772" s="95" t="n">
        <v>64</v>
      </c>
      <c r="E1772" s="95" t="n">
        <v>67</v>
      </c>
      <c r="F1772" s="85" t="n">
        <v>172</v>
      </c>
      <c r="G1772" s="120" t="n">
        <v>0.0125</v>
      </c>
      <c r="H1772" s="120" t="n">
        <v>0.0125</v>
      </c>
      <c r="I1772" s="95" t="n">
        <v>2.5</v>
      </c>
      <c r="J1772" s="95" t="n">
        <v>66.5</v>
      </c>
      <c r="K1772" s="95" t="n">
        <v>0.95</v>
      </c>
      <c r="L1772" s="85" t="n">
        <v>0</v>
      </c>
    </row>
    <row r="1773">
      <c r="A1773" s="84" t="inlineStr">
        <is>
          <t>IEG</t>
        </is>
      </c>
      <c r="B1773" s="7" t="inlineStr">
        <is>
          <t>sédentaire</t>
        </is>
      </c>
      <c r="C1773" s="88" t="n">
        <v>2020</v>
      </c>
      <c r="D1773" s="95" t="n">
        <v>64</v>
      </c>
      <c r="E1773" s="95" t="n">
        <v>67</v>
      </c>
      <c r="F1773" s="85" t="n">
        <v>172</v>
      </c>
      <c r="G1773" s="120" t="n">
        <v>0.0125</v>
      </c>
      <c r="H1773" s="120" t="n">
        <v>0.0125</v>
      </c>
      <c r="I1773" s="95" t="n">
        <v>2.5</v>
      </c>
      <c r="J1773" s="95" t="n">
        <v>66.5</v>
      </c>
      <c r="K1773" s="95" t="n">
        <v>0.95</v>
      </c>
      <c r="L1773" s="85" t="n">
        <v>0</v>
      </c>
    </row>
    <row r="1774">
      <c r="A1774" s="84" t="inlineStr">
        <is>
          <t>IEG</t>
        </is>
      </c>
      <c r="B1774" s="7" t="inlineStr">
        <is>
          <t>sédentaire</t>
        </is>
      </c>
      <c r="C1774" s="88" t="n">
        <v>2021</v>
      </c>
      <c r="D1774" s="95" t="n">
        <v>64</v>
      </c>
      <c r="E1774" s="95" t="n">
        <v>67</v>
      </c>
      <c r="F1774" s="85" t="n">
        <v>172</v>
      </c>
      <c r="G1774" s="120" t="n">
        <v>0.0125</v>
      </c>
      <c r="H1774" s="120" t="n">
        <v>0.0125</v>
      </c>
      <c r="I1774" s="95" t="n">
        <v>2.5</v>
      </c>
      <c r="J1774" s="95" t="n">
        <v>66.5</v>
      </c>
      <c r="K1774" s="95" t="n">
        <v>0.95</v>
      </c>
      <c r="L1774" s="85" t="n">
        <v>0</v>
      </c>
    </row>
    <row r="1775">
      <c r="A1775" s="84" t="inlineStr">
        <is>
          <t>IEG</t>
        </is>
      </c>
      <c r="B1775" s="7" t="inlineStr">
        <is>
          <t>sédentaire</t>
        </is>
      </c>
      <c r="C1775" s="88" t="n">
        <v>2022</v>
      </c>
      <c r="D1775" s="95" t="n">
        <v>64</v>
      </c>
      <c r="E1775" s="95" t="n">
        <v>67</v>
      </c>
      <c r="F1775" s="85" t="n">
        <v>172</v>
      </c>
      <c r="G1775" s="120" t="n">
        <v>0.0125</v>
      </c>
      <c r="H1775" s="120" t="n">
        <v>0.0125</v>
      </c>
      <c r="I1775" s="95" t="n">
        <v>2.5</v>
      </c>
      <c r="J1775" s="95" t="n">
        <v>66.5</v>
      </c>
      <c r="K1775" s="95" t="n">
        <v>0.95</v>
      </c>
      <c r="L1775" s="85" t="n">
        <v>0</v>
      </c>
    </row>
    <row r="1776">
      <c r="A1776" s="84" t="inlineStr">
        <is>
          <t>IEG</t>
        </is>
      </c>
      <c r="B1776" s="7" t="inlineStr">
        <is>
          <t>sédentaire</t>
        </is>
      </c>
      <c r="C1776" s="88" t="n">
        <v>2023</v>
      </c>
      <c r="D1776" s="95" t="n">
        <v>64</v>
      </c>
      <c r="E1776" s="95" t="n">
        <v>67</v>
      </c>
      <c r="F1776" s="85" t="n">
        <v>172</v>
      </c>
      <c r="G1776" s="120" t="n">
        <v>0.0125</v>
      </c>
      <c r="H1776" s="120" t="n">
        <v>0.0125</v>
      </c>
      <c r="I1776" s="95" t="n">
        <v>2.5</v>
      </c>
      <c r="J1776" s="95" t="n">
        <v>66.5</v>
      </c>
      <c r="K1776" s="95" t="n">
        <v>0.95</v>
      </c>
      <c r="L1776" s="85" t="n">
        <v>0</v>
      </c>
    </row>
    <row r="1777">
      <c r="A1777" s="84" t="inlineStr">
        <is>
          <t>IEG</t>
        </is>
      </c>
      <c r="B1777" s="7" t="inlineStr">
        <is>
          <t>sédentaire</t>
        </is>
      </c>
      <c r="C1777" s="88" t="n">
        <v>2024</v>
      </c>
      <c r="D1777" s="95" t="n">
        <v>64</v>
      </c>
      <c r="E1777" s="95" t="n">
        <v>67</v>
      </c>
      <c r="F1777" s="85" t="n">
        <v>172</v>
      </c>
      <c r="G1777" s="120" t="n">
        <v>0.0125</v>
      </c>
      <c r="H1777" s="120" t="n">
        <v>0.0125</v>
      </c>
      <c r="I1777" s="95" t="n">
        <v>2.5</v>
      </c>
      <c r="J1777" s="95" t="n">
        <v>66.5</v>
      </c>
      <c r="K1777" s="95" t="n">
        <v>0.95</v>
      </c>
      <c r="L1777" s="85" t="n">
        <v>0</v>
      </c>
    </row>
    <row r="1778">
      <c r="A1778" s="84" t="inlineStr">
        <is>
          <t>IEG</t>
        </is>
      </c>
      <c r="B1778" s="7" t="inlineStr">
        <is>
          <t>sédentaire</t>
        </is>
      </c>
      <c r="C1778" s="88" t="n">
        <v>2025</v>
      </c>
      <c r="D1778" s="95" t="n">
        <v>64</v>
      </c>
      <c r="E1778" s="95" t="n">
        <v>67</v>
      </c>
      <c r="F1778" s="85" t="n">
        <v>172</v>
      </c>
      <c r="G1778" s="120" t="n">
        <v>0.0125</v>
      </c>
      <c r="H1778" s="120" t="n">
        <v>0.0125</v>
      </c>
      <c r="I1778" s="95" t="n">
        <v>2.5</v>
      </c>
      <c r="J1778" s="95" t="n">
        <v>66.5</v>
      </c>
      <c r="K1778" s="95" t="n">
        <v>0.95</v>
      </c>
      <c r="L1778" s="85" t="n">
        <v>0</v>
      </c>
    </row>
    <row r="1779">
      <c r="A1779" s="84" t="inlineStr">
        <is>
          <t>IEG</t>
        </is>
      </c>
      <c r="B1779" s="7" t="inlineStr">
        <is>
          <t>actif</t>
        </is>
      </c>
      <c r="C1779" s="88" t="n">
        <v>1915</v>
      </c>
      <c r="D1779" s="95" t="n">
        <v>55</v>
      </c>
      <c r="E1779" s="95" t="n">
        <v>55</v>
      </c>
      <c r="F1779" s="85" t="n">
        <v>150</v>
      </c>
      <c r="G1779" s="120" t="n">
        <v>0</v>
      </c>
      <c r="H1779" s="120" t="n">
        <v>0</v>
      </c>
      <c r="I1779" s="95" t="n">
        <v>0.5</v>
      </c>
      <c r="J1779" s="95" t="n">
        <v>55.5</v>
      </c>
      <c r="K1779" s="95" t="n">
        <v>0.95</v>
      </c>
      <c r="L1779" s="85" t="n">
        <v>1</v>
      </c>
    </row>
    <row r="1780">
      <c r="A1780" s="84" t="inlineStr">
        <is>
          <t>IEG</t>
        </is>
      </c>
      <c r="B1780" s="7" t="inlineStr">
        <is>
          <t>actif</t>
        </is>
      </c>
      <c r="C1780" s="88" t="n">
        <v>1916</v>
      </c>
      <c r="D1780" s="95" t="n">
        <v>55</v>
      </c>
      <c r="E1780" s="95" t="n">
        <v>55</v>
      </c>
      <c r="F1780" s="85" t="n">
        <v>150</v>
      </c>
      <c r="G1780" s="120" t="n">
        <v>0</v>
      </c>
      <c r="H1780" s="120" t="n">
        <v>0</v>
      </c>
      <c r="I1780" s="95" t="n">
        <v>0.5</v>
      </c>
      <c r="J1780" s="95" t="n">
        <v>55.5</v>
      </c>
      <c r="K1780" s="95" t="n">
        <v>0.95</v>
      </c>
      <c r="L1780" s="85" t="n">
        <v>1</v>
      </c>
    </row>
    <row r="1781">
      <c r="A1781" s="84" t="inlineStr">
        <is>
          <t>IEG</t>
        </is>
      </c>
      <c r="B1781" s="7" t="inlineStr">
        <is>
          <t>actif</t>
        </is>
      </c>
      <c r="C1781" s="88" t="n">
        <v>1917</v>
      </c>
      <c r="D1781" s="95" t="n">
        <v>55</v>
      </c>
      <c r="E1781" s="95" t="n">
        <v>55</v>
      </c>
      <c r="F1781" s="85" t="n">
        <v>150</v>
      </c>
      <c r="G1781" s="120" t="n">
        <v>0</v>
      </c>
      <c r="H1781" s="120" t="n">
        <v>0</v>
      </c>
      <c r="I1781" s="95" t="n">
        <v>0.5</v>
      </c>
      <c r="J1781" s="95" t="n">
        <v>55.5</v>
      </c>
      <c r="K1781" s="95" t="n">
        <v>0.95</v>
      </c>
      <c r="L1781" s="85" t="n">
        <v>1</v>
      </c>
    </row>
    <row r="1782">
      <c r="A1782" s="84" t="inlineStr">
        <is>
          <t>IEG</t>
        </is>
      </c>
      <c r="B1782" s="7" t="inlineStr">
        <is>
          <t>actif</t>
        </is>
      </c>
      <c r="C1782" s="88" t="n">
        <v>1918</v>
      </c>
      <c r="D1782" s="95" t="n">
        <v>55</v>
      </c>
      <c r="E1782" s="95" t="n">
        <v>55</v>
      </c>
      <c r="F1782" s="85" t="n">
        <v>150</v>
      </c>
      <c r="G1782" s="120" t="n">
        <v>0</v>
      </c>
      <c r="H1782" s="120" t="n">
        <v>0</v>
      </c>
      <c r="I1782" s="95" t="n">
        <v>0.5</v>
      </c>
      <c r="J1782" s="95" t="n">
        <v>55.5</v>
      </c>
      <c r="K1782" s="95" t="n">
        <v>0.95</v>
      </c>
      <c r="L1782" s="85" t="n">
        <v>1</v>
      </c>
    </row>
    <row r="1783">
      <c r="A1783" s="84" t="inlineStr">
        <is>
          <t>IEG</t>
        </is>
      </c>
      <c r="B1783" s="7" t="inlineStr">
        <is>
          <t>actif</t>
        </is>
      </c>
      <c r="C1783" s="88" t="n">
        <v>1919</v>
      </c>
      <c r="D1783" s="95" t="n">
        <v>55</v>
      </c>
      <c r="E1783" s="95" t="n">
        <v>55</v>
      </c>
      <c r="F1783" s="85" t="n">
        <v>150</v>
      </c>
      <c r="G1783" s="120" t="n">
        <v>0</v>
      </c>
      <c r="H1783" s="120" t="n">
        <v>0</v>
      </c>
      <c r="I1783" s="95" t="n">
        <v>0.5</v>
      </c>
      <c r="J1783" s="95" t="n">
        <v>55.5</v>
      </c>
      <c r="K1783" s="95" t="n">
        <v>0.95</v>
      </c>
      <c r="L1783" s="85" t="n">
        <v>1</v>
      </c>
    </row>
    <row r="1784">
      <c r="A1784" s="84" t="inlineStr">
        <is>
          <t>IEG</t>
        </is>
      </c>
      <c r="B1784" s="7" t="inlineStr">
        <is>
          <t>actif</t>
        </is>
      </c>
      <c r="C1784" s="88" t="n">
        <v>1920</v>
      </c>
      <c r="D1784" s="95" t="n">
        <v>55</v>
      </c>
      <c r="E1784" s="95" t="n">
        <v>55</v>
      </c>
      <c r="F1784" s="85" t="n">
        <v>150</v>
      </c>
      <c r="G1784" s="120" t="n">
        <v>0</v>
      </c>
      <c r="H1784" s="120" t="n">
        <v>0</v>
      </c>
      <c r="I1784" s="95" t="n">
        <v>0.5</v>
      </c>
      <c r="J1784" s="95" t="n">
        <v>55.5</v>
      </c>
      <c r="K1784" s="95" t="n">
        <v>0.95</v>
      </c>
      <c r="L1784" s="85" t="n">
        <v>1</v>
      </c>
    </row>
    <row r="1785">
      <c r="A1785" s="84" t="inlineStr">
        <is>
          <t>IEG</t>
        </is>
      </c>
      <c r="B1785" s="7" t="inlineStr">
        <is>
          <t>actif</t>
        </is>
      </c>
      <c r="C1785" s="88" t="n">
        <v>1921</v>
      </c>
      <c r="D1785" s="95" t="n">
        <v>55</v>
      </c>
      <c r="E1785" s="95" t="n">
        <v>55</v>
      </c>
      <c r="F1785" s="85" t="n">
        <v>150</v>
      </c>
      <c r="G1785" s="120" t="n">
        <v>0</v>
      </c>
      <c r="H1785" s="120" t="n">
        <v>0</v>
      </c>
      <c r="I1785" s="95" t="n">
        <v>0.5</v>
      </c>
      <c r="J1785" s="95" t="n">
        <v>55.5</v>
      </c>
      <c r="K1785" s="95" t="n">
        <v>0.95</v>
      </c>
      <c r="L1785" s="85" t="n">
        <v>1</v>
      </c>
    </row>
    <row r="1786">
      <c r="A1786" s="84" t="inlineStr">
        <is>
          <t>IEG</t>
        </is>
      </c>
      <c r="B1786" s="7" t="inlineStr">
        <is>
          <t>actif</t>
        </is>
      </c>
      <c r="C1786" s="88" t="n">
        <v>1922</v>
      </c>
      <c r="D1786" s="95" t="n">
        <v>55</v>
      </c>
      <c r="E1786" s="95" t="n">
        <v>55</v>
      </c>
      <c r="F1786" s="85" t="n">
        <v>150</v>
      </c>
      <c r="G1786" s="120" t="n">
        <v>0</v>
      </c>
      <c r="H1786" s="120" t="n">
        <v>0</v>
      </c>
      <c r="I1786" s="95" t="n">
        <v>0.5</v>
      </c>
      <c r="J1786" s="95" t="n">
        <v>55.5</v>
      </c>
      <c r="K1786" s="95" t="n">
        <v>0.95</v>
      </c>
      <c r="L1786" s="85" t="n">
        <v>1</v>
      </c>
    </row>
    <row r="1787">
      <c r="A1787" s="84" t="inlineStr">
        <is>
          <t>IEG</t>
        </is>
      </c>
      <c r="B1787" s="7" t="inlineStr">
        <is>
          <t>actif</t>
        </is>
      </c>
      <c r="C1787" s="88" t="n">
        <v>1923</v>
      </c>
      <c r="D1787" s="95" t="n">
        <v>55</v>
      </c>
      <c r="E1787" s="95" t="n">
        <v>55</v>
      </c>
      <c r="F1787" s="85" t="n">
        <v>150</v>
      </c>
      <c r="G1787" s="120" t="n">
        <v>0</v>
      </c>
      <c r="H1787" s="120" t="n">
        <v>0</v>
      </c>
      <c r="I1787" s="95" t="n">
        <v>0.5</v>
      </c>
      <c r="J1787" s="95" t="n">
        <v>55.5</v>
      </c>
      <c r="K1787" s="95" t="n">
        <v>0.95</v>
      </c>
      <c r="L1787" s="85" t="n">
        <v>1</v>
      </c>
    </row>
    <row r="1788">
      <c r="A1788" s="84" t="inlineStr">
        <is>
          <t>IEG</t>
        </is>
      </c>
      <c r="B1788" s="7" t="inlineStr">
        <is>
          <t>actif</t>
        </is>
      </c>
      <c r="C1788" s="88" t="n">
        <v>1924</v>
      </c>
      <c r="D1788" s="95" t="n">
        <v>55</v>
      </c>
      <c r="E1788" s="95" t="n">
        <v>55</v>
      </c>
      <c r="F1788" s="85" t="n">
        <v>150</v>
      </c>
      <c r="G1788" s="120" t="n">
        <v>0</v>
      </c>
      <c r="H1788" s="120" t="n">
        <v>0</v>
      </c>
      <c r="I1788" s="95" t="n">
        <v>0.5</v>
      </c>
      <c r="J1788" s="95" t="n">
        <v>55.5</v>
      </c>
      <c r="K1788" s="95" t="n">
        <v>0.95</v>
      </c>
      <c r="L1788" s="85" t="n">
        <v>1</v>
      </c>
    </row>
    <row r="1789">
      <c r="A1789" s="84" t="inlineStr">
        <is>
          <t>IEG</t>
        </is>
      </c>
      <c r="B1789" s="7" t="inlineStr">
        <is>
          <t>actif</t>
        </is>
      </c>
      <c r="C1789" s="88" t="n">
        <v>1925</v>
      </c>
      <c r="D1789" s="95" t="n">
        <v>55</v>
      </c>
      <c r="E1789" s="95" t="n">
        <v>55</v>
      </c>
      <c r="F1789" s="85" t="n">
        <v>150</v>
      </c>
      <c r="G1789" s="120" t="n">
        <v>0</v>
      </c>
      <c r="H1789" s="120" t="n">
        <v>0</v>
      </c>
      <c r="I1789" s="95" t="n">
        <v>0.5</v>
      </c>
      <c r="J1789" s="95" t="n">
        <v>55.5</v>
      </c>
      <c r="K1789" s="95" t="n">
        <v>0.95</v>
      </c>
      <c r="L1789" s="85" t="n">
        <v>1</v>
      </c>
    </row>
    <row r="1790">
      <c r="A1790" s="84" t="inlineStr">
        <is>
          <t>IEG</t>
        </is>
      </c>
      <c r="B1790" s="7" t="inlineStr">
        <is>
          <t>actif</t>
        </is>
      </c>
      <c r="C1790" s="88" t="n">
        <v>1926</v>
      </c>
      <c r="D1790" s="95" t="n">
        <v>55</v>
      </c>
      <c r="E1790" s="95" t="n">
        <v>55</v>
      </c>
      <c r="F1790" s="85" t="n">
        <v>150</v>
      </c>
      <c r="G1790" s="120" t="n">
        <v>0</v>
      </c>
      <c r="H1790" s="120" t="n">
        <v>0</v>
      </c>
      <c r="I1790" s="95" t="n">
        <v>0.5</v>
      </c>
      <c r="J1790" s="95" t="n">
        <v>55.5</v>
      </c>
      <c r="K1790" s="95" t="n">
        <v>0.95</v>
      </c>
      <c r="L1790" s="85" t="n">
        <v>1</v>
      </c>
    </row>
    <row r="1791">
      <c r="A1791" s="84" t="inlineStr">
        <is>
          <t>IEG</t>
        </is>
      </c>
      <c r="B1791" s="7" t="inlineStr">
        <is>
          <t>actif</t>
        </is>
      </c>
      <c r="C1791" s="88" t="n">
        <v>1927</v>
      </c>
      <c r="D1791" s="95" t="n">
        <v>55</v>
      </c>
      <c r="E1791" s="95" t="n">
        <v>55</v>
      </c>
      <c r="F1791" s="85" t="n">
        <v>150</v>
      </c>
      <c r="G1791" s="120" t="n">
        <v>0</v>
      </c>
      <c r="H1791" s="120" t="n">
        <v>0</v>
      </c>
      <c r="I1791" s="95" t="n">
        <v>0.5</v>
      </c>
      <c r="J1791" s="95" t="n">
        <v>55.5</v>
      </c>
      <c r="K1791" s="95" t="n">
        <v>0.95</v>
      </c>
      <c r="L1791" s="85" t="n">
        <v>1</v>
      </c>
    </row>
    <row r="1792">
      <c r="A1792" s="84" t="inlineStr">
        <is>
          <t>IEG</t>
        </is>
      </c>
      <c r="B1792" s="7" t="inlineStr">
        <is>
          <t>actif</t>
        </is>
      </c>
      <c r="C1792" s="88" t="n">
        <v>1928</v>
      </c>
      <c r="D1792" s="95" t="n">
        <v>55</v>
      </c>
      <c r="E1792" s="95" t="n">
        <v>55</v>
      </c>
      <c r="F1792" s="85" t="n">
        <v>150</v>
      </c>
      <c r="G1792" s="120" t="n">
        <v>0</v>
      </c>
      <c r="H1792" s="120" t="n">
        <v>0</v>
      </c>
      <c r="I1792" s="95" t="n">
        <v>0.5</v>
      </c>
      <c r="J1792" s="95" t="n">
        <v>55.5</v>
      </c>
      <c r="K1792" s="95" t="n">
        <v>0.95</v>
      </c>
      <c r="L1792" s="85" t="n">
        <v>1</v>
      </c>
    </row>
    <row r="1793">
      <c r="A1793" s="84" t="inlineStr">
        <is>
          <t>IEG</t>
        </is>
      </c>
      <c r="B1793" s="7" t="inlineStr">
        <is>
          <t>actif</t>
        </is>
      </c>
      <c r="C1793" s="88" t="n">
        <v>1929</v>
      </c>
      <c r="D1793" s="95" t="n">
        <v>55</v>
      </c>
      <c r="E1793" s="95" t="n">
        <v>55</v>
      </c>
      <c r="F1793" s="85" t="n">
        <v>150</v>
      </c>
      <c r="G1793" s="120" t="n">
        <v>0</v>
      </c>
      <c r="H1793" s="120" t="n">
        <v>0</v>
      </c>
      <c r="I1793" s="95" t="n">
        <v>0.5</v>
      </c>
      <c r="J1793" s="95" t="n">
        <v>55.5</v>
      </c>
      <c r="K1793" s="95" t="n">
        <v>0.95</v>
      </c>
      <c r="L1793" s="85" t="n">
        <v>1</v>
      </c>
    </row>
    <row r="1794">
      <c r="A1794" s="84" t="inlineStr">
        <is>
          <t>IEG</t>
        </is>
      </c>
      <c r="B1794" s="7" t="inlineStr">
        <is>
          <t>actif</t>
        </is>
      </c>
      <c r="C1794" s="88" t="n">
        <v>1930</v>
      </c>
      <c r="D1794" s="95" t="n">
        <v>55</v>
      </c>
      <c r="E1794" s="95" t="n">
        <v>55</v>
      </c>
      <c r="F1794" s="85" t="n">
        <v>150</v>
      </c>
      <c r="G1794" s="120" t="n">
        <v>0</v>
      </c>
      <c r="H1794" s="120" t="n">
        <v>0</v>
      </c>
      <c r="I1794" s="95" t="n">
        <v>0.5</v>
      </c>
      <c r="J1794" s="95" t="n">
        <v>55.5</v>
      </c>
      <c r="K1794" s="95" t="n">
        <v>0.95</v>
      </c>
      <c r="L1794" s="85" t="n">
        <v>1</v>
      </c>
    </row>
    <row r="1795">
      <c r="A1795" s="84" t="inlineStr">
        <is>
          <t>IEG</t>
        </is>
      </c>
      <c r="B1795" s="7" t="inlineStr">
        <is>
          <t>actif</t>
        </is>
      </c>
      <c r="C1795" s="88" t="n">
        <v>1931</v>
      </c>
      <c r="D1795" s="95" t="n">
        <v>55</v>
      </c>
      <c r="E1795" s="95" t="n">
        <v>55</v>
      </c>
      <c r="F1795" s="85" t="n">
        <v>150</v>
      </c>
      <c r="G1795" s="120" t="n">
        <v>0</v>
      </c>
      <c r="H1795" s="120" t="n">
        <v>0</v>
      </c>
      <c r="I1795" s="95" t="n">
        <v>0.5</v>
      </c>
      <c r="J1795" s="95" t="n">
        <v>55.5</v>
      </c>
      <c r="K1795" s="95" t="n">
        <v>0.95</v>
      </c>
      <c r="L1795" s="85" t="n">
        <v>1</v>
      </c>
    </row>
    <row r="1796">
      <c r="A1796" s="84" t="inlineStr">
        <is>
          <t>IEG</t>
        </is>
      </c>
      <c r="B1796" s="7" t="inlineStr">
        <is>
          <t>actif</t>
        </is>
      </c>
      <c r="C1796" s="88" t="n">
        <v>1932</v>
      </c>
      <c r="D1796" s="95" t="n">
        <v>55</v>
      </c>
      <c r="E1796" s="95" t="n">
        <v>55</v>
      </c>
      <c r="F1796" s="85" t="n">
        <v>150</v>
      </c>
      <c r="G1796" s="120" t="n">
        <v>0</v>
      </c>
      <c r="H1796" s="120" t="n">
        <v>0</v>
      </c>
      <c r="I1796" s="95" t="n">
        <v>0.5</v>
      </c>
      <c r="J1796" s="95" t="n">
        <v>55.5</v>
      </c>
      <c r="K1796" s="95" t="n">
        <v>0.95</v>
      </c>
      <c r="L1796" s="85" t="n">
        <v>1</v>
      </c>
    </row>
    <row r="1797">
      <c r="A1797" s="84" t="inlineStr">
        <is>
          <t>IEG</t>
        </is>
      </c>
      <c r="B1797" s="7" t="inlineStr">
        <is>
          <t>actif</t>
        </is>
      </c>
      <c r="C1797" s="88" t="n">
        <v>1933</v>
      </c>
      <c r="D1797" s="95" t="n">
        <v>55</v>
      </c>
      <c r="E1797" s="95" t="n">
        <v>55</v>
      </c>
      <c r="F1797" s="85" t="n">
        <v>150</v>
      </c>
      <c r="G1797" s="120" t="n">
        <v>0</v>
      </c>
      <c r="H1797" s="120" t="n">
        <v>0</v>
      </c>
      <c r="I1797" s="95" t="n">
        <v>0.5</v>
      </c>
      <c r="J1797" s="95" t="n">
        <v>55.5</v>
      </c>
      <c r="K1797" s="95" t="n">
        <v>0.95</v>
      </c>
      <c r="L1797" s="85" t="n">
        <v>1</v>
      </c>
    </row>
    <row r="1798">
      <c r="A1798" s="84" t="inlineStr">
        <is>
          <t>IEG</t>
        </is>
      </c>
      <c r="B1798" s="7" t="inlineStr">
        <is>
          <t>actif</t>
        </is>
      </c>
      <c r="C1798" s="88" t="n">
        <v>1934</v>
      </c>
      <c r="D1798" s="95" t="n">
        <v>55</v>
      </c>
      <c r="E1798" s="95" t="n">
        <v>55</v>
      </c>
      <c r="F1798" s="85" t="n">
        <v>150</v>
      </c>
      <c r="G1798" s="120" t="n">
        <v>0</v>
      </c>
      <c r="H1798" s="120" t="n">
        <v>0</v>
      </c>
      <c r="I1798" s="95" t="n">
        <v>0.5</v>
      </c>
      <c r="J1798" s="95" t="n">
        <v>55.5</v>
      </c>
      <c r="K1798" s="95" t="n">
        <v>0.95</v>
      </c>
      <c r="L1798" s="85" t="n">
        <v>1</v>
      </c>
    </row>
    <row r="1799">
      <c r="A1799" s="84" t="inlineStr">
        <is>
          <t>IEG</t>
        </is>
      </c>
      <c r="B1799" s="7" t="inlineStr">
        <is>
          <t>actif</t>
        </is>
      </c>
      <c r="C1799" s="88" t="n">
        <v>1935</v>
      </c>
      <c r="D1799" s="95" t="n">
        <v>55</v>
      </c>
      <c r="E1799" s="95" t="n">
        <v>55</v>
      </c>
      <c r="F1799" s="85" t="n">
        <v>150</v>
      </c>
      <c r="G1799" s="120" t="n">
        <v>0</v>
      </c>
      <c r="H1799" s="120" t="n">
        <v>0</v>
      </c>
      <c r="I1799" s="95" t="n">
        <v>0.5</v>
      </c>
      <c r="J1799" s="95" t="n">
        <v>55.5</v>
      </c>
      <c r="K1799" s="95" t="n">
        <v>0.95</v>
      </c>
      <c r="L1799" s="85" t="n">
        <v>1</v>
      </c>
    </row>
    <row r="1800">
      <c r="A1800" s="84" t="inlineStr">
        <is>
          <t>IEG</t>
        </is>
      </c>
      <c r="B1800" s="7" t="inlineStr">
        <is>
          <t>actif</t>
        </is>
      </c>
      <c r="C1800" s="88" t="n">
        <v>1936</v>
      </c>
      <c r="D1800" s="95" t="n">
        <v>55</v>
      </c>
      <c r="E1800" s="95" t="n">
        <v>55</v>
      </c>
      <c r="F1800" s="85" t="n">
        <v>150</v>
      </c>
      <c r="G1800" s="120" t="n">
        <v>0</v>
      </c>
      <c r="H1800" s="120" t="n">
        <v>0</v>
      </c>
      <c r="I1800" s="95" t="n">
        <v>0.5</v>
      </c>
      <c r="J1800" s="95" t="n">
        <v>55.5</v>
      </c>
      <c r="K1800" s="95" t="n">
        <v>0.95</v>
      </c>
      <c r="L1800" s="85" t="n">
        <v>1</v>
      </c>
    </row>
    <row r="1801">
      <c r="A1801" s="84" t="inlineStr">
        <is>
          <t>IEG</t>
        </is>
      </c>
      <c r="B1801" s="7" t="inlineStr">
        <is>
          <t>actif</t>
        </is>
      </c>
      <c r="C1801" s="88" t="n">
        <v>1937</v>
      </c>
      <c r="D1801" s="95" t="n">
        <v>55</v>
      </c>
      <c r="E1801" s="95" t="n">
        <v>55</v>
      </c>
      <c r="F1801" s="85" t="n">
        <v>150</v>
      </c>
      <c r="G1801" s="120" t="n">
        <v>0</v>
      </c>
      <c r="H1801" s="120" t="n">
        <v>0</v>
      </c>
      <c r="I1801" s="95" t="n">
        <v>0.5</v>
      </c>
      <c r="J1801" s="95" t="n">
        <v>55.5</v>
      </c>
      <c r="K1801" s="95" t="n">
        <v>0.95</v>
      </c>
      <c r="L1801" s="85" t="n">
        <v>1</v>
      </c>
    </row>
    <row r="1802">
      <c r="A1802" s="84" t="inlineStr">
        <is>
          <t>IEG</t>
        </is>
      </c>
      <c r="B1802" s="7" t="inlineStr">
        <is>
          <t>actif</t>
        </is>
      </c>
      <c r="C1802" s="88" t="n">
        <v>1938</v>
      </c>
      <c r="D1802" s="95" t="n">
        <v>55</v>
      </c>
      <c r="E1802" s="95" t="n">
        <v>55</v>
      </c>
      <c r="F1802" s="85" t="n">
        <v>150</v>
      </c>
      <c r="G1802" s="120" t="n">
        <v>0</v>
      </c>
      <c r="H1802" s="120" t="n">
        <v>0</v>
      </c>
      <c r="I1802" s="95" t="n">
        <v>0.5</v>
      </c>
      <c r="J1802" s="95" t="n">
        <v>55.5</v>
      </c>
      <c r="K1802" s="95" t="n">
        <v>0.95</v>
      </c>
      <c r="L1802" s="85" t="n">
        <v>1</v>
      </c>
    </row>
    <row r="1803">
      <c r="A1803" s="84" t="inlineStr">
        <is>
          <t>IEG</t>
        </is>
      </c>
      <c r="B1803" s="7" t="inlineStr">
        <is>
          <t>actif</t>
        </is>
      </c>
      <c r="C1803" s="88" t="n">
        <v>1939</v>
      </c>
      <c r="D1803" s="95" t="n">
        <v>55</v>
      </c>
      <c r="E1803" s="95" t="n">
        <v>55</v>
      </c>
      <c r="F1803" s="85" t="n">
        <v>150</v>
      </c>
      <c r="G1803" s="120" t="n">
        <v>0</v>
      </c>
      <c r="H1803" s="120" t="n">
        <v>0</v>
      </c>
      <c r="I1803" s="95" t="n">
        <v>0.5</v>
      </c>
      <c r="J1803" s="95" t="n">
        <v>55.5</v>
      </c>
      <c r="K1803" s="95" t="n">
        <v>0.95</v>
      </c>
      <c r="L1803" s="85" t="n">
        <v>1</v>
      </c>
    </row>
    <row r="1804">
      <c r="A1804" s="84" t="inlineStr">
        <is>
          <t>IEG</t>
        </is>
      </c>
      <c r="B1804" s="7" t="inlineStr">
        <is>
          <t>actif</t>
        </is>
      </c>
      <c r="C1804" s="88" t="n">
        <v>1940</v>
      </c>
      <c r="D1804" s="95" t="n">
        <v>55</v>
      </c>
      <c r="E1804" s="95" t="n">
        <v>55</v>
      </c>
      <c r="F1804" s="85" t="n">
        <v>150</v>
      </c>
      <c r="G1804" s="120" t="n">
        <v>0</v>
      </c>
      <c r="H1804" s="120" t="n">
        <v>0</v>
      </c>
      <c r="I1804" s="95" t="n">
        <v>0.5</v>
      </c>
      <c r="J1804" s="95" t="n">
        <v>55.5</v>
      </c>
      <c r="K1804" s="95" t="n">
        <v>0.95</v>
      </c>
      <c r="L1804" s="85" t="n">
        <v>1</v>
      </c>
    </row>
    <row r="1805">
      <c r="A1805" s="84" t="inlineStr">
        <is>
          <t>IEG</t>
        </is>
      </c>
      <c r="B1805" s="7" t="inlineStr">
        <is>
          <t>actif</t>
        </is>
      </c>
      <c r="C1805" s="88" t="n">
        <v>1941</v>
      </c>
      <c r="D1805" s="95" t="n">
        <v>55</v>
      </c>
      <c r="E1805" s="95" t="n">
        <v>55</v>
      </c>
      <c r="F1805" s="85" t="n">
        <v>150</v>
      </c>
      <c r="G1805" s="120" t="n">
        <v>0</v>
      </c>
      <c r="H1805" s="120" t="n">
        <v>0</v>
      </c>
      <c r="I1805" s="95" t="n">
        <v>0.5</v>
      </c>
      <c r="J1805" s="95" t="n">
        <v>55.5</v>
      </c>
      <c r="K1805" s="95" t="n">
        <v>0.95</v>
      </c>
      <c r="L1805" s="85" t="n">
        <v>1</v>
      </c>
    </row>
    <row r="1806">
      <c r="A1806" s="84" t="inlineStr">
        <is>
          <t>IEG</t>
        </is>
      </c>
      <c r="B1806" s="7" t="inlineStr">
        <is>
          <t>actif</t>
        </is>
      </c>
      <c r="C1806" s="88" t="n">
        <v>1942</v>
      </c>
      <c r="D1806" s="95" t="n">
        <v>55</v>
      </c>
      <c r="E1806" s="95" t="n">
        <v>55</v>
      </c>
      <c r="F1806" s="85" t="n">
        <v>150</v>
      </c>
      <c r="G1806" s="120" t="n">
        <v>0</v>
      </c>
      <c r="H1806" s="120" t="n">
        <v>0</v>
      </c>
      <c r="I1806" s="95" t="n">
        <v>0.5</v>
      </c>
      <c r="J1806" s="95" t="n">
        <v>55.5</v>
      </c>
      <c r="K1806" s="95" t="n">
        <v>0.95</v>
      </c>
      <c r="L1806" s="85" t="n">
        <v>1</v>
      </c>
    </row>
    <row r="1807">
      <c r="A1807" s="84" t="inlineStr">
        <is>
          <t>IEG</t>
        </is>
      </c>
      <c r="B1807" s="7" t="inlineStr">
        <is>
          <t>actif</t>
        </is>
      </c>
      <c r="C1807" s="88" t="n">
        <v>1943</v>
      </c>
      <c r="D1807" s="95" t="n">
        <v>55</v>
      </c>
      <c r="E1807" s="95" t="n">
        <v>55</v>
      </c>
      <c r="F1807" s="85" t="n">
        <v>150</v>
      </c>
      <c r="G1807" s="120" t="n">
        <v>0</v>
      </c>
      <c r="H1807" s="120" t="n">
        <v>0</v>
      </c>
      <c r="I1807" s="95" t="n">
        <v>0.5</v>
      </c>
      <c r="J1807" s="95" t="n">
        <v>55.5</v>
      </c>
      <c r="K1807" s="95" t="n">
        <v>0.95</v>
      </c>
      <c r="L1807" s="85" t="n">
        <v>1</v>
      </c>
    </row>
    <row r="1808">
      <c r="A1808" s="84" t="inlineStr">
        <is>
          <t>IEG</t>
        </is>
      </c>
      <c r="B1808" s="7" t="inlineStr">
        <is>
          <t>actif</t>
        </is>
      </c>
      <c r="C1808" s="88" t="n">
        <v>1944</v>
      </c>
      <c r="D1808" s="95" t="n">
        <v>55</v>
      </c>
      <c r="E1808" s="95" t="n">
        <v>55</v>
      </c>
      <c r="F1808" s="85" t="n">
        <v>150</v>
      </c>
      <c r="G1808" s="120" t="n">
        <v>0</v>
      </c>
      <c r="H1808" s="120" t="n">
        <v>0</v>
      </c>
      <c r="I1808" s="95" t="n">
        <v>0.5</v>
      </c>
      <c r="J1808" s="95" t="n">
        <v>55.5</v>
      </c>
      <c r="K1808" s="95" t="n">
        <v>0.95</v>
      </c>
      <c r="L1808" s="85" t="n">
        <v>1</v>
      </c>
    </row>
    <row r="1809">
      <c r="A1809" s="84" t="inlineStr">
        <is>
          <t>IEG</t>
        </is>
      </c>
      <c r="B1809" s="7" t="inlineStr">
        <is>
          <t>actif</t>
        </is>
      </c>
      <c r="C1809" s="88" t="n">
        <v>1945</v>
      </c>
      <c r="D1809" s="95" t="n">
        <v>55</v>
      </c>
      <c r="E1809" s="95" t="n">
        <v>55</v>
      </c>
      <c r="F1809" s="85" t="n">
        <v>150</v>
      </c>
      <c r="G1809" s="120" t="n">
        <v>0</v>
      </c>
      <c r="H1809" s="120" t="n">
        <v>0</v>
      </c>
      <c r="I1809" s="95" t="n">
        <v>0.5</v>
      </c>
      <c r="J1809" s="95" t="n">
        <v>55.5</v>
      </c>
      <c r="K1809" s="95" t="n">
        <v>0.95</v>
      </c>
      <c r="L1809" s="85" t="n">
        <v>1</v>
      </c>
    </row>
    <row r="1810">
      <c r="A1810" s="84" t="inlineStr">
        <is>
          <t>IEG</t>
        </is>
      </c>
      <c r="B1810" s="7" t="inlineStr">
        <is>
          <t>actif</t>
        </is>
      </c>
      <c r="C1810" s="88" t="n">
        <v>1946</v>
      </c>
      <c r="D1810" s="95" t="n">
        <v>55</v>
      </c>
      <c r="E1810" s="95" t="n">
        <v>55</v>
      </c>
      <c r="F1810" s="85" t="n">
        <v>150</v>
      </c>
      <c r="G1810" s="120" t="n">
        <v>0</v>
      </c>
      <c r="H1810" s="120" t="n">
        <v>0</v>
      </c>
      <c r="I1810" s="95" t="n">
        <v>0.6</v>
      </c>
      <c r="J1810" s="95" t="n">
        <v>55.6</v>
      </c>
      <c r="K1810" s="95" t="n">
        <v>0.95</v>
      </c>
      <c r="L1810" s="85" t="n">
        <v>1</v>
      </c>
    </row>
    <row r="1811">
      <c r="A1811" s="84" t="inlineStr">
        <is>
          <t>IEG</t>
        </is>
      </c>
      <c r="B1811" s="7" t="inlineStr">
        <is>
          <t>actif</t>
        </is>
      </c>
      <c r="C1811" s="88" t="n">
        <v>1947</v>
      </c>
      <c r="D1811" s="95" t="n">
        <v>55</v>
      </c>
      <c r="E1811" s="95" t="n">
        <v>55</v>
      </c>
      <c r="F1811" s="85" t="n">
        <v>150</v>
      </c>
      <c r="G1811" s="120" t="n">
        <v>0</v>
      </c>
      <c r="H1811" s="120" t="n">
        <v>0</v>
      </c>
      <c r="I1811" s="95" t="n">
        <v>0.7</v>
      </c>
      <c r="J1811" s="95" t="n">
        <v>55.7</v>
      </c>
      <c r="K1811" s="95" t="n">
        <v>0.95</v>
      </c>
      <c r="L1811" s="85" t="n">
        <v>1</v>
      </c>
    </row>
    <row r="1812">
      <c r="A1812" s="84" t="inlineStr">
        <is>
          <t>IEG</t>
        </is>
      </c>
      <c r="B1812" s="7" t="inlineStr">
        <is>
          <t>actif</t>
        </is>
      </c>
      <c r="C1812" s="88" t="n">
        <v>1948</v>
      </c>
      <c r="D1812" s="95" t="n">
        <v>55</v>
      </c>
      <c r="E1812" s="95" t="n">
        <v>55</v>
      </c>
      <c r="F1812" s="85" t="n">
        <v>150</v>
      </c>
      <c r="G1812" s="120" t="n">
        <v>0</v>
      </c>
      <c r="H1812" s="120" t="n">
        <v>0</v>
      </c>
      <c r="I1812" s="95" t="n">
        <v>0.8</v>
      </c>
      <c r="J1812" s="95" t="n">
        <v>55.8</v>
      </c>
      <c r="K1812" s="95" t="n">
        <v>0.95</v>
      </c>
      <c r="L1812" s="85" t="n">
        <v>1</v>
      </c>
    </row>
    <row r="1813">
      <c r="A1813" s="84" t="inlineStr">
        <is>
          <t>IEG</t>
        </is>
      </c>
      <c r="B1813" s="7" t="inlineStr">
        <is>
          <t>actif</t>
        </is>
      </c>
      <c r="C1813" s="88" t="n">
        <v>1949</v>
      </c>
      <c r="D1813" s="95" t="n">
        <v>55</v>
      </c>
      <c r="E1813" s="95" t="n">
        <v>55</v>
      </c>
      <c r="F1813" s="85" t="n">
        <v>150</v>
      </c>
      <c r="G1813" s="120" t="n">
        <v>0</v>
      </c>
      <c r="H1813" s="120" t="n">
        <v>0</v>
      </c>
      <c r="I1813" s="95" t="n">
        <v>0.9</v>
      </c>
      <c r="J1813" s="95" t="n">
        <v>55.9</v>
      </c>
      <c r="K1813" s="95" t="n">
        <v>0.95</v>
      </c>
      <c r="L1813" s="85" t="n">
        <v>1</v>
      </c>
    </row>
    <row r="1814">
      <c r="A1814" s="84" t="inlineStr">
        <is>
          <t>IEG</t>
        </is>
      </c>
      <c r="B1814" s="7" t="inlineStr">
        <is>
          <t>actif</t>
        </is>
      </c>
      <c r="C1814" s="88" t="n">
        <v>1950</v>
      </c>
      <c r="D1814" s="95" t="n">
        <v>55</v>
      </c>
      <c r="E1814" s="95" t="n">
        <v>55</v>
      </c>
      <c r="F1814" s="85" t="n">
        <v>150</v>
      </c>
      <c r="G1814" s="120" t="n">
        <v>0</v>
      </c>
      <c r="H1814" s="120" t="n">
        <v>0</v>
      </c>
      <c r="I1814" s="95" t="n">
        <v>1</v>
      </c>
      <c r="J1814" s="95" t="n">
        <v>56</v>
      </c>
      <c r="K1814" s="95" t="n">
        <v>0.95</v>
      </c>
      <c r="L1814" s="85" t="n">
        <v>1</v>
      </c>
    </row>
    <row r="1815">
      <c r="A1815" s="84" t="inlineStr">
        <is>
          <t>IEG</t>
        </is>
      </c>
      <c r="B1815" s="7" t="inlineStr">
        <is>
          <t>actif</t>
        </is>
      </c>
      <c r="C1815" s="88" t="n">
        <v>1951</v>
      </c>
      <c r="D1815" s="95" t="n">
        <v>55</v>
      </c>
      <c r="E1815" s="95" t="n">
        <v>55</v>
      </c>
      <c r="F1815" s="85" t="n">
        <v>150</v>
      </c>
      <c r="G1815" s="120" t="n">
        <v>0</v>
      </c>
      <c r="H1815" s="120" t="n">
        <v>0</v>
      </c>
      <c r="I1815" s="95" t="n">
        <v>1.1</v>
      </c>
      <c r="J1815" s="95" t="n">
        <v>56.1</v>
      </c>
      <c r="K1815" s="95" t="n">
        <v>0.95</v>
      </c>
      <c r="L1815" s="85" t="n">
        <v>1</v>
      </c>
    </row>
    <row r="1816">
      <c r="A1816" s="84" t="inlineStr">
        <is>
          <t>IEG</t>
        </is>
      </c>
      <c r="B1816" s="7" t="inlineStr">
        <is>
          <t>actif</t>
        </is>
      </c>
      <c r="C1816" s="88" t="n">
        <v>1952</v>
      </c>
      <c r="D1816" s="95" t="n">
        <v>55</v>
      </c>
      <c r="E1816" s="95" t="n">
        <v>55</v>
      </c>
      <c r="F1816" s="85" t="n">
        <v>150</v>
      </c>
      <c r="G1816" s="120" t="n">
        <v>0</v>
      </c>
      <c r="H1816" s="120" t="n">
        <v>0</v>
      </c>
      <c r="I1816" s="95" t="n">
        <v>1.2</v>
      </c>
      <c r="J1816" s="95" t="n">
        <v>56.2</v>
      </c>
      <c r="K1816" s="95" t="n">
        <v>0.95</v>
      </c>
      <c r="L1816" s="85" t="n">
        <v>1</v>
      </c>
    </row>
    <row r="1817">
      <c r="A1817" s="84" t="inlineStr">
        <is>
          <t>IEG</t>
        </is>
      </c>
      <c r="B1817" s="7" t="inlineStr">
        <is>
          <t>actif</t>
        </is>
      </c>
      <c r="C1817" s="88" t="n">
        <v>1953</v>
      </c>
      <c r="D1817" s="95" t="n">
        <v>55</v>
      </c>
      <c r="E1817" s="95" t="n">
        <v>55</v>
      </c>
      <c r="F1817" s="85" t="n">
        <v>151</v>
      </c>
      <c r="G1817" s="120" t="n">
        <v>0</v>
      </c>
      <c r="H1817" s="120" t="n">
        <v>0.0075</v>
      </c>
      <c r="I1817" s="95" t="n">
        <v>1.3</v>
      </c>
      <c r="J1817" s="95" t="n">
        <v>56.3</v>
      </c>
      <c r="K1817" s="95" t="n">
        <v>0.95</v>
      </c>
      <c r="L1817" s="85" t="n">
        <v>1</v>
      </c>
    </row>
    <row r="1818">
      <c r="A1818" s="84" t="inlineStr">
        <is>
          <t>IEG</t>
        </is>
      </c>
      <c r="B1818" s="7" t="inlineStr">
        <is>
          <t>actif</t>
        </is>
      </c>
      <c r="C1818" s="88" t="n">
        <v>1954</v>
      </c>
      <c r="D1818" s="95" t="n">
        <v>55</v>
      </c>
      <c r="E1818" s="95" t="n">
        <v>55</v>
      </c>
      <c r="F1818" s="85" t="n">
        <v>153</v>
      </c>
      <c r="G1818" s="120" t="n">
        <v>0</v>
      </c>
      <c r="H1818" s="120" t="n">
        <v>0.0125</v>
      </c>
      <c r="I1818" s="95" t="n">
        <v>1.4</v>
      </c>
      <c r="J1818" s="95" t="n">
        <v>56.4</v>
      </c>
      <c r="K1818" s="95" t="n">
        <v>0.95</v>
      </c>
      <c r="L1818" s="85" t="n">
        <v>1</v>
      </c>
    </row>
    <row r="1819">
      <c r="A1819" s="84" t="inlineStr">
        <is>
          <t>IEG</t>
        </is>
      </c>
      <c r="B1819" s="7" t="inlineStr">
        <is>
          <t>actif</t>
        </is>
      </c>
      <c r="C1819" s="88" t="n">
        <v>1955</v>
      </c>
      <c r="D1819" s="95" t="n">
        <v>55</v>
      </c>
      <c r="E1819" s="95" t="n">
        <v>56</v>
      </c>
      <c r="F1819" s="85" t="n">
        <v>155</v>
      </c>
      <c r="G1819" s="120" t="n">
        <v>0.00125</v>
      </c>
      <c r="H1819" s="120" t="n">
        <v>0.0125</v>
      </c>
      <c r="I1819" s="95" t="n">
        <v>1.5</v>
      </c>
      <c r="J1819" s="95" t="n">
        <v>56.5</v>
      </c>
      <c r="K1819" s="95" t="n">
        <v>0.95</v>
      </c>
      <c r="L1819" s="85" t="n">
        <v>1</v>
      </c>
    </row>
    <row r="1820">
      <c r="A1820" s="84" t="inlineStr">
        <is>
          <t>IEG</t>
        </is>
      </c>
      <c r="B1820" s="7" t="inlineStr">
        <is>
          <t>actif</t>
        </is>
      </c>
      <c r="C1820" s="88" t="n">
        <v>1956</v>
      </c>
      <c r="D1820" s="95" t="n">
        <v>55</v>
      </c>
      <c r="E1820" s="95" t="n">
        <v>56</v>
      </c>
      <c r="F1820" s="85" t="n">
        <v>157</v>
      </c>
      <c r="G1820" s="120" t="n">
        <v>0.0025</v>
      </c>
      <c r="H1820" s="120" t="n">
        <v>0.0125</v>
      </c>
      <c r="I1820" s="95" t="n">
        <v>1.6</v>
      </c>
      <c r="J1820" s="95" t="n">
        <v>56.6</v>
      </c>
      <c r="K1820" s="95" t="n">
        <v>0.95</v>
      </c>
      <c r="L1820" s="85" t="n">
        <v>1</v>
      </c>
    </row>
    <row r="1821">
      <c r="A1821" s="84" t="inlineStr">
        <is>
          <t>IEG</t>
        </is>
      </c>
      <c r="B1821" s="7" t="inlineStr">
        <is>
          <t>actif</t>
        </is>
      </c>
      <c r="C1821" s="88" t="n">
        <v>1957</v>
      </c>
      <c r="D1821" s="95" t="n">
        <v>55</v>
      </c>
      <c r="E1821" s="95" t="n">
        <v>56.5</v>
      </c>
      <c r="F1821" s="85" t="n">
        <v>159</v>
      </c>
      <c r="G1821" s="120" t="n">
        <v>0.00375</v>
      </c>
      <c r="H1821" s="120" t="n">
        <v>0.0125</v>
      </c>
      <c r="I1821" s="95" t="n">
        <v>1.7</v>
      </c>
      <c r="J1821" s="95" t="n">
        <v>56.7</v>
      </c>
      <c r="K1821" s="95" t="n">
        <v>0.95</v>
      </c>
      <c r="L1821" s="85" t="n">
        <v>1</v>
      </c>
    </row>
    <row r="1822">
      <c r="A1822" s="84" t="inlineStr">
        <is>
          <t>IEG</t>
        </is>
      </c>
      <c r="B1822" s="7" t="inlineStr">
        <is>
          <t>actif</t>
        </is>
      </c>
      <c r="C1822" s="88" t="n">
        <v>1958</v>
      </c>
      <c r="D1822" s="95" t="n">
        <v>55</v>
      </c>
      <c r="E1822" s="95" t="n">
        <v>57</v>
      </c>
      <c r="F1822" s="85" t="n">
        <v>161</v>
      </c>
      <c r="G1822" s="120" t="n">
        <v>0.005</v>
      </c>
      <c r="H1822" s="120" t="n">
        <v>0.0125</v>
      </c>
      <c r="I1822" s="95" t="n">
        <v>1.8</v>
      </c>
      <c r="J1822" s="95" t="n">
        <v>56.8</v>
      </c>
      <c r="K1822" s="95" t="n">
        <v>0.95</v>
      </c>
      <c r="L1822" s="85" t="n">
        <v>1</v>
      </c>
    </row>
    <row r="1823">
      <c r="A1823" s="84" t="inlineStr">
        <is>
          <t>IEG</t>
        </is>
      </c>
      <c r="B1823" s="7" t="inlineStr">
        <is>
          <t>actif</t>
        </is>
      </c>
      <c r="C1823" s="88" t="n">
        <v>1959</v>
      </c>
      <c r="D1823" s="95" t="n">
        <v>55</v>
      </c>
      <c r="E1823" s="95" t="n">
        <v>57.25</v>
      </c>
      <c r="F1823" s="85" t="n">
        <v>162</v>
      </c>
      <c r="G1823" s="120" t="n">
        <v>0.00625</v>
      </c>
      <c r="H1823" s="120" t="n">
        <v>0.0125</v>
      </c>
      <c r="I1823" s="95" t="n">
        <v>1.9</v>
      </c>
      <c r="J1823" s="95" t="n">
        <v>56.9</v>
      </c>
      <c r="K1823" s="95" t="n">
        <v>0.95</v>
      </c>
      <c r="L1823" s="85" t="n">
        <v>1</v>
      </c>
    </row>
    <row r="1824">
      <c r="A1824" s="84" t="inlineStr">
        <is>
          <t>IEG</t>
        </is>
      </c>
      <c r="B1824" s="7" t="inlineStr">
        <is>
          <t>actif</t>
        </is>
      </c>
      <c r="C1824" s="88" t="n">
        <v>1960</v>
      </c>
      <c r="D1824" s="95" t="n">
        <v>55</v>
      </c>
      <c r="E1824" s="95" t="n">
        <v>57.5</v>
      </c>
      <c r="F1824" s="85" t="n">
        <v>163</v>
      </c>
      <c r="G1824" s="120" t="n">
        <v>0.0075</v>
      </c>
      <c r="H1824" s="120" t="n">
        <v>0.0125</v>
      </c>
      <c r="I1824" s="95" t="n">
        <v>2</v>
      </c>
      <c r="J1824" s="95" t="n">
        <v>57</v>
      </c>
      <c r="K1824" s="95" t="n">
        <v>0.95</v>
      </c>
      <c r="L1824" s="85" t="n">
        <v>1</v>
      </c>
    </row>
    <row r="1825">
      <c r="A1825" s="84" t="inlineStr">
        <is>
          <t>IEG</t>
        </is>
      </c>
      <c r="B1825" s="7" t="inlineStr">
        <is>
          <t>actif</t>
        </is>
      </c>
      <c r="C1825" s="88" t="n">
        <v>1961</v>
      </c>
      <c r="D1825" s="95" t="n">
        <v>55</v>
      </c>
      <c r="E1825" s="95" t="n">
        <v>57.75</v>
      </c>
      <c r="F1825" s="85" t="n">
        <v>164</v>
      </c>
      <c r="G1825" s="120" t="n">
        <v>0.008750000000000001</v>
      </c>
      <c r="H1825" s="120" t="n">
        <v>0.0125</v>
      </c>
      <c r="I1825" s="95" t="n">
        <v>2</v>
      </c>
      <c r="J1825" s="95" t="n">
        <v>57</v>
      </c>
      <c r="K1825" s="95" t="n">
        <v>0.95</v>
      </c>
      <c r="L1825" s="85" t="n">
        <v>1</v>
      </c>
    </row>
    <row r="1826">
      <c r="A1826" s="84" t="inlineStr">
        <is>
          <t>IEG</t>
        </is>
      </c>
      <c r="B1826" s="7" t="inlineStr">
        <is>
          <t>actif</t>
        </is>
      </c>
      <c r="C1826" s="88" t="n">
        <v>1962</v>
      </c>
      <c r="D1826" s="95" t="n">
        <v>55.3333</v>
      </c>
      <c r="E1826" s="95" t="n">
        <v>58.33</v>
      </c>
      <c r="F1826" s="85" t="n">
        <v>165</v>
      </c>
      <c r="G1826" s="120" t="n">
        <v>0.01</v>
      </c>
      <c r="H1826" s="120" t="n">
        <v>0.0125</v>
      </c>
      <c r="I1826" s="95" t="n">
        <v>2</v>
      </c>
      <c r="J1826" s="95" t="n">
        <v>57.33</v>
      </c>
      <c r="K1826" s="95" t="n">
        <v>0.95</v>
      </c>
      <c r="L1826" s="85" t="n">
        <v>1</v>
      </c>
    </row>
    <row r="1827">
      <c r="A1827" s="84" t="inlineStr">
        <is>
          <t>IEG</t>
        </is>
      </c>
      <c r="B1827" s="7" t="inlineStr">
        <is>
          <t>actif</t>
        </is>
      </c>
      <c r="C1827" s="88" t="n">
        <v>1963</v>
      </c>
      <c r="D1827" s="95" t="n">
        <v>55.6667</v>
      </c>
      <c r="E1827" s="95" t="n">
        <v>59.17</v>
      </c>
      <c r="F1827" s="85" t="n">
        <v>166</v>
      </c>
      <c r="G1827" s="120" t="n">
        <v>0.01125</v>
      </c>
      <c r="H1827" s="120" t="n">
        <v>0.0125</v>
      </c>
      <c r="I1827" s="95" t="n">
        <v>2</v>
      </c>
      <c r="J1827" s="95" t="n">
        <v>57.67</v>
      </c>
      <c r="K1827" s="95" t="n">
        <v>0.95</v>
      </c>
      <c r="L1827" s="85" t="n">
        <v>1</v>
      </c>
    </row>
    <row r="1828">
      <c r="A1828" s="84" t="inlineStr">
        <is>
          <t>IEG</t>
        </is>
      </c>
      <c r="B1828" s="7" t="inlineStr">
        <is>
          <t>actif</t>
        </is>
      </c>
      <c r="C1828" s="88" t="n">
        <v>1964</v>
      </c>
      <c r="D1828" s="95" t="n">
        <v>56</v>
      </c>
      <c r="E1828" s="95" t="n">
        <v>59.75</v>
      </c>
      <c r="F1828" s="85" t="n">
        <v>167</v>
      </c>
      <c r="G1828" s="120" t="n">
        <v>0.0125</v>
      </c>
      <c r="H1828" s="120" t="n">
        <v>0.0125</v>
      </c>
      <c r="I1828" s="95" t="n">
        <v>2</v>
      </c>
      <c r="J1828" s="95" t="n">
        <v>58</v>
      </c>
      <c r="K1828" s="95" t="n">
        <v>0.95</v>
      </c>
      <c r="L1828" s="85" t="n">
        <v>1</v>
      </c>
    </row>
    <row r="1829">
      <c r="A1829" s="84" t="inlineStr">
        <is>
          <t>IEG</t>
        </is>
      </c>
      <c r="B1829" s="7" t="inlineStr">
        <is>
          <t>actif</t>
        </is>
      </c>
      <c r="C1829" s="88" t="n">
        <v>1965</v>
      </c>
      <c r="D1829" s="95" t="n">
        <v>56.3333</v>
      </c>
      <c r="E1829" s="95" t="n">
        <v>60.31</v>
      </c>
      <c r="F1829" s="85" t="n">
        <v>167</v>
      </c>
      <c r="G1829" s="120" t="n">
        <v>0.0125</v>
      </c>
      <c r="H1829" s="120" t="n">
        <v>0.0125</v>
      </c>
      <c r="I1829" s="95" t="n">
        <v>2</v>
      </c>
      <c r="J1829" s="95" t="n">
        <v>58.33</v>
      </c>
      <c r="K1829" s="95" t="n">
        <v>0.95</v>
      </c>
      <c r="L1829" s="85" t="n">
        <v>1</v>
      </c>
    </row>
    <row r="1830">
      <c r="A1830" s="84" t="inlineStr">
        <is>
          <t>IEG</t>
        </is>
      </c>
      <c r="B1830" s="7" t="inlineStr">
        <is>
          <t>actif</t>
        </is>
      </c>
      <c r="C1830" s="88" t="n">
        <v>1966</v>
      </c>
      <c r="D1830" s="95" t="n">
        <v>56.6667</v>
      </c>
      <c r="E1830" s="95" t="n">
        <v>60.86</v>
      </c>
      <c r="F1830" s="85" t="n">
        <v>168</v>
      </c>
      <c r="G1830" s="120" t="n">
        <v>0.0125</v>
      </c>
      <c r="H1830" s="120" t="n">
        <v>0.0125</v>
      </c>
      <c r="I1830" s="95" t="n">
        <v>2</v>
      </c>
      <c r="J1830" s="95" t="n">
        <v>58.67</v>
      </c>
      <c r="K1830" s="95" t="n">
        <v>0.95</v>
      </c>
      <c r="L1830" s="85" t="n">
        <v>1</v>
      </c>
    </row>
    <row r="1831">
      <c r="A1831" s="84" t="inlineStr">
        <is>
          <t>IEG</t>
        </is>
      </c>
      <c r="B1831" s="7" t="inlineStr">
        <is>
          <t>actif</t>
        </is>
      </c>
      <c r="C1831" s="88" t="n">
        <v>1967</v>
      </c>
      <c r="D1831" s="95" t="n">
        <v>57</v>
      </c>
      <c r="E1831" s="95" t="n">
        <v>61.42</v>
      </c>
      <c r="F1831" s="85" t="n">
        <v>168</v>
      </c>
      <c r="G1831" s="120" t="n">
        <v>0.0125</v>
      </c>
      <c r="H1831" s="120" t="n">
        <v>0.0125</v>
      </c>
      <c r="I1831" s="95" t="n">
        <v>2</v>
      </c>
      <c r="J1831" s="95" t="n">
        <v>59</v>
      </c>
      <c r="K1831" s="95" t="n">
        <v>0.95</v>
      </c>
      <c r="L1831" s="85" t="n">
        <v>1</v>
      </c>
    </row>
    <row r="1832">
      <c r="A1832" s="84" t="inlineStr">
        <is>
          <t>IEG</t>
        </is>
      </c>
      <c r="B1832" s="7" t="inlineStr">
        <is>
          <t>actif</t>
        </is>
      </c>
      <c r="C1832" s="88" t="n">
        <v>1968</v>
      </c>
      <c r="D1832" s="95" t="n">
        <v>57.25</v>
      </c>
      <c r="E1832" s="95" t="n">
        <v>61.88</v>
      </c>
      <c r="F1832" s="85" t="n">
        <v>169</v>
      </c>
      <c r="G1832" s="120" t="n">
        <v>0.0125</v>
      </c>
      <c r="H1832" s="120" t="n">
        <v>0.0125</v>
      </c>
      <c r="I1832" s="95" t="n">
        <v>2</v>
      </c>
      <c r="J1832" s="95" t="n">
        <v>59.25</v>
      </c>
      <c r="K1832" s="95" t="n">
        <v>0.95</v>
      </c>
      <c r="L1832" s="85" t="n">
        <v>1</v>
      </c>
    </row>
    <row r="1833">
      <c r="A1833" s="84" t="inlineStr">
        <is>
          <t>IEG</t>
        </is>
      </c>
      <c r="B1833" s="7" t="inlineStr">
        <is>
          <t>actif</t>
        </is>
      </c>
      <c r="C1833" s="88" t="n">
        <v>1969</v>
      </c>
      <c r="D1833" s="95" t="n">
        <v>57.5</v>
      </c>
      <c r="E1833" s="95" t="n">
        <v>62</v>
      </c>
      <c r="F1833" s="85" t="n">
        <v>170</v>
      </c>
      <c r="G1833" s="120" t="n">
        <v>0.0125</v>
      </c>
      <c r="H1833" s="120" t="n">
        <v>0.0125</v>
      </c>
      <c r="I1833" s="95" t="n">
        <v>2</v>
      </c>
      <c r="J1833" s="95" t="n">
        <v>59.5</v>
      </c>
      <c r="K1833" s="95" t="n">
        <v>0.95</v>
      </c>
      <c r="L1833" s="85" t="n">
        <v>1</v>
      </c>
    </row>
    <row r="1834">
      <c r="A1834" s="84" t="inlineStr">
        <is>
          <t>IEG</t>
        </is>
      </c>
      <c r="B1834" s="7" t="inlineStr">
        <is>
          <t>actif</t>
        </is>
      </c>
      <c r="C1834" s="88" t="n">
        <v>1970</v>
      </c>
      <c r="D1834" s="95" t="n">
        <v>57.75</v>
      </c>
      <c r="E1834" s="95" t="n">
        <v>62</v>
      </c>
      <c r="F1834" s="85" t="n">
        <v>170</v>
      </c>
      <c r="G1834" s="120" t="n">
        <v>0.0125</v>
      </c>
      <c r="H1834" s="120" t="n">
        <v>0.0125</v>
      </c>
      <c r="I1834" s="95" t="n">
        <v>2</v>
      </c>
      <c r="J1834" s="95" t="n">
        <v>59.75</v>
      </c>
      <c r="K1834" s="95" t="n">
        <v>0.95</v>
      </c>
      <c r="L1834" s="85" t="n">
        <v>1</v>
      </c>
    </row>
    <row r="1835">
      <c r="A1835" s="84" t="inlineStr">
        <is>
          <t>IEG</t>
        </is>
      </c>
      <c r="B1835" s="7" t="inlineStr">
        <is>
          <t>actif</t>
        </is>
      </c>
      <c r="C1835" s="88" t="n">
        <v>1971</v>
      </c>
      <c r="D1835" s="95" t="n">
        <v>58</v>
      </c>
      <c r="E1835" s="95" t="n">
        <v>62</v>
      </c>
      <c r="F1835" s="85" t="n">
        <v>171</v>
      </c>
      <c r="G1835" s="120" t="n">
        <v>0.0125</v>
      </c>
      <c r="H1835" s="120" t="n">
        <v>0.0125</v>
      </c>
      <c r="I1835" s="95" t="n">
        <v>2</v>
      </c>
      <c r="J1835" s="95" t="n">
        <v>60</v>
      </c>
      <c r="K1835" s="95" t="n">
        <v>0.95</v>
      </c>
      <c r="L1835" s="85" t="n">
        <v>1</v>
      </c>
    </row>
    <row r="1836">
      <c r="A1836" s="84" t="inlineStr">
        <is>
          <t>IEG</t>
        </is>
      </c>
      <c r="B1836" s="7" t="inlineStr">
        <is>
          <t>actif</t>
        </is>
      </c>
      <c r="C1836" s="88" t="n">
        <v>1972</v>
      </c>
      <c r="D1836" s="95" t="n">
        <v>58.25</v>
      </c>
      <c r="E1836" s="95" t="n">
        <v>62</v>
      </c>
      <c r="F1836" s="85" t="n">
        <v>171</v>
      </c>
      <c r="G1836" s="120" t="n">
        <v>0.0125</v>
      </c>
      <c r="H1836" s="120" t="n">
        <v>0.0125</v>
      </c>
      <c r="I1836" s="95" t="n">
        <v>2</v>
      </c>
      <c r="J1836" s="95" t="n">
        <v>60.25</v>
      </c>
      <c r="K1836" s="95" t="n">
        <v>0.95</v>
      </c>
      <c r="L1836" s="85" t="n">
        <v>1</v>
      </c>
    </row>
    <row r="1837">
      <c r="A1837" s="84" t="inlineStr">
        <is>
          <t>IEG</t>
        </is>
      </c>
      <c r="B1837" s="7" t="inlineStr">
        <is>
          <t>actif</t>
        </is>
      </c>
      <c r="C1837" s="88" t="n">
        <v>1973</v>
      </c>
      <c r="D1837" s="95" t="n">
        <v>58.5</v>
      </c>
      <c r="E1837" s="95" t="n">
        <v>62</v>
      </c>
      <c r="F1837" s="85" t="n">
        <v>172</v>
      </c>
      <c r="G1837" s="120" t="n">
        <v>0.0125</v>
      </c>
      <c r="H1837" s="120" t="n">
        <v>0.0125</v>
      </c>
      <c r="I1837" s="95" t="n">
        <v>2</v>
      </c>
      <c r="J1837" s="95" t="n">
        <v>60.5</v>
      </c>
      <c r="K1837" s="95" t="n">
        <v>0.95</v>
      </c>
      <c r="L1837" s="85" t="n">
        <v>1</v>
      </c>
    </row>
    <row r="1838">
      <c r="A1838" s="84" t="inlineStr">
        <is>
          <t>IEG</t>
        </is>
      </c>
      <c r="B1838" s="7" t="inlineStr">
        <is>
          <t>actif</t>
        </is>
      </c>
      <c r="C1838" s="88" t="n">
        <v>1974</v>
      </c>
      <c r="D1838" s="95" t="n">
        <v>58.75</v>
      </c>
      <c r="E1838" s="95" t="n">
        <v>62</v>
      </c>
      <c r="F1838" s="85" t="n">
        <v>172</v>
      </c>
      <c r="G1838" s="120" t="n">
        <v>0.0125</v>
      </c>
      <c r="H1838" s="120" t="n">
        <v>0.0125</v>
      </c>
      <c r="I1838" s="95" t="n">
        <v>2</v>
      </c>
      <c r="J1838" s="95" t="n">
        <v>60.75</v>
      </c>
      <c r="K1838" s="95" t="n">
        <v>0.95</v>
      </c>
      <c r="L1838" s="85" t="n">
        <v>1</v>
      </c>
    </row>
    <row r="1839">
      <c r="A1839" s="84" t="inlineStr">
        <is>
          <t>IEG</t>
        </is>
      </c>
      <c r="B1839" s="7" t="inlineStr">
        <is>
          <t>actif</t>
        </is>
      </c>
      <c r="C1839" s="88" t="n">
        <v>1975</v>
      </c>
      <c r="D1839" s="95" t="n">
        <v>59</v>
      </c>
      <c r="E1839" s="95" t="n">
        <v>62</v>
      </c>
      <c r="F1839" s="85" t="n">
        <v>172</v>
      </c>
      <c r="G1839" s="120" t="n">
        <v>0.0125</v>
      </c>
      <c r="H1839" s="120" t="n">
        <v>0.0125</v>
      </c>
      <c r="I1839" s="95" t="n">
        <v>2</v>
      </c>
      <c r="J1839" s="95" t="n">
        <v>61</v>
      </c>
      <c r="K1839" s="95" t="n">
        <v>0.95</v>
      </c>
      <c r="L1839" s="85" t="n">
        <v>1</v>
      </c>
    </row>
    <row r="1840">
      <c r="A1840" s="84" t="inlineStr">
        <is>
          <t>IEG</t>
        </is>
      </c>
      <c r="B1840" s="7" t="inlineStr">
        <is>
          <t>actif</t>
        </is>
      </c>
      <c r="C1840" s="88" t="n">
        <v>1976</v>
      </c>
      <c r="D1840" s="95" t="n">
        <v>59</v>
      </c>
      <c r="E1840" s="95" t="n">
        <v>62</v>
      </c>
      <c r="F1840" s="85" t="n">
        <v>172</v>
      </c>
      <c r="G1840" s="120" t="n">
        <v>0.0125</v>
      </c>
      <c r="H1840" s="120" t="n">
        <v>0.0125</v>
      </c>
      <c r="I1840" s="95" t="n">
        <v>2</v>
      </c>
      <c r="J1840" s="95" t="n">
        <v>61</v>
      </c>
      <c r="K1840" s="95" t="n">
        <v>0.95</v>
      </c>
      <c r="L1840" s="85" t="n">
        <v>1</v>
      </c>
    </row>
    <row r="1841">
      <c r="A1841" s="84" t="inlineStr">
        <is>
          <t>IEG</t>
        </is>
      </c>
      <c r="B1841" s="7" t="inlineStr">
        <is>
          <t>actif</t>
        </is>
      </c>
      <c r="C1841" s="88" t="n">
        <v>1977</v>
      </c>
      <c r="D1841" s="95" t="n">
        <v>59</v>
      </c>
      <c r="E1841" s="95" t="n">
        <v>62</v>
      </c>
      <c r="F1841" s="85" t="n">
        <v>172</v>
      </c>
      <c r="G1841" s="120" t="n">
        <v>0.0125</v>
      </c>
      <c r="H1841" s="120" t="n">
        <v>0.0125</v>
      </c>
      <c r="I1841" s="95" t="n">
        <v>2</v>
      </c>
      <c r="J1841" s="95" t="n">
        <v>61</v>
      </c>
      <c r="K1841" s="95" t="n">
        <v>0.95</v>
      </c>
      <c r="L1841" s="85" t="n">
        <v>1</v>
      </c>
    </row>
    <row r="1842">
      <c r="A1842" s="84" t="inlineStr">
        <is>
          <t>IEG</t>
        </is>
      </c>
      <c r="B1842" s="7" t="inlineStr">
        <is>
          <t>actif</t>
        </is>
      </c>
      <c r="C1842" s="88" t="n">
        <v>1978</v>
      </c>
      <c r="D1842" s="95" t="n">
        <v>59</v>
      </c>
      <c r="E1842" s="95" t="n">
        <v>62</v>
      </c>
      <c r="F1842" s="85" t="n">
        <v>172</v>
      </c>
      <c r="G1842" s="120" t="n">
        <v>0.0125</v>
      </c>
      <c r="H1842" s="120" t="n">
        <v>0.0125</v>
      </c>
      <c r="I1842" s="95" t="n">
        <v>2</v>
      </c>
      <c r="J1842" s="95" t="n">
        <v>61</v>
      </c>
      <c r="K1842" s="95" t="n">
        <v>0.95</v>
      </c>
      <c r="L1842" s="85" t="n">
        <v>1</v>
      </c>
    </row>
    <row r="1843">
      <c r="A1843" s="84" t="inlineStr">
        <is>
          <t>IEG</t>
        </is>
      </c>
      <c r="B1843" s="7" t="inlineStr">
        <is>
          <t>actif</t>
        </is>
      </c>
      <c r="C1843" s="88" t="n">
        <v>1979</v>
      </c>
      <c r="D1843" s="95" t="n">
        <v>59</v>
      </c>
      <c r="E1843" s="95" t="n">
        <v>62</v>
      </c>
      <c r="F1843" s="85" t="n">
        <v>172</v>
      </c>
      <c r="G1843" s="120" t="n">
        <v>0.0125</v>
      </c>
      <c r="H1843" s="120" t="n">
        <v>0.0125</v>
      </c>
      <c r="I1843" s="95" t="n">
        <v>2</v>
      </c>
      <c r="J1843" s="95" t="n">
        <v>61</v>
      </c>
      <c r="K1843" s="95" t="n">
        <v>0.95</v>
      </c>
      <c r="L1843" s="85" t="n">
        <v>1</v>
      </c>
    </row>
    <row r="1844">
      <c r="A1844" s="84" t="inlineStr">
        <is>
          <t>IEG</t>
        </is>
      </c>
      <c r="B1844" s="7" t="inlineStr">
        <is>
          <t>actif</t>
        </is>
      </c>
      <c r="C1844" s="88" t="n">
        <v>1980</v>
      </c>
      <c r="D1844" s="95" t="n">
        <v>59</v>
      </c>
      <c r="E1844" s="95" t="n">
        <v>62</v>
      </c>
      <c r="F1844" s="85" t="n">
        <v>172</v>
      </c>
      <c r="G1844" s="120" t="n">
        <v>0.0125</v>
      </c>
      <c r="H1844" s="120" t="n">
        <v>0.0125</v>
      </c>
      <c r="I1844" s="95" t="n">
        <v>2</v>
      </c>
      <c r="J1844" s="95" t="n">
        <v>61</v>
      </c>
      <c r="K1844" s="95" t="n">
        <v>0.95</v>
      </c>
      <c r="L1844" s="85" t="n">
        <v>1</v>
      </c>
    </row>
    <row r="1845">
      <c r="A1845" s="84" t="inlineStr">
        <is>
          <t>IEG</t>
        </is>
      </c>
      <c r="B1845" s="7" t="inlineStr">
        <is>
          <t>actif</t>
        </is>
      </c>
      <c r="C1845" s="88" t="n">
        <v>1981</v>
      </c>
      <c r="D1845" s="95" t="n">
        <v>59</v>
      </c>
      <c r="E1845" s="95" t="n">
        <v>62</v>
      </c>
      <c r="F1845" s="85" t="n">
        <v>172</v>
      </c>
      <c r="G1845" s="120" t="n">
        <v>0.0125</v>
      </c>
      <c r="H1845" s="120" t="n">
        <v>0.0125</v>
      </c>
      <c r="I1845" s="95" t="n">
        <v>2</v>
      </c>
      <c r="J1845" s="95" t="n">
        <v>61</v>
      </c>
      <c r="K1845" s="95" t="n">
        <v>0.95</v>
      </c>
      <c r="L1845" s="85" t="n">
        <v>1</v>
      </c>
    </row>
    <row r="1846">
      <c r="A1846" s="84" t="inlineStr">
        <is>
          <t>IEG</t>
        </is>
      </c>
      <c r="B1846" s="7" t="inlineStr">
        <is>
          <t>actif</t>
        </is>
      </c>
      <c r="C1846" s="88" t="n">
        <v>1982</v>
      </c>
      <c r="D1846" s="95" t="n">
        <v>59</v>
      </c>
      <c r="E1846" s="95" t="n">
        <v>62</v>
      </c>
      <c r="F1846" s="85" t="n">
        <v>172</v>
      </c>
      <c r="G1846" s="120" t="n">
        <v>0.0125</v>
      </c>
      <c r="H1846" s="120" t="n">
        <v>0.0125</v>
      </c>
      <c r="I1846" s="95" t="n">
        <v>2</v>
      </c>
      <c r="J1846" s="95" t="n">
        <v>61</v>
      </c>
      <c r="K1846" s="95" t="n">
        <v>0.95</v>
      </c>
      <c r="L1846" s="85" t="n">
        <v>1</v>
      </c>
    </row>
    <row r="1847">
      <c r="A1847" s="84" t="inlineStr">
        <is>
          <t>IEG</t>
        </is>
      </c>
      <c r="B1847" s="7" t="inlineStr">
        <is>
          <t>actif</t>
        </is>
      </c>
      <c r="C1847" s="88" t="n">
        <v>1983</v>
      </c>
      <c r="D1847" s="95" t="n">
        <v>59</v>
      </c>
      <c r="E1847" s="95" t="n">
        <v>62</v>
      </c>
      <c r="F1847" s="85" t="n">
        <v>172</v>
      </c>
      <c r="G1847" s="120" t="n">
        <v>0.0125</v>
      </c>
      <c r="H1847" s="120" t="n">
        <v>0.0125</v>
      </c>
      <c r="I1847" s="95" t="n">
        <v>2</v>
      </c>
      <c r="J1847" s="95" t="n">
        <v>61</v>
      </c>
      <c r="K1847" s="95" t="n">
        <v>0.95</v>
      </c>
      <c r="L1847" s="85" t="n">
        <v>1</v>
      </c>
    </row>
    <row r="1848">
      <c r="A1848" s="84" t="inlineStr">
        <is>
          <t>IEG</t>
        </is>
      </c>
      <c r="B1848" s="7" t="inlineStr">
        <is>
          <t>actif</t>
        </is>
      </c>
      <c r="C1848" s="88" t="n">
        <v>1984</v>
      </c>
      <c r="D1848" s="95" t="n">
        <v>59</v>
      </c>
      <c r="E1848" s="95" t="n">
        <v>62</v>
      </c>
      <c r="F1848" s="85" t="n">
        <v>172</v>
      </c>
      <c r="G1848" s="120" t="n">
        <v>0.0125</v>
      </c>
      <c r="H1848" s="120" t="n">
        <v>0.0125</v>
      </c>
      <c r="I1848" s="95" t="n">
        <v>2</v>
      </c>
      <c r="J1848" s="95" t="n">
        <v>61</v>
      </c>
      <c r="K1848" s="95" t="n">
        <v>0.95</v>
      </c>
      <c r="L1848" s="85" t="n">
        <v>1</v>
      </c>
    </row>
    <row r="1849">
      <c r="A1849" s="84" t="inlineStr">
        <is>
          <t>IEG</t>
        </is>
      </c>
      <c r="B1849" s="7" t="inlineStr">
        <is>
          <t>actif</t>
        </is>
      </c>
      <c r="C1849" s="88" t="n">
        <v>1985</v>
      </c>
      <c r="D1849" s="95" t="n">
        <v>59</v>
      </c>
      <c r="E1849" s="95" t="n">
        <v>62</v>
      </c>
      <c r="F1849" s="85" t="n">
        <v>172</v>
      </c>
      <c r="G1849" s="120" t="n">
        <v>0.0125</v>
      </c>
      <c r="H1849" s="120" t="n">
        <v>0.0125</v>
      </c>
      <c r="I1849" s="95" t="n">
        <v>2</v>
      </c>
      <c r="J1849" s="95" t="n">
        <v>61</v>
      </c>
      <c r="K1849" s="95" t="n">
        <v>0.95</v>
      </c>
      <c r="L1849" s="85" t="n">
        <v>1</v>
      </c>
    </row>
    <row r="1850">
      <c r="A1850" s="84" t="inlineStr">
        <is>
          <t>IEG</t>
        </is>
      </c>
      <c r="B1850" s="7" t="inlineStr">
        <is>
          <t>actif</t>
        </is>
      </c>
      <c r="C1850" s="88" t="n">
        <v>1986</v>
      </c>
      <c r="D1850" s="95" t="n">
        <v>59</v>
      </c>
      <c r="E1850" s="95" t="n">
        <v>62</v>
      </c>
      <c r="F1850" s="85" t="n">
        <v>172</v>
      </c>
      <c r="G1850" s="120" t="n">
        <v>0.0125</v>
      </c>
      <c r="H1850" s="120" t="n">
        <v>0.0125</v>
      </c>
      <c r="I1850" s="95" t="n">
        <v>2</v>
      </c>
      <c r="J1850" s="95" t="n">
        <v>61</v>
      </c>
      <c r="K1850" s="95" t="n">
        <v>0.95</v>
      </c>
      <c r="L1850" s="85" t="n">
        <v>1</v>
      </c>
    </row>
    <row r="1851">
      <c r="A1851" s="84" t="inlineStr">
        <is>
          <t>IEG</t>
        </is>
      </c>
      <c r="B1851" s="7" t="inlineStr">
        <is>
          <t>actif</t>
        </is>
      </c>
      <c r="C1851" s="88" t="n">
        <v>1987</v>
      </c>
      <c r="D1851" s="95" t="n">
        <v>59</v>
      </c>
      <c r="E1851" s="95" t="n">
        <v>62</v>
      </c>
      <c r="F1851" s="85" t="n">
        <v>172</v>
      </c>
      <c r="G1851" s="120" t="n">
        <v>0.0125</v>
      </c>
      <c r="H1851" s="120" t="n">
        <v>0.0125</v>
      </c>
      <c r="I1851" s="95" t="n">
        <v>2</v>
      </c>
      <c r="J1851" s="95" t="n">
        <v>61</v>
      </c>
      <c r="K1851" s="95" t="n">
        <v>0.95</v>
      </c>
      <c r="L1851" s="85" t="n">
        <v>1</v>
      </c>
    </row>
    <row r="1852">
      <c r="A1852" s="84" t="inlineStr">
        <is>
          <t>IEG</t>
        </is>
      </c>
      <c r="B1852" s="7" t="inlineStr">
        <is>
          <t>actif</t>
        </is>
      </c>
      <c r="C1852" s="88" t="n">
        <v>1988</v>
      </c>
      <c r="D1852" s="95" t="n">
        <v>59</v>
      </c>
      <c r="E1852" s="95" t="n">
        <v>62</v>
      </c>
      <c r="F1852" s="85" t="n">
        <v>172</v>
      </c>
      <c r="G1852" s="120" t="n">
        <v>0.0125</v>
      </c>
      <c r="H1852" s="120" t="n">
        <v>0.0125</v>
      </c>
      <c r="I1852" s="95" t="n">
        <v>2</v>
      </c>
      <c r="J1852" s="95" t="n">
        <v>61</v>
      </c>
      <c r="K1852" s="95" t="n">
        <v>0.95</v>
      </c>
      <c r="L1852" s="85" t="n">
        <v>1</v>
      </c>
    </row>
    <row r="1853">
      <c r="A1853" s="84" t="inlineStr">
        <is>
          <t>IEG</t>
        </is>
      </c>
      <c r="B1853" s="7" t="inlineStr">
        <is>
          <t>actif</t>
        </is>
      </c>
      <c r="C1853" s="88" t="n">
        <v>1989</v>
      </c>
      <c r="D1853" s="95" t="n">
        <v>59</v>
      </c>
      <c r="E1853" s="95" t="n">
        <v>62</v>
      </c>
      <c r="F1853" s="85" t="n">
        <v>172</v>
      </c>
      <c r="G1853" s="120" t="n">
        <v>0.0125</v>
      </c>
      <c r="H1853" s="120" t="n">
        <v>0.0125</v>
      </c>
      <c r="I1853" s="95" t="n">
        <v>2</v>
      </c>
      <c r="J1853" s="95" t="n">
        <v>61</v>
      </c>
      <c r="K1853" s="95" t="n">
        <v>0.95</v>
      </c>
      <c r="L1853" s="85" t="n">
        <v>1</v>
      </c>
    </row>
    <row r="1854">
      <c r="A1854" s="84" t="inlineStr">
        <is>
          <t>IEG</t>
        </is>
      </c>
      <c r="B1854" s="7" t="inlineStr">
        <is>
          <t>actif</t>
        </is>
      </c>
      <c r="C1854" s="88" t="n">
        <v>1990</v>
      </c>
      <c r="D1854" s="95" t="n">
        <v>59</v>
      </c>
      <c r="E1854" s="95" t="n">
        <v>62</v>
      </c>
      <c r="F1854" s="85" t="n">
        <v>172</v>
      </c>
      <c r="G1854" s="120" t="n">
        <v>0.0125</v>
      </c>
      <c r="H1854" s="120" t="n">
        <v>0.0125</v>
      </c>
      <c r="I1854" s="95" t="n">
        <v>2</v>
      </c>
      <c r="J1854" s="95" t="n">
        <v>61</v>
      </c>
      <c r="K1854" s="95" t="n">
        <v>0.95</v>
      </c>
      <c r="L1854" s="85" t="n">
        <v>1</v>
      </c>
    </row>
    <row r="1855">
      <c r="A1855" s="84" t="inlineStr">
        <is>
          <t>IEG</t>
        </is>
      </c>
      <c r="B1855" s="7" t="inlineStr">
        <is>
          <t>actif</t>
        </is>
      </c>
      <c r="C1855" s="88" t="n">
        <v>1991</v>
      </c>
      <c r="D1855" s="95" t="n">
        <v>59</v>
      </c>
      <c r="E1855" s="95" t="n">
        <v>62</v>
      </c>
      <c r="F1855" s="85" t="n">
        <v>172</v>
      </c>
      <c r="G1855" s="120" t="n">
        <v>0.0125</v>
      </c>
      <c r="H1855" s="120" t="n">
        <v>0.0125</v>
      </c>
      <c r="I1855" s="95" t="n">
        <v>2</v>
      </c>
      <c r="J1855" s="95" t="n">
        <v>61</v>
      </c>
      <c r="K1855" s="95" t="n">
        <v>0.95</v>
      </c>
      <c r="L1855" s="85" t="n">
        <v>1</v>
      </c>
    </row>
    <row r="1856">
      <c r="A1856" s="84" t="inlineStr">
        <is>
          <t>IEG</t>
        </is>
      </c>
      <c r="B1856" s="7" t="inlineStr">
        <is>
          <t>actif</t>
        </is>
      </c>
      <c r="C1856" s="88" t="n">
        <v>1992</v>
      </c>
      <c r="D1856" s="95" t="n">
        <v>59</v>
      </c>
      <c r="E1856" s="95" t="n">
        <v>62</v>
      </c>
      <c r="F1856" s="85" t="n">
        <v>172</v>
      </c>
      <c r="G1856" s="120" t="n">
        <v>0.0125</v>
      </c>
      <c r="H1856" s="120" t="n">
        <v>0.0125</v>
      </c>
      <c r="I1856" s="95" t="n">
        <v>2</v>
      </c>
      <c r="J1856" s="95" t="n">
        <v>61</v>
      </c>
      <c r="K1856" s="95" t="n">
        <v>0.95</v>
      </c>
      <c r="L1856" s="85" t="n">
        <v>1</v>
      </c>
    </row>
    <row r="1857">
      <c r="A1857" s="84" t="inlineStr">
        <is>
          <t>IEG</t>
        </is>
      </c>
      <c r="B1857" s="7" t="inlineStr">
        <is>
          <t>actif</t>
        </is>
      </c>
      <c r="C1857" s="88" t="n">
        <v>1993</v>
      </c>
      <c r="D1857" s="95" t="n">
        <v>59</v>
      </c>
      <c r="E1857" s="95" t="n">
        <v>62</v>
      </c>
      <c r="F1857" s="85" t="n">
        <v>172</v>
      </c>
      <c r="G1857" s="120" t="n">
        <v>0.0125</v>
      </c>
      <c r="H1857" s="120" t="n">
        <v>0.0125</v>
      </c>
      <c r="I1857" s="95" t="n">
        <v>2</v>
      </c>
      <c r="J1857" s="95" t="n">
        <v>61</v>
      </c>
      <c r="K1857" s="95" t="n">
        <v>0.95</v>
      </c>
      <c r="L1857" s="85" t="n">
        <v>1</v>
      </c>
    </row>
    <row r="1858">
      <c r="A1858" s="84" t="inlineStr">
        <is>
          <t>IEG</t>
        </is>
      </c>
      <c r="B1858" s="7" t="inlineStr">
        <is>
          <t>actif</t>
        </is>
      </c>
      <c r="C1858" s="88" t="n">
        <v>1994</v>
      </c>
      <c r="D1858" s="95" t="n">
        <v>59</v>
      </c>
      <c r="E1858" s="95" t="n">
        <v>62</v>
      </c>
      <c r="F1858" s="85" t="n">
        <v>172</v>
      </c>
      <c r="G1858" s="120" t="n">
        <v>0.0125</v>
      </c>
      <c r="H1858" s="120" t="n">
        <v>0.0125</v>
      </c>
      <c r="I1858" s="95" t="n">
        <v>2</v>
      </c>
      <c r="J1858" s="95" t="n">
        <v>61</v>
      </c>
      <c r="K1858" s="95" t="n">
        <v>0.95</v>
      </c>
      <c r="L1858" s="85" t="n">
        <v>1</v>
      </c>
    </row>
    <row r="1859">
      <c r="A1859" s="84" t="inlineStr">
        <is>
          <t>IEG</t>
        </is>
      </c>
      <c r="B1859" s="7" t="inlineStr">
        <is>
          <t>actif</t>
        </is>
      </c>
      <c r="C1859" s="88" t="n">
        <v>1995</v>
      </c>
      <c r="D1859" s="95" t="n">
        <v>59</v>
      </c>
      <c r="E1859" s="95" t="n">
        <v>62</v>
      </c>
      <c r="F1859" s="85" t="n">
        <v>172</v>
      </c>
      <c r="G1859" s="120" t="n">
        <v>0.0125</v>
      </c>
      <c r="H1859" s="120" t="n">
        <v>0.0125</v>
      </c>
      <c r="I1859" s="95" t="n">
        <v>2</v>
      </c>
      <c r="J1859" s="95" t="n">
        <v>61</v>
      </c>
      <c r="K1859" s="95" t="n">
        <v>0.95</v>
      </c>
      <c r="L1859" s="85" t="n">
        <v>1</v>
      </c>
    </row>
    <row r="1860">
      <c r="A1860" s="84" t="inlineStr">
        <is>
          <t>IEG</t>
        </is>
      </c>
      <c r="B1860" s="7" t="inlineStr">
        <is>
          <t>actif</t>
        </is>
      </c>
      <c r="C1860" s="88" t="n">
        <v>1996</v>
      </c>
      <c r="D1860" s="95" t="n">
        <v>59</v>
      </c>
      <c r="E1860" s="95" t="n">
        <v>62</v>
      </c>
      <c r="F1860" s="85" t="n">
        <v>172</v>
      </c>
      <c r="G1860" s="120" t="n">
        <v>0.0125</v>
      </c>
      <c r="H1860" s="120" t="n">
        <v>0.0125</v>
      </c>
      <c r="I1860" s="95" t="n">
        <v>2</v>
      </c>
      <c r="J1860" s="95" t="n">
        <v>61</v>
      </c>
      <c r="K1860" s="95" t="n">
        <v>0.95</v>
      </c>
      <c r="L1860" s="85" t="n">
        <v>1</v>
      </c>
    </row>
    <row r="1861">
      <c r="A1861" s="84" t="inlineStr">
        <is>
          <t>IEG</t>
        </is>
      </c>
      <c r="B1861" s="7" t="inlineStr">
        <is>
          <t>actif</t>
        </is>
      </c>
      <c r="C1861" s="88" t="n">
        <v>1997</v>
      </c>
      <c r="D1861" s="95" t="n">
        <v>59</v>
      </c>
      <c r="E1861" s="95" t="n">
        <v>62</v>
      </c>
      <c r="F1861" s="85" t="n">
        <v>172</v>
      </c>
      <c r="G1861" s="120" t="n">
        <v>0.0125</v>
      </c>
      <c r="H1861" s="120" t="n">
        <v>0.0125</v>
      </c>
      <c r="I1861" s="95" t="n">
        <v>2</v>
      </c>
      <c r="J1861" s="95" t="n">
        <v>61</v>
      </c>
      <c r="K1861" s="95" t="n">
        <v>0.95</v>
      </c>
      <c r="L1861" s="85" t="n">
        <v>1</v>
      </c>
    </row>
    <row r="1862">
      <c r="A1862" s="84" t="inlineStr">
        <is>
          <t>IEG</t>
        </is>
      </c>
      <c r="B1862" s="7" t="inlineStr">
        <is>
          <t>actif</t>
        </is>
      </c>
      <c r="C1862" s="88" t="n">
        <v>1998</v>
      </c>
      <c r="D1862" s="95" t="n">
        <v>59</v>
      </c>
      <c r="E1862" s="95" t="n">
        <v>62</v>
      </c>
      <c r="F1862" s="85" t="n">
        <v>172</v>
      </c>
      <c r="G1862" s="120" t="n">
        <v>0.0125</v>
      </c>
      <c r="H1862" s="120" t="n">
        <v>0.0125</v>
      </c>
      <c r="I1862" s="95" t="n">
        <v>2</v>
      </c>
      <c r="J1862" s="95" t="n">
        <v>61</v>
      </c>
      <c r="K1862" s="95" t="n">
        <v>0.95</v>
      </c>
      <c r="L1862" s="85" t="n">
        <v>1</v>
      </c>
    </row>
    <row r="1863">
      <c r="A1863" s="84" t="inlineStr">
        <is>
          <t>IEG</t>
        </is>
      </c>
      <c r="B1863" s="7" t="inlineStr">
        <is>
          <t>actif</t>
        </is>
      </c>
      <c r="C1863" s="88" t="n">
        <v>1999</v>
      </c>
      <c r="D1863" s="95" t="n">
        <v>59</v>
      </c>
      <c r="E1863" s="95" t="n">
        <v>62</v>
      </c>
      <c r="F1863" s="85" t="n">
        <v>172</v>
      </c>
      <c r="G1863" s="120" t="n">
        <v>0.0125</v>
      </c>
      <c r="H1863" s="120" t="n">
        <v>0.0125</v>
      </c>
      <c r="I1863" s="95" t="n">
        <v>2</v>
      </c>
      <c r="J1863" s="95" t="n">
        <v>61</v>
      </c>
      <c r="K1863" s="95" t="n">
        <v>0.95</v>
      </c>
      <c r="L1863" s="85" t="n">
        <v>1</v>
      </c>
    </row>
    <row r="1864">
      <c r="A1864" s="84" t="inlineStr">
        <is>
          <t>IEG</t>
        </is>
      </c>
      <c r="B1864" s="7" t="inlineStr">
        <is>
          <t>actif</t>
        </is>
      </c>
      <c r="C1864" s="88" t="n">
        <v>2000</v>
      </c>
      <c r="D1864" s="95" t="n">
        <v>59</v>
      </c>
      <c r="E1864" s="95" t="n">
        <v>62</v>
      </c>
      <c r="F1864" s="85" t="n">
        <v>172</v>
      </c>
      <c r="G1864" s="120" t="n">
        <v>0.0125</v>
      </c>
      <c r="H1864" s="120" t="n">
        <v>0.0125</v>
      </c>
      <c r="I1864" s="95" t="n">
        <v>2</v>
      </c>
      <c r="J1864" s="95" t="n">
        <v>61</v>
      </c>
      <c r="K1864" s="95" t="n">
        <v>0.95</v>
      </c>
      <c r="L1864" s="85" t="n">
        <v>1</v>
      </c>
    </row>
    <row r="1865">
      <c r="A1865" s="84" t="inlineStr">
        <is>
          <t>IEG</t>
        </is>
      </c>
      <c r="B1865" s="7" t="inlineStr">
        <is>
          <t>actif</t>
        </is>
      </c>
      <c r="C1865" s="88" t="n">
        <v>2001</v>
      </c>
      <c r="D1865" s="95" t="n">
        <v>59</v>
      </c>
      <c r="E1865" s="95" t="n">
        <v>62</v>
      </c>
      <c r="F1865" s="85" t="n">
        <v>172</v>
      </c>
      <c r="G1865" s="120" t="n">
        <v>0.0125</v>
      </c>
      <c r="H1865" s="120" t="n">
        <v>0.0125</v>
      </c>
      <c r="I1865" s="95" t="n">
        <v>2</v>
      </c>
      <c r="J1865" s="95" t="n">
        <v>61</v>
      </c>
      <c r="K1865" s="95" t="n">
        <v>0.95</v>
      </c>
      <c r="L1865" s="85" t="n">
        <v>1</v>
      </c>
    </row>
    <row r="1866">
      <c r="A1866" s="84" t="inlineStr">
        <is>
          <t>IEG</t>
        </is>
      </c>
      <c r="B1866" s="7" t="inlineStr">
        <is>
          <t>actif</t>
        </is>
      </c>
      <c r="C1866" s="88" t="n">
        <v>2002</v>
      </c>
      <c r="D1866" s="95" t="n">
        <v>59</v>
      </c>
      <c r="E1866" s="95" t="n">
        <v>62</v>
      </c>
      <c r="F1866" s="85" t="n">
        <v>172</v>
      </c>
      <c r="G1866" s="120" t="n">
        <v>0.0125</v>
      </c>
      <c r="H1866" s="120" t="n">
        <v>0.0125</v>
      </c>
      <c r="I1866" s="95" t="n">
        <v>2</v>
      </c>
      <c r="J1866" s="95" t="n">
        <v>61</v>
      </c>
      <c r="K1866" s="95" t="n">
        <v>0.95</v>
      </c>
      <c r="L1866" s="85" t="n">
        <v>1</v>
      </c>
    </row>
    <row r="1867">
      <c r="A1867" s="84" t="inlineStr">
        <is>
          <t>IEG</t>
        </is>
      </c>
      <c r="B1867" s="7" t="inlineStr">
        <is>
          <t>actif</t>
        </is>
      </c>
      <c r="C1867" s="88" t="n">
        <v>2003</v>
      </c>
      <c r="D1867" s="95" t="n">
        <v>59</v>
      </c>
      <c r="E1867" s="95" t="n">
        <v>62</v>
      </c>
      <c r="F1867" s="85" t="n">
        <v>172</v>
      </c>
      <c r="G1867" s="120" t="n">
        <v>0.0125</v>
      </c>
      <c r="H1867" s="120" t="n">
        <v>0.0125</v>
      </c>
      <c r="I1867" s="95" t="n">
        <v>2</v>
      </c>
      <c r="J1867" s="95" t="n">
        <v>61</v>
      </c>
      <c r="K1867" s="95" t="n">
        <v>0.95</v>
      </c>
      <c r="L1867" s="85" t="n">
        <v>1</v>
      </c>
    </row>
    <row r="1868">
      <c r="A1868" s="84" t="inlineStr">
        <is>
          <t>IEG</t>
        </is>
      </c>
      <c r="B1868" s="7" t="inlineStr">
        <is>
          <t>actif</t>
        </is>
      </c>
      <c r="C1868" s="88" t="n">
        <v>2004</v>
      </c>
      <c r="D1868" s="95" t="n">
        <v>59</v>
      </c>
      <c r="E1868" s="95" t="n">
        <v>62</v>
      </c>
      <c r="F1868" s="85" t="n">
        <v>172</v>
      </c>
      <c r="G1868" s="120" t="n">
        <v>0.0125</v>
      </c>
      <c r="H1868" s="120" t="n">
        <v>0.0125</v>
      </c>
      <c r="I1868" s="95" t="n">
        <v>2</v>
      </c>
      <c r="J1868" s="95" t="n">
        <v>61</v>
      </c>
      <c r="K1868" s="95" t="n">
        <v>0.95</v>
      </c>
      <c r="L1868" s="85" t="n">
        <v>1</v>
      </c>
    </row>
    <row r="1869">
      <c r="A1869" s="84" t="inlineStr">
        <is>
          <t>IEG</t>
        </is>
      </c>
      <c r="B1869" s="7" t="inlineStr">
        <is>
          <t>actif</t>
        </is>
      </c>
      <c r="C1869" s="88" t="n">
        <v>2005</v>
      </c>
      <c r="D1869" s="95" t="n">
        <v>59</v>
      </c>
      <c r="E1869" s="95" t="n">
        <v>62</v>
      </c>
      <c r="F1869" s="85" t="n">
        <v>172</v>
      </c>
      <c r="G1869" s="120" t="n">
        <v>0.0125</v>
      </c>
      <c r="H1869" s="120" t="n">
        <v>0.0125</v>
      </c>
      <c r="I1869" s="95" t="n">
        <v>2</v>
      </c>
      <c r="J1869" s="95" t="n">
        <v>61</v>
      </c>
      <c r="K1869" s="95" t="n">
        <v>0.95</v>
      </c>
      <c r="L1869" s="85" t="n">
        <v>1</v>
      </c>
    </row>
    <row r="1870">
      <c r="A1870" s="84" t="inlineStr">
        <is>
          <t>IEG</t>
        </is>
      </c>
      <c r="B1870" s="7" t="inlineStr">
        <is>
          <t>actif</t>
        </is>
      </c>
      <c r="C1870" s="88" t="n">
        <v>2006</v>
      </c>
      <c r="D1870" s="95" t="n">
        <v>59</v>
      </c>
      <c r="E1870" s="95" t="n">
        <v>62</v>
      </c>
      <c r="F1870" s="85" t="n">
        <v>172</v>
      </c>
      <c r="G1870" s="120" t="n">
        <v>0.0125</v>
      </c>
      <c r="H1870" s="120" t="n">
        <v>0.0125</v>
      </c>
      <c r="I1870" s="95" t="n">
        <v>2</v>
      </c>
      <c r="J1870" s="95" t="n">
        <v>61</v>
      </c>
      <c r="K1870" s="95" t="n">
        <v>0.95</v>
      </c>
      <c r="L1870" s="85" t="n">
        <v>1</v>
      </c>
    </row>
    <row r="1871">
      <c r="A1871" s="84" t="inlineStr">
        <is>
          <t>IEG</t>
        </is>
      </c>
      <c r="B1871" s="7" t="inlineStr">
        <is>
          <t>actif</t>
        </is>
      </c>
      <c r="C1871" s="88" t="n">
        <v>2007</v>
      </c>
      <c r="D1871" s="95" t="n">
        <v>59</v>
      </c>
      <c r="E1871" s="95" t="n">
        <v>62</v>
      </c>
      <c r="F1871" s="85" t="n">
        <v>172</v>
      </c>
      <c r="G1871" s="120" t="n">
        <v>0.0125</v>
      </c>
      <c r="H1871" s="120" t="n">
        <v>0.0125</v>
      </c>
      <c r="I1871" s="95" t="n">
        <v>2</v>
      </c>
      <c r="J1871" s="95" t="n">
        <v>61</v>
      </c>
      <c r="K1871" s="95" t="n">
        <v>0.95</v>
      </c>
      <c r="L1871" s="85" t="n">
        <v>1</v>
      </c>
    </row>
    <row r="1872">
      <c r="A1872" s="84" t="inlineStr">
        <is>
          <t>IEG</t>
        </is>
      </c>
      <c r="B1872" s="7" t="inlineStr">
        <is>
          <t>actif</t>
        </is>
      </c>
      <c r="C1872" s="88" t="n">
        <v>2008</v>
      </c>
      <c r="D1872" s="95" t="n">
        <v>59</v>
      </c>
      <c r="E1872" s="95" t="n">
        <v>62</v>
      </c>
      <c r="F1872" s="85" t="n">
        <v>172</v>
      </c>
      <c r="G1872" s="120" t="n">
        <v>0.0125</v>
      </c>
      <c r="H1872" s="120" t="n">
        <v>0.0125</v>
      </c>
      <c r="I1872" s="95" t="n">
        <v>2</v>
      </c>
      <c r="J1872" s="95" t="n">
        <v>61</v>
      </c>
      <c r="K1872" s="95" t="n">
        <v>0.95</v>
      </c>
      <c r="L1872" s="85" t="n">
        <v>1</v>
      </c>
    </row>
    <row r="1873">
      <c r="A1873" s="84" t="inlineStr">
        <is>
          <t>IEG</t>
        </is>
      </c>
      <c r="B1873" s="7" t="inlineStr">
        <is>
          <t>actif</t>
        </is>
      </c>
      <c r="C1873" s="88" t="n">
        <v>2009</v>
      </c>
      <c r="D1873" s="95" t="n">
        <v>59</v>
      </c>
      <c r="E1873" s="95" t="n">
        <v>62</v>
      </c>
      <c r="F1873" s="85" t="n">
        <v>172</v>
      </c>
      <c r="G1873" s="120" t="n">
        <v>0.0125</v>
      </c>
      <c r="H1873" s="120" t="n">
        <v>0.0125</v>
      </c>
      <c r="I1873" s="95" t="n">
        <v>2</v>
      </c>
      <c r="J1873" s="95" t="n">
        <v>61</v>
      </c>
      <c r="K1873" s="95" t="n">
        <v>0.95</v>
      </c>
      <c r="L1873" s="85" t="n">
        <v>1</v>
      </c>
    </row>
    <row r="1874">
      <c r="A1874" s="84" t="inlineStr">
        <is>
          <t>IEG</t>
        </is>
      </c>
      <c r="B1874" s="7" t="inlineStr">
        <is>
          <t>actif</t>
        </is>
      </c>
      <c r="C1874" s="88" t="n">
        <v>2010</v>
      </c>
      <c r="D1874" s="95" t="n">
        <v>59</v>
      </c>
      <c r="E1874" s="95" t="n">
        <v>62</v>
      </c>
      <c r="F1874" s="85" t="n">
        <v>172</v>
      </c>
      <c r="G1874" s="120" t="n">
        <v>0.0125</v>
      </c>
      <c r="H1874" s="120" t="n">
        <v>0.0125</v>
      </c>
      <c r="I1874" s="95" t="n">
        <v>2</v>
      </c>
      <c r="J1874" s="95" t="n">
        <v>61</v>
      </c>
      <c r="K1874" s="95" t="n">
        <v>0.95</v>
      </c>
      <c r="L1874" s="85" t="n">
        <v>1</v>
      </c>
    </row>
    <row r="1875">
      <c r="A1875" s="84" t="inlineStr">
        <is>
          <t>IEG</t>
        </is>
      </c>
      <c r="B1875" s="7" t="inlineStr">
        <is>
          <t>actif</t>
        </is>
      </c>
      <c r="C1875" s="88" t="n">
        <v>2011</v>
      </c>
      <c r="D1875" s="95" t="n">
        <v>59</v>
      </c>
      <c r="E1875" s="95" t="n">
        <v>62</v>
      </c>
      <c r="F1875" s="85" t="n">
        <v>172</v>
      </c>
      <c r="G1875" s="120" t="n">
        <v>0.0125</v>
      </c>
      <c r="H1875" s="120" t="n">
        <v>0.0125</v>
      </c>
      <c r="I1875" s="95" t="n">
        <v>2</v>
      </c>
      <c r="J1875" s="95" t="n">
        <v>61</v>
      </c>
      <c r="K1875" s="95" t="n">
        <v>0.95</v>
      </c>
      <c r="L1875" s="85" t="n">
        <v>1</v>
      </c>
    </row>
    <row r="1876">
      <c r="A1876" s="84" t="inlineStr">
        <is>
          <t>IEG</t>
        </is>
      </c>
      <c r="B1876" s="7" t="inlineStr">
        <is>
          <t>actif</t>
        </is>
      </c>
      <c r="C1876" s="88" t="n">
        <v>2012</v>
      </c>
      <c r="D1876" s="95" t="n">
        <v>59</v>
      </c>
      <c r="E1876" s="95" t="n">
        <v>62</v>
      </c>
      <c r="F1876" s="85" t="n">
        <v>172</v>
      </c>
      <c r="G1876" s="120" t="n">
        <v>0.0125</v>
      </c>
      <c r="H1876" s="120" t="n">
        <v>0.0125</v>
      </c>
      <c r="I1876" s="95" t="n">
        <v>2</v>
      </c>
      <c r="J1876" s="95" t="n">
        <v>61</v>
      </c>
      <c r="K1876" s="95" t="n">
        <v>0.95</v>
      </c>
      <c r="L1876" s="85" t="n">
        <v>1</v>
      </c>
    </row>
    <row r="1877">
      <c r="A1877" s="84" t="inlineStr">
        <is>
          <t>IEG</t>
        </is>
      </c>
      <c r="B1877" s="7" t="inlineStr">
        <is>
          <t>actif</t>
        </is>
      </c>
      <c r="C1877" s="88" t="n">
        <v>2013</v>
      </c>
      <c r="D1877" s="95" t="n">
        <v>59</v>
      </c>
      <c r="E1877" s="95" t="n">
        <v>62</v>
      </c>
      <c r="F1877" s="85" t="n">
        <v>172</v>
      </c>
      <c r="G1877" s="120" t="n">
        <v>0.0125</v>
      </c>
      <c r="H1877" s="120" t="n">
        <v>0.0125</v>
      </c>
      <c r="I1877" s="95" t="n">
        <v>2</v>
      </c>
      <c r="J1877" s="95" t="n">
        <v>61</v>
      </c>
      <c r="K1877" s="95" t="n">
        <v>0.95</v>
      </c>
      <c r="L1877" s="85" t="n">
        <v>1</v>
      </c>
    </row>
    <row r="1878">
      <c r="A1878" s="84" t="inlineStr">
        <is>
          <t>IEG</t>
        </is>
      </c>
      <c r="B1878" s="7" t="inlineStr">
        <is>
          <t>actif</t>
        </is>
      </c>
      <c r="C1878" s="88" t="n">
        <v>2014</v>
      </c>
      <c r="D1878" s="95" t="n">
        <v>59</v>
      </c>
      <c r="E1878" s="95" t="n">
        <v>62</v>
      </c>
      <c r="F1878" s="85" t="n">
        <v>172</v>
      </c>
      <c r="G1878" s="120" t="n">
        <v>0.0125</v>
      </c>
      <c r="H1878" s="120" t="n">
        <v>0.0125</v>
      </c>
      <c r="I1878" s="95" t="n">
        <v>2</v>
      </c>
      <c r="J1878" s="95" t="n">
        <v>61</v>
      </c>
      <c r="K1878" s="95" t="n">
        <v>0.95</v>
      </c>
      <c r="L1878" s="85" t="n">
        <v>1</v>
      </c>
    </row>
    <row r="1879">
      <c r="A1879" s="84" t="inlineStr">
        <is>
          <t>IEG</t>
        </is>
      </c>
      <c r="B1879" s="7" t="inlineStr">
        <is>
          <t>actif</t>
        </is>
      </c>
      <c r="C1879" s="88" t="n">
        <v>2015</v>
      </c>
      <c r="D1879" s="95" t="n">
        <v>59</v>
      </c>
      <c r="E1879" s="95" t="n">
        <v>62</v>
      </c>
      <c r="F1879" s="85" t="n">
        <v>172</v>
      </c>
      <c r="G1879" s="120" t="n">
        <v>0.0125</v>
      </c>
      <c r="H1879" s="120" t="n">
        <v>0.0125</v>
      </c>
      <c r="I1879" s="95" t="n">
        <v>2</v>
      </c>
      <c r="J1879" s="95" t="n">
        <v>61</v>
      </c>
      <c r="K1879" s="95" t="n">
        <v>0.95</v>
      </c>
      <c r="L1879" s="85" t="n">
        <v>1</v>
      </c>
    </row>
    <row r="1880">
      <c r="A1880" s="84" t="inlineStr">
        <is>
          <t>IEG</t>
        </is>
      </c>
      <c r="B1880" s="7" t="inlineStr">
        <is>
          <t>actif</t>
        </is>
      </c>
      <c r="C1880" s="88" t="n">
        <v>2016</v>
      </c>
      <c r="D1880" s="95" t="n">
        <v>59</v>
      </c>
      <c r="E1880" s="95" t="n">
        <v>62</v>
      </c>
      <c r="F1880" s="85" t="n">
        <v>172</v>
      </c>
      <c r="G1880" s="120" t="n">
        <v>0.0125</v>
      </c>
      <c r="H1880" s="120" t="n">
        <v>0.0125</v>
      </c>
      <c r="I1880" s="95" t="n">
        <v>2</v>
      </c>
      <c r="J1880" s="95" t="n">
        <v>61</v>
      </c>
      <c r="K1880" s="95" t="n">
        <v>0.95</v>
      </c>
      <c r="L1880" s="85" t="n">
        <v>1</v>
      </c>
    </row>
    <row r="1881">
      <c r="A1881" s="84" t="inlineStr">
        <is>
          <t>IEG</t>
        </is>
      </c>
      <c r="B1881" s="7" t="inlineStr">
        <is>
          <t>actif</t>
        </is>
      </c>
      <c r="C1881" s="88" t="n">
        <v>2017</v>
      </c>
      <c r="D1881" s="95" t="n">
        <v>59</v>
      </c>
      <c r="E1881" s="95" t="n">
        <v>62</v>
      </c>
      <c r="F1881" s="85" t="n">
        <v>172</v>
      </c>
      <c r="G1881" s="120" t="n">
        <v>0.0125</v>
      </c>
      <c r="H1881" s="120" t="n">
        <v>0.0125</v>
      </c>
      <c r="I1881" s="95" t="n">
        <v>2</v>
      </c>
      <c r="J1881" s="95" t="n">
        <v>61</v>
      </c>
      <c r="K1881" s="95" t="n">
        <v>0.95</v>
      </c>
      <c r="L1881" s="85" t="n">
        <v>1</v>
      </c>
    </row>
    <row r="1882">
      <c r="A1882" s="84" t="inlineStr">
        <is>
          <t>IEG</t>
        </is>
      </c>
      <c r="B1882" s="7" t="inlineStr">
        <is>
          <t>actif</t>
        </is>
      </c>
      <c r="C1882" s="88" t="n">
        <v>2018</v>
      </c>
      <c r="D1882" s="95" t="n">
        <v>59</v>
      </c>
      <c r="E1882" s="95" t="n">
        <v>62</v>
      </c>
      <c r="F1882" s="85" t="n">
        <v>172</v>
      </c>
      <c r="G1882" s="120" t="n">
        <v>0.0125</v>
      </c>
      <c r="H1882" s="120" t="n">
        <v>0.0125</v>
      </c>
      <c r="I1882" s="95" t="n">
        <v>2</v>
      </c>
      <c r="J1882" s="95" t="n">
        <v>61</v>
      </c>
      <c r="K1882" s="95" t="n">
        <v>0.95</v>
      </c>
      <c r="L1882" s="85" t="n">
        <v>1</v>
      </c>
    </row>
    <row r="1883">
      <c r="A1883" s="84" t="inlineStr">
        <is>
          <t>IEG</t>
        </is>
      </c>
      <c r="B1883" s="7" t="inlineStr">
        <is>
          <t>actif</t>
        </is>
      </c>
      <c r="C1883" s="88" t="n">
        <v>2019</v>
      </c>
      <c r="D1883" s="95" t="n">
        <v>59</v>
      </c>
      <c r="E1883" s="95" t="n">
        <v>62</v>
      </c>
      <c r="F1883" s="85" t="n">
        <v>172</v>
      </c>
      <c r="G1883" s="120" t="n">
        <v>0.0125</v>
      </c>
      <c r="H1883" s="120" t="n">
        <v>0.0125</v>
      </c>
      <c r="I1883" s="95" t="n">
        <v>2</v>
      </c>
      <c r="J1883" s="95" t="n">
        <v>61</v>
      </c>
      <c r="K1883" s="95" t="n">
        <v>0.95</v>
      </c>
      <c r="L1883" s="85" t="n">
        <v>1</v>
      </c>
    </row>
    <row r="1884">
      <c r="A1884" s="84" t="inlineStr">
        <is>
          <t>IEG</t>
        </is>
      </c>
      <c r="B1884" s="7" t="inlineStr">
        <is>
          <t>actif</t>
        </is>
      </c>
      <c r="C1884" s="88" t="n">
        <v>2020</v>
      </c>
      <c r="D1884" s="95" t="n">
        <v>59</v>
      </c>
      <c r="E1884" s="95" t="n">
        <v>62</v>
      </c>
      <c r="F1884" s="85" t="n">
        <v>172</v>
      </c>
      <c r="G1884" s="120" t="n">
        <v>0.0125</v>
      </c>
      <c r="H1884" s="120" t="n">
        <v>0.0125</v>
      </c>
      <c r="I1884" s="95" t="n">
        <v>2</v>
      </c>
      <c r="J1884" s="95" t="n">
        <v>61</v>
      </c>
      <c r="K1884" s="95" t="n">
        <v>0.95</v>
      </c>
      <c r="L1884" s="85" t="n">
        <v>1</v>
      </c>
    </row>
    <row r="1885">
      <c r="A1885" s="84" t="inlineStr">
        <is>
          <t>IEG</t>
        </is>
      </c>
      <c r="B1885" s="7" t="inlineStr">
        <is>
          <t>actif</t>
        </is>
      </c>
      <c r="C1885" s="88" t="n">
        <v>2021</v>
      </c>
      <c r="D1885" s="95" t="n">
        <v>59</v>
      </c>
      <c r="E1885" s="95" t="n">
        <v>62</v>
      </c>
      <c r="F1885" s="85" t="n">
        <v>172</v>
      </c>
      <c r="G1885" s="120" t="n">
        <v>0.0125</v>
      </c>
      <c r="H1885" s="120" t="n">
        <v>0.0125</v>
      </c>
      <c r="I1885" s="95" t="n">
        <v>2</v>
      </c>
      <c r="J1885" s="95" t="n">
        <v>61</v>
      </c>
      <c r="K1885" s="95" t="n">
        <v>0.95</v>
      </c>
      <c r="L1885" s="85" t="n">
        <v>1</v>
      </c>
    </row>
    <row r="1886">
      <c r="A1886" s="84" t="inlineStr">
        <is>
          <t>IEG</t>
        </is>
      </c>
      <c r="B1886" s="7" t="inlineStr">
        <is>
          <t>actif</t>
        </is>
      </c>
      <c r="C1886" s="88" t="n">
        <v>2022</v>
      </c>
      <c r="D1886" s="95" t="n">
        <v>59</v>
      </c>
      <c r="E1886" s="95" t="n">
        <v>62</v>
      </c>
      <c r="F1886" s="85" t="n">
        <v>172</v>
      </c>
      <c r="G1886" s="120" t="n">
        <v>0.0125</v>
      </c>
      <c r="H1886" s="120" t="n">
        <v>0.0125</v>
      </c>
      <c r="I1886" s="95" t="n">
        <v>2</v>
      </c>
      <c r="J1886" s="95" t="n">
        <v>61</v>
      </c>
      <c r="K1886" s="95" t="n">
        <v>0.95</v>
      </c>
      <c r="L1886" s="85" t="n">
        <v>1</v>
      </c>
    </row>
    <row r="1887">
      <c r="A1887" s="84" t="inlineStr">
        <is>
          <t>IEG</t>
        </is>
      </c>
      <c r="B1887" s="7" t="inlineStr">
        <is>
          <t>actif</t>
        </is>
      </c>
      <c r="C1887" s="88" t="n">
        <v>2023</v>
      </c>
      <c r="D1887" s="95" t="n">
        <v>59</v>
      </c>
      <c r="E1887" s="95" t="n">
        <v>62</v>
      </c>
      <c r="F1887" s="85" t="n">
        <v>172</v>
      </c>
      <c r="G1887" s="120" t="n">
        <v>0.0125</v>
      </c>
      <c r="H1887" s="120" t="n">
        <v>0.0125</v>
      </c>
      <c r="I1887" s="95" t="n">
        <v>2</v>
      </c>
      <c r="J1887" s="95" t="n">
        <v>61</v>
      </c>
      <c r="K1887" s="95" t="n">
        <v>0.95</v>
      </c>
      <c r="L1887" s="85" t="n">
        <v>1</v>
      </c>
    </row>
    <row r="1888">
      <c r="A1888" s="84" t="inlineStr">
        <is>
          <t>IEG</t>
        </is>
      </c>
      <c r="B1888" s="7" t="inlineStr">
        <is>
          <t>actif</t>
        </is>
      </c>
      <c r="C1888" s="88" t="n">
        <v>2024</v>
      </c>
      <c r="D1888" s="95" t="n">
        <v>59</v>
      </c>
      <c r="E1888" s="95" t="n">
        <v>62</v>
      </c>
      <c r="F1888" s="85" t="n">
        <v>172</v>
      </c>
      <c r="G1888" s="120" t="n">
        <v>0.0125</v>
      </c>
      <c r="H1888" s="120" t="n">
        <v>0.0125</v>
      </c>
      <c r="I1888" s="95" t="n">
        <v>2</v>
      </c>
      <c r="J1888" s="95" t="n">
        <v>61</v>
      </c>
      <c r="K1888" s="95" t="n">
        <v>0.95</v>
      </c>
      <c r="L1888" s="85" t="n">
        <v>1</v>
      </c>
    </row>
    <row r="1889">
      <c r="A1889" s="84" t="inlineStr">
        <is>
          <t>IEG</t>
        </is>
      </c>
      <c r="B1889" s="7" t="inlineStr">
        <is>
          <t>actif</t>
        </is>
      </c>
      <c r="C1889" s="88" t="n">
        <v>2025</v>
      </c>
      <c r="D1889" s="95" t="n">
        <v>59</v>
      </c>
      <c r="E1889" s="95" t="n">
        <v>62</v>
      </c>
      <c r="F1889" s="85" t="n">
        <v>172</v>
      </c>
      <c r="G1889" s="120" t="n">
        <v>0.0125</v>
      </c>
      <c r="H1889" s="120" t="n">
        <v>0.0125</v>
      </c>
      <c r="I1889" s="95" t="n">
        <v>2</v>
      </c>
      <c r="J1889" s="95" t="n">
        <v>61</v>
      </c>
      <c r="K1889" s="95" t="n">
        <v>0.95</v>
      </c>
      <c r="L1889" s="85" t="n">
        <v>1</v>
      </c>
    </row>
    <row r="1890">
      <c r="A1890" s="84" t="inlineStr">
        <is>
          <t>IEG</t>
        </is>
      </c>
      <c r="B1890" s="7" t="inlineStr">
        <is>
          <t>conduite ou super-actif</t>
        </is>
      </c>
      <c r="C1890" s="88" t="n">
        <v>1915</v>
      </c>
      <c r="D1890" s="95" t="n">
        <v>55</v>
      </c>
      <c r="E1890" s="95" t="n">
        <v>55</v>
      </c>
      <c r="F1890" s="85" t="n">
        <v>150</v>
      </c>
      <c r="G1890" s="120" t="n">
        <v>0</v>
      </c>
      <c r="H1890" s="120" t="n">
        <v>0</v>
      </c>
      <c r="I1890" s="95" t="n">
        <v>0.5</v>
      </c>
      <c r="J1890" s="95" t="n">
        <v>55.5</v>
      </c>
      <c r="K1890" s="95" t="n">
        <v>0.95</v>
      </c>
      <c r="L1890" s="85" t="n">
        <v>1</v>
      </c>
    </row>
    <row r="1891">
      <c r="A1891" s="84" t="inlineStr">
        <is>
          <t>IEG</t>
        </is>
      </c>
      <c r="B1891" s="7" t="inlineStr">
        <is>
          <t>conduite ou super-actif</t>
        </is>
      </c>
      <c r="C1891" s="88" t="n">
        <v>1916</v>
      </c>
      <c r="D1891" s="95" t="n">
        <v>55</v>
      </c>
      <c r="E1891" s="95" t="n">
        <v>55</v>
      </c>
      <c r="F1891" s="85" t="n">
        <v>150</v>
      </c>
      <c r="G1891" s="120" t="n">
        <v>0</v>
      </c>
      <c r="H1891" s="120" t="n">
        <v>0</v>
      </c>
      <c r="I1891" s="95" t="n">
        <v>0.5</v>
      </c>
      <c r="J1891" s="95" t="n">
        <v>55.5</v>
      </c>
      <c r="K1891" s="95" t="n">
        <v>0.95</v>
      </c>
      <c r="L1891" s="85" t="n">
        <v>1</v>
      </c>
    </row>
    <row r="1892">
      <c r="A1892" s="84" t="inlineStr">
        <is>
          <t>IEG</t>
        </is>
      </c>
      <c r="B1892" s="7" t="inlineStr">
        <is>
          <t>conduite ou super-actif</t>
        </is>
      </c>
      <c r="C1892" s="88" t="n">
        <v>1917</v>
      </c>
      <c r="D1892" s="95" t="n">
        <v>55</v>
      </c>
      <c r="E1892" s="95" t="n">
        <v>55</v>
      </c>
      <c r="F1892" s="85" t="n">
        <v>150</v>
      </c>
      <c r="G1892" s="120" t="n">
        <v>0</v>
      </c>
      <c r="H1892" s="120" t="n">
        <v>0</v>
      </c>
      <c r="I1892" s="95" t="n">
        <v>0.5</v>
      </c>
      <c r="J1892" s="95" t="n">
        <v>55.5</v>
      </c>
      <c r="K1892" s="95" t="n">
        <v>0.95</v>
      </c>
      <c r="L1892" s="85" t="n">
        <v>1</v>
      </c>
    </row>
    <row r="1893">
      <c r="A1893" s="84" t="inlineStr">
        <is>
          <t>IEG</t>
        </is>
      </c>
      <c r="B1893" s="7" t="inlineStr">
        <is>
          <t>conduite ou super-actif</t>
        </is>
      </c>
      <c r="C1893" s="88" t="n">
        <v>1918</v>
      </c>
      <c r="D1893" s="95" t="n">
        <v>55</v>
      </c>
      <c r="E1893" s="95" t="n">
        <v>55</v>
      </c>
      <c r="F1893" s="85" t="n">
        <v>150</v>
      </c>
      <c r="G1893" s="120" t="n">
        <v>0</v>
      </c>
      <c r="H1893" s="120" t="n">
        <v>0</v>
      </c>
      <c r="I1893" s="95" t="n">
        <v>0.5</v>
      </c>
      <c r="J1893" s="95" t="n">
        <v>55.5</v>
      </c>
      <c r="K1893" s="95" t="n">
        <v>0.95</v>
      </c>
      <c r="L1893" s="85" t="n">
        <v>1</v>
      </c>
    </row>
    <row r="1894">
      <c r="A1894" s="84" t="inlineStr">
        <is>
          <t>IEG</t>
        </is>
      </c>
      <c r="B1894" s="7" t="inlineStr">
        <is>
          <t>conduite ou super-actif</t>
        </is>
      </c>
      <c r="C1894" s="88" t="n">
        <v>1919</v>
      </c>
      <c r="D1894" s="95" t="n">
        <v>55</v>
      </c>
      <c r="E1894" s="95" t="n">
        <v>55</v>
      </c>
      <c r="F1894" s="85" t="n">
        <v>150</v>
      </c>
      <c r="G1894" s="120" t="n">
        <v>0</v>
      </c>
      <c r="H1894" s="120" t="n">
        <v>0</v>
      </c>
      <c r="I1894" s="95" t="n">
        <v>0.5</v>
      </c>
      <c r="J1894" s="95" t="n">
        <v>55.5</v>
      </c>
      <c r="K1894" s="95" t="n">
        <v>0.95</v>
      </c>
      <c r="L1894" s="85" t="n">
        <v>1</v>
      </c>
    </row>
    <row r="1895">
      <c r="A1895" s="84" t="inlineStr">
        <is>
          <t>IEG</t>
        </is>
      </c>
      <c r="B1895" s="7" t="inlineStr">
        <is>
          <t>conduite ou super-actif</t>
        </is>
      </c>
      <c r="C1895" s="88" t="n">
        <v>1920</v>
      </c>
      <c r="D1895" s="95" t="n">
        <v>55</v>
      </c>
      <c r="E1895" s="95" t="n">
        <v>55</v>
      </c>
      <c r="F1895" s="85" t="n">
        <v>150</v>
      </c>
      <c r="G1895" s="120" t="n">
        <v>0</v>
      </c>
      <c r="H1895" s="120" t="n">
        <v>0</v>
      </c>
      <c r="I1895" s="95" t="n">
        <v>0.5</v>
      </c>
      <c r="J1895" s="95" t="n">
        <v>55.5</v>
      </c>
      <c r="K1895" s="95" t="n">
        <v>0.95</v>
      </c>
      <c r="L1895" s="85" t="n">
        <v>1</v>
      </c>
    </row>
    <row r="1896">
      <c r="A1896" s="84" t="inlineStr">
        <is>
          <t>IEG</t>
        </is>
      </c>
      <c r="B1896" s="7" t="inlineStr">
        <is>
          <t>conduite ou super-actif</t>
        </is>
      </c>
      <c r="C1896" s="88" t="n">
        <v>1921</v>
      </c>
      <c r="D1896" s="95" t="n">
        <v>55</v>
      </c>
      <c r="E1896" s="95" t="n">
        <v>55</v>
      </c>
      <c r="F1896" s="85" t="n">
        <v>150</v>
      </c>
      <c r="G1896" s="120" t="n">
        <v>0</v>
      </c>
      <c r="H1896" s="120" t="n">
        <v>0</v>
      </c>
      <c r="I1896" s="95" t="n">
        <v>0.5</v>
      </c>
      <c r="J1896" s="95" t="n">
        <v>55.5</v>
      </c>
      <c r="K1896" s="95" t="n">
        <v>0.95</v>
      </c>
      <c r="L1896" s="85" t="n">
        <v>1</v>
      </c>
    </row>
    <row r="1897">
      <c r="A1897" s="84" t="inlineStr">
        <is>
          <t>IEG</t>
        </is>
      </c>
      <c r="B1897" s="7" t="inlineStr">
        <is>
          <t>conduite ou super-actif</t>
        </is>
      </c>
      <c r="C1897" s="88" t="n">
        <v>1922</v>
      </c>
      <c r="D1897" s="95" t="n">
        <v>55</v>
      </c>
      <c r="E1897" s="95" t="n">
        <v>55</v>
      </c>
      <c r="F1897" s="85" t="n">
        <v>150</v>
      </c>
      <c r="G1897" s="120" t="n">
        <v>0</v>
      </c>
      <c r="H1897" s="120" t="n">
        <v>0</v>
      </c>
      <c r="I1897" s="95" t="n">
        <v>0.5</v>
      </c>
      <c r="J1897" s="95" t="n">
        <v>55.5</v>
      </c>
      <c r="K1897" s="95" t="n">
        <v>0.95</v>
      </c>
      <c r="L1897" s="85" t="n">
        <v>1</v>
      </c>
    </row>
    <row r="1898">
      <c r="A1898" s="84" t="inlineStr">
        <is>
          <t>IEG</t>
        </is>
      </c>
      <c r="B1898" s="7" t="inlineStr">
        <is>
          <t>conduite ou super-actif</t>
        </is>
      </c>
      <c r="C1898" s="88" t="n">
        <v>1923</v>
      </c>
      <c r="D1898" s="95" t="n">
        <v>55</v>
      </c>
      <c r="E1898" s="95" t="n">
        <v>55</v>
      </c>
      <c r="F1898" s="85" t="n">
        <v>150</v>
      </c>
      <c r="G1898" s="120" t="n">
        <v>0</v>
      </c>
      <c r="H1898" s="120" t="n">
        <v>0</v>
      </c>
      <c r="I1898" s="95" t="n">
        <v>0.5</v>
      </c>
      <c r="J1898" s="95" t="n">
        <v>55.5</v>
      </c>
      <c r="K1898" s="95" t="n">
        <v>0.95</v>
      </c>
      <c r="L1898" s="85" t="n">
        <v>1</v>
      </c>
    </row>
    <row r="1899">
      <c r="A1899" s="84" t="inlineStr">
        <is>
          <t>IEG</t>
        </is>
      </c>
      <c r="B1899" s="7" t="inlineStr">
        <is>
          <t>conduite ou super-actif</t>
        </is>
      </c>
      <c r="C1899" s="88" t="n">
        <v>1924</v>
      </c>
      <c r="D1899" s="95" t="n">
        <v>55</v>
      </c>
      <c r="E1899" s="95" t="n">
        <v>55</v>
      </c>
      <c r="F1899" s="85" t="n">
        <v>150</v>
      </c>
      <c r="G1899" s="120" t="n">
        <v>0</v>
      </c>
      <c r="H1899" s="120" t="n">
        <v>0</v>
      </c>
      <c r="I1899" s="95" t="n">
        <v>0.5</v>
      </c>
      <c r="J1899" s="95" t="n">
        <v>55.5</v>
      </c>
      <c r="K1899" s="95" t="n">
        <v>0.95</v>
      </c>
      <c r="L1899" s="85" t="n">
        <v>1</v>
      </c>
    </row>
    <row r="1900">
      <c r="A1900" s="84" t="inlineStr">
        <is>
          <t>IEG</t>
        </is>
      </c>
      <c r="B1900" s="7" t="inlineStr">
        <is>
          <t>conduite ou super-actif</t>
        </is>
      </c>
      <c r="C1900" s="88" t="n">
        <v>1925</v>
      </c>
      <c r="D1900" s="95" t="n">
        <v>55</v>
      </c>
      <c r="E1900" s="95" t="n">
        <v>55</v>
      </c>
      <c r="F1900" s="85" t="n">
        <v>150</v>
      </c>
      <c r="G1900" s="120" t="n">
        <v>0</v>
      </c>
      <c r="H1900" s="120" t="n">
        <v>0</v>
      </c>
      <c r="I1900" s="95" t="n">
        <v>0.5</v>
      </c>
      <c r="J1900" s="95" t="n">
        <v>55.5</v>
      </c>
      <c r="K1900" s="95" t="n">
        <v>0.95</v>
      </c>
      <c r="L1900" s="85" t="n">
        <v>1</v>
      </c>
    </row>
    <row r="1901">
      <c r="A1901" s="84" t="inlineStr">
        <is>
          <t>IEG</t>
        </is>
      </c>
      <c r="B1901" s="7" t="inlineStr">
        <is>
          <t>conduite ou super-actif</t>
        </is>
      </c>
      <c r="C1901" s="88" t="n">
        <v>1926</v>
      </c>
      <c r="D1901" s="95" t="n">
        <v>55</v>
      </c>
      <c r="E1901" s="95" t="n">
        <v>55</v>
      </c>
      <c r="F1901" s="85" t="n">
        <v>150</v>
      </c>
      <c r="G1901" s="120" t="n">
        <v>0</v>
      </c>
      <c r="H1901" s="120" t="n">
        <v>0</v>
      </c>
      <c r="I1901" s="95" t="n">
        <v>0.5</v>
      </c>
      <c r="J1901" s="95" t="n">
        <v>55.5</v>
      </c>
      <c r="K1901" s="95" t="n">
        <v>0.95</v>
      </c>
      <c r="L1901" s="85" t="n">
        <v>1</v>
      </c>
    </row>
    <row r="1902">
      <c r="A1902" s="84" t="inlineStr">
        <is>
          <t>IEG</t>
        </is>
      </c>
      <c r="B1902" s="7" t="inlineStr">
        <is>
          <t>conduite ou super-actif</t>
        </is>
      </c>
      <c r="C1902" s="88" t="n">
        <v>1927</v>
      </c>
      <c r="D1902" s="95" t="n">
        <v>55</v>
      </c>
      <c r="E1902" s="95" t="n">
        <v>55</v>
      </c>
      <c r="F1902" s="85" t="n">
        <v>150</v>
      </c>
      <c r="G1902" s="120" t="n">
        <v>0</v>
      </c>
      <c r="H1902" s="120" t="n">
        <v>0</v>
      </c>
      <c r="I1902" s="95" t="n">
        <v>0.5</v>
      </c>
      <c r="J1902" s="95" t="n">
        <v>55.5</v>
      </c>
      <c r="K1902" s="95" t="n">
        <v>0.95</v>
      </c>
      <c r="L1902" s="85" t="n">
        <v>1</v>
      </c>
    </row>
    <row r="1903">
      <c r="A1903" s="84" t="inlineStr">
        <is>
          <t>IEG</t>
        </is>
      </c>
      <c r="B1903" s="7" t="inlineStr">
        <is>
          <t>conduite ou super-actif</t>
        </is>
      </c>
      <c r="C1903" s="88" t="n">
        <v>1928</v>
      </c>
      <c r="D1903" s="95" t="n">
        <v>55</v>
      </c>
      <c r="E1903" s="95" t="n">
        <v>55</v>
      </c>
      <c r="F1903" s="85" t="n">
        <v>150</v>
      </c>
      <c r="G1903" s="120" t="n">
        <v>0</v>
      </c>
      <c r="H1903" s="120" t="n">
        <v>0</v>
      </c>
      <c r="I1903" s="95" t="n">
        <v>0.5</v>
      </c>
      <c r="J1903" s="95" t="n">
        <v>55.5</v>
      </c>
      <c r="K1903" s="95" t="n">
        <v>0.95</v>
      </c>
      <c r="L1903" s="85" t="n">
        <v>1</v>
      </c>
    </row>
    <row r="1904">
      <c r="A1904" s="84" t="inlineStr">
        <is>
          <t>IEG</t>
        </is>
      </c>
      <c r="B1904" s="7" t="inlineStr">
        <is>
          <t>conduite ou super-actif</t>
        </is>
      </c>
      <c r="C1904" s="88" t="n">
        <v>1929</v>
      </c>
      <c r="D1904" s="95" t="n">
        <v>55</v>
      </c>
      <c r="E1904" s="95" t="n">
        <v>55</v>
      </c>
      <c r="F1904" s="85" t="n">
        <v>150</v>
      </c>
      <c r="G1904" s="120" t="n">
        <v>0</v>
      </c>
      <c r="H1904" s="120" t="n">
        <v>0</v>
      </c>
      <c r="I1904" s="95" t="n">
        <v>0.5</v>
      </c>
      <c r="J1904" s="95" t="n">
        <v>55.5</v>
      </c>
      <c r="K1904" s="95" t="n">
        <v>0.95</v>
      </c>
      <c r="L1904" s="85" t="n">
        <v>1</v>
      </c>
    </row>
    <row r="1905">
      <c r="A1905" s="84" t="inlineStr">
        <is>
          <t>IEG</t>
        </is>
      </c>
      <c r="B1905" s="7" t="inlineStr">
        <is>
          <t>conduite ou super-actif</t>
        </is>
      </c>
      <c r="C1905" s="88" t="n">
        <v>1930</v>
      </c>
      <c r="D1905" s="95" t="n">
        <v>55</v>
      </c>
      <c r="E1905" s="95" t="n">
        <v>55</v>
      </c>
      <c r="F1905" s="85" t="n">
        <v>150</v>
      </c>
      <c r="G1905" s="120" t="n">
        <v>0</v>
      </c>
      <c r="H1905" s="120" t="n">
        <v>0</v>
      </c>
      <c r="I1905" s="95" t="n">
        <v>0.5</v>
      </c>
      <c r="J1905" s="95" t="n">
        <v>55.5</v>
      </c>
      <c r="K1905" s="95" t="n">
        <v>0.95</v>
      </c>
      <c r="L1905" s="85" t="n">
        <v>1</v>
      </c>
    </row>
    <row r="1906">
      <c r="A1906" s="84" t="inlineStr">
        <is>
          <t>IEG</t>
        </is>
      </c>
      <c r="B1906" s="7" t="inlineStr">
        <is>
          <t>conduite ou super-actif</t>
        </is>
      </c>
      <c r="C1906" s="88" t="n">
        <v>1931</v>
      </c>
      <c r="D1906" s="95" t="n">
        <v>55</v>
      </c>
      <c r="E1906" s="95" t="n">
        <v>55</v>
      </c>
      <c r="F1906" s="85" t="n">
        <v>150</v>
      </c>
      <c r="G1906" s="120" t="n">
        <v>0</v>
      </c>
      <c r="H1906" s="120" t="n">
        <v>0</v>
      </c>
      <c r="I1906" s="95" t="n">
        <v>0.5</v>
      </c>
      <c r="J1906" s="95" t="n">
        <v>55.5</v>
      </c>
      <c r="K1906" s="95" t="n">
        <v>0.95</v>
      </c>
      <c r="L1906" s="85" t="n">
        <v>1</v>
      </c>
    </row>
    <row r="1907">
      <c r="A1907" s="84" t="inlineStr">
        <is>
          <t>IEG</t>
        </is>
      </c>
      <c r="B1907" s="7" t="inlineStr">
        <is>
          <t>conduite ou super-actif</t>
        </is>
      </c>
      <c r="C1907" s="88" t="n">
        <v>1932</v>
      </c>
      <c r="D1907" s="95" t="n">
        <v>55</v>
      </c>
      <c r="E1907" s="95" t="n">
        <v>55</v>
      </c>
      <c r="F1907" s="85" t="n">
        <v>150</v>
      </c>
      <c r="G1907" s="120" t="n">
        <v>0</v>
      </c>
      <c r="H1907" s="120" t="n">
        <v>0</v>
      </c>
      <c r="I1907" s="95" t="n">
        <v>0.5</v>
      </c>
      <c r="J1907" s="95" t="n">
        <v>55.5</v>
      </c>
      <c r="K1907" s="95" t="n">
        <v>0.95</v>
      </c>
      <c r="L1907" s="85" t="n">
        <v>1</v>
      </c>
    </row>
    <row r="1908">
      <c r="A1908" s="84" t="inlineStr">
        <is>
          <t>IEG</t>
        </is>
      </c>
      <c r="B1908" s="7" t="inlineStr">
        <is>
          <t>conduite ou super-actif</t>
        </is>
      </c>
      <c r="C1908" s="88" t="n">
        <v>1933</v>
      </c>
      <c r="D1908" s="95" t="n">
        <v>55</v>
      </c>
      <c r="E1908" s="95" t="n">
        <v>55</v>
      </c>
      <c r="F1908" s="85" t="n">
        <v>150</v>
      </c>
      <c r="G1908" s="120" t="n">
        <v>0</v>
      </c>
      <c r="H1908" s="120" t="n">
        <v>0</v>
      </c>
      <c r="I1908" s="95" t="n">
        <v>0.5</v>
      </c>
      <c r="J1908" s="95" t="n">
        <v>55.5</v>
      </c>
      <c r="K1908" s="95" t="n">
        <v>0.95</v>
      </c>
      <c r="L1908" s="85" t="n">
        <v>1</v>
      </c>
    </row>
    <row r="1909">
      <c r="A1909" s="84" t="inlineStr">
        <is>
          <t>IEG</t>
        </is>
      </c>
      <c r="B1909" s="7" t="inlineStr">
        <is>
          <t>conduite ou super-actif</t>
        </is>
      </c>
      <c r="C1909" s="88" t="n">
        <v>1934</v>
      </c>
      <c r="D1909" s="95" t="n">
        <v>55</v>
      </c>
      <c r="E1909" s="95" t="n">
        <v>55</v>
      </c>
      <c r="F1909" s="85" t="n">
        <v>150</v>
      </c>
      <c r="G1909" s="120" t="n">
        <v>0</v>
      </c>
      <c r="H1909" s="120" t="n">
        <v>0</v>
      </c>
      <c r="I1909" s="95" t="n">
        <v>0.5</v>
      </c>
      <c r="J1909" s="95" t="n">
        <v>55.5</v>
      </c>
      <c r="K1909" s="95" t="n">
        <v>0.95</v>
      </c>
      <c r="L1909" s="85" t="n">
        <v>1</v>
      </c>
    </row>
    <row r="1910">
      <c r="A1910" s="84" t="inlineStr">
        <is>
          <t>IEG</t>
        </is>
      </c>
      <c r="B1910" s="7" t="inlineStr">
        <is>
          <t>conduite ou super-actif</t>
        </is>
      </c>
      <c r="C1910" s="88" t="n">
        <v>1935</v>
      </c>
      <c r="D1910" s="95" t="n">
        <v>55</v>
      </c>
      <c r="E1910" s="95" t="n">
        <v>55</v>
      </c>
      <c r="F1910" s="85" t="n">
        <v>150</v>
      </c>
      <c r="G1910" s="120" t="n">
        <v>0</v>
      </c>
      <c r="H1910" s="120" t="n">
        <v>0</v>
      </c>
      <c r="I1910" s="95" t="n">
        <v>0.5</v>
      </c>
      <c r="J1910" s="95" t="n">
        <v>55.5</v>
      </c>
      <c r="K1910" s="95" t="n">
        <v>0.95</v>
      </c>
      <c r="L1910" s="85" t="n">
        <v>1</v>
      </c>
    </row>
    <row r="1911">
      <c r="A1911" s="84" t="inlineStr">
        <is>
          <t>IEG</t>
        </is>
      </c>
      <c r="B1911" s="7" t="inlineStr">
        <is>
          <t>conduite ou super-actif</t>
        </is>
      </c>
      <c r="C1911" s="88" t="n">
        <v>1936</v>
      </c>
      <c r="D1911" s="95" t="n">
        <v>55</v>
      </c>
      <c r="E1911" s="95" t="n">
        <v>55</v>
      </c>
      <c r="F1911" s="85" t="n">
        <v>150</v>
      </c>
      <c r="G1911" s="120" t="n">
        <v>0</v>
      </c>
      <c r="H1911" s="120" t="n">
        <v>0</v>
      </c>
      <c r="I1911" s="95" t="n">
        <v>0.5</v>
      </c>
      <c r="J1911" s="95" t="n">
        <v>55.5</v>
      </c>
      <c r="K1911" s="95" t="n">
        <v>0.95</v>
      </c>
      <c r="L1911" s="85" t="n">
        <v>1</v>
      </c>
    </row>
    <row r="1912">
      <c r="A1912" s="84" t="inlineStr">
        <is>
          <t>IEG</t>
        </is>
      </c>
      <c r="B1912" s="7" t="inlineStr">
        <is>
          <t>conduite ou super-actif</t>
        </is>
      </c>
      <c r="C1912" s="88" t="n">
        <v>1937</v>
      </c>
      <c r="D1912" s="95" t="n">
        <v>55</v>
      </c>
      <c r="E1912" s="95" t="n">
        <v>55</v>
      </c>
      <c r="F1912" s="85" t="n">
        <v>150</v>
      </c>
      <c r="G1912" s="120" t="n">
        <v>0</v>
      </c>
      <c r="H1912" s="120" t="n">
        <v>0</v>
      </c>
      <c r="I1912" s="95" t="n">
        <v>0.5</v>
      </c>
      <c r="J1912" s="95" t="n">
        <v>55.5</v>
      </c>
      <c r="K1912" s="95" t="n">
        <v>0.95</v>
      </c>
      <c r="L1912" s="85" t="n">
        <v>1</v>
      </c>
    </row>
    <row r="1913">
      <c r="A1913" s="84" t="inlineStr">
        <is>
          <t>IEG</t>
        </is>
      </c>
      <c r="B1913" s="7" t="inlineStr">
        <is>
          <t>conduite ou super-actif</t>
        </is>
      </c>
      <c r="C1913" s="88" t="n">
        <v>1938</v>
      </c>
      <c r="D1913" s="95" t="n">
        <v>55</v>
      </c>
      <c r="E1913" s="95" t="n">
        <v>55</v>
      </c>
      <c r="F1913" s="85" t="n">
        <v>150</v>
      </c>
      <c r="G1913" s="120" t="n">
        <v>0</v>
      </c>
      <c r="H1913" s="120" t="n">
        <v>0</v>
      </c>
      <c r="I1913" s="95" t="n">
        <v>0.5</v>
      </c>
      <c r="J1913" s="95" t="n">
        <v>55.5</v>
      </c>
      <c r="K1913" s="95" t="n">
        <v>0.95</v>
      </c>
      <c r="L1913" s="85" t="n">
        <v>1</v>
      </c>
    </row>
    <row r="1914">
      <c r="A1914" s="84" t="inlineStr">
        <is>
          <t>IEG</t>
        </is>
      </c>
      <c r="B1914" s="7" t="inlineStr">
        <is>
          <t>conduite ou super-actif</t>
        </is>
      </c>
      <c r="C1914" s="88" t="n">
        <v>1939</v>
      </c>
      <c r="D1914" s="95" t="n">
        <v>55</v>
      </c>
      <c r="E1914" s="95" t="n">
        <v>55</v>
      </c>
      <c r="F1914" s="85" t="n">
        <v>150</v>
      </c>
      <c r="G1914" s="120" t="n">
        <v>0</v>
      </c>
      <c r="H1914" s="120" t="n">
        <v>0</v>
      </c>
      <c r="I1914" s="95" t="n">
        <v>0.5</v>
      </c>
      <c r="J1914" s="95" t="n">
        <v>55.5</v>
      </c>
      <c r="K1914" s="95" t="n">
        <v>0.95</v>
      </c>
      <c r="L1914" s="85" t="n">
        <v>1</v>
      </c>
    </row>
    <row r="1915">
      <c r="A1915" s="84" t="inlineStr">
        <is>
          <t>IEG</t>
        </is>
      </c>
      <c r="B1915" s="7" t="inlineStr">
        <is>
          <t>conduite ou super-actif</t>
        </is>
      </c>
      <c r="C1915" s="88" t="n">
        <v>1940</v>
      </c>
      <c r="D1915" s="95" t="n">
        <v>55</v>
      </c>
      <c r="E1915" s="95" t="n">
        <v>55</v>
      </c>
      <c r="F1915" s="85" t="n">
        <v>150</v>
      </c>
      <c r="G1915" s="120" t="n">
        <v>0</v>
      </c>
      <c r="H1915" s="120" t="n">
        <v>0</v>
      </c>
      <c r="I1915" s="95" t="n">
        <v>0.5</v>
      </c>
      <c r="J1915" s="95" t="n">
        <v>55.5</v>
      </c>
      <c r="K1915" s="95" t="n">
        <v>0.95</v>
      </c>
      <c r="L1915" s="85" t="n">
        <v>1</v>
      </c>
    </row>
    <row r="1916">
      <c r="A1916" s="84" t="inlineStr">
        <is>
          <t>IEG</t>
        </is>
      </c>
      <c r="B1916" s="7" t="inlineStr">
        <is>
          <t>conduite ou super-actif</t>
        </is>
      </c>
      <c r="C1916" s="88" t="n">
        <v>1941</v>
      </c>
      <c r="D1916" s="95" t="n">
        <v>55</v>
      </c>
      <c r="E1916" s="95" t="n">
        <v>55</v>
      </c>
      <c r="F1916" s="85" t="n">
        <v>150</v>
      </c>
      <c r="G1916" s="120" t="n">
        <v>0</v>
      </c>
      <c r="H1916" s="120" t="n">
        <v>0</v>
      </c>
      <c r="I1916" s="95" t="n">
        <v>0.5</v>
      </c>
      <c r="J1916" s="95" t="n">
        <v>55.5</v>
      </c>
      <c r="K1916" s="95" t="n">
        <v>0.95</v>
      </c>
      <c r="L1916" s="85" t="n">
        <v>1</v>
      </c>
    </row>
    <row r="1917">
      <c r="A1917" s="84" t="inlineStr">
        <is>
          <t>IEG</t>
        </is>
      </c>
      <c r="B1917" s="7" t="inlineStr">
        <is>
          <t>conduite ou super-actif</t>
        </is>
      </c>
      <c r="C1917" s="88" t="n">
        <v>1942</v>
      </c>
      <c r="D1917" s="95" t="n">
        <v>55</v>
      </c>
      <c r="E1917" s="95" t="n">
        <v>55</v>
      </c>
      <c r="F1917" s="85" t="n">
        <v>150</v>
      </c>
      <c r="G1917" s="120" t="n">
        <v>0</v>
      </c>
      <c r="H1917" s="120" t="n">
        <v>0</v>
      </c>
      <c r="I1917" s="95" t="n">
        <v>0.5</v>
      </c>
      <c r="J1917" s="95" t="n">
        <v>55.5</v>
      </c>
      <c r="K1917" s="95" t="n">
        <v>0.95</v>
      </c>
      <c r="L1917" s="85" t="n">
        <v>1</v>
      </c>
    </row>
    <row r="1918">
      <c r="A1918" s="84" t="inlineStr">
        <is>
          <t>IEG</t>
        </is>
      </c>
      <c r="B1918" s="7" t="inlineStr">
        <is>
          <t>conduite ou super-actif</t>
        </is>
      </c>
      <c r="C1918" s="88" t="n">
        <v>1943</v>
      </c>
      <c r="D1918" s="95" t="n">
        <v>55</v>
      </c>
      <c r="E1918" s="95" t="n">
        <v>55</v>
      </c>
      <c r="F1918" s="85" t="n">
        <v>150</v>
      </c>
      <c r="G1918" s="120" t="n">
        <v>0</v>
      </c>
      <c r="H1918" s="120" t="n">
        <v>0</v>
      </c>
      <c r="I1918" s="95" t="n">
        <v>0.5</v>
      </c>
      <c r="J1918" s="95" t="n">
        <v>55.5</v>
      </c>
      <c r="K1918" s="95" t="n">
        <v>0.95</v>
      </c>
      <c r="L1918" s="85" t="n">
        <v>1</v>
      </c>
    </row>
    <row r="1919">
      <c r="A1919" s="84" t="inlineStr">
        <is>
          <t>IEG</t>
        </is>
      </c>
      <c r="B1919" s="7" t="inlineStr">
        <is>
          <t>conduite ou super-actif</t>
        </is>
      </c>
      <c r="C1919" s="88" t="n">
        <v>1944</v>
      </c>
      <c r="D1919" s="95" t="n">
        <v>55</v>
      </c>
      <c r="E1919" s="95" t="n">
        <v>55</v>
      </c>
      <c r="F1919" s="85" t="n">
        <v>150</v>
      </c>
      <c r="G1919" s="120" t="n">
        <v>0</v>
      </c>
      <c r="H1919" s="120" t="n">
        <v>0</v>
      </c>
      <c r="I1919" s="95" t="n">
        <v>0.5</v>
      </c>
      <c r="J1919" s="95" t="n">
        <v>55.5</v>
      </c>
      <c r="K1919" s="95" t="n">
        <v>0.95</v>
      </c>
      <c r="L1919" s="85" t="n">
        <v>1</v>
      </c>
    </row>
    <row r="1920">
      <c r="A1920" s="84" t="inlineStr">
        <is>
          <t>IEG</t>
        </is>
      </c>
      <c r="B1920" s="7" t="inlineStr">
        <is>
          <t>conduite ou super-actif</t>
        </is>
      </c>
      <c r="C1920" s="88" t="n">
        <v>1945</v>
      </c>
      <c r="D1920" s="95" t="n">
        <v>55</v>
      </c>
      <c r="E1920" s="95" t="n">
        <v>55</v>
      </c>
      <c r="F1920" s="85" t="n">
        <v>150</v>
      </c>
      <c r="G1920" s="120" t="n">
        <v>0</v>
      </c>
      <c r="H1920" s="120" t="n">
        <v>0</v>
      </c>
      <c r="I1920" s="95" t="n">
        <v>0.5</v>
      </c>
      <c r="J1920" s="95" t="n">
        <v>55.5</v>
      </c>
      <c r="K1920" s="95" t="n">
        <v>0.95</v>
      </c>
      <c r="L1920" s="85" t="n">
        <v>1</v>
      </c>
    </row>
    <row r="1921">
      <c r="A1921" s="84" t="inlineStr">
        <is>
          <t>IEG</t>
        </is>
      </c>
      <c r="B1921" s="7" t="inlineStr">
        <is>
          <t>conduite ou super-actif</t>
        </is>
      </c>
      <c r="C1921" s="88" t="n">
        <v>1946</v>
      </c>
      <c r="D1921" s="95" t="n">
        <v>55</v>
      </c>
      <c r="E1921" s="95" t="n">
        <v>55</v>
      </c>
      <c r="F1921" s="85" t="n">
        <v>150</v>
      </c>
      <c r="G1921" s="120" t="n">
        <v>0</v>
      </c>
      <c r="H1921" s="120" t="n">
        <v>0</v>
      </c>
      <c r="I1921" s="95" t="n">
        <v>0.6</v>
      </c>
      <c r="J1921" s="95" t="n">
        <v>55.6</v>
      </c>
      <c r="K1921" s="95" t="n">
        <v>0.95</v>
      </c>
      <c r="L1921" s="85" t="n">
        <v>1</v>
      </c>
    </row>
    <row r="1922">
      <c r="A1922" s="84" t="inlineStr">
        <is>
          <t>IEG</t>
        </is>
      </c>
      <c r="B1922" s="7" t="inlineStr">
        <is>
          <t>conduite ou super-actif</t>
        </is>
      </c>
      <c r="C1922" s="88" t="n">
        <v>1947</v>
      </c>
      <c r="D1922" s="95" t="n">
        <v>55</v>
      </c>
      <c r="E1922" s="95" t="n">
        <v>55</v>
      </c>
      <c r="F1922" s="85" t="n">
        <v>150</v>
      </c>
      <c r="G1922" s="120" t="n">
        <v>0</v>
      </c>
      <c r="H1922" s="120" t="n">
        <v>0</v>
      </c>
      <c r="I1922" s="95" t="n">
        <v>0.7</v>
      </c>
      <c r="J1922" s="95" t="n">
        <v>55.7</v>
      </c>
      <c r="K1922" s="95" t="n">
        <v>0.95</v>
      </c>
      <c r="L1922" s="85" t="n">
        <v>1</v>
      </c>
    </row>
    <row r="1923">
      <c r="A1923" s="84" t="inlineStr">
        <is>
          <t>IEG</t>
        </is>
      </c>
      <c r="B1923" s="7" t="inlineStr">
        <is>
          <t>conduite ou super-actif</t>
        </is>
      </c>
      <c r="C1923" s="88" t="n">
        <v>1948</v>
      </c>
      <c r="D1923" s="95" t="n">
        <v>55</v>
      </c>
      <c r="E1923" s="95" t="n">
        <v>55</v>
      </c>
      <c r="F1923" s="85" t="n">
        <v>150</v>
      </c>
      <c r="G1923" s="120" t="n">
        <v>0</v>
      </c>
      <c r="H1923" s="120" t="n">
        <v>0</v>
      </c>
      <c r="I1923" s="95" t="n">
        <v>0.8</v>
      </c>
      <c r="J1923" s="95" t="n">
        <v>55.8</v>
      </c>
      <c r="K1923" s="95" t="n">
        <v>0.95</v>
      </c>
      <c r="L1923" s="85" t="n">
        <v>1</v>
      </c>
    </row>
    <row r="1924">
      <c r="A1924" s="84" t="inlineStr">
        <is>
          <t>IEG</t>
        </is>
      </c>
      <c r="B1924" s="7" t="inlineStr">
        <is>
          <t>conduite ou super-actif</t>
        </is>
      </c>
      <c r="C1924" s="88" t="n">
        <v>1949</v>
      </c>
      <c r="D1924" s="95" t="n">
        <v>55</v>
      </c>
      <c r="E1924" s="95" t="n">
        <v>55</v>
      </c>
      <c r="F1924" s="85" t="n">
        <v>150</v>
      </c>
      <c r="G1924" s="120" t="n">
        <v>0</v>
      </c>
      <c r="H1924" s="120" t="n">
        <v>0</v>
      </c>
      <c r="I1924" s="95" t="n">
        <v>0.9</v>
      </c>
      <c r="J1924" s="95" t="n">
        <v>55.9</v>
      </c>
      <c r="K1924" s="95" t="n">
        <v>0.95</v>
      </c>
      <c r="L1924" s="85" t="n">
        <v>1</v>
      </c>
    </row>
    <row r="1925">
      <c r="A1925" s="84" t="inlineStr">
        <is>
          <t>IEG</t>
        </is>
      </c>
      <c r="B1925" s="7" t="inlineStr">
        <is>
          <t>conduite ou super-actif</t>
        </is>
      </c>
      <c r="C1925" s="88" t="n">
        <v>1950</v>
      </c>
      <c r="D1925" s="95" t="n">
        <v>55</v>
      </c>
      <c r="E1925" s="95" t="n">
        <v>55</v>
      </c>
      <c r="F1925" s="85" t="n">
        <v>150</v>
      </c>
      <c r="G1925" s="120" t="n">
        <v>0</v>
      </c>
      <c r="H1925" s="120" t="n">
        <v>0</v>
      </c>
      <c r="I1925" s="95" t="n">
        <v>1</v>
      </c>
      <c r="J1925" s="95" t="n">
        <v>56</v>
      </c>
      <c r="K1925" s="95" t="n">
        <v>0.95</v>
      </c>
      <c r="L1925" s="85" t="n">
        <v>1</v>
      </c>
    </row>
    <row r="1926">
      <c r="A1926" s="84" t="inlineStr">
        <is>
          <t>IEG</t>
        </is>
      </c>
      <c r="B1926" s="7" t="inlineStr">
        <is>
          <t>conduite ou super-actif</t>
        </is>
      </c>
      <c r="C1926" s="88" t="n">
        <v>1951</v>
      </c>
      <c r="D1926" s="95" t="n">
        <v>55</v>
      </c>
      <c r="E1926" s="95" t="n">
        <v>55</v>
      </c>
      <c r="F1926" s="85" t="n">
        <v>150</v>
      </c>
      <c r="G1926" s="120" t="n">
        <v>0</v>
      </c>
      <c r="H1926" s="120" t="n">
        <v>0</v>
      </c>
      <c r="I1926" s="95" t="n">
        <v>1.1</v>
      </c>
      <c r="J1926" s="95" t="n">
        <v>56.1</v>
      </c>
      <c r="K1926" s="95" t="n">
        <v>0.95</v>
      </c>
      <c r="L1926" s="85" t="n">
        <v>1</v>
      </c>
    </row>
    <row r="1927">
      <c r="A1927" s="84" t="inlineStr">
        <is>
          <t>IEG</t>
        </is>
      </c>
      <c r="B1927" s="7" t="inlineStr">
        <is>
          <t>conduite ou super-actif</t>
        </is>
      </c>
      <c r="C1927" s="88" t="n">
        <v>1952</v>
      </c>
      <c r="D1927" s="95" t="n">
        <v>55</v>
      </c>
      <c r="E1927" s="95" t="n">
        <v>55</v>
      </c>
      <c r="F1927" s="85" t="n">
        <v>150</v>
      </c>
      <c r="G1927" s="120" t="n">
        <v>0</v>
      </c>
      <c r="H1927" s="120" t="n">
        <v>0</v>
      </c>
      <c r="I1927" s="95" t="n">
        <v>1.2</v>
      </c>
      <c r="J1927" s="95" t="n">
        <v>56.2</v>
      </c>
      <c r="K1927" s="95" t="n">
        <v>0.95</v>
      </c>
      <c r="L1927" s="85" t="n">
        <v>1</v>
      </c>
    </row>
    <row r="1928">
      <c r="A1928" s="84" t="inlineStr">
        <is>
          <t>IEG</t>
        </is>
      </c>
      <c r="B1928" s="7" t="inlineStr">
        <is>
          <t>conduite ou super-actif</t>
        </is>
      </c>
      <c r="C1928" s="88" t="n">
        <v>1953</v>
      </c>
      <c r="D1928" s="95" t="n">
        <v>55</v>
      </c>
      <c r="E1928" s="95" t="n">
        <v>55</v>
      </c>
      <c r="F1928" s="85" t="n">
        <v>151</v>
      </c>
      <c r="G1928" s="120" t="n">
        <v>0</v>
      </c>
      <c r="H1928" s="120" t="n">
        <v>0.0075</v>
      </c>
      <c r="I1928" s="95" t="n">
        <v>1.3</v>
      </c>
      <c r="J1928" s="95" t="n">
        <v>56.3</v>
      </c>
      <c r="K1928" s="95" t="n">
        <v>0.95</v>
      </c>
      <c r="L1928" s="85" t="n">
        <v>1</v>
      </c>
    </row>
    <row r="1929">
      <c r="A1929" s="84" t="inlineStr">
        <is>
          <t>IEG</t>
        </is>
      </c>
      <c r="B1929" s="7" t="inlineStr">
        <is>
          <t>conduite ou super-actif</t>
        </is>
      </c>
      <c r="C1929" s="88" t="n">
        <v>1954</v>
      </c>
      <c r="D1929" s="95" t="n">
        <v>55</v>
      </c>
      <c r="E1929" s="95" t="n">
        <v>55</v>
      </c>
      <c r="F1929" s="85" t="n">
        <v>153</v>
      </c>
      <c r="G1929" s="120" t="n">
        <v>0</v>
      </c>
      <c r="H1929" s="120" t="n">
        <v>0.0125</v>
      </c>
      <c r="I1929" s="95" t="n">
        <v>1.4</v>
      </c>
      <c r="J1929" s="95" t="n">
        <v>56.4</v>
      </c>
      <c r="K1929" s="95" t="n">
        <v>0.95</v>
      </c>
      <c r="L1929" s="85" t="n">
        <v>1</v>
      </c>
    </row>
    <row r="1930">
      <c r="A1930" s="84" t="inlineStr">
        <is>
          <t>IEG</t>
        </is>
      </c>
      <c r="B1930" s="7" t="inlineStr">
        <is>
          <t>conduite ou super-actif</t>
        </is>
      </c>
      <c r="C1930" s="88" t="n">
        <v>1955</v>
      </c>
      <c r="D1930" s="95" t="n">
        <v>55</v>
      </c>
      <c r="E1930" s="95" t="n">
        <v>56</v>
      </c>
      <c r="F1930" s="85" t="n">
        <v>155</v>
      </c>
      <c r="G1930" s="120" t="n">
        <v>0.00125</v>
      </c>
      <c r="H1930" s="120" t="n">
        <v>0.0125</v>
      </c>
      <c r="I1930" s="95" t="n">
        <v>1.5</v>
      </c>
      <c r="J1930" s="95" t="n">
        <v>56.5</v>
      </c>
      <c r="K1930" s="95" t="n">
        <v>0.95</v>
      </c>
      <c r="L1930" s="85" t="n">
        <v>1</v>
      </c>
    </row>
    <row r="1931">
      <c r="A1931" s="84" t="inlineStr">
        <is>
          <t>IEG</t>
        </is>
      </c>
      <c r="B1931" s="7" t="inlineStr">
        <is>
          <t>conduite ou super-actif</t>
        </is>
      </c>
      <c r="C1931" s="88" t="n">
        <v>1956</v>
      </c>
      <c r="D1931" s="95" t="n">
        <v>55</v>
      </c>
      <c r="E1931" s="95" t="n">
        <v>56</v>
      </c>
      <c r="F1931" s="85" t="n">
        <v>157</v>
      </c>
      <c r="G1931" s="120" t="n">
        <v>0.0025</v>
      </c>
      <c r="H1931" s="120" t="n">
        <v>0.0125</v>
      </c>
      <c r="I1931" s="95" t="n">
        <v>1.6</v>
      </c>
      <c r="J1931" s="95" t="n">
        <v>56.6</v>
      </c>
      <c r="K1931" s="95" t="n">
        <v>0.95</v>
      </c>
      <c r="L1931" s="85" t="n">
        <v>1</v>
      </c>
    </row>
    <row r="1932">
      <c r="A1932" s="84" t="inlineStr">
        <is>
          <t>IEG</t>
        </is>
      </c>
      <c r="B1932" s="7" t="inlineStr">
        <is>
          <t>conduite ou super-actif</t>
        </is>
      </c>
      <c r="C1932" s="88" t="n">
        <v>1957</v>
      </c>
      <c r="D1932" s="95" t="n">
        <v>55</v>
      </c>
      <c r="E1932" s="95" t="n">
        <v>56.5</v>
      </c>
      <c r="F1932" s="85" t="n">
        <v>159</v>
      </c>
      <c r="G1932" s="120" t="n">
        <v>0.00375</v>
      </c>
      <c r="H1932" s="120" t="n">
        <v>0.0125</v>
      </c>
      <c r="I1932" s="95" t="n">
        <v>1.7</v>
      </c>
      <c r="J1932" s="95" t="n">
        <v>56.7</v>
      </c>
      <c r="K1932" s="95" t="n">
        <v>0.95</v>
      </c>
      <c r="L1932" s="85" t="n">
        <v>1</v>
      </c>
    </row>
    <row r="1933">
      <c r="A1933" s="84" t="inlineStr">
        <is>
          <t>IEG</t>
        </is>
      </c>
      <c r="B1933" s="7" t="inlineStr">
        <is>
          <t>conduite ou super-actif</t>
        </is>
      </c>
      <c r="C1933" s="88" t="n">
        <v>1958</v>
      </c>
      <c r="D1933" s="95" t="n">
        <v>55</v>
      </c>
      <c r="E1933" s="95" t="n">
        <v>57</v>
      </c>
      <c r="F1933" s="85" t="n">
        <v>161</v>
      </c>
      <c r="G1933" s="120" t="n">
        <v>0.005</v>
      </c>
      <c r="H1933" s="120" t="n">
        <v>0.0125</v>
      </c>
      <c r="I1933" s="95" t="n">
        <v>1.8</v>
      </c>
      <c r="J1933" s="95" t="n">
        <v>56.8</v>
      </c>
      <c r="K1933" s="95" t="n">
        <v>0.95</v>
      </c>
      <c r="L1933" s="85" t="n">
        <v>1</v>
      </c>
    </row>
    <row r="1934">
      <c r="A1934" s="84" t="inlineStr">
        <is>
          <t>IEG</t>
        </is>
      </c>
      <c r="B1934" s="7" t="inlineStr">
        <is>
          <t>conduite ou super-actif</t>
        </is>
      </c>
      <c r="C1934" s="88" t="n">
        <v>1959</v>
      </c>
      <c r="D1934" s="95" t="n">
        <v>55</v>
      </c>
      <c r="E1934" s="95" t="n">
        <v>57.25</v>
      </c>
      <c r="F1934" s="85" t="n">
        <v>162</v>
      </c>
      <c r="G1934" s="120" t="n">
        <v>0.00625</v>
      </c>
      <c r="H1934" s="120" t="n">
        <v>0.0125</v>
      </c>
      <c r="I1934" s="95" t="n">
        <v>1.9</v>
      </c>
      <c r="J1934" s="95" t="n">
        <v>56.9</v>
      </c>
      <c r="K1934" s="95" t="n">
        <v>0.95</v>
      </c>
      <c r="L1934" s="85" t="n">
        <v>1</v>
      </c>
    </row>
    <row r="1935">
      <c r="A1935" s="84" t="inlineStr">
        <is>
          <t>IEG</t>
        </is>
      </c>
      <c r="B1935" s="7" t="inlineStr">
        <is>
          <t>conduite ou super-actif</t>
        </is>
      </c>
      <c r="C1935" s="88" t="n">
        <v>1960</v>
      </c>
      <c r="D1935" s="95" t="n">
        <v>55</v>
      </c>
      <c r="E1935" s="95" t="n">
        <v>57.5</v>
      </c>
      <c r="F1935" s="85" t="n">
        <v>163</v>
      </c>
      <c r="G1935" s="120" t="n">
        <v>0.0075</v>
      </c>
      <c r="H1935" s="120" t="n">
        <v>0.0125</v>
      </c>
      <c r="I1935" s="95" t="n">
        <v>2</v>
      </c>
      <c r="J1935" s="95" t="n">
        <v>57</v>
      </c>
      <c r="K1935" s="95" t="n">
        <v>0.95</v>
      </c>
      <c r="L1935" s="85" t="n">
        <v>1</v>
      </c>
    </row>
    <row r="1936">
      <c r="A1936" s="84" t="inlineStr">
        <is>
          <t>IEG</t>
        </is>
      </c>
      <c r="B1936" s="7" t="inlineStr">
        <is>
          <t>conduite ou super-actif</t>
        </is>
      </c>
      <c r="C1936" s="88" t="n">
        <v>1961</v>
      </c>
      <c r="D1936" s="95" t="n">
        <v>55</v>
      </c>
      <c r="E1936" s="95" t="n">
        <v>57.75</v>
      </c>
      <c r="F1936" s="85" t="n">
        <v>164</v>
      </c>
      <c r="G1936" s="120" t="n">
        <v>0.008750000000000001</v>
      </c>
      <c r="H1936" s="120" t="n">
        <v>0.0125</v>
      </c>
      <c r="I1936" s="95" t="n">
        <v>2</v>
      </c>
      <c r="J1936" s="95" t="n">
        <v>57</v>
      </c>
      <c r="K1936" s="95" t="n">
        <v>0.95</v>
      </c>
      <c r="L1936" s="85" t="n">
        <v>1</v>
      </c>
    </row>
    <row r="1937">
      <c r="A1937" s="84" t="inlineStr">
        <is>
          <t>IEG</t>
        </is>
      </c>
      <c r="B1937" s="7" t="inlineStr">
        <is>
          <t>conduite ou super-actif</t>
        </is>
      </c>
      <c r="C1937" s="88" t="n">
        <v>1962</v>
      </c>
      <c r="D1937" s="95" t="n">
        <v>55.3333</v>
      </c>
      <c r="E1937" s="95" t="n">
        <v>58.33</v>
      </c>
      <c r="F1937" s="85" t="n">
        <v>165</v>
      </c>
      <c r="G1937" s="120" t="n">
        <v>0.01</v>
      </c>
      <c r="H1937" s="120" t="n">
        <v>0.0125</v>
      </c>
      <c r="I1937" s="95" t="n">
        <v>2</v>
      </c>
      <c r="J1937" s="95" t="n">
        <v>57.33</v>
      </c>
      <c r="K1937" s="95" t="n">
        <v>0.95</v>
      </c>
      <c r="L1937" s="85" t="n">
        <v>1</v>
      </c>
    </row>
    <row r="1938">
      <c r="A1938" s="84" t="inlineStr">
        <is>
          <t>IEG</t>
        </is>
      </c>
      <c r="B1938" s="7" t="inlineStr">
        <is>
          <t>conduite ou super-actif</t>
        </is>
      </c>
      <c r="C1938" s="88" t="n">
        <v>1963</v>
      </c>
      <c r="D1938" s="95" t="n">
        <v>55.6667</v>
      </c>
      <c r="E1938" s="95" t="n">
        <v>59.17</v>
      </c>
      <c r="F1938" s="85" t="n">
        <v>166</v>
      </c>
      <c r="G1938" s="120" t="n">
        <v>0.01125</v>
      </c>
      <c r="H1938" s="120" t="n">
        <v>0.0125</v>
      </c>
      <c r="I1938" s="95" t="n">
        <v>2</v>
      </c>
      <c r="J1938" s="95" t="n">
        <v>57.67</v>
      </c>
      <c r="K1938" s="95" t="n">
        <v>0.95</v>
      </c>
      <c r="L1938" s="85" t="n">
        <v>1</v>
      </c>
    </row>
    <row r="1939">
      <c r="A1939" s="84" t="inlineStr">
        <is>
          <t>IEG</t>
        </is>
      </c>
      <c r="B1939" s="7" t="inlineStr">
        <is>
          <t>conduite ou super-actif</t>
        </is>
      </c>
      <c r="C1939" s="88" t="n">
        <v>1964</v>
      </c>
      <c r="D1939" s="95" t="n">
        <v>56</v>
      </c>
      <c r="E1939" s="95" t="n">
        <v>59.75</v>
      </c>
      <c r="F1939" s="85" t="n">
        <v>167</v>
      </c>
      <c r="G1939" s="120" t="n">
        <v>0.0125</v>
      </c>
      <c r="H1939" s="120" t="n">
        <v>0.0125</v>
      </c>
      <c r="I1939" s="95" t="n">
        <v>2</v>
      </c>
      <c r="J1939" s="95" t="n">
        <v>58</v>
      </c>
      <c r="K1939" s="95" t="n">
        <v>0.95</v>
      </c>
      <c r="L1939" s="85" t="n">
        <v>1</v>
      </c>
    </row>
    <row r="1940">
      <c r="A1940" s="84" t="inlineStr">
        <is>
          <t>IEG</t>
        </is>
      </c>
      <c r="B1940" s="7" t="inlineStr">
        <is>
          <t>conduite ou super-actif</t>
        </is>
      </c>
      <c r="C1940" s="88" t="n">
        <v>1965</v>
      </c>
      <c r="D1940" s="95" t="n">
        <v>56.3333</v>
      </c>
      <c r="E1940" s="95" t="n">
        <v>60.31</v>
      </c>
      <c r="F1940" s="85" t="n">
        <v>167</v>
      </c>
      <c r="G1940" s="120" t="n">
        <v>0.0125</v>
      </c>
      <c r="H1940" s="120" t="n">
        <v>0.0125</v>
      </c>
      <c r="I1940" s="95" t="n">
        <v>2</v>
      </c>
      <c r="J1940" s="95" t="n">
        <v>58.33</v>
      </c>
      <c r="K1940" s="95" t="n">
        <v>0.95</v>
      </c>
      <c r="L1940" s="85" t="n">
        <v>1</v>
      </c>
    </row>
    <row r="1941">
      <c r="A1941" s="84" t="inlineStr">
        <is>
          <t>IEG</t>
        </is>
      </c>
      <c r="B1941" s="7" t="inlineStr">
        <is>
          <t>conduite ou super-actif</t>
        </is>
      </c>
      <c r="C1941" s="88" t="n">
        <v>1966</v>
      </c>
      <c r="D1941" s="95" t="n">
        <v>56.6667</v>
      </c>
      <c r="E1941" s="95" t="n">
        <v>60.86</v>
      </c>
      <c r="F1941" s="85" t="n">
        <v>168</v>
      </c>
      <c r="G1941" s="120" t="n">
        <v>0.0125</v>
      </c>
      <c r="H1941" s="120" t="n">
        <v>0.0125</v>
      </c>
      <c r="I1941" s="95" t="n">
        <v>2</v>
      </c>
      <c r="J1941" s="95" t="n">
        <v>58.67</v>
      </c>
      <c r="K1941" s="95" t="n">
        <v>0.95</v>
      </c>
      <c r="L1941" s="85" t="n">
        <v>1</v>
      </c>
    </row>
    <row r="1942">
      <c r="A1942" s="84" t="inlineStr">
        <is>
          <t>IEG</t>
        </is>
      </c>
      <c r="B1942" s="7" t="inlineStr">
        <is>
          <t>conduite ou super-actif</t>
        </is>
      </c>
      <c r="C1942" s="88" t="n">
        <v>1967</v>
      </c>
      <c r="D1942" s="95" t="n">
        <v>57</v>
      </c>
      <c r="E1942" s="95" t="n">
        <v>61.42</v>
      </c>
      <c r="F1942" s="85" t="n">
        <v>168</v>
      </c>
      <c r="G1942" s="120" t="n">
        <v>0.0125</v>
      </c>
      <c r="H1942" s="120" t="n">
        <v>0.0125</v>
      </c>
      <c r="I1942" s="95" t="n">
        <v>2</v>
      </c>
      <c r="J1942" s="95" t="n">
        <v>59</v>
      </c>
      <c r="K1942" s="95" t="n">
        <v>0.95</v>
      </c>
      <c r="L1942" s="85" t="n">
        <v>1</v>
      </c>
    </row>
    <row r="1943">
      <c r="A1943" s="84" t="inlineStr">
        <is>
          <t>IEG</t>
        </is>
      </c>
      <c r="B1943" s="7" t="inlineStr">
        <is>
          <t>conduite ou super-actif</t>
        </is>
      </c>
      <c r="C1943" s="88" t="n">
        <v>1968</v>
      </c>
      <c r="D1943" s="95" t="n">
        <v>57.25</v>
      </c>
      <c r="E1943" s="95" t="n">
        <v>61.88</v>
      </c>
      <c r="F1943" s="85" t="n">
        <v>169</v>
      </c>
      <c r="G1943" s="120" t="n">
        <v>0.0125</v>
      </c>
      <c r="H1943" s="120" t="n">
        <v>0.0125</v>
      </c>
      <c r="I1943" s="95" t="n">
        <v>2</v>
      </c>
      <c r="J1943" s="95" t="n">
        <v>59.25</v>
      </c>
      <c r="K1943" s="95" t="n">
        <v>0.95</v>
      </c>
      <c r="L1943" s="85" t="n">
        <v>1</v>
      </c>
    </row>
    <row r="1944">
      <c r="A1944" s="84" t="inlineStr">
        <is>
          <t>IEG</t>
        </is>
      </c>
      <c r="B1944" s="7" t="inlineStr">
        <is>
          <t>conduite ou super-actif</t>
        </is>
      </c>
      <c r="C1944" s="88" t="n">
        <v>1969</v>
      </c>
      <c r="D1944" s="95" t="n">
        <v>57.5</v>
      </c>
      <c r="E1944" s="95" t="n">
        <v>62</v>
      </c>
      <c r="F1944" s="85" t="n">
        <v>170</v>
      </c>
      <c r="G1944" s="120" t="n">
        <v>0.0125</v>
      </c>
      <c r="H1944" s="120" t="n">
        <v>0.0125</v>
      </c>
      <c r="I1944" s="95" t="n">
        <v>2</v>
      </c>
      <c r="J1944" s="95" t="n">
        <v>59.5</v>
      </c>
      <c r="K1944" s="95" t="n">
        <v>0.95</v>
      </c>
      <c r="L1944" s="85" t="n">
        <v>1</v>
      </c>
    </row>
    <row r="1945">
      <c r="A1945" s="84" t="inlineStr">
        <is>
          <t>IEG</t>
        </is>
      </c>
      <c r="B1945" s="7" t="inlineStr">
        <is>
          <t>conduite ou super-actif</t>
        </is>
      </c>
      <c r="C1945" s="88" t="n">
        <v>1970</v>
      </c>
      <c r="D1945" s="95" t="n">
        <v>57.75</v>
      </c>
      <c r="E1945" s="95" t="n">
        <v>62</v>
      </c>
      <c r="F1945" s="85" t="n">
        <v>170</v>
      </c>
      <c r="G1945" s="120" t="n">
        <v>0.0125</v>
      </c>
      <c r="H1945" s="120" t="n">
        <v>0.0125</v>
      </c>
      <c r="I1945" s="95" t="n">
        <v>2</v>
      </c>
      <c r="J1945" s="95" t="n">
        <v>59.75</v>
      </c>
      <c r="K1945" s="95" t="n">
        <v>0.95</v>
      </c>
      <c r="L1945" s="85" t="n">
        <v>1</v>
      </c>
    </row>
    <row r="1946">
      <c r="A1946" s="84" t="inlineStr">
        <is>
          <t>IEG</t>
        </is>
      </c>
      <c r="B1946" s="7" t="inlineStr">
        <is>
          <t>conduite ou super-actif</t>
        </is>
      </c>
      <c r="C1946" s="88" t="n">
        <v>1971</v>
      </c>
      <c r="D1946" s="95" t="n">
        <v>58</v>
      </c>
      <c r="E1946" s="95" t="n">
        <v>62</v>
      </c>
      <c r="F1946" s="85" t="n">
        <v>171</v>
      </c>
      <c r="G1946" s="120" t="n">
        <v>0.0125</v>
      </c>
      <c r="H1946" s="120" t="n">
        <v>0.0125</v>
      </c>
      <c r="I1946" s="95" t="n">
        <v>2</v>
      </c>
      <c r="J1946" s="95" t="n">
        <v>60</v>
      </c>
      <c r="K1946" s="95" t="n">
        <v>0.95</v>
      </c>
      <c r="L1946" s="85" t="n">
        <v>1</v>
      </c>
    </row>
    <row r="1947">
      <c r="A1947" s="84" t="inlineStr">
        <is>
          <t>IEG</t>
        </is>
      </c>
      <c r="B1947" s="7" t="inlineStr">
        <is>
          <t>conduite ou super-actif</t>
        </is>
      </c>
      <c r="C1947" s="88" t="n">
        <v>1972</v>
      </c>
      <c r="D1947" s="95" t="n">
        <v>58.25</v>
      </c>
      <c r="E1947" s="95" t="n">
        <v>62</v>
      </c>
      <c r="F1947" s="85" t="n">
        <v>171</v>
      </c>
      <c r="G1947" s="120" t="n">
        <v>0.0125</v>
      </c>
      <c r="H1947" s="120" t="n">
        <v>0.0125</v>
      </c>
      <c r="I1947" s="95" t="n">
        <v>2</v>
      </c>
      <c r="J1947" s="95" t="n">
        <v>60.25</v>
      </c>
      <c r="K1947" s="95" t="n">
        <v>0.95</v>
      </c>
      <c r="L1947" s="85" t="n">
        <v>1</v>
      </c>
    </row>
    <row r="1948">
      <c r="A1948" s="84" t="inlineStr">
        <is>
          <t>IEG</t>
        </is>
      </c>
      <c r="B1948" s="7" t="inlineStr">
        <is>
          <t>conduite ou super-actif</t>
        </is>
      </c>
      <c r="C1948" s="88" t="n">
        <v>1973</v>
      </c>
      <c r="D1948" s="95" t="n">
        <v>58.5</v>
      </c>
      <c r="E1948" s="95" t="n">
        <v>62</v>
      </c>
      <c r="F1948" s="85" t="n">
        <v>172</v>
      </c>
      <c r="G1948" s="120" t="n">
        <v>0.0125</v>
      </c>
      <c r="H1948" s="120" t="n">
        <v>0.0125</v>
      </c>
      <c r="I1948" s="95" t="n">
        <v>2</v>
      </c>
      <c r="J1948" s="95" t="n">
        <v>60.5</v>
      </c>
      <c r="K1948" s="95" t="n">
        <v>0.95</v>
      </c>
      <c r="L1948" s="85" t="n">
        <v>1</v>
      </c>
    </row>
    <row r="1949">
      <c r="A1949" s="84" t="inlineStr">
        <is>
          <t>IEG</t>
        </is>
      </c>
      <c r="B1949" s="7" t="inlineStr">
        <is>
          <t>conduite ou super-actif</t>
        </is>
      </c>
      <c r="C1949" s="88" t="n">
        <v>1974</v>
      </c>
      <c r="D1949" s="95" t="n">
        <v>58.75</v>
      </c>
      <c r="E1949" s="95" t="n">
        <v>62</v>
      </c>
      <c r="F1949" s="85" t="n">
        <v>172</v>
      </c>
      <c r="G1949" s="120" t="n">
        <v>0.0125</v>
      </c>
      <c r="H1949" s="120" t="n">
        <v>0.0125</v>
      </c>
      <c r="I1949" s="95" t="n">
        <v>2</v>
      </c>
      <c r="J1949" s="95" t="n">
        <v>60.75</v>
      </c>
      <c r="K1949" s="95" t="n">
        <v>0.95</v>
      </c>
      <c r="L1949" s="85" t="n">
        <v>1</v>
      </c>
    </row>
    <row r="1950">
      <c r="A1950" s="84" t="inlineStr">
        <is>
          <t>IEG</t>
        </is>
      </c>
      <c r="B1950" s="7" t="inlineStr">
        <is>
          <t>conduite ou super-actif</t>
        </is>
      </c>
      <c r="C1950" s="88" t="n">
        <v>1975</v>
      </c>
      <c r="D1950" s="95" t="n">
        <v>59</v>
      </c>
      <c r="E1950" s="95" t="n">
        <v>62</v>
      </c>
      <c r="F1950" s="85" t="n">
        <v>172</v>
      </c>
      <c r="G1950" s="120" t="n">
        <v>0.0125</v>
      </c>
      <c r="H1950" s="120" t="n">
        <v>0.0125</v>
      </c>
      <c r="I1950" s="95" t="n">
        <v>2</v>
      </c>
      <c r="J1950" s="95" t="n">
        <v>61</v>
      </c>
      <c r="K1950" s="95" t="n">
        <v>0.95</v>
      </c>
      <c r="L1950" s="85" t="n">
        <v>1</v>
      </c>
    </row>
    <row r="1951">
      <c r="A1951" s="84" t="inlineStr">
        <is>
          <t>IEG</t>
        </is>
      </c>
      <c r="B1951" s="7" t="inlineStr">
        <is>
          <t>conduite ou super-actif</t>
        </is>
      </c>
      <c r="C1951" s="88" t="n">
        <v>1976</v>
      </c>
      <c r="D1951" s="95" t="n">
        <v>59</v>
      </c>
      <c r="E1951" s="95" t="n">
        <v>62</v>
      </c>
      <c r="F1951" s="85" t="n">
        <v>172</v>
      </c>
      <c r="G1951" s="120" t="n">
        <v>0.0125</v>
      </c>
      <c r="H1951" s="120" t="n">
        <v>0.0125</v>
      </c>
      <c r="I1951" s="95" t="n">
        <v>2</v>
      </c>
      <c r="J1951" s="95" t="n">
        <v>61</v>
      </c>
      <c r="K1951" s="95" t="n">
        <v>0.95</v>
      </c>
      <c r="L1951" s="85" t="n">
        <v>1</v>
      </c>
    </row>
    <row r="1952">
      <c r="A1952" s="84" t="inlineStr">
        <is>
          <t>IEG</t>
        </is>
      </c>
      <c r="B1952" s="7" t="inlineStr">
        <is>
          <t>conduite ou super-actif</t>
        </is>
      </c>
      <c r="C1952" s="88" t="n">
        <v>1977</v>
      </c>
      <c r="D1952" s="95" t="n">
        <v>59</v>
      </c>
      <c r="E1952" s="95" t="n">
        <v>62</v>
      </c>
      <c r="F1952" s="85" t="n">
        <v>172</v>
      </c>
      <c r="G1952" s="120" t="n">
        <v>0.0125</v>
      </c>
      <c r="H1952" s="120" t="n">
        <v>0.0125</v>
      </c>
      <c r="I1952" s="95" t="n">
        <v>2</v>
      </c>
      <c r="J1952" s="95" t="n">
        <v>61</v>
      </c>
      <c r="K1952" s="95" t="n">
        <v>0.95</v>
      </c>
      <c r="L1952" s="85" t="n">
        <v>1</v>
      </c>
    </row>
    <row r="1953">
      <c r="A1953" s="84" t="inlineStr">
        <is>
          <t>IEG</t>
        </is>
      </c>
      <c r="B1953" s="7" t="inlineStr">
        <is>
          <t>conduite ou super-actif</t>
        </is>
      </c>
      <c r="C1953" s="88" t="n">
        <v>1978</v>
      </c>
      <c r="D1953" s="95" t="n">
        <v>59</v>
      </c>
      <c r="E1953" s="95" t="n">
        <v>62</v>
      </c>
      <c r="F1953" s="85" t="n">
        <v>172</v>
      </c>
      <c r="G1953" s="120" t="n">
        <v>0.0125</v>
      </c>
      <c r="H1953" s="120" t="n">
        <v>0.0125</v>
      </c>
      <c r="I1953" s="95" t="n">
        <v>2</v>
      </c>
      <c r="J1953" s="95" t="n">
        <v>61</v>
      </c>
      <c r="K1953" s="95" t="n">
        <v>0.95</v>
      </c>
      <c r="L1953" s="85" t="n">
        <v>1</v>
      </c>
    </row>
    <row r="1954">
      <c r="A1954" s="84" t="inlineStr">
        <is>
          <t>IEG</t>
        </is>
      </c>
      <c r="B1954" s="7" t="inlineStr">
        <is>
          <t>conduite ou super-actif</t>
        </is>
      </c>
      <c r="C1954" s="88" t="n">
        <v>1979</v>
      </c>
      <c r="D1954" s="95" t="n">
        <v>59</v>
      </c>
      <c r="E1954" s="95" t="n">
        <v>62</v>
      </c>
      <c r="F1954" s="85" t="n">
        <v>172</v>
      </c>
      <c r="G1954" s="120" t="n">
        <v>0.0125</v>
      </c>
      <c r="H1954" s="120" t="n">
        <v>0.0125</v>
      </c>
      <c r="I1954" s="95" t="n">
        <v>2</v>
      </c>
      <c r="J1954" s="95" t="n">
        <v>61</v>
      </c>
      <c r="K1954" s="95" t="n">
        <v>0.95</v>
      </c>
      <c r="L1954" s="85" t="n">
        <v>1</v>
      </c>
    </row>
    <row r="1955">
      <c r="A1955" s="84" t="inlineStr">
        <is>
          <t>IEG</t>
        </is>
      </c>
      <c r="B1955" s="7" t="inlineStr">
        <is>
          <t>conduite ou super-actif</t>
        </is>
      </c>
      <c r="C1955" s="88" t="n">
        <v>1980</v>
      </c>
      <c r="D1955" s="95" t="n">
        <v>59</v>
      </c>
      <c r="E1955" s="95" t="n">
        <v>62</v>
      </c>
      <c r="F1955" s="85" t="n">
        <v>172</v>
      </c>
      <c r="G1955" s="120" t="n">
        <v>0.0125</v>
      </c>
      <c r="H1955" s="120" t="n">
        <v>0.0125</v>
      </c>
      <c r="I1955" s="95" t="n">
        <v>2</v>
      </c>
      <c r="J1955" s="95" t="n">
        <v>61</v>
      </c>
      <c r="K1955" s="95" t="n">
        <v>0.95</v>
      </c>
      <c r="L1955" s="85" t="n">
        <v>1</v>
      </c>
    </row>
    <row r="1956">
      <c r="A1956" s="84" t="inlineStr">
        <is>
          <t>IEG</t>
        </is>
      </c>
      <c r="B1956" s="7" t="inlineStr">
        <is>
          <t>conduite ou super-actif</t>
        </is>
      </c>
      <c r="C1956" s="88" t="n">
        <v>1981</v>
      </c>
      <c r="D1956" s="95" t="n">
        <v>59</v>
      </c>
      <c r="E1956" s="95" t="n">
        <v>62</v>
      </c>
      <c r="F1956" s="85" t="n">
        <v>172</v>
      </c>
      <c r="G1956" s="120" t="n">
        <v>0.0125</v>
      </c>
      <c r="H1956" s="120" t="n">
        <v>0.0125</v>
      </c>
      <c r="I1956" s="95" t="n">
        <v>2</v>
      </c>
      <c r="J1956" s="95" t="n">
        <v>61</v>
      </c>
      <c r="K1956" s="95" t="n">
        <v>0.95</v>
      </c>
      <c r="L1956" s="85" t="n">
        <v>1</v>
      </c>
    </row>
    <row r="1957">
      <c r="A1957" s="84" t="inlineStr">
        <is>
          <t>IEG</t>
        </is>
      </c>
      <c r="B1957" s="7" t="inlineStr">
        <is>
          <t>conduite ou super-actif</t>
        </is>
      </c>
      <c r="C1957" s="88" t="n">
        <v>1982</v>
      </c>
      <c r="D1957" s="95" t="n">
        <v>59</v>
      </c>
      <c r="E1957" s="95" t="n">
        <v>62</v>
      </c>
      <c r="F1957" s="85" t="n">
        <v>172</v>
      </c>
      <c r="G1957" s="120" t="n">
        <v>0.0125</v>
      </c>
      <c r="H1957" s="120" t="n">
        <v>0.0125</v>
      </c>
      <c r="I1957" s="95" t="n">
        <v>2</v>
      </c>
      <c r="J1957" s="95" t="n">
        <v>61</v>
      </c>
      <c r="K1957" s="95" t="n">
        <v>0.95</v>
      </c>
      <c r="L1957" s="85" t="n">
        <v>1</v>
      </c>
    </row>
    <row r="1958">
      <c r="A1958" s="84" t="inlineStr">
        <is>
          <t>IEG</t>
        </is>
      </c>
      <c r="B1958" s="7" t="inlineStr">
        <is>
          <t>conduite ou super-actif</t>
        </is>
      </c>
      <c r="C1958" s="88" t="n">
        <v>1983</v>
      </c>
      <c r="D1958" s="95" t="n">
        <v>59</v>
      </c>
      <c r="E1958" s="95" t="n">
        <v>62</v>
      </c>
      <c r="F1958" s="85" t="n">
        <v>172</v>
      </c>
      <c r="G1958" s="120" t="n">
        <v>0.0125</v>
      </c>
      <c r="H1958" s="120" t="n">
        <v>0.0125</v>
      </c>
      <c r="I1958" s="95" t="n">
        <v>2</v>
      </c>
      <c r="J1958" s="95" t="n">
        <v>61</v>
      </c>
      <c r="K1958" s="95" t="n">
        <v>0.95</v>
      </c>
      <c r="L1958" s="85" t="n">
        <v>1</v>
      </c>
    </row>
    <row r="1959">
      <c r="A1959" s="84" t="inlineStr">
        <is>
          <t>IEG</t>
        </is>
      </c>
      <c r="B1959" s="7" t="inlineStr">
        <is>
          <t>conduite ou super-actif</t>
        </is>
      </c>
      <c r="C1959" s="88" t="n">
        <v>1984</v>
      </c>
      <c r="D1959" s="95" t="n">
        <v>59</v>
      </c>
      <c r="E1959" s="95" t="n">
        <v>62</v>
      </c>
      <c r="F1959" s="85" t="n">
        <v>172</v>
      </c>
      <c r="G1959" s="120" t="n">
        <v>0.0125</v>
      </c>
      <c r="H1959" s="120" t="n">
        <v>0.0125</v>
      </c>
      <c r="I1959" s="95" t="n">
        <v>2</v>
      </c>
      <c r="J1959" s="95" t="n">
        <v>61</v>
      </c>
      <c r="K1959" s="95" t="n">
        <v>0.95</v>
      </c>
      <c r="L1959" s="85" t="n">
        <v>1</v>
      </c>
    </row>
    <row r="1960">
      <c r="A1960" s="84" t="inlineStr">
        <is>
          <t>IEG</t>
        </is>
      </c>
      <c r="B1960" s="7" t="inlineStr">
        <is>
          <t>conduite ou super-actif</t>
        </is>
      </c>
      <c r="C1960" s="88" t="n">
        <v>1985</v>
      </c>
      <c r="D1960" s="95" t="n">
        <v>59</v>
      </c>
      <c r="E1960" s="95" t="n">
        <v>62</v>
      </c>
      <c r="F1960" s="85" t="n">
        <v>172</v>
      </c>
      <c r="G1960" s="120" t="n">
        <v>0.0125</v>
      </c>
      <c r="H1960" s="120" t="n">
        <v>0.0125</v>
      </c>
      <c r="I1960" s="95" t="n">
        <v>2</v>
      </c>
      <c r="J1960" s="95" t="n">
        <v>61</v>
      </c>
      <c r="K1960" s="95" t="n">
        <v>0.95</v>
      </c>
      <c r="L1960" s="85" t="n">
        <v>1</v>
      </c>
    </row>
    <row r="1961">
      <c r="A1961" s="84" t="inlineStr">
        <is>
          <t>IEG</t>
        </is>
      </c>
      <c r="B1961" s="7" t="inlineStr">
        <is>
          <t>conduite ou super-actif</t>
        </is>
      </c>
      <c r="C1961" s="88" t="n">
        <v>1986</v>
      </c>
      <c r="D1961" s="95" t="n">
        <v>59</v>
      </c>
      <c r="E1961" s="95" t="n">
        <v>62</v>
      </c>
      <c r="F1961" s="85" t="n">
        <v>172</v>
      </c>
      <c r="G1961" s="120" t="n">
        <v>0.0125</v>
      </c>
      <c r="H1961" s="120" t="n">
        <v>0.0125</v>
      </c>
      <c r="I1961" s="95" t="n">
        <v>2</v>
      </c>
      <c r="J1961" s="95" t="n">
        <v>61</v>
      </c>
      <c r="K1961" s="95" t="n">
        <v>0.95</v>
      </c>
      <c r="L1961" s="85" t="n">
        <v>1</v>
      </c>
    </row>
    <row r="1962">
      <c r="A1962" s="84" t="inlineStr">
        <is>
          <t>IEG</t>
        </is>
      </c>
      <c r="B1962" s="7" t="inlineStr">
        <is>
          <t>conduite ou super-actif</t>
        </is>
      </c>
      <c r="C1962" s="88" t="n">
        <v>1987</v>
      </c>
      <c r="D1962" s="95" t="n">
        <v>59</v>
      </c>
      <c r="E1962" s="95" t="n">
        <v>62</v>
      </c>
      <c r="F1962" s="85" t="n">
        <v>172</v>
      </c>
      <c r="G1962" s="120" t="n">
        <v>0.0125</v>
      </c>
      <c r="H1962" s="120" t="n">
        <v>0.0125</v>
      </c>
      <c r="I1962" s="95" t="n">
        <v>2</v>
      </c>
      <c r="J1962" s="95" t="n">
        <v>61</v>
      </c>
      <c r="K1962" s="95" t="n">
        <v>0.95</v>
      </c>
      <c r="L1962" s="85" t="n">
        <v>1</v>
      </c>
    </row>
    <row r="1963">
      <c r="A1963" s="84" t="inlineStr">
        <is>
          <t>IEG</t>
        </is>
      </c>
      <c r="B1963" s="7" t="inlineStr">
        <is>
          <t>conduite ou super-actif</t>
        </is>
      </c>
      <c r="C1963" s="88" t="n">
        <v>1988</v>
      </c>
      <c r="D1963" s="95" t="n">
        <v>59</v>
      </c>
      <c r="E1963" s="95" t="n">
        <v>62</v>
      </c>
      <c r="F1963" s="85" t="n">
        <v>172</v>
      </c>
      <c r="G1963" s="120" t="n">
        <v>0.0125</v>
      </c>
      <c r="H1963" s="120" t="n">
        <v>0.0125</v>
      </c>
      <c r="I1963" s="95" t="n">
        <v>2</v>
      </c>
      <c r="J1963" s="95" t="n">
        <v>61</v>
      </c>
      <c r="K1963" s="95" t="n">
        <v>0.95</v>
      </c>
      <c r="L1963" s="85" t="n">
        <v>1</v>
      </c>
    </row>
    <row r="1964">
      <c r="A1964" s="84" t="inlineStr">
        <is>
          <t>IEG</t>
        </is>
      </c>
      <c r="B1964" s="7" t="inlineStr">
        <is>
          <t>conduite ou super-actif</t>
        </is>
      </c>
      <c r="C1964" s="88" t="n">
        <v>1989</v>
      </c>
      <c r="D1964" s="95" t="n">
        <v>59</v>
      </c>
      <c r="E1964" s="95" t="n">
        <v>62</v>
      </c>
      <c r="F1964" s="85" t="n">
        <v>172</v>
      </c>
      <c r="G1964" s="120" t="n">
        <v>0.0125</v>
      </c>
      <c r="H1964" s="120" t="n">
        <v>0.0125</v>
      </c>
      <c r="I1964" s="95" t="n">
        <v>2</v>
      </c>
      <c r="J1964" s="95" t="n">
        <v>61</v>
      </c>
      <c r="K1964" s="95" t="n">
        <v>0.95</v>
      </c>
      <c r="L1964" s="85" t="n">
        <v>1</v>
      </c>
    </row>
    <row r="1965">
      <c r="A1965" s="84" t="inlineStr">
        <is>
          <t>IEG</t>
        </is>
      </c>
      <c r="B1965" s="7" t="inlineStr">
        <is>
          <t>conduite ou super-actif</t>
        </is>
      </c>
      <c r="C1965" s="88" t="n">
        <v>1990</v>
      </c>
      <c r="D1965" s="95" t="n">
        <v>59</v>
      </c>
      <c r="E1965" s="95" t="n">
        <v>62</v>
      </c>
      <c r="F1965" s="85" t="n">
        <v>172</v>
      </c>
      <c r="G1965" s="120" t="n">
        <v>0.0125</v>
      </c>
      <c r="H1965" s="120" t="n">
        <v>0.0125</v>
      </c>
      <c r="I1965" s="95" t="n">
        <v>2</v>
      </c>
      <c r="J1965" s="95" t="n">
        <v>61</v>
      </c>
      <c r="K1965" s="95" t="n">
        <v>0.95</v>
      </c>
      <c r="L1965" s="85" t="n">
        <v>1</v>
      </c>
    </row>
    <row r="1966">
      <c r="A1966" s="84" t="inlineStr">
        <is>
          <t>IEG</t>
        </is>
      </c>
      <c r="B1966" s="7" t="inlineStr">
        <is>
          <t>conduite ou super-actif</t>
        </is>
      </c>
      <c r="C1966" s="88" t="n">
        <v>1991</v>
      </c>
      <c r="D1966" s="95" t="n">
        <v>59</v>
      </c>
      <c r="E1966" s="95" t="n">
        <v>62</v>
      </c>
      <c r="F1966" s="85" t="n">
        <v>172</v>
      </c>
      <c r="G1966" s="120" t="n">
        <v>0.0125</v>
      </c>
      <c r="H1966" s="120" t="n">
        <v>0.0125</v>
      </c>
      <c r="I1966" s="95" t="n">
        <v>2</v>
      </c>
      <c r="J1966" s="95" t="n">
        <v>61</v>
      </c>
      <c r="K1966" s="95" t="n">
        <v>0.95</v>
      </c>
      <c r="L1966" s="85" t="n">
        <v>1</v>
      </c>
    </row>
    <row r="1967">
      <c r="A1967" s="84" t="inlineStr">
        <is>
          <t>IEG</t>
        </is>
      </c>
      <c r="B1967" s="7" t="inlineStr">
        <is>
          <t>conduite ou super-actif</t>
        </is>
      </c>
      <c r="C1967" s="88" t="n">
        <v>1992</v>
      </c>
      <c r="D1967" s="95" t="n">
        <v>59</v>
      </c>
      <c r="E1967" s="95" t="n">
        <v>62</v>
      </c>
      <c r="F1967" s="85" t="n">
        <v>172</v>
      </c>
      <c r="G1967" s="120" t="n">
        <v>0.0125</v>
      </c>
      <c r="H1967" s="120" t="n">
        <v>0.0125</v>
      </c>
      <c r="I1967" s="95" t="n">
        <v>2</v>
      </c>
      <c r="J1967" s="95" t="n">
        <v>61</v>
      </c>
      <c r="K1967" s="95" t="n">
        <v>0.95</v>
      </c>
      <c r="L1967" s="85" t="n">
        <v>1</v>
      </c>
    </row>
    <row r="1968">
      <c r="A1968" s="84" t="inlineStr">
        <is>
          <t>IEG</t>
        </is>
      </c>
      <c r="B1968" s="7" t="inlineStr">
        <is>
          <t>conduite ou super-actif</t>
        </is>
      </c>
      <c r="C1968" s="88" t="n">
        <v>1993</v>
      </c>
      <c r="D1968" s="95" t="n">
        <v>59</v>
      </c>
      <c r="E1968" s="95" t="n">
        <v>62</v>
      </c>
      <c r="F1968" s="85" t="n">
        <v>172</v>
      </c>
      <c r="G1968" s="120" t="n">
        <v>0.0125</v>
      </c>
      <c r="H1968" s="120" t="n">
        <v>0.0125</v>
      </c>
      <c r="I1968" s="95" t="n">
        <v>2</v>
      </c>
      <c r="J1968" s="95" t="n">
        <v>61</v>
      </c>
      <c r="K1968" s="95" t="n">
        <v>0.95</v>
      </c>
      <c r="L1968" s="85" t="n">
        <v>1</v>
      </c>
    </row>
    <row r="1969">
      <c r="A1969" s="84" t="inlineStr">
        <is>
          <t>IEG</t>
        </is>
      </c>
      <c r="B1969" s="7" t="inlineStr">
        <is>
          <t>conduite ou super-actif</t>
        </is>
      </c>
      <c r="C1969" s="88" t="n">
        <v>1994</v>
      </c>
      <c r="D1969" s="95" t="n">
        <v>59</v>
      </c>
      <c r="E1969" s="95" t="n">
        <v>62</v>
      </c>
      <c r="F1969" s="85" t="n">
        <v>172</v>
      </c>
      <c r="G1969" s="120" t="n">
        <v>0.0125</v>
      </c>
      <c r="H1969" s="120" t="n">
        <v>0.0125</v>
      </c>
      <c r="I1969" s="95" t="n">
        <v>2</v>
      </c>
      <c r="J1969" s="95" t="n">
        <v>61</v>
      </c>
      <c r="K1969" s="95" t="n">
        <v>0.95</v>
      </c>
      <c r="L1969" s="85" t="n">
        <v>1</v>
      </c>
    </row>
    <row r="1970">
      <c r="A1970" s="84" t="inlineStr">
        <is>
          <t>IEG</t>
        </is>
      </c>
      <c r="B1970" s="7" t="inlineStr">
        <is>
          <t>conduite ou super-actif</t>
        </is>
      </c>
      <c r="C1970" s="88" t="n">
        <v>1995</v>
      </c>
      <c r="D1970" s="95" t="n">
        <v>59</v>
      </c>
      <c r="E1970" s="95" t="n">
        <v>62</v>
      </c>
      <c r="F1970" s="85" t="n">
        <v>172</v>
      </c>
      <c r="G1970" s="120" t="n">
        <v>0.0125</v>
      </c>
      <c r="H1970" s="120" t="n">
        <v>0.0125</v>
      </c>
      <c r="I1970" s="95" t="n">
        <v>2</v>
      </c>
      <c r="J1970" s="95" t="n">
        <v>61</v>
      </c>
      <c r="K1970" s="95" t="n">
        <v>0.95</v>
      </c>
      <c r="L1970" s="85" t="n">
        <v>1</v>
      </c>
    </row>
    <row r="1971">
      <c r="A1971" s="84" t="inlineStr">
        <is>
          <t>IEG</t>
        </is>
      </c>
      <c r="B1971" s="7" t="inlineStr">
        <is>
          <t>conduite ou super-actif</t>
        </is>
      </c>
      <c r="C1971" s="88" t="n">
        <v>1996</v>
      </c>
      <c r="D1971" s="95" t="n">
        <v>59</v>
      </c>
      <c r="E1971" s="95" t="n">
        <v>62</v>
      </c>
      <c r="F1971" s="85" t="n">
        <v>172</v>
      </c>
      <c r="G1971" s="120" t="n">
        <v>0.0125</v>
      </c>
      <c r="H1971" s="120" t="n">
        <v>0.0125</v>
      </c>
      <c r="I1971" s="95" t="n">
        <v>2</v>
      </c>
      <c r="J1971" s="95" t="n">
        <v>61</v>
      </c>
      <c r="K1971" s="95" t="n">
        <v>0.95</v>
      </c>
      <c r="L1971" s="85" t="n">
        <v>1</v>
      </c>
    </row>
    <row r="1972">
      <c r="A1972" s="84" t="inlineStr">
        <is>
          <t>IEG</t>
        </is>
      </c>
      <c r="B1972" s="7" t="inlineStr">
        <is>
          <t>conduite ou super-actif</t>
        </is>
      </c>
      <c r="C1972" s="88" t="n">
        <v>1997</v>
      </c>
      <c r="D1972" s="95" t="n">
        <v>59</v>
      </c>
      <c r="E1972" s="95" t="n">
        <v>62</v>
      </c>
      <c r="F1972" s="85" t="n">
        <v>172</v>
      </c>
      <c r="G1972" s="120" t="n">
        <v>0.0125</v>
      </c>
      <c r="H1972" s="120" t="n">
        <v>0.0125</v>
      </c>
      <c r="I1972" s="95" t="n">
        <v>2</v>
      </c>
      <c r="J1972" s="95" t="n">
        <v>61</v>
      </c>
      <c r="K1972" s="95" t="n">
        <v>0.95</v>
      </c>
      <c r="L1972" s="85" t="n">
        <v>1</v>
      </c>
    </row>
    <row r="1973">
      <c r="A1973" s="84" t="inlineStr">
        <is>
          <t>IEG</t>
        </is>
      </c>
      <c r="B1973" s="7" t="inlineStr">
        <is>
          <t>conduite ou super-actif</t>
        </is>
      </c>
      <c r="C1973" s="88" t="n">
        <v>1998</v>
      </c>
      <c r="D1973" s="95" t="n">
        <v>59</v>
      </c>
      <c r="E1973" s="95" t="n">
        <v>62</v>
      </c>
      <c r="F1973" s="85" t="n">
        <v>172</v>
      </c>
      <c r="G1973" s="120" t="n">
        <v>0.0125</v>
      </c>
      <c r="H1973" s="120" t="n">
        <v>0.0125</v>
      </c>
      <c r="I1973" s="95" t="n">
        <v>2</v>
      </c>
      <c r="J1973" s="95" t="n">
        <v>61</v>
      </c>
      <c r="K1973" s="95" t="n">
        <v>0.95</v>
      </c>
      <c r="L1973" s="85" t="n">
        <v>1</v>
      </c>
    </row>
    <row r="1974">
      <c r="A1974" s="84" t="inlineStr">
        <is>
          <t>IEG</t>
        </is>
      </c>
      <c r="B1974" s="7" t="inlineStr">
        <is>
          <t>conduite ou super-actif</t>
        </is>
      </c>
      <c r="C1974" s="88" t="n">
        <v>1999</v>
      </c>
      <c r="D1974" s="95" t="n">
        <v>59</v>
      </c>
      <c r="E1974" s="95" t="n">
        <v>62</v>
      </c>
      <c r="F1974" s="85" t="n">
        <v>172</v>
      </c>
      <c r="G1974" s="120" t="n">
        <v>0.0125</v>
      </c>
      <c r="H1974" s="120" t="n">
        <v>0.0125</v>
      </c>
      <c r="I1974" s="95" t="n">
        <v>2</v>
      </c>
      <c r="J1974" s="95" t="n">
        <v>61</v>
      </c>
      <c r="K1974" s="95" t="n">
        <v>0.95</v>
      </c>
      <c r="L1974" s="85" t="n">
        <v>1</v>
      </c>
    </row>
    <row r="1975">
      <c r="A1975" s="84" t="inlineStr">
        <is>
          <t>IEG</t>
        </is>
      </c>
      <c r="B1975" s="7" t="inlineStr">
        <is>
          <t>conduite ou super-actif</t>
        </is>
      </c>
      <c r="C1975" s="88" t="n">
        <v>2000</v>
      </c>
      <c r="D1975" s="95" t="n">
        <v>59</v>
      </c>
      <c r="E1975" s="95" t="n">
        <v>62</v>
      </c>
      <c r="F1975" s="85" t="n">
        <v>172</v>
      </c>
      <c r="G1975" s="120" t="n">
        <v>0.0125</v>
      </c>
      <c r="H1975" s="120" t="n">
        <v>0.0125</v>
      </c>
      <c r="I1975" s="95" t="n">
        <v>2</v>
      </c>
      <c r="J1975" s="95" t="n">
        <v>61</v>
      </c>
      <c r="K1975" s="95" t="n">
        <v>0.95</v>
      </c>
      <c r="L1975" s="85" t="n">
        <v>1</v>
      </c>
    </row>
    <row r="1976">
      <c r="A1976" s="84" t="inlineStr">
        <is>
          <t>IEG</t>
        </is>
      </c>
      <c r="B1976" s="7" t="inlineStr">
        <is>
          <t>conduite ou super-actif</t>
        </is>
      </c>
      <c r="C1976" s="88" t="n">
        <v>2001</v>
      </c>
      <c r="D1976" s="95" t="n">
        <v>59</v>
      </c>
      <c r="E1976" s="95" t="n">
        <v>62</v>
      </c>
      <c r="F1976" s="85" t="n">
        <v>172</v>
      </c>
      <c r="G1976" s="120" t="n">
        <v>0.0125</v>
      </c>
      <c r="H1976" s="120" t="n">
        <v>0.0125</v>
      </c>
      <c r="I1976" s="95" t="n">
        <v>2</v>
      </c>
      <c r="J1976" s="95" t="n">
        <v>61</v>
      </c>
      <c r="K1976" s="95" t="n">
        <v>0.95</v>
      </c>
      <c r="L1976" s="85" t="n">
        <v>1</v>
      </c>
    </row>
    <row r="1977">
      <c r="A1977" s="84" t="inlineStr">
        <is>
          <t>IEG</t>
        </is>
      </c>
      <c r="B1977" s="7" t="inlineStr">
        <is>
          <t>conduite ou super-actif</t>
        </is>
      </c>
      <c r="C1977" s="88" t="n">
        <v>2002</v>
      </c>
      <c r="D1977" s="95" t="n">
        <v>59</v>
      </c>
      <c r="E1977" s="95" t="n">
        <v>62</v>
      </c>
      <c r="F1977" s="85" t="n">
        <v>172</v>
      </c>
      <c r="G1977" s="120" t="n">
        <v>0.0125</v>
      </c>
      <c r="H1977" s="120" t="n">
        <v>0.0125</v>
      </c>
      <c r="I1977" s="95" t="n">
        <v>2</v>
      </c>
      <c r="J1977" s="95" t="n">
        <v>61</v>
      </c>
      <c r="K1977" s="95" t="n">
        <v>0.95</v>
      </c>
      <c r="L1977" s="85" t="n">
        <v>1</v>
      </c>
    </row>
    <row r="1978">
      <c r="A1978" s="84" t="inlineStr">
        <is>
          <t>IEG</t>
        </is>
      </c>
      <c r="B1978" s="7" t="inlineStr">
        <is>
          <t>conduite ou super-actif</t>
        </is>
      </c>
      <c r="C1978" s="88" t="n">
        <v>2003</v>
      </c>
      <c r="D1978" s="95" t="n">
        <v>59</v>
      </c>
      <c r="E1978" s="95" t="n">
        <v>62</v>
      </c>
      <c r="F1978" s="85" t="n">
        <v>172</v>
      </c>
      <c r="G1978" s="120" t="n">
        <v>0.0125</v>
      </c>
      <c r="H1978" s="120" t="n">
        <v>0.0125</v>
      </c>
      <c r="I1978" s="95" t="n">
        <v>2</v>
      </c>
      <c r="J1978" s="95" t="n">
        <v>61</v>
      </c>
      <c r="K1978" s="95" t="n">
        <v>0.95</v>
      </c>
      <c r="L1978" s="85" t="n">
        <v>1</v>
      </c>
    </row>
    <row r="1979">
      <c r="A1979" s="84" t="inlineStr">
        <is>
          <t>IEG</t>
        </is>
      </c>
      <c r="B1979" s="7" t="inlineStr">
        <is>
          <t>conduite ou super-actif</t>
        </is>
      </c>
      <c r="C1979" s="88" t="n">
        <v>2004</v>
      </c>
      <c r="D1979" s="95" t="n">
        <v>59</v>
      </c>
      <c r="E1979" s="95" t="n">
        <v>62</v>
      </c>
      <c r="F1979" s="85" t="n">
        <v>172</v>
      </c>
      <c r="G1979" s="120" t="n">
        <v>0.0125</v>
      </c>
      <c r="H1979" s="120" t="n">
        <v>0.0125</v>
      </c>
      <c r="I1979" s="95" t="n">
        <v>2</v>
      </c>
      <c r="J1979" s="95" t="n">
        <v>61</v>
      </c>
      <c r="K1979" s="95" t="n">
        <v>0.95</v>
      </c>
      <c r="L1979" s="85" t="n">
        <v>1</v>
      </c>
    </row>
    <row r="1980">
      <c r="A1980" s="84" t="inlineStr">
        <is>
          <t>IEG</t>
        </is>
      </c>
      <c r="B1980" s="7" t="inlineStr">
        <is>
          <t>conduite ou super-actif</t>
        </is>
      </c>
      <c r="C1980" s="88" t="n">
        <v>2005</v>
      </c>
      <c r="D1980" s="95" t="n">
        <v>59</v>
      </c>
      <c r="E1980" s="95" t="n">
        <v>62</v>
      </c>
      <c r="F1980" s="85" t="n">
        <v>172</v>
      </c>
      <c r="G1980" s="120" t="n">
        <v>0.0125</v>
      </c>
      <c r="H1980" s="120" t="n">
        <v>0.0125</v>
      </c>
      <c r="I1980" s="95" t="n">
        <v>2</v>
      </c>
      <c r="J1980" s="95" t="n">
        <v>61</v>
      </c>
      <c r="K1980" s="95" t="n">
        <v>0.95</v>
      </c>
      <c r="L1980" s="85" t="n">
        <v>1</v>
      </c>
    </row>
    <row r="1981">
      <c r="A1981" s="84" t="inlineStr">
        <is>
          <t>IEG</t>
        </is>
      </c>
      <c r="B1981" s="7" t="inlineStr">
        <is>
          <t>conduite ou super-actif</t>
        </is>
      </c>
      <c r="C1981" s="88" t="n">
        <v>2006</v>
      </c>
      <c r="D1981" s="95" t="n">
        <v>59</v>
      </c>
      <c r="E1981" s="95" t="n">
        <v>62</v>
      </c>
      <c r="F1981" s="85" t="n">
        <v>172</v>
      </c>
      <c r="G1981" s="120" t="n">
        <v>0.0125</v>
      </c>
      <c r="H1981" s="120" t="n">
        <v>0.0125</v>
      </c>
      <c r="I1981" s="95" t="n">
        <v>2</v>
      </c>
      <c r="J1981" s="95" t="n">
        <v>61</v>
      </c>
      <c r="K1981" s="95" t="n">
        <v>0.95</v>
      </c>
      <c r="L1981" s="85" t="n">
        <v>1</v>
      </c>
    </row>
    <row r="1982">
      <c r="A1982" s="84" t="inlineStr">
        <is>
          <t>IEG</t>
        </is>
      </c>
      <c r="B1982" s="7" t="inlineStr">
        <is>
          <t>conduite ou super-actif</t>
        </is>
      </c>
      <c r="C1982" s="88" t="n">
        <v>2007</v>
      </c>
      <c r="D1982" s="95" t="n">
        <v>59</v>
      </c>
      <c r="E1982" s="95" t="n">
        <v>62</v>
      </c>
      <c r="F1982" s="85" t="n">
        <v>172</v>
      </c>
      <c r="G1982" s="120" t="n">
        <v>0.0125</v>
      </c>
      <c r="H1982" s="120" t="n">
        <v>0.0125</v>
      </c>
      <c r="I1982" s="95" t="n">
        <v>2</v>
      </c>
      <c r="J1982" s="95" t="n">
        <v>61</v>
      </c>
      <c r="K1982" s="95" t="n">
        <v>0.95</v>
      </c>
      <c r="L1982" s="85" t="n">
        <v>1</v>
      </c>
    </row>
    <row r="1983">
      <c r="A1983" s="84" t="inlineStr">
        <is>
          <t>IEG</t>
        </is>
      </c>
      <c r="B1983" s="7" t="inlineStr">
        <is>
          <t>conduite ou super-actif</t>
        </is>
      </c>
      <c r="C1983" s="88" t="n">
        <v>2008</v>
      </c>
      <c r="D1983" s="95" t="n">
        <v>59</v>
      </c>
      <c r="E1983" s="95" t="n">
        <v>62</v>
      </c>
      <c r="F1983" s="85" t="n">
        <v>172</v>
      </c>
      <c r="G1983" s="120" t="n">
        <v>0.0125</v>
      </c>
      <c r="H1983" s="120" t="n">
        <v>0.0125</v>
      </c>
      <c r="I1983" s="95" t="n">
        <v>2</v>
      </c>
      <c r="J1983" s="95" t="n">
        <v>61</v>
      </c>
      <c r="K1983" s="95" t="n">
        <v>0.95</v>
      </c>
      <c r="L1983" s="85" t="n">
        <v>1</v>
      </c>
    </row>
    <row r="1984">
      <c r="A1984" s="84" t="inlineStr">
        <is>
          <t>IEG</t>
        </is>
      </c>
      <c r="B1984" s="7" t="inlineStr">
        <is>
          <t>conduite ou super-actif</t>
        </is>
      </c>
      <c r="C1984" s="88" t="n">
        <v>2009</v>
      </c>
      <c r="D1984" s="95" t="n">
        <v>59</v>
      </c>
      <c r="E1984" s="95" t="n">
        <v>62</v>
      </c>
      <c r="F1984" s="85" t="n">
        <v>172</v>
      </c>
      <c r="G1984" s="120" t="n">
        <v>0.0125</v>
      </c>
      <c r="H1984" s="120" t="n">
        <v>0.0125</v>
      </c>
      <c r="I1984" s="95" t="n">
        <v>2</v>
      </c>
      <c r="J1984" s="95" t="n">
        <v>61</v>
      </c>
      <c r="K1984" s="95" t="n">
        <v>0.95</v>
      </c>
      <c r="L1984" s="85" t="n">
        <v>1</v>
      </c>
    </row>
    <row r="1985">
      <c r="A1985" s="84" t="inlineStr">
        <is>
          <t>IEG</t>
        </is>
      </c>
      <c r="B1985" s="7" t="inlineStr">
        <is>
          <t>conduite ou super-actif</t>
        </is>
      </c>
      <c r="C1985" s="88" t="n">
        <v>2010</v>
      </c>
      <c r="D1985" s="95" t="n">
        <v>59</v>
      </c>
      <c r="E1985" s="95" t="n">
        <v>62</v>
      </c>
      <c r="F1985" s="85" t="n">
        <v>172</v>
      </c>
      <c r="G1985" s="120" t="n">
        <v>0.0125</v>
      </c>
      <c r="H1985" s="120" t="n">
        <v>0.0125</v>
      </c>
      <c r="I1985" s="95" t="n">
        <v>2</v>
      </c>
      <c r="J1985" s="95" t="n">
        <v>61</v>
      </c>
      <c r="K1985" s="95" t="n">
        <v>0.95</v>
      </c>
      <c r="L1985" s="85" t="n">
        <v>1</v>
      </c>
    </row>
    <row r="1986">
      <c r="A1986" s="84" t="inlineStr">
        <is>
          <t>IEG</t>
        </is>
      </c>
      <c r="B1986" s="7" t="inlineStr">
        <is>
          <t>conduite ou super-actif</t>
        </is>
      </c>
      <c r="C1986" s="88" t="n">
        <v>2011</v>
      </c>
      <c r="D1986" s="95" t="n">
        <v>59</v>
      </c>
      <c r="E1986" s="95" t="n">
        <v>62</v>
      </c>
      <c r="F1986" s="85" t="n">
        <v>172</v>
      </c>
      <c r="G1986" s="120" t="n">
        <v>0.0125</v>
      </c>
      <c r="H1986" s="120" t="n">
        <v>0.0125</v>
      </c>
      <c r="I1986" s="95" t="n">
        <v>2</v>
      </c>
      <c r="J1986" s="95" t="n">
        <v>61</v>
      </c>
      <c r="K1986" s="95" t="n">
        <v>0.95</v>
      </c>
      <c r="L1986" s="85" t="n">
        <v>1</v>
      </c>
    </row>
    <row r="1987">
      <c r="A1987" s="84" t="inlineStr">
        <is>
          <t>IEG</t>
        </is>
      </c>
      <c r="B1987" s="7" t="inlineStr">
        <is>
          <t>conduite ou super-actif</t>
        </is>
      </c>
      <c r="C1987" s="88" t="n">
        <v>2012</v>
      </c>
      <c r="D1987" s="95" t="n">
        <v>59</v>
      </c>
      <c r="E1987" s="95" t="n">
        <v>62</v>
      </c>
      <c r="F1987" s="85" t="n">
        <v>172</v>
      </c>
      <c r="G1987" s="120" t="n">
        <v>0.0125</v>
      </c>
      <c r="H1987" s="120" t="n">
        <v>0.0125</v>
      </c>
      <c r="I1987" s="95" t="n">
        <v>2</v>
      </c>
      <c r="J1987" s="95" t="n">
        <v>61</v>
      </c>
      <c r="K1987" s="95" t="n">
        <v>0.95</v>
      </c>
      <c r="L1987" s="85" t="n">
        <v>1</v>
      </c>
    </row>
    <row r="1988">
      <c r="A1988" s="84" t="inlineStr">
        <is>
          <t>IEG</t>
        </is>
      </c>
      <c r="B1988" s="7" t="inlineStr">
        <is>
          <t>conduite ou super-actif</t>
        </is>
      </c>
      <c r="C1988" s="88" t="n">
        <v>2013</v>
      </c>
      <c r="D1988" s="95" t="n">
        <v>59</v>
      </c>
      <c r="E1988" s="95" t="n">
        <v>62</v>
      </c>
      <c r="F1988" s="85" t="n">
        <v>172</v>
      </c>
      <c r="G1988" s="120" t="n">
        <v>0.0125</v>
      </c>
      <c r="H1988" s="120" t="n">
        <v>0.0125</v>
      </c>
      <c r="I1988" s="95" t="n">
        <v>2</v>
      </c>
      <c r="J1988" s="95" t="n">
        <v>61</v>
      </c>
      <c r="K1988" s="95" t="n">
        <v>0.95</v>
      </c>
      <c r="L1988" s="85" t="n">
        <v>1</v>
      </c>
    </row>
    <row r="1989">
      <c r="A1989" s="84" t="inlineStr">
        <is>
          <t>IEG</t>
        </is>
      </c>
      <c r="B1989" s="7" t="inlineStr">
        <is>
          <t>conduite ou super-actif</t>
        </is>
      </c>
      <c r="C1989" s="88" t="n">
        <v>2014</v>
      </c>
      <c r="D1989" s="95" t="n">
        <v>59</v>
      </c>
      <c r="E1989" s="95" t="n">
        <v>62</v>
      </c>
      <c r="F1989" s="85" t="n">
        <v>172</v>
      </c>
      <c r="G1989" s="120" t="n">
        <v>0.0125</v>
      </c>
      <c r="H1989" s="120" t="n">
        <v>0.0125</v>
      </c>
      <c r="I1989" s="95" t="n">
        <v>2</v>
      </c>
      <c r="J1989" s="95" t="n">
        <v>61</v>
      </c>
      <c r="K1989" s="95" t="n">
        <v>0.95</v>
      </c>
      <c r="L1989" s="85" t="n">
        <v>1</v>
      </c>
    </row>
    <row r="1990">
      <c r="A1990" s="84" t="inlineStr">
        <is>
          <t>IEG</t>
        </is>
      </c>
      <c r="B1990" s="7" t="inlineStr">
        <is>
          <t>conduite ou super-actif</t>
        </is>
      </c>
      <c r="C1990" s="88" t="n">
        <v>2015</v>
      </c>
      <c r="D1990" s="95" t="n">
        <v>59</v>
      </c>
      <c r="E1990" s="95" t="n">
        <v>62</v>
      </c>
      <c r="F1990" s="85" t="n">
        <v>172</v>
      </c>
      <c r="G1990" s="120" t="n">
        <v>0.0125</v>
      </c>
      <c r="H1990" s="120" t="n">
        <v>0.0125</v>
      </c>
      <c r="I1990" s="95" t="n">
        <v>2</v>
      </c>
      <c r="J1990" s="95" t="n">
        <v>61</v>
      </c>
      <c r="K1990" s="95" t="n">
        <v>0.95</v>
      </c>
      <c r="L1990" s="85" t="n">
        <v>1</v>
      </c>
    </row>
    <row r="1991">
      <c r="A1991" s="84" t="inlineStr">
        <is>
          <t>IEG</t>
        </is>
      </c>
      <c r="B1991" s="7" t="inlineStr">
        <is>
          <t>conduite ou super-actif</t>
        </is>
      </c>
      <c r="C1991" s="88" t="n">
        <v>2016</v>
      </c>
      <c r="D1991" s="95" t="n">
        <v>59</v>
      </c>
      <c r="E1991" s="95" t="n">
        <v>62</v>
      </c>
      <c r="F1991" s="85" t="n">
        <v>172</v>
      </c>
      <c r="G1991" s="120" t="n">
        <v>0.0125</v>
      </c>
      <c r="H1991" s="120" t="n">
        <v>0.0125</v>
      </c>
      <c r="I1991" s="95" t="n">
        <v>2</v>
      </c>
      <c r="J1991" s="95" t="n">
        <v>61</v>
      </c>
      <c r="K1991" s="95" t="n">
        <v>0.95</v>
      </c>
      <c r="L1991" s="85" t="n">
        <v>1</v>
      </c>
    </row>
    <row r="1992">
      <c r="A1992" s="84" t="inlineStr">
        <is>
          <t>IEG</t>
        </is>
      </c>
      <c r="B1992" s="7" t="inlineStr">
        <is>
          <t>conduite ou super-actif</t>
        </is>
      </c>
      <c r="C1992" s="88" t="n">
        <v>2017</v>
      </c>
      <c r="D1992" s="95" t="n">
        <v>59</v>
      </c>
      <c r="E1992" s="95" t="n">
        <v>62</v>
      </c>
      <c r="F1992" s="85" t="n">
        <v>172</v>
      </c>
      <c r="G1992" s="120" t="n">
        <v>0.0125</v>
      </c>
      <c r="H1992" s="120" t="n">
        <v>0.0125</v>
      </c>
      <c r="I1992" s="95" t="n">
        <v>2</v>
      </c>
      <c r="J1992" s="95" t="n">
        <v>61</v>
      </c>
      <c r="K1992" s="95" t="n">
        <v>0.95</v>
      </c>
      <c r="L1992" s="85" t="n">
        <v>1</v>
      </c>
    </row>
    <row r="1993">
      <c r="A1993" s="84" t="inlineStr">
        <is>
          <t>IEG</t>
        </is>
      </c>
      <c r="B1993" s="7" t="inlineStr">
        <is>
          <t>conduite ou super-actif</t>
        </is>
      </c>
      <c r="C1993" s="88" t="n">
        <v>2018</v>
      </c>
      <c r="D1993" s="95" t="n">
        <v>59</v>
      </c>
      <c r="E1993" s="95" t="n">
        <v>62</v>
      </c>
      <c r="F1993" s="85" t="n">
        <v>172</v>
      </c>
      <c r="G1993" s="120" t="n">
        <v>0.0125</v>
      </c>
      <c r="H1993" s="120" t="n">
        <v>0.0125</v>
      </c>
      <c r="I1993" s="95" t="n">
        <v>2</v>
      </c>
      <c r="J1993" s="95" t="n">
        <v>61</v>
      </c>
      <c r="K1993" s="95" t="n">
        <v>0.95</v>
      </c>
      <c r="L1993" s="85" t="n">
        <v>1</v>
      </c>
    </row>
    <row r="1994">
      <c r="A1994" s="84" t="inlineStr">
        <is>
          <t>IEG</t>
        </is>
      </c>
      <c r="B1994" s="7" t="inlineStr">
        <is>
          <t>conduite ou super-actif</t>
        </is>
      </c>
      <c r="C1994" s="88" t="n">
        <v>2019</v>
      </c>
      <c r="D1994" s="95" t="n">
        <v>59</v>
      </c>
      <c r="E1994" s="95" t="n">
        <v>62</v>
      </c>
      <c r="F1994" s="85" t="n">
        <v>172</v>
      </c>
      <c r="G1994" s="120" t="n">
        <v>0.0125</v>
      </c>
      <c r="H1994" s="120" t="n">
        <v>0.0125</v>
      </c>
      <c r="I1994" s="95" t="n">
        <v>2</v>
      </c>
      <c r="J1994" s="95" t="n">
        <v>61</v>
      </c>
      <c r="K1994" s="95" t="n">
        <v>0.95</v>
      </c>
      <c r="L1994" s="85" t="n">
        <v>1</v>
      </c>
    </row>
    <row r="1995">
      <c r="A1995" s="84" t="inlineStr">
        <is>
          <t>IEG</t>
        </is>
      </c>
      <c r="B1995" s="7" t="inlineStr">
        <is>
          <t>conduite ou super-actif</t>
        </is>
      </c>
      <c r="C1995" s="88" t="n">
        <v>2020</v>
      </c>
      <c r="D1995" s="95" t="n">
        <v>59</v>
      </c>
      <c r="E1995" s="95" t="n">
        <v>62</v>
      </c>
      <c r="F1995" s="85" t="n">
        <v>172</v>
      </c>
      <c r="G1995" s="120" t="n">
        <v>0.0125</v>
      </c>
      <c r="H1995" s="120" t="n">
        <v>0.0125</v>
      </c>
      <c r="I1995" s="95" t="n">
        <v>2</v>
      </c>
      <c r="J1995" s="95" t="n">
        <v>61</v>
      </c>
      <c r="K1995" s="95" t="n">
        <v>0.95</v>
      </c>
      <c r="L1995" s="85" t="n">
        <v>1</v>
      </c>
    </row>
    <row r="1996">
      <c r="A1996" s="84" t="inlineStr">
        <is>
          <t>IEG</t>
        </is>
      </c>
      <c r="B1996" s="7" t="inlineStr">
        <is>
          <t>conduite ou super-actif</t>
        </is>
      </c>
      <c r="C1996" s="88" t="n">
        <v>2021</v>
      </c>
      <c r="D1996" s="95" t="n">
        <v>59</v>
      </c>
      <c r="E1996" s="95" t="n">
        <v>62</v>
      </c>
      <c r="F1996" s="85" t="n">
        <v>172</v>
      </c>
      <c r="G1996" s="120" t="n">
        <v>0.0125</v>
      </c>
      <c r="H1996" s="120" t="n">
        <v>0.0125</v>
      </c>
      <c r="I1996" s="95" t="n">
        <v>2</v>
      </c>
      <c r="J1996" s="95" t="n">
        <v>61</v>
      </c>
      <c r="K1996" s="95" t="n">
        <v>0.95</v>
      </c>
      <c r="L1996" s="85" t="n">
        <v>1</v>
      </c>
    </row>
    <row r="1997">
      <c r="A1997" s="84" t="inlineStr">
        <is>
          <t>IEG</t>
        </is>
      </c>
      <c r="B1997" s="7" t="inlineStr">
        <is>
          <t>conduite ou super-actif</t>
        </is>
      </c>
      <c r="C1997" s="88" t="n">
        <v>2022</v>
      </c>
      <c r="D1997" s="95" t="n">
        <v>59</v>
      </c>
      <c r="E1997" s="95" t="n">
        <v>62</v>
      </c>
      <c r="F1997" s="85" t="n">
        <v>172</v>
      </c>
      <c r="G1997" s="120" t="n">
        <v>0.0125</v>
      </c>
      <c r="H1997" s="120" t="n">
        <v>0.0125</v>
      </c>
      <c r="I1997" s="95" t="n">
        <v>2</v>
      </c>
      <c r="J1997" s="95" t="n">
        <v>61</v>
      </c>
      <c r="K1997" s="95" t="n">
        <v>0.95</v>
      </c>
      <c r="L1997" s="85" t="n">
        <v>1</v>
      </c>
    </row>
    <row r="1998">
      <c r="A1998" s="84" t="inlineStr">
        <is>
          <t>IEG</t>
        </is>
      </c>
      <c r="B1998" s="7" t="inlineStr">
        <is>
          <t>conduite ou super-actif</t>
        </is>
      </c>
      <c r="C1998" s="88" t="n">
        <v>2023</v>
      </c>
      <c r="D1998" s="95" t="n">
        <v>59</v>
      </c>
      <c r="E1998" s="95" t="n">
        <v>62</v>
      </c>
      <c r="F1998" s="85" t="n">
        <v>172</v>
      </c>
      <c r="G1998" s="120" t="n">
        <v>0.0125</v>
      </c>
      <c r="H1998" s="120" t="n">
        <v>0.0125</v>
      </c>
      <c r="I1998" s="95" t="n">
        <v>2</v>
      </c>
      <c r="J1998" s="95" t="n">
        <v>61</v>
      </c>
      <c r="K1998" s="95" t="n">
        <v>0.95</v>
      </c>
      <c r="L1998" s="85" t="n">
        <v>1</v>
      </c>
    </row>
    <row r="1999">
      <c r="A1999" s="84" t="inlineStr">
        <is>
          <t>IEG</t>
        </is>
      </c>
      <c r="B1999" s="7" t="inlineStr">
        <is>
          <t>conduite ou super-actif</t>
        </is>
      </c>
      <c r="C1999" s="88" t="n">
        <v>2024</v>
      </c>
      <c r="D1999" s="95" t="n">
        <v>59</v>
      </c>
      <c r="E1999" s="95" t="n">
        <v>62</v>
      </c>
      <c r="F1999" s="85" t="n">
        <v>172</v>
      </c>
      <c r="G1999" s="120" t="n">
        <v>0.0125</v>
      </c>
      <c r="H1999" s="120" t="n">
        <v>0.0125</v>
      </c>
      <c r="I1999" s="95" t="n">
        <v>2</v>
      </c>
      <c r="J1999" s="95" t="n">
        <v>61</v>
      </c>
      <c r="K1999" s="95" t="n">
        <v>0.95</v>
      </c>
      <c r="L1999" s="85" t="n">
        <v>1</v>
      </c>
    </row>
    <row r="2000">
      <c r="A2000" s="84" t="inlineStr">
        <is>
          <t>IEG</t>
        </is>
      </c>
      <c r="B2000" s="7" t="inlineStr">
        <is>
          <t>conduite ou super-actif</t>
        </is>
      </c>
      <c r="C2000" s="88" t="n">
        <v>2025</v>
      </c>
      <c r="D2000" s="95" t="n">
        <v>59</v>
      </c>
      <c r="E2000" s="95" t="n">
        <v>62</v>
      </c>
      <c r="F2000" s="85" t="n">
        <v>172</v>
      </c>
      <c r="G2000" s="120" t="n">
        <v>0.0125</v>
      </c>
      <c r="H2000" s="120" t="n">
        <v>0.0125</v>
      </c>
      <c r="I2000" s="95" t="n">
        <v>2</v>
      </c>
      <c r="J2000" s="95" t="n">
        <v>61</v>
      </c>
      <c r="K2000" s="95" t="n">
        <v>0.95</v>
      </c>
      <c r="L2000" s="85" t="n">
        <v>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2" customWidth="1" min="2" max="2"/>
    <col width="12" customWidth="1" min="3" max="3"/>
    <col width="60" customWidth="1" min="4" max="4"/>
    <col width="34" customWidth="1" min="5" max="5"/>
  </cols>
  <sheetData>
    <row r="1">
      <c r="A1" s="1" t="inlineStr">
        <is>
          <t>Paramètres généraux</t>
        </is>
      </c>
    </row>
    <row r="2">
      <c r="A2" s="4" t="inlineStr">
        <is>
          <t>Hypothèses communes aux trois pages. Cellules jaunes modifiables : tout le classeur se met à jour.</t>
        </is>
      </c>
    </row>
    <row r="3">
      <c r="A3" s="3" t="inlineStr">
        <is>
          <t>Âge minimal de départ pour les carrières du privé commencées à partir de 2000</t>
        </is>
      </c>
      <c r="B3" s="121" t="n">
        <v>65</v>
      </c>
      <c r="C3" s="4" t="inlineStr">
        <is>
          <t>ans</t>
        </is>
      </c>
      <c r="D3" s="26" t="inlineStr">
        <is>
          <t>Hypothèse de l'auteur</t>
        </is>
      </c>
      <c r="E3" s="122" t="inlineStr">
        <is>
          <t>age_legal_debut_2000_et_plus</t>
        </is>
      </c>
    </row>
    <row r="4">
      <c r="A4" s="3" t="inlineStr">
        <is>
          <t>Trimestres de majoration par enfant pour la mère (privé)</t>
        </is>
      </c>
      <c r="B4" s="121" t="n">
        <v>8</v>
      </c>
      <c r="C4" s="4" t="inlineStr">
        <is>
          <t>trimestres</t>
        </is>
      </c>
      <c r="D4" s="26" t="inlineStr">
        <is>
          <t>Régime général depuis 1975 (4 maternité + 4 éducation)</t>
        </is>
      </c>
      <c r="E4" s="122" t="inlineStr">
        <is>
          <t>majoration_enfant_mere</t>
        </is>
      </c>
    </row>
    <row r="5">
      <c r="A5" s="3" t="inlineStr">
        <is>
          <t>Croissance réelle annuelle du salaire moyen après 2026 (déjà intégrée aux données)</t>
        </is>
      </c>
      <c r="B5" s="123" t="n">
        <v>0.007</v>
      </c>
      <c r="C5" s="4" t="inlineStr">
        <is>
          <t>%/an</t>
        </is>
      </c>
      <c r="D5" s="26" t="inlineStr">
        <is>
          <t>Scénario +0,7 % du COR — information, non recalculée</t>
        </is>
      </c>
      <c r="E5" s="122" t="inlineStr">
        <is>
          <t>croissance_reelle_salaires</t>
        </is>
      </c>
    </row>
    <row r="6">
      <c r="A6" s="3" t="inlineStr">
        <is>
          <t>Inflation 2026 utilisée pour les euros constants (déjà intégrée)</t>
        </is>
      </c>
      <c r="B6" s="123" t="n">
        <v>0.018</v>
      </c>
      <c r="C6" s="4" t="inlineStr">
        <is>
          <t>%</t>
        </is>
      </c>
      <c r="D6" s="26" t="inlineStr">
        <is>
          <t>INSEE, glissements juin-août 2026 — information</t>
        </is>
      </c>
      <c r="E6" s="122" t="inlineStr">
        <is>
          <t>inflation_2026</t>
        </is>
      </c>
    </row>
    <row r="7">
      <c r="A7" s="3" t="inlineStr">
        <is>
          <t>Durée réelle de carrière visée pour un début de carrière en 2010 (privé)</t>
        </is>
      </c>
      <c r="B7" s="124" t="n">
        <v>41.2</v>
      </c>
      <c r="C7" s="4" t="inlineStr">
        <is>
          <t>ans</t>
        </is>
      </c>
      <c r="D7" s="26" t="inlineStr">
        <is>
          <t>Hypothèse de l'auteur : allongement des carrières après les baby-boomers</t>
        </is>
      </c>
      <c r="E7" s="122" t="inlineStr">
        <is>
          <t>duree_reelle_cible_debut_2010</t>
        </is>
      </c>
    </row>
    <row r="8">
      <c r="A8" s="3" t="inlineStr">
        <is>
          <t>Génération type d'un début de carrière en 2010 (atteint la durée visée)</t>
        </is>
      </c>
      <c r="B8" s="125" t="n">
        <v>1989</v>
      </c>
      <c r="C8" s="4" t="inlineStr">
        <is>
          <t>année</t>
        </is>
      </c>
      <c r="D8" s="26" t="inlineStr">
        <is>
          <t>Calcul : 2010 − âge moyen de début en 2010 (21,5 ans)</t>
        </is>
      </c>
      <c r="E8" s="122" t="inlineStr">
        <is>
          <t>generation_type_debut_2010</t>
        </is>
      </c>
    </row>
    <row r="9">
      <c r="A9" s="3" t="inlineStr">
        <is>
          <t>Dernière génération observée (baby-boomers) : point de départ de la hausse</t>
        </is>
      </c>
      <c r="B9" s="125" t="n">
        <v>1964</v>
      </c>
      <c r="C9" s="4" t="inlineStr">
        <is>
          <t>année</t>
        </is>
      </c>
      <c r="D9" s="26" t="inlineStr">
        <is>
          <t>Convention (baby-boomers 1946-1964)</t>
        </is>
      </c>
      <c r="E9" s="122" t="inlineStr">
        <is>
          <t>derniere_generation_baby_boomers</t>
        </is>
      </c>
    </row>
    <row r="10">
      <c r="A10" s="3" t="inlineStr">
        <is>
          <t>Durée réelle de carrière visée pour un début de carrière en 2026 et après (palier)</t>
        </is>
      </c>
      <c r="B10" s="124" t="n">
        <v>43</v>
      </c>
      <c r="C10" s="4" t="inlineStr">
        <is>
          <t>ans</t>
        </is>
      </c>
      <c r="D10" s="26" t="inlineStr">
        <is>
          <t>Hypothèse de l'auteur : hausse continue jusqu'à 43 ans</t>
        </is>
      </c>
      <c r="E10" s="122" t="inlineStr">
        <is>
          <t>duree_reelle_cible_debut_2026</t>
        </is>
      </c>
    </row>
    <row r="11">
      <c r="A11" s="3" t="inlineStr">
        <is>
          <t>Génération type d'un début de carrière en 2026 (atteint la durée visée, palier ensuite)</t>
        </is>
      </c>
      <c r="B11" s="125" t="n">
        <v>2005</v>
      </c>
      <c r="C11" s="4" t="inlineStr">
        <is>
          <t>année</t>
        </is>
      </c>
      <c r="D11" s="26" t="inlineStr">
        <is>
          <t>Calcul : 2026 − âge moyen de début en 2026 (21,5 ans)</t>
        </is>
      </c>
      <c r="E11" s="122" t="inlineStr">
        <is>
          <t>generation_type_debut_2026</t>
        </is>
      </c>
    </row>
    <row r="12">
      <c r="A12" s="3" t="inlineStr">
        <is>
          <t>Inflation annuelle après 2026 (conversion des montants courants en euros 2026, capitalisation)</t>
        </is>
      </c>
      <c r="B12" s="126" t="n">
        <v>0.02</v>
      </c>
      <c r="C12" s="4" t="inlineStr">
        <is>
          <t>%/an</t>
        </is>
      </c>
      <c r="D12" s="26" t="inlineStr">
        <is>
          <t>Hypothèse : cible de la BCE</t>
        </is>
      </c>
      <c r="E12" s="122" t="inlineStr">
        <is>
          <t>inflation_apres_2026</t>
        </is>
      </c>
    </row>
    <row r="13">
      <c r="A13" s="3" t="inlineStr">
        <is>
          <t>Rendement réel annuel des actions françaises après 2026, dividendes réinvestis</t>
        </is>
      </c>
      <c r="B13" s="126" t="n">
        <v>0.043</v>
      </c>
      <c r="C13" s="4" t="inlineStr">
        <is>
          <t>%/an</t>
        </is>
      </c>
      <c r="D13" s="26" t="inlineStr">
        <is>
          <t>Moyenne géométrique réelle 1970-2025 (CAC 40 GR depuis 1988, base JST avant)</t>
        </is>
      </c>
      <c r="E13" s="122" t="inlineStr">
        <is>
          <t>rendement_reel_actions_dividendes</t>
        </is>
      </c>
    </row>
    <row r="14">
      <c r="A14" s="3" t="inlineStr">
        <is>
          <t>Rendement réel annuel du cours seul (sans dividendes) après 2026</t>
        </is>
      </c>
      <c r="B14" s="126" t="n">
        <v>0.005</v>
      </c>
      <c r="C14" s="4" t="inlineStr">
        <is>
          <t>%/an</t>
        </is>
      </c>
      <c r="D14" s="26" t="inlineStr">
        <is>
          <t>Moyenne géométrique réelle 1970-2025 (CAC 40 depuis 1988, base JST avant)</t>
        </is>
      </c>
      <c r="E14" s="122" t="inlineStr">
        <is>
          <t>rendement_reel_actions_cours</t>
        </is>
      </c>
    </row>
    <row r="15">
      <c r="A15" s="3" t="inlineStr">
        <is>
          <t>Trimestres de bonification par enfant pour la mère (régimes publics)</t>
        </is>
      </c>
      <c r="B15" s="121" t="n">
        <v>4</v>
      </c>
      <c r="C15" s="4" t="inlineStr">
        <is>
          <t>trimestres</t>
        </is>
      </c>
      <c r="D15" s="26" t="inlineStr">
        <is>
          <t>Fonction publique : 4 trimestres par enfant né avant 2004 (2 ensuite) ; ordre de grandeur retenu pour tous les régimes publics</t>
        </is>
      </c>
      <c r="E15" s="122" t="inlineStr">
        <is>
          <t>majoration_enfant_public</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326"/>
  <sheetViews>
    <sheetView workbookViewId="0">
      <pane ySplit="1" topLeftCell="A2" activePane="bottomLeft" state="frozen"/>
      <selection pane="bottomLeft" activeCell="A1" sqref="A1"/>
    </sheetView>
  </sheetViews>
  <sheetFormatPr baseColWidth="8" defaultRowHeight="15"/>
  <cols>
    <col width="22" customWidth="1" min="1" max="1"/>
    <col width="16" customWidth="1" min="2" max="2"/>
    <col width="34" customWidth="1" min="3" max="3"/>
    <col width="55" customWidth="1" min="4" max="4"/>
    <col width="12" customWidth="1" min="5" max="5"/>
    <col width="100" customWidth="1" min="6" max="6"/>
    <col width="34" customWidth="1" min="7" max="7"/>
  </cols>
  <sheetData>
    <row r="1">
      <c r="A1" s="5" t="inlineStr">
        <is>
          <t>Onglet</t>
        </is>
      </c>
      <c r="B1" s="5" t="inlineStr">
        <is>
          <t>Emplacement</t>
        </is>
      </c>
      <c r="C1" s="5" t="inlineStr">
        <is>
          <t>Identifiant</t>
        </is>
      </c>
      <c r="D1" s="5" t="inlineStr">
        <is>
          <t>Libellé</t>
        </is>
      </c>
      <c r="E1" s="5" t="inlineStr">
        <is>
          <t>Unité</t>
        </is>
      </c>
      <c r="F1" s="5" t="inlineStr">
        <is>
          <t>Définition / calcul</t>
        </is>
      </c>
      <c r="G1" s="5" t="inlineStr">
        <is>
          <t>Source</t>
        </is>
      </c>
    </row>
    <row r="2">
      <c r="A2" s="6" t="inlineStr">
        <is>
          <t>Parametres</t>
        </is>
      </c>
      <c r="B2" s="6" t="inlineStr">
        <is>
          <t>B3</t>
        </is>
      </c>
      <c r="C2" s="6" t="inlineStr">
        <is>
          <t>age_legal_debut_2000_et_plus</t>
        </is>
      </c>
      <c r="D2" s="6" t="inlineStr">
        <is>
          <t>Âge minimal de départ pour les carrières du privé commencées à partir de 2000</t>
        </is>
      </c>
      <c r="E2" s="6" t="inlineStr">
        <is>
          <t>ans</t>
        </is>
      </c>
      <c r="F2" s="6" t="inlineStr">
        <is>
          <t>Paramètre</t>
        </is>
      </c>
      <c r="G2" s="6" t="inlineStr">
        <is>
          <t>Hypothèse de l'auteur</t>
        </is>
      </c>
    </row>
    <row r="3">
      <c r="A3" s="6" t="inlineStr">
        <is>
          <t>Parametres</t>
        </is>
      </c>
      <c r="B3" s="6" t="inlineStr">
        <is>
          <t>B4</t>
        </is>
      </c>
      <c r="C3" s="6" t="inlineStr">
        <is>
          <t>majoration_enfant_mere</t>
        </is>
      </c>
      <c r="D3" s="6" t="inlineStr">
        <is>
          <t>Trimestres de majoration par enfant pour la mère (privé)</t>
        </is>
      </c>
      <c r="E3" s="6" t="inlineStr">
        <is>
          <t>trimestres</t>
        </is>
      </c>
      <c r="F3" s="6" t="inlineStr">
        <is>
          <t>Paramètre</t>
        </is>
      </c>
      <c r="G3" s="6" t="inlineStr">
        <is>
          <t>Régime général depuis 1975 (4 maternité + 4 éducation)</t>
        </is>
      </c>
    </row>
    <row r="4">
      <c r="A4" s="6" t="inlineStr">
        <is>
          <t>Parametres</t>
        </is>
      </c>
      <c r="B4" s="6" t="inlineStr">
        <is>
          <t>B5</t>
        </is>
      </c>
      <c r="C4" s="6" t="inlineStr">
        <is>
          <t>croissance_reelle_salaires</t>
        </is>
      </c>
      <c r="D4" s="6" t="inlineStr">
        <is>
          <t>Croissance réelle annuelle du salaire moyen après 2026 (déjà intégrée aux données)</t>
        </is>
      </c>
      <c r="E4" s="6" t="inlineStr">
        <is>
          <t>%/an</t>
        </is>
      </c>
      <c r="F4" s="6" t="inlineStr">
        <is>
          <t>Paramètre</t>
        </is>
      </c>
      <c r="G4" s="6" t="inlineStr">
        <is>
          <t>Scénario +0,7 % du COR — information, non recalculée</t>
        </is>
      </c>
    </row>
    <row r="5">
      <c r="A5" s="6" t="inlineStr">
        <is>
          <t>Parametres</t>
        </is>
      </c>
      <c r="B5" s="6" t="inlineStr">
        <is>
          <t>B6</t>
        </is>
      </c>
      <c r="C5" s="6" t="inlineStr">
        <is>
          <t>inflation_2026</t>
        </is>
      </c>
      <c r="D5" s="6" t="inlineStr">
        <is>
          <t>Inflation 2026 utilisée pour les euros constants (déjà intégrée)</t>
        </is>
      </c>
      <c r="E5" s="6" t="inlineStr">
        <is>
          <t>%</t>
        </is>
      </c>
      <c r="F5" s="6" t="inlineStr">
        <is>
          <t>Paramètre</t>
        </is>
      </c>
      <c r="G5" s="6" t="inlineStr">
        <is>
          <t>INSEE, glissements juin-août 2026 — information</t>
        </is>
      </c>
    </row>
    <row r="6">
      <c r="A6" s="6" t="inlineStr">
        <is>
          <t>Parametres</t>
        </is>
      </c>
      <c r="B6" s="6" t="inlineStr">
        <is>
          <t>B7</t>
        </is>
      </c>
      <c r="C6" s="6" t="inlineStr">
        <is>
          <t>duree_reelle_cible_debut_2010</t>
        </is>
      </c>
      <c r="D6" s="6" t="inlineStr">
        <is>
          <t>Durée réelle de carrière visée pour un début de carrière en 2010 (privé)</t>
        </is>
      </c>
      <c r="E6" s="6" t="inlineStr">
        <is>
          <t>ans</t>
        </is>
      </c>
      <c r="F6" s="6" t="inlineStr">
        <is>
          <t>Paramètre</t>
        </is>
      </c>
      <c r="G6" s="6" t="inlineStr">
        <is>
          <t>Hypothèse de l'auteur : allongement des carrières après les baby-boomers</t>
        </is>
      </c>
    </row>
    <row r="7">
      <c r="A7" s="6" t="inlineStr">
        <is>
          <t>Parametres</t>
        </is>
      </c>
      <c r="B7" s="6" t="inlineStr">
        <is>
          <t>B8</t>
        </is>
      </c>
      <c r="C7" s="6" t="inlineStr">
        <is>
          <t>generation_type_debut_2010</t>
        </is>
      </c>
      <c r="D7" s="6" t="inlineStr">
        <is>
          <t>Génération type d'un début de carrière en 2010 (atteint la durée visée)</t>
        </is>
      </c>
      <c r="E7" s="6" t="inlineStr">
        <is>
          <t>année</t>
        </is>
      </c>
      <c r="F7" s="6" t="inlineStr">
        <is>
          <t>Paramètre</t>
        </is>
      </c>
      <c r="G7" s="6" t="inlineStr">
        <is>
          <t>Calcul : 2010 − âge moyen de début en 2010 (21,5 ans)</t>
        </is>
      </c>
    </row>
    <row r="8">
      <c r="A8" s="6" t="inlineStr">
        <is>
          <t>Parametres</t>
        </is>
      </c>
      <c r="B8" s="6" t="inlineStr">
        <is>
          <t>B9</t>
        </is>
      </c>
      <c r="C8" s="6" t="inlineStr">
        <is>
          <t>derniere_generation_baby_boomers</t>
        </is>
      </c>
      <c r="D8" s="6" t="inlineStr">
        <is>
          <t>Dernière génération observée (baby-boomers) : point de départ de la hausse</t>
        </is>
      </c>
      <c r="E8" s="6" t="inlineStr">
        <is>
          <t>année</t>
        </is>
      </c>
      <c r="F8" s="6" t="inlineStr">
        <is>
          <t>Paramètre</t>
        </is>
      </c>
      <c r="G8" s="6" t="inlineStr">
        <is>
          <t>Convention (baby-boomers 1946-1964)</t>
        </is>
      </c>
    </row>
    <row r="9">
      <c r="A9" s="6" t="inlineStr">
        <is>
          <t>Parametres</t>
        </is>
      </c>
      <c r="B9" s="6" t="inlineStr">
        <is>
          <t>B10</t>
        </is>
      </c>
      <c r="C9" s="6" t="inlineStr">
        <is>
          <t>duree_reelle_cible_debut_2026</t>
        </is>
      </c>
      <c r="D9" s="6" t="inlineStr">
        <is>
          <t>Durée réelle de carrière visée pour un début de carrière en 2026 et après (palier)</t>
        </is>
      </c>
      <c r="E9" s="6" t="inlineStr">
        <is>
          <t>ans</t>
        </is>
      </c>
      <c r="F9" s="6" t="inlineStr">
        <is>
          <t>Paramètre</t>
        </is>
      </c>
      <c r="G9" s="6" t="inlineStr">
        <is>
          <t>Hypothèse de l'auteur : hausse continue jusqu'à 43 ans</t>
        </is>
      </c>
    </row>
    <row r="10">
      <c r="A10" s="6" t="inlineStr">
        <is>
          <t>Parametres</t>
        </is>
      </c>
      <c r="B10" s="6" t="inlineStr">
        <is>
          <t>B11</t>
        </is>
      </c>
      <c r="C10" s="6" t="inlineStr">
        <is>
          <t>generation_type_debut_2026</t>
        </is>
      </c>
      <c r="D10" s="6" t="inlineStr">
        <is>
          <t>Génération type d'un début de carrière en 2026 (atteint la durée visée, palier ensuite)</t>
        </is>
      </c>
      <c r="E10" s="6" t="inlineStr">
        <is>
          <t>année</t>
        </is>
      </c>
      <c r="F10" s="6" t="inlineStr">
        <is>
          <t>Paramètre</t>
        </is>
      </c>
      <c r="G10" s="6" t="inlineStr">
        <is>
          <t>Calcul : 2026 − âge moyen de début en 2026 (21,5 ans)</t>
        </is>
      </c>
    </row>
    <row r="11">
      <c r="A11" s="6" t="inlineStr">
        <is>
          <t>Parametres</t>
        </is>
      </c>
      <c r="B11" s="6" t="inlineStr">
        <is>
          <t>B12</t>
        </is>
      </c>
      <c r="C11" s="6" t="inlineStr">
        <is>
          <t>inflation_apres_2026</t>
        </is>
      </c>
      <c r="D11" s="6" t="inlineStr">
        <is>
          <t>Inflation annuelle après 2026 (conversion des montants courants en euros 2026, capitalisation)</t>
        </is>
      </c>
      <c r="E11" s="6" t="inlineStr">
        <is>
          <t>%/an</t>
        </is>
      </c>
      <c r="F11" s="6" t="inlineStr">
        <is>
          <t>Paramètre</t>
        </is>
      </c>
      <c r="G11" s="6" t="inlineStr">
        <is>
          <t>Hypothèse : cible de la BCE</t>
        </is>
      </c>
    </row>
    <row r="12">
      <c r="A12" s="6" t="inlineStr">
        <is>
          <t>Parametres</t>
        </is>
      </c>
      <c r="B12" s="6" t="inlineStr">
        <is>
          <t>B13</t>
        </is>
      </c>
      <c r="C12" s="6" t="inlineStr">
        <is>
          <t>rendement_reel_actions_dividendes</t>
        </is>
      </c>
      <c r="D12" s="6" t="inlineStr">
        <is>
          <t>Rendement réel annuel des actions françaises après 2026, dividendes réinvestis</t>
        </is>
      </c>
      <c r="E12" s="6" t="inlineStr">
        <is>
          <t>%/an</t>
        </is>
      </c>
      <c r="F12" s="6" t="inlineStr">
        <is>
          <t>Paramètre</t>
        </is>
      </c>
      <c r="G12" s="6" t="inlineStr">
        <is>
          <t>Moyenne géométrique réelle 1970-2025 (CAC 40 GR depuis 1988, base JST avant)</t>
        </is>
      </c>
    </row>
    <row r="13">
      <c r="A13" s="6" t="inlineStr">
        <is>
          <t>Parametres</t>
        </is>
      </c>
      <c r="B13" s="6" t="inlineStr">
        <is>
          <t>B14</t>
        </is>
      </c>
      <c r="C13" s="6" t="inlineStr">
        <is>
          <t>rendement_reel_actions_cours</t>
        </is>
      </c>
      <c r="D13" s="6" t="inlineStr">
        <is>
          <t>Rendement réel annuel du cours seul (sans dividendes) après 2026</t>
        </is>
      </c>
      <c r="E13" s="6" t="inlineStr">
        <is>
          <t>%/an</t>
        </is>
      </c>
      <c r="F13" s="6" t="inlineStr">
        <is>
          <t>Paramètre</t>
        </is>
      </c>
      <c r="G13" s="6" t="inlineStr">
        <is>
          <t>Moyenne géométrique réelle 1970-2025 (CAC 40 depuis 1988, base JST avant)</t>
        </is>
      </c>
    </row>
    <row r="14">
      <c r="A14" s="6" t="inlineStr">
        <is>
          <t>Parametres</t>
        </is>
      </c>
      <c r="B14" s="6" t="inlineStr">
        <is>
          <t>B15</t>
        </is>
      </c>
      <c r="C14" s="6" t="inlineStr">
        <is>
          <t>majoration_enfant_public</t>
        </is>
      </c>
      <c r="D14" s="6" t="inlineStr">
        <is>
          <t>Trimestres de bonification par enfant pour la mère (régimes publics)</t>
        </is>
      </c>
      <c r="E14" s="6" t="inlineStr">
        <is>
          <t>trimestres</t>
        </is>
      </c>
      <c r="F14" s="6" t="inlineStr">
        <is>
          <t>Paramètre</t>
        </is>
      </c>
      <c r="G14" s="6" t="inlineStr">
        <is>
          <t>Fonction publique : 4 trimestres par enfant né avant 2004 (2 ensuite) ; ordre de grandeur retenu pour tous les régimes publics</t>
        </is>
      </c>
    </row>
    <row r="15">
      <c r="A15" s="6" t="inlineStr">
        <is>
          <t>Regimes</t>
        </is>
      </c>
      <c r="B15" s="6" t="inlineStr">
        <is>
          <t>colonne</t>
        </is>
      </c>
      <c r="C15" s="6" t="inlineStr">
        <is>
          <t>regime</t>
        </is>
      </c>
      <c r="D15" s="6" t="inlineStr">
        <is>
          <t>Régime (valeur à choisir dans les pages 2 et 3)</t>
        </is>
      </c>
      <c r="E15" s="6" t="inlineStr"/>
      <c r="F15" s="6" t="inlineStr">
        <is>
          <t>Table des régimes</t>
        </is>
      </c>
      <c r="G15" s="6" t="inlineStr">
        <is>
          <t>Voir colonne source</t>
        </is>
      </c>
    </row>
    <row r="16">
      <c r="A16" s="6" t="inlineStr">
        <is>
          <t>Regimes</t>
        </is>
      </c>
      <c r="B16" s="6" t="inlineStr">
        <is>
          <t>colonne</t>
        </is>
      </c>
      <c r="C16" s="6" t="inlineStr">
        <is>
          <t>libelle</t>
        </is>
      </c>
      <c r="D16" s="6" t="inlineStr">
        <is>
          <t>Description</t>
        </is>
      </c>
      <c r="E16" s="6" t="inlineStr"/>
      <c r="F16" s="6" t="inlineStr">
        <is>
          <t>Table des régimes</t>
        </is>
      </c>
      <c r="G16" s="6" t="inlineStr">
        <is>
          <t>Voir colonne source</t>
        </is>
      </c>
    </row>
    <row r="17">
      <c r="A17" s="6" t="inlineStr">
        <is>
          <t>Regimes</t>
        </is>
      </c>
      <c r="B17" s="6" t="inlineStr">
        <is>
          <t>colonne</t>
        </is>
      </c>
      <c r="C17" s="6" t="inlineStr">
        <is>
          <t>annee_fermeture</t>
        </is>
      </c>
      <c r="D17" s="6" t="inlineStr">
        <is>
          <t>Première année de début de carrière calculée au régime général (régime fermé aux nouveaux embauchés)</t>
        </is>
      </c>
      <c r="E17" s="6" t="inlineStr"/>
      <c r="F17" s="6" t="inlineStr">
        <is>
          <t>Table des régimes</t>
        </is>
      </c>
      <c r="G17" s="6" t="inlineStr">
        <is>
          <t>Voir colonne source</t>
        </is>
      </c>
    </row>
    <row r="18">
      <c r="A18" s="6" t="inlineStr">
        <is>
          <t>Regimes</t>
        </is>
      </c>
      <c r="B18" s="6" t="inlineStr">
        <is>
          <t>colonne</t>
        </is>
      </c>
      <c r="C18" s="6" t="inlineStr">
        <is>
          <t>categorie_type</t>
        </is>
      </c>
      <c r="D18" s="6" t="inlineStr">
        <is>
          <t>Catégorie du profil type (page 2 et synthèse)</t>
        </is>
      </c>
      <c r="E18" s="6" t="inlineStr"/>
      <c r="F18" s="6" t="inlineStr">
        <is>
          <t>Table des régimes</t>
        </is>
      </c>
      <c r="G18" s="6" t="inlineStr">
        <is>
          <t>Voir colonne source</t>
        </is>
      </c>
    </row>
    <row r="19">
      <c r="A19" s="6" t="inlineStr">
        <is>
          <t>Regimes</t>
        </is>
      </c>
      <c r="B19" s="6" t="inlineStr">
        <is>
          <t>colonne</t>
        </is>
      </c>
      <c r="C19" s="6" t="inlineStr">
        <is>
          <t>taux_remplacement_regime</t>
        </is>
      </c>
      <c r="D19" s="6" t="inlineStr">
        <is>
          <t>Taux de remplacement d'une carrière complète dans le régime</t>
        </is>
      </c>
      <c r="E19" s="6" t="inlineStr"/>
      <c r="F19" s="6" t="inlineStr">
        <is>
          <t>Table des régimes</t>
        </is>
      </c>
      <c r="G19" s="6" t="inlineStr">
        <is>
          <t>Voir colonne source</t>
        </is>
      </c>
    </row>
    <row r="20">
      <c r="A20" s="6" t="inlineStr">
        <is>
          <t>Regimes</t>
        </is>
      </c>
      <c r="B20" s="6" t="inlineStr">
        <is>
          <t>colonne</t>
        </is>
      </c>
      <c r="C20" s="6" t="inlineStr">
        <is>
          <t>taux_remplacement_prive_reference</t>
        </is>
      </c>
      <c r="D20" s="6" t="inlineStr">
        <is>
          <t>Taux de remplacement de référence d'un non-cadre du privé (même mesure)</t>
        </is>
      </c>
      <c r="E20" s="6" t="inlineStr"/>
      <c r="F20" s="6" t="inlineStr">
        <is>
          <t>Table des régimes</t>
        </is>
      </c>
      <c r="G20" s="6" t="inlineStr">
        <is>
          <t>Voir colonne source</t>
        </is>
      </c>
    </row>
    <row r="21">
      <c r="A21" s="6" t="inlineStr">
        <is>
          <t>Regimes</t>
        </is>
      </c>
      <c r="B21" s="6" t="inlineStr">
        <is>
          <t>colonne</t>
        </is>
      </c>
      <c r="C21" s="6" t="inlineStr">
        <is>
          <t>coef_pension_calibrage</t>
        </is>
      </c>
      <c r="D21" s="6" t="inlineStr">
        <is>
          <t>Coefficient de pension à salaire égal (année de calibrage)</t>
        </is>
      </c>
      <c r="E21" s="6" t="inlineStr"/>
      <c r="F21" s="6" t="inlineStr">
        <is>
          <t>Table des régimes</t>
        </is>
      </c>
      <c r="G21" s="6" t="inlineStr">
        <is>
          <t>Voir colonne source</t>
        </is>
      </c>
    </row>
    <row r="22">
      <c r="A22" s="6" t="inlineStr">
        <is>
          <t>Regimes</t>
        </is>
      </c>
      <c r="B22" s="6" t="inlineStr">
        <is>
          <t>colonne</t>
        </is>
      </c>
      <c r="C22" s="6" t="inlineStr">
        <is>
          <t>annee_calibrage</t>
        </is>
      </c>
      <c r="D22" s="6" t="inlineStr">
        <is>
          <t>Année de calibrage</t>
        </is>
      </c>
      <c r="E22" s="6" t="inlineStr"/>
      <c r="F22" s="6" t="inlineStr">
        <is>
          <t>Table des régimes</t>
        </is>
      </c>
      <c r="G22" s="6" t="inlineStr">
        <is>
          <t>Voir colonne source</t>
        </is>
      </c>
    </row>
    <row r="23">
      <c r="A23" s="6" t="inlineStr">
        <is>
          <t>Regimes</t>
        </is>
      </c>
      <c r="B23" s="6" t="inlineStr">
        <is>
          <t>colonne</t>
        </is>
      </c>
      <c r="C23" s="6" t="inlineStr">
        <is>
          <t>source_coef</t>
        </is>
      </c>
      <c r="D23" s="6" t="inlineStr">
        <is>
          <t>Source du coefficient</t>
        </is>
      </c>
      <c r="E23" s="6" t="inlineStr"/>
      <c r="F23" s="6" t="inlineStr">
        <is>
          <t>Table des régimes</t>
        </is>
      </c>
      <c r="G23" s="6" t="inlineStr">
        <is>
          <t>Voir colonne source</t>
        </is>
      </c>
    </row>
    <row r="24">
      <c r="A24" s="6" t="inlineStr">
        <is>
          <t>Regimes</t>
        </is>
      </c>
      <c r="B24" s="6" t="inlineStr">
        <is>
          <t>colonne</t>
        </is>
      </c>
      <c r="C24" s="6" t="inlineStr">
        <is>
          <t>fermeture_detail</t>
        </is>
      </c>
      <c r="D24" s="6" t="inlineStr">
        <is>
          <t>Fermeture aux nouveaux embauchés</t>
        </is>
      </c>
      <c r="E24" s="6" t="inlineStr"/>
      <c r="F24" s="6" t="inlineStr">
        <is>
          <t>Table des régimes</t>
        </is>
      </c>
      <c r="G24" s="6" t="inlineStr">
        <is>
          <t>Voir colonne source</t>
        </is>
      </c>
    </row>
    <row r="25">
      <c r="A25" s="6" t="inlineStr">
        <is>
          <t>Donnees_annuelles</t>
        </is>
      </c>
      <c r="B25" s="6" t="inlineStr">
        <is>
          <t>colonne A</t>
        </is>
      </c>
      <c r="C25" s="6" t="inlineStr">
        <is>
          <t>annee</t>
        </is>
      </c>
      <c r="D25" s="6" t="inlineStr">
        <is>
          <t>Année</t>
        </is>
      </c>
      <c r="E25" s="6" t="inlineStr"/>
      <c r="F25" s="6" t="inlineStr">
        <is>
          <t>Année civile</t>
        </is>
      </c>
      <c r="G25" s="6" t="inlineStr"/>
    </row>
    <row r="26">
      <c r="A26" s="6" t="inlineStr">
        <is>
          <t>Donnees_annuelles</t>
        </is>
      </c>
      <c r="B26" s="6" t="inlineStr">
        <is>
          <t>colonne B</t>
        </is>
      </c>
      <c r="C26" s="6" t="inlineStr">
        <is>
          <t>nature</t>
        </is>
      </c>
      <c r="D26" s="6" t="inlineStr">
        <is>
          <t>Nature des données</t>
        </is>
      </c>
      <c r="E26" s="6" t="inlineStr"/>
      <c r="F26" s="6" t="inlineStr">
        <is>
          <t>Observé / estimation / projection (après 2026)</t>
        </is>
      </c>
      <c r="G26" s="6" t="inlineStr"/>
    </row>
    <row r="27">
      <c r="A27" s="6" t="inlineStr">
        <is>
          <t>Donnees_annuelles</t>
        </is>
      </c>
      <c r="B27" s="6" t="inlineStr">
        <is>
          <t>colonne C</t>
        </is>
      </c>
      <c r="C27" s="6" t="inlineStr">
        <is>
          <t>coef_euro_2026</t>
        </is>
      </c>
      <c r="D27" s="6" t="inlineStr">
        <is>
          <t>Coefficient vers euros 2026</t>
        </is>
      </c>
      <c r="E27" s="6" t="inlineStr"/>
      <c r="F27" s="6" t="inlineStr">
        <is>
          <t>Multiplie un montant en euros de l'année pour l'exprimer en euros 2026 (1945-2026)</t>
        </is>
      </c>
      <c r="G27" s="6" t="inlineStr">
        <is>
          <t>INSEE, série 011813530 + inflation 2026</t>
        </is>
      </c>
    </row>
    <row r="28">
      <c r="A28" s="6" t="inlineStr">
        <is>
          <t>Donnees_annuelles</t>
        </is>
      </c>
      <c r="B28" s="6" t="inlineStr">
        <is>
          <t>colonne D</t>
        </is>
      </c>
      <c r="C28" s="6" t="inlineStr">
        <is>
          <t>salaire_brut_moyen</t>
        </is>
      </c>
      <c r="D28" s="6" t="inlineStr">
        <is>
          <t>Salaire brut annuel moyen (€ 2026)</t>
        </is>
      </c>
      <c r="E28" s="6" t="inlineStr">
        <is>
          <t>€ 2026/an</t>
        </is>
      </c>
      <c r="F28" s="6" t="inlineStr">
        <is>
          <t>Salariés à temps complet du privé ; brut reconstitué depuis le net ; +0,7 %/an réel après 2026. Salaire de référence de tous les régimes (comparaison à salaire égal)</t>
        </is>
      </c>
      <c r="G28" s="6" t="inlineStr">
        <is>
          <t>INSEE, série 010752366</t>
        </is>
      </c>
    </row>
    <row r="29">
      <c r="A29" s="6" t="inlineStr">
        <is>
          <t>Donnees_annuelles</t>
        </is>
      </c>
      <c r="B29" s="6" t="inlineStr">
        <is>
          <t>colonne E</t>
        </is>
      </c>
      <c r="C29" s="6" t="inlineStr">
        <is>
          <t>plafond_secu</t>
        </is>
      </c>
      <c r="D29" s="6" t="inlineStr">
        <is>
          <t>Plafond de la Sécurité sociale (€ 2026)</t>
        </is>
      </c>
      <c r="E29" s="6" t="inlineStr">
        <is>
          <t>€ 2026/an</t>
        </is>
      </c>
      <c r="F29" s="6" t="inlineStr">
        <is>
          <t>PSS annuel ; +0,7 %/an réel après 2026</t>
        </is>
      </c>
      <c r="G29" s="6" t="inlineStr">
        <is>
          <t>Barèmes IPP</t>
        </is>
      </c>
    </row>
    <row r="30">
      <c r="A30" s="6" t="inlineStr">
        <is>
          <t>Donnees_annuelles</t>
        </is>
      </c>
      <c r="B30" s="6" t="inlineStr">
        <is>
          <t>colonne F</t>
        </is>
      </c>
      <c r="C30" s="6" t="inlineStr">
        <is>
          <t>taux_sal_sous_pss_noncadre</t>
        </is>
      </c>
      <c r="D30" s="6" t="inlineStr">
        <is>
          <t>Taux vieillesse salarial ≤ PSS, non-cadre</t>
        </is>
      </c>
      <c r="E30" s="6" t="inlineStr">
        <is>
          <t>%</t>
        </is>
      </c>
      <c r="F30" s="6" t="inlineStr">
        <is>
          <t>Base plafonnée + déplafonnée + complémentaire T1 + part vieillesse CSG/CRDS</t>
        </is>
      </c>
      <c r="G30" s="6" t="inlineStr">
        <is>
          <t>Tableau des cotisations (IPP)</t>
        </is>
      </c>
    </row>
    <row r="31">
      <c r="A31" s="6" t="inlineStr">
        <is>
          <t>Donnees_annuelles</t>
        </is>
      </c>
      <c r="B31" s="6" t="inlineStr">
        <is>
          <t>colonne G</t>
        </is>
      </c>
      <c r="C31" s="6" t="inlineStr">
        <is>
          <t>taux_pat_sous_pss_noncadre</t>
        </is>
      </c>
      <c r="D31" s="6" t="inlineStr">
        <is>
          <t>Taux vieillesse patronal ≤ PSS, non-cadre</t>
        </is>
      </c>
      <c r="E31" s="6" t="inlineStr">
        <is>
          <t>%</t>
        </is>
      </c>
      <c r="F31" s="6" t="inlineStr">
        <is>
          <t>Base + complémentaire T1</t>
        </is>
      </c>
      <c r="G31" s="6" t="inlineStr">
        <is>
          <t>Tableau des cotisations</t>
        </is>
      </c>
    </row>
    <row r="32">
      <c r="A32" s="6" t="inlineStr">
        <is>
          <t>Donnees_annuelles</t>
        </is>
      </c>
      <c r="B32" s="6" t="inlineStr">
        <is>
          <t>colonne H</t>
        </is>
      </c>
      <c r="C32" s="6" t="inlineStr">
        <is>
          <t>taux_sal_sur_pss_noncadre</t>
        </is>
      </c>
      <c r="D32" s="6" t="inlineStr">
        <is>
          <t>Taux vieillesse salarial &gt; PSS, non-cadre</t>
        </is>
      </c>
      <c r="E32" s="6" t="inlineStr">
        <is>
          <t>%</t>
        </is>
      </c>
      <c r="F32" s="6" t="inlineStr">
        <is>
          <t>Part du salaire au-delà du plafond</t>
        </is>
      </c>
      <c r="G32" s="6" t="inlineStr">
        <is>
          <t>Tableau des cotisations</t>
        </is>
      </c>
    </row>
    <row r="33">
      <c r="A33" s="6" t="inlineStr">
        <is>
          <t>Donnees_annuelles</t>
        </is>
      </c>
      <c r="B33" s="6" t="inlineStr">
        <is>
          <t>colonne I</t>
        </is>
      </c>
      <c r="C33" s="6" t="inlineStr">
        <is>
          <t>taux_pat_sur_pss_noncadre</t>
        </is>
      </c>
      <c r="D33" s="6" t="inlineStr">
        <is>
          <t>Taux vieillesse patronal &gt; PSS, non-cadre</t>
        </is>
      </c>
      <c r="E33" s="6" t="inlineStr">
        <is>
          <t>%</t>
        </is>
      </c>
      <c r="F33" s="6" t="inlineStr">
        <is>
          <t>Part du salaire au-delà du plafond</t>
        </is>
      </c>
      <c r="G33" s="6" t="inlineStr">
        <is>
          <t>Tableau des cotisations</t>
        </is>
      </c>
    </row>
    <row r="34">
      <c r="A34" s="6" t="inlineStr">
        <is>
          <t>Donnees_annuelles</t>
        </is>
      </c>
      <c r="B34" s="6" t="inlineStr">
        <is>
          <t>colonne J</t>
        </is>
      </c>
      <c r="C34" s="6" t="inlineStr">
        <is>
          <t>taux_sal_sous_pss_cadre</t>
        </is>
      </c>
      <c r="D34" s="6" t="inlineStr">
        <is>
          <t>Taux vieillesse salarial ≤ PSS, cadre</t>
        </is>
      </c>
      <c r="E34" s="6" t="inlineStr">
        <is>
          <t>%</t>
        </is>
      </c>
      <c r="F34" s="6" t="inlineStr">
        <is>
          <t>Avec CET cadres 1997-2018</t>
        </is>
      </c>
      <c r="G34" s="6" t="inlineStr">
        <is>
          <t>Tableau des cotisations</t>
        </is>
      </c>
    </row>
    <row r="35">
      <c r="A35" s="6" t="inlineStr">
        <is>
          <t>Donnees_annuelles</t>
        </is>
      </c>
      <c r="B35" s="6" t="inlineStr">
        <is>
          <t>colonne K</t>
        </is>
      </c>
      <c r="C35" s="6" t="inlineStr">
        <is>
          <t>taux_pat_sous_pss_cadre</t>
        </is>
      </c>
      <c r="D35" s="6" t="inlineStr">
        <is>
          <t>Taux vieillesse patronal ≤ PSS, cadre</t>
        </is>
      </c>
      <c r="E35" s="6" t="inlineStr">
        <is>
          <t>%</t>
        </is>
      </c>
      <c r="F35" s="6" t="inlineStr"/>
      <c r="G35" s="6" t="inlineStr">
        <is>
          <t>Tableau des cotisations</t>
        </is>
      </c>
    </row>
    <row r="36">
      <c r="A36" s="6" t="inlineStr">
        <is>
          <t>Donnees_annuelles</t>
        </is>
      </c>
      <c r="B36" s="6" t="inlineStr">
        <is>
          <t>colonne L</t>
        </is>
      </c>
      <c r="C36" s="6" t="inlineStr">
        <is>
          <t>taux_sal_sur_pss_cadre</t>
        </is>
      </c>
      <c r="D36" s="6" t="inlineStr">
        <is>
          <t>Taux vieillesse salarial &gt; PSS, cadre</t>
        </is>
      </c>
      <c r="E36" s="6" t="inlineStr">
        <is>
          <t>%</t>
        </is>
      </c>
      <c r="F36" s="6" t="inlineStr">
        <is>
          <t>AGIRC tranche B puis Agirc-Arrco T2</t>
        </is>
      </c>
      <c r="G36" s="6" t="inlineStr">
        <is>
          <t>Tableau des cotisations</t>
        </is>
      </c>
    </row>
    <row r="37">
      <c r="A37" s="6" t="inlineStr">
        <is>
          <t>Donnees_annuelles</t>
        </is>
      </c>
      <c r="B37" s="6" t="inlineStr">
        <is>
          <t>colonne M</t>
        </is>
      </c>
      <c r="C37" s="6" t="inlineStr">
        <is>
          <t>taux_pat_sur_pss_cadre</t>
        </is>
      </c>
      <c r="D37" s="6" t="inlineStr">
        <is>
          <t>Taux vieillesse patronal &gt; PSS, cadre</t>
        </is>
      </c>
      <c r="E37" s="6" t="inlineStr">
        <is>
          <t>%</t>
        </is>
      </c>
      <c r="F37" s="6" t="inlineStr"/>
      <c r="G37" s="6" t="inlineStr">
        <is>
          <t>Tableau des cotisations</t>
        </is>
      </c>
    </row>
    <row r="38">
      <c r="A38" s="6" t="inlineStr">
        <is>
          <t>Donnees_annuelles</t>
        </is>
      </c>
      <c r="B38" s="6" t="inlineStr">
        <is>
          <t>colonne N</t>
        </is>
      </c>
      <c r="C38" s="6" t="inlineStr">
        <is>
          <t>cotis_sal_salaire_moyen</t>
        </is>
      </c>
      <c r="D38" s="6" t="inlineStr">
        <is>
          <t>Privé : cotisations vieillesse salariales au salaire moyen (€ 2026)</t>
        </is>
      </c>
      <c r="E38" s="6" t="inlineStr">
        <is>
          <t>€ 2026/an</t>
        </is>
      </c>
      <c r="F38" s="6" t="inlineStr">
        <is>
          <t>MIN(salaire, PSS) × taux ≤PSS + MAX(0, salaire − PSS) × taux &gt;PSS, non-cadre</t>
        </is>
      </c>
      <c r="G38" s="6" t="inlineStr">
        <is>
          <t>Calcul</t>
        </is>
      </c>
    </row>
    <row r="39">
      <c r="A39" s="6" t="inlineStr">
        <is>
          <t>Donnees_annuelles</t>
        </is>
      </c>
      <c r="B39" s="6" t="inlineStr">
        <is>
          <t>colonne O</t>
        </is>
      </c>
      <c r="C39" s="6" t="inlineStr">
        <is>
          <t>cotis_pat_salaire_moyen</t>
        </is>
      </c>
      <c r="D39" s="6" t="inlineStr">
        <is>
          <t>Privé : cotisations vieillesse patronales au salaire moyen (€ 2026)</t>
        </is>
      </c>
      <c r="E39" s="6" t="inlineStr">
        <is>
          <t>€ 2026/an</t>
        </is>
      </c>
      <c r="F39" s="6" t="inlineStr">
        <is>
          <t>Idem, taux patronaux</t>
        </is>
      </c>
      <c r="G39" s="6" t="inlineStr">
        <is>
          <t>Calcul</t>
        </is>
      </c>
    </row>
    <row r="40">
      <c r="A40" s="6" t="inlineStr">
        <is>
          <t>Donnees_annuelles</t>
        </is>
      </c>
      <c r="B40" s="6" t="inlineStr">
        <is>
          <t>colonne P</t>
        </is>
      </c>
      <c r="C40" s="6" t="inlineStr">
        <is>
          <t>cotis_total_salaire_moyen</t>
        </is>
      </c>
      <c r="D40" s="6" t="inlineStr">
        <is>
          <t>Privé : cotisations vieillesse totales au salaire moyen (€ 2026)</t>
        </is>
      </c>
      <c r="E40" s="6" t="inlineStr">
        <is>
          <t>€ 2026/an</t>
        </is>
      </c>
      <c r="F40" s="6" t="inlineStr">
        <is>
          <t>Salariales + patronales</t>
        </is>
      </c>
      <c r="G40" s="6" t="inlineStr">
        <is>
          <t>Calcul</t>
        </is>
      </c>
    </row>
    <row r="41">
      <c r="A41" s="6" t="inlineStr">
        <is>
          <t>Donnees_annuelles</t>
        </is>
      </c>
      <c r="B41" s="6" t="inlineStr">
        <is>
          <t>colonne Q</t>
        </is>
      </c>
      <c r="C41" s="6" t="inlineStr">
        <is>
          <t>taux_vieillesse_total_salaire_moyen</t>
        </is>
      </c>
      <c r="D41" s="6" t="inlineStr">
        <is>
          <t>Privé : taux vieillesse total au salaire moyen</t>
        </is>
      </c>
      <c r="E41" s="6" t="inlineStr">
        <is>
          <t>%</t>
        </is>
      </c>
      <c r="F41" s="6" t="inlineStr">
        <is>
          <t>Cotisations totales ÷ salaire brut</t>
        </is>
      </c>
      <c r="G41" s="6" t="inlineStr">
        <is>
          <t>Calcul</t>
        </is>
      </c>
    </row>
    <row r="42">
      <c r="A42" s="6" t="inlineStr">
        <is>
          <t>Donnees_annuelles</t>
        </is>
      </c>
      <c r="B42" s="6" t="inlineStr">
        <is>
          <t>colonne R</t>
        </is>
      </c>
      <c r="C42" s="6" t="inlineStr">
        <is>
          <t>cout_employeur_salaire_moyen</t>
        </is>
      </c>
      <c r="D42" s="6" t="inlineStr">
        <is>
          <t>Privé : coût employeur retraite au salaire moyen (€ 2026)</t>
        </is>
      </c>
      <c r="E42" s="6" t="inlineStr">
        <is>
          <t>€ 2026/an</t>
        </is>
      </c>
      <c r="F42" s="6" t="inlineStr">
        <is>
          <t>Salaire brut + cotisations patronales vieillesse</t>
        </is>
      </c>
      <c r="G42" s="6" t="inlineStr">
        <is>
          <t>Calcul</t>
        </is>
      </c>
    </row>
    <row r="43">
      <c r="A43" s="6" t="inlineStr">
        <is>
          <t>Donnees_annuelles</t>
        </is>
      </c>
      <c r="B43" s="6" t="inlineStr">
        <is>
          <t>colonne S</t>
        </is>
      </c>
      <c r="C43" s="6" t="inlineStr">
        <is>
          <t>duree_legale_hebdo</t>
        </is>
      </c>
      <c r="D43" s="6" t="inlineStr">
        <is>
          <t>Durée légale hebdomadaire</t>
        </is>
      </c>
      <c r="E43" s="6" t="inlineStr">
        <is>
          <t>heures</t>
        </is>
      </c>
      <c r="F43" s="6" t="inlineStr">
        <is>
          <t>40 h, 39 h (1982), 35 h (2000)</t>
        </is>
      </c>
      <c r="G43" s="6" t="inlineStr">
        <is>
          <t>Code du travail</t>
        </is>
      </c>
    </row>
    <row r="44">
      <c r="A44" s="6" t="inlineStr">
        <is>
          <t>Donnees_annuelles</t>
        </is>
      </c>
      <c r="B44" s="6" t="inlineStr">
        <is>
          <t>colonne T</t>
        </is>
      </c>
      <c r="C44" s="6" t="inlineStr">
        <is>
          <t>duree_reelle_hebdo</t>
        </is>
      </c>
      <c r="D44" s="6" t="inlineStr">
        <is>
          <t>Durée réellement effectuée hebdomadaire (temps complet, privé)</t>
        </is>
      </c>
      <c r="E44" s="6" t="inlineStr">
        <is>
          <t>heures</t>
        </is>
      </c>
      <c r="F44" s="6" t="inlineStr">
        <is>
          <t>Eurostat 1983-2025 ; estimations avant ; 38,8 h figée après 2025</t>
        </is>
      </c>
      <c r="G44" s="6" t="inlineStr">
        <is>
          <t>Eurostat lfsa_ewhuis, INSEE</t>
        </is>
      </c>
    </row>
    <row r="45">
      <c r="A45" s="6" t="inlineStr">
        <is>
          <t>Donnees_annuelles</t>
        </is>
      </c>
      <c r="B45" s="6" t="inlineStr">
        <is>
          <t>colonne U</t>
        </is>
      </c>
      <c r="C45" s="6" t="inlineStr">
        <is>
          <t>jours_travailles</t>
        </is>
      </c>
      <c r="D45" s="6" t="inlineStr">
        <is>
          <t>Jours travaillés dans l'année</t>
        </is>
      </c>
      <c r="E45" s="6" t="inlineStr">
        <is>
          <t>jours</t>
        </is>
      </c>
      <c r="F45" s="6" t="inlineStr">
        <is>
          <t>Jours ouvrés − fériés en semaine − congés payés</t>
        </is>
      </c>
      <c r="G45" s="6" t="inlineStr">
        <is>
          <t>Calendrier, Code du travail</t>
        </is>
      </c>
    </row>
    <row r="46">
      <c r="A46" s="6" t="inlineStr">
        <is>
          <t>Donnees_annuelles</t>
        </is>
      </c>
      <c r="B46" s="6" t="inlineStr">
        <is>
          <t>colonne V</t>
        </is>
      </c>
      <c r="C46" s="6" t="inlineStr">
        <is>
          <t>heures_legales_an</t>
        </is>
      </c>
      <c r="D46" s="6" t="inlineStr">
        <is>
          <t>Heures annuelles selon la durée légale</t>
        </is>
      </c>
      <c r="E46" s="6" t="inlineStr">
        <is>
          <t>heures/an</t>
        </is>
      </c>
      <c r="F46" s="6" t="inlineStr">
        <is>
          <t>Jours travaillés × durée légale ÷ 5 + journée de solidarité</t>
        </is>
      </c>
      <c r="G46" s="6" t="inlineStr">
        <is>
          <t>Calcul</t>
        </is>
      </c>
    </row>
    <row r="47">
      <c r="A47" s="6" t="inlineStr">
        <is>
          <t>Donnees_annuelles</t>
        </is>
      </c>
      <c r="B47" s="6" t="inlineStr">
        <is>
          <t>colonne W</t>
        </is>
      </c>
      <c r="C47" s="6" t="inlineStr">
        <is>
          <t>heures_reelles_an</t>
        </is>
      </c>
      <c r="D47" s="6" t="inlineStr">
        <is>
          <t>Heures annuelles réellement effectuées (privé)</t>
        </is>
      </c>
      <c r="E47" s="6" t="inlineStr">
        <is>
          <t>heures/an</t>
        </is>
      </c>
      <c r="F47" s="6" t="inlineStr">
        <is>
          <t>Jours travaillés × durée réelle ÷ 5 + journée de solidarité ; les régimes publics appliquent un ratio (Regles_regimes)</t>
        </is>
      </c>
      <c r="G47" s="6" t="inlineStr">
        <is>
          <t>Calcul</t>
        </is>
      </c>
    </row>
    <row r="48">
      <c r="A48" s="6" t="inlineStr">
        <is>
          <t>Donnees_annuelles</t>
        </is>
      </c>
      <c r="B48" s="6" t="inlineStr">
        <is>
          <t>colonne X</t>
        </is>
      </c>
      <c r="C48" s="6" t="inlineStr">
        <is>
          <t>pension_moyenne_ensemble</t>
        </is>
      </c>
      <c r="D48" s="6" t="inlineStr">
        <is>
          <t>Pension moyenne de droit direct, ensemble des retraités (€ 2026)</t>
        </is>
      </c>
      <c r="E48" s="6" t="inlineStr">
        <is>
          <t>€ 2026/an</t>
        </is>
      </c>
      <c r="F48" s="6" t="inlineStr">
        <is>
          <t>Brute ; DREES 2004-2024 ; estimée avant ; projetée après 2026</t>
        </is>
      </c>
      <c r="G48" s="6" t="inlineStr">
        <is>
          <t>DREES EACR-ANCETRE, COR</t>
        </is>
      </c>
    </row>
    <row r="49">
      <c r="A49" s="6" t="inlineStr">
        <is>
          <t>Donnees_annuelles</t>
        </is>
      </c>
      <c r="B49" s="6" t="inlineStr">
        <is>
          <t>colonne Y</t>
        </is>
      </c>
      <c r="C49" s="6" t="inlineStr">
        <is>
          <t>pension_moyenne_nouveaux_retraites</t>
        </is>
      </c>
      <c r="D49" s="6" t="inlineStr">
        <is>
          <t>Pension moyenne des nouveaux retraités de l'année (€ 2026)</t>
        </is>
      </c>
      <c r="E49" s="6" t="inlineStr">
        <is>
          <t>€ 2026/an</t>
        </is>
      </c>
      <c r="F49" s="6" t="inlineStr">
        <is>
          <t>Brute ; DREES 2004-2024 ; estimée avant ; projetée après 2026</t>
        </is>
      </c>
      <c r="G49" s="6" t="inlineStr">
        <is>
          <t>DREES EACR-ANCETRE, COR</t>
        </is>
      </c>
    </row>
    <row r="50">
      <c r="A50" s="6" t="inlineStr">
        <is>
          <t>Donnees_annuelles</t>
        </is>
      </c>
      <c r="B50" s="6" t="inlineStr">
        <is>
          <t>colonne Z</t>
        </is>
      </c>
      <c r="C50" s="6" t="inlineStr">
        <is>
          <t>age_moyen_debut_carriere</t>
        </is>
      </c>
      <c r="D50" s="6" t="inlineStr">
        <is>
          <t>Âge moyen de début pour une carrière commençant cette année</t>
        </is>
      </c>
      <c r="E50" s="6" t="inlineStr">
        <is>
          <t>ans</t>
        </is>
      </c>
      <c r="F50" s="6" t="inlineStr">
        <is>
          <t>Hypothèse : 16 ans jusqu'en 1960, 17 (1970), 18,5 (1980), 20 (1990), 21,5 (2000 et après)</t>
        </is>
      </c>
      <c r="G50" s="6" t="inlineStr">
        <is>
          <t>Hypothèse (ordre de grandeur de l'âge de fin d'études)</t>
        </is>
      </c>
    </row>
    <row r="51">
      <c r="A51" s="6" t="inlineStr">
        <is>
          <t>Donnees_annuelles</t>
        </is>
      </c>
      <c r="B51" s="6" t="inlineStr">
        <is>
          <t>colonne AA</t>
        </is>
      </c>
      <c r="C51" s="6" t="inlineStr">
        <is>
          <t>coef_nominal</t>
        </is>
      </c>
      <c r="D51" s="6" t="inlineStr">
        <is>
          <t>Coefficient euros courants → euros 2026 (toutes années)</t>
        </is>
      </c>
      <c r="E51" s="6" t="inlineStr"/>
      <c r="F51" s="6" t="inlineStr">
        <is>
          <t>Calcul :  coef_euro_2026 jusqu'en 2026 ; 1/(1+inflation)^(année−2026) ensuite</t>
        </is>
      </c>
      <c r="G51" s="6" t="inlineStr">
        <is>
          <t>INSEE ; Parametres B12</t>
        </is>
      </c>
    </row>
    <row r="52">
      <c r="A52" s="6" t="inlineStr">
        <is>
          <t>Donnees_annuelles</t>
        </is>
      </c>
      <c r="B52" s="6" t="inlineStr">
        <is>
          <t>colonne AB</t>
        </is>
      </c>
      <c r="C52" s="6" t="inlineStr">
        <is>
          <t>salaire_brut_nominal</t>
        </is>
      </c>
      <c r="D52" s="6" t="inlineStr">
        <is>
          <t>Salaire brut annuel moyen en euros courants de l'année</t>
        </is>
      </c>
      <c r="E52" s="6" t="inlineStr">
        <is>
          <t>€ courants/an</t>
        </is>
      </c>
      <c r="F52" s="6" t="inlineStr">
        <is>
          <t>Salaire en € 2026 ÷ coefficient : c'est le salaire réellement versé à l'époque (francs convertis en euros)</t>
        </is>
      </c>
      <c r="G52" s="6" t="inlineStr">
        <is>
          <t>Calcul</t>
        </is>
      </c>
    </row>
    <row r="53">
      <c r="A53" s="6" t="inlineStr">
        <is>
          <t>Donnees_annuelles</t>
        </is>
      </c>
      <c r="B53" s="6" t="inlineStr">
        <is>
          <t>colonne AC</t>
        </is>
      </c>
      <c r="C53" s="6" t="inlineStr">
        <is>
          <t>rendement_actions_dividendes_observe</t>
        </is>
      </c>
      <c r="D53" s="6" t="inlineStr">
        <is>
          <t>Rendement annuel des actions françaises, dividendes réinvestis (observé)</t>
        </is>
      </c>
      <c r="E53" s="6" t="inlineStr">
        <is>
          <t>%</t>
        </is>
      </c>
      <c r="F53" s="6" t="inlineStr">
        <is>
          <t>CAC 40 GR (Euronext) depuis 1988 ; base JST (grandes valeurs françaises) 1945-1987 ; 2026 : janvier-septembre</t>
        </is>
      </c>
      <c r="G53" s="6" t="inlineStr">
        <is>
          <t>Euronext ; Jordà-Schularick-Taylor R6</t>
        </is>
      </c>
    </row>
    <row r="54">
      <c r="A54" s="6" t="inlineStr">
        <is>
          <t>Donnees_annuelles</t>
        </is>
      </c>
      <c r="B54" s="6" t="inlineStr">
        <is>
          <t>colonne AD</t>
        </is>
      </c>
      <c r="C54" s="6" t="inlineStr">
        <is>
          <t>rendement_actions_cours_observe</t>
        </is>
      </c>
      <c r="D54" s="6" t="inlineStr">
        <is>
          <t>Rendement annuel du cours seul (observé)</t>
        </is>
      </c>
      <c r="E54" s="6" t="inlineStr">
        <is>
          <t>%</t>
        </is>
      </c>
      <c r="F54" s="6" t="inlineStr">
        <is>
          <t>CAC 40 depuis 1988 ; base JST 1945-1987 ; 2026 : janvier-septembre</t>
        </is>
      </c>
      <c r="G54" s="6" t="inlineStr">
        <is>
          <t>Euronext ; JST R6</t>
        </is>
      </c>
    </row>
    <row r="55">
      <c r="A55" s="6" t="inlineStr">
        <is>
          <t>Donnees_annuelles</t>
        </is>
      </c>
      <c r="B55" s="6" t="inlineStr">
        <is>
          <t>colonne AE</t>
        </is>
      </c>
      <c r="C55" s="6" t="inlineStr">
        <is>
          <t>rendement_actions_dividendes</t>
        </is>
      </c>
      <c r="D55" s="6" t="inlineStr">
        <is>
          <t>Rendement retenu, dividendes réinvestis</t>
        </is>
      </c>
      <c r="E55" s="6" t="inlineStr">
        <is>
          <t>%</t>
        </is>
      </c>
      <c r="F55" s="6" t="inlineStr">
        <is>
          <t>Observé jusqu'en 2025 ; 2026 : observé puis projeté d'octobre à décembre ; ensuite (1 + rendement réel) × (1 + inflation) − 1</t>
        </is>
      </c>
      <c r="G55" s="6" t="inlineStr">
        <is>
          <t>Calcul, Parametres B12-B13</t>
        </is>
      </c>
    </row>
    <row r="56">
      <c r="A56" s="6" t="inlineStr">
        <is>
          <t>Donnees_annuelles</t>
        </is>
      </c>
      <c r="B56" s="6" t="inlineStr">
        <is>
          <t>colonne AF</t>
        </is>
      </c>
      <c r="C56" s="6" t="inlineStr">
        <is>
          <t>rendement_actions_cours</t>
        </is>
      </c>
      <c r="D56" s="6" t="inlineStr">
        <is>
          <t>Rendement retenu, cours seul</t>
        </is>
      </c>
      <c r="E56" s="6" t="inlineStr">
        <is>
          <t>%</t>
        </is>
      </c>
      <c r="F56" s="6" t="inlineStr">
        <is>
          <t>Idem, cours seul</t>
        </is>
      </c>
      <c r="G56" s="6" t="inlineStr">
        <is>
          <t>Calcul, Parametres B12, B14</t>
        </is>
      </c>
    </row>
    <row r="57">
      <c r="A57" s="6" t="inlineStr">
        <is>
          <t>Donnees_annuelles</t>
        </is>
      </c>
      <c r="B57" s="6" t="inlineStr">
        <is>
          <t>colonne AG</t>
        </is>
      </c>
      <c r="C57" s="6" t="inlineStr">
        <is>
          <t>indice_dividendes_fin_annee</t>
        </is>
      </c>
      <c r="D57" s="6" t="inlineStr">
        <is>
          <t>Indice actions dividendes réinvestis, fin d'année (1944 = 1)</t>
        </is>
      </c>
      <c r="E57" s="6" t="inlineStr"/>
      <c r="F57" s="6" t="inlineStr">
        <is>
          <t>Produit cumulé des rendements</t>
        </is>
      </c>
      <c r="G57" s="6" t="inlineStr">
        <is>
          <t>Calcul</t>
        </is>
      </c>
    </row>
    <row r="58">
      <c r="A58" s="6" t="inlineStr">
        <is>
          <t>Donnees_annuelles</t>
        </is>
      </c>
      <c r="B58" s="6" t="inlineStr">
        <is>
          <t>colonne AH</t>
        </is>
      </c>
      <c r="C58" s="6" t="inlineStr">
        <is>
          <t>indice_cours_fin_annee</t>
        </is>
      </c>
      <c r="D58" s="6" t="inlineStr">
        <is>
          <t>Indice actions cours seul, fin d'année (1944 = 1)</t>
        </is>
      </c>
      <c r="E58" s="6" t="inlineStr"/>
      <c r="F58" s="6" t="inlineStr">
        <is>
          <t>Produit cumulé des rendements</t>
        </is>
      </c>
      <c r="G58" s="6" t="inlineStr">
        <is>
          <t>Calcul</t>
        </is>
      </c>
    </row>
    <row r="59">
      <c r="A59" s="6" t="inlineStr">
        <is>
          <t>Donnees_annuelles</t>
        </is>
      </c>
      <c r="B59" s="6" t="inlineStr">
        <is>
          <t>colonne AI</t>
        </is>
      </c>
      <c r="C59" s="6" t="inlineStr">
        <is>
          <t>facteur_mensuel_dividendes</t>
        </is>
      </c>
      <c r="D59" s="6" t="inlineStr">
        <is>
          <t>Valeur en fin d'année d'1 € versé par douzièmes en fin de mois</t>
        </is>
      </c>
      <c r="E59" s="6" t="inlineStr"/>
      <c r="F59" s="6" t="inlineStr">
        <is>
          <t>r ÷ (12 × ((1 + r)^(1/12) − 1))</t>
        </is>
      </c>
      <c r="G59" s="6" t="inlineStr">
        <is>
          <t>Calcul</t>
        </is>
      </c>
    </row>
    <row r="60">
      <c r="A60" s="6" t="inlineStr">
        <is>
          <t>Donnees_annuelles</t>
        </is>
      </c>
      <c r="B60" s="6" t="inlineStr">
        <is>
          <t>colonne AJ</t>
        </is>
      </c>
      <c r="C60" s="6" t="inlineStr">
        <is>
          <t>facteur_mensuel_cours</t>
        </is>
      </c>
      <c r="D60" s="6" t="inlineStr">
        <is>
          <t>Idem, cours seul</t>
        </is>
      </c>
      <c r="E60" s="6" t="inlineStr"/>
      <c r="F60" s="6" t="inlineStr">
        <is>
          <t>r ÷ (12 × ((1 + r)^(1/12) − 1))</t>
        </is>
      </c>
      <c r="G60" s="6" t="inlineStr">
        <is>
          <t>Calcul</t>
        </is>
      </c>
    </row>
    <row r="61">
      <c r="A61" s="6" t="inlineStr">
        <is>
          <t>Donnees_annuelles</t>
        </is>
      </c>
      <c r="B61" s="6" t="inlineStr">
        <is>
          <t>colonne AK</t>
        </is>
      </c>
      <c r="C61" s="6" t="inlineStr">
        <is>
          <t>page3_salaire_profil_A</t>
        </is>
      </c>
      <c r="D61" s="6" t="inlineStr">
        <is>
          <t>Page 3 : salaire brut de la personne A (€ 2026)</t>
        </is>
      </c>
      <c r="E61" s="6" t="inlineStr">
        <is>
          <t>€ 2026/an</t>
        </is>
      </c>
      <c r="F61" s="6" t="inlineStr">
        <is>
          <t>Salaire moyen × multiple saisi (colonne technique)</t>
        </is>
      </c>
      <c r="G61" s="6" t="inlineStr">
        <is>
          <t>Calcul</t>
        </is>
      </c>
    </row>
    <row r="62">
      <c r="A62" s="6" t="inlineStr">
        <is>
          <t>Donnees_annuelles</t>
        </is>
      </c>
      <c r="B62" s="6" t="inlineStr">
        <is>
          <t>colonne AL</t>
        </is>
      </c>
      <c r="C62" s="6" t="inlineStr">
        <is>
          <t>page3_cotis_sal_profil_A</t>
        </is>
      </c>
      <c r="D62" s="6" t="inlineStr">
        <is>
          <t>Page 3 : cotisations salariales de la personne A (€ 2026)</t>
        </is>
      </c>
      <c r="E62" s="6" t="inlineStr">
        <is>
          <t>€ 2026/an</t>
        </is>
      </c>
      <c r="F62" s="6" t="inlineStr">
        <is>
          <t>Privé : barème non-cadre ou cadre ; régimes publics : taux équivalent du régime (colonne technique)</t>
        </is>
      </c>
      <c r="G62" s="6" t="inlineStr">
        <is>
          <t>Calcul</t>
        </is>
      </c>
    </row>
    <row r="63">
      <c r="A63" s="6" t="inlineStr">
        <is>
          <t>Donnees_annuelles</t>
        </is>
      </c>
      <c r="B63" s="6" t="inlineStr">
        <is>
          <t>colonne AM</t>
        </is>
      </c>
      <c r="C63" s="6" t="inlineStr">
        <is>
          <t>page3_cotis_pat_profil_A</t>
        </is>
      </c>
      <c r="D63" s="6" t="inlineStr">
        <is>
          <t>Page 3 : cotisations patronales de la personne A (€ 2026)</t>
        </is>
      </c>
      <c r="E63" s="6" t="inlineStr">
        <is>
          <t>€ 2026/an</t>
        </is>
      </c>
      <c r="F63" s="6" t="inlineStr">
        <is>
          <t>Colonne technique</t>
        </is>
      </c>
      <c r="G63" s="6" t="inlineStr">
        <is>
          <t>Calcul</t>
        </is>
      </c>
    </row>
    <row r="64">
      <c r="A64" s="6" t="inlineStr">
        <is>
          <t>Donnees_annuelles</t>
        </is>
      </c>
      <c r="B64" s="6" t="inlineStr">
        <is>
          <t>colonne AN</t>
        </is>
      </c>
      <c r="C64" s="6" t="inlineStr">
        <is>
          <t>page3_subvention_profil_A</t>
        </is>
      </c>
      <c r="D64" s="6" t="inlineStr">
        <is>
          <t>Page 3 : subvention d'équilibre rattachée à la personne A (€ 2026)</t>
        </is>
      </c>
      <c r="E64" s="6" t="inlineStr">
        <is>
          <t>€ 2026/an</t>
        </is>
      </c>
      <c r="F64" s="6" t="inlineStr">
        <is>
          <t>Colonne technique</t>
        </is>
      </c>
      <c r="G64" s="6" t="inlineStr">
        <is>
          <t>Calcul</t>
        </is>
      </c>
    </row>
    <row r="65">
      <c r="A65" s="6" t="inlineStr">
        <is>
          <t>Donnees_annuelles</t>
        </is>
      </c>
      <c r="B65" s="6" t="inlineStr">
        <is>
          <t>colonne AO</t>
        </is>
      </c>
      <c r="C65" s="6" t="inlineStr">
        <is>
          <t>page3_cap_dividendes_profil_A</t>
        </is>
      </c>
      <c r="D65" s="6" t="inlineStr">
        <is>
          <t>Page 3 : capitalisation, contribution de l'année (personne A)</t>
        </is>
      </c>
      <c r="E65" s="6" t="inlineStr"/>
      <c r="F65" s="6" t="inlineStr">
        <is>
          <t>Cotisations en euros courants × facteur mensuel ÷ indice de fin d'année (colonne technique)</t>
        </is>
      </c>
      <c r="G65" s="6" t="inlineStr">
        <is>
          <t>Calcul</t>
        </is>
      </c>
    </row>
    <row r="66">
      <c r="A66" s="6" t="inlineStr">
        <is>
          <t>Donnees_annuelles</t>
        </is>
      </c>
      <c r="B66" s="6" t="inlineStr">
        <is>
          <t>colonne AP</t>
        </is>
      </c>
      <c r="C66" s="6" t="inlineStr">
        <is>
          <t>page3_cap_cours_profil_A</t>
        </is>
      </c>
      <c r="D66" s="6" t="inlineStr">
        <is>
          <t>Page 3 : capitalisation cours seul (personne A)</t>
        </is>
      </c>
      <c r="E66" s="6" t="inlineStr"/>
      <c r="F66" s="6" t="inlineStr">
        <is>
          <t>Colonne technique</t>
        </is>
      </c>
      <c r="G66" s="6" t="inlineStr">
        <is>
          <t>Calcul</t>
        </is>
      </c>
    </row>
    <row r="67">
      <c r="A67" s="6" t="inlineStr">
        <is>
          <t>Donnees_annuelles</t>
        </is>
      </c>
      <c r="B67" s="6" t="inlineStr">
        <is>
          <t>colonne AQ</t>
        </is>
      </c>
      <c r="C67" s="6" t="inlineStr">
        <is>
          <t>page3_salaire_profil_B</t>
        </is>
      </c>
      <c r="D67" s="6" t="inlineStr">
        <is>
          <t>Page 3 : salaire brut de la personne B (€ 2026)</t>
        </is>
      </c>
      <c r="E67" s="6" t="inlineStr">
        <is>
          <t>€ 2026/an</t>
        </is>
      </c>
      <c r="F67" s="6" t="inlineStr">
        <is>
          <t>Salaire moyen × multiple saisi (colonne technique)</t>
        </is>
      </c>
      <c r="G67" s="6" t="inlineStr">
        <is>
          <t>Calcul</t>
        </is>
      </c>
    </row>
    <row r="68">
      <c r="A68" s="6" t="inlineStr">
        <is>
          <t>Donnees_annuelles</t>
        </is>
      </c>
      <c r="B68" s="6" t="inlineStr">
        <is>
          <t>colonne AR</t>
        </is>
      </c>
      <c r="C68" s="6" t="inlineStr">
        <is>
          <t>page3_cotis_sal_profil_B</t>
        </is>
      </c>
      <c r="D68" s="6" t="inlineStr">
        <is>
          <t>Page 3 : cotisations salariales de la personne B (€ 2026)</t>
        </is>
      </c>
      <c r="E68" s="6" t="inlineStr">
        <is>
          <t>€ 2026/an</t>
        </is>
      </c>
      <c r="F68" s="6" t="inlineStr">
        <is>
          <t>Privé : barème non-cadre ou cadre ; régimes publics : taux équivalent du régime (colonne technique)</t>
        </is>
      </c>
      <c r="G68" s="6" t="inlineStr">
        <is>
          <t>Calcul</t>
        </is>
      </c>
    </row>
    <row r="69">
      <c r="A69" s="6" t="inlineStr">
        <is>
          <t>Donnees_annuelles</t>
        </is>
      </c>
      <c r="B69" s="6" t="inlineStr">
        <is>
          <t>colonne AS</t>
        </is>
      </c>
      <c r="C69" s="6" t="inlineStr">
        <is>
          <t>page3_cotis_pat_profil_B</t>
        </is>
      </c>
      <c r="D69" s="6" t="inlineStr">
        <is>
          <t>Page 3 : cotisations patronales de la personne B (€ 2026)</t>
        </is>
      </c>
      <c r="E69" s="6" t="inlineStr">
        <is>
          <t>€ 2026/an</t>
        </is>
      </c>
      <c r="F69" s="6" t="inlineStr">
        <is>
          <t>Colonne technique</t>
        </is>
      </c>
      <c r="G69" s="6" t="inlineStr">
        <is>
          <t>Calcul</t>
        </is>
      </c>
    </row>
    <row r="70">
      <c r="A70" s="6" t="inlineStr">
        <is>
          <t>Donnees_annuelles</t>
        </is>
      </c>
      <c r="B70" s="6" t="inlineStr">
        <is>
          <t>colonne AT</t>
        </is>
      </c>
      <c r="C70" s="6" t="inlineStr">
        <is>
          <t>page3_subvention_profil_B</t>
        </is>
      </c>
      <c r="D70" s="6" t="inlineStr">
        <is>
          <t>Page 3 : subvention d'équilibre rattachée à la personne B (€ 2026)</t>
        </is>
      </c>
      <c r="E70" s="6" t="inlineStr">
        <is>
          <t>€ 2026/an</t>
        </is>
      </c>
      <c r="F70" s="6" t="inlineStr">
        <is>
          <t>Colonne technique</t>
        </is>
      </c>
      <c r="G70" s="6" t="inlineStr">
        <is>
          <t>Calcul</t>
        </is>
      </c>
    </row>
    <row r="71">
      <c r="A71" s="6" t="inlineStr">
        <is>
          <t>Donnees_annuelles</t>
        </is>
      </c>
      <c r="B71" s="6" t="inlineStr">
        <is>
          <t>colonne AU</t>
        </is>
      </c>
      <c r="C71" s="6" t="inlineStr">
        <is>
          <t>page3_cap_dividendes_profil_B</t>
        </is>
      </c>
      <c r="D71" s="6" t="inlineStr">
        <is>
          <t>Page 3 : capitalisation, contribution de l'année (personne B)</t>
        </is>
      </c>
      <c r="E71" s="6" t="inlineStr"/>
      <c r="F71" s="6" t="inlineStr">
        <is>
          <t>Cotisations en euros courants × facteur mensuel ÷ indice de fin d'année (colonne technique)</t>
        </is>
      </c>
      <c r="G71" s="6" t="inlineStr">
        <is>
          <t>Calcul</t>
        </is>
      </c>
    </row>
    <row r="72">
      <c r="A72" s="6" t="inlineStr">
        <is>
          <t>Donnees_annuelles</t>
        </is>
      </c>
      <c r="B72" s="6" t="inlineStr">
        <is>
          <t>colonne AV</t>
        </is>
      </c>
      <c r="C72" s="6" t="inlineStr">
        <is>
          <t>page3_cap_cours_profil_B</t>
        </is>
      </c>
      <c r="D72" s="6" t="inlineStr">
        <is>
          <t>Page 3 : capitalisation cours seul (personne B)</t>
        </is>
      </c>
      <c r="E72" s="6" t="inlineStr"/>
      <c r="F72" s="6" t="inlineStr">
        <is>
          <t>Colonne technique</t>
        </is>
      </c>
      <c r="G72" s="6" t="inlineStr">
        <is>
          <t>Calcul</t>
        </is>
      </c>
    </row>
    <row r="73">
      <c r="A73" s="6" t="inlineStr">
        <is>
          <t>Donnees_regimes</t>
        </is>
      </c>
      <c r="B73" s="6" t="inlineStr">
        <is>
          <t>colonne A</t>
        </is>
      </c>
      <c r="C73" s="6" t="inlineStr">
        <is>
          <t>regime</t>
        </is>
      </c>
      <c r="D73" s="6" t="inlineStr">
        <is>
          <t>Régime</t>
        </is>
      </c>
      <c r="E73" s="6" t="inlineStr"/>
      <c r="F73" s="6" t="inlineStr"/>
      <c r="G73" s="6" t="inlineStr"/>
    </row>
    <row r="74">
      <c r="A74" s="6" t="inlineStr">
        <is>
          <t>Donnees_regimes</t>
        </is>
      </c>
      <c r="B74" s="6" t="inlineStr">
        <is>
          <t>colonne B</t>
        </is>
      </c>
      <c r="C74" s="6" t="inlineStr">
        <is>
          <t>annee</t>
        </is>
      </c>
      <c r="D74" s="6" t="inlineStr">
        <is>
          <t>Année</t>
        </is>
      </c>
      <c r="E74" s="6" t="inlineStr"/>
      <c r="F74" s="6" t="inlineStr"/>
      <c r="G74" s="6" t="inlineStr"/>
    </row>
    <row r="75">
      <c r="A75" s="6" t="inlineStr">
        <is>
          <t>Donnees_regimes</t>
        </is>
      </c>
      <c r="B75" s="6" t="inlineStr">
        <is>
          <t>colonne C</t>
        </is>
      </c>
      <c r="C75" s="6" t="inlineStr">
        <is>
          <t>part_primes_hors_assiette</t>
        </is>
      </c>
      <c r="D75" s="6" t="inlineStr">
        <is>
          <t>Part des primes non soumises à cotisation retraite</t>
        </is>
      </c>
      <c r="E75" s="6" t="inlineStr">
        <is>
          <t>% du brut</t>
        </is>
      </c>
      <c r="F75" s="6" t="inlineStr">
        <is>
          <t>Fonctionnaires : 12 % (1945-1985) puis 20 % (2005) et 24,7 % État / 25 % CNRACL (2023, DGAFP) ; SNCF, RATP, IEG : 10 % (estimation)</t>
        </is>
      </c>
      <c r="G75" s="6" t="inlineStr">
        <is>
          <t>DGAFP 2025 ; estimations</t>
        </is>
      </c>
    </row>
    <row r="76">
      <c r="A76" s="6" t="inlineStr">
        <is>
          <t>Donnees_regimes</t>
        </is>
      </c>
      <c r="B76" s="6" t="inlineStr">
        <is>
          <t>colonne D</t>
        </is>
      </c>
      <c r="C76" s="6" t="inlineStr">
        <is>
          <t>taux_salarie_regime</t>
        </is>
      </c>
      <c r="D76" s="6" t="inlineStr">
        <is>
          <t>Taux de cotisation salarié du régime (sur le traitement ou le salaire soumis)</t>
        </is>
      </c>
      <c r="E76" s="6" t="inlineStr">
        <is>
          <t>%</t>
        </is>
      </c>
      <c r="F76" s="6" t="inlineStr">
        <is>
          <t>Pension civile / CNRACL / CPR / CRP / CNIEG ; 6 % avant 1984 par analogie avec la fonction publique quand la source manque</t>
        </is>
      </c>
      <c r="G76" s="6" t="inlineStr">
        <is>
          <t>IPP, décrets, CPR, CRP RATP, CNIEG</t>
        </is>
      </c>
    </row>
    <row r="77">
      <c r="A77" s="6" t="inlineStr">
        <is>
          <t>Donnees_regimes</t>
        </is>
      </c>
      <c r="B77" s="6" t="inlineStr">
        <is>
          <t>colonne E</t>
        </is>
      </c>
      <c r="C77" s="6" t="inlineStr">
        <is>
          <t>taux_employeur_regime</t>
        </is>
      </c>
      <c r="D77" s="6" t="inlineStr">
        <is>
          <t>Taux employeur du régime (légal, ou implicite estimé)</t>
        </is>
      </c>
      <c r="E77" s="6" t="inlineStr">
        <is>
          <t>%</t>
        </is>
      </c>
      <c r="F77" s="6" t="inlineStr">
        <is>
          <t>État : taux explicite depuis 2006 (74,28 % en 2013), implicite IPP 1995-2005, estimé avant ; SNCF : taux normalisé puis T1 + T2 ; RATP, IEG : taux légal depuis 2005-2006, estimé avant</t>
        </is>
      </c>
      <c r="G77" s="6" t="inlineStr">
        <is>
          <t>IPP, CAS Pensions, CNRACL, CPR, CRP, CNIEG</t>
        </is>
      </c>
    </row>
    <row r="78">
      <c r="A78" s="6" t="inlineStr">
        <is>
          <t>Donnees_regimes</t>
        </is>
      </c>
      <c r="B78" s="6" t="inlineStr">
        <is>
          <t>colonne F</t>
        </is>
      </c>
      <c r="C78" s="6" t="inlineStr">
        <is>
          <t>statut_taux_employeur</t>
        </is>
      </c>
      <c r="D78" s="6" t="inlineStr">
        <is>
          <t>Statut du taux employeur</t>
        </is>
      </c>
      <c r="E78" s="6" t="inlineStr"/>
      <c r="F78" s="6" t="inlineStr">
        <is>
          <t>légal / implicite / estimation</t>
        </is>
      </c>
      <c r="G78" s="6" t="inlineStr"/>
    </row>
    <row r="79">
      <c r="A79" s="6" t="inlineStr">
        <is>
          <t>Donnees_regimes</t>
        </is>
      </c>
      <c r="B79" s="6" t="inlineStr">
        <is>
          <t>colonne G</t>
        </is>
      </c>
      <c r="C79" s="6" t="inlineStr">
        <is>
          <t>taux_rafp</t>
        </is>
      </c>
      <c r="D79" s="6" t="inlineStr">
        <is>
          <t>Taux RAFP salarié = employeur (sur les primes plafonnées à 20 % du traitement)</t>
        </is>
      </c>
      <c r="E79" s="6" t="inlineStr">
        <is>
          <t>%</t>
        </is>
      </c>
      <c r="F79" s="6" t="inlineStr">
        <is>
          <t>5 % + 5 % depuis 2005, fonctionnaires</t>
        </is>
      </c>
      <c r="G79" s="6" t="inlineStr">
        <is>
          <t>Décret 2004-569</t>
        </is>
      </c>
    </row>
    <row r="80">
      <c r="A80" s="6" t="inlineStr">
        <is>
          <t>Donnees_regimes</t>
        </is>
      </c>
      <c r="B80" s="6" t="inlineStr">
        <is>
          <t>colonne H</t>
        </is>
      </c>
      <c r="C80" s="6" t="inlineStr">
        <is>
          <t>taux_csg_crds_vieillesse</t>
        </is>
      </c>
      <c r="D80" s="6" t="inlineStr">
        <is>
          <t>Part vieillesse de la CSG et de la CRDS (sur le brut)</t>
        </is>
      </c>
      <c r="E80" s="6" t="inlineStr">
        <is>
          <t>%</t>
        </is>
      </c>
      <c r="F80" s="6" t="inlineStr">
        <is>
          <t>Même règle que pour le privé</t>
        </is>
      </c>
      <c r="G80" s="6" t="inlineStr">
        <is>
          <t>IPP</t>
        </is>
      </c>
    </row>
    <row r="81">
      <c r="A81" s="6" t="inlineStr">
        <is>
          <t>Donnees_regimes</t>
        </is>
      </c>
      <c r="B81" s="6" t="inlineStr">
        <is>
          <t>colonne I</t>
        </is>
      </c>
      <c r="C81" s="6" t="inlineStr">
        <is>
          <t>taux_subvention_regime</t>
        </is>
      </c>
      <c r="D81" s="6" t="inlineStr">
        <is>
          <t>Subvention d'équilibre rapportée à l'assiette soumise</t>
        </is>
      </c>
      <c r="E81" s="6" t="inlineStr">
        <is>
          <t>%</t>
        </is>
      </c>
      <c r="F81" s="127" t="inlineStr">
        <is>
          <t>SNCF et RATP : subvention de l'État ; IEG : contribution tarifaire d'acheminement (CTA) depuis 2005 ; CNRACL : déficit 2023-2025 ; rapportée à la masse soumise (cotisations ÷ taux légal). SNCF 1971-2007 : rétropolation linéaire (estimation)</t>
        </is>
      </c>
      <c r="G81" s="6" t="inlineStr">
        <is>
          <t>PLF, Cour des comptes, CNIEG, CNRACL</t>
        </is>
      </c>
    </row>
    <row r="82">
      <c r="A82" s="6" t="inlineStr">
        <is>
          <t>Donnees_regimes</t>
        </is>
      </c>
      <c r="B82" s="6" t="inlineStr">
        <is>
          <t>colonne J</t>
        </is>
      </c>
      <c r="C82" s="6" t="inlineStr">
        <is>
          <t>taux_salarial_equiv_brut</t>
        </is>
      </c>
      <c r="D82" s="6" t="inlineStr">
        <is>
          <t>Taux salarial rapporté au salaire brut total</t>
        </is>
      </c>
      <c r="E82" s="6" t="inlineStr">
        <is>
          <t>%</t>
        </is>
      </c>
      <c r="F82" s="6" t="inlineStr">
        <is>
          <t>Salarié × (1 − primes) + RAFP × assiette RAFP + CSG/CRDS vieillesse ; privé : cotisations ÷ salaire</t>
        </is>
      </c>
      <c r="G82" s="6" t="inlineStr">
        <is>
          <t>Calcul</t>
        </is>
      </c>
    </row>
    <row r="83">
      <c r="A83" s="6" t="inlineStr">
        <is>
          <t>Donnees_regimes</t>
        </is>
      </c>
      <c r="B83" s="6" t="inlineStr">
        <is>
          <t>colonne K</t>
        </is>
      </c>
      <c r="C83" s="6" t="inlineStr">
        <is>
          <t>taux_patronal_equiv_brut</t>
        </is>
      </c>
      <c r="D83" s="6" t="inlineStr">
        <is>
          <t>Taux patronal compté comme cotisation, rapporté au brut total</t>
        </is>
      </c>
      <c r="E83" s="6" t="inlineStr">
        <is>
          <t>%</t>
        </is>
      </c>
      <c r="F83" s="6" t="inlineStr">
        <is>
          <t>Employeur × (1 − primes) + RAFP ; État : plafonné au taux patronal vieillesse d'un non-cadre du privé (le reste est une part d'équilibre)</t>
        </is>
      </c>
      <c r="G83" s="6" t="inlineStr">
        <is>
          <t>Calcul</t>
        </is>
      </c>
    </row>
    <row r="84">
      <c r="A84" s="6" t="inlineStr">
        <is>
          <t>Donnees_regimes</t>
        </is>
      </c>
      <c r="B84" s="6" t="inlineStr">
        <is>
          <t>colonne L</t>
        </is>
      </c>
      <c r="C84" s="6" t="inlineStr">
        <is>
          <t>taux_subvention_equiv_brut</t>
        </is>
      </c>
      <c r="D84" s="6" t="inlineStr">
        <is>
          <t>Subvention d'équilibre rapportée au brut total</t>
        </is>
      </c>
      <c r="E84" s="6" t="inlineStr">
        <is>
          <t>%</t>
        </is>
      </c>
      <c r="F84" s="6" t="inlineStr">
        <is>
          <t>Subvention × (1 − primes) ; État : part du taux employeur au-delà d'un employeur privé</t>
        </is>
      </c>
      <c r="G84" s="6" t="inlineStr">
        <is>
          <t>Calcul</t>
        </is>
      </c>
    </row>
    <row r="85">
      <c r="A85" s="6" t="inlineStr">
        <is>
          <t>Donnees_regimes</t>
        </is>
      </c>
      <c r="B85" s="6" t="inlineStr">
        <is>
          <t>colonne M</t>
        </is>
      </c>
      <c r="C85" s="6" t="inlineStr">
        <is>
          <t>coef_pension</t>
        </is>
      </c>
      <c r="D85" s="6" t="inlineStr">
        <is>
          <t>Coefficient de pension à salaire égal (carrière complète) l'année du départ</t>
        </is>
      </c>
      <c r="E85" s="6" t="inlineStr"/>
      <c r="F85" s="6" t="inlineStr">
        <is>
          <t>Regimes (calibrage) ; fonctionnaires : × (1 − primes de l'année) ÷ (1 − primes de l'année de calibrage)</t>
        </is>
      </c>
      <c r="G85" s="6" t="inlineStr">
        <is>
          <t>Calcul</t>
        </is>
      </c>
    </row>
    <row r="86">
      <c r="A86" s="6" t="inlineStr">
        <is>
          <t>Donnees_regimes</t>
        </is>
      </c>
      <c r="B86" s="6" t="inlineStr">
        <is>
          <t>colonne N</t>
        </is>
      </c>
      <c r="C86" s="6" t="inlineStr">
        <is>
          <t>cotis_sal_salaire_moyen</t>
        </is>
      </c>
      <c r="D86" s="6" t="inlineStr">
        <is>
          <t>Cotisations salariales au salaire moyen (€ 2026)</t>
        </is>
      </c>
      <c r="E86" s="6" t="inlineStr">
        <is>
          <t>€ 2026/an</t>
        </is>
      </c>
      <c r="F86" s="6" t="inlineStr">
        <is>
          <t>Salaire moyen × taux salarial équivalent</t>
        </is>
      </c>
      <c r="G86" s="6" t="inlineStr">
        <is>
          <t>Calcul</t>
        </is>
      </c>
    </row>
    <row r="87">
      <c r="A87" s="6" t="inlineStr">
        <is>
          <t>Donnees_regimes</t>
        </is>
      </c>
      <c r="B87" s="6" t="inlineStr">
        <is>
          <t>colonne O</t>
        </is>
      </c>
      <c r="C87" s="6" t="inlineStr">
        <is>
          <t>cotis_pat_salaire_moyen</t>
        </is>
      </c>
      <c r="D87" s="6" t="inlineStr">
        <is>
          <t>Cotisations patronales au salaire moyen (€ 2026)</t>
        </is>
      </c>
      <c r="E87" s="6" t="inlineStr">
        <is>
          <t>€ 2026/an</t>
        </is>
      </c>
      <c r="F87" s="6" t="inlineStr">
        <is>
          <t>Salaire moyen × taux patronal équivalent</t>
        </is>
      </c>
      <c r="G87" s="6" t="inlineStr">
        <is>
          <t>Calcul</t>
        </is>
      </c>
    </row>
    <row r="88">
      <c r="A88" s="6" t="inlineStr">
        <is>
          <t>Donnees_regimes</t>
        </is>
      </c>
      <c r="B88" s="6" t="inlineStr">
        <is>
          <t>colonne P</t>
        </is>
      </c>
      <c r="C88" s="6" t="inlineStr">
        <is>
          <t>cotis_total_salaire_moyen</t>
        </is>
      </c>
      <c r="D88" s="6" t="inlineStr">
        <is>
          <t>Cotisations totales au salaire moyen (€ 2026)</t>
        </is>
      </c>
      <c r="E88" s="6" t="inlineStr">
        <is>
          <t>€ 2026/an</t>
        </is>
      </c>
      <c r="F88" s="6" t="inlineStr">
        <is>
          <t>Salariales + patronales</t>
        </is>
      </c>
      <c r="G88" s="6" t="inlineStr">
        <is>
          <t>Calcul</t>
        </is>
      </c>
    </row>
    <row r="89">
      <c r="A89" s="6" t="inlineStr">
        <is>
          <t>Donnees_regimes</t>
        </is>
      </c>
      <c r="B89" s="6" t="inlineStr">
        <is>
          <t>colonne Q</t>
        </is>
      </c>
      <c r="C89" s="6" t="inlineStr">
        <is>
          <t>subvention_salaire_moyen</t>
        </is>
      </c>
      <c r="D89" s="6" t="inlineStr">
        <is>
          <t>Subvention d'équilibre rattachée au salaire moyen (€ 2026)</t>
        </is>
      </c>
      <c r="E89" s="6" t="inlineStr">
        <is>
          <t>€ 2026/an</t>
        </is>
      </c>
      <c r="F89" s="6" t="inlineStr">
        <is>
          <t>Salaire moyen × taux de subvention équivalent</t>
        </is>
      </c>
      <c r="G89" s="6" t="inlineStr">
        <is>
          <t>Calcul</t>
        </is>
      </c>
    </row>
    <row r="90">
      <c r="A90" s="6" t="inlineStr">
        <is>
          <t>Donnees_regimes</t>
        </is>
      </c>
      <c r="B90" s="6" t="inlineStr">
        <is>
          <t>colonne R</t>
        </is>
      </c>
      <c r="C90" s="6" t="inlineStr">
        <is>
          <t>cap_unite_dividendes</t>
        </is>
      </c>
      <c r="D90" s="6" t="inlineStr">
        <is>
          <t>Capitalisation : contribution de l'année (dividendes réinvestis)</t>
        </is>
      </c>
      <c r="E90" s="6" t="inlineStr"/>
      <c r="F90" s="6" t="inlineStr">
        <is>
          <t>Cotisations totales en euros courants × facteur mensuel ÷ indice de fin d'année</t>
        </is>
      </c>
      <c r="G90" s="6" t="inlineStr">
        <is>
          <t>Calcul</t>
        </is>
      </c>
    </row>
    <row r="91">
      <c r="A91" s="6" t="inlineStr">
        <is>
          <t>Donnees_regimes</t>
        </is>
      </c>
      <c r="B91" s="6" t="inlineStr">
        <is>
          <t>colonne S</t>
        </is>
      </c>
      <c r="C91" s="6" t="inlineStr">
        <is>
          <t>cap_unite_cours</t>
        </is>
      </c>
      <c r="D91" s="6" t="inlineStr">
        <is>
          <t>Capitalisation : contribution de l'année (cours seul)</t>
        </is>
      </c>
      <c r="E91" s="6" t="inlineStr"/>
      <c r="F91" s="6" t="inlineStr">
        <is>
          <t>Idem, cours seul</t>
        </is>
      </c>
      <c r="G91" s="6" t="inlineStr">
        <is>
          <t>Calcul</t>
        </is>
      </c>
    </row>
    <row r="92">
      <c r="A92" s="6" t="inlineStr">
        <is>
          <t>Donnees_generations</t>
        </is>
      </c>
      <c r="B92" s="6" t="inlineStr">
        <is>
          <t>colonne A</t>
        </is>
      </c>
      <c r="C92" s="6" t="inlineStr">
        <is>
          <t>generation</t>
        </is>
      </c>
      <c r="D92" s="6" t="inlineStr">
        <is>
          <t>Génération (année de naissance)</t>
        </is>
      </c>
      <c r="E92" s="6" t="inlineStr"/>
      <c r="F92" s="6" t="inlineStr">
        <is>
          <t>Année de naissance</t>
        </is>
      </c>
      <c r="G92" s="6" t="inlineStr"/>
    </row>
    <row r="93">
      <c r="A93" s="6" t="inlineStr">
        <is>
          <t>Donnees_generations</t>
        </is>
      </c>
      <c r="B93" s="6" t="inlineStr">
        <is>
          <t>colonne B</t>
        </is>
      </c>
      <c r="C93" s="6" t="inlineStr">
        <is>
          <t>groupe</t>
        </is>
      </c>
      <c r="D93" s="6" t="inlineStr">
        <is>
          <t>Groupe de génération</t>
        </is>
      </c>
      <c r="E93" s="6" t="inlineStr"/>
      <c r="F93" s="6" t="inlineStr">
        <is>
          <t>Silencieuse 1928-1945, Baby-boomers 1946-1964, X 1965-1980, Y 1981-1996, Z 1997-2012, Alpha 2013-2025</t>
        </is>
      </c>
      <c r="G93" s="6" t="inlineStr">
        <is>
          <t>Convention usuelle</t>
        </is>
      </c>
    </row>
    <row r="94">
      <c r="A94" s="6" t="inlineStr">
        <is>
          <t>Donnees_generations</t>
        </is>
      </c>
      <c r="B94" s="6" t="inlineStr">
        <is>
          <t>colonne C</t>
        </is>
      </c>
      <c r="C94" s="6" t="inlineStr">
        <is>
          <t>age_moyen_debut</t>
        </is>
      </c>
      <c r="D94" s="6" t="inlineStr">
        <is>
          <t>Âge moyen de début de carrière</t>
        </is>
      </c>
      <c r="E94" s="6" t="inlineStr">
        <is>
          <t>ans</t>
        </is>
      </c>
      <c r="F94" s="6" t="inlineStr">
        <is>
          <t>Âge de début cohérent avec l'hypothèse par année de début</t>
        </is>
      </c>
      <c r="G94" s="6" t="inlineStr">
        <is>
          <t>Hypothèse</t>
        </is>
      </c>
    </row>
    <row r="95">
      <c r="A95" s="6" t="inlineStr">
        <is>
          <t>Donnees_generations</t>
        </is>
      </c>
      <c r="B95" s="6" t="inlineStr">
        <is>
          <t>colonne D</t>
        </is>
      </c>
      <c r="C95" s="6" t="inlineStr">
        <is>
          <t>annee_moyenne_debut</t>
        </is>
      </c>
      <c r="D95" s="6" t="inlineStr">
        <is>
          <t>Année moyenne de début de carrière</t>
        </is>
      </c>
      <c r="E95" s="6" t="inlineStr">
        <is>
          <t>année</t>
        </is>
      </c>
      <c r="F95" s="6" t="inlineStr">
        <is>
          <t>Génération + âge moyen de début, arrondi</t>
        </is>
      </c>
      <c r="G95" s="6" t="inlineStr">
        <is>
          <t>Calcul</t>
        </is>
      </c>
    </row>
    <row r="96">
      <c r="A96" s="6" t="inlineStr">
        <is>
          <t>Donnees_generations</t>
        </is>
      </c>
      <c r="B96" s="6" t="inlineStr">
        <is>
          <t>colonne E</t>
        </is>
      </c>
      <c r="C96" s="6" t="inlineStr">
        <is>
          <t>age_legal</t>
        </is>
      </c>
      <c r="D96" s="6" t="inlineStr">
        <is>
          <t>Privé : âge légal de départ</t>
        </is>
      </c>
      <c r="E96" s="6" t="inlineStr">
        <is>
          <t>ans</t>
        </is>
      </c>
      <c r="F96" s="6" t="inlineStr">
        <is>
          <t>Règles en vigueur (réforme 2023 suspendue jusqu'en 2028)</t>
        </is>
      </c>
      <c r="G96" s="6" t="inlineStr">
        <is>
          <t>OpenFisca-France Pension / IPP, LFSS 2026</t>
        </is>
      </c>
    </row>
    <row r="97">
      <c r="A97" s="6" t="inlineStr">
        <is>
          <t>Donnees_generations</t>
        </is>
      </c>
      <c r="B97" s="6" t="inlineStr">
        <is>
          <t>colonne F</t>
        </is>
      </c>
      <c r="C97" s="6" t="inlineStr">
        <is>
          <t>age_taux_plein_auto</t>
        </is>
      </c>
      <c r="D97" s="6" t="inlineStr">
        <is>
          <t>Privé : âge du taux plein automatique</t>
        </is>
      </c>
      <c r="E97" s="6" t="inlineStr">
        <is>
          <t>ans</t>
        </is>
      </c>
      <c r="F97" s="6" t="inlineStr">
        <is>
          <t>65 puis 67 ans</t>
        </is>
      </c>
      <c r="G97" s="6" t="inlineStr">
        <is>
          <t>IPP</t>
        </is>
      </c>
    </row>
    <row r="98">
      <c r="A98" s="6" t="inlineStr">
        <is>
          <t>Donnees_generations</t>
        </is>
      </c>
      <c r="B98" s="6" t="inlineStr">
        <is>
          <t>colonne G</t>
        </is>
      </c>
      <c r="C98" s="6" t="inlineStr">
        <is>
          <t>age_min_taux_plein_duree</t>
        </is>
      </c>
      <c r="D98" s="6" t="inlineStr">
        <is>
          <t>Privé : âge minimal du taux plein par la durée</t>
        </is>
      </c>
      <c r="E98" s="6" t="inlineStr">
        <is>
          <t>ans</t>
        </is>
      </c>
      <c r="F98" s="6" t="inlineStr">
        <is>
          <t>Âge légal ; 65 ans avant la réforme de 1983</t>
        </is>
      </c>
      <c r="G98" s="6" t="inlineStr">
        <is>
          <t>IPP</t>
        </is>
      </c>
    </row>
    <row r="99">
      <c r="A99" s="6" t="inlineStr">
        <is>
          <t>Donnees_generations</t>
        </is>
      </c>
      <c r="B99" s="6" t="inlineStr">
        <is>
          <t>colonne H</t>
        </is>
      </c>
      <c r="C99" s="6" t="inlineStr">
        <is>
          <t>trimestres_requis</t>
        </is>
      </c>
      <c r="D99" s="6" t="inlineStr">
        <is>
          <t>Privé : trimestres requis pour le taux plein</t>
        </is>
      </c>
      <c r="E99" s="6" t="inlineStr">
        <is>
          <t>trimestres</t>
        </is>
      </c>
      <c r="F99" s="6" t="inlineStr">
        <is>
          <t>150 à 172</t>
        </is>
      </c>
      <c r="G99" s="6" t="inlineStr">
        <is>
          <t>IPP, LFSS 2026</t>
        </is>
      </c>
    </row>
    <row r="100">
      <c r="A100" s="6" t="inlineStr">
        <is>
          <t>Donnees_generations</t>
        </is>
      </c>
      <c r="B100" s="6" t="inlineStr">
        <is>
          <t>colonne I</t>
        </is>
      </c>
      <c r="C100" s="6" t="inlineStr">
        <is>
          <t>duree_requise</t>
        </is>
      </c>
      <c r="D100" s="6" t="inlineStr">
        <is>
          <t>Privé : durée requise pour le taux plein</t>
        </is>
      </c>
      <c r="E100" s="6" t="inlineStr">
        <is>
          <t>ans</t>
        </is>
      </c>
      <c r="F100" s="6" t="inlineStr">
        <is>
          <t>Trimestres ÷ 4</t>
        </is>
      </c>
      <c r="G100" s="6" t="inlineStr">
        <is>
          <t>Calcul</t>
        </is>
      </c>
    </row>
    <row r="101">
      <c r="A101" s="6" t="inlineStr">
        <is>
          <t>Donnees_generations</t>
        </is>
      </c>
      <c r="B101" s="6" t="inlineStr">
        <is>
          <t>colonne J</t>
        </is>
      </c>
      <c r="C101" s="6" t="inlineStr">
        <is>
          <t>decote_par_trimestre</t>
        </is>
      </c>
      <c r="D101" s="6" t="inlineStr">
        <is>
          <t>Privé : décote par trimestre manquant</t>
        </is>
      </c>
      <c r="E101" s="6" t="inlineStr">
        <is>
          <t>% de pension</t>
        </is>
      </c>
      <c r="F101" s="6" t="inlineStr">
        <is>
          <t>2,5 % puis 1,25 %</t>
        </is>
      </c>
      <c r="G101" s="6" t="inlineStr">
        <is>
          <t>IPP</t>
        </is>
      </c>
    </row>
    <row r="102">
      <c r="A102" s="6" t="inlineStr">
        <is>
          <t>Donnees_generations</t>
        </is>
      </c>
      <c r="B102" s="6" t="inlineStr">
        <is>
          <t>colonne K</t>
        </is>
      </c>
      <c r="C102" s="6" t="inlineStr">
        <is>
          <t>surcote_par_trimestre</t>
        </is>
      </c>
      <c r="D102" s="6" t="inlineStr">
        <is>
          <t>Privé : surcote par trimestre supplémentaire</t>
        </is>
      </c>
      <c r="E102" s="6" t="inlineStr">
        <is>
          <t>% de pension</t>
        </is>
      </c>
      <c r="F102" s="6" t="inlineStr">
        <is>
          <t>0,75 % puis 1,25 %</t>
        </is>
      </c>
      <c r="G102" s="6" t="inlineStr">
        <is>
          <t>IPP</t>
        </is>
      </c>
    </row>
    <row r="103">
      <c r="A103" s="6" t="inlineStr">
        <is>
          <t>Donnees_generations</t>
        </is>
      </c>
      <c r="B103" s="6" t="inlineStr">
        <is>
          <t>colonne L</t>
        </is>
      </c>
      <c r="C103" s="6" t="inlineStr">
        <is>
          <t>cl_age_debut_avant_16</t>
        </is>
      </c>
      <c r="D103" s="6" t="inlineStr">
        <is>
          <t>Carrière longue : âge de départ si début avant 16 ans</t>
        </is>
      </c>
      <c r="E103" s="6" t="inlineStr">
        <is>
          <t>ans</t>
        </is>
      </c>
      <c r="F103" s="6" t="inlineStr">
        <is>
          <t>0 = dispositif inexistant ; appliqué au privé et à la fonction publique</t>
        </is>
      </c>
      <c r="G103" s="6" t="inlineStr">
        <is>
          <t>L'Assurance retraite (simplifié)</t>
        </is>
      </c>
    </row>
    <row r="104">
      <c r="A104" s="6" t="inlineStr">
        <is>
          <t>Donnees_generations</t>
        </is>
      </c>
      <c r="B104" s="6" t="inlineStr">
        <is>
          <t>colonne M</t>
        </is>
      </c>
      <c r="C104" s="6" t="inlineStr">
        <is>
          <t>cl_age_debut_avant_17</t>
        </is>
      </c>
      <c r="D104" s="6" t="inlineStr">
        <is>
          <t>Carrière longue : début avant 17 ans</t>
        </is>
      </c>
      <c r="E104" s="6" t="inlineStr">
        <is>
          <t>ans</t>
        </is>
      </c>
      <c r="F104" s="6" t="inlineStr"/>
      <c r="G104" s="6" t="inlineStr"/>
    </row>
    <row r="105">
      <c r="A105" s="6" t="inlineStr">
        <is>
          <t>Donnees_generations</t>
        </is>
      </c>
      <c r="B105" s="6" t="inlineStr">
        <is>
          <t>colonne N</t>
        </is>
      </c>
      <c r="C105" s="6" t="inlineStr">
        <is>
          <t>cl_age_debut_avant_18</t>
        </is>
      </c>
      <c r="D105" s="6" t="inlineStr">
        <is>
          <t>Carrière longue : début avant 18 ans</t>
        </is>
      </c>
      <c r="E105" s="6" t="inlineStr">
        <is>
          <t>ans</t>
        </is>
      </c>
      <c r="F105" s="6" t="inlineStr"/>
      <c r="G105" s="6" t="inlineStr"/>
    </row>
    <row r="106">
      <c r="A106" s="6" t="inlineStr">
        <is>
          <t>Donnees_generations</t>
        </is>
      </c>
      <c r="B106" s="6" t="inlineStr">
        <is>
          <t>colonne O</t>
        </is>
      </c>
      <c r="C106" s="6" t="inlineStr">
        <is>
          <t>cl_age_debut_avant_20</t>
        </is>
      </c>
      <c r="D106" s="6" t="inlineStr">
        <is>
          <t>Carrière longue : début avant 20 ans</t>
        </is>
      </c>
      <c r="E106" s="6" t="inlineStr">
        <is>
          <t>ans</t>
        </is>
      </c>
      <c r="F106" s="6" t="inlineStr"/>
      <c r="G106" s="6" t="inlineStr"/>
    </row>
    <row r="107">
      <c r="A107" s="6" t="inlineStr">
        <is>
          <t>Donnees_generations</t>
        </is>
      </c>
      <c r="B107" s="6" t="inlineStr">
        <is>
          <t>colonne P</t>
        </is>
      </c>
      <c r="C107" s="6" t="inlineStr">
        <is>
          <t>cl_age_debut_avant_21</t>
        </is>
      </c>
      <c r="D107" s="6" t="inlineStr">
        <is>
          <t>Carrière longue : début avant 21 ans</t>
        </is>
      </c>
      <c r="E107" s="6" t="inlineStr">
        <is>
          <t>ans</t>
        </is>
      </c>
      <c r="F107" s="6" t="inlineStr"/>
      <c r="G107" s="6" t="inlineStr"/>
    </row>
    <row r="108">
      <c r="A108" s="6" t="inlineStr">
        <is>
          <t>Donnees_generations</t>
        </is>
      </c>
      <c r="B108" s="6" t="inlineStr">
        <is>
          <t>colonne Q</t>
        </is>
      </c>
      <c r="C108" s="6" t="inlineStr">
        <is>
          <t>cl_trimestres_cotises_exiges</t>
        </is>
      </c>
      <c r="D108" s="6" t="inlineStr">
        <is>
          <t>Carrière longue : trimestres cotisés exigés</t>
        </is>
      </c>
      <c r="E108" s="6" t="inlineStr">
        <is>
          <t>trimestres</t>
        </is>
      </c>
      <c r="F108" s="6" t="inlineStr"/>
      <c r="G108" s="6" t="inlineStr"/>
    </row>
    <row r="109">
      <c r="A109" s="6" t="inlineStr">
        <is>
          <t>Donnees_generations</t>
        </is>
      </c>
      <c r="B109" s="6" t="inlineStr">
        <is>
          <t>colonne R</t>
        </is>
      </c>
      <c r="C109" s="6" t="inlineStr">
        <is>
          <t>service_militaire_trimestres</t>
        </is>
      </c>
      <c r="D109" s="6" t="inlineStr">
        <is>
          <t>Service militaire estimé (hommes)</t>
        </is>
      </c>
      <c r="E109" s="6" t="inlineStr">
        <is>
          <t>trimestres</t>
        </is>
      </c>
      <c r="F109" s="6" t="inlineStr">
        <is>
          <t>Selon la période d'incorporation ; 0 à partir de la génération 1979</t>
        </is>
      </c>
      <c r="G109" s="6" t="inlineStr">
        <is>
          <t>Estimation</t>
        </is>
      </c>
    </row>
    <row r="110">
      <c r="A110" s="6" t="inlineStr">
        <is>
          <t>Donnees_generations</t>
        </is>
      </c>
      <c r="B110" s="6" t="inlineStr">
        <is>
          <t>colonne S</t>
        </is>
      </c>
      <c r="C110" s="6" t="inlineStr">
        <is>
          <t>duree_reelle_moyenne_carriere</t>
        </is>
      </c>
      <c r="D110" s="6" t="inlineStr">
        <is>
          <t>Privé : durée réelle moyenne de carrière (validée)</t>
        </is>
      </c>
      <c r="E110" s="6" t="inlineStr">
        <is>
          <t>ans</t>
        </is>
      </c>
      <c r="F110" s="127" t="inlineStr">
        <is>
          <t>Moyenne hommes-femmes, tous régimes ; observée jusqu'à la génération 1964, puis hausse linéaire continue : B7 pour un début en 2010 (génération B8), B10 pour un début en 2026 (B11), palier ensuite (Parametres)</t>
        </is>
      </c>
      <c r="G110" s="6" t="inlineStr">
        <is>
          <t>PQE Retraites, OFCE/COR ; hypothèse de l'auteur après 1964</t>
        </is>
      </c>
    </row>
    <row r="111">
      <c r="A111" s="6" t="inlineStr">
        <is>
          <t>Donnees_generations</t>
        </is>
      </c>
      <c r="B111" s="6" t="inlineStr">
        <is>
          <t>colonne T</t>
        </is>
      </c>
      <c r="C111" s="6" t="inlineStr">
        <is>
          <t>age_moyen_reel_depart</t>
        </is>
      </c>
      <c r="D111" s="6" t="inlineStr">
        <is>
          <t>Privé : âge moyen réel de départ</t>
        </is>
      </c>
      <c r="E111" s="6" t="inlineStr">
        <is>
          <t>ans</t>
        </is>
      </c>
      <c r="F111" s="6" t="inlineStr">
        <is>
          <t>Observé puis projeté</t>
        </is>
      </c>
      <c r="G111" s="6" t="inlineStr">
        <is>
          <t>IPP, COR</t>
        </is>
      </c>
    </row>
    <row r="112">
      <c r="A112" s="6" t="inlineStr">
        <is>
          <t>Donnees_generations</t>
        </is>
      </c>
      <c r="B112" s="6" t="inlineStr">
        <is>
          <t>colonne U</t>
        </is>
      </c>
      <c r="C112" s="6" t="inlineStr">
        <is>
          <t>esperance_vie_hommes_56</t>
        </is>
      </c>
      <c r="D112" s="6" t="inlineStr">
        <is>
          <t>Espérance de vie hommes à 56 ans</t>
        </is>
      </c>
      <c r="E112" s="6" t="inlineStr">
        <is>
          <t>ans</t>
        </is>
      </c>
      <c r="F112" s="6" t="inlineStr">
        <is>
          <t>Pour les hommes de la génération atteignant cet âge (tous régimes)</t>
        </is>
      </c>
      <c r="G112" s="6" t="inlineStr">
        <is>
          <t>INSEE, tables par génération 2022</t>
        </is>
      </c>
    </row>
    <row r="113">
      <c r="A113" s="6" t="inlineStr">
        <is>
          <t>Donnees_generations</t>
        </is>
      </c>
      <c r="B113" s="6" t="inlineStr">
        <is>
          <t>colonne V</t>
        </is>
      </c>
      <c r="C113" s="6" t="inlineStr">
        <is>
          <t>esperance_vie_hommes_58</t>
        </is>
      </c>
      <c r="D113" s="6" t="inlineStr">
        <is>
          <t>Espérance de vie hommes à 58 ans</t>
        </is>
      </c>
      <c r="E113" s="6" t="inlineStr">
        <is>
          <t>ans</t>
        </is>
      </c>
      <c r="F113" s="6" t="inlineStr">
        <is>
          <t>Pour les hommes de la génération atteignant cet âge (tous régimes)</t>
        </is>
      </c>
      <c r="G113" s="6" t="inlineStr">
        <is>
          <t>INSEE, tables par génération 2022</t>
        </is>
      </c>
    </row>
    <row r="114">
      <c r="A114" s="6" t="inlineStr">
        <is>
          <t>Donnees_generations</t>
        </is>
      </c>
      <c r="B114" s="6" t="inlineStr">
        <is>
          <t>colonne W</t>
        </is>
      </c>
      <c r="C114" s="6" t="inlineStr">
        <is>
          <t>esperance_vie_hommes_60</t>
        </is>
      </c>
      <c r="D114" s="6" t="inlineStr">
        <is>
          <t>Espérance de vie hommes à 60 ans</t>
        </is>
      </c>
      <c r="E114" s="6" t="inlineStr">
        <is>
          <t>ans</t>
        </is>
      </c>
      <c r="F114" s="6" t="inlineStr">
        <is>
          <t>Pour les hommes de la génération atteignant cet âge (tous régimes)</t>
        </is>
      </c>
      <c r="G114" s="6" t="inlineStr">
        <is>
          <t>INSEE, tables par génération 2022</t>
        </is>
      </c>
    </row>
    <row r="115">
      <c r="A115" s="6" t="inlineStr">
        <is>
          <t>Donnees_generations</t>
        </is>
      </c>
      <c r="B115" s="6" t="inlineStr">
        <is>
          <t>colonne X</t>
        </is>
      </c>
      <c r="C115" s="6" t="inlineStr">
        <is>
          <t>esperance_vie_hommes_62</t>
        </is>
      </c>
      <c r="D115" s="6" t="inlineStr">
        <is>
          <t>Espérance de vie hommes à 62 ans</t>
        </is>
      </c>
      <c r="E115" s="6" t="inlineStr">
        <is>
          <t>ans</t>
        </is>
      </c>
      <c r="F115" s="6" t="inlineStr">
        <is>
          <t>Pour les hommes de la génération atteignant cet âge (tous régimes)</t>
        </is>
      </c>
      <c r="G115" s="6" t="inlineStr">
        <is>
          <t>INSEE, tables par génération 2022</t>
        </is>
      </c>
    </row>
    <row r="116">
      <c r="A116" s="6" t="inlineStr">
        <is>
          <t>Donnees_generations</t>
        </is>
      </c>
      <c r="B116" s="6" t="inlineStr">
        <is>
          <t>colonne Y</t>
        </is>
      </c>
      <c r="C116" s="6" t="inlineStr">
        <is>
          <t>esperance_vie_hommes_64</t>
        </is>
      </c>
      <c r="D116" s="6" t="inlineStr">
        <is>
          <t>Espérance de vie hommes à 64 ans</t>
        </is>
      </c>
      <c r="E116" s="6" t="inlineStr">
        <is>
          <t>ans</t>
        </is>
      </c>
      <c r="F116" s="6" t="inlineStr">
        <is>
          <t>Pour les hommes de la génération atteignant cet âge (tous régimes)</t>
        </is>
      </c>
      <c r="G116" s="6" t="inlineStr">
        <is>
          <t>INSEE, tables par génération 2022</t>
        </is>
      </c>
    </row>
    <row r="117">
      <c r="A117" s="6" t="inlineStr">
        <is>
          <t>Donnees_generations</t>
        </is>
      </c>
      <c r="B117" s="6" t="inlineStr">
        <is>
          <t>colonne Z</t>
        </is>
      </c>
      <c r="C117" s="6" t="inlineStr">
        <is>
          <t>esperance_vie_hommes_66</t>
        </is>
      </c>
      <c r="D117" s="6" t="inlineStr">
        <is>
          <t>Espérance de vie hommes à 66 ans</t>
        </is>
      </c>
      <c r="E117" s="6" t="inlineStr">
        <is>
          <t>ans</t>
        </is>
      </c>
      <c r="F117" s="6" t="inlineStr">
        <is>
          <t>Pour les hommes de la génération atteignant cet âge (tous régimes)</t>
        </is>
      </c>
      <c r="G117" s="6" t="inlineStr">
        <is>
          <t>INSEE, tables par génération 2022</t>
        </is>
      </c>
    </row>
    <row r="118">
      <c r="A118" s="6" t="inlineStr">
        <is>
          <t>Donnees_generations</t>
        </is>
      </c>
      <c r="B118" s="6" t="inlineStr">
        <is>
          <t>colonne AA</t>
        </is>
      </c>
      <c r="C118" s="6" t="inlineStr">
        <is>
          <t>esperance_vie_hommes_68</t>
        </is>
      </c>
      <c r="D118" s="6" t="inlineStr">
        <is>
          <t>Espérance de vie hommes à 68 ans</t>
        </is>
      </c>
      <c r="E118" s="6" t="inlineStr">
        <is>
          <t>ans</t>
        </is>
      </c>
      <c r="F118" s="6" t="inlineStr">
        <is>
          <t>Pour les hommes de la génération atteignant cet âge (tous régimes)</t>
        </is>
      </c>
      <c r="G118" s="6" t="inlineStr">
        <is>
          <t>INSEE, tables par génération 2022</t>
        </is>
      </c>
    </row>
    <row r="119">
      <c r="A119" s="6" t="inlineStr">
        <is>
          <t>Donnees_generations</t>
        </is>
      </c>
      <c r="B119" s="6" t="inlineStr">
        <is>
          <t>colonne AB</t>
        </is>
      </c>
      <c r="C119" s="6" t="inlineStr">
        <is>
          <t>esperance_vie_hommes_70</t>
        </is>
      </c>
      <c r="D119" s="6" t="inlineStr">
        <is>
          <t>Espérance de vie hommes à 70 ans</t>
        </is>
      </c>
      <c r="E119" s="6" t="inlineStr">
        <is>
          <t>ans</t>
        </is>
      </c>
      <c r="F119" s="6" t="inlineStr">
        <is>
          <t>Pour les hommes de la génération atteignant cet âge (tous régimes)</t>
        </is>
      </c>
      <c r="G119" s="6" t="inlineStr">
        <is>
          <t>INSEE, tables par génération 2022</t>
        </is>
      </c>
    </row>
    <row r="120">
      <c r="A120" s="6" t="inlineStr">
        <is>
          <t>Donnees_generations</t>
        </is>
      </c>
      <c r="B120" s="6" t="inlineStr">
        <is>
          <t>colonne AC</t>
        </is>
      </c>
      <c r="C120" s="6" t="inlineStr">
        <is>
          <t>esperance_vie_femmes_56</t>
        </is>
      </c>
      <c r="D120" s="6" t="inlineStr">
        <is>
          <t>Espérance de vie femmes à 56 ans</t>
        </is>
      </c>
      <c r="E120" s="6" t="inlineStr">
        <is>
          <t>ans</t>
        </is>
      </c>
      <c r="F120" s="6" t="inlineStr">
        <is>
          <t>Idem, femmes</t>
        </is>
      </c>
      <c r="G120" s="6" t="inlineStr">
        <is>
          <t>INSEE, tables par génération 2022</t>
        </is>
      </c>
    </row>
    <row r="121">
      <c r="A121" s="6" t="inlineStr">
        <is>
          <t>Donnees_generations</t>
        </is>
      </c>
      <c r="B121" s="6" t="inlineStr">
        <is>
          <t>colonne AD</t>
        </is>
      </c>
      <c r="C121" s="6" t="inlineStr">
        <is>
          <t>esperance_vie_femmes_58</t>
        </is>
      </c>
      <c r="D121" s="6" t="inlineStr">
        <is>
          <t>Espérance de vie femmes à 58 ans</t>
        </is>
      </c>
      <c r="E121" s="6" t="inlineStr">
        <is>
          <t>ans</t>
        </is>
      </c>
      <c r="F121" s="6" t="inlineStr">
        <is>
          <t>Idem, femmes</t>
        </is>
      </c>
      <c r="G121" s="6" t="inlineStr">
        <is>
          <t>INSEE, tables par génération 2022</t>
        </is>
      </c>
    </row>
    <row r="122">
      <c r="A122" s="6" t="inlineStr">
        <is>
          <t>Donnees_generations</t>
        </is>
      </c>
      <c r="B122" s="6" t="inlineStr">
        <is>
          <t>colonne AE</t>
        </is>
      </c>
      <c r="C122" s="6" t="inlineStr">
        <is>
          <t>esperance_vie_femmes_60</t>
        </is>
      </c>
      <c r="D122" s="6" t="inlineStr">
        <is>
          <t>Espérance de vie femmes à 60 ans</t>
        </is>
      </c>
      <c r="E122" s="6" t="inlineStr">
        <is>
          <t>ans</t>
        </is>
      </c>
      <c r="F122" s="6" t="inlineStr">
        <is>
          <t>Idem, femmes</t>
        </is>
      </c>
      <c r="G122" s="6" t="inlineStr">
        <is>
          <t>INSEE, tables par génération 2022</t>
        </is>
      </c>
    </row>
    <row r="123">
      <c r="A123" s="6" t="inlineStr">
        <is>
          <t>Donnees_generations</t>
        </is>
      </c>
      <c r="B123" s="6" t="inlineStr">
        <is>
          <t>colonne AF</t>
        </is>
      </c>
      <c r="C123" s="6" t="inlineStr">
        <is>
          <t>esperance_vie_femmes_62</t>
        </is>
      </c>
      <c r="D123" s="6" t="inlineStr">
        <is>
          <t>Espérance de vie femmes à 62 ans</t>
        </is>
      </c>
      <c r="E123" s="6" t="inlineStr">
        <is>
          <t>ans</t>
        </is>
      </c>
      <c r="F123" s="6" t="inlineStr">
        <is>
          <t>Idem, femmes</t>
        </is>
      </c>
      <c r="G123" s="6" t="inlineStr">
        <is>
          <t>INSEE, tables par génération 2022</t>
        </is>
      </c>
    </row>
    <row r="124">
      <c r="A124" s="6" t="inlineStr">
        <is>
          <t>Donnees_generations</t>
        </is>
      </c>
      <c r="B124" s="6" t="inlineStr">
        <is>
          <t>colonne AG</t>
        </is>
      </c>
      <c r="C124" s="6" t="inlineStr">
        <is>
          <t>esperance_vie_femmes_64</t>
        </is>
      </c>
      <c r="D124" s="6" t="inlineStr">
        <is>
          <t>Espérance de vie femmes à 64 ans</t>
        </is>
      </c>
      <c r="E124" s="6" t="inlineStr">
        <is>
          <t>ans</t>
        </is>
      </c>
      <c r="F124" s="6" t="inlineStr">
        <is>
          <t>Idem, femmes</t>
        </is>
      </c>
      <c r="G124" s="6" t="inlineStr">
        <is>
          <t>INSEE, tables par génération 2022</t>
        </is>
      </c>
    </row>
    <row r="125">
      <c r="A125" s="6" t="inlineStr">
        <is>
          <t>Donnees_generations</t>
        </is>
      </c>
      <c r="B125" s="6" t="inlineStr">
        <is>
          <t>colonne AH</t>
        </is>
      </c>
      <c r="C125" s="6" t="inlineStr">
        <is>
          <t>esperance_vie_femmes_66</t>
        </is>
      </c>
      <c r="D125" s="6" t="inlineStr">
        <is>
          <t>Espérance de vie femmes à 66 ans</t>
        </is>
      </c>
      <c r="E125" s="6" t="inlineStr">
        <is>
          <t>ans</t>
        </is>
      </c>
      <c r="F125" s="6" t="inlineStr">
        <is>
          <t>Idem, femmes</t>
        </is>
      </c>
      <c r="G125" s="6" t="inlineStr">
        <is>
          <t>INSEE, tables par génération 2022</t>
        </is>
      </c>
    </row>
    <row r="126">
      <c r="A126" s="6" t="inlineStr">
        <is>
          <t>Donnees_generations</t>
        </is>
      </c>
      <c r="B126" s="6" t="inlineStr">
        <is>
          <t>colonne AI</t>
        </is>
      </c>
      <c r="C126" s="6" t="inlineStr">
        <is>
          <t>esperance_vie_femmes_68</t>
        </is>
      </c>
      <c r="D126" s="6" t="inlineStr">
        <is>
          <t>Espérance de vie femmes à 68 ans</t>
        </is>
      </c>
      <c r="E126" s="6" t="inlineStr">
        <is>
          <t>ans</t>
        </is>
      </c>
      <c r="F126" s="6" t="inlineStr">
        <is>
          <t>Idem, femmes</t>
        </is>
      </c>
      <c r="G126" s="6" t="inlineStr">
        <is>
          <t>INSEE, tables par génération 2022</t>
        </is>
      </c>
    </row>
    <row r="127">
      <c r="A127" s="6" t="inlineStr">
        <is>
          <t>Donnees_generations</t>
        </is>
      </c>
      <c r="B127" s="6" t="inlineStr">
        <is>
          <t>colonne AJ</t>
        </is>
      </c>
      <c r="C127" s="6" t="inlineStr">
        <is>
          <t>esperance_vie_femmes_70</t>
        </is>
      </c>
      <c r="D127" s="6" t="inlineStr">
        <is>
          <t>Espérance de vie femmes à 70 ans</t>
        </is>
      </c>
      <c r="E127" s="6" t="inlineStr">
        <is>
          <t>ans</t>
        </is>
      </c>
      <c r="F127" s="6" t="inlineStr">
        <is>
          <t>Idem, femmes</t>
        </is>
      </c>
      <c r="G127" s="6" t="inlineStr">
        <is>
          <t>INSEE, tables par génération 2022</t>
        </is>
      </c>
    </row>
    <row r="128">
      <c r="A128" s="6" t="inlineStr">
        <is>
          <t>Donnees_generations</t>
        </is>
      </c>
      <c r="B128" s="6" t="inlineStr">
        <is>
          <t>colonne AK</t>
        </is>
      </c>
      <c r="C128" s="6" t="inlineStr">
        <is>
          <t>esperance_vie_estimee</t>
        </is>
      </c>
      <c r="D128" s="6" t="inlineStr">
        <is>
          <t>Espérance de vie prolongée par tendance</t>
        </is>
      </c>
      <c r="E128" s="6" t="inlineStr"/>
      <c r="F128" s="6" t="inlineStr">
        <is>
          <t>oui pour les générations 2023-2025 (hors table INSEE)</t>
        </is>
      </c>
      <c r="G128" s="6" t="inlineStr">
        <is>
          <t>Calcul</t>
        </is>
      </c>
    </row>
    <row r="129">
      <c r="A129" s="6" t="inlineStr">
        <is>
          <t>Regles_regimes</t>
        </is>
      </c>
      <c r="B129" s="6" t="inlineStr">
        <is>
          <t>colonne A</t>
        </is>
      </c>
      <c r="C129" s="6" t="inlineStr">
        <is>
          <t>regime</t>
        </is>
      </c>
      <c r="D129" s="6" t="inlineStr">
        <is>
          <t>Régime</t>
        </is>
      </c>
      <c r="E129" s="6" t="inlineStr"/>
      <c r="F129" s="6" t="inlineStr"/>
      <c r="G129" s="6" t="inlineStr"/>
    </row>
    <row r="130">
      <c r="A130" s="6" t="inlineStr">
        <is>
          <t>Regles_regimes</t>
        </is>
      </c>
      <c r="B130" s="6" t="inlineStr">
        <is>
          <t>colonne B</t>
        </is>
      </c>
      <c r="C130" s="6" t="inlineStr">
        <is>
          <t>categorie</t>
        </is>
      </c>
      <c r="D130" s="6" t="inlineStr">
        <is>
          <t>Catégorie</t>
        </is>
      </c>
      <c r="E130" s="6" t="inlineStr"/>
      <c r="F130" s="6" t="inlineStr">
        <is>
          <t>sédentaire / actif / conduite ou super-actif</t>
        </is>
      </c>
      <c r="G130" s="6" t="inlineStr"/>
    </row>
    <row r="131">
      <c r="A131" s="6" t="inlineStr">
        <is>
          <t>Regles_regimes</t>
        </is>
      </c>
      <c r="B131" s="6" t="inlineStr">
        <is>
          <t>colonne C</t>
        </is>
      </c>
      <c r="C131" s="6" t="inlineStr">
        <is>
          <t>generation</t>
        </is>
      </c>
      <c r="D131" s="6" t="inlineStr">
        <is>
          <t>Génération</t>
        </is>
      </c>
      <c r="E131" s="6" t="inlineStr"/>
      <c r="F131" s="6" t="inlineStr"/>
      <c r="G131" s="6" t="inlineStr"/>
    </row>
    <row r="132">
      <c r="A132" s="6" t="inlineStr">
        <is>
          <t>Regles_regimes</t>
        </is>
      </c>
      <c r="B132" s="6" t="inlineStr">
        <is>
          <t>colonne D</t>
        </is>
      </c>
      <c r="C132" s="6" t="inlineStr">
        <is>
          <t>age_ouverture</t>
        </is>
      </c>
      <c r="D132" s="6" t="inlineStr">
        <is>
          <t>Âge d'ouverture des droits</t>
        </is>
      </c>
      <c r="E132" s="6" t="inlineStr">
        <is>
          <t>ans</t>
        </is>
      </c>
      <c r="F132" s="6" t="inlineStr">
        <is>
          <t>Privé : âge légal ; régimes publics : selon la catégorie (réformes 2010 et 2023, suspension LFSS 2026 pour le privé et la fonction publique)</t>
        </is>
      </c>
      <c r="G132" s="6" t="inlineStr">
        <is>
          <t>IPP / OpenFisca, CPR, CRP RATP, CNIEG, décrets 2023</t>
        </is>
      </c>
    </row>
    <row r="133">
      <c r="A133" s="6" t="inlineStr">
        <is>
          <t>Regles_regimes</t>
        </is>
      </c>
      <c r="B133" s="6" t="inlineStr">
        <is>
          <t>colonne E</t>
        </is>
      </c>
      <c r="C133" s="6" t="inlineStr">
        <is>
          <t>age_annulation_decote</t>
        </is>
      </c>
      <c r="D133" s="6" t="inlineStr">
        <is>
          <t>Âge d'annulation de la décote (taux plein automatique)</t>
        </is>
      </c>
      <c r="E133" s="6" t="inlineStr">
        <is>
          <t>ans</t>
        </is>
      </c>
      <c r="F133" s="6" t="inlineStr">
        <is>
          <t>Égal à l'âge d'ouverture quand il n'y a pas de décote</t>
        </is>
      </c>
      <c r="G133" s="6" t="inlineStr">
        <is>
          <t>idem</t>
        </is>
      </c>
    </row>
    <row r="134">
      <c r="A134" s="6" t="inlineStr">
        <is>
          <t>Regles_regimes</t>
        </is>
      </c>
      <c r="B134" s="6" t="inlineStr">
        <is>
          <t>colonne F</t>
        </is>
      </c>
      <c r="C134" s="6" t="inlineStr">
        <is>
          <t>trimestres_requis</t>
        </is>
      </c>
      <c r="D134" s="6" t="inlineStr">
        <is>
          <t>Trimestres requis pour le taux plein</t>
        </is>
      </c>
      <c r="E134" s="6" t="inlineStr">
        <is>
          <t>trimestres</t>
        </is>
      </c>
      <c r="F134" s="6" t="inlineStr"/>
      <c r="G134" s="6" t="inlineStr">
        <is>
          <t>idem</t>
        </is>
      </c>
    </row>
    <row r="135">
      <c r="A135" s="6" t="inlineStr">
        <is>
          <t>Regles_regimes</t>
        </is>
      </c>
      <c r="B135" s="6" t="inlineStr">
        <is>
          <t>colonne G</t>
        </is>
      </c>
      <c r="C135" s="6" t="inlineStr">
        <is>
          <t>decote_par_trimestre</t>
        </is>
      </c>
      <c r="D135" s="6" t="inlineStr">
        <is>
          <t>Décote par trimestre manquant</t>
        </is>
      </c>
      <c r="E135" s="6" t="inlineStr">
        <is>
          <t>% de pension</t>
        </is>
      </c>
      <c r="F135" s="6" t="inlineStr">
        <is>
          <t>Fonction publique depuis 2006, régimes spéciaux depuis 2010</t>
        </is>
      </c>
      <c r="G135" s="6" t="inlineStr">
        <is>
          <t>idem</t>
        </is>
      </c>
    </row>
    <row r="136">
      <c r="A136" s="6" t="inlineStr">
        <is>
          <t>Regles_regimes</t>
        </is>
      </c>
      <c r="B136" s="6" t="inlineStr">
        <is>
          <t>colonne H</t>
        </is>
      </c>
      <c r="C136" s="6" t="inlineStr">
        <is>
          <t>surcote_par_trimestre</t>
        </is>
      </c>
      <c r="D136" s="6" t="inlineStr">
        <is>
          <t>Surcote par trimestre supplémentaire</t>
        </is>
      </c>
      <c r="E136" s="6" t="inlineStr">
        <is>
          <t>% de pension</t>
        </is>
      </c>
      <c r="F136" s="6" t="inlineStr"/>
      <c r="G136" s="6" t="inlineStr">
        <is>
          <t>idem</t>
        </is>
      </c>
    </row>
    <row r="137">
      <c r="A137" s="6" t="inlineStr">
        <is>
          <t>Regles_regimes</t>
        </is>
      </c>
      <c r="B137" s="6" t="inlineStr">
        <is>
          <t>colonne I</t>
        </is>
      </c>
      <c r="C137" s="6" t="inlineStr">
        <is>
          <t>delai_depart</t>
        </is>
      </c>
      <c r="D137" s="6" t="inlineStr">
        <is>
          <t>Délai moyen entre l'ouverture des droits et le départ effectif</t>
        </is>
      </c>
      <c r="E137" s="6" t="inlineStr">
        <is>
          <t>ans</t>
        </is>
      </c>
      <c r="F137" s="6" t="inlineStr">
        <is>
          <t>Faible pour les générations nées avant 1945, calé sur les départs récents pour celles nées après 1960 (interpolation entre les deux)</t>
        </is>
      </c>
      <c r="G137" s="6" t="inlineStr">
        <is>
          <t>SRE, CNRACL, CPR, CRP, CNIEG (âges moyens observés)</t>
        </is>
      </c>
    </row>
    <row r="138">
      <c r="A138" s="6" t="inlineStr">
        <is>
          <t>Regles_regimes</t>
        </is>
      </c>
      <c r="B138" s="6" t="inlineStr">
        <is>
          <t>colonne J</t>
        </is>
      </c>
      <c r="C138" s="6" t="inlineStr">
        <is>
          <t>age_depart_reel</t>
        </is>
      </c>
      <c r="D138" s="6" t="inlineStr">
        <is>
          <t>Âge moyen réel de départ (profil de la catégorie)</t>
        </is>
      </c>
      <c r="E138" s="6" t="inlineStr">
        <is>
          <t>ans</t>
        </is>
      </c>
      <c r="F138" s="6" t="inlineStr">
        <is>
          <t>Privé : âge moyen réel ; régimes publics : âge d'ouverture + délai (plafonné à 67 ans)</t>
        </is>
      </c>
      <c r="G138" s="6" t="inlineStr">
        <is>
          <t>Calcul</t>
        </is>
      </c>
    </row>
    <row r="139">
      <c r="A139" s="6" t="inlineStr">
        <is>
          <t>Regles_regimes</t>
        </is>
      </c>
      <c r="B139" s="6" t="inlineStr">
        <is>
          <t>colonne K</t>
        </is>
      </c>
      <c r="C139" s="6" t="inlineStr">
        <is>
          <t>ratio_heures_prive</t>
        </is>
      </c>
      <c r="D139" s="6" t="inlineStr">
        <is>
          <t>Heures annuelles réellement travaillées par rapport au privé</t>
        </is>
      </c>
      <c r="E139" s="6" t="inlineStr"/>
      <c r="F139" s="6" t="inlineStr">
        <is>
          <t>DGAFP 2024 (État 1,01 ; territoriale 0,95 ; hospitalière 0,96) ; SNCF, RATP : durées réglementaires rapportées au privé ; IEG : estimation</t>
        </is>
      </c>
      <c r="G139" s="6" t="inlineStr">
        <is>
          <t>DGAFP, SNCF, RATP</t>
        </is>
      </c>
    </row>
    <row r="140">
      <c r="A140" s="6" t="inlineStr">
        <is>
          <t>Regles_regimes</t>
        </is>
      </c>
      <c r="B140" s="6" t="inlineStr">
        <is>
          <t>colonne L</t>
        </is>
      </c>
      <c r="C140" s="6" t="inlineStr">
        <is>
          <t>bonification_cinquieme</t>
        </is>
      </c>
      <c r="D140" s="6" t="inlineStr">
        <is>
          <t>Bonification du cinquième (1 an pour 5 ans de services actifs, 5 ans maximum)</t>
        </is>
      </c>
      <c r="E140" s="6" t="inlineStr">
        <is>
          <t>0/1</t>
        </is>
      </c>
      <c r="F140" s="6" t="inlineStr">
        <is>
          <t>Pour les embauchés avant 2009 (supprimée ensuite dans les régimes spéciaux)</t>
        </is>
      </c>
      <c r="G140" s="6" t="inlineStr">
        <is>
          <t>CPR, CRP RATP, CNIEG, code des pensions</t>
        </is>
      </c>
    </row>
    <row r="141">
      <c r="A141" s="6" t="inlineStr">
        <is>
          <t>Profils_types</t>
        </is>
      </c>
      <c r="B141" s="6" t="inlineStr">
        <is>
          <t>colonne A</t>
        </is>
      </c>
      <c r="C141" s="6" t="inlineStr">
        <is>
          <t>groupe</t>
        </is>
      </c>
      <c r="D141" s="6" t="inlineStr">
        <is>
          <t>Groupe de génération</t>
        </is>
      </c>
      <c r="E141" s="6" t="inlineStr"/>
      <c r="F141" s="6" t="inlineStr">
        <is>
          <t>Profil type de la génération et du régime (même calcul que la page 2)</t>
        </is>
      </c>
      <c r="G141" s="6" t="inlineStr">
        <is>
          <t>Calcul</t>
        </is>
      </c>
    </row>
    <row r="142">
      <c r="A142" s="6" t="inlineStr">
        <is>
          <t>Profils_types</t>
        </is>
      </c>
      <c r="B142" s="6" t="inlineStr">
        <is>
          <t>colonne B</t>
        </is>
      </c>
      <c r="C142" s="6" t="inlineStr">
        <is>
          <t>reg_in</t>
        </is>
      </c>
      <c r="D142" s="6" t="inlineStr">
        <is>
          <t>Régime choisi</t>
        </is>
      </c>
      <c r="E142" s="6" t="inlineStr"/>
      <c r="F142" s="6" t="inlineStr">
        <is>
          <t>Profil type de la génération et du régime (même calcul que la page 2)</t>
        </is>
      </c>
      <c r="G142" s="6" t="inlineStr">
        <is>
          <t>Calcul</t>
        </is>
      </c>
    </row>
    <row r="143">
      <c r="A143" s="6" t="inlineStr">
        <is>
          <t>Profils_types</t>
        </is>
      </c>
      <c r="B143" s="6" t="inlineStr">
        <is>
          <t>colonne C</t>
        </is>
      </c>
      <c r="C143" s="6" t="inlineStr">
        <is>
          <t>reg</t>
        </is>
      </c>
      <c r="D143" s="6" t="inlineStr">
        <is>
          <t>Régime appliqué (régime général si le régime était déjà fermé aux nouveaux embauchés)</t>
        </is>
      </c>
      <c r="E143" s="6" t="inlineStr"/>
      <c r="F143" s="6" t="inlineStr">
        <is>
          <t>Profil type de la génération et du régime (même calcul que la page 2)</t>
        </is>
      </c>
      <c r="G143" s="6" t="inlineStr">
        <is>
          <t>Calcul</t>
        </is>
      </c>
    </row>
    <row r="144">
      <c r="A144" s="6" t="inlineStr">
        <is>
          <t>Profils_types</t>
        </is>
      </c>
      <c r="B144" s="6" t="inlineStr">
        <is>
          <t>colonne D</t>
        </is>
      </c>
      <c r="C144" s="6" t="inlineStr">
        <is>
          <t>cat</t>
        </is>
      </c>
      <c r="D144" s="6" t="inlineStr">
        <is>
          <t>Catégorie du profil type</t>
        </is>
      </c>
      <c r="E144" s="6" t="inlineStr"/>
      <c r="F144" s="6" t="inlineStr">
        <is>
          <t>Profil type de la génération et du régime (même calcul que la page 2)</t>
        </is>
      </c>
      <c r="G144" s="6" t="inlineStr">
        <is>
          <t>Calcul</t>
        </is>
      </c>
    </row>
    <row r="145">
      <c r="A145" s="6" t="inlineStr">
        <is>
          <t>Profils_types</t>
        </is>
      </c>
      <c r="B145" s="6" t="inlineStr">
        <is>
          <t>colonne E</t>
        </is>
      </c>
      <c r="C145" s="6" t="inlineStr">
        <is>
          <t>gen</t>
        </is>
      </c>
      <c r="D145" s="6" t="inlineStr">
        <is>
          <t>Année de naissance (génération type)</t>
        </is>
      </c>
      <c r="E145" s="6" t="inlineStr"/>
      <c r="F145" s="6" t="inlineStr">
        <is>
          <t>Profil type de la génération et du régime (même calcul que la page 2)</t>
        </is>
      </c>
      <c r="G145" s="6" t="inlineStr">
        <is>
          <t>Calcul</t>
        </is>
      </c>
    </row>
    <row r="146">
      <c r="A146" s="6" t="inlineStr">
        <is>
          <t>Profils_types</t>
        </is>
      </c>
      <c r="B146" s="6" t="inlineStr">
        <is>
          <t>colonne F</t>
        </is>
      </c>
      <c r="C146" s="6" t="inlineStr">
        <is>
          <t>sa</t>
        </is>
      </c>
      <c r="D146" s="6" t="inlineStr">
        <is>
          <t>Âge moyen de début de carrière à cette époque</t>
        </is>
      </c>
      <c r="E146" s="6" t="inlineStr"/>
      <c r="F146" s="6" t="inlineStr">
        <is>
          <t>Profil type de la génération et du régime (même calcul que la page 2)</t>
        </is>
      </c>
      <c r="G146" s="6" t="inlineStr">
        <is>
          <t>Calcul</t>
        </is>
      </c>
    </row>
    <row r="147">
      <c r="A147" s="6" t="inlineStr">
        <is>
          <t>Profils_types</t>
        </is>
      </c>
      <c r="B147" s="6" t="inlineStr">
        <is>
          <t>colonne G</t>
        </is>
      </c>
      <c r="C147" s="6" t="inlineStr">
        <is>
          <t>start</t>
        </is>
      </c>
      <c r="D147" s="6" t="inlineStr">
        <is>
          <t>Année de début de carrière</t>
        </is>
      </c>
      <c r="E147" s="6" t="inlineStr"/>
      <c r="F147" s="6" t="inlineStr">
        <is>
          <t>Profil type de la génération et du régime (même calcul que la page 2)</t>
        </is>
      </c>
      <c r="G147" s="6" t="inlineStr">
        <is>
          <t>Calcul</t>
        </is>
      </c>
    </row>
    <row r="148">
      <c r="A148" s="6" t="inlineStr">
        <is>
          <t>Profils_types</t>
        </is>
      </c>
      <c r="B148" s="6" t="inlineStr">
        <is>
          <t>colonne H</t>
        </is>
      </c>
      <c r="C148" s="6" t="inlineStr">
        <is>
          <t>dur_p</t>
        </is>
      </c>
      <c r="D148" s="6" t="inlineStr">
        <is>
          <t>Durée réelle de carrière d'un salarié du privé de la même génération</t>
        </is>
      </c>
      <c r="E148" s="6" t="inlineStr"/>
      <c r="F148" s="6" t="inlineStr">
        <is>
          <t>Profil type de la génération et du régime (même calcul que la page 2)</t>
        </is>
      </c>
      <c r="G148" s="6" t="inlineStr">
        <is>
          <t>Calcul</t>
        </is>
      </c>
    </row>
    <row r="149">
      <c r="A149" s="6" t="inlineStr">
        <is>
          <t>Profils_types</t>
        </is>
      </c>
      <c r="B149" s="6" t="inlineStr">
        <is>
          <t>colonne I</t>
        </is>
      </c>
      <c r="C149" s="6" t="inlineStr">
        <is>
          <t>rage</t>
        </is>
      </c>
      <c r="D149" s="6" t="inlineStr">
        <is>
          <t>Âge moyen réel de départ dans le privé</t>
        </is>
      </c>
      <c r="E149" s="6" t="inlineStr"/>
      <c r="F149" s="6" t="inlineStr">
        <is>
          <t>Profil type de la génération et du régime (même calcul que la page 2)</t>
        </is>
      </c>
      <c r="G149" s="6" t="inlineStr">
        <is>
          <t>Calcul</t>
        </is>
      </c>
    </row>
    <row r="150">
      <c r="A150" s="6" t="inlineStr">
        <is>
          <t>Profils_types</t>
        </is>
      </c>
      <c r="B150" s="6" t="inlineStr">
        <is>
          <t>colonne J</t>
        </is>
      </c>
      <c r="C150" s="6" t="inlineStr">
        <is>
          <t>dep_p</t>
        </is>
      </c>
      <c r="D150" s="6" t="inlineStr">
        <is>
          <t>Âge de départ d'un salarié du privé de la même génération</t>
        </is>
      </c>
      <c r="E150" s="6" t="inlineStr"/>
      <c r="F150" s="6" t="inlineStr">
        <is>
          <t>Profil type de la génération et du régime (même calcul que la page 2)</t>
        </is>
      </c>
      <c r="G150" s="6" t="inlineStr">
        <is>
          <t>Calcul</t>
        </is>
      </c>
    </row>
    <row r="151">
      <c r="A151" s="6" t="inlineStr">
        <is>
          <t>Profils_types</t>
        </is>
      </c>
      <c r="B151" s="6" t="inlineStr">
        <is>
          <t>colonne K</t>
        </is>
      </c>
      <c r="C151" s="6" t="inlineStr">
        <is>
          <t>dep</t>
        </is>
      </c>
      <c r="D151" s="6" t="inlineStr">
        <is>
          <t>Âge de départ à la retraite</t>
        </is>
      </c>
      <c r="E151" s="6" t="inlineStr"/>
      <c r="F151" s="6" t="inlineStr">
        <is>
          <t>Profil type de la génération et du régime (même calcul que la page 2)</t>
        </is>
      </c>
      <c r="G151" s="6" t="inlineStr">
        <is>
          <t>Calcul</t>
        </is>
      </c>
    </row>
    <row r="152">
      <c r="A152" s="6" t="inlineStr">
        <is>
          <t>Profils_types</t>
        </is>
      </c>
      <c r="B152" s="6" t="inlineStr">
        <is>
          <t>colonne L</t>
        </is>
      </c>
      <c r="C152" s="6" t="inlineStr">
        <is>
          <t>dur</t>
        </is>
      </c>
      <c r="D152" s="6" t="inlineStr">
        <is>
          <t>Durée réelle de carrière (années validées)</t>
        </is>
      </c>
      <c r="E152" s="6" t="inlineStr"/>
      <c r="F152" s="6" t="inlineStr">
        <is>
          <t>Profil type de la génération et du régime (même calcul que la page 2)</t>
        </is>
      </c>
      <c r="G152" s="6" t="inlineStr">
        <is>
          <t>Calcul</t>
        </is>
      </c>
    </row>
    <row r="153">
      <c r="A153" s="6" t="inlineStr">
        <is>
          <t>Profils_types</t>
        </is>
      </c>
      <c r="B153" s="6" t="inlineStr">
        <is>
          <t>colonne M</t>
        </is>
      </c>
      <c r="C153" s="6" t="inlineStr">
        <is>
          <t>ydep</t>
        </is>
      </c>
      <c r="D153" s="6" t="inlineStr">
        <is>
          <t>Année de départ à la retraite</t>
        </is>
      </c>
      <c r="E153" s="6" t="inlineStr"/>
      <c r="F153" s="6" t="inlineStr">
        <is>
          <t>Profil type de la génération et du régime (même calcul que la page 2)</t>
        </is>
      </c>
      <c r="G153" s="6" t="inlineStr">
        <is>
          <t>Calcul</t>
        </is>
      </c>
    </row>
    <row r="154">
      <c r="A154" s="6" t="inlineStr">
        <is>
          <t>Profils_types</t>
        </is>
      </c>
      <c r="B154" s="6" t="inlineStr">
        <is>
          <t>colonne N</t>
        </is>
      </c>
      <c r="C154" s="6" t="inlineStr">
        <is>
          <t>last</t>
        </is>
      </c>
      <c r="D154" s="6" t="inlineStr">
        <is>
          <t>Dernière année de cotisation</t>
        </is>
      </c>
      <c r="E154" s="6" t="inlineStr"/>
      <c r="F154" s="6" t="inlineStr">
        <is>
          <t>Profil type de la génération et du régime (même calcul que la page 2)</t>
        </is>
      </c>
      <c r="G154" s="6" t="inlineStr">
        <is>
          <t>Calcul</t>
        </is>
      </c>
    </row>
    <row r="155">
      <c r="A155" s="6" t="inlineStr">
        <is>
          <t>Profils_types</t>
        </is>
      </c>
      <c r="B155" s="6" t="inlineStr">
        <is>
          <t>colonne O</t>
        </is>
      </c>
      <c r="C155" s="6" t="inlineStr">
        <is>
          <t>rh</t>
        </is>
      </c>
      <c r="D155" s="6" t="inlineStr">
        <is>
          <t>Temps de travail annuel par rapport au privé</t>
        </is>
      </c>
      <c r="E155" s="6" t="inlineStr"/>
      <c r="F155" s="6" t="inlineStr">
        <is>
          <t>Profil type de la génération et du régime (même calcul que la page 2)</t>
        </is>
      </c>
      <c r="G155" s="6" t="inlineStr">
        <is>
          <t>Calcul</t>
        </is>
      </c>
    </row>
    <row r="156">
      <c r="A156" s="6" t="inlineStr">
        <is>
          <t>Profils_types</t>
        </is>
      </c>
      <c r="B156" s="6" t="inlineStr">
        <is>
          <t>colonne P</t>
        </is>
      </c>
      <c r="C156" s="6" t="inlineStr">
        <is>
          <t>hours</t>
        </is>
      </c>
      <c r="D156" s="6" t="inlineStr">
        <is>
          <t>Heures réellement travaillées sur la carrière</t>
        </is>
      </c>
      <c r="E156" s="6" t="inlineStr"/>
      <c r="F156" s="6" t="inlineStr">
        <is>
          <t>Profil type de la génération et du régime (même calcul que la page 2)</t>
        </is>
      </c>
      <c r="G156" s="6" t="inlineStr">
        <is>
          <t>Calcul</t>
        </is>
      </c>
    </row>
    <row r="157">
      <c r="A157" s="6" t="inlineStr">
        <is>
          <t>Profils_types</t>
        </is>
      </c>
      <c r="B157" s="6" t="inlineStr">
        <is>
          <t>colonne Q</t>
        </is>
      </c>
      <c r="C157" s="6" t="inlineStr">
        <is>
          <t>hours_leg</t>
        </is>
      </c>
      <c r="D157" s="6" t="inlineStr">
        <is>
          <t>Heures selon la durée légale sur la carrière</t>
        </is>
      </c>
      <c r="E157" s="6" t="inlineStr"/>
      <c r="F157" s="6" t="inlineStr">
        <is>
          <t>Profil type de la génération et du régime (même calcul que la page 2)</t>
        </is>
      </c>
      <c r="G157" s="6" t="inlineStr">
        <is>
          <t>Calcul</t>
        </is>
      </c>
    </row>
    <row r="158">
      <c r="A158" s="6" t="inlineStr">
        <is>
          <t>Profils_types</t>
        </is>
      </c>
      <c r="B158" s="6" t="inlineStr">
        <is>
          <t>colonne R</t>
        </is>
      </c>
      <c r="C158" s="6" t="inlineStr">
        <is>
          <t>h_an</t>
        </is>
      </c>
      <c r="D158" s="6" t="inlineStr">
        <is>
          <t>Heures réellement travaillées par an (moyenne)</t>
        </is>
      </c>
      <c r="E158" s="6" t="inlineStr"/>
      <c r="F158" s="6" t="inlineStr">
        <is>
          <t>Profil type de la génération et du régime (même calcul que la page 2)</t>
        </is>
      </c>
      <c r="G158" s="6" t="inlineStr">
        <is>
          <t>Calcul</t>
        </is>
      </c>
    </row>
    <row r="159">
      <c r="A159" s="6" t="inlineStr">
        <is>
          <t>Profils_types</t>
        </is>
      </c>
      <c r="B159" s="6" t="inlineStr">
        <is>
          <t>colonne S</t>
        </is>
      </c>
      <c r="C159" s="6" t="inlineStr">
        <is>
          <t>brut</t>
        </is>
      </c>
      <c r="D159" s="6" t="inlineStr">
        <is>
          <t>Salaire brut cumulé sur la carrière (€ 2026)</t>
        </is>
      </c>
      <c r="E159" s="6" t="inlineStr"/>
      <c r="F159" s="6" t="inlineStr">
        <is>
          <t>Profil type de la génération et du régime (même calcul que la page 2)</t>
        </is>
      </c>
      <c r="G159" s="6" t="inlineStr">
        <is>
          <t>Calcul</t>
        </is>
      </c>
    </row>
    <row r="160">
      <c r="A160" s="6" t="inlineStr">
        <is>
          <t>Profils_types</t>
        </is>
      </c>
      <c r="B160" s="6" t="inlineStr">
        <is>
          <t>colonne T</t>
        </is>
      </c>
      <c r="C160" s="6" t="inlineStr">
        <is>
          <t>sal</t>
        </is>
      </c>
      <c r="D160" s="6" t="inlineStr">
        <is>
          <t>dont cotisations vieillesse salariales (€ 2026)</t>
        </is>
      </c>
      <c r="E160" s="6" t="inlineStr"/>
      <c r="F160" s="6" t="inlineStr">
        <is>
          <t>Profil type de la génération et du régime (même calcul que la page 2)</t>
        </is>
      </c>
      <c r="G160" s="6" t="inlineStr">
        <is>
          <t>Calcul</t>
        </is>
      </c>
    </row>
    <row r="161">
      <c r="A161" s="6" t="inlineStr">
        <is>
          <t>Profils_types</t>
        </is>
      </c>
      <c r="B161" s="6" t="inlineStr">
        <is>
          <t>colonne U</t>
        </is>
      </c>
      <c r="C161" s="6" t="inlineStr">
        <is>
          <t>pat</t>
        </is>
      </c>
      <c r="D161" s="6" t="inlineStr">
        <is>
          <t>dont cotisations vieillesse patronales (€ 2026)</t>
        </is>
      </c>
      <c r="E161" s="6" t="inlineStr"/>
      <c r="F161" s="6" t="inlineStr">
        <is>
          <t>Profil type de la génération et du régime (même calcul que la page 2)</t>
        </is>
      </c>
      <c r="G161" s="6" t="inlineStr">
        <is>
          <t>Calcul</t>
        </is>
      </c>
    </row>
    <row r="162">
      <c r="A162" s="6" t="inlineStr">
        <is>
          <t>Profils_types</t>
        </is>
      </c>
      <c r="B162" s="6" t="inlineStr">
        <is>
          <t>colonne V</t>
        </is>
      </c>
      <c r="C162" s="6" t="inlineStr">
        <is>
          <t>cot</t>
        </is>
      </c>
      <c r="D162" s="6" t="inlineStr">
        <is>
          <t>Cotisations vieillesse totales versées (€ 2026)</t>
        </is>
      </c>
      <c r="E162" s="6" t="inlineStr"/>
      <c r="F162" s="6" t="inlineStr">
        <is>
          <t>Profil type de la génération et du régime (même calcul que la page 2)</t>
        </is>
      </c>
      <c r="G162" s="6" t="inlineStr">
        <is>
          <t>Calcul</t>
        </is>
      </c>
    </row>
    <row r="163">
      <c r="A163" s="6" t="inlineStr">
        <is>
          <t>Profils_types</t>
        </is>
      </c>
      <c r="B163" s="6" t="inlineStr">
        <is>
          <t>colonne W</t>
        </is>
      </c>
      <c r="C163" s="6" t="inlineStr">
        <is>
          <t>taux</t>
        </is>
      </c>
      <c r="D163" s="6" t="inlineStr">
        <is>
          <t>Taux moyen de cotisation vieillesse (salarial + patronal)</t>
        </is>
      </c>
      <c r="E163" s="6" t="inlineStr"/>
      <c r="F163" s="6" t="inlineStr">
        <is>
          <t>Profil type de la génération et du régime (même calcul que la page 2)</t>
        </is>
      </c>
      <c r="G163" s="6" t="inlineStr">
        <is>
          <t>Calcul</t>
        </is>
      </c>
    </row>
    <row r="164">
      <c r="A164" s="6" t="inlineStr">
        <is>
          <t>Profils_types</t>
        </is>
      </c>
      <c r="B164" s="6" t="inlineStr">
        <is>
          <t>colonne X</t>
        </is>
      </c>
      <c r="C164" s="6" t="inlineStr">
        <is>
          <t>cout</t>
        </is>
      </c>
      <c r="D164" s="6" t="inlineStr">
        <is>
          <t>Coût employeur retraite sur la carrière (€ 2026)</t>
        </is>
      </c>
      <c r="E164" s="6" t="inlineStr"/>
      <c r="F164" s="6" t="inlineStr">
        <is>
          <t>Profil type de la génération et du régime (même calcul que la page 2)</t>
        </is>
      </c>
      <c r="G164" s="6" t="inlineStr">
        <is>
          <t>Calcul</t>
        </is>
      </c>
    </row>
    <row r="165">
      <c r="A165" s="6" t="inlineStr">
        <is>
          <t>Profils_types</t>
        </is>
      </c>
      <c r="B165" s="6" t="inlineStr">
        <is>
          <t>colonne Y</t>
        </is>
      </c>
      <c r="C165" s="6" t="inlineStr">
        <is>
          <t>cot_h</t>
        </is>
      </c>
      <c r="D165" s="6" t="inlineStr">
        <is>
          <t>Cotisations vieillesse par heure travaillée (€ 2026)</t>
        </is>
      </c>
      <c r="E165" s="6" t="inlineStr"/>
      <c r="F165" s="6" t="inlineStr">
        <is>
          <t>Profil type de la génération et du régime (même calcul que la page 2)</t>
        </is>
      </c>
      <c r="G165" s="6" t="inlineStr">
        <is>
          <t>Calcul</t>
        </is>
      </c>
    </row>
    <row r="166">
      <c r="A166" s="6" t="inlineStr">
        <is>
          <t>Profils_types</t>
        </is>
      </c>
      <c r="B166" s="6" t="inlineStr">
        <is>
          <t>colonne Z</t>
        </is>
      </c>
      <c r="C166" s="6" t="inlineStr">
        <is>
          <t>subv</t>
        </is>
      </c>
      <c r="D166" s="6" t="inlineStr">
        <is>
          <t>Argent public ajouté pour équilibrer le régime, financé par les impôts et taxes (€ 2026, non compté dans les cotisations)</t>
        </is>
      </c>
      <c r="E166" s="6" t="inlineStr"/>
      <c r="F166" s="6" t="inlineStr">
        <is>
          <t>Profil type de la génération et du régime (même calcul que la page 2)</t>
        </is>
      </c>
      <c r="G166" s="6" t="inlineStr">
        <is>
          <t>Calcul</t>
        </is>
      </c>
    </row>
    <row r="167">
      <c r="A167" s="6" t="inlineStr">
        <is>
          <t>Profils_types</t>
        </is>
      </c>
      <c r="B167" s="6" t="inlineStr">
        <is>
          <t>colonne AA</t>
        </is>
      </c>
      <c r="C167" s="6" t="inlineStr">
        <is>
          <t>trimr</t>
        </is>
      </c>
      <c r="D167" s="6" t="inlineStr">
        <is>
          <t>Trimestres requis dans le régime</t>
        </is>
      </c>
      <c r="E167" s="6" t="inlineStr"/>
      <c r="F167" s="6" t="inlineStr">
        <is>
          <t>Profil type de la génération et du régime (même calcul que la page 2)</t>
        </is>
      </c>
      <c r="G167" s="6" t="inlineStr">
        <is>
          <t>Calcul</t>
        </is>
      </c>
    </row>
    <row r="168">
      <c r="A168" s="6" t="inlineStr">
        <is>
          <t>Profils_types</t>
        </is>
      </c>
      <c r="B168" s="6" t="inlineStr">
        <is>
          <t>colonne AB</t>
        </is>
      </c>
      <c r="C168" s="6" t="inlineStr">
        <is>
          <t>bonq</t>
        </is>
      </c>
      <c r="D168" s="6" t="inlineStr">
        <is>
          <t>Bonification de durée pour services actifs (trimestres)</t>
        </is>
      </c>
      <c r="E168" s="6" t="inlineStr"/>
      <c r="F168" s="6" t="inlineStr">
        <is>
          <t>Profil type de la génération et du régime (même calcul que la page 2)</t>
        </is>
      </c>
      <c r="G168" s="6" t="inlineStr">
        <is>
          <t>Calcul</t>
        </is>
      </c>
    </row>
    <row r="169">
      <c r="A169" s="6" t="inlineStr">
        <is>
          <t>Profils_types</t>
        </is>
      </c>
      <c r="B169" s="6" t="inlineStr">
        <is>
          <t>colonne AC</t>
        </is>
      </c>
      <c r="C169" s="6" t="inlineStr">
        <is>
          <t>coefp</t>
        </is>
      </c>
      <c r="D169" s="6" t="inlineStr">
        <is>
          <t>Coefficient de pension du régime (à salaire égal, carrière complète)</t>
        </is>
      </c>
      <c r="E169" s="6" t="inlineStr"/>
      <c r="F169" s="6" t="inlineStr">
        <is>
          <t>Profil type de la génération et du régime (même calcul que la page 2)</t>
        </is>
      </c>
      <c r="G169" s="6" t="inlineStr">
        <is>
          <t>Calcul</t>
        </is>
      </c>
    </row>
    <row r="170">
      <c r="A170" s="6" t="inlineStr">
        <is>
          <t>Profils_types</t>
        </is>
      </c>
      <c r="B170" s="6" t="inlineStr">
        <is>
          <t>colonne AD</t>
        </is>
      </c>
      <c r="C170" s="6" t="inlineStr">
        <is>
          <t>fullp</t>
        </is>
      </c>
      <c r="D170" s="6" t="inlineStr">
        <is>
          <t>Pension d'une carrière complète dans le privé, la même année (€ 2026)</t>
        </is>
      </c>
      <c r="E170" s="6" t="inlineStr"/>
      <c r="F170" s="6" t="inlineStr">
        <is>
          <t>Profil type de la génération et du régime (même calcul que la page 2)</t>
        </is>
      </c>
      <c r="G170" s="6" t="inlineStr">
        <is>
          <t>Calcul</t>
        </is>
      </c>
    </row>
    <row r="171">
      <c r="A171" s="6" t="inlineStr">
        <is>
          <t>Profils_types</t>
        </is>
      </c>
      <c r="B171" s="6" t="inlineStr">
        <is>
          <t>colonne AE</t>
        </is>
      </c>
      <c r="C171" s="6" t="inlineStr">
        <is>
          <t>pension</t>
        </is>
      </c>
      <c r="D171" s="6" t="inlineStr">
        <is>
          <t>Pension annuelle (€ 2026)</t>
        </is>
      </c>
      <c r="E171" s="6" t="inlineStr"/>
      <c r="F171" s="6" t="inlineStr">
        <is>
          <t>Profil type de la génération et du régime (même calcul que la page 2)</t>
        </is>
      </c>
      <c r="G171" s="6" t="inlineStr">
        <is>
          <t>Calcul</t>
        </is>
      </c>
    </row>
    <row r="172">
      <c r="A172" s="6" t="inlineStr">
        <is>
          <t>Profils_types</t>
        </is>
      </c>
      <c r="B172" s="6" t="inlineStr">
        <is>
          <t>colonne AF</t>
        </is>
      </c>
      <c r="C172" s="6" t="inlineStr">
        <is>
          <t>pension_m</t>
        </is>
      </c>
      <c r="D172" s="6" t="inlineStr">
        <is>
          <t>Pension mensuelle (€ 2026)</t>
        </is>
      </c>
      <c r="E172" s="6" t="inlineStr"/>
      <c r="F172" s="6" t="inlineStr">
        <is>
          <t>Profil type de la génération et du régime (même calcul que la page 2)</t>
        </is>
      </c>
      <c r="G172" s="6" t="inlineStr">
        <is>
          <t>Calcul</t>
        </is>
      </c>
    </row>
    <row r="173">
      <c r="A173" s="6" t="inlineStr">
        <is>
          <t>Profils_types</t>
        </is>
      </c>
      <c r="B173" s="6" t="inlineStr">
        <is>
          <t>colonne AG</t>
        </is>
      </c>
      <c r="C173" s="6" t="inlineStr">
        <is>
          <t>a0</t>
        </is>
      </c>
      <c r="D173" s="6" t="inlineStr">
        <is>
          <t>Âge pair de référence (tables INSEE)</t>
        </is>
      </c>
      <c r="E173" s="6" t="inlineStr"/>
      <c r="F173" s="6" t="inlineStr">
        <is>
          <t>Profil type de la génération et du régime (même calcul que la page 2)</t>
        </is>
      </c>
      <c r="G173" s="6" t="inlineStr">
        <is>
          <t>Calcul</t>
        </is>
      </c>
    </row>
    <row r="174">
      <c r="A174" s="6" t="inlineStr">
        <is>
          <t>Profils_types</t>
        </is>
      </c>
      <c r="B174" s="6" t="inlineStr">
        <is>
          <t>colonne AH</t>
        </is>
      </c>
      <c r="C174" s="6" t="inlineStr">
        <is>
          <t>ev0</t>
        </is>
      </c>
      <c r="D174" s="6" t="inlineStr">
        <is>
          <t>Espérance de vie à l'âge de référence</t>
        </is>
      </c>
      <c r="E174" s="6" t="inlineStr"/>
      <c r="F174" s="6" t="inlineStr">
        <is>
          <t>Profil type de la génération et du régime (même calcul que la page 2)</t>
        </is>
      </c>
      <c r="G174" s="6" t="inlineStr">
        <is>
          <t>Calcul</t>
        </is>
      </c>
    </row>
    <row r="175">
      <c r="A175" s="6" t="inlineStr">
        <is>
          <t>Profils_types</t>
        </is>
      </c>
      <c r="B175" s="6" t="inlineStr">
        <is>
          <t>colonne AI</t>
        </is>
      </c>
      <c r="C175" s="6" t="inlineStr">
        <is>
          <t>ev2</t>
        </is>
      </c>
      <c r="D175" s="6" t="inlineStr">
        <is>
          <t>Espérance de vie à l'âge de référence + 2</t>
        </is>
      </c>
      <c r="E175" s="6" t="inlineStr"/>
      <c r="F175" s="6" t="inlineStr">
        <is>
          <t>Profil type de la génération et du régime (même calcul que la page 2)</t>
        </is>
      </c>
      <c r="G175" s="6" t="inlineStr">
        <is>
          <t>Calcul</t>
        </is>
      </c>
    </row>
    <row r="176">
      <c r="A176" s="6" t="inlineStr">
        <is>
          <t>Profils_types</t>
        </is>
      </c>
      <c r="B176" s="6" t="inlineStr">
        <is>
          <t>colonne AJ</t>
        </is>
      </c>
      <c r="C176" s="6" t="inlineStr">
        <is>
          <t>retr</t>
        </is>
      </c>
      <c r="D176" s="6" t="inlineStr">
        <is>
          <t>Durée moyenne de retraite (années)</t>
        </is>
      </c>
      <c r="E176" s="6" t="inlineStr"/>
      <c r="F176" s="6" t="inlineStr">
        <is>
          <t>Profil type de la génération et du régime (même calcul que la page 2)</t>
        </is>
      </c>
      <c r="G176" s="6" t="inlineStr">
        <is>
          <t>Calcul</t>
        </is>
      </c>
    </row>
    <row r="177">
      <c r="A177" s="6" t="inlineStr">
        <is>
          <t>Profils_types</t>
        </is>
      </c>
      <c r="B177" s="6" t="inlineStr">
        <is>
          <t>colonne AK</t>
        </is>
      </c>
      <c r="C177" s="6" t="inlineStr">
        <is>
          <t>age_dc</t>
        </is>
      </c>
      <c r="D177" s="6" t="inlineStr">
        <is>
          <t>Âge moyen au décès</t>
        </is>
      </c>
      <c r="E177" s="6" t="inlineStr"/>
      <c r="F177" s="6" t="inlineStr">
        <is>
          <t>Profil type de la génération et du régime (même calcul que la page 2)</t>
        </is>
      </c>
      <c r="G177" s="6" t="inlineStr">
        <is>
          <t>Calcul</t>
        </is>
      </c>
    </row>
    <row r="178">
      <c r="A178" s="6" t="inlineStr">
        <is>
          <t>Profils_types</t>
        </is>
      </c>
      <c r="B178" s="6" t="inlineStr">
        <is>
          <t>colonne AL</t>
        </is>
      </c>
      <c r="C178" s="6" t="inlineStr">
        <is>
          <t>pens_tot</t>
        </is>
      </c>
      <c r="D178" s="6" t="inlineStr">
        <is>
          <t>Pensions totales reçues (€ 2026)</t>
        </is>
      </c>
      <c r="E178" s="6" t="inlineStr"/>
      <c r="F178" s="6" t="inlineStr">
        <is>
          <t>Profil type de la génération et du régime (même calcul que la page 2)</t>
        </is>
      </c>
      <c r="G178" s="6" t="inlineStr">
        <is>
          <t>Calcul</t>
        </is>
      </c>
    </row>
    <row r="179">
      <c r="A179" s="6" t="inlineStr">
        <is>
          <t>Profils_types</t>
        </is>
      </c>
      <c r="B179" s="6" t="inlineStr">
        <is>
          <t>colonne AM</t>
        </is>
      </c>
      <c r="C179" s="6" t="inlineStr">
        <is>
          <t>cot_eur</t>
        </is>
      </c>
      <c r="D179" s="6" t="inlineStr">
        <is>
          <t>Cotisations versées pour recevoir 1 € de pension</t>
        </is>
      </c>
      <c r="E179" s="6" t="inlineStr"/>
      <c r="F179" s="6" t="inlineStr">
        <is>
          <t>Profil type de la génération et du régime (même calcul que la page 2)</t>
        </is>
      </c>
      <c r="G179" s="6" t="inlineStr">
        <is>
          <t>Calcul</t>
        </is>
      </c>
    </row>
    <row r="180">
      <c r="A180" s="6" t="inlineStr">
        <is>
          <t>Profils_types</t>
        </is>
      </c>
      <c r="B180" s="6" t="inlineStr">
        <is>
          <t>colonne AN</t>
        </is>
      </c>
      <c r="C180" s="6" t="inlineStr">
        <is>
          <t>subv_eur</t>
        </is>
      </c>
      <c r="D180" s="6" t="inlineStr">
        <is>
          <t>Argent public (impôts et taxes) ajouté pour 1 € de pension</t>
        </is>
      </c>
      <c r="E180" s="6" t="inlineStr"/>
      <c r="F180" s="6" t="inlineStr">
        <is>
          <t>Profil type de la génération et du régime (même calcul que la page 2)</t>
        </is>
      </c>
      <c r="G180" s="6" t="inlineStr">
        <is>
          <t>Calcul</t>
        </is>
      </c>
    </row>
    <row r="181">
      <c r="A181" s="6" t="inlineStr">
        <is>
          <t>Profils_types</t>
        </is>
      </c>
      <c r="B181" s="6" t="inlineStr">
        <is>
          <t>colonne AO</t>
        </is>
      </c>
      <c r="C181" s="6" t="inlineStr">
        <is>
          <t>subv_part</t>
        </is>
      </c>
      <c r="D181" s="6" t="inlineStr">
        <is>
          <t>Part de l'argent public dans le financement de la carrière</t>
        </is>
      </c>
      <c r="E181" s="6" t="inlineStr"/>
      <c r="F181" s="6" t="inlineStr">
        <is>
          <t>Profil type de la génération et du régime (même calcul que la page 2)</t>
        </is>
      </c>
      <c r="G181" s="6" t="inlineStr">
        <is>
          <t>Calcul</t>
        </is>
      </c>
    </row>
    <row r="182">
      <c r="A182" s="6" t="inlineStr">
        <is>
          <t>Profils_types</t>
        </is>
      </c>
      <c r="B182" s="6" t="inlineStr">
        <is>
          <t>colonne AP</t>
        </is>
      </c>
      <c r="C182" s="6" t="inlineStr">
        <is>
          <t>ret100</t>
        </is>
      </c>
      <c r="D182" s="6" t="inlineStr">
        <is>
          <t>Pensions reçues pour 100 € cotisés</t>
        </is>
      </c>
      <c r="E182" s="6" t="inlineStr"/>
      <c r="F182" s="6" t="inlineStr">
        <is>
          <t>Profil type de la génération et du régime (même calcul que la page 2)</t>
        </is>
      </c>
      <c r="G182" s="6" t="inlineStr">
        <is>
          <t>Calcul</t>
        </is>
      </c>
    </row>
    <row r="183">
      <c r="A183" s="6" t="inlineStr">
        <is>
          <t>Profils_types</t>
        </is>
      </c>
      <c r="B183" s="6" t="inlineStr">
        <is>
          <t>colonne AQ</t>
        </is>
      </c>
      <c r="C183" s="6" t="inlineStr">
        <is>
          <t>h_1000</t>
        </is>
      </c>
      <c r="D183" s="6" t="inlineStr">
        <is>
          <t>Heures de travail pour 1 000 € de pension</t>
        </is>
      </c>
      <c r="E183" s="6" t="inlineStr"/>
      <c r="F183" s="6" t="inlineStr">
        <is>
          <t>Profil type de la génération et du régime (même calcul que la page 2)</t>
        </is>
      </c>
      <c r="G183" s="6" t="inlineStr">
        <is>
          <t>Calcul</t>
        </is>
      </c>
    </row>
    <row r="184">
      <c r="A184" s="6" t="inlineStr">
        <is>
          <t>Profils_types</t>
        </is>
      </c>
      <c r="B184" s="6" t="inlineStr">
        <is>
          <t>colonne AR</t>
        </is>
      </c>
      <c r="C184" s="6" t="inlineStr">
        <is>
          <t>capT</t>
        </is>
      </c>
      <c r="D184" s="6" t="inlineStr">
        <is>
          <t>Année où le capital est évalué (veille du départ)</t>
        </is>
      </c>
      <c r="E184" s="6" t="inlineStr"/>
      <c r="F184" s="6" t="inlineStr">
        <is>
          <t>Profil type de la génération et du régime (même calcul que la page 2)</t>
        </is>
      </c>
      <c r="G184" s="6" t="inlineStr">
        <is>
          <t>Calcul</t>
        </is>
      </c>
    </row>
    <row r="185">
      <c r="A185" s="6" t="inlineStr">
        <is>
          <t>Profils_types</t>
        </is>
      </c>
      <c r="B185" s="6" t="inlineStr">
        <is>
          <t>colonne AS</t>
        </is>
      </c>
      <c r="C185" s="6" t="inlineStr">
        <is>
          <t>cap</t>
        </is>
      </c>
      <c r="D185" s="6" t="inlineStr">
        <is>
          <t>Capital si ces mêmes cotisations avaient été placées chaque mois en actions (dividendes réinvestis, € 2026)</t>
        </is>
      </c>
      <c r="E185" s="6" t="inlineStr"/>
      <c r="F185" s="6" t="inlineStr">
        <is>
          <t>Profil type de la génération et du régime (même calcul que la page 2)</t>
        </is>
      </c>
      <c r="G185" s="6" t="inlineStr">
        <is>
          <t>Calcul</t>
        </is>
      </c>
    </row>
    <row r="186">
      <c r="A186" s="6" t="inlineStr">
        <is>
          <t>Profils_types</t>
        </is>
      </c>
      <c r="B186" s="6" t="inlineStr">
        <is>
          <t>colonne AT</t>
        </is>
      </c>
      <c r="C186" s="6" t="inlineStr">
        <is>
          <t>cap_mult</t>
        </is>
      </c>
      <c r="D186" s="6" t="inlineStr">
        <is>
          <t>Capital ÷ cotisations versées</t>
        </is>
      </c>
      <c r="E186" s="6" t="inlineStr"/>
      <c r="F186" s="6" t="inlineStr">
        <is>
          <t>Profil type de la génération et du régime (même calcul que la page 2)</t>
        </is>
      </c>
      <c r="G186" s="6" t="inlineStr">
        <is>
          <t>Calcul</t>
        </is>
      </c>
    </row>
    <row r="187">
      <c r="A187" s="6" t="inlineStr">
        <is>
          <t>Profils_types</t>
        </is>
      </c>
      <c r="B187" s="6" t="inlineStr">
        <is>
          <t>colonne AU</t>
        </is>
      </c>
      <c r="C187" s="6" t="inlineStr">
        <is>
          <t>rep_tot</t>
        </is>
      </c>
      <c r="D187" s="6" t="inlineStr">
        <is>
          <t>Répartition : pensions totales reçues pendant la retraite (€ 2026)</t>
        </is>
      </c>
      <c r="E187" s="6" t="inlineStr"/>
      <c r="F187" s="6" t="inlineStr">
        <is>
          <t>Profil type de la génération et du régime (même calcul que la page 2)</t>
        </is>
      </c>
      <c r="G187" s="6" t="inlineStr">
        <is>
          <t>Calcul</t>
        </is>
      </c>
    </row>
    <row r="188">
      <c r="A188" s="6" t="inlineStr">
        <is>
          <t>Profils_types</t>
        </is>
      </c>
      <c r="B188" s="6" t="inlineStr">
        <is>
          <t>colonne AV</t>
        </is>
      </c>
      <c r="C188" s="6" t="inlineStr">
        <is>
          <t>cap_vs_rep</t>
        </is>
      </c>
      <c r="D188" s="6" t="inlineStr">
        <is>
          <t>EN PLUS (+) OU EN MOINS (−) AVEC LA CAPITALISATION, sur toute la retraite (€ 2026)</t>
        </is>
      </c>
      <c r="E188" s="6" t="inlineStr"/>
      <c r="F188" s="6" t="inlineStr">
        <is>
          <t>Profil type de la génération et du régime (même calcul que la page 2)</t>
        </is>
      </c>
      <c r="G188" s="6" t="inlineStr">
        <is>
          <t>Calcul</t>
        </is>
      </c>
    </row>
    <row r="189">
      <c r="A189" s="6" t="inlineStr">
        <is>
          <t>Profils_types</t>
        </is>
      </c>
      <c r="B189" s="6" t="inlineStr">
        <is>
          <t>colonne AW</t>
        </is>
      </c>
      <c r="C189" s="6" t="inlineStr">
        <is>
          <t>cap_vs_rep_pct</t>
        </is>
      </c>
      <c r="D189" s="6" t="inlineStr">
        <is>
          <t>Écart capitalisation / répartition</t>
        </is>
      </c>
      <c r="E189" s="6" t="inlineStr"/>
      <c r="F189" s="6" t="inlineStr">
        <is>
          <t>Profil type de la génération et du régime (même calcul que la page 2)</t>
        </is>
      </c>
      <c r="G189" s="6" t="inlineStr">
        <is>
          <t>Calcul</t>
        </is>
      </c>
    </row>
    <row r="190">
      <c r="A190" s="6" t="inlineStr">
        <is>
          <t>Profils_types</t>
        </is>
      </c>
      <c r="B190" s="6" t="inlineStr">
        <is>
          <t>colonne AX</t>
        </is>
      </c>
      <c r="C190" s="6" t="inlineStr">
        <is>
          <t>rente_m</t>
        </is>
      </c>
      <c r="D190" s="6" t="inlineStr">
        <is>
          <t>Capitalisation : revenu mensuel pendant la retraite (capital réparti sur la durée de retraite, € 2026)</t>
        </is>
      </c>
      <c r="E190" s="6" t="inlineStr"/>
      <c r="F190" s="6" t="inlineStr">
        <is>
          <t>Profil type de la génération et du régime (même calcul que la page 2)</t>
        </is>
      </c>
      <c r="G190" s="6" t="inlineStr">
        <is>
          <t>Calcul</t>
        </is>
      </c>
    </row>
    <row r="191">
      <c r="A191" s="6" t="inlineStr">
        <is>
          <t>Profils_types</t>
        </is>
      </c>
      <c r="B191" s="6" t="inlineStr">
        <is>
          <t>colonne AY</t>
        </is>
      </c>
      <c r="C191" s="6" t="inlineStr">
        <is>
          <t>rep_m</t>
        </is>
      </c>
      <c r="D191" s="6" t="inlineStr">
        <is>
          <t>Répartition : pension mensuelle (€ 2026)</t>
        </is>
      </c>
      <c r="E191" s="6" t="inlineStr"/>
      <c r="F191" s="6" t="inlineStr">
        <is>
          <t>Profil type de la génération et du régime (même calcul que la page 2)</t>
        </is>
      </c>
      <c r="G191" s="6" t="inlineStr">
        <is>
          <t>Calcul</t>
        </is>
      </c>
    </row>
    <row r="192">
      <c r="A192" s="6" t="inlineStr">
        <is>
          <t>Profils_types</t>
        </is>
      </c>
      <c r="B192" s="6" t="inlineStr">
        <is>
          <t>colonne AZ</t>
        </is>
      </c>
      <c r="C192" s="6" t="inlineStr">
        <is>
          <t>rente_vs_rep_m</t>
        </is>
      </c>
      <c r="D192" s="6" t="inlineStr">
        <is>
          <t>En plus (+) ou en moins (−) chaque mois avec la capitalisation (€ 2026)</t>
        </is>
      </c>
      <c r="E192" s="6" t="inlineStr"/>
      <c r="F192" s="6" t="inlineStr">
        <is>
          <t>Profil type de la génération et du régime (même calcul que la page 2)</t>
        </is>
      </c>
      <c r="G192" s="6" t="inlineStr">
        <is>
          <t>Calcul</t>
        </is>
      </c>
    </row>
    <row r="193">
      <c r="A193" s="6" t="inlineStr">
        <is>
          <t>Profils_types</t>
        </is>
      </c>
      <c r="B193" s="6" t="inlineStr">
        <is>
          <t>colonne BA</t>
        </is>
      </c>
      <c r="C193" s="6" t="inlineStr">
        <is>
          <t>cap_px</t>
        </is>
      </c>
      <c r="D193" s="6" t="inlineStr">
        <is>
          <t>Pour mémoire : capital avec le cours seul, sans les dividendes (€ 2026)</t>
        </is>
      </c>
      <c r="E193" s="6" t="inlineStr"/>
      <c r="F193" s="6" t="inlineStr">
        <is>
          <t>Profil type de la génération et du régime (même calcul que la page 2)</t>
        </is>
      </c>
      <c r="G193" s="6" t="inlineStr">
        <is>
          <t>Calcul</t>
        </is>
      </c>
    </row>
    <row r="194">
      <c r="A194" s="6" t="inlineStr">
        <is>
          <t>Profils_types</t>
        </is>
      </c>
      <c r="B194" s="6" t="inlineStr">
        <is>
          <t>colonne BB</t>
        </is>
      </c>
      <c r="C194" s="6" t="inlineStr">
        <is>
          <t>cap_px_vs_rep</t>
        </is>
      </c>
      <c r="D194" s="6" t="inlineStr">
        <is>
          <t>Pour mémoire : en plus ou en moins avec le cours seul (€ 2026)</t>
        </is>
      </c>
      <c r="E194" s="6" t="inlineStr"/>
      <c r="F194" s="6" t="inlineStr">
        <is>
          <t>Profil type de la génération et du régime (même calcul que la page 2)</t>
        </is>
      </c>
      <c r="G194" s="6" t="inlineStr">
        <is>
          <t>Calcul</t>
        </is>
      </c>
    </row>
    <row r="195">
      <c r="A195" s="6" t="inlineStr">
        <is>
          <t>Profils_types</t>
        </is>
      </c>
      <c r="B195" s="6" t="inlineStr">
        <is>
          <t>colonne BC</t>
        </is>
      </c>
      <c r="C195" s="6" t="inlineStr">
        <is>
          <t>projete</t>
        </is>
      </c>
      <c r="D195" s="6" t="inlineStr">
        <is>
          <t>Données projetées ?</t>
        </is>
      </c>
      <c r="E195" s="6" t="inlineStr"/>
      <c r="F195" s="6" t="inlineStr">
        <is>
          <t>Profil type de la génération et du régime (même calcul que la page 2)</t>
        </is>
      </c>
      <c r="G195" s="6" t="inlineStr">
        <is>
          <t>Calcul</t>
        </is>
      </c>
    </row>
    <row r="196">
      <c r="A196" s="6" t="inlineStr">
        <is>
          <t>2_Comparateur_simple</t>
        </is>
      </c>
      <c r="B196" s="6" t="inlineStr">
        <is>
          <t>ligne 8</t>
        </is>
      </c>
      <c r="C196" s="6" t="inlineStr">
        <is>
          <t>reg_in</t>
        </is>
      </c>
      <c r="D196" s="6" t="inlineStr">
        <is>
          <t>Régime choisi</t>
        </is>
      </c>
      <c r="E196" s="6" t="inlineStr"/>
      <c r="F196" s="6" t="inlineStr">
        <is>
          <t>saisie / hypothèse</t>
        </is>
      </c>
      <c r="G196" s="6" t="inlineStr">
        <is>
          <t>Calcul</t>
        </is>
      </c>
    </row>
    <row r="197">
      <c r="A197" s="6" t="inlineStr">
        <is>
          <t>2_Comparateur_simple</t>
        </is>
      </c>
      <c r="B197" s="6" t="inlineStr">
        <is>
          <t>ligne 9</t>
        </is>
      </c>
      <c r="C197" s="6" t="inlineStr">
        <is>
          <t>reg</t>
        </is>
      </c>
      <c r="D197" s="6" t="inlineStr">
        <is>
          <t>Régime appliqué (régime général si le régime était déjà fermé aux nouveaux embauchés)</t>
        </is>
      </c>
      <c r="E197" s="6" t="inlineStr"/>
      <c r="F197" s="6" t="inlineStr">
        <is>
          <t>Calcul : IF({start}&gt;=SUMIFS(Regimes[annee_fermeture],Regimes[regime],{reg_in}),"Privé",{reg_in})</t>
        </is>
      </c>
      <c r="G197" s="6" t="inlineStr">
        <is>
          <t>Calcul</t>
        </is>
      </c>
    </row>
    <row r="198">
      <c r="A198" s="6" t="inlineStr">
        <is>
          <t>2_Comparateur_simple</t>
        </is>
      </c>
      <c r="B198" s="6" t="inlineStr">
        <is>
          <t>ligne 10</t>
        </is>
      </c>
      <c r="C198" s="6" t="inlineStr">
        <is>
          <t>cat</t>
        </is>
      </c>
      <c r="D198" s="6" t="inlineStr">
        <is>
          <t>Catégorie du profil type</t>
        </is>
      </c>
      <c r="E198" s="6" t="inlineStr"/>
      <c r="F198" s="6" t="inlineStr">
        <is>
          <t>Calcul : INDEX(Regimes[categorie_type],MATCH({reg},Regimes[regime],0))</t>
        </is>
      </c>
      <c r="G198" s="6" t="inlineStr">
        <is>
          <t>Calcul</t>
        </is>
      </c>
    </row>
    <row r="199">
      <c r="A199" s="6" t="inlineStr">
        <is>
          <t>2_Comparateur_simple</t>
        </is>
      </c>
      <c r="B199" s="6" t="inlineStr">
        <is>
          <t>ligne 11</t>
        </is>
      </c>
      <c r="C199" s="6" t="inlineStr">
        <is>
          <t>gen</t>
        </is>
      </c>
      <c r="D199" s="6" t="inlineStr">
        <is>
          <t>Année de naissance (génération type)</t>
        </is>
      </c>
      <c r="E199" s="6" t="inlineStr"/>
      <c r="F199" s="6" t="inlineStr">
        <is>
          <t>saisie / hypothèse</t>
        </is>
      </c>
      <c r="G199" s="6" t="inlineStr">
        <is>
          <t>Calcul</t>
        </is>
      </c>
    </row>
    <row r="200">
      <c r="A200" s="6" t="inlineStr">
        <is>
          <t>2_Comparateur_simple</t>
        </is>
      </c>
      <c r="B200" s="6" t="inlineStr">
        <is>
          <t>ligne 12</t>
        </is>
      </c>
      <c r="C200" s="6" t="inlineStr">
        <is>
          <t>sa</t>
        </is>
      </c>
      <c r="D200" s="6" t="inlineStr">
        <is>
          <t>Âge moyen de début de carrière à cette époque</t>
        </is>
      </c>
      <c r="E200" s="6" t="inlineStr"/>
      <c r="F200" s="6" t="inlineStr">
        <is>
          <t>saisie / hypothèse</t>
        </is>
      </c>
      <c r="G200" s="6" t="inlineStr">
        <is>
          <t>Calcul</t>
        </is>
      </c>
    </row>
    <row r="201">
      <c r="A201" s="6" t="inlineStr">
        <is>
          <t>2_Comparateur_simple</t>
        </is>
      </c>
      <c r="B201" s="6" t="inlineStr">
        <is>
          <t>ligne 13</t>
        </is>
      </c>
      <c r="C201" s="6" t="inlineStr">
        <is>
          <t>start</t>
        </is>
      </c>
      <c r="D201" s="6" t="inlineStr">
        <is>
          <t>Année de début de carrière</t>
        </is>
      </c>
      <c r="E201" s="6" t="inlineStr"/>
      <c r="F201" s="6" t="inlineStr">
        <is>
          <t>saisie / hypothèse</t>
        </is>
      </c>
      <c r="G201" s="6" t="inlineStr">
        <is>
          <t>Calcul</t>
        </is>
      </c>
    </row>
    <row r="202">
      <c r="A202" s="6" t="inlineStr">
        <is>
          <t>2_Comparateur_simple</t>
        </is>
      </c>
      <c r="B202" s="6" t="inlineStr">
        <is>
          <t>ligne 14</t>
        </is>
      </c>
      <c r="C202" s="6" t="inlineStr">
        <is>
          <t>dur_p</t>
        </is>
      </c>
      <c r="D202" s="6" t="inlineStr">
        <is>
          <t>Durée réelle de carrière d'un salarié du privé de la même génération</t>
        </is>
      </c>
      <c r="E202" s="6" t="inlineStr"/>
      <c r="F202" s="6" t="inlineStr">
        <is>
          <t>Calcul : SUMIFS(Donnees_generations[duree_reelle_moyenne_carriere],Donnees_generations[generation],MAX(1915,MIN(2025,{gen})))</t>
        </is>
      </c>
      <c r="G202" s="6" t="inlineStr">
        <is>
          <t>Calcul</t>
        </is>
      </c>
    </row>
    <row r="203">
      <c r="A203" s="6" t="inlineStr">
        <is>
          <t>2_Comparateur_simple</t>
        </is>
      </c>
      <c r="B203" s="6" t="inlineStr">
        <is>
          <t>ligne 15</t>
        </is>
      </c>
      <c r="C203" s="6" t="inlineStr">
        <is>
          <t>rage</t>
        </is>
      </c>
      <c r="D203" s="6" t="inlineStr">
        <is>
          <t>Âge moyen réel de départ dans le privé</t>
        </is>
      </c>
      <c r="E203" s="6" t="inlineStr"/>
      <c r="F203" s="6" t="inlineStr">
        <is>
          <t>Calcul : SUMIFS(Donnees_generations[age_moyen_reel_depart],Donnees_generations[generation],MAX(1915,MIN(2025,{gen})))</t>
        </is>
      </c>
      <c r="G203" s="6" t="inlineStr">
        <is>
          <t>Calcul</t>
        </is>
      </c>
    </row>
    <row r="204">
      <c r="A204" s="6" t="inlineStr">
        <is>
          <t>2_Comparateur_simple</t>
        </is>
      </c>
      <c r="B204" s="6" t="inlineStr">
        <is>
          <t>ligne 16</t>
        </is>
      </c>
      <c r="C204" s="6" t="inlineStr">
        <is>
          <t>dep_p</t>
        </is>
      </c>
      <c r="D204" s="6" t="inlineStr">
        <is>
          <t>Âge de départ d'un salarié du privé de la même génération</t>
        </is>
      </c>
      <c r="E204" s="6" t="inlineStr"/>
      <c r="F204" s="6" t="inlineStr">
        <is>
          <t>Calcul : IF({start}&gt;=2000,MAX({rage},Parametres!$B$3),{rage})</t>
        </is>
      </c>
      <c r="G204" s="6" t="inlineStr">
        <is>
          <t>Calcul</t>
        </is>
      </c>
    </row>
    <row r="205">
      <c r="A205" s="6" t="inlineStr">
        <is>
          <t>2_Comparateur_simple</t>
        </is>
      </c>
      <c r="B205" s="6" t="inlineStr">
        <is>
          <t>ligne 17</t>
        </is>
      </c>
      <c r="C205" s="6" t="inlineStr">
        <is>
          <t>dep</t>
        </is>
      </c>
      <c r="D205" s="6" t="inlineStr">
        <is>
          <t>Âge de départ à la retraite</t>
        </is>
      </c>
      <c r="E205" s="6" t="inlineStr"/>
      <c r="F205" s="6" t="inlineStr">
        <is>
          <t>Calcul : IF({reg}="Privé",{dep_p},SUMIFS(Regles_regimes[age_depart_reel],Regles_regimes[regime],{reg},Regles_regimes[categorie],{cat},Regles_regimes[generation],MAX(1915,MIN(2025,{gen}))))</t>
        </is>
      </c>
      <c r="G205" s="6" t="inlineStr">
        <is>
          <t>Calcul</t>
        </is>
      </c>
    </row>
    <row r="206">
      <c r="A206" s="6" t="inlineStr">
        <is>
          <t>2_Comparateur_simple</t>
        </is>
      </c>
      <c r="B206" s="6" t="inlineStr">
        <is>
          <t>ligne 18</t>
        </is>
      </c>
      <c r="C206" s="6" t="inlineStr">
        <is>
          <t>dur</t>
        </is>
      </c>
      <c r="D206" s="6" t="inlineStr">
        <is>
          <t>Durée réelle de carrière (années validées)</t>
        </is>
      </c>
      <c r="E206" s="6" t="inlineStr"/>
      <c r="F206" s="6" t="inlineStr">
        <is>
          <t>Calcul : IF({reg}="Privé",{dur_p},({dep}-{sa})*{dur_p}/({dep_p}-{sa}))</t>
        </is>
      </c>
      <c r="G206" s="6" t="inlineStr">
        <is>
          <t>Calcul</t>
        </is>
      </c>
    </row>
    <row r="207">
      <c r="A207" s="6" t="inlineStr">
        <is>
          <t>2_Comparateur_simple</t>
        </is>
      </c>
      <c r="B207" s="6" t="inlineStr">
        <is>
          <t>ligne 19</t>
        </is>
      </c>
      <c r="C207" s="6" t="inlineStr">
        <is>
          <t>ydep</t>
        </is>
      </c>
      <c r="D207" s="6" t="inlineStr">
        <is>
          <t>Année de départ à la retraite</t>
        </is>
      </c>
      <c r="E207" s="6" t="inlineStr"/>
      <c r="F207" s="6" t="inlineStr">
        <is>
          <t>Calcul : INT({gen}+{dep})</t>
        </is>
      </c>
      <c r="G207" s="6" t="inlineStr">
        <is>
          <t>Calcul</t>
        </is>
      </c>
    </row>
    <row r="208">
      <c r="A208" s="6" t="inlineStr">
        <is>
          <t>2_Comparateur_simple</t>
        </is>
      </c>
      <c r="B208" s="6" t="inlineStr">
        <is>
          <t>ligne 20</t>
        </is>
      </c>
      <c r="C208" s="6" t="inlineStr">
        <is>
          <t>last</t>
        </is>
      </c>
      <c r="D208" s="6" t="inlineStr">
        <is>
          <t>Dernière année de cotisation</t>
        </is>
      </c>
      <c r="E208" s="6" t="inlineStr"/>
      <c r="F208" s="6" t="inlineStr">
        <is>
          <t>Calcul : {start}+ROUNDUP({dur},0)-1</t>
        </is>
      </c>
      <c r="G208" s="6" t="inlineStr">
        <is>
          <t>Calcul</t>
        </is>
      </c>
    </row>
    <row r="209">
      <c r="A209" s="6" t="inlineStr">
        <is>
          <t>2_Comparateur_simple</t>
        </is>
      </c>
      <c r="B209" s="6" t="inlineStr">
        <is>
          <t>ligne 21</t>
        </is>
      </c>
      <c r="C209" s="6" t="inlineStr">
        <is>
          <t>rh</t>
        </is>
      </c>
      <c r="D209" s="6" t="inlineStr">
        <is>
          <t>Temps de travail annuel par rapport au privé</t>
        </is>
      </c>
      <c r="E209" s="6" t="inlineStr"/>
      <c r="F209" s="6" t="inlineStr">
        <is>
          <t>Calcul : SUMIFS(Regles_regimes[ratio_heures_prive],Regles_regimes[regime],{reg},Regles_regimes[categorie],{cat},Regles_regimes[generation],MAX(1915,MIN(2025,{gen})))</t>
        </is>
      </c>
      <c r="G209" s="6" t="inlineStr">
        <is>
          <t>Calcul</t>
        </is>
      </c>
    </row>
    <row r="210">
      <c r="A210" s="6" t="inlineStr">
        <is>
          <t>2_Comparateur_simple</t>
        </is>
      </c>
      <c r="B210" s="6" t="inlineStr">
        <is>
          <t>ligne 22</t>
        </is>
      </c>
      <c r="C210" s="6" t="inlineStr">
        <is>
          <t>hours</t>
        </is>
      </c>
      <c r="D210" s="6" t="inlineStr">
        <is>
          <t>Heures réellement travaillées sur la carrière</t>
        </is>
      </c>
      <c r="E210" s="6" t="inlineStr"/>
      <c r="F210" s="6" t="inlineStr">
        <is>
          <t>Calcul : SUMIFS(Donnees_annuelles[heures_reelles_an],Donnees_annuelles[annee],"&gt;="&amp;{start},Donnees_annuelles[annee],"&lt;="&amp;{last})*{dur}/ROUNDUP({dur},0)*{rh}</t>
        </is>
      </c>
      <c r="G210" s="6" t="inlineStr">
        <is>
          <t>Calcul</t>
        </is>
      </c>
    </row>
    <row r="211">
      <c r="A211" s="6" t="inlineStr">
        <is>
          <t>2_Comparateur_simple</t>
        </is>
      </c>
      <c r="B211" s="6" t="inlineStr">
        <is>
          <t>ligne 23</t>
        </is>
      </c>
      <c r="C211" s="6" t="inlineStr">
        <is>
          <t>hours_leg</t>
        </is>
      </c>
      <c r="D211" s="6" t="inlineStr">
        <is>
          <t>Heures selon la durée légale sur la carrière</t>
        </is>
      </c>
      <c r="E211" s="6" t="inlineStr"/>
      <c r="F211" s="6" t="inlineStr">
        <is>
          <t>Calcul : SUMIFS(Donnees_annuelles[heures_legales_an],Donnees_annuelles[annee],"&gt;="&amp;{start},Donnees_annuelles[annee],"&lt;="&amp;{last})*{dur}/ROUNDUP({dur},0)</t>
        </is>
      </c>
      <c r="G211" s="6" t="inlineStr">
        <is>
          <t>Calcul</t>
        </is>
      </c>
    </row>
    <row r="212">
      <c r="A212" s="6" t="inlineStr">
        <is>
          <t>2_Comparateur_simple</t>
        </is>
      </c>
      <c r="B212" s="6" t="inlineStr">
        <is>
          <t>ligne 24</t>
        </is>
      </c>
      <c r="C212" s="6" t="inlineStr">
        <is>
          <t>h_an</t>
        </is>
      </c>
      <c r="D212" s="6" t="inlineStr">
        <is>
          <t>Heures réellement travaillées par an (moyenne)</t>
        </is>
      </c>
      <c r="E212" s="6" t="inlineStr"/>
      <c r="F212" s="6" t="inlineStr">
        <is>
          <t>Calcul : {hours}/{dur}</t>
        </is>
      </c>
      <c r="G212" s="6" t="inlineStr">
        <is>
          <t>Calcul</t>
        </is>
      </c>
    </row>
    <row r="213">
      <c r="A213" s="6" t="inlineStr">
        <is>
          <t>2_Comparateur_simple</t>
        </is>
      </c>
      <c r="B213" s="6" t="inlineStr">
        <is>
          <t>ligne 25</t>
        </is>
      </c>
      <c r="C213" s="6" t="inlineStr">
        <is>
          <t>brut</t>
        </is>
      </c>
      <c r="D213" s="6" t="inlineStr">
        <is>
          <t>Salaire brut cumulé sur la carrière (€ 2026)</t>
        </is>
      </c>
      <c r="E213" s="6" t="inlineStr"/>
      <c r="F213" s="6" t="inlineStr">
        <is>
          <t>Calcul : SUMIFS(Donnees_annuelles[salaire_brut_moyen],Donnees_annuelles[annee],"&gt;="&amp;{start},Donnees_annuelles[annee],"&lt;="&amp;{last})*{dur}/ROUNDUP({dur},0)</t>
        </is>
      </c>
      <c r="G213" s="6" t="inlineStr">
        <is>
          <t>Calcul</t>
        </is>
      </c>
    </row>
    <row r="214">
      <c r="A214" s="6" t="inlineStr">
        <is>
          <t>2_Comparateur_simple</t>
        </is>
      </c>
      <c r="B214" s="6" t="inlineStr">
        <is>
          <t>ligne 26</t>
        </is>
      </c>
      <c r="C214" s="6" t="inlineStr">
        <is>
          <t>sal</t>
        </is>
      </c>
      <c r="D214" s="6" t="inlineStr">
        <is>
          <t>dont cotisations vieillesse salariales (€ 2026)</t>
        </is>
      </c>
      <c r="E214" s="6" t="inlineStr"/>
      <c r="F214" s="6" t="inlineStr">
        <is>
          <t>Calcul : SUMIFS(Donnees_regimes[cotis_sal_salaire_moyen],Donnees_regimes[regime],{reg},Donnees_regimes[annee],"&gt;="&amp;{start},Donnees_regimes[annee],"&lt;="&amp;{last})*{dur}/ROUNDUP({dur},0)</t>
        </is>
      </c>
      <c r="G214" s="6" t="inlineStr">
        <is>
          <t>Calcul</t>
        </is>
      </c>
    </row>
    <row r="215">
      <c r="A215" s="6" t="inlineStr">
        <is>
          <t>2_Comparateur_simple</t>
        </is>
      </c>
      <c r="B215" s="6" t="inlineStr">
        <is>
          <t>ligne 27</t>
        </is>
      </c>
      <c r="C215" s="6" t="inlineStr">
        <is>
          <t>pat</t>
        </is>
      </c>
      <c r="D215" s="6" t="inlineStr">
        <is>
          <t>dont cotisations vieillesse patronales (€ 2026)</t>
        </is>
      </c>
      <c r="E215" s="6" t="inlineStr"/>
      <c r="F215" s="6" t="inlineStr">
        <is>
          <t>Calcul : SUMIFS(Donnees_regimes[cotis_pat_salaire_moyen],Donnees_regimes[regime],{reg},Donnees_regimes[annee],"&gt;="&amp;{start},Donnees_regimes[annee],"&lt;="&amp;{last})*{dur}/ROUNDUP({dur},0)</t>
        </is>
      </c>
      <c r="G215" s="6" t="inlineStr">
        <is>
          <t>Calcul</t>
        </is>
      </c>
    </row>
    <row r="216">
      <c r="A216" s="6" t="inlineStr">
        <is>
          <t>2_Comparateur_simple</t>
        </is>
      </c>
      <c r="B216" s="6" t="inlineStr">
        <is>
          <t>ligne 28</t>
        </is>
      </c>
      <c r="C216" s="6" t="inlineStr">
        <is>
          <t>cot</t>
        </is>
      </c>
      <c r="D216" s="6" t="inlineStr">
        <is>
          <t>Cotisations vieillesse totales versées (€ 2026)</t>
        </is>
      </c>
      <c r="E216" s="6" t="inlineStr"/>
      <c r="F216" s="6" t="inlineStr">
        <is>
          <t>Calcul : {sal}+{pat}</t>
        </is>
      </c>
      <c r="G216" s="6" t="inlineStr">
        <is>
          <t>Calcul</t>
        </is>
      </c>
    </row>
    <row r="217">
      <c r="A217" s="6" t="inlineStr">
        <is>
          <t>2_Comparateur_simple</t>
        </is>
      </c>
      <c r="B217" s="6" t="inlineStr">
        <is>
          <t>ligne 29</t>
        </is>
      </c>
      <c r="C217" s="6" t="inlineStr">
        <is>
          <t>taux</t>
        </is>
      </c>
      <c r="D217" s="6" t="inlineStr">
        <is>
          <t>Taux moyen de cotisation vieillesse (salarial + patronal)</t>
        </is>
      </c>
      <c r="E217" s="6" t="inlineStr"/>
      <c r="F217" s="6" t="inlineStr">
        <is>
          <t>Calcul : {cot}/{brut}</t>
        </is>
      </c>
      <c r="G217" s="6" t="inlineStr">
        <is>
          <t>Calcul</t>
        </is>
      </c>
    </row>
    <row r="218">
      <c r="A218" s="6" t="inlineStr">
        <is>
          <t>2_Comparateur_simple</t>
        </is>
      </c>
      <c r="B218" s="6" t="inlineStr">
        <is>
          <t>ligne 30</t>
        </is>
      </c>
      <c r="C218" s="6" t="inlineStr">
        <is>
          <t>cout</t>
        </is>
      </c>
      <c r="D218" s="6" t="inlineStr">
        <is>
          <t>Coût employeur retraite sur la carrière (€ 2026)</t>
        </is>
      </c>
      <c r="E218" s="6" t="inlineStr"/>
      <c r="F218" s="6" t="inlineStr">
        <is>
          <t>Calcul : {brut}+{pat}</t>
        </is>
      </c>
      <c r="G218" s="6" t="inlineStr">
        <is>
          <t>Calcul</t>
        </is>
      </c>
    </row>
    <row r="219">
      <c r="A219" s="6" t="inlineStr">
        <is>
          <t>2_Comparateur_simple</t>
        </is>
      </c>
      <c r="B219" s="6" t="inlineStr">
        <is>
          <t>ligne 31</t>
        </is>
      </c>
      <c r="C219" s="6" t="inlineStr">
        <is>
          <t>cot_h</t>
        </is>
      </c>
      <c r="D219" s="6" t="inlineStr">
        <is>
          <t>Cotisations vieillesse par heure travaillée (€ 2026)</t>
        </is>
      </c>
      <c r="E219" s="6" t="inlineStr"/>
      <c r="F219" s="6" t="inlineStr">
        <is>
          <t>Calcul : {cot}/{hours}</t>
        </is>
      </c>
      <c r="G219" s="6" t="inlineStr">
        <is>
          <t>Calcul</t>
        </is>
      </c>
    </row>
    <row r="220">
      <c r="A220" s="6" t="inlineStr">
        <is>
          <t>2_Comparateur_simple</t>
        </is>
      </c>
      <c r="B220" s="6" t="inlineStr">
        <is>
          <t>ligne 32</t>
        </is>
      </c>
      <c r="C220" s="6" t="inlineStr">
        <is>
          <t>subv</t>
        </is>
      </c>
      <c r="D220" s="6" t="inlineStr">
        <is>
          <t>Argent public ajouté pour équilibrer le régime, financé par les impôts et taxes (€ 2026, non compté dans les cotisations)</t>
        </is>
      </c>
      <c r="E220" s="6" t="inlineStr"/>
      <c r="F220" s="6" t="inlineStr">
        <is>
          <t>Calcul : SUMIFS(Donnees_regimes[subvention_salaire_moyen],Donnees_regimes[regime],{reg},Donnees_regimes[annee],"&gt;="&amp;{start},Donnees_regimes[annee],"&lt;="&amp;{last})*{dur}/ROUNDUP({dur},0)</t>
        </is>
      </c>
      <c r="G220" s="6" t="inlineStr">
        <is>
          <t>Calcul</t>
        </is>
      </c>
    </row>
    <row r="221">
      <c r="A221" s="6" t="inlineStr">
        <is>
          <t>2_Comparateur_simple</t>
        </is>
      </c>
      <c r="B221" s="6" t="inlineStr">
        <is>
          <t>ligne 33</t>
        </is>
      </c>
      <c r="C221" s="6" t="inlineStr">
        <is>
          <t>trimr</t>
        </is>
      </c>
      <c r="D221" s="6" t="inlineStr">
        <is>
          <t>Trimestres requis dans le régime</t>
        </is>
      </c>
      <c r="E221" s="6" t="inlineStr"/>
      <c r="F221" s="6" t="inlineStr">
        <is>
          <t>Calcul : SUMIFS(Regles_regimes[trimestres_requis],Regles_regimes[regime],{reg},Regles_regimes[categorie],{cat},Regles_regimes[generation],MAX(1915,MIN(2025,{gen})))</t>
        </is>
      </c>
      <c r="G221" s="6" t="inlineStr">
        <is>
          <t>Calcul</t>
        </is>
      </c>
    </row>
    <row r="222">
      <c r="A222" s="6" t="inlineStr">
        <is>
          <t>2_Comparateur_simple</t>
        </is>
      </c>
      <c r="B222" s="6" t="inlineStr">
        <is>
          <t>ligne 34</t>
        </is>
      </c>
      <c r="C222" s="6" t="inlineStr">
        <is>
          <t>bonq</t>
        </is>
      </c>
      <c r="D222" s="6" t="inlineStr">
        <is>
          <t>Bonification de durée pour services actifs (trimestres)</t>
        </is>
      </c>
      <c r="E222" s="6" t="inlineStr"/>
      <c r="F222" s="127" t="inlineStr">
        <is>
          <t>Calcul : IF(AND(SUMIFS(Regles_regimes[bonification_cinquieme],Regles_regimes[regime],{reg},Regles_regimes[categorie],{cat},Regles_regimes[generation],MAX(1915,MIN(2025,{gen})))=1,{start}&lt;2009,{reg}&lt;&gt;"Privé"),MIN(20,{dur}*4/5),0)</t>
        </is>
      </c>
      <c r="G222" s="6" t="inlineStr">
        <is>
          <t>Calcul</t>
        </is>
      </c>
    </row>
    <row r="223">
      <c r="A223" s="6" t="inlineStr">
        <is>
          <t>2_Comparateur_simple</t>
        </is>
      </c>
      <c r="B223" s="6" t="inlineStr">
        <is>
          <t>ligne 35</t>
        </is>
      </c>
      <c r="C223" s="6" t="inlineStr">
        <is>
          <t>coefp</t>
        </is>
      </c>
      <c r="D223" s="6" t="inlineStr">
        <is>
          <t>Coefficient de pension du régime (à salaire égal, carrière complète)</t>
        </is>
      </c>
      <c r="E223" s="6" t="inlineStr"/>
      <c r="F223" s="6" t="inlineStr">
        <is>
          <t>Calcul : SUMIFS(Donnees_regimes[coef_pension],Donnees_regimes[regime],{reg},Donnees_regimes[annee],{ydep})</t>
        </is>
      </c>
      <c r="G223" s="6" t="inlineStr">
        <is>
          <t>Calcul</t>
        </is>
      </c>
    </row>
    <row r="224">
      <c r="A224" s="6" t="inlineStr">
        <is>
          <t>2_Comparateur_simple</t>
        </is>
      </c>
      <c r="B224" s="6" t="inlineStr">
        <is>
          <t>ligne 36</t>
        </is>
      </c>
      <c r="C224" s="6" t="inlineStr">
        <is>
          <t>fullp</t>
        </is>
      </c>
      <c r="D224" s="6" t="inlineStr">
        <is>
          <t>Pension d'une carrière complète dans le privé, la même année (€ 2026)</t>
        </is>
      </c>
      <c r="E224" s="6" t="inlineStr"/>
      <c r="F224" s="127" t="inlineStr">
        <is>
          <t>Calcul : SUMIFS(Donnees_annuelles[pension_moyenne_nouveaux_retraites],Donnees_annuelles[annee],{ydep})*SUMIFS(Donnees_generations[duree_requise],Donnees_generations[generation],MAX(1915,MIN(2025,{gen})))/{dur_p}</t>
        </is>
      </c>
      <c r="G224" s="6" t="inlineStr">
        <is>
          <t>Calcul</t>
        </is>
      </c>
    </row>
    <row r="225">
      <c r="A225" s="6" t="inlineStr">
        <is>
          <t>2_Comparateur_simple</t>
        </is>
      </c>
      <c r="B225" s="6" t="inlineStr">
        <is>
          <t>ligne 37</t>
        </is>
      </c>
      <c r="C225" s="6" t="inlineStr">
        <is>
          <t>pension</t>
        </is>
      </c>
      <c r="D225" s="6" t="inlineStr">
        <is>
          <t>Pension annuelle (€ 2026)</t>
        </is>
      </c>
      <c r="E225" s="6" t="inlineStr"/>
      <c r="F225" s="127" t="inlineStr">
        <is>
          <t>Calcul : IF({reg}="Privé",SUMIFS(Donnees_annuelles[pension_moyenne_nouveaux_retraites],Donnees_annuelles[annee],{ydep})*MIN({dur},SUMIFS(Donnees_generations[duree_requise],Donnees_generations[generation],MAX(1915,MIN(2025,{gen}))))/{dur},{fullp}*{coefp}*MIN(IF({bonq}&gt;0,0.8/0.75,1),({dur}*4+{bonq})/{trimr}))</t>
        </is>
      </c>
      <c r="G225" s="6" t="inlineStr">
        <is>
          <t>Calcul</t>
        </is>
      </c>
    </row>
    <row r="226">
      <c r="A226" s="6" t="inlineStr">
        <is>
          <t>2_Comparateur_simple</t>
        </is>
      </c>
      <c r="B226" s="6" t="inlineStr">
        <is>
          <t>ligne 38</t>
        </is>
      </c>
      <c r="C226" s="6" t="inlineStr">
        <is>
          <t>pension_m</t>
        </is>
      </c>
      <c r="D226" s="6" t="inlineStr">
        <is>
          <t>Pension mensuelle (€ 2026)</t>
        </is>
      </c>
      <c r="E226" s="6" t="inlineStr"/>
      <c r="F226" s="6" t="inlineStr">
        <is>
          <t>Calcul : {pension}/12</t>
        </is>
      </c>
      <c r="G226" s="6" t="inlineStr">
        <is>
          <t>Calcul</t>
        </is>
      </c>
    </row>
    <row r="227">
      <c r="A227" s="6" t="inlineStr">
        <is>
          <t>2_Comparateur_simple</t>
        </is>
      </c>
      <c r="B227" s="6" t="inlineStr">
        <is>
          <t>ligne 39</t>
        </is>
      </c>
      <c r="C227" s="6" t="inlineStr">
        <is>
          <t>a0</t>
        </is>
      </c>
      <c r="D227" s="6" t="inlineStr">
        <is>
          <t>Âge pair de référence (tables INSEE)</t>
        </is>
      </c>
      <c r="E227" s="6" t="inlineStr"/>
      <c r="F227" s="6" t="inlineStr">
        <is>
          <t>Calcul : MIN(68,MAX(56,2*INT({dep}/2)))</t>
        </is>
      </c>
      <c r="G227" s="6" t="inlineStr">
        <is>
          <t>Calcul</t>
        </is>
      </c>
    </row>
    <row r="228">
      <c r="A228" s="6" t="inlineStr">
        <is>
          <t>2_Comparateur_simple</t>
        </is>
      </c>
      <c r="B228" s="6" t="inlineStr">
        <is>
          <t>ligne 40</t>
        </is>
      </c>
      <c r="C228" s="6" t="inlineStr">
        <is>
          <t>ev0</t>
        </is>
      </c>
      <c r="D228" s="6" t="inlineStr">
        <is>
          <t>Espérance de vie à l'âge de référence</t>
        </is>
      </c>
      <c r="E228" s="6" t="inlineStr"/>
      <c r="F228" s="127" t="inlineStr">
        <is>
          <t>Calcul : (CHOOSE(({a0}-56)/2+1,SUMIFS(Donnees_generations[esperance_vie_hommes_56],Donnees_generations[generation],MAX(1915,MIN(2025,{gen}))),SUMIFS(Donnees_generations[esperance_vie_hommes_58],Donnees_generations[generation],MAX(1915,MIN(2025,{gen}))),SUMIFS(Donnees_generations[esperance_vie_hommes_60],Donnees_generations[generation],MAX(1915,MIN(2025,{gen}))),SUMIFS(Donnees_generations[esperance_vie_hommes_62],Donnees_generations[generation],MAX(1915,MIN(2025,{gen}))),SUMIFS(Donnees_generations[esperance_vie_hommes_64],Donnees_generations[generation],MAX(1915,MIN(2025,{gen}))),SUMIFS(Donnees_generations[esperance_vie_hommes_66],Donnees_generations[generation],MAX(1915,MIN(2025,{gen}))),SUMIFS(Donnees_generations[esperance_vie_hommes_68],Donnees_generations[generation],MAX(1915,MIN(2025,{gen}))),SUMIFS(Donnees_generations[esperance_vie_hommes_70],Donnees_generations[generation],MAX(1915,MIN(2025,{gen}))))+CHOOSE(({a0}-56)/2+1,SUMIFS(Donnees_generations[esperance_vie_femmes_56],Donnees_generations[generation],MAX(1915,MIN(2025,{gen}))),SUMIFS(Donnees_generations[esperance_vie_femmes_58],Donnees_generations[generation],MAX(1915,MIN(2025,{gen}))),SUMIFS(Donnees_generations[esperance_vie_femmes_60],Donnees_generations[generation],MAX(1915,MIN(2025,{gen}))),SUMIFS(Donnees_generations[esperance_vie_femmes_62],Donnees_generations[generation],MAX(1915,MIN(2025,{gen}))),SUMIFS(Donnees_generations[esperance_vie_femmes_64],Donnees_generations[generation],MAX(1915,MIN(2025,{gen}))),SUMIFS(Donnees_generations[esperance_vie_femmes_66],Donnees_generations[generation],MAX(1915,MIN(2025,{gen}))),SUMIFS(Donnees_generations[esperance_vie_femmes_68],Donnees_generations[generation],MAX(1915,MIN(2025,{gen}))),SUMIFS(Donnees_generations[esperance_vie_femmes_70],Donnees_generations[generation],MAX(1915,MIN(2025,{gen})))))/2</t>
        </is>
      </c>
      <c r="G228" s="6" t="inlineStr">
        <is>
          <t>Calcul</t>
        </is>
      </c>
    </row>
    <row r="229">
      <c r="A229" s="6" t="inlineStr">
        <is>
          <t>2_Comparateur_simple</t>
        </is>
      </c>
      <c r="B229" s="6" t="inlineStr">
        <is>
          <t>ligne 41</t>
        </is>
      </c>
      <c r="C229" s="6" t="inlineStr">
        <is>
          <t>ev2</t>
        </is>
      </c>
      <c r="D229" s="6" t="inlineStr">
        <is>
          <t>Espérance de vie à l'âge de référence + 2</t>
        </is>
      </c>
      <c r="E229" s="6" t="inlineStr"/>
      <c r="F229" s="127" t="inlineStr">
        <is>
          <t>Calcul : (CHOOSE((({a0}+2)-56)/2+1,SUMIFS(Donnees_generations[esperance_vie_hommes_56],Donnees_generations[generation],MAX(1915,MIN(2025,{gen}))),SUMIFS(Donnees_generations[esperance_vie_hommes_58],Donnees_generations[generation],MAX(1915,MIN(2025,{gen}))),SUMIFS(Donnees_generations[esperance_vie_hommes_60],Donnees_generations[generation],MAX(1915,MIN(2025,{gen}))),SUMIFS(Donnees_generations[esperance_vie_hommes_62],Donnees_generations[generation],MAX(1915,MIN(2025,{gen}))),SUMIFS(Donnees_generations[esperance_vie_hommes_64],Donnees_generations[generation],MAX(1915,MIN(2025,{gen}))),SUMIFS(Donnees_generations[esperance_vie_hommes_66],Donnees_generations[generation],MAX(1915,MIN(2025,{gen}))),SUMIFS(Donnees_generations[esperance_vie_hommes_68],Donnees_generations[generation],MAX(1915,MIN(2025,{gen}))),SUMIFS(Donnees_generations[esperance_vie_hommes_70],Donnees_generations[generation],MAX(1915,MIN(2025,{gen}))))+CHOOSE((({a0}+2)-56)/2+1,SUMIFS(Donnees_generations[esperance_vie_femmes_56],Donnees_generations[generation],MAX(1915,MIN(2025,{gen}))),SUMIFS(Donnees_generations[esperance_vie_femmes_58],Donnees_generations[generation],MAX(1915,MIN(2025,{gen}))),SUMIFS(Donnees_generations[esperance_vie_femmes_60],Donnees_generations[generation],MAX(1915,MIN(2025,{gen}))),SUMIFS(Donnees_generations[esperance_vie_femmes_62],Donnees_generations[generation],MAX(1915,MIN(2025,{gen}))),SUMIFS(Donnees_generations[esperance_vie_femmes_64],Donnees_generations[generation],MAX(1915,MIN(2025,{gen}))),SUMIFS(Donnees_generations[esperance_vie_femmes_66],Donnees_generations[generation],MAX(1915,MIN(2025,{gen}))),SUMIFS(Donnees_generations[esperance_vie_femmes_68],Donnees_generations[generation],MAX(1915,MIN(2025,{gen}))),SUMIFS(Donnees_generations[esperance_vie_femmes_70],Donnees_generations[generation],MAX(1915,MIN(2025,{gen})))))/2</t>
        </is>
      </c>
      <c r="G229" s="6" t="inlineStr">
        <is>
          <t>Calcul</t>
        </is>
      </c>
    </row>
    <row r="230">
      <c r="A230" s="6" t="inlineStr">
        <is>
          <t>2_Comparateur_simple</t>
        </is>
      </c>
      <c r="B230" s="6" t="inlineStr">
        <is>
          <t>ligne 42</t>
        </is>
      </c>
      <c r="C230" s="6" t="inlineStr">
        <is>
          <t>retr</t>
        </is>
      </c>
      <c r="D230" s="6" t="inlineStr">
        <is>
          <t>Durée moyenne de retraite (années)</t>
        </is>
      </c>
      <c r="E230" s="6" t="inlineStr"/>
      <c r="F230" s="6" t="inlineStr">
        <is>
          <t>Calcul : MAX(0,{ev0}+({ev2}-{ev0})*({dep}-{a0})/2)</t>
        </is>
      </c>
      <c r="G230" s="6" t="inlineStr">
        <is>
          <t>Calcul</t>
        </is>
      </c>
    </row>
    <row r="231">
      <c r="A231" s="6" t="inlineStr">
        <is>
          <t>2_Comparateur_simple</t>
        </is>
      </c>
      <c r="B231" s="6" t="inlineStr">
        <is>
          <t>ligne 43</t>
        </is>
      </c>
      <c r="C231" s="6" t="inlineStr">
        <is>
          <t>age_dc</t>
        </is>
      </c>
      <c r="D231" s="6" t="inlineStr">
        <is>
          <t>Âge moyen au décès</t>
        </is>
      </c>
      <c r="E231" s="6" t="inlineStr"/>
      <c r="F231" s="6" t="inlineStr">
        <is>
          <t>Calcul : {dep}+{retr}</t>
        </is>
      </c>
      <c r="G231" s="6" t="inlineStr">
        <is>
          <t>Calcul</t>
        </is>
      </c>
    </row>
    <row r="232">
      <c r="A232" s="6" t="inlineStr">
        <is>
          <t>2_Comparateur_simple</t>
        </is>
      </c>
      <c r="B232" s="6" t="inlineStr">
        <is>
          <t>ligne 44</t>
        </is>
      </c>
      <c r="C232" s="6" t="inlineStr">
        <is>
          <t>pens_tot</t>
        </is>
      </c>
      <c r="D232" s="6" t="inlineStr">
        <is>
          <t>Pensions totales reçues (€ 2026)</t>
        </is>
      </c>
      <c r="E232" s="6" t="inlineStr"/>
      <c r="F232" s="6" t="inlineStr">
        <is>
          <t>Calcul : {pension}*{retr}</t>
        </is>
      </c>
      <c r="G232" s="6" t="inlineStr">
        <is>
          <t>Calcul</t>
        </is>
      </c>
    </row>
    <row r="233">
      <c r="A233" s="6" t="inlineStr">
        <is>
          <t>2_Comparateur_simple</t>
        </is>
      </c>
      <c r="B233" s="6" t="inlineStr">
        <is>
          <t>ligne 45</t>
        </is>
      </c>
      <c r="C233" s="6" t="inlineStr">
        <is>
          <t>cot_eur</t>
        </is>
      </c>
      <c r="D233" s="6" t="inlineStr">
        <is>
          <t>Cotisations versées pour recevoir 1 € de pension</t>
        </is>
      </c>
      <c r="E233" s="6" t="inlineStr"/>
      <c r="F233" s="6" t="inlineStr">
        <is>
          <t>Calcul : {cot}/{pens_tot}</t>
        </is>
      </c>
      <c r="G233" s="6" t="inlineStr">
        <is>
          <t>Calcul</t>
        </is>
      </c>
    </row>
    <row r="234">
      <c r="A234" s="6" t="inlineStr">
        <is>
          <t>2_Comparateur_simple</t>
        </is>
      </c>
      <c r="B234" s="6" t="inlineStr">
        <is>
          <t>ligne 46</t>
        </is>
      </c>
      <c r="C234" s="6" t="inlineStr">
        <is>
          <t>subv_eur</t>
        </is>
      </c>
      <c r="D234" s="6" t="inlineStr">
        <is>
          <t>Argent public (impôts et taxes) ajouté pour 1 € de pension</t>
        </is>
      </c>
      <c r="E234" s="6" t="inlineStr"/>
      <c r="F234" s="6" t="inlineStr">
        <is>
          <t>Calcul : {subv}/{pens_tot}</t>
        </is>
      </c>
      <c r="G234" s="6" t="inlineStr">
        <is>
          <t>Calcul</t>
        </is>
      </c>
    </row>
    <row r="235">
      <c r="A235" s="6" t="inlineStr">
        <is>
          <t>2_Comparateur_simple</t>
        </is>
      </c>
      <c r="B235" s="6" t="inlineStr">
        <is>
          <t>ligne 47</t>
        </is>
      </c>
      <c r="C235" s="6" t="inlineStr">
        <is>
          <t>subv_part</t>
        </is>
      </c>
      <c r="D235" s="6" t="inlineStr">
        <is>
          <t>Part de l'argent public dans le financement de la carrière</t>
        </is>
      </c>
      <c r="E235" s="6" t="inlineStr"/>
      <c r="F235" s="6" t="inlineStr">
        <is>
          <t>Calcul : IF({cot}+{subv}=0,0,{subv}/({cot}+{subv}))</t>
        </is>
      </c>
      <c r="G235" s="6" t="inlineStr">
        <is>
          <t>Calcul</t>
        </is>
      </c>
    </row>
    <row r="236">
      <c r="A236" s="6" t="inlineStr">
        <is>
          <t>2_Comparateur_simple</t>
        </is>
      </c>
      <c r="B236" s="6" t="inlineStr">
        <is>
          <t>ligne 48</t>
        </is>
      </c>
      <c r="C236" s="6" t="inlineStr">
        <is>
          <t>ret100</t>
        </is>
      </c>
      <c r="D236" s="6" t="inlineStr">
        <is>
          <t>Pensions reçues pour 100 € cotisés</t>
        </is>
      </c>
      <c r="E236" s="6" t="inlineStr"/>
      <c r="F236" s="6" t="inlineStr">
        <is>
          <t>Calcul : {pens_tot}/{cot}*100</t>
        </is>
      </c>
      <c r="G236" s="6" t="inlineStr">
        <is>
          <t>Calcul</t>
        </is>
      </c>
    </row>
    <row r="237">
      <c r="A237" s="6" t="inlineStr">
        <is>
          <t>2_Comparateur_simple</t>
        </is>
      </c>
      <c r="B237" s="6" t="inlineStr">
        <is>
          <t>ligne 49</t>
        </is>
      </c>
      <c r="C237" s="6" t="inlineStr">
        <is>
          <t>h_1000</t>
        </is>
      </c>
      <c r="D237" s="6" t="inlineStr">
        <is>
          <t>Heures de travail pour 1 000 € de pension</t>
        </is>
      </c>
      <c r="E237" s="6" t="inlineStr"/>
      <c r="F237" s="6" t="inlineStr">
        <is>
          <t>Calcul : {hours}/{pens_tot}*1000</t>
        </is>
      </c>
      <c r="G237" s="6" t="inlineStr">
        <is>
          <t>Calcul</t>
        </is>
      </c>
    </row>
    <row r="238">
      <c r="A238" s="6" t="inlineStr">
        <is>
          <t>2_Comparateur_simple</t>
        </is>
      </c>
      <c r="B238" s="6" t="inlineStr">
        <is>
          <t>ligne 50</t>
        </is>
      </c>
      <c r="C238" s="6" t="inlineStr">
        <is>
          <t>sep_cap</t>
        </is>
      </c>
      <c r="D238" s="6" t="inlineStr">
        <is>
          <t>RÉPARTITION OU CAPITALISATION ? — pour cette même carrière (pas de comparaison entre A et B)</t>
        </is>
      </c>
      <c r="E238" s="6" t="inlineStr"/>
      <c r="F238" s="6" t="inlineStr">
        <is>
          <t>saisie / hypothèse</t>
        </is>
      </c>
      <c r="G238" s="6" t="inlineStr">
        <is>
          <t>Calcul</t>
        </is>
      </c>
    </row>
    <row r="239">
      <c r="A239" s="6" t="inlineStr">
        <is>
          <t>2_Comparateur_simple</t>
        </is>
      </c>
      <c r="B239" s="6" t="inlineStr">
        <is>
          <t>ligne 51</t>
        </is>
      </c>
      <c r="C239" s="6" t="inlineStr">
        <is>
          <t>capT</t>
        </is>
      </c>
      <c r="D239" s="6" t="inlineStr">
        <is>
          <t>Année où le capital est évalué (veille du départ)</t>
        </is>
      </c>
      <c r="E239" s="6" t="inlineStr"/>
      <c r="F239" s="6" t="inlineStr">
        <is>
          <t>Calcul : MAX({last},{ydep}-1)</t>
        </is>
      </c>
      <c r="G239" s="6" t="inlineStr">
        <is>
          <t>Calcul</t>
        </is>
      </c>
    </row>
    <row r="240">
      <c r="A240" s="6" t="inlineStr">
        <is>
          <t>2_Comparateur_simple</t>
        </is>
      </c>
      <c r="B240" s="6" t="inlineStr">
        <is>
          <t>ligne 52</t>
        </is>
      </c>
      <c r="C240" s="6" t="inlineStr">
        <is>
          <t>cap</t>
        </is>
      </c>
      <c r="D240" s="6" t="inlineStr">
        <is>
          <t>Capital si ces mêmes cotisations avaient été placées chaque mois en actions (dividendes réinvestis, € 2026)</t>
        </is>
      </c>
      <c r="E240" s="6" t="inlineStr"/>
      <c r="F240" s="127" t="inlineStr">
        <is>
          <t>Calcul : SUMIFS(Donnees_regimes[cap_unite_dividendes],Donnees_regimes[regime],{reg},Donnees_regimes[annee],"&gt;="&amp;{start},Donnees_regimes[annee],"&lt;="&amp;{last})*{dur}/ROUNDUP({dur},0)*SUMIFS(Donnees_annuelles[indice_dividendes_fin_annee],Donnees_annuelles[annee],{capT})*SUMIFS(Donnees_annuelles[coef_nominal],Donnees_annuelles[annee],{capT})</t>
        </is>
      </c>
      <c r="G240" s="6" t="inlineStr">
        <is>
          <t>Calcul</t>
        </is>
      </c>
    </row>
    <row r="241">
      <c r="A241" s="6" t="inlineStr">
        <is>
          <t>2_Comparateur_simple</t>
        </is>
      </c>
      <c r="B241" s="6" t="inlineStr">
        <is>
          <t>ligne 53</t>
        </is>
      </c>
      <c r="C241" s="6" t="inlineStr">
        <is>
          <t>cap_mult</t>
        </is>
      </c>
      <c r="D241" s="6" t="inlineStr">
        <is>
          <t>Capital ÷ cotisations versées</t>
        </is>
      </c>
      <c r="E241" s="6" t="inlineStr"/>
      <c r="F241" s="6" t="inlineStr">
        <is>
          <t>Calcul : {cap}/{cot}</t>
        </is>
      </c>
      <c r="G241" s="6" t="inlineStr">
        <is>
          <t>Calcul</t>
        </is>
      </c>
    </row>
    <row r="242">
      <c r="A242" s="6" t="inlineStr">
        <is>
          <t>2_Comparateur_simple</t>
        </is>
      </c>
      <c r="B242" s="6" t="inlineStr">
        <is>
          <t>ligne 54</t>
        </is>
      </c>
      <c r="C242" s="6" t="inlineStr">
        <is>
          <t>rep_tot</t>
        </is>
      </c>
      <c r="D242" s="6" t="inlineStr">
        <is>
          <t>Répartition : pensions totales reçues pendant la retraite (€ 2026)</t>
        </is>
      </c>
      <c r="E242" s="6" t="inlineStr"/>
      <c r="F242" s="6" t="inlineStr">
        <is>
          <t>Calcul : {pens_tot}</t>
        </is>
      </c>
      <c r="G242" s="6" t="inlineStr">
        <is>
          <t>Calcul</t>
        </is>
      </c>
    </row>
    <row r="243">
      <c r="A243" s="6" t="inlineStr">
        <is>
          <t>2_Comparateur_simple</t>
        </is>
      </c>
      <c r="B243" s="6" t="inlineStr">
        <is>
          <t>ligne 55</t>
        </is>
      </c>
      <c r="C243" s="6" t="inlineStr">
        <is>
          <t>cap_vs_rep</t>
        </is>
      </c>
      <c r="D243" s="6" t="inlineStr">
        <is>
          <t>EN PLUS (+) OU EN MOINS (−) AVEC LA CAPITALISATION, sur toute la retraite (€ 2026)</t>
        </is>
      </c>
      <c r="E243" s="6" t="inlineStr"/>
      <c r="F243" s="6" t="inlineStr">
        <is>
          <t>Calcul : {cap}-{pens_tot}</t>
        </is>
      </c>
      <c r="G243" s="6" t="inlineStr">
        <is>
          <t>Calcul</t>
        </is>
      </c>
    </row>
    <row r="244">
      <c r="A244" s="6" t="inlineStr">
        <is>
          <t>2_Comparateur_simple</t>
        </is>
      </c>
      <c r="B244" s="6" t="inlineStr">
        <is>
          <t>ligne 56</t>
        </is>
      </c>
      <c r="C244" s="6" t="inlineStr">
        <is>
          <t>cap_vs_rep_pct</t>
        </is>
      </c>
      <c r="D244" s="6" t="inlineStr">
        <is>
          <t>Écart capitalisation / répartition</t>
        </is>
      </c>
      <c r="E244" s="6" t="inlineStr"/>
      <c r="F244" s="6" t="inlineStr">
        <is>
          <t>Calcul : {cap}/{pens_tot}-1</t>
        </is>
      </c>
      <c r="G244" s="6" t="inlineStr">
        <is>
          <t>Calcul</t>
        </is>
      </c>
    </row>
    <row r="245">
      <c r="A245" s="6" t="inlineStr">
        <is>
          <t>2_Comparateur_simple</t>
        </is>
      </c>
      <c r="B245" s="6" t="inlineStr">
        <is>
          <t>ligne 57</t>
        </is>
      </c>
      <c r="C245" s="6" t="inlineStr">
        <is>
          <t>rente_m</t>
        </is>
      </c>
      <c r="D245" s="6" t="inlineStr">
        <is>
          <t>Capitalisation : revenu mensuel pendant la retraite (capital réparti sur la durée de retraite, € 2026)</t>
        </is>
      </c>
      <c r="E245" s="6" t="inlineStr"/>
      <c r="F245" s="6" t="inlineStr">
        <is>
          <t>Calcul : {cap}/{retr}/12</t>
        </is>
      </c>
      <c r="G245" s="6" t="inlineStr">
        <is>
          <t>Calcul</t>
        </is>
      </c>
    </row>
    <row r="246">
      <c r="A246" s="6" t="inlineStr">
        <is>
          <t>2_Comparateur_simple</t>
        </is>
      </c>
      <c r="B246" s="6" t="inlineStr">
        <is>
          <t>ligne 58</t>
        </is>
      </c>
      <c r="C246" s="6" t="inlineStr">
        <is>
          <t>rep_m</t>
        </is>
      </c>
      <c r="D246" s="6" t="inlineStr">
        <is>
          <t>Répartition : pension mensuelle (€ 2026)</t>
        </is>
      </c>
      <c r="E246" s="6" t="inlineStr"/>
      <c r="F246" s="6" t="inlineStr">
        <is>
          <t>Calcul : {pension_m}</t>
        </is>
      </c>
      <c r="G246" s="6" t="inlineStr">
        <is>
          <t>Calcul</t>
        </is>
      </c>
    </row>
    <row r="247">
      <c r="A247" s="6" t="inlineStr">
        <is>
          <t>2_Comparateur_simple</t>
        </is>
      </c>
      <c r="B247" s="6" t="inlineStr">
        <is>
          <t>ligne 59</t>
        </is>
      </c>
      <c r="C247" s="6" t="inlineStr">
        <is>
          <t>rente_vs_rep_m</t>
        </is>
      </c>
      <c r="D247" s="6" t="inlineStr">
        <is>
          <t>En plus (+) ou en moins (−) chaque mois avec la capitalisation (€ 2026)</t>
        </is>
      </c>
      <c r="E247" s="6" t="inlineStr"/>
      <c r="F247" s="6" t="inlineStr">
        <is>
          <t>Calcul : {rente_m}-{pension_m}</t>
        </is>
      </c>
      <c r="G247" s="6" t="inlineStr">
        <is>
          <t>Calcul</t>
        </is>
      </c>
    </row>
    <row r="248">
      <c r="A248" s="6" t="inlineStr">
        <is>
          <t>2_Comparateur_simple</t>
        </is>
      </c>
      <c r="B248" s="6" t="inlineStr">
        <is>
          <t>ligne 60</t>
        </is>
      </c>
      <c r="C248" s="6" t="inlineStr">
        <is>
          <t>cap_px</t>
        </is>
      </c>
      <c r="D248" s="6" t="inlineStr">
        <is>
          <t>Pour mémoire : capital avec le cours seul, sans les dividendes (€ 2026)</t>
        </is>
      </c>
      <c r="E248" s="6" t="inlineStr"/>
      <c r="F248" s="127" t="inlineStr">
        <is>
          <t>Calcul : SUMIFS(Donnees_regimes[cap_unite_cours],Donnees_regimes[regime],{reg},Donnees_regimes[annee],"&gt;="&amp;{start},Donnees_regimes[annee],"&lt;="&amp;{last})*{dur}/ROUNDUP({dur},0)*SUMIFS(Donnees_annuelles[indice_cours_fin_annee],Donnees_annuelles[annee],{capT})*SUMIFS(Donnees_annuelles[coef_nominal],Donnees_annuelles[annee],{capT})</t>
        </is>
      </c>
      <c r="G248" s="6" t="inlineStr">
        <is>
          <t>Calcul</t>
        </is>
      </c>
    </row>
    <row r="249">
      <c r="A249" s="6" t="inlineStr">
        <is>
          <t>2_Comparateur_simple</t>
        </is>
      </c>
      <c r="B249" s="6" t="inlineStr">
        <is>
          <t>ligne 61</t>
        </is>
      </c>
      <c r="C249" s="6" t="inlineStr">
        <is>
          <t>cap_px_vs_rep</t>
        </is>
      </c>
      <c r="D249" s="6" t="inlineStr">
        <is>
          <t>Pour mémoire : en plus ou en moins avec le cours seul (€ 2026)</t>
        </is>
      </c>
      <c r="E249" s="6" t="inlineStr"/>
      <c r="F249" s="6" t="inlineStr">
        <is>
          <t>Calcul : {cap_px}-{pens_tot}</t>
        </is>
      </c>
      <c r="G249" s="6" t="inlineStr">
        <is>
          <t>Calcul</t>
        </is>
      </c>
    </row>
    <row r="250">
      <c r="A250" s="6" t="inlineStr">
        <is>
          <t>3_Comparateur_detaille</t>
        </is>
      </c>
      <c r="B250" s="6" t="inlineStr">
        <is>
          <t>ligne 6 (B, C)</t>
        </is>
      </c>
      <c r="C250" s="6" t="inlineStr">
        <is>
          <t>start</t>
        </is>
      </c>
      <c r="D250" s="6" t="inlineStr">
        <is>
          <t>Année de début de carrière</t>
        </is>
      </c>
      <c r="E250" s="6" t="inlineStr"/>
      <c r="F250" s="6" t="inlineStr">
        <is>
          <t>Saisie de l'utilisateur</t>
        </is>
      </c>
      <c r="G250" s="6" t="inlineStr"/>
    </row>
    <row r="251">
      <c r="A251" s="6" t="inlineStr">
        <is>
          <t>3_Comparateur_detaille</t>
        </is>
      </c>
      <c r="B251" s="6" t="inlineStr">
        <is>
          <t>ligne 7 (B, C)</t>
        </is>
      </c>
      <c r="C251" s="6" t="inlineStr">
        <is>
          <t>sa</t>
        </is>
      </c>
      <c r="D251" s="6" t="inlineStr">
        <is>
          <t>Âge au début de carrière</t>
        </is>
      </c>
      <c r="E251" s="6" t="inlineStr"/>
      <c r="F251" s="6" t="inlineStr">
        <is>
          <t>Saisie de l'utilisateur</t>
        </is>
      </c>
      <c r="G251" s="6" t="inlineStr"/>
    </row>
    <row r="252">
      <c r="A252" s="6" t="inlineStr">
        <is>
          <t>3_Comparateur_detaille</t>
        </is>
      </c>
      <c r="B252" s="6" t="inlineStr">
        <is>
          <t>ligne 8 (B, C)</t>
        </is>
      </c>
      <c r="C252" s="6" t="inlineStr">
        <is>
          <t>reg_in</t>
        </is>
      </c>
      <c r="D252" s="6" t="inlineStr">
        <is>
          <t>Régime de retraite</t>
        </is>
      </c>
      <c r="E252" s="6" t="inlineStr"/>
      <c r="F252" s="6" t="inlineStr">
        <is>
          <t>Saisie de l'utilisateur</t>
        </is>
      </c>
      <c r="G252" s="6" t="inlineStr"/>
    </row>
    <row r="253">
      <c r="A253" s="6" t="inlineStr">
        <is>
          <t>3_Comparateur_detaille</t>
        </is>
      </c>
      <c r="B253" s="6" t="inlineStr">
        <is>
          <t>ligne 9 (B, C)</t>
        </is>
      </c>
      <c r="C253" s="6" t="inlineStr">
        <is>
          <t>cat_in</t>
        </is>
      </c>
      <c r="D253" s="6" t="inlineStr">
        <is>
          <t>Catégorie (régimes publics)</t>
        </is>
      </c>
      <c r="E253" s="6" t="inlineStr"/>
      <c r="F253" s="6" t="inlineStr">
        <is>
          <t>Saisie de l'utilisateur</t>
        </is>
      </c>
      <c r="G253" s="6" t="inlineStr"/>
    </row>
    <row r="254">
      <c r="A254" s="6" t="inlineStr">
        <is>
          <t>3_Comparateur_detaille</t>
        </is>
      </c>
      <c r="B254" s="6" t="inlineStr">
        <is>
          <t>ligne 10 (B, C)</t>
        </is>
      </c>
      <c r="C254" s="6" t="inlineStr">
        <is>
          <t>sexe</t>
        </is>
      </c>
      <c r="D254" s="6" t="inlineStr">
        <is>
          <t>Sexe (H, F ou ensemble)</t>
        </is>
      </c>
      <c r="E254" s="6" t="inlineStr"/>
      <c r="F254" s="6" t="inlineStr">
        <is>
          <t>Saisie de l'utilisateur</t>
        </is>
      </c>
      <c r="G254" s="6" t="inlineStr"/>
    </row>
    <row r="255">
      <c r="A255" s="6" t="inlineStr">
        <is>
          <t>3_Comparateur_detaille</t>
        </is>
      </c>
      <c r="B255" s="6" t="inlineStr">
        <is>
          <t>ligne 11 (B, C)</t>
        </is>
      </c>
      <c r="C255" s="6" t="inlineStr">
        <is>
          <t>enfants</t>
        </is>
      </c>
      <c r="D255" s="6" t="inlineStr">
        <is>
          <t>Nombre d'enfants</t>
        </is>
      </c>
      <c r="E255" s="6" t="inlineStr"/>
      <c r="F255" s="6" t="inlineStr">
        <is>
          <t>Saisie de l'utilisateur</t>
        </is>
      </c>
      <c r="G255" s="6" t="inlineStr"/>
    </row>
    <row r="256">
      <c r="A256" s="6" t="inlineStr">
        <is>
          <t>3_Comparateur_detaille</t>
        </is>
      </c>
      <c r="B256" s="6" t="inlineStr">
        <is>
          <t>ligne 12 (B, C)</t>
        </is>
      </c>
      <c r="C256" s="6" t="inlineStr">
        <is>
          <t>interr</t>
        </is>
      </c>
      <c r="D256" s="6" t="inlineStr">
        <is>
          <t>Années sans aucun trimestre (vide = moyenne des salariés ayant commencé la même année)</t>
        </is>
      </c>
      <c r="E256" s="6" t="inlineStr"/>
      <c r="F256" s="6" t="inlineStr">
        <is>
          <t>Saisie de l'utilisateur</t>
        </is>
      </c>
      <c r="G256" s="6" t="inlineStr"/>
    </row>
    <row r="257">
      <c r="A257" s="6" t="inlineStr">
        <is>
          <t>3_Comparateur_detaille</t>
        </is>
      </c>
      <c r="B257" s="6" t="inlineStr">
        <is>
          <t>ligne 13 (B, C)</t>
        </is>
      </c>
      <c r="C257" s="6" t="inlineStr">
        <is>
          <t>assim</t>
        </is>
      </c>
      <c r="D257" s="6" t="inlineStr">
        <is>
          <t>Trimestres de chômage, maladie... (non cotisés)</t>
        </is>
      </c>
      <c r="E257" s="6" t="inlineStr"/>
      <c r="F257" s="6" t="inlineStr">
        <is>
          <t>Saisie de l'utilisateur</t>
        </is>
      </c>
      <c r="G257" s="6" t="inlineStr"/>
    </row>
    <row r="258">
      <c r="A258" s="6" t="inlineStr">
        <is>
          <t>3_Comparateur_detaille</t>
        </is>
      </c>
      <c r="B258" s="6" t="inlineStr">
        <is>
          <t>ligne 14 (B, C)</t>
        </is>
      </c>
      <c r="C258" s="6" t="inlineStr">
        <is>
          <t>sm_in</t>
        </is>
      </c>
      <c r="D258" s="6" t="inlineStr">
        <is>
          <t>Service militaire en trimestres (vide = estimation automatique)</t>
        </is>
      </c>
      <c r="E258" s="6" t="inlineStr"/>
      <c r="F258" s="6" t="inlineStr">
        <is>
          <t>Saisie de l'utilisateur</t>
        </is>
      </c>
      <c r="G258" s="6" t="inlineStr"/>
    </row>
    <row r="259">
      <c r="A259" s="6" t="inlineStr">
        <is>
          <t>3_Comparateur_detaille</t>
        </is>
      </c>
      <c r="B259" s="6" t="inlineStr">
        <is>
          <t>ligne 15 (B, C)</t>
        </is>
      </c>
      <c r="C259" s="6" t="inlineStr">
        <is>
          <t>statut</t>
        </is>
      </c>
      <c r="D259" s="6" t="inlineStr">
        <is>
          <t>Statut dans le privé (non-cadre ou cadre)</t>
        </is>
      </c>
      <c r="E259" s="6" t="inlineStr"/>
      <c r="F259" s="6" t="inlineStr">
        <is>
          <t>Saisie de l'utilisateur</t>
        </is>
      </c>
      <c r="G259" s="6" t="inlineStr"/>
    </row>
    <row r="260">
      <c r="A260" s="6" t="inlineStr">
        <is>
          <t>3_Comparateur_detaille</t>
        </is>
      </c>
      <c r="B260" s="6" t="inlineStr">
        <is>
          <t>ligne 16 (B, C)</t>
        </is>
      </c>
      <c r="C260" s="6" t="inlineStr">
        <is>
          <t>mult</t>
        </is>
      </c>
      <c r="D260" s="6" t="inlineStr">
        <is>
          <t>Salaire en multiple du salaire moyen (1 = moyen)</t>
        </is>
      </c>
      <c r="E260" s="6" t="inlineStr"/>
      <c r="F260" s="6" t="inlineStr">
        <is>
          <t>Saisie de l'utilisateur</t>
        </is>
      </c>
      <c r="G260" s="6" t="inlineStr"/>
    </row>
    <row r="261">
      <c r="A261" s="6" t="inlineStr">
        <is>
          <t>3_Comparateur_detaille</t>
        </is>
      </c>
      <c r="B261" s="6" t="inlineStr">
        <is>
          <t>ligne 17 (B, C)</t>
        </is>
      </c>
      <c r="C261" s="6" t="inlineStr">
        <is>
          <t>souhait</t>
        </is>
      </c>
      <c r="D261" s="6" t="inlineStr">
        <is>
          <t>Âge de départ souhaité (vide = dès le taux plein)</t>
        </is>
      </c>
      <c r="E261" s="6" t="inlineStr"/>
      <c r="F261" s="6" t="inlineStr">
        <is>
          <t>Saisie de l'utilisateur</t>
        </is>
      </c>
      <c r="G261" s="6" t="inlineStr"/>
    </row>
    <row r="262">
      <c r="A262" s="6" t="inlineStr">
        <is>
          <t>3_Comparateur_detaille</t>
        </is>
      </c>
      <c r="B262" s="6" t="inlineStr">
        <is>
          <t>ligne 20</t>
        </is>
      </c>
      <c r="C262" s="6" t="inlineStr">
        <is>
          <t>reg</t>
        </is>
      </c>
      <c r="D262" s="6" t="inlineStr">
        <is>
          <t>Régime appliqué (régime général si le régime était déjà fermé aux nouveaux embauchés)</t>
        </is>
      </c>
      <c r="E262" s="6" t="inlineStr"/>
      <c r="F262" s="6" t="inlineStr">
        <is>
          <t>Calcul : IF({start}&gt;=SUMIFS(Regimes[annee_fermeture],Regimes[regime],{reg_in}),"Privé",{reg_in})</t>
        </is>
      </c>
      <c r="G262" s="6" t="inlineStr">
        <is>
          <t>Calcul</t>
        </is>
      </c>
    </row>
    <row r="263">
      <c r="A263" s="6" t="inlineStr">
        <is>
          <t>3_Comparateur_detaille</t>
        </is>
      </c>
      <c r="B263" s="6" t="inlineStr">
        <is>
          <t>ligne 21</t>
        </is>
      </c>
      <c r="C263" s="6" t="inlineStr">
        <is>
          <t>cat</t>
        </is>
      </c>
      <c r="D263" s="6" t="inlineStr">
        <is>
          <t>Catégorie appliquée</t>
        </is>
      </c>
      <c r="E263" s="6" t="inlineStr"/>
      <c r="F263" s="6" t="inlineStr">
        <is>
          <t>Calcul : IF({reg}="Privé","sédentaire",{cat_in})</t>
        </is>
      </c>
      <c r="G263" s="6" t="inlineStr">
        <is>
          <t>Calcul</t>
        </is>
      </c>
    </row>
    <row r="264">
      <c r="A264" s="6" t="inlineStr">
        <is>
          <t>3_Comparateur_detaille</t>
        </is>
      </c>
      <c r="B264" s="6" t="inlineStr">
        <is>
          <t>ligne 22</t>
        </is>
      </c>
      <c r="C264" s="6" t="inlineStr">
        <is>
          <t>gen</t>
        </is>
      </c>
      <c r="D264" s="6" t="inlineStr">
        <is>
          <t>Année de naissance</t>
        </is>
      </c>
      <c r="E264" s="6" t="inlineStr"/>
      <c r="F264" s="6" t="inlineStr">
        <is>
          <t>Calcul : ROUND({start}-{sa},0)</t>
        </is>
      </c>
      <c r="G264" s="6" t="inlineStr">
        <is>
          <t>Calcul</t>
        </is>
      </c>
    </row>
    <row r="265">
      <c r="A265" s="6" t="inlineStr">
        <is>
          <t>3_Comparateur_detaille</t>
        </is>
      </c>
      <c r="B265" s="6" t="inlineStr">
        <is>
          <t>ligne 23</t>
        </is>
      </c>
      <c r="C265" s="6" t="inlineStr">
        <is>
          <t>aod</t>
        </is>
      </c>
      <c r="D265" s="6" t="inlineStr">
        <is>
          <t>Âge légal / d'ouverture des droits</t>
        </is>
      </c>
      <c r="E265" s="6" t="inlineStr"/>
      <c r="F265" s="127" t="inlineStr">
        <is>
          <t>Calcul : IF({reg}="Privé",IF({start}&gt;=2000,MAX(SUMIFS(Donnees_generations[age_legal],Donnees_generations[generation],MAX(1915,MIN(2025,{gen}))),Parametres!$B$3),SUMIFS(Donnees_generations[age_legal],Donnees_generations[generation],MAX(1915,MIN(2025,{gen})))),SUMIFS(Regles_regimes[age_ouverture],Regles_regimes[regime],{reg},Regles_regimes[categorie],{cat},Regles_regimes[generation],MAX(1915,MIN(2025,{gen}))))</t>
        </is>
      </c>
      <c r="G265" s="6" t="inlineStr">
        <is>
          <t>Calcul</t>
        </is>
      </c>
    </row>
    <row r="266">
      <c r="A266" s="6" t="inlineStr">
        <is>
          <t>3_Comparateur_detaille</t>
        </is>
      </c>
      <c r="B266" s="6" t="inlineStr">
        <is>
          <t>ligne 24</t>
        </is>
      </c>
      <c r="C266" s="6" t="inlineStr">
        <is>
          <t>aad</t>
        </is>
      </c>
      <c r="D266" s="6" t="inlineStr">
        <is>
          <t>Âge du taux plein automatique (annulation de la décote)</t>
        </is>
      </c>
      <c r="E266" s="6" t="inlineStr"/>
      <c r="F266" s="127" t="inlineStr">
        <is>
          <t>Calcul : IF({reg}="Privé",SUMIFS(Donnees_generations[age_taux_plein_auto],Donnees_generations[generation],MAX(1915,MIN(2025,{gen}))),SUMIFS(Regles_regimes[age_annulation_decote],Regles_regimes[regime],{reg},Regles_regimes[categorie],{cat},Regles_regimes[generation],MAX(1915,MIN(2025,{gen}))))</t>
        </is>
      </c>
      <c r="G266" s="6" t="inlineStr">
        <is>
          <t>Calcul</t>
        </is>
      </c>
    </row>
    <row r="267">
      <c r="A267" s="6" t="inlineStr">
        <is>
          <t>3_Comparateur_detaille</t>
        </is>
      </c>
      <c r="B267" s="6" t="inlineStr">
        <is>
          <t>ligne 25</t>
        </is>
      </c>
      <c r="C267" s="6" t="inlineStr">
        <is>
          <t>amd</t>
        </is>
      </c>
      <c r="D267" s="6" t="inlineStr">
        <is>
          <t>Âge minimal du taux plein par la durée</t>
        </is>
      </c>
      <c r="E267" s="6" t="inlineStr"/>
      <c r="F267" s="127" t="inlineStr">
        <is>
          <t>Calcul : IF({reg}="Privé",IF({start}&gt;=2000,MAX(SUMIFS(Donnees_generations[age_min_taux_plein_duree],Donnees_generations[generation],MAX(1915,MIN(2025,{gen}))),Parametres!$B$3),SUMIFS(Donnees_generations[age_min_taux_plein_duree],Donnees_generations[generation],MAX(1915,MIN(2025,{gen})))),{aod})</t>
        </is>
      </c>
      <c r="G267" s="6" t="inlineStr">
        <is>
          <t>Calcul</t>
        </is>
      </c>
    </row>
    <row r="268">
      <c r="A268" s="6" t="inlineStr">
        <is>
          <t>3_Comparateur_detaille</t>
        </is>
      </c>
      <c r="B268" s="6" t="inlineStr">
        <is>
          <t>ligne 26</t>
        </is>
      </c>
      <c r="C268" s="6" t="inlineStr">
        <is>
          <t>trim</t>
        </is>
      </c>
      <c r="D268" s="6" t="inlineStr">
        <is>
          <t>Trimestres requis pour le taux plein</t>
        </is>
      </c>
      <c r="E268" s="6" t="inlineStr"/>
      <c r="F268" s="127" t="inlineStr">
        <is>
          <t>Calcul : IF({reg}="Privé",SUMIFS(Donnees_generations[trimestres_requis],Donnees_generations[generation],MAX(1915,MIN(2025,{gen}))),SUMIFS(Regles_regimes[trimestres_requis],Regles_regimes[regime],{reg},Regles_regimes[categorie],{cat},Regles_regimes[generation],MAX(1915,MIN(2025,{gen}))))</t>
        </is>
      </c>
      <c r="G268" s="6" t="inlineStr">
        <is>
          <t>Calcul</t>
        </is>
      </c>
    </row>
    <row r="269">
      <c r="A269" s="6" t="inlineStr">
        <is>
          <t>3_Comparateur_detaille</t>
        </is>
      </c>
      <c r="B269" s="6" t="inlineStr">
        <is>
          <t>ligne 27</t>
        </is>
      </c>
      <c r="C269" s="6" t="inlineStr">
        <is>
          <t>dec</t>
        </is>
      </c>
      <c r="D269" s="6" t="inlineStr">
        <is>
          <t>Décote par trimestre manquant</t>
        </is>
      </c>
      <c r="E269" s="6" t="inlineStr"/>
      <c r="F269" s="127" t="inlineStr">
        <is>
          <t>Calcul : IF({reg}="Privé",SUMIFS(Donnees_generations[decote_par_trimestre],Donnees_generations[generation],MAX(1915,MIN(2025,{gen}))),SUMIFS(Regles_regimes[decote_par_trimestre],Regles_regimes[regime],{reg},Regles_regimes[categorie],{cat},Regles_regimes[generation],MAX(1915,MIN(2025,{gen}))))</t>
        </is>
      </c>
      <c r="G269" s="6" t="inlineStr">
        <is>
          <t>Calcul</t>
        </is>
      </c>
    </row>
    <row r="270">
      <c r="A270" s="6" t="inlineStr">
        <is>
          <t>3_Comparateur_detaille</t>
        </is>
      </c>
      <c r="B270" s="6" t="inlineStr">
        <is>
          <t>ligne 28</t>
        </is>
      </c>
      <c r="C270" s="6" t="inlineStr">
        <is>
          <t>sur</t>
        </is>
      </c>
      <c r="D270" s="6" t="inlineStr">
        <is>
          <t>Surcote par trimestre supplémentaire</t>
        </is>
      </c>
      <c r="E270" s="6" t="inlineStr"/>
      <c r="F270" s="127" t="inlineStr">
        <is>
          <t>Calcul : IF({reg}="Privé",SUMIFS(Donnees_generations[surcote_par_trimestre],Donnees_generations[generation],MAX(1915,MIN(2025,{gen}))),SUMIFS(Regles_regimes[surcote_par_trimestre],Regles_regimes[regime],{reg},Regles_regimes[categorie],{cat},Regles_regimes[generation],MAX(1915,MIN(2025,{gen}))))</t>
        </is>
      </c>
      <c r="G270" s="6" t="inlineStr">
        <is>
          <t>Calcul</t>
        </is>
      </c>
    </row>
    <row r="271">
      <c r="A271" s="6" t="inlineStr">
        <is>
          <t>3_Comparateur_detaille</t>
        </is>
      </c>
      <c r="B271" s="6" t="inlineStr">
        <is>
          <t>ligne 29</t>
        </is>
      </c>
      <c r="C271" s="6" t="inlineStr">
        <is>
          <t>mda</t>
        </is>
      </c>
      <c r="D271" s="6" t="inlineStr">
        <is>
          <t>Trimestres pour enfants (mère)</t>
        </is>
      </c>
      <c r="E271" s="6" t="inlineStr"/>
      <c r="F271" s="6" t="inlineStr">
        <is>
          <t>Calcul : IF({sexe}="F",{enfants}*IF({reg}="Privé",Parametres!$B$4,Parametres!$B$15),0)</t>
        </is>
      </c>
      <c r="G271" s="6" t="inlineStr">
        <is>
          <t>Calcul</t>
        </is>
      </c>
    </row>
    <row r="272">
      <c r="A272" s="6" t="inlineStr">
        <is>
          <t>3_Comparateur_detaille</t>
        </is>
      </c>
      <c r="B272" s="6" t="inlineStr">
        <is>
          <t>ligne 30</t>
        </is>
      </c>
      <c r="C272" s="6" t="inlineStr">
        <is>
          <t>sm</t>
        </is>
      </c>
      <c r="D272" s="6" t="inlineStr">
        <is>
          <t>Service militaire retenu (trimestres)</t>
        </is>
      </c>
      <c r="E272" s="6" t="inlineStr"/>
      <c r="F272" s="6" t="inlineStr">
        <is>
          <t>Calcul : IF({sm_in}="",IF({sexe}="H",SUMIFS(Donnees_generations[service_militaire_trimestres],Donnees_generations[generation],MAX(1915,MIN(2025,{gen}))),0),{sm_in})</t>
        </is>
      </c>
      <c r="G272" s="6" t="inlineStr">
        <is>
          <t>Calcul</t>
        </is>
      </c>
    </row>
    <row r="273">
      <c r="A273" s="6" t="inlineStr">
        <is>
          <t>3_Comparateur_detaille</t>
        </is>
      </c>
      <c r="B273" s="6" t="inlineStr">
        <is>
          <t>ligne 31</t>
        </is>
      </c>
      <c r="C273" s="6" t="inlineStr">
        <is>
          <t>xd</t>
        </is>
      </c>
      <c r="D273" s="6" t="inlineStr">
        <is>
          <t>Âge où la durée requise est atteinte</t>
        </is>
      </c>
      <c r="E273" s="6" t="inlineStr"/>
      <c r="F273" s="6" t="inlineStr">
        <is>
          <t>Calcul : {sa}+IF({interr}="",0,{interr})+({trim}-{mda})/4</t>
        </is>
      </c>
      <c r="G273" s="6" t="inlineStr">
        <is>
          <t>Calcul</t>
        </is>
      </c>
    </row>
    <row r="274">
      <c r="A274" s="6" t="inlineStr">
        <is>
          <t>3_Comparateur_detaille</t>
        </is>
      </c>
      <c r="B274" s="6" t="inlineStr">
        <is>
          <t>ligne 32</t>
        </is>
      </c>
      <c r="C274" s="6" t="inlineStr">
        <is>
          <t>tp</t>
        </is>
      </c>
      <c r="D274" s="6" t="inlineStr">
        <is>
          <t>Âge du taux plein</t>
        </is>
      </c>
      <c r="E274" s="6" t="inlineStr"/>
      <c r="F274" s="6" t="inlineStr">
        <is>
          <t>Calcul : MIN({aad},MAX({amd},{xd}))</t>
        </is>
      </c>
      <c r="G274" s="6" t="inlineStr">
        <is>
          <t>Calcul</t>
        </is>
      </c>
    </row>
    <row r="275">
      <c r="A275" s="6" t="inlineStr">
        <is>
          <t>3_Comparateur_detaille</t>
        </is>
      </c>
      <c r="B275" s="6" t="inlineStr">
        <is>
          <t>ligne 33</t>
        </is>
      </c>
      <c r="C275" s="6" t="inlineStr">
        <is>
          <t>cl</t>
        </is>
      </c>
      <c r="D275" s="6" t="inlineStr">
        <is>
          <t>Âge carrière longue (99 = non éligible)</t>
        </is>
      </c>
      <c r="E275" s="6" t="inlineStr"/>
      <c r="F275" s="127" t="inlineStr">
        <is>
          <t>Calcul : IF(OR({reg}="Privé",{reg}="Fonction publique d'État",{reg}="Fonction publique territoriale et hospitalière"),MIN(IF(AND({sa}&lt;16,SUMIFS(Donnees_generations[cl_age_debut_avant_16],Donnees_generations[generation],MAX(1915,MIN(2025,{gen})))&gt;0),MAX(SUMIFS(Donnees_generations[cl_age_debut_avant_16],Donnees_generations[generation],MAX(1915,MIN(2025,{gen}))),{sa}+IF({interr}="",0,{interr})+(SUMIFS(Donnees_generations[cl_trimestres_cotises_exiges],Donnees_generations[generation],MAX(1915,MIN(2025,{gen})))+{assim}+{sm})/4),99),IF(AND({sa}&lt;17,SUMIFS(Donnees_generations[cl_age_debut_avant_17],Donnees_generations[generation],MAX(1915,MIN(2025,{gen})))&gt;0),MAX(SUMIFS(Donnees_generations[cl_age_debut_avant_17],Donnees_generations[generation],MAX(1915,MIN(2025,{gen}))),{sa}+IF({interr}="",0,{interr})+(SUMIFS(Donnees_generations[cl_trimestres_cotises_exiges],Donnees_generations[generation],MAX(1915,MIN(2025,{gen})))+{assim}+{sm})/4),99),IF(AND({sa}&lt;18,SUMIFS(Donnees_generations[cl_age_debut_avant_18],Donnees_generations[generation],MAX(1915,MIN(2025,{gen})))&gt;0),MAX(SUMIFS(Donnees_generations[cl_age_debut_avant_18],Donnees_generations[generation],MAX(1915,MIN(2025,{gen}))),{sa}+IF({interr}="",0,{interr})+(SUMIFS(Donnees_generations[cl_trimestres_cotises_exiges],Donnees_generations[generation],MAX(1915,MIN(2025,{gen})))+{assim}+{sm})/4),99),IF(AND({sa}&lt;20,SUMIFS(Donnees_generations[cl_age_debut_avant_20],Donnees_generations[generation],MAX(1915,MIN(2025,{gen})))&gt;0),MAX(SUMIFS(Donnees_generations[cl_age_debut_avant_20],Donnees_generations[generation],MAX(1915,MIN(2025,{gen}))),{sa}+IF({interr}="",0,{interr})+(SUMIFS(Donnees_generations[cl_trimestres_cotises_exiges],Donnees_generations[generation],MAX(1915,MIN(2025,{gen})))+{assim}+{sm})/4),99),IF(AND({sa}&lt;21,SUMIFS(Donnees_generations[cl_age_debut_avant_21],Donnees_generations[generation],MAX(1915,MIN(2025,{gen})))&gt;0),MAX(SUMIFS(Donnees_generations[cl_age_debut_avant_21],Donnees_generations[generation],MAX(1915,MIN(2025,{gen}))),{sa}+IF({interr}="",0,{interr})+(SUMIFS(Donnees_generations[cl_trimestres_cotises_exiges],Donnees_generations[generation],MAX(1915,MIN(2025,{gen})))+{assim}+{sm})/4),99)),99)</t>
        </is>
      </c>
      <c r="G275" s="6" t="inlineStr">
        <is>
          <t>Calcul</t>
        </is>
      </c>
    </row>
    <row r="276">
      <c r="A276" s="6" t="inlineStr">
        <is>
          <t>3_Comparateur_detaille</t>
        </is>
      </c>
      <c r="B276" s="6" t="inlineStr">
        <is>
          <t>ligne 35</t>
        </is>
      </c>
      <c r="C276" s="6" t="inlineStr">
        <is>
          <t>dep</t>
        </is>
      </c>
      <c r="D276" s="6" t="inlineStr">
        <is>
          <t>ÂGE DE DÉPART À LA RETRAITE</t>
        </is>
      </c>
      <c r="E276" s="6" t="inlineStr"/>
      <c r="F276" s="6" t="inlineStr">
        <is>
          <t>Calcul : IF({souhait}="",MIN({tp},{cl}),MAX({souhait},MIN({aod},{cl})))</t>
        </is>
      </c>
      <c r="G276" s="6" t="inlineStr">
        <is>
          <t>Calcul</t>
        </is>
      </c>
    </row>
    <row r="277">
      <c r="A277" s="6" t="inlineStr">
        <is>
          <t>3_Comparateur_detaille</t>
        </is>
      </c>
      <c r="B277" s="6" t="inlineStr">
        <is>
          <t>ligne 36</t>
        </is>
      </c>
      <c r="C277" s="6" t="inlineStr">
        <is>
          <t>clf</t>
        </is>
      </c>
      <c r="D277" s="6" t="inlineStr">
        <is>
          <t>Départ anticipé pour carrière longue ?</t>
        </is>
      </c>
      <c r="E277" s="6" t="inlineStr"/>
      <c r="F277" s="6" t="inlineStr">
        <is>
          <t>Calcul : IF(AND({cl}&lt;{tp},{dep}&gt;={cl},{dep}&lt;{aod}),"oui","non")</t>
        </is>
      </c>
      <c r="G277" s="6" t="inlineStr">
        <is>
          <t>Calcul</t>
        </is>
      </c>
    </row>
    <row r="278">
      <c r="A278" s="6" t="inlineStr">
        <is>
          <t>3_Comparateur_detaille</t>
        </is>
      </c>
      <c r="B278" s="6" t="inlineStr">
        <is>
          <t>ligne 37</t>
        </is>
      </c>
      <c r="C278" s="6" t="inlineStr">
        <is>
          <t>ydep</t>
        </is>
      </c>
      <c r="D278" s="6" t="inlineStr">
        <is>
          <t>Année de départ</t>
        </is>
      </c>
      <c r="E278" s="6" t="inlineStr"/>
      <c r="F278" s="6" t="inlineStr">
        <is>
          <t>Calcul : INT({gen}+{dep})</t>
        </is>
      </c>
      <c r="G278" s="6" t="inlineStr">
        <is>
          <t>Calcul</t>
        </is>
      </c>
    </row>
    <row r="279">
      <c r="A279" s="6" t="inlineStr">
        <is>
          <t>3_Comparateur_detaille</t>
        </is>
      </c>
      <c r="B279" s="6" t="inlineStr">
        <is>
          <t>ligne 38</t>
        </is>
      </c>
      <c r="C279" s="6" t="inlineStr">
        <is>
          <t>span</t>
        </is>
      </c>
      <c r="D279" s="6" t="inlineStr">
        <is>
          <t>Années entre le début et le départ</t>
        </is>
      </c>
      <c r="E279" s="6" t="inlineStr"/>
      <c r="F279" s="6" t="inlineStr">
        <is>
          <t>Calcul : {dep}-{sa}</t>
        </is>
      </c>
      <c r="G279" s="6" t="inlineStr">
        <is>
          <t>Calcul</t>
        </is>
      </c>
    </row>
    <row r="280">
      <c r="A280" s="6" t="inlineStr">
        <is>
          <t>3_Comparateur_detaille</t>
        </is>
      </c>
      <c r="B280" s="6" t="inlineStr">
        <is>
          <t>ligne 39</t>
        </is>
      </c>
      <c r="C280" s="6" t="inlineStr">
        <is>
          <t>sat</t>
        </is>
      </c>
      <c r="D280" s="6" t="inlineStr">
        <is>
          <t>Âge moyen de début de carrière la même année (profil type)</t>
        </is>
      </c>
      <c r="E280" s="6" t="inlineStr"/>
      <c r="F280" s="6" t="inlineStr">
        <is>
          <t>Calcul : SUMIFS(Donnees_annuelles[age_moyen_debut_carriere],Donnees_annuelles[annee],{start})</t>
        </is>
      </c>
      <c r="G280" s="6" t="inlineStr">
        <is>
          <t>Calcul</t>
        </is>
      </c>
    </row>
    <row r="281">
      <c r="A281" s="6" t="inlineStr">
        <is>
          <t>3_Comparateur_detaille</t>
        </is>
      </c>
      <c r="B281" s="6" t="inlineStr">
        <is>
          <t>ligne 40</t>
        </is>
      </c>
      <c r="C281" s="6" t="inlineStr">
        <is>
          <t>gty</t>
        </is>
      </c>
      <c r="D281" s="6" t="inlineStr">
        <is>
          <t>Génération type d'un début de carrière la même année</t>
        </is>
      </c>
      <c r="E281" s="6" t="inlineStr"/>
      <c r="F281" s="6" t="inlineStr">
        <is>
          <t>Calcul : ROUND({start}-{sat},0)</t>
        </is>
      </c>
      <c r="G281" s="6" t="inlineStr">
        <is>
          <t>Calcul</t>
        </is>
      </c>
    </row>
    <row r="282">
      <c r="A282" s="6" t="inlineStr">
        <is>
          <t>3_Comparateur_detaille</t>
        </is>
      </c>
      <c r="B282" s="6" t="inlineStr">
        <is>
          <t>ligne 41</t>
        </is>
      </c>
      <c r="C282" s="6" t="inlineStr">
        <is>
          <t>tcr</t>
        </is>
      </c>
      <c r="D282" s="6" t="inlineStr">
        <is>
          <t>Taux de carrière réelle des salariés ayant commencé la même année (durée réelle moyenne ÷ années entre le début et le départ)</t>
        </is>
      </c>
      <c r="E282" s="6" t="inlineStr"/>
      <c r="F282" s="127" t="inlineStr">
        <is>
          <t>Calcul : MIN(1,SUMIFS(Donnees_generations[duree_reelle_moyenne_carriere],Donnees_generations[generation],MAX(1915,MIN(2025,{gty})))/(IF({start}&gt;=2000,MAX(SUMIFS(Donnees_generations[age_moyen_reel_depart],Donnees_generations[generation],MAX(1915,MIN(2025,{gty}))),Parametres!$B$3),SUMIFS(Donnees_generations[age_moyen_reel_depart],Donnees_generations[generation],MAX(1915,MIN(2025,{gty}))))-{sat}))</t>
        </is>
      </c>
      <c r="G282" s="6" t="inlineStr">
        <is>
          <t>Calcul</t>
        </is>
      </c>
    </row>
    <row r="283">
      <c r="A283" s="6" t="inlineStr">
        <is>
          <t>3_Comparateur_detaille</t>
        </is>
      </c>
      <c r="B283" s="6" t="inlineStr">
        <is>
          <t>ligne 42</t>
        </is>
      </c>
      <c r="C283" s="6" t="inlineStr">
        <is>
          <t>worked</t>
        </is>
      </c>
      <c r="D283" s="6" t="inlineStr">
        <is>
          <t>DURÉE RÉELLE DE CARRIÈRE (années validées)</t>
        </is>
      </c>
      <c r="E283" s="6" t="inlineStr"/>
      <c r="F283" s="6" t="inlineStr">
        <is>
          <t>Calcul : IF({interr}="",{span}*{tcr},{span}-{interr})</t>
        </is>
      </c>
      <c r="G283" s="6" t="inlineStr">
        <is>
          <t>Calcul</t>
        </is>
      </c>
    </row>
    <row r="284">
      <c r="A284" s="6" t="inlineStr">
        <is>
          <t>3_Comparateur_detaille</t>
        </is>
      </c>
      <c r="B284" s="6" t="inlineStr">
        <is>
          <t>ligne 43</t>
        </is>
      </c>
      <c r="C284" s="6" t="inlineStr">
        <is>
          <t>interr_ret</t>
        </is>
      </c>
      <c r="D284" s="6" t="inlineStr">
        <is>
          <t>Années sans aucun trimestre retenues (moyenne de la génération si la case est vide)</t>
        </is>
      </c>
      <c r="E284" s="6" t="inlineStr"/>
      <c r="F284" s="6" t="inlineStr">
        <is>
          <t>Calcul : {span}-{worked}</t>
        </is>
      </c>
      <c r="G284" s="6" t="inlineStr">
        <is>
          <t>Calcul</t>
        </is>
      </c>
    </row>
    <row r="285">
      <c r="A285" s="6" t="inlineStr">
        <is>
          <t>3_Comparateur_detaille</t>
        </is>
      </c>
      <c r="B285" s="6" t="inlineStr">
        <is>
          <t>ligne 44</t>
        </is>
      </c>
      <c r="C285" s="6" t="inlineStr">
        <is>
          <t>valid</t>
        </is>
      </c>
      <c r="D285" s="6" t="inlineStr">
        <is>
          <t>Trimestres validés</t>
        </is>
      </c>
      <c r="E285" s="6" t="inlineStr"/>
      <c r="F285" s="6" t="inlineStr">
        <is>
          <t>Calcul : ROUND({worked}*4+{mda},0)</t>
        </is>
      </c>
      <c r="G285" s="6" t="inlineStr">
        <is>
          <t>Calcul</t>
        </is>
      </c>
    </row>
    <row r="286">
      <c r="A286" s="6" t="inlineStr">
        <is>
          <t>3_Comparateur_detaille</t>
        </is>
      </c>
      <c r="B286" s="6" t="inlineStr">
        <is>
          <t>ligne 45</t>
        </is>
      </c>
      <c r="C286" s="6" t="inlineStr">
        <is>
          <t>cotq</t>
        </is>
      </c>
      <c r="D286" s="6" t="inlineStr">
        <is>
          <t>Trimestres cotisés (réellement travaillés)</t>
        </is>
      </c>
      <c r="E286" s="6" t="inlineStr"/>
      <c r="F286" s="6" t="inlineStr">
        <is>
          <t>Calcul : MAX(0,ROUND({worked}*4-{assim}-{sm},0))</t>
        </is>
      </c>
      <c r="G286" s="6" t="inlineStr">
        <is>
          <t>Calcul</t>
        </is>
      </c>
    </row>
    <row r="287">
      <c r="A287" s="6" t="inlineStr">
        <is>
          <t>3_Comparateur_detaille</t>
        </is>
      </c>
      <c r="B287" s="6" t="inlineStr">
        <is>
          <t>ligne 46</t>
        </is>
      </c>
      <c r="C287" s="6" t="inlineStr">
        <is>
          <t>bonq</t>
        </is>
      </c>
      <c r="D287" s="6" t="inlineStr">
        <is>
          <t>Bonification pour services actifs (trimestres)</t>
        </is>
      </c>
      <c r="E287" s="6" t="inlineStr"/>
      <c r="F287" s="127" t="inlineStr">
        <is>
          <t>Calcul : IF(AND(SUMIFS(Regles_regimes[bonification_cinquieme],Regles_regimes[regime],{reg},Regles_regimes[categorie],{cat},Regles_regimes[generation],MAX(1915,MIN(2025,{gen})))=1,{start}&lt;2009,NOT({reg}="Privé")),MIN(20,ROUND({worked}*4/5,0)),0)</t>
        </is>
      </c>
      <c r="G287" s="6" t="inlineStr">
        <is>
          <t>Calcul</t>
        </is>
      </c>
    </row>
    <row r="288">
      <c r="A288" s="6" t="inlineStr">
        <is>
          <t>3_Comparateur_detaille</t>
        </is>
      </c>
      <c r="B288" s="6" t="inlineStr">
        <is>
          <t>ligne 47</t>
        </is>
      </c>
      <c r="C288" s="6" t="inlineStr">
        <is>
          <t>last</t>
        </is>
      </c>
      <c r="D288" s="6" t="inlineStr">
        <is>
          <t>Dernière année de la période de carrière</t>
        </is>
      </c>
      <c r="E288" s="6" t="inlineStr"/>
      <c r="F288" s="6" t="inlineStr">
        <is>
          <t>Calcul : {start}+ROUNDUP({span},0)-1</t>
        </is>
      </c>
      <c r="G288" s="6" t="inlineStr">
        <is>
          <t>Calcul</t>
        </is>
      </c>
    </row>
    <row r="289">
      <c r="A289" s="6" t="inlineStr">
        <is>
          <t>3_Comparateur_detaille</t>
        </is>
      </c>
      <c r="B289" s="6" t="inlineStr">
        <is>
          <t>ligne 48</t>
        </is>
      </c>
      <c r="C289" s="6" t="inlineStr">
        <is>
          <t>fwork</t>
        </is>
      </c>
      <c r="D289" s="6" t="inlineStr">
        <is>
          <t>Part de la période réellement travaillée</t>
        </is>
      </c>
      <c r="E289" s="6" t="inlineStr"/>
      <c r="F289" s="6" t="inlineStr">
        <is>
          <t>Calcul : IF({span}=0,0,{cotq}/4/ROUNDUP({span},0))</t>
        </is>
      </c>
      <c r="G289" s="6" t="inlineStr">
        <is>
          <t>Calcul</t>
        </is>
      </c>
    </row>
    <row r="290">
      <c r="A290" s="6" t="inlineStr">
        <is>
          <t>3_Comparateur_detaille</t>
        </is>
      </c>
      <c r="B290" s="6" t="inlineStr">
        <is>
          <t>ligne 50</t>
        </is>
      </c>
      <c r="C290" s="6" t="inlineStr">
        <is>
          <t>rh</t>
        </is>
      </c>
      <c r="D290" s="6" t="inlineStr">
        <is>
          <t>Temps de travail annuel par rapport au privé</t>
        </is>
      </c>
      <c r="E290" s="6" t="inlineStr"/>
      <c r="F290" s="6" t="inlineStr">
        <is>
          <t>Calcul : SUMIFS(Regles_regimes[ratio_heures_prive],Regles_regimes[regime],{reg},Regles_regimes[categorie],{cat},Regles_regimes[generation],MAX(1915,MIN(2025,{gen})))</t>
        </is>
      </c>
      <c r="G290" s="6" t="inlineStr">
        <is>
          <t>Calcul</t>
        </is>
      </c>
    </row>
    <row r="291">
      <c r="A291" s="6" t="inlineStr">
        <is>
          <t>3_Comparateur_detaille</t>
        </is>
      </c>
      <c r="B291" s="6" t="inlineStr">
        <is>
          <t>ligne 51</t>
        </is>
      </c>
      <c r="C291" s="6" t="inlineStr">
        <is>
          <t>hours</t>
        </is>
      </c>
      <c r="D291" s="6" t="inlineStr">
        <is>
          <t>HEURES RÉELLEMENT TRAVAILLÉES SUR LA CARRIÈRE</t>
        </is>
      </c>
      <c r="E291" s="6" t="inlineStr"/>
      <c r="F291" s="6" t="inlineStr">
        <is>
          <t>Calcul : SUMIFS(Donnees_annuelles[heures_reelles_an],Donnees_annuelles[annee],"&gt;="&amp;{start},Donnees_annuelles[annee],"&lt;="&amp;{last})*{fwork}*{rh}</t>
        </is>
      </c>
      <c r="G291" s="6" t="inlineStr">
        <is>
          <t>Calcul</t>
        </is>
      </c>
    </row>
    <row r="292">
      <c r="A292" s="6" t="inlineStr">
        <is>
          <t>3_Comparateur_detaille</t>
        </is>
      </c>
      <c r="B292" s="6" t="inlineStr">
        <is>
          <t>ligne 52</t>
        </is>
      </c>
      <c r="C292" s="6" t="inlineStr">
        <is>
          <t>brut</t>
        </is>
      </c>
      <c r="D292" s="6" t="inlineStr">
        <is>
          <t>Salaire brut cumulé</t>
        </is>
      </c>
      <c r="E292" s="6" t="inlineStr"/>
      <c r="F292" s="6" t="inlineStr">
        <is>
          <t>Calcul : SUMIFS(Donnees_annuelles[page3_salaire_profil_A/B],Donnees_annuelles[annee],"&gt;="&amp;{start},Donnees_annuelles[annee],"&lt;="&amp;{last})*{fwork}</t>
        </is>
      </c>
      <c r="G292" s="6" t="inlineStr">
        <is>
          <t>Calcul</t>
        </is>
      </c>
    </row>
    <row r="293">
      <c r="A293" s="6" t="inlineStr">
        <is>
          <t>3_Comparateur_detaille</t>
        </is>
      </c>
      <c r="B293" s="6" t="inlineStr">
        <is>
          <t>ligne 53</t>
        </is>
      </c>
      <c r="C293" s="6" t="inlineStr">
        <is>
          <t>sal</t>
        </is>
      </c>
      <c r="D293" s="6" t="inlineStr">
        <is>
          <t>dont cotisations vieillesse salariales</t>
        </is>
      </c>
      <c r="E293" s="6" t="inlineStr"/>
      <c r="F293" s="6" t="inlineStr">
        <is>
          <t>Calcul : SUMIFS(Donnees_annuelles[page3_cotis_sal_profil_A/B],Donnees_annuelles[annee],"&gt;="&amp;{start},Donnees_annuelles[annee],"&lt;="&amp;{last})*{fwork}</t>
        </is>
      </c>
      <c r="G293" s="6" t="inlineStr">
        <is>
          <t>Calcul</t>
        </is>
      </c>
    </row>
    <row r="294">
      <c r="A294" s="6" t="inlineStr">
        <is>
          <t>3_Comparateur_detaille</t>
        </is>
      </c>
      <c r="B294" s="6" t="inlineStr">
        <is>
          <t>ligne 54</t>
        </is>
      </c>
      <c r="C294" s="6" t="inlineStr">
        <is>
          <t>pat</t>
        </is>
      </c>
      <c r="D294" s="6" t="inlineStr">
        <is>
          <t>dont cotisations vieillesse patronales</t>
        </is>
      </c>
      <c r="E294" s="6" t="inlineStr"/>
      <c r="F294" s="6" t="inlineStr">
        <is>
          <t>Calcul : SUMIFS(Donnees_annuelles[page3_cotis_pat_profil_A/B],Donnees_annuelles[annee],"&gt;="&amp;{start},Donnees_annuelles[annee],"&lt;="&amp;{last})*{fwork}</t>
        </is>
      </c>
      <c r="G294" s="6" t="inlineStr">
        <is>
          <t>Calcul</t>
        </is>
      </c>
    </row>
    <row r="295">
      <c r="A295" s="6" t="inlineStr">
        <is>
          <t>3_Comparateur_detaille</t>
        </is>
      </c>
      <c r="B295" s="6" t="inlineStr">
        <is>
          <t>ligne 55</t>
        </is>
      </c>
      <c r="C295" s="6" t="inlineStr">
        <is>
          <t>cot</t>
        </is>
      </c>
      <c r="D295" s="6" t="inlineStr">
        <is>
          <t>COTISATIONS VIEILLESSE TOTALES VERSÉES</t>
        </is>
      </c>
      <c r="E295" s="6" t="inlineStr"/>
      <c r="F295" s="6" t="inlineStr">
        <is>
          <t>Calcul : {sal}+{pat}</t>
        </is>
      </c>
      <c r="G295" s="6" t="inlineStr">
        <is>
          <t>Calcul</t>
        </is>
      </c>
    </row>
    <row r="296">
      <c r="A296" s="6" t="inlineStr">
        <is>
          <t>3_Comparateur_detaille</t>
        </is>
      </c>
      <c r="B296" s="6" t="inlineStr">
        <is>
          <t>ligne 56</t>
        </is>
      </c>
      <c r="C296" s="6" t="inlineStr">
        <is>
          <t>taux</t>
        </is>
      </c>
      <c r="D296" s="6" t="inlineStr">
        <is>
          <t>Taux moyen de cotisation vieillesse</t>
        </is>
      </c>
      <c r="E296" s="6" t="inlineStr"/>
      <c r="F296" s="6" t="inlineStr">
        <is>
          <t>Calcul : IF({brut}=0,0,{cot}/{brut})</t>
        </is>
      </c>
      <c r="G296" s="6" t="inlineStr">
        <is>
          <t>Calcul</t>
        </is>
      </c>
    </row>
    <row r="297">
      <c r="A297" s="6" t="inlineStr">
        <is>
          <t>3_Comparateur_detaille</t>
        </is>
      </c>
      <c r="B297" s="6" t="inlineStr">
        <is>
          <t>ligne 57</t>
        </is>
      </c>
      <c r="C297" s="6" t="inlineStr">
        <is>
          <t>cout</t>
        </is>
      </c>
      <c r="D297" s="6" t="inlineStr">
        <is>
          <t>Coût employeur retraite (brut + patronal)</t>
        </is>
      </c>
      <c r="E297" s="6" t="inlineStr"/>
      <c r="F297" s="6" t="inlineStr">
        <is>
          <t>Calcul : {brut}+{pat}</t>
        </is>
      </c>
      <c r="G297" s="6" t="inlineStr">
        <is>
          <t>Calcul</t>
        </is>
      </c>
    </row>
    <row r="298">
      <c r="A298" s="6" t="inlineStr">
        <is>
          <t>3_Comparateur_detaille</t>
        </is>
      </c>
      <c r="B298" s="6" t="inlineStr">
        <is>
          <t>ligne 58</t>
        </is>
      </c>
      <c r="C298" s="6" t="inlineStr">
        <is>
          <t>subv</t>
        </is>
      </c>
      <c r="D298" s="6" t="inlineStr">
        <is>
          <t>Argent public ajouté pour équilibrer le régime (impôts et taxes, non compté dans les cotisations)</t>
        </is>
      </c>
      <c r="E298" s="6" t="inlineStr"/>
      <c r="F298" s="6" t="inlineStr">
        <is>
          <t>Calcul : SUMIFS(Donnees_annuelles[page3_subvention_profil_A/B],Donnees_annuelles[annee],"&gt;="&amp;{start},Donnees_annuelles[annee],"&lt;="&amp;{last})*{fwork}</t>
        </is>
      </c>
      <c r="G298" s="6" t="inlineStr">
        <is>
          <t>Calcul</t>
        </is>
      </c>
    </row>
    <row r="299">
      <c r="A299" s="6" t="inlineStr">
        <is>
          <t>3_Comparateur_detaille</t>
        </is>
      </c>
      <c r="B299" s="6" t="inlineStr">
        <is>
          <t>ligne 60</t>
        </is>
      </c>
      <c r="C299" s="6" t="inlineStr">
        <is>
          <t>miss</t>
        </is>
      </c>
      <c r="D299" s="6" t="inlineStr">
        <is>
          <t>Trimestres manquants (décote)</t>
        </is>
      </c>
      <c r="E299" s="6" t="inlineStr"/>
      <c r="F299" s="6" t="inlineStr">
        <is>
          <t>Calcul : IF(OR({dep}&gt;={tp},{clf}="oui"),0,MAX(0,MIN(20,ROUNDUP(MIN({trim}-{valid}-{bonq},({aad}-{dep})*4),0))))</t>
        </is>
      </c>
      <c r="G299" s="6" t="inlineStr">
        <is>
          <t>Calcul</t>
        </is>
      </c>
    </row>
    <row r="300">
      <c r="A300" s="6" t="inlineStr">
        <is>
          <t>3_Comparateur_detaille</t>
        </is>
      </c>
      <c r="B300" s="6" t="inlineStr">
        <is>
          <t>ligne 61</t>
        </is>
      </c>
      <c r="C300" s="6" t="inlineStr">
        <is>
          <t>surq</t>
        </is>
      </c>
      <c r="D300" s="6" t="inlineStr">
        <is>
          <t>Trimestres de surcote</t>
        </is>
      </c>
      <c r="E300" s="6" t="inlineStr"/>
      <c r="F300" s="6" t="inlineStr">
        <is>
          <t>Calcul : MAX(0,MIN(ROUNDDOWN(({dep}-MAX({aod},{xd}))*4,0),ROUNDDOWN(({ydep}-2004)*4,0)))</t>
        </is>
      </c>
      <c r="G300" s="6" t="inlineStr">
        <is>
          <t>Calcul</t>
        </is>
      </c>
    </row>
    <row r="301">
      <c r="A301" s="6" t="inlineStr">
        <is>
          <t>3_Comparateur_detaille</t>
        </is>
      </c>
      <c r="B301" s="6" t="inlineStr">
        <is>
          <t>ligne 62</t>
        </is>
      </c>
      <c r="C301" s="6" t="inlineStr">
        <is>
          <t>rdur</t>
        </is>
      </c>
      <c r="D301" s="6" t="inlineStr">
        <is>
          <t>Durée réelle moyenne de carrière de sa génération (privé)</t>
        </is>
      </c>
      <c r="E301" s="6" t="inlineStr"/>
      <c r="F301" s="6" t="inlineStr">
        <is>
          <t>Calcul : SUMIFS(Donnees_generations[duree_reelle_moyenne_carriere],Donnees_generations[generation],MAX(1915,MIN(2025,{gen})))</t>
        </is>
      </c>
      <c r="G301" s="6" t="inlineStr">
        <is>
          <t>Calcul</t>
        </is>
      </c>
    </row>
    <row r="302">
      <c r="A302" s="6" t="inlineStr">
        <is>
          <t>3_Comparateur_detaille</t>
        </is>
      </c>
      <c r="B302" s="6" t="inlineStr">
        <is>
          <t>ligne 63</t>
        </is>
      </c>
      <c r="C302" s="6" t="inlineStr">
        <is>
          <t>coefp</t>
        </is>
      </c>
      <c r="D302" s="6" t="inlineStr">
        <is>
          <t>Coefficient de pension du régime (à salaire égal)</t>
        </is>
      </c>
      <c r="E302" s="6" t="inlineStr"/>
      <c r="F302" s="6" t="inlineStr">
        <is>
          <t>Calcul : SUMIFS(Donnees_regimes[coef_pension],Donnees_regimes[regime],{reg},Donnees_regimes[annee],{ydep})</t>
        </is>
      </c>
      <c r="G302" s="6" t="inlineStr">
        <is>
          <t>Calcul</t>
        </is>
      </c>
    </row>
    <row r="303">
      <c r="A303" s="6" t="inlineStr">
        <is>
          <t>3_Comparateur_detaille</t>
        </is>
      </c>
      <c r="B303" s="6" t="inlineStr">
        <is>
          <t>ligne 64</t>
        </is>
      </c>
      <c r="C303" s="6" t="inlineStr">
        <is>
          <t>fullp</t>
        </is>
      </c>
      <c r="D303" s="6" t="inlineStr">
        <is>
          <t>Pension d'une carrière complète dans le privé, la même année</t>
        </is>
      </c>
      <c r="E303" s="6" t="inlineStr"/>
      <c r="F303" s="127" t="inlineStr">
        <is>
          <t>Calcul : SUMIFS(Donnees_annuelles[pension_moyenne_nouveaux_retraites],Donnees_annuelles[annee],{ydep})*SUMIFS(Donnees_generations[duree_requise],Donnees_generations[generation],MAX(1915,MIN(2025,{gen})))/{rdur}</t>
        </is>
      </c>
      <c r="G303" s="6" t="inlineStr">
        <is>
          <t>Calcul</t>
        </is>
      </c>
    </row>
    <row r="304">
      <c r="A304" s="6" t="inlineStr">
        <is>
          <t>3_Comparateur_detaille</t>
        </is>
      </c>
      <c r="B304" s="6" t="inlineStr">
        <is>
          <t>ligne 65</t>
        </is>
      </c>
      <c r="C304" s="6" t="inlineStr">
        <is>
          <t>pension</t>
        </is>
      </c>
      <c r="D304" s="6" t="inlineStr">
        <is>
          <t>PENSION ANNUELLE ESTIMÉE</t>
        </is>
      </c>
      <c r="E304" s="6" t="inlineStr"/>
      <c r="F304" s="127" t="inlineStr">
        <is>
          <t>Calcul : IF({reg}="Privé",SUMIFS(Donnees_annuelles[pension_moyenne_nouveaux_retraites],Donnees_annuelles[annee],{ydep})*{mult}*MIN({valid}/4,{trim}/4)/{rdur}*(1-{miss}*{dec})*(1+{surq}*{sur}),{fullp}*{mult}*{coefp}*MIN(IF({bonq}&gt;0,0.8/0.75,1),({valid}+{bonq})/{trim})*(1-{miss}*{dec})*(1+{surq}*{sur}))</t>
        </is>
      </c>
      <c r="G304" s="6" t="inlineStr">
        <is>
          <t>Calcul</t>
        </is>
      </c>
    </row>
    <row r="305">
      <c r="A305" s="6" t="inlineStr">
        <is>
          <t>3_Comparateur_detaille</t>
        </is>
      </c>
      <c r="B305" s="6" t="inlineStr">
        <is>
          <t>ligne 66</t>
        </is>
      </c>
      <c r="C305" s="6" t="inlineStr">
        <is>
          <t>pension_m</t>
        </is>
      </c>
      <c r="D305" s="6" t="inlineStr">
        <is>
          <t>Pension mensuelle estimée</t>
        </is>
      </c>
      <c r="E305" s="6" t="inlineStr"/>
      <c r="F305" s="6" t="inlineStr">
        <is>
          <t>Calcul : {pension}/12</t>
        </is>
      </c>
      <c r="G305" s="6" t="inlineStr">
        <is>
          <t>Calcul</t>
        </is>
      </c>
    </row>
    <row r="306">
      <c r="A306" s="6" t="inlineStr">
        <is>
          <t>3_Comparateur_detaille</t>
        </is>
      </c>
      <c r="B306" s="6" t="inlineStr">
        <is>
          <t>ligne 67</t>
        </is>
      </c>
      <c r="C306" s="6" t="inlineStr">
        <is>
          <t>a0</t>
        </is>
      </c>
      <c r="D306" s="6" t="inlineStr">
        <is>
          <t>Âge pair de référence (tables INSEE)</t>
        </is>
      </c>
      <c r="E306" s="6" t="inlineStr"/>
      <c r="F306" s="6" t="inlineStr">
        <is>
          <t>Calcul : MIN(68,MAX(56,2*INT({dep}/2)))</t>
        </is>
      </c>
      <c r="G306" s="6" t="inlineStr">
        <is>
          <t>Calcul</t>
        </is>
      </c>
    </row>
    <row r="307">
      <c r="A307" s="6" t="inlineStr">
        <is>
          <t>3_Comparateur_detaille</t>
        </is>
      </c>
      <c r="B307" s="6" t="inlineStr">
        <is>
          <t>ligne 68</t>
        </is>
      </c>
      <c r="C307" s="6" t="inlineStr">
        <is>
          <t>ev0</t>
        </is>
      </c>
      <c r="D307" s="6" t="inlineStr">
        <is>
          <t>Espérance de vie à l'âge de référence</t>
        </is>
      </c>
      <c r="E307" s="6" t="inlineStr"/>
      <c r="F307" s="127" t="inlineStr">
        <is>
          <t>Calcul : IF({sexe}="H",CHOOSE(({a0}-56)/2+1,SUMIFS(Donnees_generations[esperance_vie_hommes_56],Donnees_generations[generation],MAX(1915,MIN(2025,{gen}))),SUMIFS(Donnees_generations[esperance_vie_hommes_58],Donnees_generations[generation],MAX(1915,MIN(2025,{gen}))),SUMIFS(Donnees_generations[esperance_vie_hommes_60],Donnees_generations[generation],MAX(1915,MIN(2025,{gen}))),SUMIFS(Donnees_generations[esperance_vie_hommes_62],Donnees_generations[generation],MAX(1915,MIN(2025,{gen}))),SUMIFS(Donnees_generations[esperance_vie_hommes_64],Donnees_generations[generation],MAX(1915,MIN(2025,{gen}))),SUMIFS(Donnees_generations[esperance_vie_hommes_66],Donnees_generations[generation],MAX(1915,MIN(2025,{gen}))),SUMIFS(Donnees_generations[esperance_vie_hommes_68],Donnees_generations[generation],MAX(1915,MIN(2025,{gen}))),SUMIFS(Donnees_generations[esperance_vie_hommes_70],Donnees_generations[generation],MAX(1915,MIN(2025,{gen})))),IF({sexe}="F",CHOOSE(({a0}-56)/2+1,SUMIFS(Donnees_generations[esperance_vie_femmes_56],Donnees_generations[generation],MAX(1915,MIN(2025,{gen}))),SUMIFS(Donnees_generations[esperance_vie_femmes_58],Donnees_generations[generation],MAX(1915,MIN(2025,{gen}))),SUMIFS(Donnees_generations[esperance_vie_femmes_60],Donnees_generations[generation],MAX(1915,MIN(2025,{gen}))),SUMIFS(Donnees_generations[esperance_vie_femmes_62],Donnees_generations[generation],MAX(1915,MIN(2025,{gen}))),SUMIFS(Donnees_generations[esperance_vie_femmes_64],Donnees_generations[generation],MAX(1915,MIN(2025,{gen}))),SUMIFS(Donnees_generations[esperance_vie_femmes_66],Donnees_generations[generation],MAX(1915,MIN(2025,{gen}))),SUMIFS(Donnees_generations[esperance_vie_femmes_68],Donnees_generations[generation],MAX(1915,MIN(2025,{gen}))),SUMIFS(Donnees_generations[esperance_vie_femmes_70],Donnees_generations[generation],MAX(1915,MIN(2025,{gen})))),(CHOOSE(({a0}-56)/2+1,SUMIFS(Donnees_generations[esperance_vie_hommes_56],Donnees_generations[generation],MAX(1915,MIN(2025,{gen}))),SUMIFS(Donnees_generations[esperance_vie_hommes_58],Donnees_generations[generation],MAX(1915,MIN(2025,{gen}))),SUMIFS(Donnees_generations[esperance_vie_hommes_60],Donnees_generations[generation],MAX(1915,MIN(2025,{gen}))),SUMIFS(Donnees_generations[esperance_vie_hommes_62],Donnees_generations[generation],MAX(1915,MIN(2025,{gen}))),SUMIFS(Donnees_generations[esperance_vie_hommes_64],Donnees_generations[generation],MAX(1915,MIN(2025,{gen}))),SUMIFS(Donnees_generations[esperance_vie_hommes_66],Donnees_generations[generation],MAX(1915,MIN(2025,{gen}))),SUMIFS(Donnees_generations[esperance_vie_hommes_68],Donnees_generations[generation],MAX(1915,MIN(2025,{gen}))),SUMIFS(Donnees_generations[esperance_vie_hommes_70],Donnees_generations[generation],MAX(1915,MIN(2025,{gen}))))+CHOOSE(({a0}-56)/2+1,SUMIFS(Donnees_generations[esperance_vie_femmes_56],Donnees_generations[generation],MAX(1915,MIN(2025,{gen}))),SUMIFS(Donnees_generations[esperance_vie_femmes_58],Donnees_generations[generation],MAX(1915,MIN(2025,{gen}))),SUMIFS(Donnees_generations[esperance_vie_femmes_60],Donnees_generations[generation],MAX(1915,MIN(2025,{gen}))),SUMIFS(Donnees_generations[esperance_vie_femmes_62],Donnees_generations[generation],MAX(1915,MIN(2025,{gen}))),SUMIFS(Donnees_generations[esperance_vie_femmes_64],Donnees_generations[generation],MAX(1915,MIN(2025,{gen}))),SUMIFS(Donnees_generations[esperance_vie_femmes_66],Donnees_generations[generation],MAX(1915,MIN(2025,{gen}))),SUMIFS(Donnees_generations[esperance_vie_femmes_68],Donnees_generations[generation],MAX(1915,MIN(2025,{gen}))),SUMIFS(Donnees_generations[esperance_vie_femmes_70],Donnees_generations[generation],MAX(1915,MIN(2025,{gen})))))/2))</t>
        </is>
      </c>
      <c r="G307" s="6" t="inlineStr">
        <is>
          <t>Calcul</t>
        </is>
      </c>
    </row>
    <row r="308">
      <c r="A308" s="6" t="inlineStr">
        <is>
          <t>3_Comparateur_detaille</t>
        </is>
      </c>
      <c r="B308" s="6" t="inlineStr">
        <is>
          <t>ligne 69</t>
        </is>
      </c>
      <c r="C308" s="6" t="inlineStr">
        <is>
          <t>ev2</t>
        </is>
      </c>
      <c r="D308" s="6" t="inlineStr">
        <is>
          <t>Espérance de vie à l'âge de référence + 2</t>
        </is>
      </c>
      <c r="E308" s="6" t="inlineStr"/>
      <c r="F308" s="127" t="inlineStr">
        <is>
          <t>Calcul : IF({sexe}="H",CHOOSE((({a0}+2)-56)/2+1,SUMIFS(Donnees_generations[esperance_vie_hommes_56],Donnees_generations[generation],MAX(1915,MIN(2025,{gen}))),SUMIFS(Donnees_generations[esperance_vie_hommes_58],Donnees_generations[generation],MAX(1915,MIN(2025,{gen}))),SUMIFS(Donnees_generations[esperance_vie_hommes_60],Donnees_generations[generation],MAX(1915,MIN(2025,{gen}))),SUMIFS(Donnees_generations[esperance_vie_hommes_62],Donnees_generations[generation],MAX(1915,MIN(2025,{gen}))),SUMIFS(Donnees_generations[esperance_vie_hommes_64],Donnees_generations[generation],MAX(1915,MIN(2025,{gen}))),SUMIFS(Donnees_generations[esperance_vie_hommes_66],Donnees_generations[generation],MAX(1915,MIN(2025,{gen}))),SUMIFS(Donnees_generations[esperance_vie_hommes_68],Donnees_generations[generation],MAX(1915,MIN(2025,{gen}))),SUMIFS(Donnees_generations[esperance_vie_hommes_70],Donnees_generations[generation],MAX(1915,MIN(2025,{gen})))),IF({sexe}="F",CHOOSE((({a0}+2)-56)/2+1,SUMIFS(Donnees_generations[esperance_vie_femmes_56],Donnees_generations[generation],MAX(1915,MIN(2025,{gen}))),SUMIFS(Donnees_generations[esperance_vie_femmes_58],Donnees_generations[generation],MAX(1915,MIN(2025,{gen}))),SUMIFS(Donnees_generations[esperance_vie_femmes_60],Donnees_generations[generation],MAX(1915,MIN(2025,{gen}))),SUMIFS(Donnees_generations[esperance_vie_femmes_62],Donnees_generations[generation],MAX(1915,MIN(2025,{gen}))),SUMIFS(Donnees_generations[esperance_vie_femmes_64],Donnees_generations[generation],MAX(1915,MIN(2025,{gen}))),SUMIFS(Donnees_generations[esperance_vie_femmes_66],Donnees_generations[generation],MAX(1915,MIN(2025,{gen}))),SUMIFS(Donnees_generations[esperance_vie_femmes_68],Donnees_generations[generation],MAX(1915,MIN(2025,{gen}))),SUMIFS(Donnees_generations[esperance_vie_femmes_70],Donnees_generations[generation],MAX(1915,MIN(2025,{gen})))),(CHOOSE((({a0}+2)-56)/2+1,SUMIFS(Donnees_generations[esperance_vie_hommes_56],Donnees_generations[generation],MAX(1915,MIN(2025,{gen}))),SUMIFS(Donnees_generations[esperance_vie_hommes_58],Donnees_generations[generation],MAX(1915,MIN(2025,{gen}))),SUMIFS(Donnees_generations[esperance_vie_hommes_60],Donnees_generations[generation],MAX(1915,MIN(2025,{gen}))),SUMIFS(Donnees_generations[esperance_vie_hommes_62],Donnees_generations[generation],MAX(1915,MIN(2025,{gen}))),SUMIFS(Donnees_generations[esperance_vie_hommes_64],Donnees_generations[generation],MAX(1915,MIN(2025,{gen}))),SUMIFS(Donnees_generations[esperance_vie_hommes_66],Donnees_generations[generation],MAX(1915,MIN(2025,{gen}))),SUMIFS(Donnees_generations[esperance_vie_hommes_68],Donnees_generations[generation],MAX(1915,MIN(2025,{gen}))),SUMIFS(Donnees_generations[esperance_vie_hommes_70],Donnees_generations[generation],MAX(1915,MIN(2025,{gen}))))+CHOOSE((({a0}+2)-56)/2+1,SUMIFS(Donnees_generations[esperance_vie_femmes_56],Donnees_generations[generation],MAX(1915,MIN(2025,{gen}))),SUMIFS(Donnees_generations[esperance_vie_femmes_58],Donnees_generations[generation],MAX(1915,MIN(2025,{gen}))),SUMIFS(Donnees_generations[esperance_vie_femmes_60],Donnees_generations[generation],MAX(1915,MIN(2025,{gen}))),SUMIFS(Donnees_generations[esperance_vie_femmes_62],Donnees_generations[generation],MAX(1915,MIN(2025,{gen}))),SUMIFS(Donnees_generations[esperance_vie_femmes_64],Donnees_generations[generation],MAX(1915,MIN(2025,{gen}))),SUMIFS(Donnees_generations[esperance_vie_femmes_66],Donnees_generations[generation],MAX(1915,MIN(2025,{gen}))),SUMIFS(Donnees_generations[esperance_vie_femmes_68],Donnees_generations[generation],MAX(1915,MIN(2025,{gen}))),SUMIFS(Donnees_generations[esperance_vie_femmes_70],Donnees_generations[generation],MAX(1915,MIN(2025,{gen})))))/2))</t>
        </is>
      </c>
      <c r="G308" s="6" t="inlineStr">
        <is>
          <t>Calcul</t>
        </is>
      </c>
    </row>
    <row r="309">
      <c r="A309" s="6" t="inlineStr">
        <is>
          <t>3_Comparateur_detaille</t>
        </is>
      </c>
      <c r="B309" s="6" t="inlineStr">
        <is>
          <t>ligne 70</t>
        </is>
      </c>
      <c r="C309" s="6" t="inlineStr">
        <is>
          <t>retr</t>
        </is>
      </c>
      <c r="D309" s="6" t="inlineStr">
        <is>
          <t>DURÉE MOYENNE DE RETRAITE (années)</t>
        </is>
      </c>
      <c r="E309" s="6" t="inlineStr"/>
      <c r="F309" s="6" t="inlineStr">
        <is>
          <t>Calcul : MAX(0,{ev0}+({ev2}-{ev0})*({dep}-{a0})/2)</t>
        </is>
      </c>
      <c r="G309" s="6" t="inlineStr">
        <is>
          <t>Calcul</t>
        </is>
      </c>
    </row>
    <row r="310">
      <c r="A310" s="6" t="inlineStr">
        <is>
          <t>3_Comparateur_detaille</t>
        </is>
      </c>
      <c r="B310" s="6" t="inlineStr">
        <is>
          <t>ligne 71</t>
        </is>
      </c>
      <c r="C310" s="6" t="inlineStr">
        <is>
          <t>pens_tot</t>
        </is>
      </c>
      <c r="D310" s="6" t="inlineStr">
        <is>
          <t>PENSIONS TOTALES REÇUES</t>
        </is>
      </c>
      <c r="E310" s="6" t="inlineStr"/>
      <c r="F310" s="6" t="inlineStr">
        <is>
          <t>Calcul : {pension}*{retr}</t>
        </is>
      </c>
      <c r="G310" s="6" t="inlineStr">
        <is>
          <t>Calcul</t>
        </is>
      </c>
    </row>
    <row r="311">
      <c r="A311" s="6" t="inlineStr">
        <is>
          <t>3_Comparateur_detaille</t>
        </is>
      </c>
      <c r="B311" s="6" t="inlineStr">
        <is>
          <t>ligne 73</t>
        </is>
      </c>
      <c r="C311" s="6" t="inlineStr">
        <is>
          <t>cot_eur</t>
        </is>
      </c>
      <c r="D311" s="6" t="inlineStr">
        <is>
          <t>COTISATIONS VERSÉES POUR RECEVOIR 1 € DE PENSION</t>
        </is>
      </c>
      <c r="E311" s="6" t="inlineStr"/>
      <c r="F311" s="6" t="inlineStr">
        <is>
          <t>Calcul : IF({pens_tot}=0,0,{cot}/{pens_tot})</t>
        </is>
      </c>
      <c r="G311" s="6" t="inlineStr">
        <is>
          <t>Calcul</t>
        </is>
      </c>
    </row>
    <row r="312">
      <c r="A312" s="6" t="inlineStr">
        <is>
          <t>3_Comparateur_detaille</t>
        </is>
      </c>
      <c r="B312" s="6" t="inlineStr">
        <is>
          <t>ligne 74</t>
        </is>
      </c>
      <c r="C312" s="6" t="inlineStr">
        <is>
          <t>subv_eur</t>
        </is>
      </c>
      <c r="D312" s="6" t="inlineStr">
        <is>
          <t>Argent public (impôts et taxes) ajouté pour 1 € de pension</t>
        </is>
      </c>
      <c r="E312" s="6" t="inlineStr"/>
      <c r="F312" s="6" t="inlineStr">
        <is>
          <t>Calcul : IF({pens_tot}=0,0,{subv}/{pens_tot})</t>
        </is>
      </c>
      <c r="G312" s="6" t="inlineStr">
        <is>
          <t>Calcul</t>
        </is>
      </c>
    </row>
    <row r="313">
      <c r="A313" s="6" t="inlineStr">
        <is>
          <t>3_Comparateur_detaille</t>
        </is>
      </c>
      <c r="B313" s="6" t="inlineStr">
        <is>
          <t>ligne 75</t>
        </is>
      </c>
      <c r="C313" s="6" t="inlineStr">
        <is>
          <t>subv_part</t>
        </is>
      </c>
      <c r="D313" s="6" t="inlineStr">
        <is>
          <t>Part de l'argent public dans le financement de la carrière</t>
        </is>
      </c>
      <c r="E313" s="6" t="inlineStr"/>
      <c r="F313" s="6" t="inlineStr">
        <is>
          <t>Calcul : IF({cot}+{subv}=0,0,{subv}/({cot}+{subv}))</t>
        </is>
      </c>
      <c r="G313" s="6" t="inlineStr">
        <is>
          <t>Calcul</t>
        </is>
      </c>
    </row>
    <row r="314">
      <c r="A314" s="6" t="inlineStr">
        <is>
          <t>3_Comparateur_detaille</t>
        </is>
      </c>
      <c r="B314" s="6" t="inlineStr">
        <is>
          <t>ligne 76</t>
        </is>
      </c>
      <c r="C314" s="6" t="inlineStr">
        <is>
          <t>ret100</t>
        </is>
      </c>
      <c r="D314" s="6" t="inlineStr">
        <is>
          <t>Pensions reçues pour 100 € cotisés</t>
        </is>
      </c>
      <c r="E314" s="6" t="inlineStr"/>
      <c r="F314" s="6" t="inlineStr">
        <is>
          <t>Calcul : IF({cot}=0,0,{pens_tot}/{cot}*100)</t>
        </is>
      </c>
      <c r="G314" s="6" t="inlineStr">
        <is>
          <t>Calcul</t>
        </is>
      </c>
    </row>
    <row r="315">
      <c r="A315" s="6" t="inlineStr">
        <is>
          <t>3_Comparateur_detaille</t>
        </is>
      </c>
      <c r="B315" s="6" t="inlineStr">
        <is>
          <t>ligne 77</t>
        </is>
      </c>
      <c r="C315" s="6" t="inlineStr">
        <is>
          <t>h_1000</t>
        </is>
      </c>
      <c r="D315" s="6" t="inlineStr">
        <is>
          <t>Heures de travail pour 1 000 € de pension</t>
        </is>
      </c>
      <c r="E315" s="6" t="inlineStr"/>
      <c r="F315" s="6" t="inlineStr">
        <is>
          <t>Calcul : IF({pens_tot}=0,0,{hours}/{pens_tot}*1000)</t>
        </is>
      </c>
      <c r="G315" s="6" t="inlineStr">
        <is>
          <t>Calcul</t>
        </is>
      </c>
    </row>
    <row r="316">
      <c r="A316" s="6" t="inlineStr">
        <is>
          <t>3_Comparateur_detaille</t>
        </is>
      </c>
      <c r="B316" s="6" t="inlineStr">
        <is>
          <t>ligne 79</t>
        </is>
      </c>
      <c r="C316" s="6" t="inlineStr">
        <is>
          <t>capT</t>
        </is>
      </c>
      <c r="D316" s="6" t="inlineStr">
        <is>
          <t>Année où le capital est évalué (veille du départ)</t>
        </is>
      </c>
      <c r="E316" s="6" t="inlineStr"/>
      <c r="F316" s="6" t="inlineStr">
        <is>
          <t>Calcul : MAX({last},{ydep}-1)</t>
        </is>
      </c>
      <c r="G316" s="6" t="inlineStr">
        <is>
          <t>Calcul</t>
        </is>
      </c>
    </row>
    <row r="317">
      <c r="A317" s="6" t="inlineStr">
        <is>
          <t>3_Comparateur_detaille</t>
        </is>
      </c>
      <c r="B317" s="6" t="inlineStr">
        <is>
          <t>ligne 80</t>
        </is>
      </c>
      <c r="C317" s="6" t="inlineStr">
        <is>
          <t>cap</t>
        </is>
      </c>
      <c r="D317" s="6" t="inlineStr">
        <is>
          <t>Capital si ces mêmes cotisations avaient été placées chaque mois en actions (dividendes réinvestis, € 2026)</t>
        </is>
      </c>
      <c r="E317" s="6" t="inlineStr"/>
      <c r="F317" s="127" t="inlineStr">
        <is>
          <t>Calcul : SUMIFS(Donnees_annuelles[page3_cap_dividendes_profil_A/B],Donnees_annuelles[annee],"&gt;="&amp;{start},Donnees_annuelles[annee],"&lt;="&amp;{last})*{fwork}*SUMIFS(Donnees_annuelles[indice_dividendes_fin_annee],Donnees_annuelles[annee],{capT})*SUMIFS(Donnees_annuelles[coef_nominal],Donnees_annuelles[annee],{capT})</t>
        </is>
      </c>
      <c r="G317" s="6" t="inlineStr">
        <is>
          <t>Calcul</t>
        </is>
      </c>
    </row>
    <row r="318">
      <c r="A318" s="6" t="inlineStr">
        <is>
          <t>3_Comparateur_detaille</t>
        </is>
      </c>
      <c r="B318" s="6" t="inlineStr">
        <is>
          <t>ligne 81</t>
        </is>
      </c>
      <c r="C318" s="6" t="inlineStr">
        <is>
          <t>cap_mult</t>
        </is>
      </c>
      <c r="D318" s="6" t="inlineStr">
        <is>
          <t>Capital ÷ cotisations versées</t>
        </is>
      </c>
      <c r="E318" s="6" t="inlineStr"/>
      <c r="F318" s="6" t="inlineStr">
        <is>
          <t>Calcul : IF({cot}=0,0,{cap}/{cot})</t>
        </is>
      </c>
      <c r="G318" s="6" t="inlineStr">
        <is>
          <t>Calcul</t>
        </is>
      </c>
    </row>
    <row r="319">
      <c r="A319" s="6" t="inlineStr">
        <is>
          <t>3_Comparateur_detaille</t>
        </is>
      </c>
      <c r="B319" s="6" t="inlineStr">
        <is>
          <t>ligne 82</t>
        </is>
      </c>
      <c r="C319" s="6" t="inlineStr">
        <is>
          <t>rep_tot</t>
        </is>
      </c>
      <c r="D319" s="6" t="inlineStr">
        <is>
          <t>Répartition : pensions totales reçues pendant la retraite (€ 2026)</t>
        </is>
      </c>
      <c r="E319" s="6" t="inlineStr"/>
      <c r="F319" s="6" t="inlineStr">
        <is>
          <t>Calcul : {pens_tot}</t>
        </is>
      </c>
      <c r="G319" s="6" t="inlineStr">
        <is>
          <t>Calcul</t>
        </is>
      </c>
    </row>
    <row r="320">
      <c r="A320" s="6" t="inlineStr">
        <is>
          <t>3_Comparateur_detaille</t>
        </is>
      </c>
      <c r="B320" s="6" t="inlineStr">
        <is>
          <t>ligne 83</t>
        </is>
      </c>
      <c r="C320" s="6" t="inlineStr">
        <is>
          <t>cap_vs_rep</t>
        </is>
      </c>
      <c r="D320" s="6" t="inlineStr">
        <is>
          <t>EN PLUS (+) OU EN MOINS (−) AVEC LA CAPITALISATION, sur toute la retraite (€ 2026)</t>
        </is>
      </c>
      <c r="E320" s="6" t="inlineStr"/>
      <c r="F320" s="6" t="inlineStr">
        <is>
          <t>Calcul : {cap}-{pens_tot}</t>
        </is>
      </c>
      <c r="G320" s="6" t="inlineStr">
        <is>
          <t>Calcul</t>
        </is>
      </c>
    </row>
    <row r="321">
      <c r="A321" s="6" t="inlineStr">
        <is>
          <t>3_Comparateur_detaille</t>
        </is>
      </c>
      <c r="B321" s="6" t="inlineStr">
        <is>
          <t>ligne 84</t>
        </is>
      </c>
      <c r="C321" s="6" t="inlineStr">
        <is>
          <t>cap_vs_rep_pct</t>
        </is>
      </c>
      <c r="D321" s="6" t="inlineStr">
        <is>
          <t>Écart capitalisation / répartition</t>
        </is>
      </c>
      <c r="E321" s="6" t="inlineStr"/>
      <c r="F321" s="6" t="inlineStr">
        <is>
          <t>Calcul : IF({pens_tot}=0,0,{cap}/{pens_tot}-1)</t>
        </is>
      </c>
      <c r="G321" s="6" t="inlineStr">
        <is>
          <t>Calcul</t>
        </is>
      </c>
    </row>
    <row r="322">
      <c r="A322" s="6" t="inlineStr">
        <is>
          <t>3_Comparateur_detaille</t>
        </is>
      </c>
      <c r="B322" s="6" t="inlineStr">
        <is>
          <t>ligne 85</t>
        </is>
      </c>
      <c r="C322" s="6" t="inlineStr">
        <is>
          <t>rente_m</t>
        </is>
      </c>
      <c r="D322" s="6" t="inlineStr">
        <is>
          <t>Capitalisation : revenu mensuel pendant la retraite (capital réparti sur la durée de retraite, € 2026)</t>
        </is>
      </c>
      <c r="E322" s="6" t="inlineStr"/>
      <c r="F322" s="6" t="inlineStr">
        <is>
          <t>Calcul : IF({retr}=0,0,{cap}/{retr}/12)</t>
        </is>
      </c>
      <c r="G322" s="6" t="inlineStr">
        <is>
          <t>Calcul</t>
        </is>
      </c>
    </row>
    <row r="323">
      <c r="A323" s="6" t="inlineStr">
        <is>
          <t>3_Comparateur_detaille</t>
        </is>
      </c>
      <c r="B323" s="6" t="inlineStr">
        <is>
          <t>ligne 86</t>
        </is>
      </c>
      <c r="C323" s="6" t="inlineStr">
        <is>
          <t>rep_m</t>
        </is>
      </c>
      <c r="D323" s="6" t="inlineStr">
        <is>
          <t>Répartition : pension mensuelle (€ 2026)</t>
        </is>
      </c>
      <c r="E323" s="6" t="inlineStr"/>
      <c r="F323" s="6" t="inlineStr">
        <is>
          <t>Calcul : {pension_m}</t>
        </is>
      </c>
      <c r="G323" s="6" t="inlineStr">
        <is>
          <t>Calcul</t>
        </is>
      </c>
    </row>
    <row r="324">
      <c r="A324" s="6" t="inlineStr">
        <is>
          <t>3_Comparateur_detaille</t>
        </is>
      </c>
      <c r="B324" s="6" t="inlineStr">
        <is>
          <t>ligne 87</t>
        </is>
      </c>
      <c r="C324" s="6" t="inlineStr">
        <is>
          <t>rente_vs_rep_m</t>
        </is>
      </c>
      <c r="D324" s="6" t="inlineStr">
        <is>
          <t>En plus (+) ou en moins (−) chaque mois avec la capitalisation (€ 2026)</t>
        </is>
      </c>
      <c r="E324" s="6" t="inlineStr"/>
      <c r="F324" s="6" t="inlineStr">
        <is>
          <t>Calcul : {rente_m}-{pension_m}</t>
        </is>
      </c>
      <c r="G324" s="6" t="inlineStr">
        <is>
          <t>Calcul</t>
        </is>
      </c>
    </row>
    <row r="325">
      <c r="A325" s="6" t="inlineStr">
        <is>
          <t>3_Comparateur_detaille</t>
        </is>
      </c>
      <c r="B325" s="6" t="inlineStr">
        <is>
          <t>ligne 88</t>
        </is>
      </c>
      <c r="C325" s="6" t="inlineStr">
        <is>
          <t>cap_px</t>
        </is>
      </c>
      <c r="D325" s="6" t="inlineStr">
        <is>
          <t>Pour mémoire : capital avec le cours seul, sans les dividendes (€ 2026)</t>
        </is>
      </c>
      <c r="E325" s="6" t="inlineStr"/>
      <c r="F325" s="127" t="inlineStr">
        <is>
          <t>Calcul : SUMIFS(Donnees_annuelles[page3_cap_cours_profil_A/B],Donnees_annuelles[annee],"&gt;="&amp;{start},Donnees_annuelles[annee],"&lt;="&amp;{last})*{fwork}*SUMIFS(Donnees_annuelles[indice_cours_fin_annee],Donnees_annuelles[annee],{capT})*SUMIFS(Donnees_annuelles[coef_nominal],Donnees_annuelles[annee],{capT})</t>
        </is>
      </c>
      <c r="G325" s="6" t="inlineStr">
        <is>
          <t>Calcul</t>
        </is>
      </c>
    </row>
    <row r="326">
      <c r="A326" s="6" t="inlineStr">
        <is>
          <t>3_Comparateur_detaille</t>
        </is>
      </c>
      <c r="B326" s="6" t="inlineStr">
        <is>
          <t>ligne 89</t>
        </is>
      </c>
      <c r="C326" s="6" t="inlineStr">
        <is>
          <t>cap_px_vs_rep</t>
        </is>
      </c>
      <c r="D326" s="6" t="inlineStr">
        <is>
          <t>Pour mémoire : en plus ou en moins avec le cours seul (€ 2026)</t>
        </is>
      </c>
      <c r="E326" s="6" t="inlineStr"/>
      <c r="F326" s="6" t="inlineStr">
        <is>
          <t>Calcul : {cap_px}-{pens_tot}</t>
        </is>
      </c>
      <c r="G326" s="6" t="inlineStr">
        <is>
          <t>Calcul</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124"/>
  <sheetViews>
    <sheetView workbookViewId="0">
      <selection activeCell="A1" sqref="A1"/>
    </sheetView>
  </sheetViews>
  <sheetFormatPr baseColWidth="8" defaultRowHeight="15"/>
  <cols>
    <col width="40" customWidth="1" min="1" max="1"/>
    <col width="70" customWidth="1" min="2" max="2"/>
    <col width="95" customWidth="1" min="3" max="3"/>
  </cols>
  <sheetData>
    <row r="1">
      <c r="A1" s="1" t="inlineStr">
        <is>
          <t>Sources</t>
        </is>
      </c>
    </row>
    <row r="3">
      <c r="A3" s="5" t="inlineStr">
        <is>
          <t>Donnée</t>
        </is>
      </c>
      <c r="B3" s="5" t="inlineStr">
        <is>
          <t>Source</t>
        </is>
      </c>
      <c r="C3" s="5" t="inlineStr">
        <is>
          <t>Lien</t>
        </is>
      </c>
    </row>
    <row r="4">
      <c r="A4" s="6" t="inlineStr">
        <is>
          <t>Taux de cotisation vieillesse du privé 1945-2026</t>
        </is>
      </c>
      <c r="B4" s="6" t="inlineStr">
        <is>
          <t>Barèmes IPP / OpenFisca-France (prélèvements sociaux)</t>
        </is>
      </c>
      <c r="C4" s="127" t="inlineStr">
        <is>
          <t>https://www.ipp.eu/baremes-ipp/prelevements-sociaux/</t>
        </is>
      </c>
    </row>
    <row r="5">
      <c r="A5" s="6" t="inlineStr">
        <is>
          <t>Règles de retraite par génération (privé, fonction publique)</t>
        </is>
      </c>
      <c r="B5" s="6" t="inlineStr">
        <is>
          <t>OpenFisca-France Pension (paramètres IPP)</t>
        </is>
      </c>
      <c r="C5" s="127" t="inlineStr">
        <is>
          <t>https://github.com/openfisca/openfisca-france-pension</t>
        </is>
      </c>
    </row>
    <row r="6">
      <c r="A6" s="6" t="inlineStr">
        <is>
          <t>Suspension de la réforme 2023</t>
        </is>
      </c>
      <c r="B6" s="6" t="inlineStr">
        <is>
          <t>LFSS 2026 (loi 2025-1403) — KPMG Avocats ; Previssima</t>
        </is>
      </c>
      <c r="C6" s="127" t="inlineStr">
        <is>
          <t>https://kpmg.com/av/fr/avocats/eclairages/2026/01/loi-de-financement-de-la-securite-sociale-pour-2026.html</t>
        </is>
      </c>
    </row>
    <row r="7">
      <c r="A7" s="6" t="inlineStr">
        <is>
          <t>Carrières longues</t>
        </is>
      </c>
      <c r="B7" s="6" t="inlineStr">
        <is>
          <t>L'Assurance retraite</t>
        </is>
      </c>
      <c r="C7" s="127" t="inlineStr">
        <is>
          <t>https://www.lassuranceretraite.fr/portail-info/portail-info/home/actif/je-souhaite-partir-plus-tot/carriere-longue-retraite.html</t>
        </is>
      </c>
    </row>
    <row r="8">
      <c r="A8" s="6" t="inlineStr">
        <is>
          <t>Salaire net moyen, temps complet, privé</t>
        </is>
      </c>
      <c r="B8" s="6" t="inlineStr">
        <is>
          <t>INSEE, série 010752366</t>
        </is>
      </c>
      <c r="C8" s="127" t="inlineStr">
        <is>
          <t>https://www.insee.fr/fr/statistiques/serie/010752366</t>
        </is>
      </c>
    </row>
    <row r="9">
      <c r="A9" s="6" t="inlineStr">
        <is>
          <t>Coefficients euros constants</t>
        </is>
      </c>
      <c r="B9" s="6" t="inlineStr">
        <is>
          <t>INSEE, série 011813530 (convertisseur franc-euro)</t>
        </is>
      </c>
      <c r="C9" s="127" t="inlineStr">
        <is>
          <t>https://www.insee.fr/fr/statistiques/serie/011813530</t>
        </is>
      </c>
    </row>
    <row r="10">
      <c r="A10" s="6" t="inlineStr">
        <is>
          <t>Hausse des salaires 2025-2026</t>
        </is>
      </c>
      <c r="B10" s="6" t="inlineStr">
        <is>
          <t>INSEE, note de conjoncture de mars 2026</t>
        </is>
      </c>
      <c r="C10" s="127" t="inlineStr">
        <is>
          <t>https://www.insee.fr/fr/statistiques/fichier/8907437/ndc-mars-2026-salaires.pdf</t>
        </is>
      </c>
    </row>
    <row r="11">
      <c r="A11" s="6" t="inlineStr">
        <is>
          <t>Inflation 2026</t>
        </is>
      </c>
      <c r="B11" s="6" t="inlineStr">
        <is>
          <t>INSEE, indice des prix, août 2026</t>
        </is>
      </c>
      <c r="C11" s="127" t="inlineStr">
        <is>
          <t>https://www.insee.fr/fr/statistiques/9051406</t>
        </is>
      </c>
    </row>
    <row r="12">
      <c r="A12" s="6" t="inlineStr">
        <is>
          <t>Durée hebdomadaire réelle 1983-2025</t>
        </is>
      </c>
      <c r="B12" s="6" t="inlineStr">
        <is>
          <t>Eurostat, lfsa_ewhuis</t>
        </is>
      </c>
      <c r="C12" s="127" t="inlineStr">
        <is>
          <t>https://ec.europa.eu/eurostat/databrowser/view/lfsa_ewhuis/default/table</t>
        </is>
      </c>
    </row>
    <row r="13">
      <c r="A13" s="6" t="inlineStr">
        <is>
          <t>Durée du travail avant 1983</t>
        </is>
      </c>
      <c r="B13" s="6" t="inlineStr">
        <is>
          <t>INSEE Première n° 1273 ; JSSP 1964</t>
        </is>
      </c>
      <c r="C13" s="127" t="inlineStr">
        <is>
          <t>https://www.insee.fr/fr/statistiques/1281175</t>
        </is>
      </c>
    </row>
    <row r="14">
      <c r="A14" s="6" t="inlineStr">
        <is>
          <t>Durée réelle moyenne de carrière</t>
        </is>
      </c>
      <c r="B14" s="6" t="inlineStr">
        <is>
          <t>PQE Retraites (indicateur 2.8) ; OFCE (2025)</t>
        </is>
      </c>
      <c r="C14" s="127" t="inlineStr">
        <is>
          <t>https://www.ofce.fr/blog2024/fr/2025/20250903_BC/</t>
        </is>
      </c>
    </row>
    <row r="15">
      <c r="A15" s="6" t="inlineStr">
        <is>
          <t>Âge moyen réel de départ</t>
        </is>
      </c>
      <c r="B15" s="6" t="inlineStr">
        <is>
          <t>IPP (2023) ; COR</t>
        </is>
      </c>
      <c r="C15" s="127" t="inlineStr">
        <is>
          <t>https://blog.ipp.eu/2023/02/11/age-de-depart-a-la-retraite-en-perspective-historique/</t>
        </is>
      </c>
    </row>
    <row r="16">
      <c r="A16" s="6" t="inlineStr">
        <is>
          <t>Pensions moyennes 2004-2024</t>
        </is>
      </c>
      <c r="B16" s="6" t="inlineStr">
        <is>
          <t>DREES, EACR enrichie ANCETRE (26/05/2026)</t>
        </is>
      </c>
      <c r="C16" s="127" t="inlineStr">
        <is>
          <t>https://data.drees.solidarites-sante.gouv.fr/explore/dataset/donnes_eacr/information/</t>
        </is>
      </c>
    </row>
    <row r="17">
      <c r="A17" s="6" t="inlineStr">
        <is>
          <t>Pension par génération</t>
        </is>
      </c>
      <c r="B17" s="6" t="inlineStr">
        <is>
          <t>PQE Retraites, niveau des pensions</t>
        </is>
      </c>
      <c r="C17" s="127" t="inlineStr">
        <is>
          <t>https://evaluation.securite-sociale.fr/home/retraite/1-9-niveau-des-pensions-par-sexe.html</t>
        </is>
      </c>
    </row>
    <row r="18">
      <c r="A18" s="6" t="inlineStr">
        <is>
          <t>Projection de la pension relative</t>
        </is>
      </c>
      <c r="B18" s="6" t="inlineStr">
        <is>
          <t>COR</t>
        </is>
      </c>
      <c r="C18" s="127" t="inlineStr">
        <is>
          <t>https://www.cor-retraites.fr/sites/default/files/2023-01/Doc_04_%C3%89vol_pens_relative.pdf</t>
        </is>
      </c>
    </row>
    <row r="19">
      <c r="A19" s="6" t="inlineStr">
        <is>
          <t>Espérance de vie par génération</t>
        </is>
      </c>
      <c r="B19" s="6" t="inlineStr">
        <is>
          <t>INSEE, tables de mortalité par génération (2022)</t>
        </is>
      </c>
      <c r="C19" s="127" t="inlineStr">
        <is>
          <t>https://www.insee.fr/fr/statistiques/6543678?sommaire=6543680</t>
        </is>
      </c>
    </row>
    <row r="20">
      <c r="A20" s="6" t="inlineStr">
        <is>
          <t>Taux de remplacement des cas types</t>
        </is>
      </c>
      <c r="B20" s="6" t="inlineStr">
        <is>
          <t>COR, actualisation des cas types du privé et du public (2023)</t>
        </is>
      </c>
      <c r="C20" s="127" t="inlineStr">
        <is>
          <t>https://www.cor-retraites.fr/sites/default/files/2023-05/2.%20Actualisation%20cas%20priv%C3%A9-public_25.05.2023.pdf</t>
        </is>
      </c>
    </row>
    <row r="21">
      <c r="A21" s="6" t="inlineStr">
        <is>
          <t>Régimes publics : règles et taux</t>
        </is>
      </c>
      <c r="B21" s="6" t="inlineStr">
        <is>
          <t>openfisca-france - parameters cotisations_secteur_public</t>
        </is>
      </c>
      <c r="C21" s="127" t="inlineStr">
        <is>
          <t>https://github.com/openfisca/openfisca-france</t>
        </is>
      </c>
    </row>
    <row r="22">
      <c r="A22" s="6" t="inlineStr">
        <is>
          <t>Régimes publics : règles et taux</t>
        </is>
      </c>
      <c r="B22" s="6" t="inlineStr">
        <is>
          <t>CNRACL doc. juridique - historique des taux</t>
        </is>
      </c>
      <c r="C22" s="127" t="inlineStr">
        <is>
          <t>https://www.juris-cnracl.retraites.fr/cotisations/taux-de-cotisations/historique-des-taux-applicables</t>
        </is>
      </c>
    </row>
    <row r="23">
      <c r="A23" s="6" t="inlineStr">
        <is>
          <t>Régimes publics : règles et taux</t>
        </is>
      </c>
      <c r="B23" s="6" t="inlineStr">
        <is>
          <t>CNRACL doc. juridique - décote paramètres</t>
        </is>
      </c>
      <c r="C23" s="127" t="inlineStr">
        <is>
          <t>https://www.juris-cnracl.retraites.fr/pension-normale/duree-dassurance-decote-et-surcote/calcul-de-la-decote/decote-parametres-de-calcul-maintien-de-lancienne-reglementation</t>
        </is>
      </c>
    </row>
    <row r="24">
      <c r="A24" s="6" t="inlineStr">
        <is>
          <t>Régimes publics : règles et taux</t>
        </is>
      </c>
      <c r="B24" s="6" t="inlineStr">
        <is>
          <t>Décret 2025-86 (CNRACL employeur 2025-2028)</t>
        </is>
      </c>
      <c r="C24" s="127" t="inlineStr">
        <is>
          <t>https://www.legifrance.gouv.fr/jorf/id/JORFTEXT000051070354</t>
        </is>
      </c>
    </row>
    <row r="25">
      <c r="A25" s="6" t="inlineStr">
        <is>
          <t>Régimes publics : règles et taux</t>
        </is>
      </c>
      <c r="B25" s="6" t="inlineStr">
        <is>
          <t>Décret 2025-61 (CAS Pensions 78,28 %)</t>
        </is>
      </c>
      <c r="C25" s="127" t="inlineStr">
        <is>
          <t>https://www.legifrance.gouv.fr/jorf/id/JORFTEXT000051020776</t>
        </is>
      </c>
    </row>
    <row r="26">
      <c r="A26" s="6" t="inlineStr">
        <is>
          <t>Régimes publics : règles et taux</t>
        </is>
      </c>
      <c r="B26" s="6" t="inlineStr">
        <is>
          <t>Décret 2025-1341 (CAS Pensions 82,28 % en 2026)</t>
        </is>
      </c>
      <c r="C26" s="127" t="inlineStr">
        <is>
          <t>https://www.legifrance.gouv.fr/jorf/id/JORFTEXT000053175170</t>
        </is>
      </c>
    </row>
    <row r="27">
      <c r="A27" s="6" t="inlineStr">
        <is>
          <t>Régimes publics : règles et taux</t>
        </is>
      </c>
      <c r="B27" s="6" t="inlineStr">
        <is>
          <t>Sénat - PLF 2026 Régimes sociaux et de retraite / CAS Pensions</t>
        </is>
      </c>
      <c r="C27" s="127" t="inlineStr">
        <is>
          <t>https://www.senat.fr/rap/l25-139-324/l25-139-32415.html</t>
        </is>
      </c>
    </row>
    <row r="28">
      <c r="A28" s="6" t="inlineStr">
        <is>
          <t>Régimes publics : règles et taux</t>
        </is>
      </c>
      <c r="B28" s="6" t="inlineStr">
        <is>
          <t>Jaune budgétaire PLF 2025 - Rapport sur les pensions de retraite de la fonction publique</t>
        </is>
      </c>
      <c r="C28" s="127" t="inlineStr">
        <is>
          <t>https://www2.assemblee-nationale.fr/static/17/Annexes-DL/PLF2025-Jaunes/12-Jaune_pensions.pdf</t>
        </is>
      </c>
    </row>
    <row r="29">
      <c r="A29" s="6" t="inlineStr">
        <is>
          <t>Régimes publics : règles et taux</t>
        </is>
      </c>
      <c r="B29" s="6" t="inlineStr">
        <is>
          <t>COR - Fiche CPRPF (SNCF) 2024</t>
        </is>
      </c>
      <c r="C29" s="127" t="inlineStr">
        <is>
          <t>https://www.cor-retraites.fr/sites/default/files/2024-07/Fiche_CPRPF%20(SNCF).pdf</t>
        </is>
      </c>
    </row>
    <row r="30">
      <c r="A30" s="6" t="inlineStr">
        <is>
          <t>Régimes publics : règles et taux</t>
        </is>
      </c>
      <c r="B30" s="6" t="inlineStr">
        <is>
          <t>COR - Fiche CRP RATP 2024</t>
        </is>
      </c>
      <c r="C30" s="127" t="inlineStr">
        <is>
          <t>https://www.cor-retraites.fr/sites/default/files/2024-07/Fiche_RATP_vf.pdf</t>
        </is>
      </c>
    </row>
    <row r="31">
      <c r="A31" s="6" t="inlineStr">
        <is>
          <t>Régimes publics : règles et taux</t>
        </is>
      </c>
      <c r="B31" s="6" t="inlineStr">
        <is>
          <t>COR - Fiche CNIEG 2024</t>
        </is>
      </c>
      <c r="C31" s="127" t="inlineStr">
        <is>
          <t>https://www.cor-retraites.fr/sites/default/files/2024-07/Fiche_CNIEG-vf.pdf</t>
        </is>
      </c>
    </row>
    <row r="32">
      <c r="A32" s="6" t="inlineStr">
        <is>
          <t>Régimes publics : règles et taux</t>
        </is>
      </c>
      <c r="B32" s="6" t="inlineStr">
        <is>
          <t>COR - L'adossement du régime des IEG (doc 3872)</t>
        </is>
      </c>
      <c r="C32" s="127" t="inlineStr">
        <is>
          <t>https://www.cor-retraites.fr/sites/default/files/2019-06/doc-3872.pdf</t>
        </is>
      </c>
    </row>
    <row r="33">
      <c r="A33" s="6" t="inlineStr">
        <is>
          <t>Régimes publics : règles et taux</t>
        </is>
      </c>
      <c r="B33" s="6" t="inlineStr">
        <is>
          <t>COR - Taux de cotisation dans les différents régimes (2000, doc 102)</t>
        </is>
      </c>
      <c r="C33" s="127" t="inlineStr">
        <is>
          <t>https://www.cor-retraites.fr/sites/default/files/2019-06/doc-102.pdf</t>
        </is>
      </c>
    </row>
    <row r="34">
      <c r="A34" s="6" t="inlineStr">
        <is>
          <t>Régimes publics : règles et taux</t>
        </is>
      </c>
      <c r="B34" s="6" t="inlineStr">
        <is>
          <t>Cour des comptes - Régimes spéciaux RATP, SNCF, IEG (2019)</t>
        </is>
      </c>
      <c r="C34" s="127" t="inlineStr">
        <is>
          <t>https://www.ccomptes.fr/system/files/2019-07/20190716-rapport-regimes-speciaux-retraite.pdf</t>
        </is>
      </c>
    </row>
    <row r="35">
      <c r="A35" s="6" t="inlineStr">
        <is>
          <t>Régimes publics : règles et taux</t>
        </is>
      </c>
      <c r="B35" s="6" t="inlineStr">
        <is>
          <t>Sénat - rapport 732 (2009-2010) SNCF réforme 2008</t>
        </is>
      </c>
      <c r="C35" s="127" t="inlineStr">
        <is>
          <t>https://www.senat.fr/rap/r09-732/r09-732.html</t>
        </is>
      </c>
    </row>
    <row r="36">
      <c r="A36" s="6" t="inlineStr">
        <is>
          <t>Régimes publics : règles et taux</t>
        </is>
      </c>
      <c r="B36" s="6" t="inlineStr">
        <is>
          <t>Sénat - rapport 804 (2021-2022) RATP</t>
        </is>
      </c>
      <c r="C36" s="127" t="inlineStr">
        <is>
          <t>https://www.senat.fr/rap/r21-804/r21-8044.html</t>
        </is>
      </c>
    </row>
    <row r="37">
      <c r="A37" s="6" t="inlineStr">
        <is>
          <t>Régimes publics : règles et taux</t>
        </is>
      </c>
      <c r="B37" s="6" t="inlineStr">
        <is>
          <t>Sénat - PLF 2021 Régimes sociaux et de retraite (SNCF)</t>
        </is>
      </c>
      <c r="C37" s="127" t="inlineStr">
        <is>
          <t>https://www.senat.fr/rap/l20-138-325/l20-138-3254.html</t>
        </is>
      </c>
    </row>
    <row r="38">
      <c r="A38" s="6" t="inlineStr">
        <is>
          <t>Régimes publics : règles et taux</t>
        </is>
      </c>
      <c r="B38" s="6" t="inlineStr">
        <is>
          <t>CPR (SNCF) - Comprendre ses droits</t>
        </is>
      </c>
      <c r="C38" s="127" t="inlineStr">
        <is>
          <t>https://www.cprpf.fr/actifs/preparer-ma-retraite/preparer-ma-retraite-rs/comprendre-vos-droits/</t>
        </is>
      </c>
    </row>
    <row r="39">
      <c r="A39" s="6" t="inlineStr">
        <is>
          <t>Régimes publics : règles et taux</t>
        </is>
      </c>
      <c r="B39" s="6" t="inlineStr">
        <is>
          <t>CPR (SNCF) - Réforme des retraites 2023</t>
        </is>
      </c>
      <c r="C39" s="127" t="inlineStr">
        <is>
          <t>https://www.cprpf.fr/2023/10/24/reforme-des-retraites-2023/</t>
        </is>
      </c>
    </row>
    <row r="40">
      <c r="A40" s="6" t="inlineStr">
        <is>
          <t>Régimes publics : règles et taux</t>
        </is>
      </c>
      <c r="B40" s="6" t="inlineStr">
        <is>
          <t>CPR - tableaux âges cas général / agents de conduite (PDF, non lisibles automatiquement)</t>
        </is>
      </c>
      <c r="C40" s="127" t="inlineStr">
        <is>
          <t>https://www.cprpf.fr/app/uploads/2023/11/tableau-age-de-la-retraite-CG-20-10-2023.pdf</t>
        </is>
      </c>
    </row>
    <row r="41">
      <c r="A41" s="6" t="inlineStr">
        <is>
          <t>Régimes publics : règles et taux</t>
        </is>
      </c>
      <c r="B41" s="6" t="inlineStr">
        <is>
          <t>La retraite en clair - agents SNCF</t>
        </is>
      </c>
      <c r="C41" s="127" t="inlineStr">
        <is>
          <t>https://www.la-retraite-en-clair.fr/parcours-professionnel-regimes-retraite/regimes-speciaux-retraite/retraite-agents-sncf</t>
        </is>
      </c>
    </row>
    <row r="42">
      <c r="A42" s="6" t="inlineStr">
        <is>
          <t>Régimes publics : règles et taux</t>
        </is>
      </c>
      <c r="B42" s="6" t="inlineStr">
        <is>
          <t>CLEISS - actualité juridique janvier 2026 (T1 SNCF)</t>
        </is>
      </c>
      <c r="C42" s="127" t="inlineStr">
        <is>
          <t>https://www.cleiss.fr/actu/breves2601.html</t>
        </is>
      </c>
    </row>
    <row r="43">
      <c r="A43" s="6" t="inlineStr">
        <is>
          <t>Régimes publics : règles et taux</t>
        </is>
      </c>
      <c r="B43" s="6" t="inlineStr">
        <is>
          <t>CLEISS - actualité juridique juillet 2026 (T1 SNCF)</t>
        </is>
      </c>
      <c r="C43" s="127" t="inlineStr">
        <is>
          <t>https://www.cleiss.fr/actu/breves2607.html</t>
        </is>
      </c>
    </row>
    <row r="44">
      <c r="A44" s="6" t="inlineStr">
        <is>
          <t>Régimes publics : règles et taux</t>
        </is>
      </c>
      <c r="B44" s="6" t="inlineStr">
        <is>
          <t>CLEISS - actualité juridique mars 2026 (RATP 2025)</t>
        </is>
      </c>
      <c r="C44" s="127" t="inlineStr">
        <is>
          <t>https://www.cleiss.fr/actu/breves2603.html</t>
        </is>
      </c>
    </row>
    <row r="45">
      <c r="A45" s="6" t="inlineStr">
        <is>
          <t>Régimes publics : règles et taux</t>
        </is>
      </c>
      <c r="B45" s="6" t="inlineStr">
        <is>
          <t>Tripalio - RATP taux 2024/2025</t>
        </is>
      </c>
      <c r="C45" s="127" t="inlineStr">
        <is>
          <t>https://presse.tripalio.fr/ratp-les-taux-de-cotisation-retraite-pour-2024-et-2025-sont-fixes/</t>
        </is>
      </c>
    </row>
    <row r="46">
      <c r="A46" s="6" t="inlineStr">
        <is>
          <t>Régimes publics : règles et taux</t>
        </is>
      </c>
      <c r="B46" s="6" t="inlineStr">
        <is>
          <t>CRP RATP - Newsletter réforme 2023 (décret 2023-690)</t>
        </is>
      </c>
      <c r="C46" s="127" t="inlineStr">
        <is>
          <t>https://www.crpratp.fr/documents/10184/1310324/Newsletter+r%C3%A9forme+2023+V3/97366fd5-da8a-4c3d-99bc-eb7beb442ed1</t>
        </is>
      </c>
    </row>
    <row r="47">
      <c r="A47" s="6" t="inlineStr">
        <is>
          <t>Régimes publics : règles et taux</t>
        </is>
      </c>
      <c r="B47" s="6" t="inlineStr">
        <is>
          <t>CNIEG - L'âge légal de retraite</t>
        </is>
      </c>
      <c r="C47" s="127" t="inlineStr">
        <is>
          <t>https://www.cnieg.fr/accueil/actif/age-depart/age-retraite.html</t>
        </is>
      </c>
    </row>
    <row r="48">
      <c r="A48" s="6" t="inlineStr">
        <is>
          <t>Régimes publics : règles et taux</t>
        </is>
      </c>
      <c r="B48" s="6" t="inlineStr">
        <is>
          <t>CNIEG/URSSAF - Guide des cotisations 2022</t>
        </is>
      </c>
      <c r="C48" s="127" t="inlineStr">
        <is>
          <t>https://www.cnieg.fr/files/live/sites/portail/files/documents/Entreprise/E-Guide-Declarant-CNIEG-URSSAF.pdf</t>
        </is>
      </c>
    </row>
    <row r="49">
      <c r="A49" s="6" t="inlineStr">
        <is>
          <t>Régimes publics : règles et taux</t>
        </is>
      </c>
      <c r="B49" s="6" t="inlineStr">
        <is>
          <t>MSA - taux des cotisations au 1er juillet 2026 (IEG)</t>
        </is>
      </c>
      <c r="C49" s="127" t="inlineStr">
        <is>
          <t>https://mps.msa.fr/lfp/documents/11566/17390919/MSA+-+Taux+des+cotisations+sur+salaires+au+1er+juillet+2026</t>
        </is>
      </c>
    </row>
    <row r="50">
      <c r="A50" s="6" t="inlineStr">
        <is>
          <t>Régimes publics : règles et taux</t>
        </is>
      </c>
      <c r="B50" s="6" t="inlineStr">
        <is>
          <t>Décret 2023-692 (IEG)</t>
        </is>
      </c>
      <c r="C50" s="127" t="inlineStr">
        <is>
          <t>https://www.legifrance.gouv.fr/jorf/id/JORFTEXT000047903232</t>
        </is>
      </c>
    </row>
    <row r="51">
      <c r="A51" s="6" t="inlineStr">
        <is>
          <t>Régimes publics : règles et taux</t>
        </is>
      </c>
      <c r="B51" s="6" t="inlineStr">
        <is>
          <t>CNRACL - Suspension de la réforme au 1er septembre 2026</t>
        </is>
      </c>
      <c r="C51" s="127" t="inlineStr">
        <is>
          <t>https://www.cnracl.retraites.fr/actif/actualites/suspension-de-la-reforme-des-retraites-ce-qui-change-au-1er-septembre-2026</t>
        </is>
      </c>
    </row>
    <row r="52">
      <c r="A52" s="6" t="inlineStr">
        <is>
          <t>Régimes publics : règles et taux</t>
        </is>
      </c>
      <c r="B52" s="6" t="inlineStr">
        <is>
          <t>CFDT Retraités - Suspension de la réforme (tables)</t>
        </is>
      </c>
      <c r="C52" s="127" t="inlineStr">
        <is>
          <t>https://www.xn--cfdt-retraits-mhb.fr/Suspension-reforme-des-retraites-et-nouvelles-mesures-reformant-retraites</t>
        </is>
      </c>
    </row>
    <row r="53">
      <c r="A53" s="6" t="inlineStr">
        <is>
          <t>Régimes publics : règles et taux</t>
        </is>
      </c>
      <c r="B53" s="6" t="inlineStr">
        <is>
          <t>FNEM-FO - la suspension ne s'applique pas aux IEG</t>
        </is>
      </c>
      <c r="C53" s="127" t="inlineStr">
        <is>
          <t>https://www.fnem-fo.org/communique/lfss-2026-promulguee-la-suspension-de-la-reforme-des-retraites-ne-sappliquera-pas-aux-ieg/</t>
        </is>
      </c>
    </row>
    <row r="54">
      <c r="A54" s="6" t="inlineStr">
        <is>
          <t>Régimes publics : règles et taux</t>
        </is>
      </c>
      <c r="B54" s="6" t="inlineStr">
        <is>
          <t>Sapiendo - âge d'annulation de la décote fonctionnaires</t>
        </is>
      </c>
      <c r="C54" s="127" t="inlineStr">
        <is>
          <t>https://www.sapiendo-retraite.fr/information-retraite/l-annulation-de-la-decote-de-la-retraite-des-fonctionnaires</t>
        </is>
      </c>
    </row>
    <row r="55">
      <c r="A55" s="6" t="inlineStr">
        <is>
          <t>Régimes publics : règles et taux</t>
        </is>
      </c>
      <c r="B55" s="6" t="inlineStr">
        <is>
          <t>DREES - Les retraités et les retraites 2019 fiche 16</t>
        </is>
      </c>
      <c r="C55" s="127" t="inlineStr">
        <is>
          <t>https://drees.solidarites-sante.gouv.fr/sites/default/files/2021-03/16-12.pdf</t>
        </is>
      </c>
    </row>
    <row r="56">
      <c r="A56" s="6" t="inlineStr">
        <is>
          <t>Régimes publics : règles et taux</t>
        </is>
      </c>
      <c r="B56" s="6" t="inlineStr">
        <is>
          <t>Assemblée nationale - étude d'impact PLFRSS 2023 (fermeture des régimes)</t>
        </is>
      </c>
      <c r="C56" s="127" t="inlineStr">
        <is>
          <t>https://www.assemblee-nationale.fr/dyn/16/textes/l16b0760_etude-impact</t>
        </is>
      </c>
    </row>
    <row r="57">
      <c r="A57" s="6" t="inlineStr">
        <is>
          <t>Régimes publics : statistiques</t>
        </is>
      </c>
      <c r="B57" s="6" t="inlineStr">
        <is>
          <t>COR (2024), Fiche régime CNRACL</t>
        </is>
      </c>
      <c r="C57" s="127" t="inlineStr">
        <is>
          <t>https://www.cor-retraites.fr/sites/default/files/2024-07/Fiche_CNRACL_vf.pdf</t>
        </is>
      </c>
    </row>
    <row r="58">
      <c r="A58" s="6" t="inlineStr">
        <is>
          <t>Régimes publics : statistiques</t>
        </is>
      </c>
      <c r="B58" s="6" t="inlineStr">
        <is>
          <t>COR, séance du 25 mai 2016 'La retraite dans la fonction publique et les autres régimes spéciaux' (liste des documents)</t>
        </is>
      </c>
      <c r="C58" s="127" t="inlineStr">
        <is>
          <t>https://www.cor-retraites.fr/reunions-du-cor/retraite-dans-fonction-publique-autres-regimes-speciaux</t>
        </is>
      </c>
    </row>
    <row r="59">
      <c r="A59" s="6" t="inlineStr">
        <is>
          <t>Régimes publics : statistiques</t>
        </is>
      </c>
      <c r="B59" s="6" t="inlineStr">
        <is>
          <t>COR doc-3386, Indicateurs de suivi des départs à la retraite dans la FPE civile</t>
        </is>
      </c>
      <c r="C59" s="127" t="inlineStr">
        <is>
          <t>https://www.cor-retraites.fr/sites/default/files/2019-06/doc-3386.pdf</t>
        </is>
      </c>
    </row>
    <row r="60">
      <c r="A60" s="6" t="inlineStr">
        <is>
          <t>Régimes publics : statistiques</t>
        </is>
      </c>
      <c r="B60" s="6" t="inlineStr">
        <is>
          <t>COR doc-3387, Indicateurs de suivi des départs à la retraite dans la FPT et FPH</t>
        </is>
      </c>
      <c r="C60" s="127" t="inlineStr">
        <is>
          <t>https://www.cor-retraites.fr/sites/default/files/2019-06/doc-3387.pdf</t>
        </is>
      </c>
    </row>
    <row r="61">
      <c r="A61" s="6" t="inlineStr">
        <is>
          <t>Régimes publics : statistiques</t>
        </is>
      </c>
      <c r="B61" s="6" t="inlineStr">
        <is>
          <t>COR doc-3392, départs à la retraite à la SNCF</t>
        </is>
      </c>
      <c r="C61" s="127" t="inlineStr">
        <is>
          <t>https://www.cor-retraites.fr/sites/default/files/2019-06/doc-3392.pdf</t>
        </is>
      </c>
    </row>
    <row r="62">
      <c r="A62" s="6" t="inlineStr">
        <is>
          <t>Régimes publics : statistiques</t>
        </is>
      </c>
      <c r="B62" s="6" t="inlineStr">
        <is>
          <t>COR doc-3393, départs à la retraite aux IEG</t>
        </is>
      </c>
      <c r="C62" s="127" t="inlineStr">
        <is>
          <t>https://www.cor-retraites.fr/sites/default/files/2019-06/doc-3393.pdf</t>
        </is>
      </c>
    </row>
    <row r="63">
      <c r="A63" s="6" t="inlineStr">
        <is>
          <t>Régimes publics : statistiques</t>
        </is>
      </c>
      <c r="B63" s="6" t="inlineStr">
        <is>
          <t>COR doc-4439, Évolution historique et projetée de l'âge de départ</t>
        </is>
      </c>
      <c r="C63" s="127" t="inlineStr">
        <is>
          <t>https://www.cor-retraites.fr/sites/default/files/2019-06/doc-4439.pdf</t>
        </is>
      </c>
    </row>
    <row r="64">
      <c r="A64" s="6" t="inlineStr">
        <is>
          <t>Régimes publics : statistiques</t>
        </is>
      </c>
      <c r="B64" s="6" t="inlineStr">
        <is>
          <t>Jaune budgétaire PLF 2026, Rapport sur les pensions de retraite de la fonction publique</t>
        </is>
      </c>
      <c r="C64" s="127" t="inlineStr">
        <is>
          <t>https://questions.assemblee-nationale.fr/dyn/contenu/visualisation/1090002/file/12-Jaune2026_Pensions.pdf</t>
        </is>
      </c>
    </row>
    <row r="65">
      <c r="A65" s="6" t="inlineStr">
        <is>
          <t>Régimes publics : statistiques</t>
        </is>
      </c>
      <c r="B65" s="6" t="inlineStr">
        <is>
          <t>SRE, Les chiffres clés des retraites de l'État</t>
        </is>
      </c>
      <c r="C65" s="127" t="inlineStr">
        <is>
          <t>https://retraitesdeletat.gouv.fr/professionnels/les-donnees-statistiques/les-chiffres-cles-des-retraites-de-letat</t>
        </is>
      </c>
    </row>
    <row r="66">
      <c r="A66" s="6" t="inlineStr">
        <is>
          <t>Régimes publics : statistiques</t>
        </is>
      </c>
      <c r="B66" s="6" t="inlineStr">
        <is>
          <t>SRE, Synthèse statistique pensions civiles et militaires</t>
        </is>
      </c>
      <c r="C66" s="127" t="inlineStr">
        <is>
          <t>https://retraitesdeletat.gouv.fr/statistiques/synthese.html</t>
        </is>
      </c>
    </row>
    <row r="67">
      <c r="A67" s="6" t="inlineStr">
        <is>
          <t>Régimes publics : statistiques</t>
        </is>
      </c>
      <c r="B67" s="6" t="inlineStr">
        <is>
          <t>SRE, Flux des pensions civiles de droit direct</t>
        </is>
      </c>
      <c r="C67" s="127" t="inlineStr">
        <is>
          <t>https://retraitesdeletat.gouv.fr/statistiques/flux-civ-DD.html</t>
        </is>
      </c>
    </row>
    <row r="68">
      <c r="A68" s="6" t="inlineStr">
        <is>
          <t>Régimes publics : statistiques</t>
        </is>
      </c>
      <c r="B68" s="6" t="inlineStr">
        <is>
          <t>CNRACL, Recueil statistique 2024</t>
        </is>
      </c>
      <c r="C68" s="127" t="inlineStr">
        <is>
          <t>https://www.cnracl.retraites.fr/sites/default/files/2025-09/RECUEIL_STATISTIQUES_CNRACL_2024_0.pdf</t>
        </is>
      </c>
    </row>
    <row r="69">
      <c r="A69" s="6" t="inlineStr">
        <is>
          <t>Régimes publics : statistiques</t>
        </is>
      </c>
      <c r="B69" s="6" t="inlineStr">
        <is>
          <t>CNRACL, Recueil statistique 2023</t>
        </is>
      </c>
      <c r="C69" s="127" t="inlineStr">
        <is>
          <t>https://www.cnracl.retraites.fr/sites/default/files/2024-07/RECUEIL%20STATISTIQUE%20CNRACL%202023.pdf</t>
        </is>
      </c>
    </row>
    <row r="70">
      <c r="A70" s="6" t="inlineStr">
        <is>
          <t>Régimes publics : statistiques</t>
        </is>
      </c>
      <c r="B70" s="6" t="inlineStr">
        <is>
          <t>CNRACL, Recueil statistique 2022</t>
        </is>
      </c>
      <c r="C70" s="127" t="inlineStr">
        <is>
          <t>https://www.cnracl.retraites.fr/sites/default/files/SERVICES/DIRCOM/RECUEIL%20STATISTIQUE%20CNRACL%202022.pdf</t>
        </is>
      </c>
    </row>
    <row r="71">
      <c r="A71" s="6" t="inlineStr">
        <is>
          <t>Régimes publics : statistiques</t>
        </is>
      </c>
      <c r="B71" s="6" t="inlineStr">
        <is>
          <t>CNRACL, Chiffres clés 2024</t>
        </is>
      </c>
      <c r="C71" s="127" t="inlineStr">
        <is>
          <t>https://www.cnracl.retraites.fr/nous-connaitre/presse/chiffres-cles/chiffres-cles-2024</t>
        </is>
      </c>
    </row>
    <row r="72">
      <c r="A72" s="6" t="inlineStr">
        <is>
          <t>Régimes publics : statistiques</t>
        </is>
      </c>
      <c r="B72" s="6" t="inlineStr">
        <is>
          <t>CNIEG, Annuaire statistique 2024</t>
        </is>
      </c>
      <c r="C72" s="127" t="inlineStr">
        <is>
          <t>https://www.cnieg.fr/files/live/sites/portail/files/documents/Institutionnel/Annuaire-statistique-2024.pdf</t>
        </is>
      </c>
    </row>
    <row r="73">
      <c r="A73" s="6" t="inlineStr">
        <is>
          <t>Régimes publics : statistiques</t>
        </is>
      </c>
      <c r="B73" s="6" t="inlineStr">
        <is>
          <t>CNIEG, Annuaire statistique 2020</t>
        </is>
      </c>
      <c r="C73" s="127" t="inlineStr">
        <is>
          <t>https://www.cnieg.fr/files/live/sites/portail/files/documents/Institutionnel/I-annuaire_Stat_2020.pdf</t>
        </is>
      </c>
    </row>
    <row r="74">
      <c r="A74" s="6" t="inlineStr">
        <is>
          <t>Régimes publics : statistiques</t>
        </is>
      </c>
      <c r="B74" s="6" t="inlineStr">
        <is>
          <t>CNIEG, Rapport annuel 2023</t>
        </is>
      </c>
      <c r="C74" s="127" t="inlineStr">
        <is>
          <t>https://www.cnieg.fr/files/live/sites/portail/files/documents/Institutionnel/I-rapport-annuel-2023.pdf</t>
        </is>
      </c>
    </row>
    <row r="75">
      <c r="A75" s="6" t="inlineStr">
        <is>
          <t>Régimes publics : statistiques</t>
        </is>
      </c>
      <c r="B75" s="6" t="inlineStr">
        <is>
          <t>DGAFP, Vues d'ensemble 2025 — Départs à la retraite dans la fonction publique</t>
        </is>
      </c>
      <c r="C75" s="127" t="inlineStr">
        <is>
          <t>https://www.fonction-publique.gouv.fr/files/files/publications/vue-rapport-annuel/ra_2025_vue_flux_de_personnels_retraites.pdf</t>
        </is>
      </c>
    </row>
    <row r="76">
      <c r="A76" s="6" t="inlineStr">
        <is>
          <t>Régimes publics : statistiques</t>
        </is>
      </c>
      <c r="B76" s="6" t="inlineStr">
        <is>
          <t>DGAFP, Vues d'ensemble 2022 — Retraites</t>
        </is>
      </c>
      <c r="C76" s="127" t="inlineStr">
        <is>
          <t>https://www.fonction-publique.gouv.fr/files/files/publications/vue-rapport-annuel/retraites.pdf</t>
        </is>
      </c>
    </row>
    <row r="77">
      <c r="A77" s="6" t="inlineStr">
        <is>
          <t>Régimes publics : statistiques</t>
        </is>
      </c>
      <c r="B77" s="6" t="inlineStr">
        <is>
          <t>DGAFP, Vues d'ensemble 2025 — Rémunérations : niveaux (données 2023)</t>
        </is>
      </c>
      <c r="C77" s="127" t="inlineStr">
        <is>
          <t>https://www.fonction-publique.gouv.fr/files/files/publications/vue-rapport-annuel/ra_2025_vue_remunerations_niveaux.pdf</t>
        </is>
      </c>
    </row>
    <row r="78">
      <c r="A78" s="6" t="inlineStr">
        <is>
          <t>Régimes publics : statistiques</t>
        </is>
      </c>
      <c r="B78" s="6" t="inlineStr">
        <is>
          <t>DGAFP, Vues d'ensemble 2025 — Temps et organisation du temps de travail (données 2024)</t>
        </is>
      </c>
      <c r="C78" s="127" t="inlineStr">
        <is>
          <t>https://www.fonction-publique.gouv.fr/files/files/publications/vue-rapport-annuel/ra_2025_vue_temps_organisation_temps_travail.pdf</t>
        </is>
      </c>
    </row>
    <row r="79">
      <c r="A79" s="6" t="inlineStr">
        <is>
          <t>Régimes publics : statistiques</t>
        </is>
      </c>
      <c r="B79" s="6" t="inlineStr">
        <is>
          <t>DGAFP, Vues d'ensemble 2024 — Temps de travail (données 2023)</t>
        </is>
      </c>
      <c r="C79" s="127" t="inlineStr">
        <is>
          <t>https://www.fonction-publique.gouv.fr/files/files/publications/vue-rapport-annuel/ra_2024_vue_temps_organisation_temps_travail.pdf</t>
        </is>
      </c>
    </row>
    <row r="80">
      <c r="A80" s="6" t="inlineStr">
        <is>
          <t>Régimes publics : statistiques</t>
        </is>
      </c>
      <c r="B80" s="6" t="inlineStr">
        <is>
          <t>DGAFP, Vues d'ensemble 2023 — Temps de travail (données 2022)</t>
        </is>
      </c>
      <c r="C80" s="127" t="inlineStr">
        <is>
          <t>https://www.fonction-publique.gouv.fr/files/files/publications/vue-rapport-annuel/ra_2023_vue_temps_organisation_temps_travail.pdf</t>
        </is>
      </c>
    </row>
    <row r="81">
      <c r="A81" s="6" t="inlineStr">
        <is>
          <t>Régimes publics : statistiques</t>
        </is>
      </c>
      <c r="B81" s="6" t="inlineStr">
        <is>
          <t>DGAFP, Vues d'ensemble 2022 — Temps de travail (données 2021)</t>
        </is>
      </c>
      <c r="C81" s="127" t="inlineStr">
        <is>
          <t>https://www.fonction-publique.gouv.fr/files/files/publications/vue-rapport-annuel/temps_organisation_temps_travail.pdf</t>
        </is>
      </c>
    </row>
    <row r="82">
      <c r="A82" s="6" t="inlineStr">
        <is>
          <t>Régimes publics : statistiques</t>
        </is>
      </c>
      <c r="B82" s="6" t="inlineStr">
        <is>
          <t>Eurostat, lfsa_ewhan2 (API)</t>
        </is>
      </c>
      <c r="C82" s="127" t="inlineStr">
        <is>
          <t>https://ec.europa.eu/eurostat/api/dissemination/statistics/1.0/data/lfsa_ewhan2</t>
        </is>
      </c>
    </row>
    <row r="83">
      <c r="A83" s="6" t="inlineStr">
        <is>
          <t>Régimes publics : statistiques</t>
        </is>
      </c>
      <c r="B83" s="6" t="inlineStr">
        <is>
          <t>Sénat, rapport PLF 2025 Régimes sociaux et de retraite</t>
        </is>
      </c>
      <c r="C83" s="127" t="inlineStr">
        <is>
          <t>https://www.senat.fr/rap/l24-144-325/l24-144-325_mono.html</t>
        </is>
      </c>
    </row>
    <row r="84">
      <c r="A84" s="6" t="inlineStr">
        <is>
          <t>Régimes publics : statistiques</t>
        </is>
      </c>
      <c r="B84" s="6" t="inlineStr">
        <is>
          <t>Sénat, avis PLF 2025 Régimes sociaux et de retraite et CAS Pensions</t>
        </is>
      </c>
      <c r="C84" s="127" t="inlineStr">
        <is>
          <t>https://www.senat.fr/rap/a24-147-3/a24-147-3_mono.html</t>
        </is>
      </c>
    </row>
    <row r="85">
      <c r="A85" s="6" t="inlineStr">
        <is>
          <t>Régimes publics : statistiques</t>
        </is>
      </c>
      <c r="B85" s="6" t="inlineStr">
        <is>
          <t>Sénat, avis PLF 2024 Régimes sociaux et de retraite et CAS Pensions</t>
        </is>
      </c>
      <c r="C85" s="127" t="inlineStr">
        <is>
          <t>https://www.senat.fr/rap/a23-131-3/a23-131-3_mono.html</t>
        </is>
      </c>
    </row>
    <row r="86">
      <c r="A86" s="6" t="inlineStr">
        <is>
          <t>Régimes publics : statistiques</t>
        </is>
      </c>
      <c r="B86" s="6" t="inlineStr">
        <is>
          <t>Sénat, note de présentation PLF 2024 RSR / CAS Pensions</t>
        </is>
      </c>
      <c r="C86" s="127" t="inlineStr">
        <is>
          <t>https://www.senat.fr/fileadmin/Commissions/Finances/2023-2024/Notes_de_presentation/NP_PLF24_RSR_CASP.pdf</t>
        </is>
      </c>
    </row>
    <row r="87">
      <c r="A87" s="6" t="inlineStr">
        <is>
          <t>Régimes publics : statistiques</t>
        </is>
      </c>
      <c r="B87" s="6" t="inlineStr">
        <is>
          <t>Sénat, rapport PLF 2022 Régimes sociaux et de retraite</t>
        </is>
      </c>
      <c r="C87" s="127" t="inlineStr">
        <is>
          <t>https://www.senat.fr/rap/l21-163-325/l21-163-3257.html</t>
        </is>
      </c>
    </row>
    <row r="88">
      <c r="A88" s="6" t="inlineStr">
        <is>
          <t>Régimes publics : statistiques</t>
        </is>
      </c>
      <c r="B88" s="6" t="inlineStr">
        <is>
          <t>Sénat, rapport PLF 2021 Régimes sociaux et de retraite</t>
        </is>
      </c>
      <c r="C88" s="127" t="inlineStr">
        <is>
          <t>https://www.senat.fr/rap/l20-138-325/l20-138-325_mono.html</t>
        </is>
      </c>
    </row>
    <row r="89">
      <c r="A89" s="6" t="inlineStr">
        <is>
          <t>Régimes publics : statistiques</t>
        </is>
      </c>
      <c r="B89" s="6" t="inlineStr">
        <is>
          <t>Sénat, avis PLF 2017 Régimes sociaux et de retraite</t>
        </is>
      </c>
      <c r="C89" s="127" t="inlineStr">
        <is>
          <t>https://www.senat.fr/rap/a16-143-5/a16-143-5_mono.html</t>
        </is>
      </c>
    </row>
    <row r="90">
      <c r="A90" s="6" t="inlineStr">
        <is>
          <t>Régimes publics : statistiques</t>
        </is>
      </c>
      <c r="B90" s="6" t="inlineStr">
        <is>
          <t>Sénat, rapport d'information r21-804 'Faut-il fermer les régimes spéciaux ?' (RATP, marins)</t>
        </is>
      </c>
      <c r="C90" s="127" t="inlineStr">
        <is>
          <t>https://www.senat.fr/rap/r21-804/r21-804_mono.html</t>
        </is>
      </c>
    </row>
    <row r="91">
      <c r="A91" s="6" t="inlineStr">
        <is>
          <t>Régimes publics : statistiques</t>
        </is>
      </c>
      <c r="B91" s="6" t="inlineStr">
        <is>
          <t>Sénat, rapport r09-732 'Le régime spécial de retraite de la SNCF : un premier bilan de la réforme de 2008'</t>
        </is>
      </c>
      <c r="C91" s="127" t="inlineStr">
        <is>
          <t>https://www.senat.fr/rap/r09-732/r09-732_mono.html</t>
        </is>
      </c>
    </row>
    <row r="92">
      <c r="A92" s="6" t="inlineStr">
        <is>
          <t>Régimes publics : statistiques</t>
        </is>
      </c>
      <c r="B92" s="6" t="inlineStr">
        <is>
          <t>Sénat, rapport r07-452 sur la CRP RATP</t>
        </is>
      </c>
      <c r="C92" s="127" t="inlineStr">
        <is>
          <t>https://www.senat.fr/rap/r07-452/r07-4523.html</t>
        </is>
      </c>
    </row>
    <row r="93">
      <c r="A93" s="6" t="inlineStr">
        <is>
          <t>Régimes publics : statistiques</t>
        </is>
      </c>
      <c r="B93" s="6" t="inlineStr">
        <is>
          <t>Assemblée nationale, rapport spécial PLF 2021 RSR (l15b3399)</t>
        </is>
      </c>
      <c r="C93" s="127" t="inlineStr">
        <is>
          <t>https://www.assemblee-nationale.fr/dyn/15/rapports/cion_fin/l15b3399-tiii-a35_rapport-fond.pdf</t>
        </is>
      </c>
    </row>
    <row r="94">
      <c r="A94" s="6" t="inlineStr">
        <is>
          <t>Régimes publics : statistiques</t>
        </is>
      </c>
      <c r="B94" s="6" t="inlineStr">
        <is>
          <t>Assemblée nationale, rapport spécial PLF 2023 RSR (l16b0292)</t>
        </is>
      </c>
      <c r="C94" s="127" t="inlineStr">
        <is>
          <t>https://www.assemblee-nationale.fr/dyn/16/rapports/cion_fin/l16b0292-tiii-a38_rapport-fond.pdf</t>
        </is>
      </c>
    </row>
    <row r="95">
      <c r="A95" s="6" t="inlineStr">
        <is>
          <t>Régimes publics : statistiques</t>
        </is>
      </c>
      <c r="B95" s="6" t="inlineStr">
        <is>
          <t>Assemblée nationale, rapport spécial PLF 2012 RSR (b3805)</t>
        </is>
      </c>
      <c r="C95" s="127" t="inlineStr">
        <is>
          <t>https://www.assemblee-nationale.fr/13/pdf/budget/plf2012/b3805-tIII-a36.pdf</t>
        </is>
      </c>
    </row>
    <row r="96">
      <c r="A96" s="6" t="inlineStr">
        <is>
          <t>Régimes publics : statistiques</t>
        </is>
      </c>
      <c r="B96" s="6" t="inlineStr">
        <is>
          <t>Assemblée nationale, PLACSS 2023 annexe 1 Retraites (REPSS)</t>
        </is>
      </c>
      <c r="C96" s="127" t="inlineStr">
        <is>
          <t>https://www.assemblee-nationale.fr/dyn/media/travail-parlementaire/xvi/budget-et-securite-sociale/placss-2023/annexe-1-retraites</t>
        </is>
      </c>
    </row>
    <row r="97">
      <c r="A97" s="6" t="inlineStr">
        <is>
          <t>Régimes publics : statistiques</t>
        </is>
      </c>
      <c r="B97" s="6" t="inlineStr">
        <is>
          <t>IFRAP, SNCF : 2 600 euros de retraite, départ à 57 ans</t>
        </is>
      </c>
      <c r="C97" s="127" t="inlineStr">
        <is>
          <t>https://www.ifrap.org/retraite/sncf-2-600-euros-de-retraite-depart-57-ans-et-un-regime-dans-le-rouge</t>
        </is>
      </c>
    </row>
    <row r="98">
      <c r="A98" s="6" t="inlineStr">
        <is>
          <t>Régimes publics : statistiques</t>
        </is>
      </c>
      <c r="B98" s="6" t="inlineStr">
        <is>
          <t>IFRAP, RATP : en moyenne des retraites à 3 700 euros dès 56 ans</t>
        </is>
      </c>
      <c r="C98" s="127" t="inlineStr">
        <is>
          <t>https://www.ifrap.org/retraite/ratp-en-moyenne-des-retraites-3-700-euros-des-56-ans</t>
        </is>
      </c>
    </row>
    <row r="99">
      <c r="A99" s="6" t="inlineStr">
        <is>
          <t>Régimes publics : statistiques</t>
        </is>
      </c>
      <c r="B99" s="6" t="inlineStr">
        <is>
          <t>IFRAP, EDF, RATP, SNCF : la bombe des régimes spéciaux</t>
        </is>
      </c>
      <c r="C99" s="127" t="inlineStr">
        <is>
          <t>https://www.ifrap.org/retraite/edf-ratp-sncf-la-bombe-des-regimes-speciaux</t>
        </is>
      </c>
    </row>
    <row r="100">
      <c r="A100" s="6" t="inlineStr">
        <is>
          <t>Régimes publics : statistiques</t>
        </is>
      </c>
      <c r="B100" s="6" t="inlineStr">
        <is>
          <t>IFRAP, Retraites publiques : les 11 chiffres à retenir (jaune PLF 2026)</t>
        </is>
      </c>
      <c r="C100" s="127" t="inlineStr">
        <is>
          <t>https://www.ifrap.org/budget-et-fiscalite/retraites-publiques-les-11-chiffres-retenir</t>
        </is>
      </c>
    </row>
    <row r="101">
      <c r="A101" s="6" t="inlineStr">
        <is>
          <t>Régimes publics : statistiques</t>
        </is>
      </c>
      <c r="B101" s="6" t="inlineStr">
        <is>
          <t>IFRAP, Facture d'électricité : le tabou de la CTA</t>
        </is>
      </c>
      <c r="C101" s="127" t="inlineStr">
        <is>
          <t>https://www.ifrap.org/budget-et-fiscalite/facture-delectricite-le-tabou-de-la-cta</t>
        </is>
      </c>
    </row>
    <row r="102">
      <c r="A102" s="6" t="inlineStr">
        <is>
          <t>Régimes publics : statistiques</t>
        </is>
      </c>
      <c r="B102" s="6" t="inlineStr">
        <is>
          <t>IFRAP, EDF : 4 705 euros bruts par mois, retraite à 60 ans</t>
        </is>
      </c>
      <c r="C102" s="127" t="inlineStr">
        <is>
          <t>https://www.ifrap.org/agriculture-et-energie/edf-4-705-euros-bruts-par-mois-retraite-60-ans</t>
        </is>
      </c>
    </row>
    <row r="103">
      <c r="A103" s="6" t="inlineStr">
        <is>
          <t>Régimes publics : statistiques</t>
        </is>
      </c>
      <c r="B103" s="6" t="inlineStr">
        <is>
          <t>IFRAP, Primes, temps de travail : la RATP sur la sellette</t>
        </is>
      </c>
      <c r="C103" s="127" t="inlineStr">
        <is>
          <t>https://www.ifrap.org/budget-et-fiscalite/primes-temps-de-travail-la-ratp-sur-la-sellette</t>
        </is>
      </c>
    </row>
    <row r="104">
      <c r="A104" s="6" t="inlineStr">
        <is>
          <t>Régimes publics : statistiques</t>
        </is>
      </c>
      <c r="B104" s="6" t="inlineStr">
        <is>
          <t>IFRAP, Retraite des fonctionnaires : un taux de remplacement qui varie de 51 à 75 %</t>
        </is>
      </c>
      <c r="C104" s="127" t="inlineStr">
        <is>
          <t>https://www.ifrap.org/retraite/retraite-des-fonctionnaires-un-taux-de-remplacement-qui-varie-de-51-75</t>
        </is>
      </c>
    </row>
    <row r="105">
      <c r="A105" s="6" t="inlineStr">
        <is>
          <t>Régimes publics : statistiques</t>
        </is>
      </c>
      <c r="B105" s="6" t="inlineStr">
        <is>
          <t>IFRAP, Temps de travail dans la fonction publique : décryptage du rapport Laurent</t>
        </is>
      </c>
      <c r="C105" s="127" t="inlineStr">
        <is>
          <t>https://www.ifrap.org/fonction-publique-et-administration/temps-de-travail-dans-la-fonction-publique-decryptage-du-rapport-laurent</t>
        </is>
      </c>
    </row>
    <row r="106">
      <c r="A106" s="6" t="inlineStr">
        <is>
          <t>Régimes publics : statistiques</t>
        </is>
      </c>
      <c r="B106" s="6" t="inlineStr">
        <is>
          <t>Journal des activités sociales de l'énergie (CCAS), Le régime spécial des IEG en 8 questions</t>
        </is>
      </c>
      <c r="C106" s="127" t="inlineStr">
        <is>
          <t>https://journal.ccas.fr/retraites-le-regime-special-des-ieg-en-8-questions/</t>
        </is>
      </c>
    </row>
    <row r="107">
      <c r="A107" s="6" t="inlineStr">
        <is>
          <t>Régimes publics : statistiques</t>
        </is>
      </c>
      <c r="B107" s="6" t="inlineStr">
        <is>
          <t>CFDT FCE, Livret d'accueil branche IEG</t>
        </is>
      </c>
      <c r="C107" s="127" t="inlineStr">
        <is>
          <t>https://fce.cfdt.fr/wp-content/uploads/2023/01/ieg-vos-droits-defendus-avec-la-cfdt.pdf</t>
        </is>
      </c>
    </row>
    <row r="108">
      <c r="A108" s="6" t="inlineStr">
        <is>
          <t>Régimes publics : statistiques</t>
        </is>
      </c>
      <c r="B108" s="6" t="inlineStr">
        <is>
          <t>CFDT-UFETAM, Ce que révèle le dernier rapport de la DREES pour les agents publics</t>
        </is>
      </c>
      <c r="C108" s="127" t="inlineStr">
        <is>
          <t>https://www.cfdt-ufetam.org/retraites-ce-que-revele-le-dernier-rapport-de-la-drees-pour-les-agents-publics/</t>
        </is>
      </c>
    </row>
    <row r="109">
      <c r="A109" s="6" t="inlineStr">
        <is>
          <t>Régimes publics : statistiques</t>
        </is>
      </c>
      <c r="B109" s="6" t="inlineStr">
        <is>
          <t>Europe 1, Travaille-t-on vraiment moins de 35 heures à la SNCF ?</t>
        </is>
      </c>
      <c r="C109" s="127" t="inlineStr">
        <is>
          <t>https://www.europe1.fr/economie/travaille-t-on-vraiment-moins-de-35-heures-a-la-sncf-2767966</t>
        </is>
      </c>
    </row>
    <row r="110">
      <c r="A110" s="6" t="inlineStr">
        <is>
          <t>Régimes publics : statistiques</t>
        </is>
      </c>
      <c r="B110" s="6" t="inlineStr">
        <is>
          <t>Europe 1, Le statut des cheminots est-il vraiment si avantageux ?</t>
        </is>
      </c>
      <c r="C110" s="127" t="inlineStr">
        <is>
          <t>https://www.europe1.fr/economie/reforme-de-la-sncf-le-statut-des-cheminots-est-il-vraiment-si-avantageux-3578831</t>
        </is>
      </c>
    </row>
    <row r="111">
      <c r="A111" s="6" t="inlineStr">
        <is>
          <t>Régimes publics : statistiques</t>
        </is>
      </c>
      <c r="B111" s="6" t="inlineStr">
        <is>
          <t>Europe 1, Âge de départ, niveau de retraite : les régimes spéciaux SNCF et RATP</t>
        </is>
      </c>
      <c r="C111" s="127" t="inlineStr">
        <is>
          <t>https://www.europe1.fr/economie/age-de-depart-niveau-de-retraite-vous-saurez-tout-sur-les-regimes-speciaux-de-la-sncf-et-de-la-ratp-3935561</t>
        </is>
      </c>
    </row>
    <row r="112">
      <c r="A112" s="6" t="inlineStr">
        <is>
          <t>Régimes publics : statistiques</t>
        </is>
      </c>
      <c r="B112" s="6" t="inlineStr">
        <is>
          <t>Moneyvox, Retraite SNCF : 5 chiffres</t>
        </is>
      </c>
      <c r="C112" s="127" t="inlineStr">
        <is>
          <t>https://www.moneyvox.fr/retraite/actualites/77133/retraite-sncf-5-chiffres-pour-comprendre-la-greve-des-cheminots</t>
        </is>
      </c>
    </row>
    <row r="113">
      <c r="A113" s="6" t="inlineStr">
        <is>
          <t>Régimes publics : statistiques</t>
        </is>
      </c>
      <c r="B113" s="6" t="inlineStr">
        <is>
          <t>jechange.fr, CTA : 1,7 milliard d'euros en 2025</t>
        </is>
      </c>
      <c r="C113" s="127" t="inlineStr">
        <is>
          <t>https://www.jechange.fr/energie/electricite/news/cta-facture-electricite-1-7-milliard-retraites-ieg</t>
        </is>
      </c>
    </row>
    <row r="114">
      <c r="A114" s="6" t="inlineStr">
        <is>
          <t>Régimes publics : statistiques</t>
        </is>
      </c>
      <c r="B114" s="6" t="inlineStr">
        <is>
          <t>Maire-Info, CNRACL : hausse de 12 points des cotisations</t>
        </is>
      </c>
      <c r="C114" s="127" t="inlineStr">
        <is>
          <t>https://www.maire-info.com/cnracl-le-gouvernement-impose-une-augmentation-de-12-points-des-cotisations-au-mepris-de-toute-concertation-article2-29352</t>
        </is>
      </c>
    </row>
    <row r="115">
      <c r="A115" s="6" t="inlineStr">
        <is>
          <t>Régimes publics : statistiques</t>
        </is>
      </c>
      <c r="B115" s="6" t="inlineStr">
        <is>
          <t>SNCF Open Data, Rémunération mensuelle moyenne brute des agents par qualification (non lue)</t>
        </is>
      </c>
      <c r="C115" s="127" t="inlineStr">
        <is>
          <t>https://ressources.data.sncf.com/explore/dataset/montant-remunerations-agents/</t>
        </is>
      </c>
    </row>
    <row r="116">
      <c r="A116" s="6" t="inlineStr">
        <is>
          <t>Actions françaises (capitalisation)</t>
        </is>
      </c>
      <c r="B116" s="6" t="inlineStr">
        <is>
          <t>Jorda-Schularick-Taylor Macrohistory Database R6 (JSTdatasetR6.dta, mirror in KMueller-Lab/Global-Macro-Database)</t>
        </is>
      </c>
      <c r="C116" s="127" t="inlineStr">
        <is>
          <t>https://raw.githubusercontent.com/KMueller-Lab/Global-Macro-Database/main/data/raw/aggregators/JST/JSTdatasetR6.dta</t>
        </is>
      </c>
    </row>
    <row r="117">
      <c r="A117" s="6" t="inlineStr">
        <is>
          <t>Actions françaises (capitalisation)</t>
        </is>
      </c>
      <c r="B117" s="6" t="inlineStr">
        <is>
          <t>Macrohistory Lab - JST database (official)</t>
        </is>
      </c>
      <c r="C117" s="127" t="inlineStr">
        <is>
          <t>https://www.macrohistory.net/database/</t>
        </is>
      </c>
    </row>
    <row r="118">
      <c r="A118" s="6" t="inlineStr">
        <is>
          <t>Actions françaises (capitalisation)</t>
        </is>
      </c>
      <c r="B118" s="6" t="inlineStr">
        <is>
          <t>Wikipedia FR - CAC 40 (table CAC 40 / CAC 40 GR / CAC 40 NR 1987-2023)</t>
        </is>
      </c>
      <c r="C118" s="127" t="inlineStr">
        <is>
          <t>https://fr.wikipedia.org/wiki/CAC_40</t>
        </is>
      </c>
    </row>
    <row r="119">
      <c r="A119" s="6" t="inlineStr">
        <is>
          <t>Actions françaises (capitalisation)</t>
        </is>
      </c>
      <c r="B119" s="6" t="inlineStr">
        <is>
          <t>Wikipedia EN - CAC 40 (year-end levels 2024-2025, 2026 highs)</t>
        </is>
      </c>
      <c r="C119" s="127" t="inlineStr">
        <is>
          <t>https://en.wikipedia.org/wiki/CAC_40</t>
        </is>
      </c>
    </row>
    <row r="120">
      <c r="A120" s="6" t="inlineStr">
        <is>
          <t>Actions françaises (capitalisation)</t>
        </is>
      </c>
      <c r="B120" s="6" t="inlineStr">
        <is>
          <t>Euronext CAC 40 factsheet as of 31/03/2026 (price/GR/NR returns 2023-2025, since 1987)</t>
        </is>
      </c>
      <c r="C120" s="127" t="inlineStr">
        <is>
          <t>https://live.euronext.com/sites/default/files/documentation/index-fact-sheets/CAC_40_Index_Factsheet.pdf</t>
        </is>
      </c>
    </row>
    <row r="121">
      <c r="A121" s="6" t="inlineStr">
        <is>
          <t>Actions françaises (capitalisation)</t>
        </is>
      </c>
      <c r="B121" s="6" t="inlineStr">
        <is>
          <t>Zonebourse - CAC 40 dividendes reinvestis, variations annuelles 2009-2026</t>
        </is>
      </c>
      <c r="C121" s="127" t="inlineStr">
        <is>
          <t>https://www.zonebourse.com/cours/indice/CAC-40-DIVIDENDES-REINVES-3869660/cotations/</t>
        </is>
      </c>
    </row>
    <row r="122">
      <c r="A122" s="6" t="inlineStr">
        <is>
          <t>Actions françaises (capitalisation)</t>
        </is>
      </c>
      <c r="B122" s="6" t="inlineStr">
        <is>
          <t>ABC Bourse - CAC 40 quote (close 23/09/2026 8123.41)</t>
        </is>
      </c>
      <c r="C122" s="127" t="inlineStr">
        <is>
          <t>https://www.abcbourse.com/cotation/PX1p</t>
        </is>
      </c>
    </row>
    <row r="123">
      <c r="A123" s="6" t="inlineStr">
        <is>
          <t>Actions françaises (capitalisation)</t>
        </is>
      </c>
      <c r="B123" s="6" t="inlineStr">
        <is>
          <t>GuruFocus - CAC 40 Total Return (26923.24 on 23/09/2026)</t>
        </is>
      </c>
      <c r="C123" s="127" t="inlineStr">
        <is>
          <t>https://www.gurufocus.com/economic_indicators/6410/cac-40-total-return</t>
        </is>
      </c>
    </row>
    <row r="124">
      <c r="A124" s="6" t="inlineStr">
        <is>
          <t>Actions françaises (capitalisation)</t>
        </is>
      </c>
      <c r="B124" s="6" t="inlineStr">
        <is>
          <t>Investing.com - CAC 40 GR historical data (Aug 2026)</t>
        </is>
      </c>
      <c r="C124" s="127" t="inlineStr">
        <is>
          <t>https://www.investing.com/indices/cac-40-gr-historical-data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2026-09-25T08:00:48Z</dcterms:created>
  <dcterms:modified xmlns:dcterms="http://purl.org/dc/terms/" xmlns:xsi="http://www.w3.org/2001/XMLSchema-instance" xsi:type="dcterms:W3CDTF">2026-09-25T08:00:50Z</dcterms:modified>
</cp:coreProperties>
</file>